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defaultThemeVersion="124226"/>
  <mc:AlternateContent xmlns:mc="http://schemas.openxmlformats.org/markup-compatibility/2006">
    <mc:Choice Requires="x15">
      <x15ac:absPath xmlns:x15ac="http://schemas.microsoft.com/office/spreadsheetml/2010/11/ac" url="G:\HORT\Chengyan_Yue_Data\Research new\Proposal\Year 2014\RosBREED II\"/>
    </mc:Choice>
  </mc:AlternateContent>
  <xr:revisionPtr revIDLastSave="0" documentId="8_{CD1ED591-0798-460C-8D88-77A3CB6B8C8F}" xr6:coauthVersionLast="45" xr6:coauthVersionMax="45" xr10:uidLastSave="{00000000-0000-0000-0000-000000000000}"/>
  <bookViews>
    <workbookView xWindow="-120" yWindow="-120" windowWidth="57840" windowHeight="15840" xr2:uid="{00000000-000D-0000-FFFF-FFFF00000000}"/>
  </bookViews>
  <sheets>
    <sheet name="Breeding Inputs" sheetId="42" r:id="rId1"/>
    <sheet name="Cost Inputs" sheetId="22" r:id="rId2"/>
    <sheet name="Model_ of_individuals" sheetId="50" r:id="rId3"/>
    <sheet name="Model_ of_individuals_costs" sheetId="51" r:id="rId4"/>
    <sheet name="Automated Results" sheetId="41" r:id="rId5"/>
    <sheet name="Sheet2" sheetId="37" state="hidden" r:id="rId6"/>
    <sheet name="Stage 1 Selection Matrix 3.0" sheetId="44" r:id="rId7"/>
    <sheet name="Stage 2 Randomized Selection" sheetId="47" r:id="rId8"/>
  </sheets>
  <externalReferences>
    <externalReference r:id="rId9"/>
  </externalReferences>
  <definedNames>
    <definedName name="_3_1_0">'Cost Inputs'!$A$59</definedName>
    <definedName name="_3_1_1">'Cost Inputs'!$A$60</definedName>
    <definedName name="_3_1_2">'Cost Inputs'!$A$61</definedName>
    <definedName name="_3_1_3">'Cost Inputs'!$A$62</definedName>
    <definedName name="_3_1_4">'Cost Inputs'!$A$63</definedName>
    <definedName name="_3_1_5">'Cost Inputs'!$A$64</definedName>
    <definedName name="_3_1_6">'Cost Inputs'!$A$65</definedName>
    <definedName name="_3_1_7">'Cost Inputs'!$A$66</definedName>
    <definedName name="_3_2_0">'Cost Inputs'!$A$67</definedName>
    <definedName name="_3_2_1">'Cost Inputs'!$A$68</definedName>
    <definedName name="_3_2_2">'Cost Inputs'!$A$69</definedName>
    <definedName name="_3_2_3">'Cost Inputs'!$A$70</definedName>
    <definedName name="_3_2_4">'Cost Inputs'!$A$71</definedName>
    <definedName name="_3_3_0">'Cost Inputs'!$A$72</definedName>
    <definedName name="_3_3_1">'Cost Inputs'!$A$73</definedName>
    <definedName name="_3_3_2">'Cost Inputs'!$A$74</definedName>
    <definedName name="_3_3_3">'Cost Inputs'!$A$75</definedName>
    <definedName name="_3_3_4">'Cost Inputs'!$A$76</definedName>
    <definedName name="_3_4_0">'Cost Inputs'!$A$77</definedName>
    <definedName name="_3_4_1">'Cost Inputs'!$A$78</definedName>
    <definedName name="_3_4_2">'Cost Inputs'!$A$79</definedName>
    <definedName name="_3_4_3">'Cost Inputs'!$A$80</definedName>
    <definedName name="_3_4_4">'Cost Inputs'!$A$81</definedName>
    <definedName name="_3_4_5">'Cost Inputs'!$A$82</definedName>
    <definedName name="_3_4_6">'Cost Inputs'!$A$83</definedName>
    <definedName name="_3_5_0">'Cost Inputs'!$A$84</definedName>
    <definedName name="_3_5_1">'Cost Inputs'!$A$85</definedName>
    <definedName name="_3_5_2">'Cost Inputs'!$A$86</definedName>
    <definedName name="_4_1_0">'Cost Inputs'!$A$88</definedName>
    <definedName name="_4_1_1">'Cost Inputs'!$A$90</definedName>
    <definedName name="_4_1_2">'Cost Inputs'!$A$92</definedName>
    <definedName name="_4_1_3">'Cost Inputs'!$A$94</definedName>
    <definedName name="_4_1_4">'Cost Inputs'!$A$96</definedName>
    <definedName name="_4_2_0">'Cost Inputs'!$A$97</definedName>
    <definedName name="_4_2_1">'Cost Inputs'!$A$99</definedName>
    <definedName name="_4_2_2">'Cost Inputs'!$A$101</definedName>
    <definedName name="_4_2_3">'Cost Inputs'!$A$103</definedName>
    <definedName name="_4_2_4">'Cost Inputs'!$A$104</definedName>
    <definedName name="_4_3_0">'Cost Inputs'!$A$105</definedName>
    <definedName name="_4_3_1">'Cost Inputs'!$A$107</definedName>
    <definedName name="_4_3_2">'Cost Inputs'!$A$108</definedName>
    <definedName name="_4_4_0">'Cost Inputs'!$A$109</definedName>
    <definedName name="_4_4_1">'Cost Inputs'!$A$110</definedName>
    <definedName name="_4_4_2">'Cost Inputs'!$A$111</definedName>
    <definedName name="_4_4_3">'Cost Inputs'!$A$112</definedName>
    <definedName name="_4_4_4">'Cost Inputs'!$A$113</definedName>
    <definedName name="_4_4_5">'Cost Inputs'!$A$114</definedName>
    <definedName name="_4_4_6">'Cost Inputs'!$A$115</definedName>
    <definedName name="_4_5_0">'Cost Inputs'!$A$116</definedName>
    <definedName name="_4_5_1">'Cost Inputs'!$A$118</definedName>
    <definedName name="_4_5_2">'Cost Inputs'!$A$120</definedName>
    <definedName name="_4_5_3">'Cost Inputs'!$A$121</definedName>
    <definedName name="_4_5_4">'Cost Inputs'!$A$122</definedName>
    <definedName name="_4_5_5">'Cost Inputs'!$A$123</definedName>
    <definedName name="_4_6_0">'Cost Inputs'!$A$124</definedName>
    <definedName name="_4_6_1">'Cost Inputs'!$A$125</definedName>
    <definedName name="_4_6_2">'Cost Inputs'!$A$126</definedName>
    <definedName name="_5_1_0">'Cost Inputs'!$A$128</definedName>
    <definedName name="_5_1_1">'Cost Inputs'!$A$130</definedName>
    <definedName name="_5_1_2">'Cost Inputs'!$A$132</definedName>
    <definedName name="_5_1_3">'Cost Inputs'!$A$134</definedName>
    <definedName name="_5_1_4">'Cost Inputs'!$A$136</definedName>
    <definedName name="_5_1_5">'Cost Inputs'!$A$137</definedName>
    <definedName name="_5_2_0">'Cost Inputs'!$A$138</definedName>
    <definedName name="_5_2_1">'Cost Inputs'!$A$140</definedName>
    <definedName name="_5_2_2">'Cost Inputs'!$A$142</definedName>
    <definedName name="_5_2_3">'Cost Inputs'!$A$144</definedName>
    <definedName name="_5_2_4">'Cost Inputs'!$A$145</definedName>
    <definedName name="_5_3_0">'Cost Inputs'!$A$146</definedName>
    <definedName name="_5_3_1">'Cost Inputs'!$A$148</definedName>
    <definedName name="_5_3_2">'Cost Inputs'!$A$149</definedName>
    <definedName name="_5_4_0">'Cost Inputs'!$A$150</definedName>
    <definedName name="_5_4_1">'Cost Inputs'!$A$151</definedName>
    <definedName name="_5_4_2">'Cost Inputs'!$A$152</definedName>
    <definedName name="_5_4_3">'Cost Inputs'!$A$153</definedName>
    <definedName name="_5_4_4">'Cost Inputs'!$A$154</definedName>
    <definedName name="_5_4_5">'Cost Inputs'!$A$155</definedName>
    <definedName name="_5_4_6">'Cost Inputs'!$A$156</definedName>
    <definedName name="_5_5_0">'Cost Inputs'!$A$157</definedName>
    <definedName name="_5_5_1">'Cost Inputs'!$A$159</definedName>
    <definedName name="_5_5_2">'Cost Inputs'!$A$161</definedName>
    <definedName name="_5_5_3">'Cost Inputs'!$A$162</definedName>
    <definedName name="_5_5_4">'Cost Inputs'!$A$163</definedName>
    <definedName name="_5_5_5">'Cost Inputs'!$A$164</definedName>
    <definedName name="_5_6_0">'Cost Inputs'!$A$165</definedName>
    <definedName name="_5_6_1">'Cost Inputs'!$A$166</definedName>
    <definedName name="_5_6_2">'Cost Inputs'!$A$167</definedName>
    <definedName name="_6_1_0">'Cost Inputs'!$A$169</definedName>
    <definedName name="_6_1_1">'Cost Inputs'!$A$171</definedName>
    <definedName name="_6_1_2">'Cost Inputs'!$A$173</definedName>
    <definedName name="_6_1_3">'Cost Inputs'!$A$175</definedName>
    <definedName name="_6_1_4">'Cost Inputs'!$A$177</definedName>
    <definedName name="_6_1_5">'Cost Inputs'!$A$178</definedName>
    <definedName name="_6_2_0">'Cost Inputs'!$A$179</definedName>
    <definedName name="_6_2_1">'Cost Inputs'!$A$181</definedName>
    <definedName name="_6_2_2">'Cost Inputs'!$A$183</definedName>
    <definedName name="_6_2_3">'Cost Inputs'!$A$185</definedName>
    <definedName name="_6_2_4">'Cost Inputs'!$A$186</definedName>
    <definedName name="_6_3_0">'Cost Inputs'!$A$187</definedName>
    <definedName name="_6_3_1">'Cost Inputs'!$A$189</definedName>
    <definedName name="_6_3_2">'Cost Inputs'!$A$190</definedName>
    <definedName name="_6_4_0">'Cost Inputs'!$A$191</definedName>
    <definedName name="_6_4_1">'Cost Inputs'!$A$192</definedName>
    <definedName name="_6_4_2">'Cost Inputs'!$A$193</definedName>
    <definedName name="_6_4_3">'Cost Inputs'!$A$194</definedName>
    <definedName name="_6_4_4">'Cost Inputs'!$A$195</definedName>
    <definedName name="_6_4_5">'Cost Inputs'!$A$196</definedName>
    <definedName name="_6_4_6">'Cost Inputs'!$A$197</definedName>
    <definedName name="_6_5_0">'Cost Inputs'!$A$198</definedName>
    <definedName name="_6_5_1">'Cost Inputs'!$A$200</definedName>
    <definedName name="_6_5_2">'Cost Inputs'!$A$202</definedName>
    <definedName name="_6_5_3">'Cost Inputs'!$A$203</definedName>
    <definedName name="_6_5_4">'Cost Inputs'!$A$204</definedName>
    <definedName name="_6_5_5">'Cost Inputs'!$A$205</definedName>
    <definedName name="_6_6_0">'Cost Inputs'!$A$206</definedName>
    <definedName name="_6_6_1">'Cost Inputs'!$A$207</definedName>
    <definedName name="_6_6_2">'Cost Inputs'!$A$208</definedName>
    <definedName name="Crossing_begins">'Breeding Inputs'!$I$7</definedName>
    <definedName name="Crossing_delay">'Breeding Inputs'!$I$9</definedName>
    <definedName name="Crossing_years">'Breeding Inputs'!$I$8</definedName>
    <definedName name="Cultivar_1_Cohort_Year_Selection">'Stage 2 Randomized Selection'!$Z$76</definedName>
    <definedName name="Cultivar_1_Program_Year_Selection">'Stage 2 Randomized Selection'!$T$76</definedName>
    <definedName name="Cultivar_2_Cohort_Year_Selection">'Stage 2 Randomized Selection'!$Z$78</definedName>
    <definedName name="Cultivar_2_Program_Year_Selection">'Stage 2 Randomized Selection'!$T$78</definedName>
    <definedName name="Cultivar_3_Cohort_Year_Selection">'Stage 2 Randomized Selection'!$Z$80</definedName>
    <definedName name="Cultivar_3_Program_Year_Selection">'Stage 2 Randomized Selection'!$T$80</definedName>
    <definedName name="DNA_Test_1">'Breeding Inputs'!$I$30</definedName>
    <definedName name="DNA_Test_2">'Breeding Inputs'!$I$43</definedName>
    <definedName name="DNA_Test_3">'Breeding Inputs'!$I$56</definedName>
    <definedName name="DNA_Test_4">'Breeding Inputs'!$I$67</definedName>
    <definedName name="DNA_test_C">'Breeding Inputs'!$I$10</definedName>
    <definedName name="DNA_test_G">'Breeding Inputs'!$I$17</definedName>
    <definedName name="Fifth_Stage">'Cost Inputs'!$A$127</definedName>
    <definedName name="First_Stage">'Cost Inputs'!$A$3</definedName>
    <definedName name="Fourth_Stage">'Cost Inputs'!$A$87</definedName>
    <definedName name="Frequency_of_breeding_cycle">'Breeding Inputs'!$I$3</definedName>
    <definedName name="Germ_per">'Breeding Inputs'!$I$15</definedName>
    <definedName name="GG_begins">'Breeding Inputs'!$I$12</definedName>
    <definedName name="Inherit_1">'Breeding Inputs'!$I$31</definedName>
    <definedName name="Inherit_2">'Breeding Inputs'!$I$44</definedName>
    <definedName name="Inherit_3">'Breeding Inputs'!$I$57</definedName>
    <definedName name="Inherit_C">'Breeding Inputs'!#REF!</definedName>
    <definedName name="Input_Dec_1">'Breeding Inputs'!$I$33</definedName>
    <definedName name="Input_Dec_2">'Breeding Inputs'!$I$46</definedName>
    <definedName name="Input_Dec_3">'Breeding Inputs'!$I$59</definedName>
    <definedName name="Input_Dec_C">'Breeding Inputs'!#REF!</definedName>
    <definedName name="Input_Dec_G">'Breeding Inputs'!$I$20</definedName>
    <definedName name="MAS_Cull_G">'Breeding Inputs'!$I$18</definedName>
    <definedName name="MAS_Cull4">'Breeding Inputs'!$I$68</definedName>
    <definedName name="Number_of_breeding_cycles">'Breeding Inputs'!$I$5</definedName>
    <definedName name="Parent_Use_1">'Breeding Inputs'!$I$32</definedName>
    <definedName name="Parent_Use_2">'Breeding Inputs'!$I$45</definedName>
    <definedName name="Parent_Use_3">'Breeding Inputs'!$I$58</definedName>
    <definedName name="Parent_Use_C">'Breeding Inputs'!#REF!</definedName>
    <definedName name="Parent_Use_G">'Breeding Inputs'!$I$19</definedName>
    <definedName name="ProgramYearStage1">'Breeding Inputs'!$B$77:$B$86</definedName>
    <definedName name="ProgramYearStage2">'Breeding Inputs'!$B$89:$B$98</definedName>
    <definedName name="ProgramYearStage3">'Breeding Inputs'!$B$101:$B$110</definedName>
    <definedName name="ProgramYearStage4">'Breeding Inputs'!$B$113:$B$122</definedName>
    <definedName name="S1_begins">'Breeding Inputs'!$I$22</definedName>
    <definedName name="S1_delay">'Breeding Inputs'!$I$29</definedName>
    <definedName name="S1_Est">'Breeding Inputs'!$I$28</definedName>
    <definedName name="S1_IS">'Breeding Inputs'!$I$25</definedName>
    <definedName name="S1_NFEY">'Breeding Inputs'!$I$26</definedName>
    <definedName name="S1_SelNum">'Breeding Inputs'!$I$28</definedName>
    <definedName name="S1_SelPer">'Breeding Inputs'!$I$27</definedName>
    <definedName name="S1_years">'Breeding Inputs'!$I$23</definedName>
    <definedName name="S2_delay">'Breeding Inputs'!$I$42</definedName>
    <definedName name="S2_Est">'Breeding Inputs'!$I$41</definedName>
    <definedName name="S2_IS">'Breeding Inputs'!$I$38</definedName>
    <definedName name="S2_NFEY">'Breeding Inputs'!$I$39</definedName>
    <definedName name="S2_SelPer">'Breeding Inputs'!$I$40</definedName>
    <definedName name="S3_begins">'Breeding Inputs'!$I$48</definedName>
    <definedName name="S3_delay">'Breeding Inputs'!$I$55</definedName>
    <definedName name="S3_Est">'Breeding Inputs'!$I$54</definedName>
    <definedName name="S3_IS">'Breeding Inputs'!$I$51</definedName>
    <definedName name="S3_NFEY">'Breeding Inputs'!$I$52</definedName>
    <definedName name="S3_SelPer">'Breeding Inputs'!$I$53</definedName>
    <definedName name="S3_years">'Breeding Inputs'!$I$49</definedName>
    <definedName name="S4_begins">'Breeding Inputs'!$I$61</definedName>
    <definedName name="S4_delay">'Breeding Inputs'!$I$66</definedName>
    <definedName name="S4_Est">'Breeding Inputs'!$I$65</definedName>
    <definedName name="S4_SelPer">'Breeding Inputs'!$I$64</definedName>
    <definedName name="S4_years">'Breeding Inputs'!$I$62</definedName>
    <definedName name="Second_Stage">'Cost Inputs'!$A$41</definedName>
    <definedName name="Seventh_Stage">'Cost Inputs'!$A$209</definedName>
    <definedName name="Sixth_Stage">'Cost Inputs'!$A$168</definedName>
    <definedName name="Stage1EnvirontmentalLoss">'Breeding Inputs'!$E$77:$E$86</definedName>
    <definedName name="Stage1Evaluation">'Breeding Inputs'!$C$77:$C$86</definedName>
    <definedName name="Stage1EvaluationBegins">'Breeding Inputs'!$I$24</definedName>
    <definedName name="Stage1Removal">'Breeding Inputs'!$D$77:$D$86</definedName>
    <definedName name="Stage2EnvironmentalLoss">'Breeding Inputs'!$E$89:$E$98</definedName>
    <definedName name="Stage2Evaluation">'Breeding Inputs'!$C$89:$C$98</definedName>
    <definedName name="Stage2EvaluationBegins">'Breeding Inputs'!$I$37</definedName>
    <definedName name="Stage2Removal">'Breeding Inputs'!$D$89:$D$98</definedName>
    <definedName name="Stage3EnvironmentalLoss">'Breeding Inputs'!$E$101:$E$110</definedName>
    <definedName name="Stage3Evaluation">'Breeding Inputs'!$C$101:$C$110</definedName>
    <definedName name="Stage3EvaluationBegins">'Breeding Inputs'!$I$50</definedName>
    <definedName name="Stage3Removal">'Breeding Inputs'!$D$101:$D$110</definedName>
    <definedName name="Stage4EnvironmentalLoss">'Breeding Inputs'!$E$113:$E$122</definedName>
    <definedName name="Stage4Evaluation">'Breeding Inputs'!$C$113:$C$122</definedName>
    <definedName name="Stage4EvaluationBegins">'Breeding Inputs'!$I$63</definedName>
    <definedName name="Stage4Removal">'Breeding Inputs'!$D$113:$D$122</definedName>
    <definedName name="STRAEBERRYYS2">'[1]Breeding Inputs'!$A$68:$A$77</definedName>
    <definedName name="Strawberry">'[1]Breeding Inputs'!$B$68:$B$77</definedName>
    <definedName name="StrawberryPYS2">'[1]Breeding Inputs'!$B$68:$B$77</definedName>
    <definedName name="STRAWBERRYS2EB">'[1]Breeding Inputs'!$I$28</definedName>
    <definedName name="strawberrystage2">'[1]Breeding Inputs'!$A$68:$A$77</definedName>
    <definedName name="Third_Stage">'Cost Inputs'!$A$58</definedName>
    <definedName name="VI_begins">'Breeding Inputs'!$I$70</definedName>
    <definedName name="VI_delay">'Breeding Inputs'!$I$72</definedName>
    <definedName name="Years_in_Stage1">'Breeding Inputs'!$A$77:$A$86</definedName>
    <definedName name="Years_in_Stage2">'Breeding Inputs'!$A$89:$A$98</definedName>
    <definedName name="Years_in_Stage3">'Breeding Inputs'!$A$101:$A$110</definedName>
    <definedName name="Years_in_Stage4">'Breeding Inputs'!$A$113:$A$122</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8" i="42" l="1"/>
  <c r="Q84" i="22"/>
  <c r="J27" i="42"/>
  <c r="B4" i="50" l="1"/>
  <c r="B42" i="50"/>
  <c r="O3" i="50"/>
  <c r="A48" i="22"/>
  <c r="P51" i="50" l="1"/>
  <c r="Y252" i="50"/>
  <c r="Y250" i="50"/>
  <c r="Y248" i="50"/>
  <c r="Y246" i="50"/>
  <c r="Y244" i="50"/>
  <c r="Y242" i="50"/>
  <c r="Y240" i="50"/>
  <c r="Y253" i="50"/>
  <c r="Y249" i="50"/>
  <c r="Y243" i="50"/>
  <c r="Y237" i="50"/>
  <c r="Y236" i="50"/>
  <c r="Z268" i="50"/>
  <c r="Z267" i="50"/>
  <c r="Z260" i="50"/>
  <c r="Z259" i="50"/>
  <c r="Z257" i="50"/>
  <c r="X231" i="50"/>
  <c r="X229" i="50"/>
  <c r="X227" i="50"/>
  <c r="Y245" i="50"/>
  <c r="Y239" i="50"/>
  <c r="Y238" i="50"/>
  <c r="Z270" i="50"/>
  <c r="Z269" i="50"/>
  <c r="Z262" i="50"/>
  <c r="Z261" i="50"/>
  <c r="Z264" i="50"/>
  <c r="Z263" i="50"/>
  <c r="Z258" i="50"/>
  <c r="X230" i="50"/>
  <c r="X226" i="50"/>
  <c r="X224" i="50"/>
  <c r="X222" i="50"/>
  <c r="X220" i="50"/>
  <c r="X218" i="50"/>
  <c r="X216" i="50"/>
  <c r="V190" i="50"/>
  <c r="Y241" i="50"/>
  <c r="Z266" i="50"/>
  <c r="Z265" i="50"/>
  <c r="W211" i="50"/>
  <c r="W209" i="50"/>
  <c r="W207" i="50"/>
  <c r="W205" i="50"/>
  <c r="W203" i="50"/>
  <c r="W201" i="50"/>
  <c r="W199" i="50"/>
  <c r="W197" i="50"/>
  <c r="W195" i="50"/>
  <c r="T148" i="50"/>
  <c r="T147" i="50"/>
  <c r="T146" i="50"/>
  <c r="T145" i="50"/>
  <c r="T144" i="50"/>
  <c r="Y247" i="50"/>
  <c r="Z271" i="50"/>
  <c r="X228" i="50"/>
  <c r="X225" i="50"/>
  <c r="X221" i="50"/>
  <c r="X217" i="50"/>
  <c r="U169" i="50"/>
  <c r="U165" i="50"/>
  <c r="U161" i="50"/>
  <c r="U157" i="50"/>
  <c r="U153" i="50"/>
  <c r="V189" i="50"/>
  <c r="V185" i="50"/>
  <c r="V181" i="50"/>
  <c r="V177" i="50"/>
  <c r="V173" i="50"/>
  <c r="Z273" i="50"/>
  <c r="W210" i="50"/>
  <c r="W206" i="50"/>
  <c r="W202" i="50"/>
  <c r="W198" i="50"/>
  <c r="T143" i="50"/>
  <c r="T142" i="50"/>
  <c r="T141" i="50"/>
  <c r="T140" i="50"/>
  <c r="T139" i="50"/>
  <c r="T138" i="50"/>
  <c r="T137" i="50"/>
  <c r="T136" i="50"/>
  <c r="T135" i="50"/>
  <c r="T134" i="50"/>
  <c r="T133" i="50"/>
  <c r="T132" i="50"/>
  <c r="T131" i="50"/>
  <c r="U166" i="50"/>
  <c r="U162" i="50"/>
  <c r="U158" i="50"/>
  <c r="U154" i="50"/>
  <c r="V188" i="50"/>
  <c r="V184" i="50"/>
  <c r="V180" i="50"/>
  <c r="V176" i="50"/>
  <c r="S127" i="50"/>
  <c r="Y251" i="50"/>
  <c r="Z272" i="50"/>
  <c r="X232" i="50"/>
  <c r="X219" i="50"/>
  <c r="U167" i="50"/>
  <c r="U159" i="50"/>
  <c r="V183" i="50"/>
  <c r="V175" i="50"/>
  <c r="S123" i="50"/>
  <c r="S119" i="50"/>
  <c r="S115" i="50"/>
  <c r="S111" i="50"/>
  <c r="R104" i="50"/>
  <c r="R100" i="50"/>
  <c r="R96" i="50"/>
  <c r="R92" i="50"/>
  <c r="Q78" i="50"/>
  <c r="Q72" i="50"/>
  <c r="Q70" i="50"/>
  <c r="Q67" i="50"/>
  <c r="Q65" i="50"/>
  <c r="Q63" i="50"/>
  <c r="U163" i="50"/>
  <c r="U155" i="50"/>
  <c r="S125" i="50"/>
  <c r="S121" i="50"/>
  <c r="S117" i="50"/>
  <c r="W208" i="50"/>
  <c r="W200" i="50"/>
  <c r="U168" i="50"/>
  <c r="U160" i="50"/>
  <c r="U152" i="50"/>
  <c r="V182" i="50"/>
  <c r="V174" i="50"/>
  <c r="S126" i="50"/>
  <c r="S122" i="50"/>
  <c r="S118" i="50"/>
  <c r="S114" i="50"/>
  <c r="S110" i="50"/>
  <c r="R103" i="50"/>
  <c r="R99" i="50"/>
  <c r="R95" i="50"/>
  <c r="R91" i="50"/>
  <c r="Q74" i="50"/>
  <c r="Q68" i="50"/>
  <c r="Q84" i="50"/>
  <c r="Q82" i="50"/>
  <c r="Q80" i="50"/>
  <c r="Q77" i="50"/>
  <c r="Q75" i="50"/>
  <c r="Q61" i="50"/>
  <c r="X223" i="50"/>
  <c r="X215" i="50"/>
  <c r="V187" i="50"/>
  <c r="V179" i="50"/>
  <c r="S113" i="50"/>
  <c r="W194" i="50"/>
  <c r="U164" i="50"/>
  <c r="V178" i="50"/>
  <c r="S120" i="50"/>
  <c r="R102" i="50"/>
  <c r="R94" i="50"/>
  <c r="Q69" i="50"/>
  <c r="Q64" i="50"/>
  <c r="U156" i="50"/>
  <c r="S124" i="50"/>
  <c r="R89" i="50"/>
  <c r="R97" i="50"/>
  <c r="Q81" i="50"/>
  <c r="W204" i="50"/>
  <c r="S116" i="50"/>
  <c r="R101" i="50"/>
  <c r="R93" i="50"/>
  <c r="Q73" i="50"/>
  <c r="Q83" i="50"/>
  <c r="Q79" i="50"/>
  <c r="W196" i="50"/>
  <c r="S112" i="50"/>
  <c r="R106" i="50"/>
  <c r="R98" i="50"/>
  <c r="R90" i="50"/>
  <c r="Q71" i="50"/>
  <c r="Q66" i="50"/>
  <c r="Q62" i="50"/>
  <c r="Z274" i="50"/>
  <c r="V186" i="50"/>
  <c r="R105" i="50"/>
  <c r="Q85" i="50"/>
  <c r="Q76" i="50"/>
  <c r="Q60" i="50"/>
  <c r="Q60" i="51" s="1"/>
  <c r="Q86" i="50"/>
  <c r="P58" i="50"/>
  <c r="P57" i="50"/>
  <c r="P42" i="50"/>
  <c r="P54" i="50"/>
  <c r="P43" i="50"/>
  <c r="C14" i="50"/>
  <c r="C4" i="50"/>
  <c r="C6" i="50"/>
  <c r="N210" i="22"/>
  <c r="N4" i="22"/>
  <c r="B4" i="44" l="1"/>
  <c r="X763" i="51" l="1"/>
  <c r="W763" i="51"/>
  <c r="V763" i="51"/>
  <c r="U763" i="51"/>
  <c r="T763" i="51"/>
  <c r="S763" i="51"/>
  <c r="R763" i="51"/>
  <c r="Q763" i="51"/>
  <c r="P763" i="51"/>
  <c r="O763" i="51"/>
  <c r="X761" i="51"/>
  <c r="W761" i="51"/>
  <c r="V761" i="51"/>
  <c r="U761" i="51"/>
  <c r="T761" i="51"/>
  <c r="S761" i="51"/>
  <c r="R761" i="51"/>
  <c r="Q761" i="51"/>
  <c r="P761" i="51"/>
  <c r="O761" i="51"/>
  <c r="X759" i="51"/>
  <c r="W759" i="51"/>
  <c r="V759" i="51"/>
  <c r="U759" i="51"/>
  <c r="T759" i="51"/>
  <c r="S759" i="51"/>
  <c r="R759" i="51"/>
  <c r="Q759" i="51"/>
  <c r="P759" i="51"/>
  <c r="O759" i="51"/>
  <c r="X757" i="51"/>
  <c r="W757" i="51"/>
  <c r="V757" i="51"/>
  <c r="U757" i="51"/>
  <c r="T757" i="51"/>
  <c r="S757" i="51"/>
  <c r="R757" i="51"/>
  <c r="Q757" i="51"/>
  <c r="P757" i="51"/>
  <c r="O757" i="51"/>
  <c r="X524" i="51"/>
  <c r="W524" i="51"/>
  <c r="V524" i="51"/>
  <c r="U524" i="51"/>
  <c r="T524" i="51"/>
  <c r="S524" i="51"/>
  <c r="R524" i="51"/>
  <c r="Q524" i="51"/>
  <c r="P524" i="51"/>
  <c r="O524" i="51"/>
  <c r="X522" i="51"/>
  <c r="W522" i="51"/>
  <c r="V522" i="51"/>
  <c r="U522" i="51"/>
  <c r="T522" i="51"/>
  <c r="S522" i="51"/>
  <c r="R522" i="51"/>
  <c r="Q522" i="51"/>
  <c r="P522" i="51"/>
  <c r="O522" i="51"/>
  <c r="X520" i="51"/>
  <c r="W520" i="51"/>
  <c r="V520" i="51"/>
  <c r="U520" i="51"/>
  <c r="T520" i="51"/>
  <c r="S520" i="51"/>
  <c r="R520" i="51"/>
  <c r="Q520" i="51"/>
  <c r="P520" i="51"/>
  <c r="O520" i="51"/>
  <c r="P518" i="51"/>
  <c r="Q518" i="51"/>
  <c r="R518" i="51"/>
  <c r="S518" i="51"/>
  <c r="T518" i="51"/>
  <c r="U518" i="51"/>
  <c r="V518" i="51"/>
  <c r="W518" i="51"/>
  <c r="X518" i="51"/>
  <c r="O518" i="51"/>
  <c r="AT380" i="51"/>
  <c r="AS380" i="51"/>
  <c r="AR380" i="51"/>
  <c r="AQ380" i="51"/>
  <c r="AP380" i="51"/>
  <c r="AO380" i="51"/>
  <c r="AN380" i="51"/>
  <c r="AM380" i="51"/>
  <c r="AL380" i="51"/>
  <c r="AK380" i="51"/>
  <c r="AJ380" i="51"/>
  <c r="AI380" i="51"/>
  <c r="AH380" i="51"/>
  <c r="AG380" i="51"/>
  <c r="AF380" i="51"/>
  <c r="AE380" i="51"/>
  <c r="AD380" i="51"/>
  <c r="AC380" i="51"/>
  <c r="AT354" i="51"/>
  <c r="AS354" i="51"/>
  <c r="AT353" i="51"/>
  <c r="AS353" i="51"/>
  <c r="AT352" i="51"/>
  <c r="AS352" i="51"/>
  <c r="AT351" i="51"/>
  <c r="AS351" i="51"/>
  <c r="AT350" i="51"/>
  <c r="AS350" i="51"/>
  <c r="AT349" i="51"/>
  <c r="AS349" i="51"/>
  <c r="AT348" i="51"/>
  <c r="AS348" i="51"/>
  <c r="AT347" i="51"/>
  <c r="AS347" i="51"/>
  <c r="AT346" i="51"/>
  <c r="AS346" i="51"/>
  <c r="AT345" i="51"/>
  <c r="AS345" i="51"/>
  <c r="AT344" i="51"/>
  <c r="AS344" i="51"/>
  <c r="AT343" i="51"/>
  <c r="AS343" i="51"/>
  <c r="AT342" i="51"/>
  <c r="AS342" i="51"/>
  <c r="AT341" i="51"/>
  <c r="AS341" i="51"/>
  <c r="AT340" i="51"/>
  <c r="AS340" i="51"/>
  <c r="AT339" i="51"/>
  <c r="AS339" i="51"/>
  <c r="AT338" i="51"/>
  <c r="AS338" i="51"/>
  <c r="AT337" i="51"/>
  <c r="AS337" i="51"/>
  <c r="AT336" i="51"/>
  <c r="AS336" i="51"/>
  <c r="AT335" i="51"/>
  <c r="AS335" i="51"/>
  <c r="AT334" i="51"/>
  <c r="AS334" i="51"/>
  <c r="AT333" i="51"/>
  <c r="AS333" i="51"/>
  <c r="AS331" i="51"/>
  <c r="AS330" i="51"/>
  <c r="AS329" i="51"/>
  <c r="AS328" i="51"/>
  <c r="AS327" i="51"/>
  <c r="AS326" i="51"/>
  <c r="AS325" i="51"/>
  <c r="AS324" i="51"/>
  <c r="AS323" i="51"/>
  <c r="AS322" i="51"/>
  <c r="AS321" i="51"/>
  <c r="AS320" i="51"/>
  <c r="AS319" i="51"/>
  <c r="AS318" i="51"/>
  <c r="AS317" i="51"/>
  <c r="AS316" i="51"/>
  <c r="AS315" i="51"/>
  <c r="AS314" i="51"/>
  <c r="AS313" i="51"/>
  <c r="AS312" i="51"/>
  <c r="AS311" i="51"/>
  <c r="AS310" i="51"/>
  <c r="AR277" i="51"/>
  <c r="AQ277" i="51"/>
  <c r="AP277" i="51"/>
  <c r="AO277" i="51"/>
  <c r="AN277" i="51"/>
  <c r="AM277" i="51"/>
  <c r="AL277" i="51"/>
  <c r="AK277" i="51"/>
  <c r="AJ277" i="51"/>
  <c r="AI277" i="51"/>
  <c r="AH277" i="51"/>
  <c r="AG277" i="51"/>
  <c r="AF277" i="51"/>
  <c r="AE277" i="51"/>
  <c r="AD277" i="51"/>
  <c r="AC277" i="51"/>
  <c r="AB277" i="51"/>
  <c r="AA277" i="51"/>
  <c r="Z277" i="51"/>
  <c r="Y277" i="51"/>
  <c r="X277" i="51"/>
  <c r="W277" i="51"/>
  <c r="V277" i="51"/>
  <c r="U277" i="51"/>
  <c r="T277" i="51"/>
  <c r="S277" i="51"/>
  <c r="R277" i="51"/>
  <c r="Q277" i="51"/>
  <c r="P277" i="51"/>
  <c r="O277" i="51"/>
  <c r="AR275" i="51"/>
  <c r="AQ275" i="51"/>
  <c r="AP275" i="51"/>
  <c r="AO275" i="51"/>
  <c r="AN275" i="51"/>
  <c r="AM275" i="51"/>
  <c r="AL275" i="51"/>
  <c r="AK275" i="51"/>
  <c r="AJ275" i="51"/>
  <c r="AI275" i="51"/>
  <c r="AH275" i="51"/>
  <c r="AG275" i="51"/>
  <c r="AF275" i="51"/>
  <c r="AE275" i="51"/>
  <c r="AD275" i="51"/>
  <c r="AC275" i="51"/>
  <c r="AB275" i="51"/>
  <c r="AA275" i="51"/>
  <c r="Z275" i="51"/>
  <c r="Y275" i="51"/>
  <c r="X275" i="51"/>
  <c r="W275" i="51"/>
  <c r="V275" i="51"/>
  <c r="U275" i="51"/>
  <c r="T275" i="51"/>
  <c r="S275" i="51"/>
  <c r="R275" i="51"/>
  <c r="Q275" i="51"/>
  <c r="P275" i="51"/>
  <c r="O275" i="51"/>
  <c r="AR273" i="51"/>
  <c r="AQ273" i="51"/>
  <c r="AP273" i="51"/>
  <c r="AO273" i="51"/>
  <c r="AN273" i="51"/>
  <c r="AM273" i="51"/>
  <c r="AL273" i="51"/>
  <c r="AK273" i="51"/>
  <c r="AJ273" i="51"/>
  <c r="AI273" i="51"/>
  <c r="AH273" i="51"/>
  <c r="AG273" i="51"/>
  <c r="AF273" i="51"/>
  <c r="AE273" i="51"/>
  <c r="AD273" i="51"/>
  <c r="AC273" i="51"/>
  <c r="AB273" i="51"/>
  <c r="AA273" i="51"/>
  <c r="Z273" i="51"/>
  <c r="Y273" i="51"/>
  <c r="X273" i="51"/>
  <c r="W273" i="51"/>
  <c r="V273" i="51"/>
  <c r="U273" i="51"/>
  <c r="T273" i="51"/>
  <c r="S273" i="51"/>
  <c r="R273" i="51"/>
  <c r="Q273" i="51"/>
  <c r="P273" i="51"/>
  <c r="O273" i="51"/>
  <c r="P271" i="51"/>
  <c r="Q271" i="51"/>
  <c r="R271" i="51"/>
  <c r="S271" i="51"/>
  <c r="T271" i="51"/>
  <c r="U271" i="51"/>
  <c r="V271" i="51"/>
  <c r="W271" i="51"/>
  <c r="X271" i="51"/>
  <c r="Y271" i="51"/>
  <c r="Z271" i="51"/>
  <c r="AA271" i="51"/>
  <c r="AB271" i="51"/>
  <c r="AC271" i="51"/>
  <c r="AD271" i="51"/>
  <c r="AE271" i="51"/>
  <c r="AF271" i="51"/>
  <c r="AG271" i="51"/>
  <c r="AH271" i="51"/>
  <c r="AI271" i="51"/>
  <c r="AJ271" i="51"/>
  <c r="AK271" i="51"/>
  <c r="AL271" i="51"/>
  <c r="AM271" i="51"/>
  <c r="AN271" i="51"/>
  <c r="AO271" i="51"/>
  <c r="AP271" i="51"/>
  <c r="AQ271" i="51"/>
  <c r="AR271" i="51"/>
  <c r="O271" i="51"/>
  <c r="C993" i="51"/>
  <c r="K993" i="51" s="1"/>
  <c r="C992" i="51"/>
  <c r="H992" i="51" s="1"/>
  <c r="C991" i="51"/>
  <c r="K991" i="51" s="1"/>
  <c r="C986" i="51"/>
  <c r="J986" i="51" s="1"/>
  <c r="J984" i="51"/>
  <c r="C982" i="51"/>
  <c r="K982" i="51" s="1"/>
  <c r="C981" i="51"/>
  <c r="H981" i="51" s="1"/>
  <c r="C980" i="51"/>
  <c r="K980" i="51" s="1"/>
  <c r="C979" i="51"/>
  <c r="K979" i="51" s="1"/>
  <c r="C978" i="51"/>
  <c r="K978" i="51" s="1"/>
  <c r="C977" i="51"/>
  <c r="H977" i="51" s="1"/>
  <c r="C976" i="51"/>
  <c r="J976" i="51" s="1"/>
  <c r="C975" i="51"/>
  <c r="K975" i="51" s="1"/>
  <c r="C974" i="51"/>
  <c r="K974" i="51" s="1"/>
  <c r="J973" i="51"/>
  <c r="C972" i="51"/>
  <c r="E973" i="51" s="1"/>
  <c r="G973" i="51" s="1"/>
  <c r="A972" i="51"/>
  <c r="C971" i="51"/>
  <c r="K971" i="51" s="1"/>
  <c r="C970" i="51"/>
  <c r="H970" i="51" s="1"/>
  <c r="C969" i="51"/>
  <c r="F969" i="51" s="1"/>
  <c r="C964" i="51"/>
  <c r="J964" i="51" s="1"/>
  <c r="J962" i="51"/>
  <c r="C960" i="51"/>
  <c r="K960" i="51" s="1"/>
  <c r="C959" i="51"/>
  <c r="H959" i="51" s="1"/>
  <c r="C958" i="51"/>
  <c r="H958" i="51" s="1"/>
  <c r="C957" i="51"/>
  <c r="K957" i="51" s="1"/>
  <c r="C956" i="51"/>
  <c r="K956" i="51" s="1"/>
  <c r="C955" i="51"/>
  <c r="H955" i="51" s="1"/>
  <c r="C954" i="51"/>
  <c r="K954" i="51" s="1"/>
  <c r="C953" i="51"/>
  <c r="K953" i="51" s="1"/>
  <c r="C952" i="51"/>
  <c r="K952" i="51" s="1"/>
  <c r="J951" i="51"/>
  <c r="C950" i="51"/>
  <c r="H950" i="51" s="1"/>
  <c r="A950" i="51"/>
  <c r="C949" i="51"/>
  <c r="K949" i="51" s="1"/>
  <c r="C948" i="51"/>
  <c r="H948" i="51" s="1"/>
  <c r="C947" i="51"/>
  <c r="K947" i="51" s="1"/>
  <c r="C942" i="51"/>
  <c r="J942" i="51" s="1"/>
  <c r="J940" i="51"/>
  <c r="C938" i="51"/>
  <c r="K938" i="51" s="1"/>
  <c r="C937" i="51"/>
  <c r="H937" i="51" s="1"/>
  <c r="C936" i="51"/>
  <c r="K936" i="51" s="1"/>
  <c r="C935" i="51"/>
  <c r="K935" i="51" s="1"/>
  <c r="C934" i="51"/>
  <c r="K934" i="51" s="1"/>
  <c r="C933" i="51"/>
  <c r="K933" i="51" s="1"/>
  <c r="C932" i="51"/>
  <c r="K932" i="51" s="1"/>
  <c r="C931" i="51"/>
  <c r="K931" i="51" s="1"/>
  <c r="C930" i="51"/>
  <c r="K930" i="51" s="1"/>
  <c r="J929" i="51"/>
  <c r="C928" i="51"/>
  <c r="E929" i="51" s="1"/>
  <c r="G929" i="51" s="1"/>
  <c r="A928" i="51"/>
  <c r="D927" i="51"/>
  <c r="C927" i="51"/>
  <c r="H927" i="51" s="1"/>
  <c r="C926" i="51"/>
  <c r="D926" i="51" s="1"/>
  <c r="C925" i="51"/>
  <c r="K925" i="51" s="1"/>
  <c r="C920" i="51"/>
  <c r="J920" i="51" s="1"/>
  <c r="J918" i="51"/>
  <c r="C916" i="51"/>
  <c r="K916" i="51" s="1"/>
  <c r="C915" i="51"/>
  <c r="K915" i="51" s="1"/>
  <c r="C914" i="51"/>
  <c r="K914" i="51" s="1"/>
  <c r="C913" i="51"/>
  <c r="K913" i="51" s="1"/>
  <c r="C912" i="51"/>
  <c r="K912" i="51" s="1"/>
  <c r="C911" i="51"/>
  <c r="K911" i="51" s="1"/>
  <c r="C910" i="51"/>
  <c r="K910" i="51" s="1"/>
  <c r="C909" i="51"/>
  <c r="K909" i="51" s="1"/>
  <c r="C908" i="51"/>
  <c r="K908" i="51" s="1"/>
  <c r="J907" i="51"/>
  <c r="C906" i="51"/>
  <c r="K907" i="51" s="1"/>
  <c r="A906" i="51"/>
  <c r="C905" i="51"/>
  <c r="K905" i="51" s="1"/>
  <c r="C904" i="51"/>
  <c r="K904" i="51" s="1"/>
  <c r="C903" i="51"/>
  <c r="K903" i="51" s="1"/>
  <c r="C898" i="51"/>
  <c r="J898" i="51" s="1"/>
  <c r="J896" i="51"/>
  <c r="C894" i="51"/>
  <c r="K894" i="51" s="1"/>
  <c r="C893" i="51"/>
  <c r="K893" i="51" s="1"/>
  <c r="C892" i="51"/>
  <c r="K892" i="51" s="1"/>
  <c r="C891" i="51"/>
  <c r="K891" i="51" s="1"/>
  <c r="C890" i="51"/>
  <c r="K890" i="51" s="1"/>
  <c r="C889" i="51"/>
  <c r="K889" i="51" s="1"/>
  <c r="C888" i="51"/>
  <c r="K888" i="51" s="1"/>
  <c r="C887" i="51"/>
  <c r="K887" i="51" s="1"/>
  <c r="C886" i="51"/>
  <c r="K886" i="51" s="1"/>
  <c r="J885" i="51"/>
  <c r="C884" i="51"/>
  <c r="K885" i="51" s="1"/>
  <c r="A884" i="51"/>
  <c r="C883" i="51"/>
  <c r="H883" i="51" s="1"/>
  <c r="C882" i="51"/>
  <c r="J882" i="51" s="1"/>
  <c r="C881" i="51"/>
  <c r="K881" i="51" s="1"/>
  <c r="C876" i="51"/>
  <c r="J876" i="51" s="1"/>
  <c r="J874" i="51"/>
  <c r="C872" i="51"/>
  <c r="H872" i="51" s="1"/>
  <c r="C871" i="51"/>
  <c r="F871" i="51" s="1"/>
  <c r="C870" i="51"/>
  <c r="K870" i="51" s="1"/>
  <c r="C869" i="51"/>
  <c r="K869" i="51" s="1"/>
  <c r="C868" i="51"/>
  <c r="H868" i="51" s="1"/>
  <c r="C867" i="51"/>
  <c r="J867" i="51" s="1"/>
  <c r="C866" i="51"/>
  <c r="K866" i="51" s="1"/>
  <c r="C865" i="51"/>
  <c r="K865" i="51" s="1"/>
  <c r="C864" i="51"/>
  <c r="H864" i="51" s="1"/>
  <c r="J863" i="51"/>
  <c r="C862" i="51"/>
  <c r="K863" i="51" s="1"/>
  <c r="A862" i="51"/>
  <c r="C861" i="51"/>
  <c r="H861" i="51" s="1"/>
  <c r="C860" i="51"/>
  <c r="J860" i="51" s="1"/>
  <c r="C859" i="51"/>
  <c r="K859" i="51" s="1"/>
  <c r="C854" i="51"/>
  <c r="J854" i="51" s="1"/>
  <c r="J852" i="51"/>
  <c r="C850" i="51"/>
  <c r="K850" i="51" s="1"/>
  <c r="C849" i="51"/>
  <c r="H849" i="51" s="1"/>
  <c r="C848" i="51"/>
  <c r="K848" i="51" s="1"/>
  <c r="C847" i="51"/>
  <c r="K847" i="51" s="1"/>
  <c r="C846" i="51"/>
  <c r="K846" i="51" s="1"/>
  <c r="C845" i="51"/>
  <c r="H845" i="51" s="1"/>
  <c r="C844" i="51"/>
  <c r="K844" i="51" s="1"/>
  <c r="C843" i="51"/>
  <c r="K843" i="51" s="1"/>
  <c r="C842" i="51"/>
  <c r="K842" i="51" s="1"/>
  <c r="J841" i="51"/>
  <c r="C840" i="51"/>
  <c r="H840" i="51" s="1"/>
  <c r="A840" i="51"/>
  <c r="C839" i="51"/>
  <c r="K839" i="51" s="1"/>
  <c r="C838" i="51"/>
  <c r="H838" i="51" s="1"/>
  <c r="C837" i="51"/>
  <c r="K837" i="51" s="1"/>
  <c r="C832" i="51"/>
  <c r="J832" i="51" s="1"/>
  <c r="J830" i="51"/>
  <c r="C828" i="51"/>
  <c r="K828" i="51" s="1"/>
  <c r="C827" i="51"/>
  <c r="H827" i="51" s="1"/>
  <c r="C826" i="51"/>
  <c r="K826" i="51" s="1"/>
  <c r="C825" i="51"/>
  <c r="H825" i="51" s="1"/>
  <c r="C824" i="51"/>
  <c r="J824" i="51" s="1"/>
  <c r="C823" i="51"/>
  <c r="H823" i="51" s="1"/>
  <c r="C822" i="51"/>
  <c r="K822" i="51" s="1"/>
  <c r="C821" i="51"/>
  <c r="H821" i="51" s="1"/>
  <c r="C820" i="51"/>
  <c r="J820" i="51" s="1"/>
  <c r="J819" i="51"/>
  <c r="C818" i="51"/>
  <c r="H818" i="51" s="1"/>
  <c r="A818" i="51"/>
  <c r="C817" i="51"/>
  <c r="J817" i="51" s="1"/>
  <c r="C816" i="51"/>
  <c r="H816" i="51" s="1"/>
  <c r="C815" i="51"/>
  <c r="K815" i="51" s="1"/>
  <c r="C810" i="51"/>
  <c r="J810" i="51" s="1"/>
  <c r="J808" i="51"/>
  <c r="C806" i="51"/>
  <c r="K806" i="51" s="1"/>
  <c r="C805" i="51"/>
  <c r="K805" i="51" s="1"/>
  <c r="C804" i="51"/>
  <c r="K804" i="51" s="1"/>
  <c r="C803" i="51"/>
  <c r="K803" i="51" s="1"/>
  <c r="C802" i="51"/>
  <c r="K802" i="51" s="1"/>
  <c r="C801" i="51"/>
  <c r="K801" i="51" s="1"/>
  <c r="C800" i="51"/>
  <c r="K800" i="51" s="1"/>
  <c r="C799" i="51"/>
  <c r="K799" i="51" s="1"/>
  <c r="C798" i="51"/>
  <c r="K798" i="51" s="1"/>
  <c r="J797" i="51"/>
  <c r="C796" i="51"/>
  <c r="I797" i="51" s="1"/>
  <c r="A796" i="51"/>
  <c r="C788" i="51"/>
  <c r="J788" i="51" s="1"/>
  <c r="J786" i="51"/>
  <c r="J775" i="51"/>
  <c r="C771" i="51"/>
  <c r="J771" i="51" s="1"/>
  <c r="C769" i="51"/>
  <c r="J769" i="51" s="1"/>
  <c r="J767" i="51"/>
  <c r="C759" i="51"/>
  <c r="J759" i="51" s="1"/>
  <c r="J757" i="51"/>
  <c r="H757" i="51"/>
  <c r="F757" i="51"/>
  <c r="A756" i="51"/>
  <c r="G755" i="51"/>
  <c r="C747" i="51"/>
  <c r="J747" i="51" s="1"/>
  <c r="J745" i="51"/>
  <c r="J734" i="51"/>
  <c r="A733" i="51"/>
  <c r="C725" i="51"/>
  <c r="J725" i="51" s="1"/>
  <c r="J723" i="51"/>
  <c r="J712" i="51"/>
  <c r="A711" i="51"/>
  <c r="C703" i="51"/>
  <c r="J703" i="51" s="1"/>
  <c r="J701" i="51"/>
  <c r="J690" i="51"/>
  <c r="A689" i="51"/>
  <c r="C681" i="51"/>
  <c r="J681" i="51" s="1"/>
  <c r="J679" i="51"/>
  <c r="J668" i="51"/>
  <c r="A667" i="51"/>
  <c r="C659" i="51"/>
  <c r="J659" i="51" s="1"/>
  <c r="J657" i="51"/>
  <c r="J646" i="51"/>
  <c r="A645" i="51"/>
  <c r="C637" i="51"/>
  <c r="J637" i="51" s="1"/>
  <c r="J635" i="51"/>
  <c r="J624" i="51"/>
  <c r="A623" i="51"/>
  <c r="C615" i="51"/>
  <c r="J615" i="51" s="1"/>
  <c r="J613" i="51"/>
  <c r="J602" i="51"/>
  <c r="A601" i="51"/>
  <c r="C593" i="51"/>
  <c r="J593" i="51" s="1"/>
  <c r="J591" i="51"/>
  <c r="J580" i="51"/>
  <c r="A579" i="51"/>
  <c r="C571" i="51"/>
  <c r="J571" i="51" s="1"/>
  <c r="J569" i="51"/>
  <c r="J558" i="51"/>
  <c r="A557" i="51"/>
  <c r="C549" i="51"/>
  <c r="J549" i="51" s="1"/>
  <c r="J547" i="51"/>
  <c r="J536" i="51"/>
  <c r="C532" i="51"/>
  <c r="J532" i="51" s="1"/>
  <c r="C530" i="51"/>
  <c r="J530" i="51" s="1"/>
  <c r="J528" i="51"/>
  <c r="C520" i="51"/>
  <c r="J520" i="51" s="1"/>
  <c r="J518" i="51"/>
  <c r="H518" i="51"/>
  <c r="F518" i="51"/>
  <c r="A517" i="51"/>
  <c r="G516" i="51"/>
  <c r="C508" i="51"/>
  <c r="J508" i="51" s="1"/>
  <c r="J506" i="51"/>
  <c r="J495" i="51"/>
  <c r="A494" i="51"/>
  <c r="C485" i="51"/>
  <c r="J485" i="51" s="1"/>
  <c r="J483" i="51"/>
  <c r="J472" i="51"/>
  <c r="A471" i="51"/>
  <c r="C462" i="51"/>
  <c r="J462" i="51" s="1"/>
  <c r="J460" i="51"/>
  <c r="J449" i="51"/>
  <c r="A448" i="51"/>
  <c r="C439" i="51"/>
  <c r="J439" i="51" s="1"/>
  <c r="J437" i="51"/>
  <c r="J426" i="51"/>
  <c r="A425" i="51"/>
  <c r="C416" i="51"/>
  <c r="J416" i="51" s="1"/>
  <c r="J414" i="51"/>
  <c r="J403" i="51"/>
  <c r="A402" i="51"/>
  <c r="C393" i="51"/>
  <c r="J393" i="51" s="1"/>
  <c r="J391" i="51"/>
  <c r="J380" i="51"/>
  <c r="A379" i="51"/>
  <c r="C370" i="51"/>
  <c r="J370" i="51" s="1"/>
  <c r="J368" i="51"/>
  <c r="J357" i="51"/>
  <c r="A356" i="51"/>
  <c r="C347" i="51"/>
  <c r="J347" i="51" s="1"/>
  <c r="J345" i="51"/>
  <c r="J334" i="51"/>
  <c r="A333" i="51"/>
  <c r="C324" i="51"/>
  <c r="J324" i="51" s="1"/>
  <c r="J322" i="51"/>
  <c r="J311" i="51"/>
  <c r="A310" i="51"/>
  <c r="C301" i="51"/>
  <c r="J301" i="51" s="1"/>
  <c r="J299" i="51"/>
  <c r="J288" i="51"/>
  <c r="C284" i="51"/>
  <c r="J284" i="51" s="1"/>
  <c r="C282" i="51"/>
  <c r="J282" i="51" s="1"/>
  <c r="J280" i="51"/>
  <c r="C273" i="51"/>
  <c r="J273" i="51" s="1"/>
  <c r="J271" i="51"/>
  <c r="H271" i="51"/>
  <c r="F271" i="51"/>
  <c r="A270" i="51"/>
  <c r="G268" i="51"/>
  <c r="A248" i="51"/>
  <c r="A228" i="51"/>
  <c r="A208" i="51"/>
  <c r="A188" i="51"/>
  <c r="A168" i="51"/>
  <c r="A148" i="51"/>
  <c r="A128" i="51"/>
  <c r="A108" i="51"/>
  <c r="A88" i="51"/>
  <c r="J67" i="51"/>
  <c r="H67" i="51"/>
  <c r="F67" i="51"/>
  <c r="C67" i="51"/>
  <c r="E67" i="51" s="1"/>
  <c r="J66" i="51"/>
  <c r="H66" i="51"/>
  <c r="F66" i="51"/>
  <c r="C66" i="51"/>
  <c r="D66" i="51" s="1"/>
  <c r="J65" i="51"/>
  <c r="H65" i="51"/>
  <c r="F65" i="51"/>
  <c r="C65" i="51"/>
  <c r="E65" i="51" s="1"/>
  <c r="J64" i="51"/>
  <c r="H64" i="51"/>
  <c r="F64" i="51"/>
  <c r="C64" i="51"/>
  <c r="E64" i="51" s="1"/>
  <c r="J63" i="51"/>
  <c r="H63" i="51"/>
  <c r="F63" i="51"/>
  <c r="C63" i="51"/>
  <c r="E63" i="51" s="1"/>
  <c r="J62" i="51"/>
  <c r="H62" i="51"/>
  <c r="F62" i="51"/>
  <c r="C62" i="51"/>
  <c r="D62" i="51" s="1"/>
  <c r="J61" i="51"/>
  <c r="H61" i="51"/>
  <c r="F61" i="51"/>
  <c r="C61" i="51"/>
  <c r="E61" i="51" s="1"/>
  <c r="J60" i="51"/>
  <c r="H60" i="51"/>
  <c r="F60" i="51"/>
  <c r="D60" i="51"/>
  <c r="C60" i="51"/>
  <c r="E60" i="51" s="1"/>
  <c r="I60" i="51" s="1"/>
  <c r="A60" i="51"/>
  <c r="G59" i="51"/>
  <c r="J58" i="51"/>
  <c r="H58" i="51"/>
  <c r="F58" i="51"/>
  <c r="C58" i="51"/>
  <c r="E58" i="51" s="1"/>
  <c r="J57" i="51"/>
  <c r="H57" i="51"/>
  <c r="F57" i="51"/>
  <c r="C57" i="51"/>
  <c r="D57" i="51" s="1"/>
  <c r="J56" i="51"/>
  <c r="H56" i="51"/>
  <c r="F56" i="51"/>
  <c r="D56" i="51"/>
  <c r="C56" i="51"/>
  <c r="E56" i="51" s="1"/>
  <c r="J54" i="51"/>
  <c r="H54" i="51"/>
  <c r="F54" i="51"/>
  <c r="C54" i="51"/>
  <c r="E54" i="51" s="1"/>
  <c r="J53" i="51"/>
  <c r="H53" i="51"/>
  <c r="F53" i="51"/>
  <c r="C53" i="51"/>
  <c r="E53" i="51" s="1"/>
  <c r="J52" i="51"/>
  <c r="H52" i="51"/>
  <c r="F52" i="51"/>
  <c r="C52" i="51"/>
  <c r="D52" i="51" s="1"/>
  <c r="J51" i="51"/>
  <c r="H51" i="51"/>
  <c r="F51" i="51"/>
  <c r="C51" i="51"/>
  <c r="E51" i="51" s="1"/>
  <c r="J50" i="51"/>
  <c r="H50" i="51"/>
  <c r="F50" i="51"/>
  <c r="C50" i="51"/>
  <c r="E50" i="51" s="1"/>
  <c r="J49" i="51"/>
  <c r="H49" i="51"/>
  <c r="F49" i="51"/>
  <c r="C49" i="51"/>
  <c r="E49" i="51" s="1"/>
  <c r="J48" i="51"/>
  <c r="H48" i="51"/>
  <c r="F48" i="51"/>
  <c r="D48" i="51"/>
  <c r="C48" i="51"/>
  <c r="E48" i="51" s="1"/>
  <c r="J47" i="51"/>
  <c r="H47" i="51"/>
  <c r="F47" i="51"/>
  <c r="C47" i="51"/>
  <c r="E47" i="51" s="1"/>
  <c r="J46" i="51"/>
  <c r="H46" i="51"/>
  <c r="F46" i="51"/>
  <c r="C46" i="51"/>
  <c r="E46" i="51" s="1"/>
  <c r="J45" i="51"/>
  <c r="H45" i="51"/>
  <c r="F45" i="51"/>
  <c r="C45" i="51"/>
  <c r="E45" i="51" s="1"/>
  <c r="J44" i="51"/>
  <c r="H44" i="51"/>
  <c r="F44" i="51"/>
  <c r="C44" i="51"/>
  <c r="D44" i="51" s="1"/>
  <c r="J43" i="51"/>
  <c r="H43" i="51"/>
  <c r="F43" i="51"/>
  <c r="C43" i="51"/>
  <c r="E43" i="51" s="1"/>
  <c r="J42" i="51"/>
  <c r="H42" i="51"/>
  <c r="F42" i="51"/>
  <c r="D42" i="51"/>
  <c r="C42" i="51"/>
  <c r="E42" i="51" s="1"/>
  <c r="B42" i="51"/>
  <c r="A42" i="51"/>
  <c r="G41" i="51"/>
  <c r="J40" i="51"/>
  <c r="H40" i="51"/>
  <c r="F40" i="51"/>
  <c r="C40" i="51"/>
  <c r="D40" i="51" s="1"/>
  <c r="J39" i="51"/>
  <c r="H39" i="51"/>
  <c r="F39" i="51"/>
  <c r="C39" i="51"/>
  <c r="E39" i="51" s="1"/>
  <c r="J38" i="51"/>
  <c r="H38" i="51"/>
  <c r="F38" i="51"/>
  <c r="D38" i="51"/>
  <c r="C38" i="51"/>
  <c r="E38" i="51" s="1"/>
  <c r="J37" i="51"/>
  <c r="H37" i="51"/>
  <c r="F37" i="51"/>
  <c r="C37" i="51"/>
  <c r="D37" i="51" s="1"/>
  <c r="J36" i="51"/>
  <c r="H36" i="51"/>
  <c r="F36" i="51"/>
  <c r="C36" i="51"/>
  <c r="E36" i="51" s="1"/>
  <c r="J35" i="51"/>
  <c r="H35" i="51"/>
  <c r="F35" i="51"/>
  <c r="C35" i="51"/>
  <c r="D35" i="51" s="1"/>
  <c r="J34" i="51"/>
  <c r="H34" i="51"/>
  <c r="F34" i="51"/>
  <c r="C34" i="51"/>
  <c r="E34" i="51" s="1"/>
  <c r="J33" i="51"/>
  <c r="H33" i="51"/>
  <c r="F33" i="51"/>
  <c r="C33" i="51"/>
  <c r="D33" i="51" s="1"/>
  <c r="J32" i="51"/>
  <c r="H32" i="51"/>
  <c r="F32" i="51"/>
  <c r="C32" i="51"/>
  <c r="E32" i="51" s="1"/>
  <c r="J31" i="51"/>
  <c r="H31" i="51"/>
  <c r="F31" i="51"/>
  <c r="C31" i="51"/>
  <c r="D31" i="51" s="1"/>
  <c r="J30" i="51"/>
  <c r="H30" i="51"/>
  <c r="F30" i="51"/>
  <c r="C30" i="51"/>
  <c r="E30" i="51" s="1"/>
  <c r="J29" i="51"/>
  <c r="H29" i="51"/>
  <c r="F29" i="51"/>
  <c r="C29" i="51"/>
  <c r="D29" i="51" s="1"/>
  <c r="J28" i="51"/>
  <c r="H28" i="51"/>
  <c r="F28" i="51"/>
  <c r="D28" i="51"/>
  <c r="C28" i="51"/>
  <c r="E28" i="51" s="1"/>
  <c r="J27" i="51"/>
  <c r="H27" i="51"/>
  <c r="F27" i="51"/>
  <c r="C27" i="51"/>
  <c r="D27" i="51" s="1"/>
  <c r="J26" i="51"/>
  <c r="H26" i="51"/>
  <c r="F26" i="51"/>
  <c r="C26" i="51"/>
  <c r="E26" i="51" s="1"/>
  <c r="J25" i="51"/>
  <c r="H25" i="51"/>
  <c r="F25" i="51"/>
  <c r="C25" i="51"/>
  <c r="D25" i="51" s="1"/>
  <c r="J24" i="51"/>
  <c r="H24" i="51"/>
  <c r="F24" i="51"/>
  <c r="C24" i="51"/>
  <c r="E24" i="51" s="1"/>
  <c r="J23" i="51"/>
  <c r="H23" i="51"/>
  <c r="F23" i="51"/>
  <c r="C23" i="51"/>
  <c r="D23" i="51" s="1"/>
  <c r="J22" i="51"/>
  <c r="H22" i="51"/>
  <c r="F22" i="51"/>
  <c r="C22" i="51"/>
  <c r="E22" i="51" s="1"/>
  <c r="J21" i="51"/>
  <c r="H21" i="51"/>
  <c r="F21" i="51"/>
  <c r="D21" i="51"/>
  <c r="C21" i="51"/>
  <c r="E21" i="51" s="1"/>
  <c r="J20" i="51"/>
  <c r="H20" i="51"/>
  <c r="F20" i="51"/>
  <c r="C20" i="51"/>
  <c r="E20" i="51" s="1"/>
  <c r="J19" i="51"/>
  <c r="H19" i="51"/>
  <c r="F19" i="51"/>
  <c r="C19" i="51"/>
  <c r="D19" i="51" s="1"/>
  <c r="J18" i="51"/>
  <c r="H18" i="51"/>
  <c r="F18" i="51"/>
  <c r="C18" i="51"/>
  <c r="E18" i="51" s="1"/>
  <c r="J17" i="51"/>
  <c r="H17" i="51"/>
  <c r="F17" i="51"/>
  <c r="C17" i="51"/>
  <c r="D17" i="51" s="1"/>
  <c r="J16" i="51"/>
  <c r="H16" i="51"/>
  <c r="F16" i="51"/>
  <c r="C16" i="51"/>
  <c r="E16" i="51" s="1"/>
  <c r="J15" i="51"/>
  <c r="H15" i="51"/>
  <c r="F15" i="51"/>
  <c r="C15" i="51"/>
  <c r="D15" i="51" s="1"/>
  <c r="J14" i="51"/>
  <c r="H14" i="51"/>
  <c r="F14" i="51"/>
  <c r="D14" i="51"/>
  <c r="C14" i="51"/>
  <c r="E14" i="51" s="1"/>
  <c r="J13" i="51"/>
  <c r="H13" i="51"/>
  <c r="F13" i="51"/>
  <c r="C13" i="51"/>
  <c r="D13" i="51" s="1"/>
  <c r="J12" i="51"/>
  <c r="H12" i="51"/>
  <c r="F12" i="51"/>
  <c r="C12" i="51"/>
  <c r="E12" i="51" s="1"/>
  <c r="J11" i="51"/>
  <c r="H11" i="51"/>
  <c r="F11" i="51"/>
  <c r="D11" i="51"/>
  <c r="C11" i="51"/>
  <c r="E11" i="51" s="1"/>
  <c r="J10" i="51"/>
  <c r="H10" i="51"/>
  <c r="F10" i="51"/>
  <c r="C10" i="51"/>
  <c r="E10" i="51" s="1"/>
  <c r="J9" i="51"/>
  <c r="H9" i="51"/>
  <c r="F9" i="51"/>
  <c r="C9" i="51"/>
  <c r="D9" i="51" s="1"/>
  <c r="J8" i="51"/>
  <c r="H8" i="51"/>
  <c r="F8" i="51"/>
  <c r="C8" i="51"/>
  <c r="E8" i="51" s="1"/>
  <c r="J7" i="51"/>
  <c r="H7" i="51"/>
  <c r="F7" i="51"/>
  <c r="C7" i="51"/>
  <c r="D7" i="51" s="1"/>
  <c r="J6" i="51"/>
  <c r="H6" i="51"/>
  <c r="F6" i="51"/>
  <c r="C6" i="51"/>
  <c r="D6" i="51" s="1"/>
  <c r="J5" i="51"/>
  <c r="H5" i="51"/>
  <c r="F5" i="51"/>
  <c r="C5" i="51"/>
  <c r="E5" i="51" s="1"/>
  <c r="J4" i="51"/>
  <c r="H4" i="51"/>
  <c r="F4" i="51"/>
  <c r="D4" i="51"/>
  <c r="C4" i="51"/>
  <c r="E4" i="51" s="1"/>
  <c r="B4" i="51"/>
  <c r="A4" i="51"/>
  <c r="O3" i="51"/>
  <c r="O2" i="51" s="1"/>
  <c r="AG1013" i="50"/>
  <c r="AG993" i="51" s="1"/>
  <c r="AF1013" i="50"/>
  <c r="AF993" i="51" s="1"/>
  <c r="AE1013" i="50"/>
  <c r="AE993" i="51" s="1"/>
  <c r="AD1013" i="50"/>
  <c r="AD993" i="51" s="1"/>
  <c r="AC1013" i="50"/>
  <c r="AC993" i="51" s="1"/>
  <c r="AB1013" i="50"/>
  <c r="AB993" i="51" s="1"/>
  <c r="AA1013" i="50"/>
  <c r="AA993" i="51" s="1"/>
  <c r="Z1013" i="50"/>
  <c r="Z993" i="51" s="1"/>
  <c r="Y1013" i="50"/>
  <c r="Y993" i="51" s="1"/>
  <c r="X1013" i="50"/>
  <c r="X993" i="51" s="1"/>
  <c r="AG1012" i="50"/>
  <c r="AG992" i="51" s="1"/>
  <c r="AF1012" i="50"/>
  <c r="AF992" i="51" s="1"/>
  <c r="AE1012" i="50"/>
  <c r="AE992" i="51" s="1"/>
  <c r="AD1012" i="50"/>
  <c r="AD992" i="51" s="1"/>
  <c r="AC1012" i="50"/>
  <c r="AC992" i="51" s="1"/>
  <c r="AB1012" i="50"/>
  <c r="AB992" i="51" s="1"/>
  <c r="AA1012" i="50"/>
  <c r="AA992" i="51" s="1"/>
  <c r="Z1012" i="50"/>
  <c r="Z992" i="51" s="1"/>
  <c r="Y1012" i="50"/>
  <c r="Y992" i="51" s="1"/>
  <c r="X1012" i="50"/>
  <c r="X992" i="51" s="1"/>
  <c r="AG1011" i="50"/>
  <c r="AG991" i="51" s="1"/>
  <c r="AF1011" i="50"/>
  <c r="AF991" i="51" s="1"/>
  <c r="AE1011" i="50"/>
  <c r="AE991" i="51" s="1"/>
  <c r="AD1011" i="50"/>
  <c r="AD991" i="51" s="1"/>
  <c r="AC1011" i="50"/>
  <c r="AC991" i="51" s="1"/>
  <c r="AB1011" i="50"/>
  <c r="AB991" i="51" s="1"/>
  <c r="AA1011" i="50"/>
  <c r="AA991" i="51" s="1"/>
  <c r="Z1011" i="50"/>
  <c r="Z991" i="51" s="1"/>
  <c r="Y1011" i="50"/>
  <c r="Y991" i="51" s="1"/>
  <c r="X1011" i="50"/>
  <c r="X991" i="51" s="1"/>
  <c r="AG1010" i="50"/>
  <c r="AG990" i="51" s="1"/>
  <c r="AF1010" i="50"/>
  <c r="AF990" i="51" s="1"/>
  <c r="AE1010" i="50"/>
  <c r="AE990" i="51" s="1"/>
  <c r="AD1010" i="50"/>
  <c r="AD990" i="51" s="1"/>
  <c r="AC1010" i="50"/>
  <c r="AC990" i="51" s="1"/>
  <c r="AB1010" i="50"/>
  <c r="AB990" i="51" s="1"/>
  <c r="AA1010" i="50"/>
  <c r="AA990" i="51" s="1"/>
  <c r="Z1010" i="50"/>
  <c r="Z990" i="51" s="1"/>
  <c r="Y1010" i="50"/>
  <c r="Y990" i="51" s="1"/>
  <c r="X1010" i="50"/>
  <c r="X990" i="51" s="1"/>
  <c r="AG1009" i="50"/>
  <c r="AG989" i="51" s="1"/>
  <c r="AF1009" i="50"/>
  <c r="AF989" i="51" s="1"/>
  <c r="AE1009" i="50"/>
  <c r="AE989" i="51" s="1"/>
  <c r="AD1009" i="50"/>
  <c r="AD989" i="51" s="1"/>
  <c r="AC1009" i="50"/>
  <c r="AC989" i="51" s="1"/>
  <c r="AB1009" i="50"/>
  <c r="AB989" i="51" s="1"/>
  <c r="AA1009" i="50"/>
  <c r="AA989" i="51" s="1"/>
  <c r="Z1009" i="50"/>
  <c r="Z989" i="51" s="1"/>
  <c r="Y1009" i="50"/>
  <c r="Y989" i="51" s="1"/>
  <c r="X1009" i="50"/>
  <c r="X989" i="51" s="1"/>
  <c r="AG1008" i="50"/>
  <c r="AG988" i="51" s="1"/>
  <c r="AF1008" i="50"/>
  <c r="AF988" i="51" s="1"/>
  <c r="AE1008" i="50"/>
  <c r="AE988" i="51" s="1"/>
  <c r="AD1008" i="50"/>
  <c r="AD988" i="51" s="1"/>
  <c r="AC1008" i="50"/>
  <c r="AC988" i="51" s="1"/>
  <c r="AB1008" i="50"/>
  <c r="AB988" i="51" s="1"/>
  <c r="AA1008" i="50"/>
  <c r="AA988" i="51" s="1"/>
  <c r="Z1008" i="50"/>
  <c r="Z988" i="51" s="1"/>
  <c r="Y1008" i="50"/>
  <c r="Y988" i="51" s="1"/>
  <c r="X1008" i="50"/>
  <c r="X988" i="51" s="1"/>
  <c r="AG1007" i="50"/>
  <c r="AG987" i="51" s="1"/>
  <c r="AF1007" i="50"/>
  <c r="AF987" i="51" s="1"/>
  <c r="AE1007" i="50"/>
  <c r="AE987" i="51" s="1"/>
  <c r="AD1007" i="50"/>
  <c r="AD987" i="51" s="1"/>
  <c r="AC1007" i="50"/>
  <c r="AC987" i="51" s="1"/>
  <c r="AB1007" i="50"/>
  <c r="AB987" i="51" s="1"/>
  <c r="AA1007" i="50"/>
  <c r="AA987" i="51" s="1"/>
  <c r="Z1007" i="50"/>
  <c r="Z987" i="51" s="1"/>
  <c r="Y1007" i="50"/>
  <c r="Y987" i="51" s="1"/>
  <c r="X1007" i="50"/>
  <c r="X987" i="51" s="1"/>
  <c r="AG1005" i="50"/>
  <c r="AG985" i="51" s="1"/>
  <c r="AF1005" i="50"/>
  <c r="AF985" i="51" s="1"/>
  <c r="AE1005" i="50"/>
  <c r="AE985" i="51" s="1"/>
  <c r="AD1005" i="50"/>
  <c r="AD985" i="51" s="1"/>
  <c r="AC1005" i="50"/>
  <c r="AC985" i="51" s="1"/>
  <c r="AB1005" i="50"/>
  <c r="AB985" i="51" s="1"/>
  <c r="AA1005" i="50"/>
  <c r="AA985" i="51" s="1"/>
  <c r="Z1005" i="50"/>
  <c r="Z985" i="51" s="1"/>
  <c r="Y1005" i="50"/>
  <c r="Y985" i="51" s="1"/>
  <c r="X1005" i="50"/>
  <c r="X985" i="51" s="1"/>
  <c r="AG1003" i="50"/>
  <c r="AG983" i="51" s="1"/>
  <c r="AF1003" i="50"/>
  <c r="AF983" i="51" s="1"/>
  <c r="AE1003" i="50"/>
  <c r="AE983" i="51" s="1"/>
  <c r="AD1003" i="50"/>
  <c r="AD983" i="51" s="1"/>
  <c r="AC1003" i="50"/>
  <c r="AC983" i="51" s="1"/>
  <c r="AB1003" i="50"/>
  <c r="AB983" i="51" s="1"/>
  <c r="AA1003" i="50"/>
  <c r="AA983" i="51" s="1"/>
  <c r="Z1003" i="50"/>
  <c r="Z983" i="51" s="1"/>
  <c r="Y1003" i="50"/>
  <c r="Y983" i="51" s="1"/>
  <c r="X1003" i="50"/>
  <c r="X983" i="51" s="1"/>
  <c r="AG1002" i="50"/>
  <c r="AG982" i="51" s="1"/>
  <c r="AF1002" i="50"/>
  <c r="AF982" i="51" s="1"/>
  <c r="AE1002" i="50"/>
  <c r="AE982" i="51" s="1"/>
  <c r="AD1002" i="50"/>
  <c r="AD982" i="51" s="1"/>
  <c r="AC1002" i="50"/>
  <c r="AC982" i="51" s="1"/>
  <c r="AB1002" i="50"/>
  <c r="AB982" i="51" s="1"/>
  <c r="AA1002" i="50"/>
  <c r="AA982" i="51" s="1"/>
  <c r="Z1002" i="50"/>
  <c r="Z982" i="51" s="1"/>
  <c r="Y1002" i="50"/>
  <c r="Y982" i="51" s="1"/>
  <c r="X1002" i="50"/>
  <c r="X982" i="51" s="1"/>
  <c r="AG1001" i="50"/>
  <c r="AG981" i="51" s="1"/>
  <c r="AF1001" i="50"/>
  <c r="AF981" i="51" s="1"/>
  <c r="AE1001" i="50"/>
  <c r="AE981" i="51" s="1"/>
  <c r="AD1001" i="50"/>
  <c r="AD981" i="51" s="1"/>
  <c r="AC1001" i="50"/>
  <c r="AC981" i="51" s="1"/>
  <c r="AB1001" i="50"/>
  <c r="AB981" i="51" s="1"/>
  <c r="AA1001" i="50"/>
  <c r="AA981" i="51" s="1"/>
  <c r="Z1001" i="50"/>
  <c r="Z981" i="51" s="1"/>
  <c r="Y1001" i="50"/>
  <c r="Y981" i="51" s="1"/>
  <c r="X1001" i="50"/>
  <c r="X981" i="51" s="1"/>
  <c r="AG1000" i="50"/>
  <c r="AG980" i="51" s="1"/>
  <c r="AF1000" i="50"/>
  <c r="AF980" i="51" s="1"/>
  <c r="AE1000" i="50"/>
  <c r="AE980" i="51" s="1"/>
  <c r="AD1000" i="50"/>
  <c r="AD980" i="51" s="1"/>
  <c r="AC1000" i="50"/>
  <c r="AC980" i="51" s="1"/>
  <c r="AB1000" i="50"/>
  <c r="AB980" i="51" s="1"/>
  <c r="AA1000" i="50"/>
  <c r="AA980" i="51" s="1"/>
  <c r="Z1000" i="50"/>
  <c r="Z980" i="51" s="1"/>
  <c r="Y1000" i="50"/>
  <c r="Y980" i="51" s="1"/>
  <c r="X1000" i="50"/>
  <c r="X980" i="51" s="1"/>
  <c r="AG999" i="50"/>
  <c r="AG979" i="51" s="1"/>
  <c r="AF999" i="50"/>
  <c r="AF979" i="51" s="1"/>
  <c r="AE999" i="50"/>
  <c r="AE979" i="51" s="1"/>
  <c r="AD999" i="50"/>
  <c r="AD979" i="51" s="1"/>
  <c r="AC999" i="50"/>
  <c r="AC979" i="51" s="1"/>
  <c r="AB999" i="50"/>
  <c r="AB979" i="51" s="1"/>
  <c r="AA999" i="50"/>
  <c r="AA979" i="51" s="1"/>
  <c r="Z999" i="50"/>
  <c r="Z979" i="51" s="1"/>
  <c r="Y999" i="50"/>
  <c r="Y979" i="51" s="1"/>
  <c r="X999" i="50"/>
  <c r="X979" i="51" s="1"/>
  <c r="AG998" i="50"/>
  <c r="AG978" i="51" s="1"/>
  <c r="AF998" i="50"/>
  <c r="AF978" i="51" s="1"/>
  <c r="AE998" i="50"/>
  <c r="AE978" i="51" s="1"/>
  <c r="AD998" i="50"/>
  <c r="AD978" i="51" s="1"/>
  <c r="AC998" i="50"/>
  <c r="AC978" i="51" s="1"/>
  <c r="AB998" i="50"/>
  <c r="AB978" i="51" s="1"/>
  <c r="AA998" i="50"/>
  <c r="AA978" i="51" s="1"/>
  <c r="Z998" i="50"/>
  <c r="Z978" i="51" s="1"/>
  <c r="Y998" i="50"/>
  <c r="Y978" i="51" s="1"/>
  <c r="X998" i="50"/>
  <c r="X978" i="51" s="1"/>
  <c r="AG997" i="50"/>
  <c r="AG977" i="51" s="1"/>
  <c r="AF997" i="50"/>
  <c r="AF977" i="51" s="1"/>
  <c r="AE997" i="50"/>
  <c r="AE977" i="51" s="1"/>
  <c r="AD997" i="50"/>
  <c r="AD977" i="51" s="1"/>
  <c r="AC997" i="50"/>
  <c r="AC977" i="51" s="1"/>
  <c r="AB997" i="50"/>
  <c r="AB977" i="51" s="1"/>
  <c r="AA997" i="50"/>
  <c r="AA977" i="51" s="1"/>
  <c r="Z997" i="50"/>
  <c r="Z977" i="51" s="1"/>
  <c r="Y997" i="50"/>
  <c r="Y977" i="51" s="1"/>
  <c r="X997" i="50"/>
  <c r="X977" i="51" s="1"/>
  <c r="AG996" i="50"/>
  <c r="AG976" i="51" s="1"/>
  <c r="AF996" i="50"/>
  <c r="AF976" i="51" s="1"/>
  <c r="AE996" i="50"/>
  <c r="AE976" i="51" s="1"/>
  <c r="AD996" i="50"/>
  <c r="AD976" i="51" s="1"/>
  <c r="AC996" i="50"/>
  <c r="AC976" i="51" s="1"/>
  <c r="AB996" i="50"/>
  <c r="AB976" i="51" s="1"/>
  <c r="AA996" i="50"/>
  <c r="AA976" i="51" s="1"/>
  <c r="Z996" i="50"/>
  <c r="Z976" i="51" s="1"/>
  <c r="Y996" i="50"/>
  <c r="Y976" i="51" s="1"/>
  <c r="X996" i="50"/>
  <c r="X976" i="51" s="1"/>
  <c r="AG995" i="50"/>
  <c r="AG975" i="51" s="1"/>
  <c r="AF995" i="50"/>
  <c r="AF975" i="51" s="1"/>
  <c r="AE995" i="50"/>
  <c r="AE975" i="51" s="1"/>
  <c r="AD995" i="50"/>
  <c r="AD975" i="51" s="1"/>
  <c r="AC995" i="50"/>
  <c r="AC975" i="51" s="1"/>
  <c r="AB995" i="50"/>
  <c r="AB975" i="51" s="1"/>
  <c r="AA995" i="50"/>
  <c r="AA975" i="51" s="1"/>
  <c r="Z995" i="50"/>
  <c r="Z975" i="51" s="1"/>
  <c r="Y995" i="50"/>
  <c r="Y975" i="51" s="1"/>
  <c r="X995" i="50"/>
  <c r="X975" i="51" s="1"/>
  <c r="AG994" i="50"/>
  <c r="AG974" i="51" s="1"/>
  <c r="AF994" i="50"/>
  <c r="AF974" i="51" s="1"/>
  <c r="AE994" i="50"/>
  <c r="AE974" i="51" s="1"/>
  <c r="AD994" i="50"/>
  <c r="AD974" i="51" s="1"/>
  <c r="AC994" i="50"/>
  <c r="AC974" i="51" s="1"/>
  <c r="AB994" i="50"/>
  <c r="AB974" i="51" s="1"/>
  <c r="AA994" i="50"/>
  <c r="AA974" i="51" s="1"/>
  <c r="Z994" i="50"/>
  <c r="Z974" i="51" s="1"/>
  <c r="Y994" i="50"/>
  <c r="Y974" i="51" s="1"/>
  <c r="X994" i="50"/>
  <c r="X974" i="51" s="1"/>
  <c r="AG992" i="50"/>
  <c r="AG972" i="51" s="1"/>
  <c r="AF992" i="50"/>
  <c r="AF972" i="51" s="1"/>
  <c r="AE992" i="50"/>
  <c r="AE972" i="51" s="1"/>
  <c r="AD992" i="50"/>
  <c r="AD972" i="51" s="1"/>
  <c r="AC992" i="50"/>
  <c r="AC972" i="51" s="1"/>
  <c r="AB992" i="50"/>
  <c r="AB972" i="51" s="1"/>
  <c r="AA992" i="50"/>
  <c r="AA972" i="51" s="1"/>
  <c r="Z992" i="50"/>
  <c r="Z972" i="51" s="1"/>
  <c r="Y992" i="50"/>
  <c r="Y972" i="51" s="1"/>
  <c r="X992" i="50"/>
  <c r="X972" i="51" s="1"/>
  <c r="AF991" i="50"/>
  <c r="AF971" i="51" s="1"/>
  <c r="AE991" i="50"/>
  <c r="AE971" i="51" s="1"/>
  <c r="AD991" i="50"/>
  <c r="AD971" i="51" s="1"/>
  <c r="AC991" i="50"/>
  <c r="AC971" i="51" s="1"/>
  <c r="AB991" i="50"/>
  <c r="AB971" i="51" s="1"/>
  <c r="AA991" i="50"/>
  <c r="AA971" i="51" s="1"/>
  <c r="Z991" i="50"/>
  <c r="Z971" i="51" s="1"/>
  <c r="Y991" i="50"/>
  <c r="Y971" i="51" s="1"/>
  <c r="X991" i="50"/>
  <c r="X971" i="51" s="1"/>
  <c r="W991" i="50"/>
  <c r="W971" i="51" s="1"/>
  <c r="AF990" i="50"/>
  <c r="AF970" i="51" s="1"/>
  <c r="AE990" i="50"/>
  <c r="AE970" i="51" s="1"/>
  <c r="AD990" i="50"/>
  <c r="AD970" i="51" s="1"/>
  <c r="AC990" i="50"/>
  <c r="AC970" i="51" s="1"/>
  <c r="AB990" i="50"/>
  <c r="AB970" i="51" s="1"/>
  <c r="AA990" i="50"/>
  <c r="AA970" i="51" s="1"/>
  <c r="Z990" i="50"/>
  <c r="Z970" i="51" s="1"/>
  <c r="Y990" i="50"/>
  <c r="Y970" i="51" s="1"/>
  <c r="X990" i="50"/>
  <c r="X970" i="51" s="1"/>
  <c r="W990" i="50"/>
  <c r="W970" i="51" s="1"/>
  <c r="AF989" i="50"/>
  <c r="AF969" i="51" s="1"/>
  <c r="AE989" i="50"/>
  <c r="AE969" i="51" s="1"/>
  <c r="AD989" i="50"/>
  <c r="AD969" i="51" s="1"/>
  <c r="AC989" i="50"/>
  <c r="AC969" i="51" s="1"/>
  <c r="AB989" i="50"/>
  <c r="AB969" i="51" s="1"/>
  <c r="AA989" i="50"/>
  <c r="AA969" i="51" s="1"/>
  <c r="Z989" i="50"/>
  <c r="Z969" i="51" s="1"/>
  <c r="Y989" i="50"/>
  <c r="Y969" i="51" s="1"/>
  <c r="X989" i="50"/>
  <c r="X969" i="51" s="1"/>
  <c r="W989" i="50"/>
  <c r="W969" i="51" s="1"/>
  <c r="AF988" i="50"/>
  <c r="AF968" i="51" s="1"/>
  <c r="AE988" i="50"/>
  <c r="AE968" i="51" s="1"/>
  <c r="AD988" i="50"/>
  <c r="AD968" i="51" s="1"/>
  <c r="AC988" i="50"/>
  <c r="AC968" i="51" s="1"/>
  <c r="AB988" i="50"/>
  <c r="AB968" i="51" s="1"/>
  <c r="AA988" i="50"/>
  <c r="AA968" i="51" s="1"/>
  <c r="Z988" i="50"/>
  <c r="Z968" i="51" s="1"/>
  <c r="Y988" i="50"/>
  <c r="Y968" i="51" s="1"/>
  <c r="X988" i="50"/>
  <c r="X968" i="51" s="1"/>
  <c r="W988" i="50"/>
  <c r="W968" i="51" s="1"/>
  <c r="AF987" i="50"/>
  <c r="AF967" i="51" s="1"/>
  <c r="AE987" i="50"/>
  <c r="AE967" i="51" s="1"/>
  <c r="AD987" i="50"/>
  <c r="AD967" i="51" s="1"/>
  <c r="AC987" i="50"/>
  <c r="AC967" i="51" s="1"/>
  <c r="AB987" i="50"/>
  <c r="AB967" i="51" s="1"/>
  <c r="AA987" i="50"/>
  <c r="AA967" i="51" s="1"/>
  <c r="Z987" i="50"/>
  <c r="Z967" i="51" s="1"/>
  <c r="Y987" i="50"/>
  <c r="Y967" i="51" s="1"/>
  <c r="X987" i="50"/>
  <c r="X967" i="51" s="1"/>
  <c r="W987" i="50"/>
  <c r="W967" i="51" s="1"/>
  <c r="AF986" i="50"/>
  <c r="AF966" i="51" s="1"/>
  <c r="AE986" i="50"/>
  <c r="AE966" i="51" s="1"/>
  <c r="AD986" i="50"/>
  <c r="AD966" i="51" s="1"/>
  <c r="AC986" i="50"/>
  <c r="AC966" i="51" s="1"/>
  <c r="AB986" i="50"/>
  <c r="AB966" i="51" s="1"/>
  <c r="AA986" i="50"/>
  <c r="AA966" i="51" s="1"/>
  <c r="Z986" i="50"/>
  <c r="Z966" i="51" s="1"/>
  <c r="Y986" i="50"/>
  <c r="Y966" i="51" s="1"/>
  <c r="X986" i="50"/>
  <c r="X966" i="51" s="1"/>
  <c r="W986" i="50"/>
  <c r="W966" i="51" s="1"/>
  <c r="AF985" i="50"/>
  <c r="AF965" i="51" s="1"/>
  <c r="AE985" i="50"/>
  <c r="AE965" i="51" s="1"/>
  <c r="AD985" i="50"/>
  <c r="AD965" i="51" s="1"/>
  <c r="AC985" i="50"/>
  <c r="AC965" i="51" s="1"/>
  <c r="AB985" i="50"/>
  <c r="AB965" i="51" s="1"/>
  <c r="AA985" i="50"/>
  <c r="AA965" i="51" s="1"/>
  <c r="Z985" i="50"/>
  <c r="Z965" i="51" s="1"/>
  <c r="Y985" i="50"/>
  <c r="Y965" i="51" s="1"/>
  <c r="X985" i="50"/>
  <c r="X965" i="51" s="1"/>
  <c r="W985" i="50"/>
  <c r="W965" i="51" s="1"/>
  <c r="AF983" i="50"/>
  <c r="AF963" i="51" s="1"/>
  <c r="AE983" i="50"/>
  <c r="AE963" i="51" s="1"/>
  <c r="AD983" i="50"/>
  <c r="AD963" i="51" s="1"/>
  <c r="AC983" i="50"/>
  <c r="AC963" i="51" s="1"/>
  <c r="AB983" i="50"/>
  <c r="AB963" i="51" s="1"/>
  <c r="AA983" i="50"/>
  <c r="AA963" i="51" s="1"/>
  <c r="Z983" i="50"/>
  <c r="Z963" i="51" s="1"/>
  <c r="Y983" i="50"/>
  <c r="Y963" i="51" s="1"/>
  <c r="X983" i="50"/>
  <c r="X963" i="51" s="1"/>
  <c r="W983" i="50"/>
  <c r="W963" i="51" s="1"/>
  <c r="AF981" i="50"/>
  <c r="AF961" i="51" s="1"/>
  <c r="AE981" i="50"/>
  <c r="AE961" i="51" s="1"/>
  <c r="AD981" i="50"/>
  <c r="AD961" i="51" s="1"/>
  <c r="AC981" i="50"/>
  <c r="AC961" i="51" s="1"/>
  <c r="AB981" i="50"/>
  <c r="AB961" i="51" s="1"/>
  <c r="AA981" i="50"/>
  <c r="AA961" i="51" s="1"/>
  <c r="Z981" i="50"/>
  <c r="Z961" i="51" s="1"/>
  <c r="Y981" i="50"/>
  <c r="Y961" i="51" s="1"/>
  <c r="X981" i="50"/>
  <c r="X961" i="51" s="1"/>
  <c r="W981" i="50"/>
  <c r="W961" i="51" s="1"/>
  <c r="AF980" i="50"/>
  <c r="AF960" i="51" s="1"/>
  <c r="AE980" i="50"/>
  <c r="AE960" i="51" s="1"/>
  <c r="AD980" i="50"/>
  <c r="AD960" i="51" s="1"/>
  <c r="AC980" i="50"/>
  <c r="AC960" i="51" s="1"/>
  <c r="AB980" i="50"/>
  <c r="AB960" i="51" s="1"/>
  <c r="AA980" i="50"/>
  <c r="AA960" i="51" s="1"/>
  <c r="Z980" i="50"/>
  <c r="Z960" i="51" s="1"/>
  <c r="Y980" i="50"/>
  <c r="Y960" i="51" s="1"/>
  <c r="X980" i="50"/>
  <c r="X960" i="51" s="1"/>
  <c r="W980" i="50"/>
  <c r="W960" i="51" s="1"/>
  <c r="AF979" i="50"/>
  <c r="AF959" i="51" s="1"/>
  <c r="AE979" i="50"/>
  <c r="AE959" i="51" s="1"/>
  <c r="AD979" i="50"/>
  <c r="AD959" i="51" s="1"/>
  <c r="AC979" i="50"/>
  <c r="AC959" i="51" s="1"/>
  <c r="AB979" i="50"/>
  <c r="AB959" i="51" s="1"/>
  <c r="AA979" i="50"/>
  <c r="AA959" i="51" s="1"/>
  <c r="Z979" i="50"/>
  <c r="Z959" i="51" s="1"/>
  <c r="Y979" i="50"/>
  <c r="Y959" i="51" s="1"/>
  <c r="X979" i="50"/>
  <c r="X959" i="51" s="1"/>
  <c r="W979" i="50"/>
  <c r="W959" i="51" s="1"/>
  <c r="AF978" i="50"/>
  <c r="AF958" i="51" s="1"/>
  <c r="AE978" i="50"/>
  <c r="AE958" i="51" s="1"/>
  <c r="AD978" i="50"/>
  <c r="AD958" i="51" s="1"/>
  <c r="AC978" i="50"/>
  <c r="AC958" i="51" s="1"/>
  <c r="AB978" i="50"/>
  <c r="AB958" i="51" s="1"/>
  <c r="AA978" i="50"/>
  <c r="AA958" i="51" s="1"/>
  <c r="Z978" i="50"/>
  <c r="Z958" i="51" s="1"/>
  <c r="Y978" i="50"/>
  <c r="Y958" i="51" s="1"/>
  <c r="X978" i="50"/>
  <c r="X958" i="51" s="1"/>
  <c r="W978" i="50"/>
  <c r="W958" i="51" s="1"/>
  <c r="AF977" i="50"/>
  <c r="AF957" i="51" s="1"/>
  <c r="AE977" i="50"/>
  <c r="AE957" i="51" s="1"/>
  <c r="AD977" i="50"/>
  <c r="AD957" i="51" s="1"/>
  <c r="AC977" i="50"/>
  <c r="AC957" i="51" s="1"/>
  <c r="AB977" i="50"/>
  <c r="AB957" i="51" s="1"/>
  <c r="AA977" i="50"/>
  <c r="AA957" i="51" s="1"/>
  <c r="Z977" i="50"/>
  <c r="Z957" i="51" s="1"/>
  <c r="Y977" i="50"/>
  <c r="Y957" i="51" s="1"/>
  <c r="X977" i="50"/>
  <c r="X957" i="51" s="1"/>
  <c r="W977" i="50"/>
  <c r="W957" i="51" s="1"/>
  <c r="AF976" i="50"/>
  <c r="AF956" i="51" s="1"/>
  <c r="AE976" i="50"/>
  <c r="AE956" i="51" s="1"/>
  <c r="AD976" i="50"/>
  <c r="AD956" i="51" s="1"/>
  <c r="AC976" i="50"/>
  <c r="AC956" i="51" s="1"/>
  <c r="AB976" i="50"/>
  <c r="AB956" i="51" s="1"/>
  <c r="AA976" i="50"/>
  <c r="AA956" i="51" s="1"/>
  <c r="Z976" i="50"/>
  <c r="Z956" i="51" s="1"/>
  <c r="Y976" i="50"/>
  <c r="Y956" i="51" s="1"/>
  <c r="X976" i="50"/>
  <c r="X956" i="51" s="1"/>
  <c r="W976" i="50"/>
  <c r="W956" i="51" s="1"/>
  <c r="AF975" i="50"/>
  <c r="AF955" i="51" s="1"/>
  <c r="AE975" i="50"/>
  <c r="AE955" i="51" s="1"/>
  <c r="AD975" i="50"/>
  <c r="AD955" i="51" s="1"/>
  <c r="AC975" i="50"/>
  <c r="AC955" i="51" s="1"/>
  <c r="AB975" i="50"/>
  <c r="AB955" i="51" s="1"/>
  <c r="AA975" i="50"/>
  <c r="AA955" i="51" s="1"/>
  <c r="Z975" i="50"/>
  <c r="Z955" i="51" s="1"/>
  <c r="Y975" i="50"/>
  <c r="Y955" i="51" s="1"/>
  <c r="X975" i="50"/>
  <c r="X955" i="51" s="1"/>
  <c r="W975" i="50"/>
  <c r="W955" i="51" s="1"/>
  <c r="AF974" i="50"/>
  <c r="AF954" i="51" s="1"/>
  <c r="AE974" i="50"/>
  <c r="AE954" i="51" s="1"/>
  <c r="AD974" i="50"/>
  <c r="AD954" i="51" s="1"/>
  <c r="AC974" i="50"/>
  <c r="AC954" i="51" s="1"/>
  <c r="AB974" i="50"/>
  <c r="AB954" i="51" s="1"/>
  <c r="AA974" i="50"/>
  <c r="AA954" i="51" s="1"/>
  <c r="Z974" i="50"/>
  <c r="Z954" i="51" s="1"/>
  <c r="Y974" i="50"/>
  <c r="Y954" i="51" s="1"/>
  <c r="X974" i="50"/>
  <c r="X954" i="51" s="1"/>
  <c r="W974" i="50"/>
  <c r="W954" i="51" s="1"/>
  <c r="AF973" i="50"/>
  <c r="AF953" i="51" s="1"/>
  <c r="AE973" i="50"/>
  <c r="AE953" i="51" s="1"/>
  <c r="AD973" i="50"/>
  <c r="AD953" i="51" s="1"/>
  <c r="AC973" i="50"/>
  <c r="AC953" i="51" s="1"/>
  <c r="AB973" i="50"/>
  <c r="AB953" i="51" s="1"/>
  <c r="AA973" i="50"/>
  <c r="AA953" i="51" s="1"/>
  <c r="Z973" i="50"/>
  <c r="Z953" i="51" s="1"/>
  <c r="Y973" i="50"/>
  <c r="Y953" i="51" s="1"/>
  <c r="X973" i="50"/>
  <c r="X953" i="51" s="1"/>
  <c r="W973" i="50"/>
  <c r="W953" i="51" s="1"/>
  <c r="AF972" i="50"/>
  <c r="AF952" i="51" s="1"/>
  <c r="AE972" i="50"/>
  <c r="AE952" i="51" s="1"/>
  <c r="AD972" i="50"/>
  <c r="AD952" i="51" s="1"/>
  <c r="AC972" i="50"/>
  <c r="AC952" i="51" s="1"/>
  <c r="AB972" i="50"/>
  <c r="AB952" i="51" s="1"/>
  <c r="AA972" i="50"/>
  <c r="AA952" i="51" s="1"/>
  <c r="Z972" i="50"/>
  <c r="Z952" i="51" s="1"/>
  <c r="Y972" i="50"/>
  <c r="Y952" i="51" s="1"/>
  <c r="X972" i="50"/>
  <c r="X952" i="51" s="1"/>
  <c r="W972" i="50"/>
  <c r="W952" i="51" s="1"/>
  <c r="AF970" i="50"/>
  <c r="AF950" i="51" s="1"/>
  <c r="AE970" i="50"/>
  <c r="AE950" i="51" s="1"/>
  <c r="AD970" i="50"/>
  <c r="AD950" i="51" s="1"/>
  <c r="AC970" i="50"/>
  <c r="AC950" i="51" s="1"/>
  <c r="AB970" i="50"/>
  <c r="AB950" i="51" s="1"/>
  <c r="AA970" i="50"/>
  <c r="AA950" i="51" s="1"/>
  <c r="Z970" i="50"/>
  <c r="Z950" i="51" s="1"/>
  <c r="Y970" i="50"/>
  <c r="Y950" i="51" s="1"/>
  <c r="X970" i="50"/>
  <c r="X950" i="51" s="1"/>
  <c r="W970" i="50"/>
  <c r="W950" i="51" s="1"/>
  <c r="AE969" i="50"/>
  <c r="AE949" i="51" s="1"/>
  <c r="AD969" i="50"/>
  <c r="AD949" i="51" s="1"/>
  <c r="AC969" i="50"/>
  <c r="AC949" i="51" s="1"/>
  <c r="AB969" i="50"/>
  <c r="AB949" i="51" s="1"/>
  <c r="AA969" i="50"/>
  <c r="AA949" i="51" s="1"/>
  <c r="Z969" i="50"/>
  <c r="Z949" i="51" s="1"/>
  <c r="Y969" i="50"/>
  <c r="Y949" i="51" s="1"/>
  <c r="X969" i="50"/>
  <c r="X949" i="51" s="1"/>
  <c r="W969" i="50"/>
  <c r="W949" i="51" s="1"/>
  <c r="V969" i="50"/>
  <c r="V949" i="51" s="1"/>
  <c r="AE968" i="50"/>
  <c r="AE948" i="51" s="1"/>
  <c r="AD968" i="50"/>
  <c r="AD948" i="51" s="1"/>
  <c r="AC968" i="50"/>
  <c r="AC948" i="51" s="1"/>
  <c r="AB968" i="50"/>
  <c r="AB948" i="51" s="1"/>
  <c r="AA968" i="50"/>
  <c r="AA948" i="51" s="1"/>
  <c r="Z968" i="50"/>
  <c r="Z948" i="51" s="1"/>
  <c r="Y968" i="50"/>
  <c r="Y948" i="51" s="1"/>
  <c r="X968" i="50"/>
  <c r="X948" i="51" s="1"/>
  <c r="W968" i="50"/>
  <c r="W948" i="51" s="1"/>
  <c r="V968" i="50"/>
  <c r="V948" i="51" s="1"/>
  <c r="AE967" i="50"/>
  <c r="AE947" i="51" s="1"/>
  <c r="AD967" i="50"/>
  <c r="AD947" i="51" s="1"/>
  <c r="AC967" i="50"/>
  <c r="AC947" i="51" s="1"/>
  <c r="AB967" i="50"/>
  <c r="AB947" i="51" s="1"/>
  <c r="AA967" i="50"/>
  <c r="AA947" i="51" s="1"/>
  <c r="Z967" i="50"/>
  <c r="Z947" i="51" s="1"/>
  <c r="Y967" i="50"/>
  <c r="Y947" i="51" s="1"/>
  <c r="X967" i="50"/>
  <c r="X947" i="51" s="1"/>
  <c r="W967" i="50"/>
  <c r="W947" i="51" s="1"/>
  <c r="V967" i="50"/>
  <c r="V947" i="51" s="1"/>
  <c r="AE966" i="50"/>
  <c r="AE946" i="51" s="1"/>
  <c r="AD966" i="50"/>
  <c r="AD946" i="51" s="1"/>
  <c r="AC966" i="50"/>
  <c r="AC946" i="51" s="1"/>
  <c r="AB966" i="50"/>
  <c r="AB946" i="51" s="1"/>
  <c r="AA966" i="50"/>
  <c r="AA946" i="51" s="1"/>
  <c r="Z966" i="50"/>
  <c r="Z946" i="51" s="1"/>
  <c r="Y966" i="50"/>
  <c r="Y946" i="51" s="1"/>
  <c r="X966" i="50"/>
  <c r="X946" i="51" s="1"/>
  <c r="W966" i="50"/>
  <c r="W946" i="51" s="1"/>
  <c r="V966" i="50"/>
  <c r="V946" i="51" s="1"/>
  <c r="AE965" i="50"/>
  <c r="AE945" i="51" s="1"/>
  <c r="AD965" i="50"/>
  <c r="AD945" i="51" s="1"/>
  <c r="AC965" i="50"/>
  <c r="AC945" i="51" s="1"/>
  <c r="AB965" i="50"/>
  <c r="AB945" i="51" s="1"/>
  <c r="AA965" i="50"/>
  <c r="AA945" i="51" s="1"/>
  <c r="Z965" i="50"/>
  <c r="Z945" i="51" s="1"/>
  <c r="Y965" i="50"/>
  <c r="Y945" i="51" s="1"/>
  <c r="X965" i="50"/>
  <c r="X945" i="51" s="1"/>
  <c r="W965" i="50"/>
  <c r="W945" i="51" s="1"/>
  <c r="V965" i="50"/>
  <c r="V945" i="51" s="1"/>
  <c r="AE964" i="50"/>
  <c r="AE944" i="51" s="1"/>
  <c r="AD964" i="50"/>
  <c r="AD944" i="51" s="1"/>
  <c r="AC964" i="50"/>
  <c r="AC944" i="51" s="1"/>
  <c r="AB964" i="50"/>
  <c r="AB944" i="51" s="1"/>
  <c r="AA964" i="50"/>
  <c r="AA944" i="51" s="1"/>
  <c r="Z964" i="50"/>
  <c r="Z944" i="51" s="1"/>
  <c r="Y964" i="50"/>
  <c r="Y944" i="51" s="1"/>
  <c r="X964" i="50"/>
  <c r="X944" i="51" s="1"/>
  <c r="W964" i="50"/>
  <c r="W944" i="51" s="1"/>
  <c r="V964" i="50"/>
  <c r="V944" i="51" s="1"/>
  <c r="AE963" i="50"/>
  <c r="AE943" i="51" s="1"/>
  <c r="AD963" i="50"/>
  <c r="AD943" i="51" s="1"/>
  <c r="AC963" i="50"/>
  <c r="AC943" i="51" s="1"/>
  <c r="AB963" i="50"/>
  <c r="AB943" i="51" s="1"/>
  <c r="AA963" i="50"/>
  <c r="AA943" i="51" s="1"/>
  <c r="Z963" i="50"/>
  <c r="Z943" i="51" s="1"/>
  <c r="Y963" i="50"/>
  <c r="Y943" i="51" s="1"/>
  <c r="X963" i="50"/>
  <c r="X943" i="51" s="1"/>
  <c r="W963" i="50"/>
  <c r="W943" i="51" s="1"/>
  <c r="V963" i="50"/>
  <c r="V943" i="51" s="1"/>
  <c r="AE961" i="50"/>
  <c r="AE941" i="51" s="1"/>
  <c r="AD961" i="50"/>
  <c r="AD941" i="51" s="1"/>
  <c r="AC961" i="50"/>
  <c r="AC941" i="51" s="1"/>
  <c r="AB961" i="50"/>
  <c r="AB941" i="51" s="1"/>
  <c r="AA961" i="50"/>
  <c r="AA941" i="51" s="1"/>
  <c r="Z961" i="50"/>
  <c r="Z941" i="51" s="1"/>
  <c r="Y961" i="50"/>
  <c r="Y941" i="51" s="1"/>
  <c r="X961" i="50"/>
  <c r="X941" i="51" s="1"/>
  <c r="W961" i="50"/>
  <c r="W941" i="51" s="1"/>
  <c r="V961" i="50"/>
  <c r="V941" i="51" s="1"/>
  <c r="AE959" i="50"/>
  <c r="AE939" i="51" s="1"/>
  <c r="AD959" i="50"/>
  <c r="AD939" i="51" s="1"/>
  <c r="AC959" i="50"/>
  <c r="AC939" i="51" s="1"/>
  <c r="AB959" i="50"/>
  <c r="AB939" i="51" s="1"/>
  <c r="AA959" i="50"/>
  <c r="AA939" i="51" s="1"/>
  <c r="Z959" i="50"/>
  <c r="Z939" i="51" s="1"/>
  <c r="Y959" i="50"/>
  <c r="Y939" i="51" s="1"/>
  <c r="X959" i="50"/>
  <c r="X939" i="51" s="1"/>
  <c r="W959" i="50"/>
  <c r="W939" i="51" s="1"/>
  <c r="V959" i="50"/>
  <c r="V939" i="51" s="1"/>
  <c r="AE958" i="50"/>
  <c r="AE938" i="51" s="1"/>
  <c r="AD958" i="50"/>
  <c r="AD938" i="51" s="1"/>
  <c r="AC958" i="50"/>
  <c r="AC938" i="51" s="1"/>
  <c r="AB958" i="50"/>
  <c r="AB938" i="51" s="1"/>
  <c r="AA958" i="50"/>
  <c r="AA938" i="51" s="1"/>
  <c r="Z958" i="50"/>
  <c r="Z938" i="51" s="1"/>
  <c r="Y958" i="50"/>
  <c r="Y938" i="51" s="1"/>
  <c r="X958" i="50"/>
  <c r="X938" i="51" s="1"/>
  <c r="W958" i="50"/>
  <c r="W938" i="51" s="1"/>
  <c r="V958" i="50"/>
  <c r="V938" i="51" s="1"/>
  <c r="AE957" i="50"/>
  <c r="AE937" i="51" s="1"/>
  <c r="AD957" i="50"/>
  <c r="AD937" i="51" s="1"/>
  <c r="AC957" i="50"/>
  <c r="AC937" i="51" s="1"/>
  <c r="AB957" i="50"/>
  <c r="AB937" i="51" s="1"/>
  <c r="AA957" i="50"/>
  <c r="AA937" i="51" s="1"/>
  <c r="Z957" i="50"/>
  <c r="Z937" i="51" s="1"/>
  <c r="Y957" i="50"/>
  <c r="Y937" i="51" s="1"/>
  <c r="X957" i="50"/>
  <c r="X937" i="51" s="1"/>
  <c r="W957" i="50"/>
  <c r="W937" i="51" s="1"/>
  <c r="V957" i="50"/>
  <c r="V937" i="51" s="1"/>
  <c r="AE956" i="50"/>
  <c r="AE936" i="51" s="1"/>
  <c r="AD956" i="50"/>
  <c r="AD936" i="51" s="1"/>
  <c r="AC956" i="50"/>
  <c r="AC936" i="51" s="1"/>
  <c r="AB956" i="50"/>
  <c r="AB936" i="51" s="1"/>
  <c r="AA956" i="50"/>
  <c r="AA936" i="51" s="1"/>
  <c r="Z956" i="50"/>
  <c r="Z936" i="51" s="1"/>
  <c r="Y956" i="50"/>
  <c r="Y936" i="51" s="1"/>
  <c r="X956" i="50"/>
  <c r="X936" i="51" s="1"/>
  <c r="W956" i="50"/>
  <c r="W936" i="51" s="1"/>
  <c r="V956" i="50"/>
  <c r="V936" i="51" s="1"/>
  <c r="AE955" i="50"/>
  <c r="AE935" i="51" s="1"/>
  <c r="AD955" i="50"/>
  <c r="AD935" i="51" s="1"/>
  <c r="AC955" i="50"/>
  <c r="AC935" i="51" s="1"/>
  <c r="AB955" i="50"/>
  <c r="AB935" i="51" s="1"/>
  <c r="AA955" i="50"/>
  <c r="AA935" i="51" s="1"/>
  <c r="Z955" i="50"/>
  <c r="Z935" i="51" s="1"/>
  <c r="Y955" i="50"/>
  <c r="Y935" i="51" s="1"/>
  <c r="X955" i="50"/>
  <c r="X935" i="51" s="1"/>
  <c r="W955" i="50"/>
  <c r="W935" i="51" s="1"/>
  <c r="V955" i="50"/>
  <c r="V935" i="51" s="1"/>
  <c r="AE954" i="50"/>
  <c r="AE934" i="51" s="1"/>
  <c r="AD954" i="50"/>
  <c r="AD934" i="51" s="1"/>
  <c r="AC954" i="50"/>
  <c r="AC934" i="51" s="1"/>
  <c r="AB954" i="50"/>
  <c r="AB934" i="51" s="1"/>
  <c r="AA954" i="50"/>
  <c r="AA934" i="51" s="1"/>
  <c r="Z954" i="50"/>
  <c r="Z934" i="51" s="1"/>
  <c r="Y954" i="50"/>
  <c r="Y934" i="51" s="1"/>
  <c r="X954" i="50"/>
  <c r="X934" i="51" s="1"/>
  <c r="W954" i="50"/>
  <c r="W934" i="51" s="1"/>
  <c r="V954" i="50"/>
  <c r="V934" i="51" s="1"/>
  <c r="AE953" i="50"/>
  <c r="AE933" i="51" s="1"/>
  <c r="AD953" i="50"/>
  <c r="AD933" i="51" s="1"/>
  <c r="AC953" i="50"/>
  <c r="AC933" i="51" s="1"/>
  <c r="AB953" i="50"/>
  <c r="AB933" i="51" s="1"/>
  <c r="AA953" i="50"/>
  <c r="AA933" i="51" s="1"/>
  <c r="Z953" i="50"/>
  <c r="Z933" i="51" s="1"/>
  <c r="Y953" i="50"/>
  <c r="Y933" i="51" s="1"/>
  <c r="X953" i="50"/>
  <c r="X933" i="51" s="1"/>
  <c r="W953" i="50"/>
  <c r="W933" i="51" s="1"/>
  <c r="V953" i="50"/>
  <c r="V933" i="51" s="1"/>
  <c r="AE952" i="50"/>
  <c r="AE932" i="51" s="1"/>
  <c r="AD952" i="50"/>
  <c r="AD932" i="51" s="1"/>
  <c r="AC952" i="50"/>
  <c r="AC932" i="51" s="1"/>
  <c r="AB952" i="50"/>
  <c r="AB932" i="51" s="1"/>
  <c r="AA952" i="50"/>
  <c r="AA932" i="51" s="1"/>
  <c r="Z952" i="50"/>
  <c r="Z932" i="51" s="1"/>
  <c r="Y952" i="50"/>
  <c r="Y932" i="51" s="1"/>
  <c r="X952" i="50"/>
  <c r="X932" i="51" s="1"/>
  <c r="W952" i="50"/>
  <c r="W932" i="51" s="1"/>
  <c r="V952" i="50"/>
  <c r="V932" i="51" s="1"/>
  <c r="AE951" i="50"/>
  <c r="AE931" i="51" s="1"/>
  <c r="AD951" i="50"/>
  <c r="AD931" i="51" s="1"/>
  <c r="AC951" i="50"/>
  <c r="AC931" i="51" s="1"/>
  <c r="AB951" i="50"/>
  <c r="AB931" i="51" s="1"/>
  <c r="AA951" i="50"/>
  <c r="AA931" i="51" s="1"/>
  <c r="Z951" i="50"/>
  <c r="Z931" i="51" s="1"/>
  <c r="Y951" i="50"/>
  <c r="Y931" i="51" s="1"/>
  <c r="X951" i="50"/>
  <c r="X931" i="51" s="1"/>
  <c r="W951" i="50"/>
  <c r="W931" i="51" s="1"/>
  <c r="V951" i="50"/>
  <c r="V931" i="51" s="1"/>
  <c r="AE950" i="50"/>
  <c r="AE930" i="51" s="1"/>
  <c r="AD950" i="50"/>
  <c r="AD930" i="51" s="1"/>
  <c r="AC950" i="50"/>
  <c r="AC930" i="51" s="1"/>
  <c r="AB950" i="50"/>
  <c r="AB930" i="51" s="1"/>
  <c r="AA950" i="50"/>
  <c r="AA930" i="51" s="1"/>
  <c r="Z950" i="50"/>
  <c r="Z930" i="51" s="1"/>
  <c r="Y950" i="50"/>
  <c r="Y930" i="51" s="1"/>
  <c r="X950" i="50"/>
  <c r="X930" i="51" s="1"/>
  <c r="W950" i="50"/>
  <c r="W930" i="51" s="1"/>
  <c r="V950" i="50"/>
  <c r="V930" i="51" s="1"/>
  <c r="AE948" i="50"/>
  <c r="AE928" i="51" s="1"/>
  <c r="AD948" i="50"/>
  <c r="AD928" i="51" s="1"/>
  <c r="AC948" i="50"/>
  <c r="AC928" i="51" s="1"/>
  <c r="AB948" i="50"/>
  <c r="AB928" i="51" s="1"/>
  <c r="AA948" i="50"/>
  <c r="AA928" i="51" s="1"/>
  <c r="Z948" i="50"/>
  <c r="Z928" i="51" s="1"/>
  <c r="Y948" i="50"/>
  <c r="Y928" i="51" s="1"/>
  <c r="X948" i="50"/>
  <c r="X928" i="51" s="1"/>
  <c r="W948" i="50"/>
  <c r="W928" i="51" s="1"/>
  <c r="V948" i="50"/>
  <c r="V928" i="51" s="1"/>
  <c r="AD947" i="50"/>
  <c r="AD927" i="51" s="1"/>
  <c r="AC947" i="50"/>
  <c r="AC927" i="51" s="1"/>
  <c r="AB947" i="50"/>
  <c r="AB927" i="51" s="1"/>
  <c r="AA947" i="50"/>
  <c r="AA927" i="51" s="1"/>
  <c r="Z947" i="50"/>
  <c r="Z927" i="51" s="1"/>
  <c r="Y947" i="50"/>
  <c r="Y927" i="51" s="1"/>
  <c r="X947" i="50"/>
  <c r="X927" i="51" s="1"/>
  <c r="W947" i="50"/>
  <c r="W927" i="51" s="1"/>
  <c r="V947" i="50"/>
  <c r="V927" i="51" s="1"/>
  <c r="U947" i="50"/>
  <c r="U927" i="51" s="1"/>
  <c r="AD946" i="50"/>
  <c r="AD926" i="51" s="1"/>
  <c r="AC946" i="50"/>
  <c r="AC926" i="51" s="1"/>
  <c r="AB946" i="50"/>
  <c r="AB926" i="51" s="1"/>
  <c r="AA946" i="50"/>
  <c r="AA926" i="51" s="1"/>
  <c r="Z946" i="50"/>
  <c r="Z926" i="51" s="1"/>
  <c r="Y946" i="50"/>
  <c r="Y926" i="51" s="1"/>
  <c r="X946" i="50"/>
  <c r="X926" i="51" s="1"/>
  <c r="W946" i="50"/>
  <c r="W926" i="51" s="1"/>
  <c r="V946" i="50"/>
  <c r="V926" i="51" s="1"/>
  <c r="U946" i="50"/>
  <c r="U926" i="51" s="1"/>
  <c r="AD945" i="50"/>
  <c r="AD925" i="51" s="1"/>
  <c r="AC945" i="50"/>
  <c r="AC925" i="51" s="1"/>
  <c r="AB945" i="50"/>
  <c r="AB925" i="51" s="1"/>
  <c r="AA945" i="50"/>
  <c r="AA925" i="51" s="1"/>
  <c r="Z945" i="50"/>
  <c r="Z925" i="51" s="1"/>
  <c r="Y945" i="50"/>
  <c r="Y925" i="51" s="1"/>
  <c r="X945" i="50"/>
  <c r="X925" i="51" s="1"/>
  <c r="W945" i="50"/>
  <c r="W925" i="51" s="1"/>
  <c r="V945" i="50"/>
  <c r="V925" i="51" s="1"/>
  <c r="U945" i="50"/>
  <c r="U925" i="51" s="1"/>
  <c r="AD944" i="50"/>
  <c r="AD924" i="51" s="1"/>
  <c r="AC944" i="50"/>
  <c r="AC924" i="51" s="1"/>
  <c r="AB944" i="50"/>
  <c r="AB924" i="51" s="1"/>
  <c r="AA944" i="50"/>
  <c r="AA924" i="51" s="1"/>
  <c r="Z944" i="50"/>
  <c r="Z924" i="51" s="1"/>
  <c r="Y944" i="50"/>
  <c r="Y924" i="51" s="1"/>
  <c r="X944" i="50"/>
  <c r="X924" i="51" s="1"/>
  <c r="W944" i="50"/>
  <c r="W924" i="51" s="1"/>
  <c r="V944" i="50"/>
  <c r="V924" i="51" s="1"/>
  <c r="U944" i="50"/>
  <c r="U924" i="51" s="1"/>
  <c r="AD943" i="50"/>
  <c r="AD923" i="51" s="1"/>
  <c r="AC943" i="50"/>
  <c r="AC923" i="51" s="1"/>
  <c r="AB943" i="50"/>
  <c r="AB923" i="51" s="1"/>
  <c r="AA943" i="50"/>
  <c r="AA923" i="51" s="1"/>
  <c r="Z943" i="50"/>
  <c r="Z923" i="51" s="1"/>
  <c r="Y943" i="50"/>
  <c r="Y923" i="51" s="1"/>
  <c r="X943" i="50"/>
  <c r="X923" i="51" s="1"/>
  <c r="W943" i="50"/>
  <c r="W923" i="51" s="1"/>
  <c r="V943" i="50"/>
  <c r="V923" i="51" s="1"/>
  <c r="U943" i="50"/>
  <c r="U923" i="51" s="1"/>
  <c r="AD942" i="50"/>
  <c r="AD922" i="51" s="1"/>
  <c r="AC942" i="50"/>
  <c r="AC922" i="51" s="1"/>
  <c r="AB942" i="50"/>
  <c r="AB922" i="51" s="1"/>
  <c r="AA942" i="50"/>
  <c r="AA922" i="51" s="1"/>
  <c r="Z942" i="50"/>
  <c r="Z922" i="51" s="1"/>
  <c r="Y942" i="50"/>
  <c r="Y922" i="51" s="1"/>
  <c r="X942" i="50"/>
  <c r="X922" i="51" s="1"/>
  <c r="W942" i="50"/>
  <c r="W922" i="51" s="1"/>
  <c r="V942" i="50"/>
  <c r="V922" i="51" s="1"/>
  <c r="U942" i="50"/>
  <c r="U922" i="51" s="1"/>
  <c r="AD941" i="50"/>
  <c r="AD921" i="51" s="1"/>
  <c r="AC941" i="50"/>
  <c r="AC921" i="51" s="1"/>
  <c r="AB941" i="50"/>
  <c r="AB921" i="51" s="1"/>
  <c r="AA941" i="50"/>
  <c r="AA921" i="51" s="1"/>
  <c r="Z941" i="50"/>
  <c r="Z921" i="51" s="1"/>
  <c r="Y941" i="50"/>
  <c r="Y921" i="51" s="1"/>
  <c r="X941" i="50"/>
  <c r="X921" i="51" s="1"/>
  <c r="W941" i="50"/>
  <c r="W921" i="51" s="1"/>
  <c r="V941" i="50"/>
  <c r="V921" i="51" s="1"/>
  <c r="U941" i="50"/>
  <c r="U921" i="51" s="1"/>
  <c r="AD939" i="50"/>
  <c r="AD919" i="51" s="1"/>
  <c r="AC939" i="50"/>
  <c r="AC919" i="51" s="1"/>
  <c r="AB939" i="50"/>
  <c r="AB919" i="51" s="1"/>
  <c r="AA939" i="50"/>
  <c r="AA919" i="51" s="1"/>
  <c r="Z939" i="50"/>
  <c r="Z919" i="51" s="1"/>
  <c r="Y939" i="50"/>
  <c r="Y919" i="51" s="1"/>
  <c r="X939" i="50"/>
  <c r="X919" i="51" s="1"/>
  <c r="W939" i="50"/>
  <c r="W919" i="51" s="1"/>
  <c r="V939" i="50"/>
  <c r="V919" i="51" s="1"/>
  <c r="U939" i="50"/>
  <c r="U919" i="51" s="1"/>
  <c r="AD937" i="50"/>
  <c r="AD917" i="51" s="1"/>
  <c r="AC937" i="50"/>
  <c r="AC917" i="51" s="1"/>
  <c r="AB937" i="50"/>
  <c r="AB917" i="51" s="1"/>
  <c r="AA937" i="50"/>
  <c r="AA917" i="51" s="1"/>
  <c r="Z937" i="50"/>
  <c r="Z917" i="51" s="1"/>
  <c r="Y937" i="50"/>
  <c r="Y917" i="51" s="1"/>
  <c r="X937" i="50"/>
  <c r="X917" i="51" s="1"/>
  <c r="W937" i="50"/>
  <c r="W917" i="51" s="1"/>
  <c r="V937" i="50"/>
  <c r="V917" i="51" s="1"/>
  <c r="U937" i="50"/>
  <c r="U917" i="51" s="1"/>
  <c r="AD936" i="50"/>
  <c r="AD916" i="51" s="1"/>
  <c r="AC936" i="50"/>
  <c r="AC916" i="51" s="1"/>
  <c r="AB936" i="50"/>
  <c r="AB916" i="51" s="1"/>
  <c r="AA936" i="50"/>
  <c r="AA916" i="51" s="1"/>
  <c r="Z936" i="50"/>
  <c r="Z916" i="51" s="1"/>
  <c r="Y936" i="50"/>
  <c r="Y916" i="51" s="1"/>
  <c r="X936" i="50"/>
  <c r="X916" i="51" s="1"/>
  <c r="W936" i="50"/>
  <c r="W916" i="51" s="1"/>
  <c r="V936" i="50"/>
  <c r="V916" i="51" s="1"/>
  <c r="U936" i="50"/>
  <c r="U916" i="51" s="1"/>
  <c r="AD935" i="50"/>
  <c r="AD915" i="51" s="1"/>
  <c r="AC935" i="50"/>
  <c r="AC915" i="51" s="1"/>
  <c r="AB935" i="50"/>
  <c r="AB915" i="51" s="1"/>
  <c r="AA935" i="50"/>
  <c r="AA915" i="51" s="1"/>
  <c r="Z935" i="50"/>
  <c r="Z915" i="51" s="1"/>
  <c r="Y935" i="50"/>
  <c r="Y915" i="51" s="1"/>
  <c r="X935" i="50"/>
  <c r="X915" i="51" s="1"/>
  <c r="W935" i="50"/>
  <c r="W915" i="51" s="1"/>
  <c r="V935" i="50"/>
  <c r="V915" i="51" s="1"/>
  <c r="U935" i="50"/>
  <c r="U915" i="51" s="1"/>
  <c r="AD934" i="50"/>
  <c r="AD914" i="51" s="1"/>
  <c r="AC934" i="50"/>
  <c r="AC914" i="51" s="1"/>
  <c r="AB934" i="50"/>
  <c r="AB914" i="51" s="1"/>
  <c r="AA934" i="50"/>
  <c r="AA914" i="51" s="1"/>
  <c r="Z934" i="50"/>
  <c r="Z914" i="51" s="1"/>
  <c r="Y934" i="50"/>
  <c r="Y914" i="51" s="1"/>
  <c r="X934" i="50"/>
  <c r="X914" i="51" s="1"/>
  <c r="W934" i="50"/>
  <c r="W914" i="51" s="1"/>
  <c r="V934" i="50"/>
  <c r="V914" i="51" s="1"/>
  <c r="U934" i="50"/>
  <c r="U914" i="51" s="1"/>
  <c r="AD933" i="50"/>
  <c r="AD913" i="51" s="1"/>
  <c r="AC933" i="50"/>
  <c r="AC913" i="51" s="1"/>
  <c r="AB933" i="50"/>
  <c r="AB913" i="51" s="1"/>
  <c r="AA933" i="50"/>
  <c r="AA913" i="51" s="1"/>
  <c r="Z933" i="50"/>
  <c r="Z913" i="51" s="1"/>
  <c r="Y933" i="50"/>
  <c r="Y913" i="51" s="1"/>
  <c r="X933" i="50"/>
  <c r="X913" i="51" s="1"/>
  <c r="W933" i="50"/>
  <c r="W913" i="51" s="1"/>
  <c r="V933" i="50"/>
  <c r="V913" i="51" s="1"/>
  <c r="U933" i="50"/>
  <c r="U913" i="51" s="1"/>
  <c r="AD932" i="50"/>
  <c r="AD912" i="51" s="1"/>
  <c r="AC932" i="50"/>
  <c r="AC912" i="51" s="1"/>
  <c r="AB932" i="50"/>
  <c r="AB912" i="51" s="1"/>
  <c r="AA932" i="50"/>
  <c r="AA912" i="51" s="1"/>
  <c r="Z932" i="50"/>
  <c r="Z912" i="51" s="1"/>
  <c r="Y932" i="50"/>
  <c r="Y912" i="51" s="1"/>
  <c r="X932" i="50"/>
  <c r="X912" i="51" s="1"/>
  <c r="W932" i="50"/>
  <c r="W912" i="51" s="1"/>
  <c r="V932" i="50"/>
  <c r="V912" i="51" s="1"/>
  <c r="U932" i="50"/>
  <c r="U912" i="51" s="1"/>
  <c r="AD931" i="50"/>
  <c r="AD911" i="51" s="1"/>
  <c r="AC931" i="50"/>
  <c r="AC911" i="51" s="1"/>
  <c r="AB931" i="50"/>
  <c r="AB911" i="51" s="1"/>
  <c r="AA931" i="50"/>
  <c r="AA911" i="51" s="1"/>
  <c r="Z931" i="50"/>
  <c r="Z911" i="51" s="1"/>
  <c r="Y931" i="50"/>
  <c r="Y911" i="51" s="1"/>
  <c r="X931" i="50"/>
  <c r="X911" i="51" s="1"/>
  <c r="W931" i="50"/>
  <c r="W911" i="51" s="1"/>
  <c r="V931" i="50"/>
  <c r="V911" i="51" s="1"/>
  <c r="U931" i="50"/>
  <c r="U911" i="51" s="1"/>
  <c r="AD930" i="50"/>
  <c r="AD910" i="51" s="1"/>
  <c r="AC930" i="50"/>
  <c r="AC910" i="51" s="1"/>
  <c r="AB930" i="50"/>
  <c r="AB910" i="51" s="1"/>
  <c r="AA930" i="50"/>
  <c r="AA910" i="51" s="1"/>
  <c r="Z930" i="50"/>
  <c r="Z910" i="51" s="1"/>
  <c r="Y930" i="50"/>
  <c r="Y910" i="51" s="1"/>
  <c r="X930" i="50"/>
  <c r="X910" i="51" s="1"/>
  <c r="W930" i="50"/>
  <c r="W910" i="51" s="1"/>
  <c r="V930" i="50"/>
  <c r="V910" i="51" s="1"/>
  <c r="U930" i="50"/>
  <c r="U910" i="51" s="1"/>
  <c r="AD929" i="50"/>
  <c r="AD909" i="51" s="1"/>
  <c r="AC929" i="50"/>
  <c r="AC909" i="51" s="1"/>
  <c r="AB929" i="50"/>
  <c r="AB909" i="51" s="1"/>
  <c r="AA929" i="50"/>
  <c r="AA909" i="51" s="1"/>
  <c r="Z929" i="50"/>
  <c r="Z909" i="51" s="1"/>
  <c r="Y929" i="50"/>
  <c r="Y909" i="51" s="1"/>
  <c r="X929" i="50"/>
  <c r="X909" i="51" s="1"/>
  <c r="W929" i="50"/>
  <c r="W909" i="51" s="1"/>
  <c r="V929" i="50"/>
  <c r="V909" i="51" s="1"/>
  <c r="U929" i="50"/>
  <c r="U909" i="51" s="1"/>
  <c r="AD928" i="50"/>
  <c r="AD908" i="51" s="1"/>
  <c r="AC928" i="50"/>
  <c r="AC908" i="51" s="1"/>
  <c r="AB928" i="50"/>
  <c r="AB908" i="51" s="1"/>
  <c r="AA928" i="50"/>
  <c r="AA908" i="51" s="1"/>
  <c r="Z928" i="50"/>
  <c r="Z908" i="51" s="1"/>
  <c r="Y928" i="50"/>
  <c r="Y908" i="51" s="1"/>
  <c r="X928" i="50"/>
  <c r="X908" i="51" s="1"/>
  <c r="W928" i="50"/>
  <c r="W908" i="51" s="1"/>
  <c r="V928" i="50"/>
  <c r="V908" i="51" s="1"/>
  <c r="U928" i="50"/>
  <c r="U908" i="51" s="1"/>
  <c r="AD926" i="50"/>
  <c r="AD906" i="51" s="1"/>
  <c r="AC926" i="50"/>
  <c r="AC906" i="51" s="1"/>
  <c r="AB926" i="50"/>
  <c r="AB906" i="51" s="1"/>
  <c r="AA926" i="50"/>
  <c r="AA906" i="51" s="1"/>
  <c r="Z926" i="50"/>
  <c r="Z906" i="51" s="1"/>
  <c r="Y926" i="50"/>
  <c r="Y906" i="51" s="1"/>
  <c r="X926" i="50"/>
  <c r="X906" i="51" s="1"/>
  <c r="W926" i="50"/>
  <c r="W906" i="51" s="1"/>
  <c r="V926" i="50"/>
  <c r="V906" i="51" s="1"/>
  <c r="U926" i="50"/>
  <c r="U906" i="51" s="1"/>
  <c r="AC925" i="50"/>
  <c r="AC905" i="51" s="1"/>
  <c r="AB925" i="50"/>
  <c r="AB905" i="51" s="1"/>
  <c r="AA925" i="50"/>
  <c r="AA905" i="51" s="1"/>
  <c r="Z925" i="50"/>
  <c r="Z905" i="51" s="1"/>
  <c r="Y925" i="50"/>
  <c r="Y905" i="51" s="1"/>
  <c r="X925" i="50"/>
  <c r="X905" i="51" s="1"/>
  <c r="W925" i="50"/>
  <c r="W905" i="51" s="1"/>
  <c r="V925" i="50"/>
  <c r="V905" i="51" s="1"/>
  <c r="U925" i="50"/>
  <c r="U905" i="51" s="1"/>
  <c r="T925" i="50"/>
  <c r="T905" i="51" s="1"/>
  <c r="AC924" i="50"/>
  <c r="AC904" i="51" s="1"/>
  <c r="AB924" i="50"/>
  <c r="AB904" i="51" s="1"/>
  <c r="AA924" i="50"/>
  <c r="AA904" i="51" s="1"/>
  <c r="Z924" i="50"/>
  <c r="Z904" i="51" s="1"/>
  <c r="Y924" i="50"/>
  <c r="Y904" i="51" s="1"/>
  <c r="X924" i="50"/>
  <c r="X904" i="51" s="1"/>
  <c r="W924" i="50"/>
  <c r="W904" i="51" s="1"/>
  <c r="V924" i="50"/>
  <c r="V904" i="51" s="1"/>
  <c r="U924" i="50"/>
  <c r="U904" i="51" s="1"/>
  <c r="T924" i="50"/>
  <c r="T904" i="51" s="1"/>
  <c r="AC923" i="50"/>
  <c r="AC903" i="51" s="1"/>
  <c r="AB923" i="50"/>
  <c r="AB903" i="51" s="1"/>
  <c r="AA923" i="50"/>
  <c r="AA903" i="51" s="1"/>
  <c r="Z923" i="50"/>
  <c r="Z903" i="51" s="1"/>
  <c r="Y923" i="50"/>
  <c r="Y903" i="51" s="1"/>
  <c r="X923" i="50"/>
  <c r="X903" i="51" s="1"/>
  <c r="W923" i="50"/>
  <c r="W903" i="51" s="1"/>
  <c r="V923" i="50"/>
  <c r="V903" i="51" s="1"/>
  <c r="U923" i="50"/>
  <c r="U903" i="51" s="1"/>
  <c r="T923" i="50"/>
  <c r="T903" i="51" s="1"/>
  <c r="AC922" i="50"/>
  <c r="AC902" i="51" s="1"/>
  <c r="AB922" i="50"/>
  <c r="AB902" i="51" s="1"/>
  <c r="AA922" i="50"/>
  <c r="AA902" i="51" s="1"/>
  <c r="Z922" i="50"/>
  <c r="Z902" i="51" s="1"/>
  <c r="Y922" i="50"/>
  <c r="Y902" i="51" s="1"/>
  <c r="X922" i="50"/>
  <c r="X902" i="51" s="1"/>
  <c r="W922" i="50"/>
  <c r="W902" i="51" s="1"/>
  <c r="V922" i="50"/>
  <c r="V902" i="51" s="1"/>
  <c r="U922" i="50"/>
  <c r="U902" i="51" s="1"/>
  <c r="T922" i="50"/>
  <c r="T902" i="51" s="1"/>
  <c r="AC921" i="50"/>
  <c r="AC901" i="51" s="1"/>
  <c r="AB921" i="50"/>
  <c r="AB901" i="51" s="1"/>
  <c r="AA921" i="50"/>
  <c r="AA901" i="51" s="1"/>
  <c r="Z921" i="50"/>
  <c r="Z901" i="51" s="1"/>
  <c r="Y921" i="50"/>
  <c r="Y901" i="51" s="1"/>
  <c r="X921" i="50"/>
  <c r="X901" i="51" s="1"/>
  <c r="W921" i="50"/>
  <c r="W901" i="51" s="1"/>
  <c r="V921" i="50"/>
  <c r="V901" i="51" s="1"/>
  <c r="U921" i="50"/>
  <c r="U901" i="51" s="1"/>
  <c r="T921" i="50"/>
  <c r="T901" i="51" s="1"/>
  <c r="AC920" i="50"/>
  <c r="AC900" i="51" s="1"/>
  <c r="AB920" i="50"/>
  <c r="AB900" i="51" s="1"/>
  <c r="AA920" i="50"/>
  <c r="AA900" i="51" s="1"/>
  <c r="Z920" i="50"/>
  <c r="Z900" i="51" s="1"/>
  <c r="Y920" i="50"/>
  <c r="Y900" i="51" s="1"/>
  <c r="X920" i="50"/>
  <c r="X900" i="51" s="1"/>
  <c r="W920" i="50"/>
  <c r="W900" i="51" s="1"/>
  <c r="V920" i="50"/>
  <c r="V900" i="51" s="1"/>
  <c r="U920" i="50"/>
  <c r="U900" i="51" s="1"/>
  <c r="T920" i="50"/>
  <c r="T900" i="51" s="1"/>
  <c r="AC919" i="50"/>
  <c r="AC899" i="51" s="1"/>
  <c r="AB919" i="50"/>
  <c r="AB899" i="51" s="1"/>
  <c r="AA919" i="50"/>
  <c r="AA899" i="51" s="1"/>
  <c r="Z919" i="50"/>
  <c r="Z899" i="51" s="1"/>
  <c r="Y919" i="50"/>
  <c r="Y899" i="51" s="1"/>
  <c r="X919" i="50"/>
  <c r="X899" i="51" s="1"/>
  <c r="W919" i="50"/>
  <c r="W899" i="51" s="1"/>
  <c r="V919" i="50"/>
  <c r="V899" i="51" s="1"/>
  <c r="U919" i="50"/>
  <c r="U899" i="51" s="1"/>
  <c r="T919" i="50"/>
  <c r="T899" i="51" s="1"/>
  <c r="AC917" i="50"/>
  <c r="AC897" i="51" s="1"/>
  <c r="AB917" i="50"/>
  <c r="AB897" i="51" s="1"/>
  <c r="AA917" i="50"/>
  <c r="AA897" i="51" s="1"/>
  <c r="Z917" i="50"/>
  <c r="Z897" i="51" s="1"/>
  <c r="Y917" i="50"/>
  <c r="Y897" i="51" s="1"/>
  <c r="X917" i="50"/>
  <c r="X897" i="51" s="1"/>
  <c r="W917" i="50"/>
  <c r="W897" i="51" s="1"/>
  <c r="V917" i="50"/>
  <c r="V897" i="51" s="1"/>
  <c r="U917" i="50"/>
  <c r="U897" i="51" s="1"/>
  <c r="T917" i="50"/>
  <c r="T897" i="51" s="1"/>
  <c r="AC915" i="50"/>
  <c r="AC895" i="51" s="1"/>
  <c r="AB915" i="50"/>
  <c r="AB895" i="51" s="1"/>
  <c r="AA915" i="50"/>
  <c r="AA895" i="51" s="1"/>
  <c r="Z915" i="50"/>
  <c r="Z895" i="51" s="1"/>
  <c r="Y915" i="50"/>
  <c r="Y895" i="51" s="1"/>
  <c r="X915" i="50"/>
  <c r="X895" i="51" s="1"/>
  <c r="W915" i="50"/>
  <c r="W895" i="51" s="1"/>
  <c r="V915" i="50"/>
  <c r="V895" i="51" s="1"/>
  <c r="U915" i="50"/>
  <c r="U895" i="51" s="1"/>
  <c r="T915" i="50"/>
  <c r="T895" i="51" s="1"/>
  <c r="AC914" i="50"/>
  <c r="AC894" i="51" s="1"/>
  <c r="AB914" i="50"/>
  <c r="AB894" i="51" s="1"/>
  <c r="AA914" i="50"/>
  <c r="AA894" i="51" s="1"/>
  <c r="Z914" i="50"/>
  <c r="Z894" i="51" s="1"/>
  <c r="Y914" i="50"/>
  <c r="Y894" i="51" s="1"/>
  <c r="X914" i="50"/>
  <c r="X894" i="51" s="1"/>
  <c r="W914" i="50"/>
  <c r="W894" i="51" s="1"/>
  <c r="V914" i="50"/>
  <c r="V894" i="51" s="1"/>
  <c r="U914" i="50"/>
  <c r="U894" i="51" s="1"/>
  <c r="T914" i="50"/>
  <c r="T894" i="51" s="1"/>
  <c r="AC913" i="50"/>
  <c r="AC893" i="51" s="1"/>
  <c r="AB913" i="50"/>
  <c r="AB893" i="51" s="1"/>
  <c r="AA913" i="50"/>
  <c r="AA893" i="51" s="1"/>
  <c r="Z913" i="50"/>
  <c r="Z893" i="51" s="1"/>
  <c r="Y913" i="50"/>
  <c r="Y893" i="51" s="1"/>
  <c r="X913" i="50"/>
  <c r="X893" i="51" s="1"/>
  <c r="W913" i="50"/>
  <c r="W893" i="51" s="1"/>
  <c r="V913" i="50"/>
  <c r="V893" i="51" s="1"/>
  <c r="U913" i="50"/>
  <c r="U893" i="51" s="1"/>
  <c r="T913" i="50"/>
  <c r="T893" i="51" s="1"/>
  <c r="AC912" i="50"/>
  <c r="AC892" i="51" s="1"/>
  <c r="AB912" i="50"/>
  <c r="AB892" i="51" s="1"/>
  <c r="AA912" i="50"/>
  <c r="AA892" i="51" s="1"/>
  <c r="Z912" i="50"/>
  <c r="Z892" i="51" s="1"/>
  <c r="Y912" i="50"/>
  <c r="Y892" i="51" s="1"/>
  <c r="X912" i="50"/>
  <c r="X892" i="51" s="1"/>
  <c r="W912" i="50"/>
  <c r="W892" i="51" s="1"/>
  <c r="V912" i="50"/>
  <c r="V892" i="51" s="1"/>
  <c r="U912" i="50"/>
  <c r="U892" i="51" s="1"/>
  <c r="T912" i="50"/>
  <c r="T892" i="51" s="1"/>
  <c r="AC911" i="50"/>
  <c r="AC891" i="51" s="1"/>
  <c r="AB911" i="50"/>
  <c r="AB891" i="51" s="1"/>
  <c r="AA911" i="50"/>
  <c r="AA891" i="51" s="1"/>
  <c r="Z911" i="50"/>
  <c r="Z891" i="51" s="1"/>
  <c r="Y911" i="50"/>
  <c r="Y891" i="51" s="1"/>
  <c r="X911" i="50"/>
  <c r="X891" i="51" s="1"/>
  <c r="W911" i="50"/>
  <c r="W891" i="51" s="1"/>
  <c r="V911" i="50"/>
  <c r="V891" i="51" s="1"/>
  <c r="U911" i="50"/>
  <c r="U891" i="51" s="1"/>
  <c r="T911" i="50"/>
  <c r="T891" i="51" s="1"/>
  <c r="AC910" i="50"/>
  <c r="AC890" i="51" s="1"/>
  <c r="AB910" i="50"/>
  <c r="AB890" i="51" s="1"/>
  <c r="AA910" i="50"/>
  <c r="AA890" i="51" s="1"/>
  <c r="Z910" i="50"/>
  <c r="Z890" i="51" s="1"/>
  <c r="Y910" i="50"/>
  <c r="Y890" i="51" s="1"/>
  <c r="X910" i="50"/>
  <c r="X890" i="51" s="1"/>
  <c r="W910" i="50"/>
  <c r="W890" i="51" s="1"/>
  <c r="V910" i="50"/>
  <c r="V890" i="51" s="1"/>
  <c r="U910" i="50"/>
  <c r="U890" i="51" s="1"/>
  <c r="T910" i="50"/>
  <c r="T890" i="51" s="1"/>
  <c r="AC909" i="50"/>
  <c r="AC889" i="51" s="1"/>
  <c r="AB909" i="50"/>
  <c r="AB889" i="51" s="1"/>
  <c r="AA909" i="50"/>
  <c r="AA889" i="51" s="1"/>
  <c r="Z909" i="50"/>
  <c r="Z889" i="51" s="1"/>
  <c r="Y909" i="50"/>
  <c r="Y889" i="51" s="1"/>
  <c r="X909" i="50"/>
  <c r="X889" i="51" s="1"/>
  <c r="W909" i="50"/>
  <c r="W889" i="51" s="1"/>
  <c r="V909" i="50"/>
  <c r="V889" i="51" s="1"/>
  <c r="U909" i="50"/>
  <c r="U889" i="51" s="1"/>
  <c r="T909" i="50"/>
  <c r="T889" i="51" s="1"/>
  <c r="AC908" i="50"/>
  <c r="AC888" i="51" s="1"/>
  <c r="AB908" i="50"/>
  <c r="AB888" i="51" s="1"/>
  <c r="AA908" i="50"/>
  <c r="AA888" i="51" s="1"/>
  <c r="Z908" i="50"/>
  <c r="Z888" i="51" s="1"/>
  <c r="Y908" i="50"/>
  <c r="Y888" i="51" s="1"/>
  <c r="X908" i="50"/>
  <c r="X888" i="51" s="1"/>
  <c r="W908" i="50"/>
  <c r="W888" i="51" s="1"/>
  <c r="V908" i="50"/>
  <c r="V888" i="51" s="1"/>
  <c r="U908" i="50"/>
  <c r="U888" i="51" s="1"/>
  <c r="T908" i="50"/>
  <c r="T888" i="51" s="1"/>
  <c r="AC907" i="50"/>
  <c r="AC887" i="51" s="1"/>
  <c r="AB907" i="50"/>
  <c r="AB887" i="51" s="1"/>
  <c r="AA907" i="50"/>
  <c r="AA887" i="51" s="1"/>
  <c r="Z907" i="50"/>
  <c r="Z887" i="51" s="1"/>
  <c r="Y907" i="50"/>
  <c r="Y887" i="51" s="1"/>
  <c r="X907" i="50"/>
  <c r="X887" i="51" s="1"/>
  <c r="W907" i="50"/>
  <c r="W887" i="51" s="1"/>
  <c r="V907" i="50"/>
  <c r="V887" i="51" s="1"/>
  <c r="U907" i="50"/>
  <c r="U887" i="51" s="1"/>
  <c r="T907" i="50"/>
  <c r="T887" i="51" s="1"/>
  <c r="AC906" i="50"/>
  <c r="AC886" i="51" s="1"/>
  <c r="AB906" i="50"/>
  <c r="AB886" i="51" s="1"/>
  <c r="AA906" i="50"/>
  <c r="AA886" i="51" s="1"/>
  <c r="Z906" i="50"/>
  <c r="Z886" i="51" s="1"/>
  <c r="Y906" i="50"/>
  <c r="Y886" i="51" s="1"/>
  <c r="X906" i="50"/>
  <c r="X886" i="51" s="1"/>
  <c r="W906" i="50"/>
  <c r="W886" i="51" s="1"/>
  <c r="V906" i="50"/>
  <c r="V886" i="51" s="1"/>
  <c r="U906" i="50"/>
  <c r="U886" i="51" s="1"/>
  <c r="T906" i="50"/>
  <c r="T886" i="51" s="1"/>
  <c r="AC904" i="50"/>
  <c r="AC884" i="51" s="1"/>
  <c r="AB904" i="50"/>
  <c r="AB884" i="51" s="1"/>
  <c r="AA904" i="50"/>
  <c r="AA884" i="51" s="1"/>
  <c r="Z904" i="50"/>
  <c r="Z884" i="51" s="1"/>
  <c r="Y904" i="50"/>
  <c r="Y884" i="51" s="1"/>
  <c r="X904" i="50"/>
  <c r="X884" i="51" s="1"/>
  <c r="W904" i="50"/>
  <c r="W884" i="51" s="1"/>
  <c r="V904" i="50"/>
  <c r="V884" i="51" s="1"/>
  <c r="U904" i="50"/>
  <c r="U884" i="51" s="1"/>
  <c r="T904" i="50"/>
  <c r="T884" i="51" s="1"/>
  <c r="AB903" i="50"/>
  <c r="AB883" i="51" s="1"/>
  <c r="AA903" i="50"/>
  <c r="AA883" i="51" s="1"/>
  <c r="Z903" i="50"/>
  <c r="Z883" i="51" s="1"/>
  <c r="Y903" i="50"/>
  <c r="Y883" i="51" s="1"/>
  <c r="X903" i="50"/>
  <c r="X883" i="51" s="1"/>
  <c r="W903" i="50"/>
  <c r="W883" i="51" s="1"/>
  <c r="V903" i="50"/>
  <c r="V883" i="51" s="1"/>
  <c r="U903" i="50"/>
  <c r="U883" i="51" s="1"/>
  <c r="T903" i="50"/>
  <c r="T883" i="51" s="1"/>
  <c r="S903" i="50"/>
  <c r="S883" i="51" s="1"/>
  <c r="AB902" i="50"/>
  <c r="AB882" i="51" s="1"/>
  <c r="AA902" i="50"/>
  <c r="AA882" i="51" s="1"/>
  <c r="Z902" i="50"/>
  <c r="Z882" i="51" s="1"/>
  <c r="Y902" i="50"/>
  <c r="Y882" i="51" s="1"/>
  <c r="X902" i="50"/>
  <c r="X882" i="51" s="1"/>
  <c r="W902" i="50"/>
  <c r="W882" i="51" s="1"/>
  <c r="V902" i="50"/>
  <c r="V882" i="51" s="1"/>
  <c r="U902" i="50"/>
  <c r="U882" i="51" s="1"/>
  <c r="T902" i="50"/>
  <c r="T882" i="51" s="1"/>
  <c r="S902" i="50"/>
  <c r="S882" i="51" s="1"/>
  <c r="AB901" i="50"/>
  <c r="AB881" i="51" s="1"/>
  <c r="AA901" i="50"/>
  <c r="AA881" i="51" s="1"/>
  <c r="Z901" i="50"/>
  <c r="Z881" i="51" s="1"/>
  <c r="Y901" i="50"/>
  <c r="Y881" i="51" s="1"/>
  <c r="X901" i="50"/>
  <c r="X881" i="51" s="1"/>
  <c r="W901" i="50"/>
  <c r="W881" i="51" s="1"/>
  <c r="V901" i="50"/>
  <c r="V881" i="51" s="1"/>
  <c r="U901" i="50"/>
  <c r="U881" i="51" s="1"/>
  <c r="T901" i="50"/>
  <c r="T881" i="51" s="1"/>
  <c r="S901" i="50"/>
  <c r="S881" i="51" s="1"/>
  <c r="AB900" i="50"/>
  <c r="AB880" i="51" s="1"/>
  <c r="AA900" i="50"/>
  <c r="AA880" i="51" s="1"/>
  <c r="Z900" i="50"/>
  <c r="Z880" i="51" s="1"/>
  <c r="Y900" i="50"/>
  <c r="Y880" i="51" s="1"/>
  <c r="X900" i="50"/>
  <c r="X880" i="51" s="1"/>
  <c r="W900" i="50"/>
  <c r="W880" i="51" s="1"/>
  <c r="V900" i="50"/>
  <c r="V880" i="51" s="1"/>
  <c r="U900" i="50"/>
  <c r="U880" i="51" s="1"/>
  <c r="T900" i="50"/>
  <c r="T880" i="51" s="1"/>
  <c r="S900" i="50"/>
  <c r="S880" i="51" s="1"/>
  <c r="AB899" i="50"/>
  <c r="AB879" i="51" s="1"/>
  <c r="AA899" i="50"/>
  <c r="AA879" i="51" s="1"/>
  <c r="Z899" i="50"/>
  <c r="Z879" i="51" s="1"/>
  <c r="Y899" i="50"/>
  <c r="Y879" i="51" s="1"/>
  <c r="X899" i="50"/>
  <c r="X879" i="51" s="1"/>
  <c r="W899" i="50"/>
  <c r="W879" i="51" s="1"/>
  <c r="V899" i="50"/>
  <c r="V879" i="51" s="1"/>
  <c r="U899" i="50"/>
  <c r="U879" i="51" s="1"/>
  <c r="T899" i="50"/>
  <c r="T879" i="51" s="1"/>
  <c r="S899" i="50"/>
  <c r="S879" i="51" s="1"/>
  <c r="AB898" i="50"/>
  <c r="AB878" i="51" s="1"/>
  <c r="AA898" i="50"/>
  <c r="AA878" i="51" s="1"/>
  <c r="Z898" i="50"/>
  <c r="Z878" i="51" s="1"/>
  <c r="Y898" i="50"/>
  <c r="Y878" i="51" s="1"/>
  <c r="X898" i="50"/>
  <c r="X878" i="51" s="1"/>
  <c r="W898" i="50"/>
  <c r="W878" i="51" s="1"/>
  <c r="V898" i="50"/>
  <c r="V878" i="51" s="1"/>
  <c r="U898" i="50"/>
  <c r="U878" i="51" s="1"/>
  <c r="T898" i="50"/>
  <c r="T878" i="51" s="1"/>
  <c r="S898" i="50"/>
  <c r="S878" i="51" s="1"/>
  <c r="AB897" i="50"/>
  <c r="AB877" i="51" s="1"/>
  <c r="AA897" i="50"/>
  <c r="AA877" i="51" s="1"/>
  <c r="Z897" i="50"/>
  <c r="Z877" i="51" s="1"/>
  <c r="Y897" i="50"/>
  <c r="Y877" i="51" s="1"/>
  <c r="X897" i="50"/>
  <c r="X877" i="51" s="1"/>
  <c r="W897" i="50"/>
  <c r="W877" i="51" s="1"/>
  <c r="V897" i="50"/>
  <c r="V877" i="51" s="1"/>
  <c r="U897" i="50"/>
  <c r="U877" i="51" s="1"/>
  <c r="T897" i="50"/>
  <c r="T877" i="51" s="1"/>
  <c r="S897" i="50"/>
  <c r="S877" i="51" s="1"/>
  <c r="AB895" i="50"/>
  <c r="AB875" i="51" s="1"/>
  <c r="AA895" i="50"/>
  <c r="AA875" i="51" s="1"/>
  <c r="Z895" i="50"/>
  <c r="Z875" i="51" s="1"/>
  <c r="Y895" i="50"/>
  <c r="Y875" i="51" s="1"/>
  <c r="X895" i="50"/>
  <c r="X875" i="51" s="1"/>
  <c r="W895" i="50"/>
  <c r="W875" i="51" s="1"/>
  <c r="V895" i="50"/>
  <c r="V875" i="51" s="1"/>
  <c r="U895" i="50"/>
  <c r="U875" i="51" s="1"/>
  <c r="T895" i="50"/>
  <c r="T875" i="51" s="1"/>
  <c r="S895" i="50"/>
  <c r="S875" i="51" s="1"/>
  <c r="AB893" i="50"/>
  <c r="AB873" i="51" s="1"/>
  <c r="AA893" i="50"/>
  <c r="AA873" i="51" s="1"/>
  <c r="Z893" i="50"/>
  <c r="Z873" i="51" s="1"/>
  <c r="Y893" i="50"/>
  <c r="Y873" i="51" s="1"/>
  <c r="X893" i="50"/>
  <c r="X873" i="51" s="1"/>
  <c r="W893" i="50"/>
  <c r="W873" i="51" s="1"/>
  <c r="V893" i="50"/>
  <c r="V873" i="51" s="1"/>
  <c r="U893" i="50"/>
  <c r="U873" i="51" s="1"/>
  <c r="T893" i="50"/>
  <c r="T873" i="51" s="1"/>
  <c r="S893" i="50"/>
  <c r="S873" i="51" s="1"/>
  <c r="AB892" i="50"/>
  <c r="AB872" i="51" s="1"/>
  <c r="AA892" i="50"/>
  <c r="AA872" i="51" s="1"/>
  <c r="Z892" i="50"/>
  <c r="Z872" i="51" s="1"/>
  <c r="Y892" i="50"/>
  <c r="Y872" i="51" s="1"/>
  <c r="X892" i="50"/>
  <c r="X872" i="51" s="1"/>
  <c r="W892" i="50"/>
  <c r="W872" i="51" s="1"/>
  <c r="V892" i="50"/>
  <c r="V872" i="51" s="1"/>
  <c r="U892" i="50"/>
  <c r="U872" i="51" s="1"/>
  <c r="T892" i="50"/>
  <c r="T872" i="51" s="1"/>
  <c r="S892" i="50"/>
  <c r="S872" i="51" s="1"/>
  <c r="AB891" i="50"/>
  <c r="AB871" i="51" s="1"/>
  <c r="AA891" i="50"/>
  <c r="AA871" i="51" s="1"/>
  <c r="Z891" i="50"/>
  <c r="Z871" i="51" s="1"/>
  <c r="Y891" i="50"/>
  <c r="Y871" i="51" s="1"/>
  <c r="X891" i="50"/>
  <c r="X871" i="51" s="1"/>
  <c r="W891" i="50"/>
  <c r="W871" i="51" s="1"/>
  <c r="V891" i="50"/>
  <c r="V871" i="51" s="1"/>
  <c r="U891" i="50"/>
  <c r="U871" i="51" s="1"/>
  <c r="T891" i="50"/>
  <c r="T871" i="51" s="1"/>
  <c r="S891" i="50"/>
  <c r="S871" i="51" s="1"/>
  <c r="AB890" i="50"/>
  <c r="AB870" i="51" s="1"/>
  <c r="AA890" i="50"/>
  <c r="AA870" i="51" s="1"/>
  <c r="Z890" i="50"/>
  <c r="Z870" i="51" s="1"/>
  <c r="Y890" i="50"/>
  <c r="Y870" i="51" s="1"/>
  <c r="X890" i="50"/>
  <c r="X870" i="51" s="1"/>
  <c r="W890" i="50"/>
  <c r="W870" i="51" s="1"/>
  <c r="V890" i="50"/>
  <c r="V870" i="51" s="1"/>
  <c r="U890" i="50"/>
  <c r="U870" i="51" s="1"/>
  <c r="T890" i="50"/>
  <c r="T870" i="51" s="1"/>
  <c r="S890" i="50"/>
  <c r="S870" i="51" s="1"/>
  <c r="AB889" i="50"/>
  <c r="AB869" i="51" s="1"/>
  <c r="AA889" i="50"/>
  <c r="AA869" i="51" s="1"/>
  <c r="Z889" i="50"/>
  <c r="Z869" i="51" s="1"/>
  <c r="Y889" i="50"/>
  <c r="Y869" i="51" s="1"/>
  <c r="X889" i="50"/>
  <c r="X869" i="51" s="1"/>
  <c r="W889" i="50"/>
  <c r="W869" i="51" s="1"/>
  <c r="V889" i="50"/>
  <c r="V869" i="51" s="1"/>
  <c r="U889" i="50"/>
  <c r="U869" i="51" s="1"/>
  <c r="T889" i="50"/>
  <c r="T869" i="51" s="1"/>
  <c r="S889" i="50"/>
  <c r="S869" i="51" s="1"/>
  <c r="AB888" i="50"/>
  <c r="AB868" i="51" s="1"/>
  <c r="AA888" i="50"/>
  <c r="AA868" i="51" s="1"/>
  <c r="Z888" i="50"/>
  <c r="Z868" i="51" s="1"/>
  <c r="Y888" i="50"/>
  <c r="Y868" i="51" s="1"/>
  <c r="X888" i="50"/>
  <c r="X868" i="51" s="1"/>
  <c r="W888" i="50"/>
  <c r="W868" i="51" s="1"/>
  <c r="V888" i="50"/>
  <c r="V868" i="51" s="1"/>
  <c r="U888" i="50"/>
  <c r="U868" i="51" s="1"/>
  <c r="T888" i="50"/>
  <c r="T868" i="51" s="1"/>
  <c r="S888" i="50"/>
  <c r="S868" i="51" s="1"/>
  <c r="AB887" i="50"/>
  <c r="AB867" i="51" s="1"/>
  <c r="AA887" i="50"/>
  <c r="AA867" i="51" s="1"/>
  <c r="Z887" i="50"/>
  <c r="Z867" i="51" s="1"/>
  <c r="Y887" i="50"/>
  <c r="Y867" i="51" s="1"/>
  <c r="X887" i="50"/>
  <c r="X867" i="51" s="1"/>
  <c r="W887" i="50"/>
  <c r="W867" i="51" s="1"/>
  <c r="V887" i="50"/>
  <c r="V867" i="51" s="1"/>
  <c r="U887" i="50"/>
  <c r="U867" i="51" s="1"/>
  <c r="T887" i="50"/>
  <c r="T867" i="51" s="1"/>
  <c r="S887" i="50"/>
  <c r="S867" i="51" s="1"/>
  <c r="AB886" i="50"/>
  <c r="AB866" i="51" s="1"/>
  <c r="AA886" i="50"/>
  <c r="AA866" i="51" s="1"/>
  <c r="Z886" i="50"/>
  <c r="Z866" i="51" s="1"/>
  <c r="Y886" i="50"/>
  <c r="Y866" i="51" s="1"/>
  <c r="X886" i="50"/>
  <c r="X866" i="51" s="1"/>
  <c r="W886" i="50"/>
  <c r="W866" i="51" s="1"/>
  <c r="V886" i="50"/>
  <c r="V866" i="51" s="1"/>
  <c r="U886" i="50"/>
  <c r="U866" i="51" s="1"/>
  <c r="T886" i="50"/>
  <c r="T866" i="51" s="1"/>
  <c r="S886" i="50"/>
  <c r="S866" i="51" s="1"/>
  <c r="AB885" i="50"/>
  <c r="AB865" i="51" s="1"/>
  <c r="AA885" i="50"/>
  <c r="AA865" i="51" s="1"/>
  <c r="Z885" i="50"/>
  <c r="Z865" i="51" s="1"/>
  <c r="Y885" i="50"/>
  <c r="Y865" i="51" s="1"/>
  <c r="X885" i="50"/>
  <c r="X865" i="51" s="1"/>
  <c r="W885" i="50"/>
  <c r="W865" i="51" s="1"/>
  <c r="V885" i="50"/>
  <c r="V865" i="51" s="1"/>
  <c r="U885" i="50"/>
  <c r="U865" i="51" s="1"/>
  <c r="T885" i="50"/>
  <c r="T865" i="51" s="1"/>
  <c r="S885" i="50"/>
  <c r="S865" i="51" s="1"/>
  <c r="AB884" i="50"/>
  <c r="AB864" i="51" s="1"/>
  <c r="AA884" i="50"/>
  <c r="AA864" i="51" s="1"/>
  <c r="Z884" i="50"/>
  <c r="Z864" i="51" s="1"/>
  <c r="Y884" i="50"/>
  <c r="Y864" i="51" s="1"/>
  <c r="X884" i="50"/>
  <c r="X864" i="51" s="1"/>
  <c r="W884" i="50"/>
  <c r="W864" i="51" s="1"/>
  <c r="V884" i="50"/>
  <c r="V864" i="51" s="1"/>
  <c r="U884" i="50"/>
  <c r="U864" i="51" s="1"/>
  <c r="T884" i="50"/>
  <c r="T864" i="51" s="1"/>
  <c r="S884" i="50"/>
  <c r="S864" i="51" s="1"/>
  <c r="AB882" i="50"/>
  <c r="AB862" i="51" s="1"/>
  <c r="AA882" i="50"/>
  <c r="AA862" i="51" s="1"/>
  <c r="Z882" i="50"/>
  <c r="Z862" i="51" s="1"/>
  <c r="Y882" i="50"/>
  <c r="Y862" i="51" s="1"/>
  <c r="X882" i="50"/>
  <c r="X862" i="51" s="1"/>
  <c r="W882" i="50"/>
  <c r="W862" i="51" s="1"/>
  <c r="V882" i="50"/>
  <c r="V862" i="51" s="1"/>
  <c r="U882" i="50"/>
  <c r="U862" i="51" s="1"/>
  <c r="T882" i="50"/>
  <c r="T862" i="51" s="1"/>
  <c r="S882" i="50"/>
  <c r="S862" i="51" s="1"/>
  <c r="AA881" i="50"/>
  <c r="AA861" i="51" s="1"/>
  <c r="Z881" i="50"/>
  <c r="Z861" i="51" s="1"/>
  <c r="Y881" i="50"/>
  <c r="Y861" i="51" s="1"/>
  <c r="X881" i="50"/>
  <c r="X861" i="51" s="1"/>
  <c r="W881" i="50"/>
  <c r="W861" i="51" s="1"/>
  <c r="V881" i="50"/>
  <c r="V861" i="51" s="1"/>
  <c r="U881" i="50"/>
  <c r="U861" i="51" s="1"/>
  <c r="T881" i="50"/>
  <c r="T861" i="51" s="1"/>
  <c r="S881" i="50"/>
  <c r="S861" i="51" s="1"/>
  <c r="R881" i="50"/>
  <c r="R861" i="51" s="1"/>
  <c r="AA880" i="50"/>
  <c r="AA860" i="51" s="1"/>
  <c r="Z880" i="50"/>
  <c r="Z860" i="51" s="1"/>
  <c r="Y880" i="50"/>
  <c r="Y860" i="51" s="1"/>
  <c r="X880" i="50"/>
  <c r="X860" i="51" s="1"/>
  <c r="W880" i="50"/>
  <c r="W860" i="51" s="1"/>
  <c r="V880" i="50"/>
  <c r="V860" i="51" s="1"/>
  <c r="U880" i="50"/>
  <c r="U860" i="51" s="1"/>
  <c r="T880" i="50"/>
  <c r="T860" i="51" s="1"/>
  <c r="S880" i="50"/>
  <c r="S860" i="51" s="1"/>
  <c r="R880" i="50"/>
  <c r="R860" i="51" s="1"/>
  <c r="AA879" i="50"/>
  <c r="AA859" i="51" s="1"/>
  <c r="Z879" i="50"/>
  <c r="Z859" i="51" s="1"/>
  <c r="Y879" i="50"/>
  <c r="Y859" i="51" s="1"/>
  <c r="X879" i="50"/>
  <c r="X859" i="51" s="1"/>
  <c r="W879" i="50"/>
  <c r="W859" i="51" s="1"/>
  <c r="V879" i="50"/>
  <c r="V859" i="51" s="1"/>
  <c r="U879" i="50"/>
  <c r="U859" i="51" s="1"/>
  <c r="T879" i="50"/>
  <c r="T859" i="51" s="1"/>
  <c r="S879" i="50"/>
  <c r="S859" i="51" s="1"/>
  <c r="R879" i="50"/>
  <c r="R859" i="51" s="1"/>
  <c r="AA878" i="50"/>
  <c r="AA858" i="51" s="1"/>
  <c r="Z878" i="50"/>
  <c r="Z858" i="51" s="1"/>
  <c r="Y878" i="50"/>
  <c r="Y858" i="51" s="1"/>
  <c r="X878" i="50"/>
  <c r="X858" i="51" s="1"/>
  <c r="W878" i="50"/>
  <c r="W858" i="51" s="1"/>
  <c r="V878" i="50"/>
  <c r="V858" i="51" s="1"/>
  <c r="U878" i="50"/>
  <c r="U858" i="51" s="1"/>
  <c r="T878" i="50"/>
  <c r="T858" i="51" s="1"/>
  <c r="S878" i="50"/>
  <c r="S858" i="51" s="1"/>
  <c r="R878" i="50"/>
  <c r="R858" i="51" s="1"/>
  <c r="AA877" i="50"/>
  <c r="AA857" i="51" s="1"/>
  <c r="Z877" i="50"/>
  <c r="Z857" i="51" s="1"/>
  <c r="Y877" i="50"/>
  <c r="Y857" i="51" s="1"/>
  <c r="X877" i="50"/>
  <c r="X857" i="51" s="1"/>
  <c r="W877" i="50"/>
  <c r="W857" i="51" s="1"/>
  <c r="V877" i="50"/>
  <c r="V857" i="51" s="1"/>
  <c r="U877" i="50"/>
  <c r="U857" i="51" s="1"/>
  <c r="T877" i="50"/>
  <c r="T857" i="51" s="1"/>
  <c r="S877" i="50"/>
  <c r="S857" i="51" s="1"/>
  <c r="R877" i="50"/>
  <c r="R857" i="51" s="1"/>
  <c r="AA876" i="50"/>
  <c r="AA856" i="51" s="1"/>
  <c r="Z876" i="50"/>
  <c r="Z856" i="51" s="1"/>
  <c r="Y876" i="50"/>
  <c r="Y856" i="51" s="1"/>
  <c r="X876" i="50"/>
  <c r="X856" i="51" s="1"/>
  <c r="W876" i="50"/>
  <c r="W856" i="51" s="1"/>
  <c r="V876" i="50"/>
  <c r="V856" i="51" s="1"/>
  <c r="U876" i="50"/>
  <c r="U856" i="51" s="1"/>
  <c r="T876" i="50"/>
  <c r="T856" i="51" s="1"/>
  <c r="S876" i="50"/>
  <c r="S856" i="51" s="1"/>
  <c r="R876" i="50"/>
  <c r="R856" i="51" s="1"/>
  <c r="AA875" i="50"/>
  <c r="AA855" i="51" s="1"/>
  <c r="Z875" i="50"/>
  <c r="Z855" i="51" s="1"/>
  <c r="Y875" i="50"/>
  <c r="Y855" i="51" s="1"/>
  <c r="X875" i="50"/>
  <c r="X855" i="51" s="1"/>
  <c r="W875" i="50"/>
  <c r="W855" i="51" s="1"/>
  <c r="V875" i="50"/>
  <c r="V855" i="51" s="1"/>
  <c r="U875" i="50"/>
  <c r="U855" i="51" s="1"/>
  <c r="T875" i="50"/>
  <c r="T855" i="51" s="1"/>
  <c r="S875" i="50"/>
  <c r="S855" i="51" s="1"/>
  <c r="R875" i="50"/>
  <c r="R855" i="51" s="1"/>
  <c r="AA873" i="50"/>
  <c r="AA853" i="51" s="1"/>
  <c r="Z873" i="50"/>
  <c r="Z853" i="51" s="1"/>
  <c r="Y873" i="50"/>
  <c r="Y853" i="51" s="1"/>
  <c r="X873" i="50"/>
  <c r="X853" i="51" s="1"/>
  <c r="W873" i="50"/>
  <c r="W853" i="51" s="1"/>
  <c r="V873" i="50"/>
  <c r="V853" i="51" s="1"/>
  <c r="U873" i="50"/>
  <c r="U853" i="51" s="1"/>
  <c r="T873" i="50"/>
  <c r="T853" i="51" s="1"/>
  <c r="S873" i="50"/>
  <c r="S853" i="51" s="1"/>
  <c r="R873" i="50"/>
  <c r="R853" i="51" s="1"/>
  <c r="AA871" i="50"/>
  <c r="AA851" i="51" s="1"/>
  <c r="Z871" i="50"/>
  <c r="Z851" i="51" s="1"/>
  <c r="Y871" i="50"/>
  <c r="Y851" i="51" s="1"/>
  <c r="X871" i="50"/>
  <c r="X851" i="51" s="1"/>
  <c r="W871" i="50"/>
  <c r="W851" i="51" s="1"/>
  <c r="V871" i="50"/>
  <c r="V851" i="51" s="1"/>
  <c r="U871" i="50"/>
  <c r="U851" i="51" s="1"/>
  <c r="T871" i="50"/>
  <c r="T851" i="51" s="1"/>
  <c r="S871" i="50"/>
  <c r="S851" i="51" s="1"/>
  <c r="R871" i="50"/>
  <c r="R851" i="51" s="1"/>
  <c r="AA870" i="50"/>
  <c r="AA850" i="51" s="1"/>
  <c r="Z870" i="50"/>
  <c r="Z850" i="51" s="1"/>
  <c r="Y870" i="50"/>
  <c r="Y850" i="51" s="1"/>
  <c r="X870" i="50"/>
  <c r="X850" i="51" s="1"/>
  <c r="W870" i="50"/>
  <c r="W850" i="51" s="1"/>
  <c r="V870" i="50"/>
  <c r="V850" i="51" s="1"/>
  <c r="U870" i="50"/>
  <c r="U850" i="51" s="1"/>
  <c r="T870" i="50"/>
  <c r="T850" i="51" s="1"/>
  <c r="S870" i="50"/>
  <c r="S850" i="51" s="1"/>
  <c r="R870" i="50"/>
  <c r="R850" i="51" s="1"/>
  <c r="AA869" i="50"/>
  <c r="AA849" i="51" s="1"/>
  <c r="Z869" i="50"/>
  <c r="Z849" i="51" s="1"/>
  <c r="Y869" i="50"/>
  <c r="Y849" i="51" s="1"/>
  <c r="X869" i="50"/>
  <c r="X849" i="51" s="1"/>
  <c r="W869" i="50"/>
  <c r="W849" i="51" s="1"/>
  <c r="V869" i="50"/>
  <c r="V849" i="51" s="1"/>
  <c r="U869" i="50"/>
  <c r="U849" i="51" s="1"/>
  <c r="T869" i="50"/>
  <c r="T849" i="51" s="1"/>
  <c r="S869" i="50"/>
  <c r="S849" i="51" s="1"/>
  <c r="R869" i="50"/>
  <c r="R849" i="51" s="1"/>
  <c r="AA868" i="50"/>
  <c r="AA848" i="51" s="1"/>
  <c r="Z868" i="50"/>
  <c r="Z848" i="51" s="1"/>
  <c r="Y868" i="50"/>
  <c r="Y848" i="51" s="1"/>
  <c r="X868" i="50"/>
  <c r="X848" i="51" s="1"/>
  <c r="W868" i="50"/>
  <c r="W848" i="51" s="1"/>
  <c r="V868" i="50"/>
  <c r="V848" i="51" s="1"/>
  <c r="U868" i="50"/>
  <c r="U848" i="51" s="1"/>
  <c r="T868" i="50"/>
  <c r="T848" i="51" s="1"/>
  <c r="S868" i="50"/>
  <c r="S848" i="51" s="1"/>
  <c r="R868" i="50"/>
  <c r="R848" i="51" s="1"/>
  <c r="AA867" i="50"/>
  <c r="AA847" i="51" s="1"/>
  <c r="Z867" i="50"/>
  <c r="Z847" i="51" s="1"/>
  <c r="Y867" i="50"/>
  <c r="Y847" i="51" s="1"/>
  <c r="X867" i="50"/>
  <c r="X847" i="51" s="1"/>
  <c r="W867" i="50"/>
  <c r="W847" i="51" s="1"/>
  <c r="V867" i="50"/>
  <c r="V847" i="51" s="1"/>
  <c r="U867" i="50"/>
  <c r="U847" i="51" s="1"/>
  <c r="T867" i="50"/>
  <c r="T847" i="51" s="1"/>
  <c r="S867" i="50"/>
  <c r="S847" i="51" s="1"/>
  <c r="R867" i="50"/>
  <c r="R847" i="51" s="1"/>
  <c r="AA866" i="50"/>
  <c r="AA846" i="51" s="1"/>
  <c r="Z866" i="50"/>
  <c r="Z846" i="51" s="1"/>
  <c r="Y866" i="50"/>
  <c r="Y846" i="51" s="1"/>
  <c r="X866" i="50"/>
  <c r="X846" i="51" s="1"/>
  <c r="W866" i="50"/>
  <c r="W846" i="51" s="1"/>
  <c r="V866" i="50"/>
  <c r="V846" i="51" s="1"/>
  <c r="U866" i="50"/>
  <c r="U846" i="51" s="1"/>
  <c r="T866" i="50"/>
  <c r="T846" i="51" s="1"/>
  <c r="S866" i="50"/>
  <c r="S846" i="51" s="1"/>
  <c r="R866" i="50"/>
  <c r="R846" i="51" s="1"/>
  <c r="AA865" i="50"/>
  <c r="AA845" i="51" s="1"/>
  <c r="Z865" i="50"/>
  <c r="Z845" i="51" s="1"/>
  <c r="Y865" i="50"/>
  <c r="Y845" i="51" s="1"/>
  <c r="X865" i="50"/>
  <c r="X845" i="51" s="1"/>
  <c r="W865" i="50"/>
  <c r="W845" i="51" s="1"/>
  <c r="V865" i="50"/>
  <c r="V845" i="51" s="1"/>
  <c r="U865" i="50"/>
  <c r="U845" i="51" s="1"/>
  <c r="T865" i="50"/>
  <c r="T845" i="51" s="1"/>
  <c r="S865" i="50"/>
  <c r="S845" i="51" s="1"/>
  <c r="R865" i="50"/>
  <c r="R845" i="51" s="1"/>
  <c r="AA864" i="50"/>
  <c r="AA844" i="51" s="1"/>
  <c r="Z864" i="50"/>
  <c r="Z844" i="51" s="1"/>
  <c r="Y864" i="50"/>
  <c r="Y844" i="51" s="1"/>
  <c r="X864" i="50"/>
  <c r="X844" i="51" s="1"/>
  <c r="W864" i="50"/>
  <c r="W844" i="51" s="1"/>
  <c r="V864" i="50"/>
  <c r="V844" i="51" s="1"/>
  <c r="U864" i="50"/>
  <c r="U844" i="51" s="1"/>
  <c r="T864" i="50"/>
  <c r="T844" i="51" s="1"/>
  <c r="S864" i="50"/>
  <c r="S844" i="51" s="1"/>
  <c r="R864" i="50"/>
  <c r="R844" i="51" s="1"/>
  <c r="AA863" i="50"/>
  <c r="AA843" i="51" s="1"/>
  <c r="Z863" i="50"/>
  <c r="Z843" i="51" s="1"/>
  <c r="Y863" i="50"/>
  <c r="Y843" i="51" s="1"/>
  <c r="X863" i="50"/>
  <c r="X843" i="51" s="1"/>
  <c r="W863" i="50"/>
  <c r="W843" i="51" s="1"/>
  <c r="V863" i="50"/>
  <c r="V843" i="51" s="1"/>
  <c r="U863" i="50"/>
  <c r="U843" i="51" s="1"/>
  <c r="T863" i="50"/>
  <c r="T843" i="51" s="1"/>
  <c r="S863" i="50"/>
  <c r="S843" i="51" s="1"/>
  <c r="R863" i="50"/>
  <c r="R843" i="51" s="1"/>
  <c r="AA862" i="50"/>
  <c r="AA842" i="51" s="1"/>
  <c r="Z862" i="50"/>
  <c r="Z842" i="51" s="1"/>
  <c r="Y862" i="50"/>
  <c r="Y842" i="51" s="1"/>
  <c r="X862" i="50"/>
  <c r="X842" i="51" s="1"/>
  <c r="W862" i="50"/>
  <c r="W842" i="51" s="1"/>
  <c r="V862" i="50"/>
  <c r="V842" i="51" s="1"/>
  <c r="U862" i="50"/>
  <c r="U842" i="51" s="1"/>
  <c r="T862" i="50"/>
  <c r="T842" i="51" s="1"/>
  <c r="S862" i="50"/>
  <c r="S842" i="51" s="1"/>
  <c r="R862" i="50"/>
  <c r="R842" i="51" s="1"/>
  <c r="AA860" i="50"/>
  <c r="AA840" i="51" s="1"/>
  <c r="Z860" i="50"/>
  <c r="Z840" i="51" s="1"/>
  <c r="Y860" i="50"/>
  <c r="Y840" i="51" s="1"/>
  <c r="X860" i="50"/>
  <c r="X840" i="51" s="1"/>
  <c r="W860" i="50"/>
  <c r="W840" i="51" s="1"/>
  <c r="V860" i="50"/>
  <c r="V840" i="51" s="1"/>
  <c r="U860" i="50"/>
  <c r="U840" i="51" s="1"/>
  <c r="T860" i="50"/>
  <c r="T840" i="51" s="1"/>
  <c r="S860" i="50"/>
  <c r="S840" i="51" s="1"/>
  <c r="R860" i="50"/>
  <c r="R840" i="51" s="1"/>
  <c r="Z859" i="50"/>
  <c r="Z839" i="51" s="1"/>
  <c r="Y859" i="50"/>
  <c r="Y839" i="51" s="1"/>
  <c r="X859" i="50"/>
  <c r="X839" i="51" s="1"/>
  <c r="W859" i="50"/>
  <c r="W839" i="51" s="1"/>
  <c r="V859" i="50"/>
  <c r="V839" i="51" s="1"/>
  <c r="U859" i="50"/>
  <c r="U839" i="51" s="1"/>
  <c r="T859" i="50"/>
  <c r="T839" i="51" s="1"/>
  <c r="S859" i="50"/>
  <c r="S839" i="51" s="1"/>
  <c r="R859" i="50"/>
  <c r="R839" i="51" s="1"/>
  <c r="Q859" i="50"/>
  <c r="Q839" i="51" s="1"/>
  <c r="Z858" i="50"/>
  <c r="Z838" i="51" s="1"/>
  <c r="Y858" i="50"/>
  <c r="Y838" i="51" s="1"/>
  <c r="X858" i="50"/>
  <c r="X838" i="51" s="1"/>
  <c r="W858" i="50"/>
  <c r="W838" i="51" s="1"/>
  <c r="V858" i="50"/>
  <c r="V838" i="51" s="1"/>
  <c r="U858" i="50"/>
  <c r="U838" i="51" s="1"/>
  <c r="T858" i="50"/>
  <c r="T838" i="51" s="1"/>
  <c r="S858" i="50"/>
  <c r="S838" i="51" s="1"/>
  <c r="R858" i="50"/>
  <c r="R838" i="51" s="1"/>
  <c r="Q858" i="50"/>
  <c r="Q838" i="51" s="1"/>
  <c r="Z857" i="50"/>
  <c r="Z837" i="51" s="1"/>
  <c r="Y857" i="50"/>
  <c r="Y837" i="51" s="1"/>
  <c r="X857" i="50"/>
  <c r="X837" i="51" s="1"/>
  <c r="W857" i="50"/>
  <c r="W837" i="51" s="1"/>
  <c r="V857" i="50"/>
  <c r="V837" i="51" s="1"/>
  <c r="U857" i="50"/>
  <c r="U837" i="51" s="1"/>
  <c r="T857" i="50"/>
  <c r="T837" i="51" s="1"/>
  <c r="S857" i="50"/>
  <c r="S837" i="51" s="1"/>
  <c r="R857" i="50"/>
  <c r="R837" i="51" s="1"/>
  <c r="Q857" i="50"/>
  <c r="Q837" i="51" s="1"/>
  <c r="Z856" i="50"/>
  <c r="Z836" i="51" s="1"/>
  <c r="Y856" i="50"/>
  <c r="Y836" i="51" s="1"/>
  <c r="X856" i="50"/>
  <c r="X836" i="51" s="1"/>
  <c r="W856" i="50"/>
  <c r="W836" i="51" s="1"/>
  <c r="V856" i="50"/>
  <c r="V836" i="51" s="1"/>
  <c r="U856" i="50"/>
  <c r="U836" i="51" s="1"/>
  <c r="T856" i="50"/>
  <c r="T836" i="51" s="1"/>
  <c r="S856" i="50"/>
  <c r="S836" i="51" s="1"/>
  <c r="R856" i="50"/>
  <c r="R836" i="51" s="1"/>
  <c r="Q856" i="50"/>
  <c r="Q836" i="51" s="1"/>
  <c r="Z855" i="50"/>
  <c r="Z835" i="51" s="1"/>
  <c r="Y855" i="50"/>
  <c r="Y835" i="51" s="1"/>
  <c r="X855" i="50"/>
  <c r="X835" i="51" s="1"/>
  <c r="W855" i="50"/>
  <c r="W835" i="51" s="1"/>
  <c r="V855" i="50"/>
  <c r="V835" i="51" s="1"/>
  <c r="U855" i="50"/>
  <c r="U835" i="51" s="1"/>
  <c r="T855" i="50"/>
  <c r="T835" i="51" s="1"/>
  <c r="S855" i="50"/>
  <c r="S835" i="51" s="1"/>
  <c r="R855" i="50"/>
  <c r="R835" i="51" s="1"/>
  <c r="Q855" i="50"/>
  <c r="Q835" i="51" s="1"/>
  <c r="Z854" i="50"/>
  <c r="Z834" i="51" s="1"/>
  <c r="Y854" i="50"/>
  <c r="Y834" i="51" s="1"/>
  <c r="X854" i="50"/>
  <c r="X834" i="51" s="1"/>
  <c r="W854" i="50"/>
  <c r="W834" i="51" s="1"/>
  <c r="V854" i="50"/>
  <c r="V834" i="51" s="1"/>
  <c r="U854" i="50"/>
  <c r="U834" i="51" s="1"/>
  <c r="T854" i="50"/>
  <c r="T834" i="51" s="1"/>
  <c r="S854" i="50"/>
  <c r="S834" i="51" s="1"/>
  <c r="R854" i="50"/>
  <c r="R834" i="51" s="1"/>
  <c r="Q854" i="50"/>
  <c r="Q834" i="51" s="1"/>
  <c r="Z853" i="50"/>
  <c r="Z833" i="51" s="1"/>
  <c r="Y853" i="50"/>
  <c r="Y833" i="51" s="1"/>
  <c r="X853" i="50"/>
  <c r="X833" i="51" s="1"/>
  <c r="W853" i="50"/>
  <c r="W833" i="51" s="1"/>
  <c r="V853" i="50"/>
  <c r="V833" i="51" s="1"/>
  <c r="U853" i="50"/>
  <c r="U833" i="51" s="1"/>
  <c r="T853" i="50"/>
  <c r="T833" i="51" s="1"/>
  <c r="S853" i="50"/>
  <c r="S833" i="51" s="1"/>
  <c r="R853" i="50"/>
  <c r="R833" i="51" s="1"/>
  <c r="Q853" i="50"/>
  <c r="Q833" i="51" s="1"/>
  <c r="Z851" i="50"/>
  <c r="Z831" i="51" s="1"/>
  <c r="Y851" i="50"/>
  <c r="Y831" i="51" s="1"/>
  <c r="X851" i="50"/>
  <c r="X831" i="51" s="1"/>
  <c r="W851" i="50"/>
  <c r="W831" i="51" s="1"/>
  <c r="V851" i="50"/>
  <c r="V831" i="51" s="1"/>
  <c r="U851" i="50"/>
  <c r="U831" i="51" s="1"/>
  <c r="T851" i="50"/>
  <c r="T831" i="51" s="1"/>
  <c r="S851" i="50"/>
  <c r="S831" i="51" s="1"/>
  <c r="R851" i="50"/>
  <c r="R831" i="51" s="1"/>
  <c r="Q851" i="50"/>
  <c r="Q831" i="51" s="1"/>
  <c r="Z849" i="50"/>
  <c r="Z829" i="51" s="1"/>
  <c r="Y849" i="50"/>
  <c r="Y829" i="51" s="1"/>
  <c r="X849" i="50"/>
  <c r="X829" i="51" s="1"/>
  <c r="W849" i="50"/>
  <c r="W829" i="51" s="1"/>
  <c r="V849" i="50"/>
  <c r="V829" i="51" s="1"/>
  <c r="U849" i="50"/>
  <c r="U829" i="51" s="1"/>
  <c r="T849" i="50"/>
  <c r="T829" i="51" s="1"/>
  <c r="S849" i="50"/>
  <c r="S829" i="51" s="1"/>
  <c r="R849" i="50"/>
  <c r="R829" i="51" s="1"/>
  <c r="Q849" i="50"/>
  <c r="Q829" i="51" s="1"/>
  <c r="Z848" i="50"/>
  <c r="Z828" i="51" s="1"/>
  <c r="Y848" i="50"/>
  <c r="Y828" i="51" s="1"/>
  <c r="X848" i="50"/>
  <c r="X828" i="51" s="1"/>
  <c r="W848" i="50"/>
  <c r="W828" i="51" s="1"/>
  <c r="V848" i="50"/>
  <c r="V828" i="51" s="1"/>
  <c r="U848" i="50"/>
  <c r="U828" i="51" s="1"/>
  <c r="T848" i="50"/>
  <c r="T828" i="51" s="1"/>
  <c r="S848" i="50"/>
  <c r="S828" i="51" s="1"/>
  <c r="R848" i="50"/>
  <c r="R828" i="51" s="1"/>
  <c r="Q848" i="50"/>
  <c r="Q828" i="51" s="1"/>
  <c r="Z847" i="50"/>
  <c r="Z827" i="51" s="1"/>
  <c r="Y847" i="50"/>
  <c r="Y827" i="51" s="1"/>
  <c r="X847" i="50"/>
  <c r="X827" i="51" s="1"/>
  <c r="W847" i="50"/>
  <c r="W827" i="51" s="1"/>
  <c r="V847" i="50"/>
  <c r="V827" i="51" s="1"/>
  <c r="U847" i="50"/>
  <c r="U827" i="51" s="1"/>
  <c r="T847" i="50"/>
  <c r="T827" i="51" s="1"/>
  <c r="S847" i="50"/>
  <c r="S827" i="51" s="1"/>
  <c r="R847" i="50"/>
  <c r="R827" i="51" s="1"/>
  <c r="Q847" i="50"/>
  <c r="Q827" i="51" s="1"/>
  <c r="Z846" i="50"/>
  <c r="Z826" i="51" s="1"/>
  <c r="Y846" i="50"/>
  <c r="Y826" i="51" s="1"/>
  <c r="X846" i="50"/>
  <c r="X826" i="51" s="1"/>
  <c r="W846" i="50"/>
  <c r="W826" i="51" s="1"/>
  <c r="V846" i="50"/>
  <c r="V826" i="51" s="1"/>
  <c r="U846" i="50"/>
  <c r="U826" i="51" s="1"/>
  <c r="T846" i="50"/>
  <c r="T826" i="51" s="1"/>
  <c r="S846" i="50"/>
  <c r="S826" i="51" s="1"/>
  <c r="R846" i="50"/>
  <c r="R826" i="51" s="1"/>
  <c r="Q846" i="50"/>
  <c r="Q826" i="51" s="1"/>
  <c r="Z845" i="50"/>
  <c r="Z825" i="51" s="1"/>
  <c r="Y845" i="50"/>
  <c r="Y825" i="51" s="1"/>
  <c r="X845" i="50"/>
  <c r="X825" i="51" s="1"/>
  <c r="W845" i="50"/>
  <c r="W825" i="51" s="1"/>
  <c r="V845" i="50"/>
  <c r="V825" i="51" s="1"/>
  <c r="U845" i="50"/>
  <c r="U825" i="51" s="1"/>
  <c r="T845" i="50"/>
  <c r="T825" i="51" s="1"/>
  <c r="S845" i="50"/>
  <c r="S825" i="51" s="1"/>
  <c r="R845" i="50"/>
  <c r="R825" i="51" s="1"/>
  <c r="Q845" i="50"/>
  <c r="Q825" i="51" s="1"/>
  <c r="Z844" i="50"/>
  <c r="Z824" i="51" s="1"/>
  <c r="Y844" i="50"/>
  <c r="Y824" i="51" s="1"/>
  <c r="X844" i="50"/>
  <c r="X824" i="51" s="1"/>
  <c r="W844" i="50"/>
  <c r="W824" i="51" s="1"/>
  <c r="V844" i="50"/>
  <c r="V824" i="51" s="1"/>
  <c r="U844" i="50"/>
  <c r="U824" i="51" s="1"/>
  <c r="T844" i="50"/>
  <c r="T824" i="51" s="1"/>
  <c r="S844" i="50"/>
  <c r="S824" i="51" s="1"/>
  <c r="R844" i="50"/>
  <c r="R824" i="51" s="1"/>
  <c r="Q844" i="50"/>
  <c r="Q824" i="51" s="1"/>
  <c r="Z843" i="50"/>
  <c r="Z823" i="51" s="1"/>
  <c r="Y843" i="50"/>
  <c r="Y823" i="51" s="1"/>
  <c r="X843" i="50"/>
  <c r="X823" i="51" s="1"/>
  <c r="W843" i="50"/>
  <c r="W823" i="51" s="1"/>
  <c r="V843" i="50"/>
  <c r="V823" i="51" s="1"/>
  <c r="U843" i="50"/>
  <c r="U823" i="51" s="1"/>
  <c r="T843" i="50"/>
  <c r="T823" i="51" s="1"/>
  <c r="S843" i="50"/>
  <c r="S823" i="51" s="1"/>
  <c r="R843" i="50"/>
  <c r="R823" i="51" s="1"/>
  <c r="Q843" i="50"/>
  <c r="Q823" i="51" s="1"/>
  <c r="Z842" i="50"/>
  <c r="Z822" i="51" s="1"/>
  <c r="Y842" i="50"/>
  <c r="Y822" i="51" s="1"/>
  <c r="X842" i="50"/>
  <c r="X822" i="51" s="1"/>
  <c r="W842" i="50"/>
  <c r="W822" i="51" s="1"/>
  <c r="V842" i="50"/>
  <c r="V822" i="51" s="1"/>
  <c r="U842" i="50"/>
  <c r="U822" i="51" s="1"/>
  <c r="T842" i="50"/>
  <c r="T822" i="51" s="1"/>
  <c r="S842" i="50"/>
  <c r="S822" i="51" s="1"/>
  <c r="R842" i="50"/>
  <c r="R822" i="51" s="1"/>
  <c r="Q842" i="50"/>
  <c r="Q822" i="51" s="1"/>
  <c r="Z841" i="50"/>
  <c r="Z821" i="51" s="1"/>
  <c r="Y841" i="50"/>
  <c r="Y821" i="51" s="1"/>
  <c r="X841" i="50"/>
  <c r="X821" i="51" s="1"/>
  <c r="W841" i="50"/>
  <c r="W821" i="51" s="1"/>
  <c r="V841" i="50"/>
  <c r="V821" i="51" s="1"/>
  <c r="U841" i="50"/>
  <c r="U821" i="51" s="1"/>
  <c r="T841" i="50"/>
  <c r="T821" i="51" s="1"/>
  <c r="S841" i="50"/>
  <c r="S821" i="51" s="1"/>
  <c r="R841" i="50"/>
  <c r="R821" i="51" s="1"/>
  <c r="Q841" i="50"/>
  <c r="Q821" i="51" s="1"/>
  <c r="Z840" i="50"/>
  <c r="Z820" i="51" s="1"/>
  <c r="Y840" i="50"/>
  <c r="Y820" i="51" s="1"/>
  <c r="X840" i="50"/>
  <c r="X820" i="51" s="1"/>
  <c r="W840" i="50"/>
  <c r="W820" i="51" s="1"/>
  <c r="V840" i="50"/>
  <c r="V820" i="51" s="1"/>
  <c r="U840" i="50"/>
  <c r="U820" i="51" s="1"/>
  <c r="T840" i="50"/>
  <c r="T820" i="51" s="1"/>
  <c r="S840" i="50"/>
  <c r="S820" i="51" s="1"/>
  <c r="R840" i="50"/>
  <c r="R820" i="51" s="1"/>
  <c r="Q840" i="50"/>
  <c r="Q820" i="51" s="1"/>
  <c r="Z838" i="50"/>
  <c r="Z818" i="51" s="1"/>
  <c r="Y838" i="50"/>
  <c r="Y818" i="51" s="1"/>
  <c r="X838" i="50"/>
  <c r="X818" i="51" s="1"/>
  <c r="W838" i="50"/>
  <c r="W818" i="51" s="1"/>
  <c r="V838" i="50"/>
  <c r="V818" i="51" s="1"/>
  <c r="U838" i="50"/>
  <c r="U818" i="51" s="1"/>
  <c r="T838" i="50"/>
  <c r="T818" i="51" s="1"/>
  <c r="S838" i="50"/>
  <c r="S818" i="51" s="1"/>
  <c r="R838" i="50"/>
  <c r="R818" i="51" s="1"/>
  <c r="Q838" i="50"/>
  <c r="Q818" i="51" s="1"/>
  <c r="Y837" i="50"/>
  <c r="Y817" i="51" s="1"/>
  <c r="X837" i="50"/>
  <c r="X817" i="51" s="1"/>
  <c r="W837" i="50"/>
  <c r="W817" i="51" s="1"/>
  <c r="V837" i="50"/>
  <c r="V817" i="51" s="1"/>
  <c r="U837" i="50"/>
  <c r="U817" i="51" s="1"/>
  <c r="T837" i="50"/>
  <c r="T817" i="51" s="1"/>
  <c r="S837" i="50"/>
  <c r="S817" i="51" s="1"/>
  <c r="R837" i="50"/>
  <c r="R817" i="51" s="1"/>
  <c r="Q837" i="50"/>
  <c r="Q817" i="51" s="1"/>
  <c r="P837" i="50"/>
  <c r="P817" i="51" s="1"/>
  <c r="Y836" i="50"/>
  <c r="Y816" i="51" s="1"/>
  <c r="X836" i="50"/>
  <c r="X816" i="51" s="1"/>
  <c r="W836" i="50"/>
  <c r="W816" i="51" s="1"/>
  <c r="V836" i="50"/>
  <c r="V816" i="51" s="1"/>
  <c r="U836" i="50"/>
  <c r="U816" i="51" s="1"/>
  <c r="T836" i="50"/>
  <c r="T816" i="51" s="1"/>
  <c r="S836" i="50"/>
  <c r="S816" i="51" s="1"/>
  <c r="R836" i="50"/>
  <c r="R816" i="51" s="1"/>
  <c r="Q836" i="50"/>
  <c r="Q816" i="51" s="1"/>
  <c r="P836" i="50"/>
  <c r="P816" i="51" s="1"/>
  <c r="Y835" i="50"/>
  <c r="Y815" i="51" s="1"/>
  <c r="X835" i="50"/>
  <c r="X815" i="51" s="1"/>
  <c r="W835" i="50"/>
  <c r="W815" i="51" s="1"/>
  <c r="V835" i="50"/>
  <c r="V815" i="51" s="1"/>
  <c r="U835" i="50"/>
  <c r="U815" i="51" s="1"/>
  <c r="T835" i="50"/>
  <c r="T815" i="51" s="1"/>
  <c r="S835" i="50"/>
  <c r="S815" i="51" s="1"/>
  <c r="R835" i="50"/>
  <c r="R815" i="51" s="1"/>
  <c r="Q835" i="50"/>
  <c r="Q815" i="51" s="1"/>
  <c r="P835" i="50"/>
  <c r="P815" i="51" s="1"/>
  <c r="Y834" i="50"/>
  <c r="Y814" i="51" s="1"/>
  <c r="X834" i="50"/>
  <c r="X814" i="51" s="1"/>
  <c r="W834" i="50"/>
  <c r="W814" i="51" s="1"/>
  <c r="V834" i="50"/>
  <c r="V814" i="51" s="1"/>
  <c r="U834" i="50"/>
  <c r="U814" i="51" s="1"/>
  <c r="T834" i="50"/>
  <c r="T814" i="51" s="1"/>
  <c r="S834" i="50"/>
  <c r="S814" i="51" s="1"/>
  <c r="R834" i="50"/>
  <c r="R814" i="51" s="1"/>
  <c r="Q834" i="50"/>
  <c r="Q814" i="51" s="1"/>
  <c r="P834" i="50"/>
  <c r="P814" i="51" s="1"/>
  <c r="Y833" i="50"/>
  <c r="Y813" i="51" s="1"/>
  <c r="X833" i="50"/>
  <c r="X813" i="51" s="1"/>
  <c r="W833" i="50"/>
  <c r="W813" i="51" s="1"/>
  <c r="V833" i="50"/>
  <c r="V813" i="51" s="1"/>
  <c r="U833" i="50"/>
  <c r="U813" i="51" s="1"/>
  <c r="T833" i="50"/>
  <c r="T813" i="51" s="1"/>
  <c r="S833" i="50"/>
  <c r="S813" i="51" s="1"/>
  <c r="R833" i="50"/>
  <c r="R813" i="51" s="1"/>
  <c r="Q833" i="50"/>
  <c r="Q813" i="51" s="1"/>
  <c r="P833" i="50"/>
  <c r="P813" i="51" s="1"/>
  <c r="Y832" i="50"/>
  <c r="Y812" i="51" s="1"/>
  <c r="X832" i="50"/>
  <c r="X812" i="51" s="1"/>
  <c r="W832" i="50"/>
  <c r="W812" i="51" s="1"/>
  <c r="V832" i="50"/>
  <c r="V812" i="51" s="1"/>
  <c r="U832" i="50"/>
  <c r="U812" i="51" s="1"/>
  <c r="T832" i="50"/>
  <c r="T812" i="51" s="1"/>
  <c r="S832" i="50"/>
  <c r="S812" i="51" s="1"/>
  <c r="R832" i="50"/>
  <c r="R812" i="51" s="1"/>
  <c r="Q832" i="50"/>
  <c r="Q812" i="51" s="1"/>
  <c r="P832" i="50"/>
  <c r="P812" i="51" s="1"/>
  <c r="Y831" i="50"/>
  <c r="Y811" i="51" s="1"/>
  <c r="X831" i="50"/>
  <c r="X811" i="51" s="1"/>
  <c r="W831" i="50"/>
  <c r="W811" i="51" s="1"/>
  <c r="V831" i="50"/>
  <c r="V811" i="51" s="1"/>
  <c r="U831" i="50"/>
  <c r="U811" i="51" s="1"/>
  <c r="T831" i="50"/>
  <c r="T811" i="51" s="1"/>
  <c r="S831" i="50"/>
  <c r="S811" i="51" s="1"/>
  <c r="R831" i="50"/>
  <c r="R811" i="51" s="1"/>
  <c r="Q831" i="50"/>
  <c r="Q811" i="51" s="1"/>
  <c r="P831" i="50"/>
  <c r="P811" i="51" s="1"/>
  <c r="Y829" i="50"/>
  <c r="Y809" i="51" s="1"/>
  <c r="X829" i="50"/>
  <c r="X809" i="51" s="1"/>
  <c r="W829" i="50"/>
  <c r="W809" i="51" s="1"/>
  <c r="V829" i="50"/>
  <c r="V809" i="51" s="1"/>
  <c r="U829" i="50"/>
  <c r="U809" i="51" s="1"/>
  <c r="T829" i="50"/>
  <c r="T809" i="51" s="1"/>
  <c r="S829" i="50"/>
  <c r="S809" i="51" s="1"/>
  <c r="R829" i="50"/>
  <c r="R809" i="51" s="1"/>
  <c r="Q829" i="50"/>
  <c r="Q809" i="51" s="1"/>
  <c r="P829" i="50"/>
  <c r="P809" i="51" s="1"/>
  <c r="Y827" i="50"/>
  <c r="Y807" i="51" s="1"/>
  <c r="X827" i="50"/>
  <c r="X807" i="51" s="1"/>
  <c r="W827" i="50"/>
  <c r="W807" i="51" s="1"/>
  <c r="V827" i="50"/>
  <c r="V807" i="51" s="1"/>
  <c r="U827" i="50"/>
  <c r="U807" i="51" s="1"/>
  <c r="T827" i="50"/>
  <c r="T807" i="51" s="1"/>
  <c r="S827" i="50"/>
  <c r="S807" i="51" s="1"/>
  <c r="R827" i="50"/>
  <c r="R807" i="51" s="1"/>
  <c r="Q827" i="50"/>
  <c r="Q807" i="51" s="1"/>
  <c r="P827" i="50"/>
  <c r="P807" i="51" s="1"/>
  <c r="Y826" i="50"/>
  <c r="Y806" i="51" s="1"/>
  <c r="X826" i="50"/>
  <c r="X806" i="51" s="1"/>
  <c r="W826" i="50"/>
  <c r="W806" i="51" s="1"/>
  <c r="V826" i="50"/>
  <c r="V806" i="51" s="1"/>
  <c r="U826" i="50"/>
  <c r="U806" i="51" s="1"/>
  <c r="T826" i="50"/>
  <c r="T806" i="51" s="1"/>
  <c r="S826" i="50"/>
  <c r="S806" i="51" s="1"/>
  <c r="R826" i="50"/>
  <c r="R806" i="51" s="1"/>
  <c r="Q826" i="50"/>
  <c r="Q806" i="51" s="1"/>
  <c r="P826" i="50"/>
  <c r="P806" i="51" s="1"/>
  <c r="Y825" i="50"/>
  <c r="Y805" i="51" s="1"/>
  <c r="X825" i="50"/>
  <c r="X805" i="51" s="1"/>
  <c r="W825" i="50"/>
  <c r="W805" i="51" s="1"/>
  <c r="V825" i="50"/>
  <c r="V805" i="51" s="1"/>
  <c r="U825" i="50"/>
  <c r="U805" i="51" s="1"/>
  <c r="T825" i="50"/>
  <c r="T805" i="51" s="1"/>
  <c r="S825" i="50"/>
  <c r="S805" i="51" s="1"/>
  <c r="R825" i="50"/>
  <c r="R805" i="51" s="1"/>
  <c r="Q825" i="50"/>
  <c r="Q805" i="51" s="1"/>
  <c r="P825" i="50"/>
  <c r="P805" i="51" s="1"/>
  <c r="Y824" i="50"/>
  <c r="Y804" i="51" s="1"/>
  <c r="X824" i="50"/>
  <c r="X804" i="51" s="1"/>
  <c r="W824" i="50"/>
  <c r="W804" i="51" s="1"/>
  <c r="V824" i="50"/>
  <c r="V804" i="51" s="1"/>
  <c r="U824" i="50"/>
  <c r="U804" i="51" s="1"/>
  <c r="T824" i="50"/>
  <c r="T804" i="51" s="1"/>
  <c r="S824" i="50"/>
  <c r="S804" i="51" s="1"/>
  <c r="R824" i="50"/>
  <c r="R804" i="51" s="1"/>
  <c r="Q824" i="50"/>
  <c r="Q804" i="51" s="1"/>
  <c r="P824" i="50"/>
  <c r="P804" i="51" s="1"/>
  <c r="Y823" i="50"/>
  <c r="Y803" i="51" s="1"/>
  <c r="X823" i="50"/>
  <c r="X803" i="51" s="1"/>
  <c r="W823" i="50"/>
  <c r="W803" i="51" s="1"/>
  <c r="V823" i="50"/>
  <c r="V803" i="51" s="1"/>
  <c r="U823" i="50"/>
  <c r="U803" i="51" s="1"/>
  <c r="T823" i="50"/>
  <c r="T803" i="51" s="1"/>
  <c r="S823" i="50"/>
  <c r="S803" i="51" s="1"/>
  <c r="R823" i="50"/>
  <c r="R803" i="51" s="1"/>
  <c r="Q823" i="50"/>
  <c r="Q803" i="51" s="1"/>
  <c r="P823" i="50"/>
  <c r="P803" i="51" s="1"/>
  <c r="Y822" i="50"/>
  <c r="Y802" i="51" s="1"/>
  <c r="X822" i="50"/>
  <c r="X802" i="51" s="1"/>
  <c r="W822" i="50"/>
  <c r="W802" i="51" s="1"/>
  <c r="V822" i="50"/>
  <c r="V802" i="51" s="1"/>
  <c r="U822" i="50"/>
  <c r="U802" i="51" s="1"/>
  <c r="T822" i="50"/>
  <c r="T802" i="51" s="1"/>
  <c r="S822" i="50"/>
  <c r="S802" i="51" s="1"/>
  <c r="R822" i="50"/>
  <c r="R802" i="51" s="1"/>
  <c r="Q822" i="50"/>
  <c r="Q802" i="51" s="1"/>
  <c r="P822" i="50"/>
  <c r="P802" i="51" s="1"/>
  <c r="Y821" i="50"/>
  <c r="Y801" i="51" s="1"/>
  <c r="X821" i="50"/>
  <c r="X801" i="51" s="1"/>
  <c r="W821" i="50"/>
  <c r="W801" i="51" s="1"/>
  <c r="V821" i="50"/>
  <c r="V801" i="51" s="1"/>
  <c r="U821" i="50"/>
  <c r="U801" i="51" s="1"/>
  <c r="T821" i="50"/>
  <c r="T801" i="51" s="1"/>
  <c r="S821" i="50"/>
  <c r="S801" i="51" s="1"/>
  <c r="R821" i="50"/>
  <c r="R801" i="51" s="1"/>
  <c r="Q821" i="50"/>
  <c r="Q801" i="51" s="1"/>
  <c r="P821" i="50"/>
  <c r="P801" i="51" s="1"/>
  <c r="Y820" i="50"/>
  <c r="Y800" i="51" s="1"/>
  <c r="X820" i="50"/>
  <c r="X800" i="51" s="1"/>
  <c r="W820" i="50"/>
  <c r="W800" i="51" s="1"/>
  <c r="V820" i="50"/>
  <c r="V800" i="51" s="1"/>
  <c r="U820" i="50"/>
  <c r="U800" i="51" s="1"/>
  <c r="T820" i="50"/>
  <c r="T800" i="51" s="1"/>
  <c r="S820" i="50"/>
  <c r="S800" i="51" s="1"/>
  <c r="R820" i="50"/>
  <c r="R800" i="51" s="1"/>
  <c r="Q820" i="50"/>
  <c r="Q800" i="51" s="1"/>
  <c r="P820" i="50"/>
  <c r="P800" i="51" s="1"/>
  <c r="Y819" i="50"/>
  <c r="Y799" i="51" s="1"/>
  <c r="X819" i="50"/>
  <c r="X799" i="51" s="1"/>
  <c r="W819" i="50"/>
  <c r="W799" i="51" s="1"/>
  <c r="V819" i="50"/>
  <c r="V799" i="51" s="1"/>
  <c r="U819" i="50"/>
  <c r="U799" i="51" s="1"/>
  <c r="T819" i="50"/>
  <c r="T799" i="51" s="1"/>
  <c r="S819" i="50"/>
  <c r="S799" i="51" s="1"/>
  <c r="R819" i="50"/>
  <c r="R799" i="51" s="1"/>
  <c r="Q819" i="50"/>
  <c r="Q799" i="51" s="1"/>
  <c r="P819" i="50"/>
  <c r="P799" i="51" s="1"/>
  <c r="Y818" i="50"/>
  <c r="Y798" i="51" s="1"/>
  <c r="X818" i="50"/>
  <c r="X798" i="51" s="1"/>
  <c r="W818" i="50"/>
  <c r="W798" i="51" s="1"/>
  <c r="V818" i="50"/>
  <c r="V798" i="51" s="1"/>
  <c r="U818" i="50"/>
  <c r="U798" i="51" s="1"/>
  <c r="T818" i="50"/>
  <c r="T798" i="51" s="1"/>
  <c r="S818" i="50"/>
  <c r="S798" i="51" s="1"/>
  <c r="R818" i="50"/>
  <c r="R798" i="51" s="1"/>
  <c r="Q818" i="50"/>
  <c r="Q798" i="51" s="1"/>
  <c r="P818" i="50"/>
  <c r="P798" i="51" s="1"/>
  <c r="Y816" i="50"/>
  <c r="Y796" i="51" s="1"/>
  <c r="X816" i="50"/>
  <c r="X796" i="51" s="1"/>
  <c r="W816" i="50"/>
  <c r="W796" i="51" s="1"/>
  <c r="V816" i="50"/>
  <c r="V796" i="51" s="1"/>
  <c r="U816" i="50"/>
  <c r="U796" i="51" s="1"/>
  <c r="T816" i="50"/>
  <c r="T796" i="51" s="1"/>
  <c r="S816" i="50"/>
  <c r="S796" i="51" s="1"/>
  <c r="R816" i="50"/>
  <c r="R796" i="51" s="1"/>
  <c r="Q816" i="50"/>
  <c r="Q796" i="51" s="1"/>
  <c r="P816" i="50"/>
  <c r="P796" i="51" s="1"/>
  <c r="B113" i="42"/>
  <c r="B101" i="42"/>
  <c r="O536" i="50" s="1"/>
  <c r="P536" i="50" s="1"/>
  <c r="Q536" i="50" s="1"/>
  <c r="R536" i="50" s="1"/>
  <c r="S536" i="50" s="1"/>
  <c r="T536" i="50" s="1"/>
  <c r="U536" i="50" s="1"/>
  <c r="V536" i="50" s="1"/>
  <c r="W536" i="50" s="1"/>
  <c r="X536" i="50" s="1"/>
  <c r="Y536" i="50" s="1"/>
  <c r="Z536" i="50" s="1"/>
  <c r="AA536" i="50" s="1"/>
  <c r="AB536" i="50" s="1"/>
  <c r="AC536" i="50" s="1"/>
  <c r="AD536" i="50" s="1"/>
  <c r="AE536" i="50" s="1"/>
  <c r="AF536" i="50" s="1"/>
  <c r="AG536" i="50" s="1"/>
  <c r="D65" i="51" l="1"/>
  <c r="E800" i="51"/>
  <c r="H956" i="51"/>
  <c r="F892" i="51"/>
  <c r="E848" i="51"/>
  <c r="D12" i="51"/>
  <c r="F815" i="51"/>
  <c r="I870" i="51"/>
  <c r="D928" i="51"/>
  <c r="D935" i="51"/>
  <c r="D826" i="51"/>
  <c r="D859" i="51"/>
  <c r="E869" i="51"/>
  <c r="F903" i="51"/>
  <c r="E935" i="51"/>
  <c r="H869" i="51"/>
  <c r="J884" i="51"/>
  <c r="F935" i="51"/>
  <c r="J975" i="51"/>
  <c r="J866" i="51"/>
  <c r="E13" i="51"/>
  <c r="G13" i="51" s="1"/>
  <c r="E37" i="51"/>
  <c r="I37" i="51" s="1"/>
  <c r="D64" i="51"/>
  <c r="I65" i="51"/>
  <c r="F800" i="51"/>
  <c r="G800" i="51" s="1"/>
  <c r="F837" i="51"/>
  <c r="F849" i="51"/>
  <c r="D866" i="51"/>
  <c r="E930" i="51"/>
  <c r="F932" i="51"/>
  <c r="E934" i="51"/>
  <c r="F954" i="51"/>
  <c r="I20" i="51"/>
  <c r="J800" i="51"/>
  <c r="E866" i="51"/>
  <c r="H930" i="51"/>
  <c r="J932" i="51"/>
  <c r="H934" i="51"/>
  <c r="I12" i="51"/>
  <c r="D47" i="51"/>
  <c r="D800" i="51"/>
  <c r="F824" i="51"/>
  <c r="E826" i="51"/>
  <c r="I848" i="51"/>
  <c r="J859" i="51"/>
  <c r="D865" i="51"/>
  <c r="F866" i="51"/>
  <c r="E870" i="51"/>
  <c r="G870" i="51" s="1"/>
  <c r="D885" i="51"/>
  <c r="E927" i="51"/>
  <c r="F975" i="51"/>
  <c r="I8" i="51"/>
  <c r="I16" i="51"/>
  <c r="D20" i="51"/>
  <c r="I43" i="51"/>
  <c r="I47" i="51"/>
  <c r="I800" i="51"/>
  <c r="D822" i="51"/>
  <c r="J822" i="51"/>
  <c r="F826" i="51"/>
  <c r="E840" i="51"/>
  <c r="F844" i="51"/>
  <c r="E859" i="51"/>
  <c r="E865" i="51"/>
  <c r="F888" i="51"/>
  <c r="D910" i="51"/>
  <c r="D914" i="51"/>
  <c r="D916" i="51"/>
  <c r="F931" i="51"/>
  <c r="J935" i="51"/>
  <c r="E938" i="51"/>
  <c r="E953" i="51"/>
  <c r="J954" i="51"/>
  <c r="E960" i="51"/>
  <c r="I32" i="51"/>
  <c r="D39" i="51"/>
  <c r="E822" i="51"/>
  <c r="J826" i="51"/>
  <c r="F840" i="51"/>
  <c r="D848" i="51"/>
  <c r="E849" i="51"/>
  <c r="F859" i="51"/>
  <c r="I866" i="51"/>
  <c r="D870" i="51"/>
  <c r="J871" i="51"/>
  <c r="E910" i="51"/>
  <c r="I914" i="51"/>
  <c r="H938" i="51"/>
  <c r="F953" i="51"/>
  <c r="H960" i="51"/>
  <c r="E975" i="51"/>
  <c r="G975" i="51" s="1"/>
  <c r="F822" i="51"/>
  <c r="D841" i="51"/>
  <c r="I859" i="51"/>
  <c r="I910" i="51"/>
  <c r="G935" i="51"/>
  <c r="I822" i="51"/>
  <c r="I841" i="51"/>
  <c r="J910" i="51"/>
  <c r="D16" i="51"/>
  <c r="D32" i="51"/>
  <c r="E40" i="51"/>
  <c r="I40" i="51" s="1"/>
  <c r="F796" i="51"/>
  <c r="H800" i="51"/>
  <c r="E804" i="51"/>
  <c r="D815" i="51"/>
  <c r="I815" i="51"/>
  <c r="F818" i="51"/>
  <c r="G818" i="51" s="1"/>
  <c r="I819" i="51"/>
  <c r="H822" i="51"/>
  <c r="I823" i="51"/>
  <c r="I826" i="51"/>
  <c r="D837" i="51"/>
  <c r="I837" i="51"/>
  <c r="I840" i="51"/>
  <c r="D844" i="51"/>
  <c r="I844" i="51"/>
  <c r="F845" i="51"/>
  <c r="J848" i="51"/>
  <c r="I849" i="51"/>
  <c r="H859" i="51"/>
  <c r="J862" i="51"/>
  <c r="H866" i="51"/>
  <c r="J870" i="51"/>
  <c r="E881" i="51"/>
  <c r="J881" i="51"/>
  <c r="D888" i="51"/>
  <c r="I888" i="51"/>
  <c r="D903" i="51"/>
  <c r="I903" i="51"/>
  <c r="D905" i="51"/>
  <c r="E909" i="51"/>
  <c r="F910" i="51"/>
  <c r="G910" i="51" s="1"/>
  <c r="E913" i="51"/>
  <c r="J926" i="51"/>
  <c r="D931" i="51"/>
  <c r="J931" i="51"/>
  <c r="I935" i="51"/>
  <c r="J947" i="51"/>
  <c r="H952" i="51"/>
  <c r="J953" i="51"/>
  <c r="E957" i="51"/>
  <c r="J969" i="51"/>
  <c r="F979" i="51"/>
  <c r="J991" i="51"/>
  <c r="I24" i="51"/>
  <c r="I36" i="51"/>
  <c r="I61" i="51"/>
  <c r="I796" i="51"/>
  <c r="K797" i="51"/>
  <c r="I804" i="51"/>
  <c r="E815" i="51"/>
  <c r="J815" i="51"/>
  <c r="I818" i="51"/>
  <c r="E837" i="51"/>
  <c r="G837" i="51" s="1"/>
  <c r="J837" i="51"/>
  <c r="J840" i="51"/>
  <c r="E844" i="51"/>
  <c r="G844" i="51" s="1"/>
  <c r="J844" i="51"/>
  <c r="I845" i="51"/>
  <c r="D863" i="51"/>
  <c r="F881" i="51"/>
  <c r="E888" i="51"/>
  <c r="J888" i="51"/>
  <c r="E903" i="51"/>
  <c r="G903" i="51" s="1"/>
  <c r="J903" i="51"/>
  <c r="H905" i="51"/>
  <c r="H910" i="51"/>
  <c r="E931" i="51"/>
  <c r="F957" i="51"/>
  <c r="J796" i="51"/>
  <c r="J804" i="51"/>
  <c r="J818" i="51"/>
  <c r="H881" i="51"/>
  <c r="J957" i="51"/>
  <c r="E796" i="51"/>
  <c r="D797" i="51"/>
  <c r="D804" i="51"/>
  <c r="H815" i="51"/>
  <c r="I816" i="51"/>
  <c r="E818" i="51"/>
  <c r="D819" i="51"/>
  <c r="I827" i="51"/>
  <c r="H837" i="51"/>
  <c r="H844" i="51"/>
  <c r="E845" i="51"/>
  <c r="F862" i="51"/>
  <c r="D881" i="51"/>
  <c r="I881" i="51"/>
  <c r="H888" i="51"/>
  <c r="H903" i="51"/>
  <c r="D909" i="51"/>
  <c r="D913" i="51"/>
  <c r="F926" i="51"/>
  <c r="I931" i="51"/>
  <c r="J936" i="51"/>
  <c r="F947" i="51"/>
  <c r="H949" i="51"/>
  <c r="H974" i="51"/>
  <c r="F991" i="51"/>
  <c r="I51" i="51"/>
  <c r="J838" i="51"/>
  <c r="I887" i="51"/>
  <c r="I891" i="51"/>
  <c r="H914" i="51"/>
  <c r="H971" i="51"/>
  <c r="I978" i="51"/>
  <c r="I982" i="51"/>
  <c r="D993" i="51"/>
  <c r="E799" i="51"/>
  <c r="E803" i="51"/>
  <c r="J816" i="51"/>
  <c r="J823" i="51"/>
  <c r="J827" i="51"/>
  <c r="E838" i="51"/>
  <c r="D843" i="51"/>
  <c r="D847" i="51"/>
  <c r="D868" i="51"/>
  <c r="D887" i="51"/>
  <c r="D891" i="51"/>
  <c r="H892" i="51"/>
  <c r="D908" i="51"/>
  <c r="D912" i="51"/>
  <c r="I949" i="51"/>
  <c r="I952" i="51"/>
  <c r="I956" i="51"/>
  <c r="D959" i="51"/>
  <c r="I971" i="51"/>
  <c r="I974" i="51"/>
  <c r="D978" i="51"/>
  <c r="H979" i="51"/>
  <c r="F980" i="51"/>
  <c r="D982" i="51"/>
  <c r="E993" i="51"/>
  <c r="F804" i="51"/>
  <c r="E816" i="51"/>
  <c r="G816" i="51" s="1"/>
  <c r="E823" i="51"/>
  <c r="H826" i="51"/>
  <c r="E827" i="51"/>
  <c r="F838" i="51"/>
  <c r="H843" i="51"/>
  <c r="J845" i="51"/>
  <c r="H847" i="51"/>
  <c r="F848" i="51"/>
  <c r="J849" i="51"/>
  <c r="F860" i="51"/>
  <c r="H865" i="51"/>
  <c r="I869" i="51"/>
  <c r="F870" i="51"/>
  <c r="D886" i="51"/>
  <c r="E887" i="51"/>
  <c r="D890" i="51"/>
  <c r="E891" i="51"/>
  <c r="D892" i="51"/>
  <c r="I892" i="51"/>
  <c r="D894" i="51"/>
  <c r="H908" i="51"/>
  <c r="H909" i="51"/>
  <c r="H912" i="51"/>
  <c r="H913" i="51"/>
  <c r="E914" i="51"/>
  <c r="J914" i="51"/>
  <c r="H916" i="51"/>
  <c r="K926" i="51"/>
  <c r="I930" i="51"/>
  <c r="I934" i="51"/>
  <c r="I938" i="51"/>
  <c r="D949" i="51"/>
  <c r="D952" i="51"/>
  <c r="H953" i="51"/>
  <c r="D956" i="51"/>
  <c r="H957" i="51"/>
  <c r="F958" i="51"/>
  <c r="I960" i="51"/>
  <c r="D971" i="51"/>
  <c r="D974" i="51"/>
  <c r="H975" i="51"/>
  <c r="E978" i="51"/>
  <c r="D979" i="51"/>
  <c r="I979" i="51"/>
  <c r="J980" i="51"/>
  <c r="E982" i="51"/>
  <c r="H993" i="51"/>
  <c r="H804" i="51"/>
  <c r="F816" i="51"/>
  <c r="F823" i="51"/>
  <c r="F827" i="51"/>
  <c r="I838" i="51"/>
  <c r="H848" i="51"/>
  <c r="I865" i="51"/>
  <c r="D869" i="51"/>
  <c r="H870" i="51"/>
  <c r="H886" i="51"/>
  <c r="H887" i="51"/>
  <c r="H890" i="51"/>
  <c r="H891" i="51"/>
  <c r="E892" i="51"/>
  <c r="J892" i="51"/>
  <c r="H894" i="51"/>
  <c r="I909" i="51"/>
  <c r="I913" i="51"/>
  <c r="F914" i="51"/>
  <c r="D930" i="51"/>
  <c r="H931" i="51"/>
  <c r="D934" i="51"/>
  <c r="H935" i="51"/>
  <c r="F936" i="51"/>
  <c r="D938" i="51"/>
  <c r="E949" i="51"/>
  <c r="E952" i="51"/>
  <c r="D953" i="51"/>
  <c r="I953" i="51"/>
  <c r="E956" i="51"/>
  <c r="D957" i="51"/>
  <c r="I957" i="51"/>
  <c r="K958" i="51"/>
  <c r="D960" i="51"/>
  <c r="E971" i="51"/>
  <c r="E974" i="51"/>
  <c r="D975" i="51"/>
  <c r="I975" i="51"/>
  <c r="D977" i="51"/>
  <c r="H978" i="51"/>
  <c r="E979" i="51"/>
  <c r="G979" i="51" s="1"/>
  <c r="J979" i="51"/>
  <c r="H982" i="51"/>
  <c r="I993" i="51"/>
  <c r="D61" i="51"/>
  <c r="E66" i="51"/>
  <c r="I66" i="51" s="1"/>
  <c r="I48" i="51"/>
  <c r="D54" i="51"/>
  <c r="D46" i="51"/>
  <c r="E33" i="51"/>
  <c r="I33" i="51" s="1"/>
  <c r="D36" i="51"/>
  <c r="D24" i="51"/>
  <c r="E25" i="51"/>
  <c r="I25" i="51" s="1"/>
  <c r="E9" i="51"/>
  <c r="I9" i="51" s="1"/>
  <c r="D8" i="51"/>
  <c r="E17" i="51"/>
  <c r="I17" i="51" s="1"/>
  <c r="I56" i="51"/>
  <c r="E62" i="51"/>
  <c r="I62" i="51" s="1"/>
  <c r="E57" i="51"/>
  <c r="I57" i="51" s="1"/>
  <c r="E52" i="51"/>
  <c r="I52" i="51" s="1"/>
  <c r="D51" i="51"/>
  <c r="D50" i="51"/>
  <c r="E44" i="51"/>
  <c r="I44" i="51" s="1"/>
  <c r="D43" i="51"/>
  <c r="I42" i="51"/>
  <c r="E29" i="51"/>
  <c r="I29" i="51" s="1"/>
  <c r="I28" i="51"/>
  <c r="I21" i="51"/>
  <c r="I4" i="51"/>
  <c r="B517" i="51"/>
  <c r="C543" i="51" s="1"/>
  <c r="K543" i="51" s="1"/>
  <c r="O516" i="51"/>
  <c r="P516" i="51" s="1"/>
  <c r="Q516" i="51" s="1"/>
  <c r="R516" i="51" s="1"/>
  <c r="S516" i="51" s="1"/>
  <c r="T516" i="51" s="1"/>
  <c r="U516" i="51" s="1"/>
  <c r="V516" i="51" s="1"/>
  <c r="W516" i="51" s="1"/>
  <c r="X516" i="51" s="1"/>
  <c r="Y516" i="51" s="1"/>
  <c r="Z516" i="51" s="1"/>
  <c r="AA516" i="51" s="1"/>
  <c r="AB516" i="51" s="1"/>
  <c r="AC516" i="51" s="1"/>
  <c r="AD516" i="51" s="1"/>
  <c r="AE516" i="51" s="1"/>
  <c r="AF516" i="51" s="1"/>
  <c r="AG516" i="51" s="1"/>
  <c r="O775" i="50"/>
  <c r="P775" i="50" s="1"/>
  <c r="Q775" i="50" s="1"/>
  <c r="R775" i="50" s="1"/>
  <c r="S775" i="50" s="1"/>
  <c r="T775" i="50" s="1"/>
  <c r="U775" i="50" s="1"/>
  <c r="V775" i="50" s="1"/>
  <c r="W775" i="50" s="1"/>
  <c r="X775" i="50" s="1"/>
  <c r="Y775" i="50" s="1"/>
  <c r="Z775" i="50" s="1"/>
  <c r="AA775" i="50" s="1"/>
  <c r="AB775" i="50" s="1"/>
  <c r="AC775" i="50" s="1"/>
  <c r="AD775" i="50" s="1"/>
  <c r="AE775" i="50" s="1"/>
  <c r="AF775" i="50" s="1"/>
  <c r="AG775" i="50" s="1"/>
  <c r="B756" i="51"/>
  <c r="C795" i="51" s="1"/>
  <c r="F795" i="51" s="1"/>
  <c r="O755" i="51"/>
  <c r="P755" i="51" s="1"/>
  <c r="Q755" i="51" s="1"/>
  <c r="R755" i="51" s="1"/>
  <c r="S755" i="51" s="1"/>
  <c r="T755" i="51" s="1"/>
  <c r="U755" i="51" s="1"/>
  <c r="V755" i="51" s="1"/>
  <c r="W755" i="51" s="1"/>
  <c r="X755" i="51" s="1"/>
  <c r="Y755" i="51" s="1"/>
  <c r="Z755" i="51" s="1"/>
  <c r="AA755" i="51" s="1"/>
  <c r="AB755" i="51" s="1"/>
  <c r="AC755" i="51" s="1"/>
  <c r="AD755" i="51" s="1"/>
  <c r="AE755" i="51" s="1"/>
  <c r="AF755" i="51" s="1"/>
  <c r="AG755" i="51" s="1"/>
  <c r="G18" i="51"/>
  <c r="I18" i="51"/>
  <c r="G34" i="51"/>
  <c r="I34" i="51"/>
  <c r="G54" i="51"/>
  <c r="I54" i="51"/>
  <c r="G67" i="51"/>
  <c r="I67" i="51"/>
  <c r="G10" i="51"/>
  <c r="I10" i="51"/>
  <c r="G38" i="51"/>
  <c r="I38" i="51"/>
  <c r="G49" i="51"/>
  <c r="I49" i="51"/>
  <c r="G58" i="51"/>
  <c r="I58" i="51"/>
  <c r="G5" i="51"/>
  <c r="I5" i="51"/>
  <c r="G11" i="51"/>
  <c r="I11" i="51"/>
  <c r="G14" i="51"/>
  <c r="I14" i="51"/>
  <c r="G22" i="51"/>
  <c r="I22" i="51"/>
  <c r="G45" i="51"/>
  <c r="I45" i="51"/>
  <c r="G50" i="51"/>
  <c r="I50" i="51"/>
  <c r="G63" i="51"/>
  <c r="I63" i="51"/>
  <c r="G26" i="51"/>
  <c r="I26" i="51"/>
  <c r="G30" i="51"/>
  <c r="I30" i="51"/>
  <c r="G39" i="51"/>
  <c r="I39" i="51"/>
  <c r="G46" i="51"/>
  <c r="I46" i="51"/>
  <c r="G53" i="51"/>
  <c r="I53" i="51"/>
  <c r="G64" i="51"/>
  <c r="I64" i="51"/>
  <c r="G4" i="51"/>
  <c r="D5" i="51"/>
  <c r="E6" i="51"/>
  <c r="E7" i="51"/>
  <c r="D10" i="51"/>
  <c r="E15" i="51"/>
  <c r="D18" i="51"/>
  <c r="E19" i="51"/>
  <c r="G21" i="51"/>
  <c r="D22" i="51"/>
  <c r="E23" i="51"/>
  <c r="D26" i="51"/>
  <c r="E27" i="51"/>
  <c r="D30" i="51"/>
  <c r="E31" i="51"/>
  <c r="D34" i="51"/>
  <c r="E35" i="51"/>
  <c r="G37" i="51"/>
  <c r="D45" i="51"/>
  <c r="G48" i="51"/>
  <c r="D49" i="51"/>
  <c r="D53" i="51"/>
  <c r="D58" i="51"/>
  <c r="D63" i="51"/>
  <c r="D67" i="51"/>
  <c r="P3" i="51"/>
  <c r="G8" i="51"/>
  <c r="G12" i="51"/>
  <c r="G16" i="51"/>
  <c r="G20" i="51"/>
  <c r="G24" i="51"/>
  <c r="G28" i="51"/>
  <c r="G32" i="51"/>
  <c r="G36" i="51"/>
  <c r="O41" i="51"/>
  <c r="G42" i="51"/>
  <c r="G43" i="51"/>
  <c r="G47" i="51"/>
  <c r="G51" i="51"/>
  <c r="G56" i="51"/>
  <c r="G60" i="51"/>
  <c r="G61" i="51"/>
  <c r="G65" i="51"/>
  <c r="C540" i="51"/>
  <c r="K796" i="51"/>
  <c r="E797" i="51"/>
  <c r="G797" i="51" s="1"/>
  <c r="D798" i="51"/>
  <c r="J798" i="51"/>
  <c r="J799" i="51"/>
  <c r="F799" i="51"/>
  <c r="H799" i="51"/>
  <c r="F801" i="51"/>
  <c r="D802" i="51"/>
  <c r="J802" i="51"/>
  <c r="J803" i="51"/>
  <c r="F803" i="51"/>
  <c r="G803" i="51" s="1"/>
  <c r="H803" i="51"/>
  <c r="F805" i="51"/>
  <c r="D806" i="51"/>
  <c r="J806" i="51"/>
  <c r="F817" i="51"/>
  <c r="F820" i="51"/>
  <c r="J825" i="51"/>
  <c r="F825" i="51"/>
  <c r="I825" i="51"/>
  <c r="E825" i="51"/>
  <c r="K825" i="51"/>
  <c r="D796" i="51"/>
  <c r="H796" i="51"/>
  <c r="F798" i="51"/>
  <c r="D799" i="51"/>
  <c r="I799" i="51"/>
  <c r="F802" i="51"/>
  <c r="D803" i="51"/>
  <c r="I803" i="51"/>
  <c r="F806" i="51"/>
  <c r="I824" i="51"/>
  <c r="E824" i="51"/>
  <c r="G824" i="51" s="1"/>
  <c r="H824" i="51"/>
  <c r="D824" i="51"/>
  <c r="K824" i="51"/>
  <c r="D825" i="51"/>
  <c r="H801" i="51"/>
  <c r="D801" i="51"/>
  <c r="I801" i="51"/>
  <c r="H805" i="51"/>
  <c r="D805" i="51"/>
  <c r="I805" i="51"/>
  <c r="J821" i="51"/>
  <c r="F821" i="51"/>
  <c r="I821" i="51"/>
  <c r="E821" i="51"/>
  <c r="K821" i="51"/>
  <c r="I798" i="51"/>
  <c r="E798" i="51"/>
  <c r="H798" i="51"/>
  <c r="E801" i="51"/>
  <c r="J801" i="51"/>
  <c r="I802" i="51"/>
  <c r="E802" i="51"/>
  <c r="H802" i="51"/>
  <c r="E805" i="51"/>
  <c r="J805" i="51"/>
  <c r="I806" i="51"/>
  <c r="E806" i="51"/>
  <c r="H806" i="51"/>
  <c r="I817" i="51"/>
  <c r="E817" i="51"/>
  <c r="H817" i="51"/>
  <c r="D817" i="51"/>
  <c r="K817" i="51"/>
  <c r="I820" i="51"/>
  <c r="E820" i="51"/>
  <c r="H820" i="51"/>
  <c r="D820" i="51"/>
  <c r="K820" i="51"/>
  <c r="D821" i="51"/>
  <c r="J828" i="51"/>
  <c r="F828" i="51"/>
  <c r="I828" i="51"/>
  <c r="E828" i="51"/>
  <c r="H828" i="51"/>
  <c r="D828" i="51"/>
  <c r="K816" i="51"/>
  <c r="K818" i="51"/>
  <c r="E819" i="51"/>
  <c r="G819" i="51" s="1"/>
  <c r="K819" i="51"/>
  <c r="K823" i="51"/>
  <c r="K827" i="51"/>
  <c r="K838" i="51"/>
  <c r="D839" i="51"/>
  <c r="H839" i="51"/>
  <c r="K840" i="51"/>
  <c r="E841" i="51"/>
  <c r="G841" i="51" s="1"/>
  <c r="K841" i="51"/>
  <c r="D842" i="51"/>
  <c r="H842" i="51"/>
  <c r="E843" i="51"/>
  <c r="I843" i="51"/>
  <c r="K845" i="51"/>
  <c r="D846" i="51"/>
  <c r="H846" i="51"/>
  <c r="E847" i="51"/>
  <c r="I847" i="51"/>
  <c r="K849" i="51"/>
  <c r="D850" i="51"/>
  <c r="H850" i="51"/>
  <c r="J861" i="51"/>
  <c r="F861" i="51"/>
  <c r="I861" i="51"/>
  <c r="E861" i="51"/>
  <c r="K861" i="51"/>
  <c r="J864" i="51"/>
  <c r="F864" i="51"/>
  <c r="I864" i="51"/>
  <c r="E864" i="51"/>
  <c r="K864" i="51"/>
  <c r="F867" i="51"/>
  <c r="J872" i="51"/>
  <c r="F872" i="51"/>
  <c r="I872" i="51"/>
  <c r="E872" i="51"/>
  <c r="K872" i="51"/>
  <c r="I882" i="51"/>
  <c r="E882" i="51"/>
  <c r="H882" i="51"/>
  <c r="D882" i="51"/>
  <c r="K882" i="51"/>
  <c r="D883" i="51"/>
  <c r="I885" i="51"/>
  <c r="I884" i="51"/>
  <c r="E884" i="51"/>
  <c r="H884" i="51"/>
  <c r="D884" i="51"/>
  <c r="K884" i="51"/>
  <c r="E885" i="51"/>
  <c r="G885" i="51" s="1"/>
  <c r="D816" i="51"/>
  <c r="D818" i="51"/>
  <c r="D823" i="51"/>
  <c r="D827" i="51"/>
  <c r="D838" i="51"/>
  <c r="E839" i="51"/>
  <c r="I839" i="51"/>
  <c r="D840" i="51"/>
  <c r="E842" i="51"/>
  <c r="I842" i="51"/>
  <c r="F843" i="51"/>
  <c r="J843" i="51"/>
  <c r="D845" i="51"/>
  <c r="E846" i="51"/>
  <c r="I846" i="51"/>
  <c r="F847" i="51"/>
  <c r="J847" i="51"/>
  <c r="D849" i="51"/>
  <c r="E850" i="51"/>
  <c r="I850" i="51"/>
  <c r="I860" i="51"/>
  <c r="E860" i="51"/>
  <c r="H860" i="51"/>
  <c r="D860" i="51"/>
  <c r="K860" i="51"/>
  <c r="D861" i="51"/>
  <c r="I863" i="51"/>
  <c r="I862" i="51"/>
  <c r="E862" i="51"/>
  <c r="H862" i="51"/>
  <c r="D862" i="51"/>
  <c r="K862" i="51"/>
  <c r="E863" i="51"/>
  <c r="G863" i="51" s="1"/>
  <c r="D864" i="51"/>
  <c r="I871" i="51"/>
  <c r="E871" i="51"/>
  <c r="G871" i="51" s="1"/>
  <c r="H871" i="51"/>
  <c r="D871" i="51"/>
  <c r="K871" i="51"/>
  <c r="D872" i="51"/>
  <c r="F882" i="51"/>
  <c r="F884" i="51"/>
  <c r="F839" i="51"/>
  <c r="J839" i="51"/>
  <c r="F842" i="51"/>
  <c r="J842" i="51"/>
  <c r="F846" i="51"/>
  <c r="J846" i="51"/>
  <c r="F850" i="51"/>
  <c r="J850" i="51"/>
  <c r="J868" i="51"/>
  <c r="F868" i="51"/>
  <c r="I868" i="51"/>
  <c r="E868" i="51"/>
  <c r="K868" i="51"/>
  <c r="I867" i="51"/>
  <c r="E867" i="51"/>
  <c r="H867" i="51"/>
  <c r="D867" i="51"/>
  <c r="K867" i="51"/>
  <c r="J883" i="51"/>
  <c r="F883" i="51"/>
  <c r="I883" i="51"/>
  <c r="E883" i="51"/>
  <c r="K883" i="51"/>
  <c r="F865" i="51"/>
  <c r="J865" i="51"/>
  <c r="F869" i="51"/>
  <c r="G869" i="51" s="1"/>
  <c r="J869" i="51"/>
  <c r="E886" i="51"/>
  <c r="I886" i="51"/>
  <c r="F887" i="51"/>
  <c r="J887" i="51"/>
  <c r="D889" i="51"/>
  <c r="H889" i="51"/>
  <c r="E890" i="51"/>
  <c r="I890" i="51"/>
  <c r="F891" i="51"/>
  <c r="G891" i="51" s="1"/>
  <c r="J891" i="51"/>
  <c r="D893" i="51"/>
  <c r="H893" i="51"/>
  <c r="E894" i="51"/>
  <c r="I894" i="51"/>
  <c r="D904" i="51"/>
  <c r="H904" i="51"/>
  <c r="E905" i="51"/>
  <c r="I905" i="51"/>
  <c r="D906" i="51"/>
  <c r="H906" i="51"/>
  <c r="E908" i="51"/>
  <c r="I908" i="51"/>
  <c r="F909" i="51"/>
  <c r="G909" i="51" s="1"/>
  <c r="J909" i="51"/>
  <c r="D911" i="51"/>
  <c r="H911" i="51"/>
  <c r="E912" i="51"/>
  <c r="I912" i="51"/>
  <c r="F913" i="51"/>
  <c r="G913" i="51" s="1"/>
  <c r="J913" i="51"/>
  <c r="D915" i="51"/>
  <c r="H915" i="51"/>
  <c r="E916" i="51"/>
  <c r="I916" i="51"/>
  <c r="E925" i="51"/>
  <c r="J925" i="51"/>
  <c r="I926" i="51"/>
  <c r="E926" i="51"/>
  <c r="H926" i="51"/>
  <c r="K929" i="51"/>
  <c r="F886" i="51"/>
  <c r="J886" i="51"/>
  <c r="E889" i="51"/>
  <c r="I889" i="51"/>
  <c r="F890" i="51"/>
  <c r="J890" i="51"/>
  <c r="E893" i="51"/>
  <c r="I893" i="51"/>
  <c r="F894" i="51"/>
  <c r="J894" i="51"/>
  <c r="E904" i="51"/>
  <c r="I904" i="51"/>
  <c r="F905" i="51"/>
  <c r="J905" i="51"/>
  <c r="E906" i="51"/>
  <c r="I906" i="51"/>
  <c r="I907" i="51"/>
  <c r="F908" i="51"/>
  <c r="J908" i="51"/>
  <c r="E911" i="51"/>
  <c r="I911" i="51"/>
  <c r="F912" i="51"/>
  <c r="J912" i="51"/>
  <c r="E915" i="51"/>
  <c r="I915" i="51"/>
  <c r="F916" i="51"/>
  <c r="J916" i="51"/>
  <c r="F925" i="51"/>
  <c r="K927" i="51"/>
  <c r="J927" i="51"/>
  <c r="F927" i="51"/>
  <c r="G927" i="51" s="1"/>
  <c r="I927" i="51"/>
  <c r="H928" i="51"/>
  <c r="F889" i="51"/>
  <c r="J889" i="51"/>
  <c r="F893" i="51"/>
  <c r="J893" i="51"/>
  <c r="F904" i="51"/>
  <c r="J904" i="51"/>
  <c r="F906" i="51"/>
  <c r="J906" i="51"/>
  <c r="D907" i="51"/>
  <c r="F911" i="51"/>
  <c r="J911" i="51"/>
  <c r="F915" i="51"/>
  <c r="J915" i="51"/>
  <c r="D929" i="51"/>
  <c r="J928" i="51"/>
  <c r="F928" i="51"/>
  <c r="I929" i="51"/>
  <c r="I928" i="51"/>
  <c r="E928" i="51"/>
  <c r="K928" i="51"/>
  <c r="K906" i="51"/>
  <c r="E907" i="51"/>
  <c r="G907" i="51" s="1"/>
  <c r="H925" i="51"/>
  <c r="D925" i="51"/>
  <c r="I925" i="51"/>
  <c r="H933" i="51"/>
  <c r="D933" i="51"/>
  <c r="J933" i="51"/>
  <c r="F933" i="51"/>
  <c r="I933" i="51"/>
  <c r="E933" i="51"/>
  <c r="F930" i="51"/>
  <c r="J930" i="51"/>
  <c r="D932" i="51"/>
  <c r="H932" i="51"/>
  <c r="F934" i="51"/>
  <c r="G934" i="51" s="1"/>
  <c r="J934" i="51"/>
  <c r="D936" i="51"/>
  <c r="H936" i="51"/>
  <c r="E937" i="51"/>
  <c r="I937" i="51"/>
  <c r="F938" i="51"/>
  <c r="J938" i="51"/>
  <c r="D947" i="51"/>
  <c r="H947" i="51"/>
  <c r="E948" i="51"/>
  <c r="I948" i="51"/>
  <c r="F949" i="51"/>
  <c r="G949" i="51" s="1"/>
  <c r="J949" i="51"/>
  <c r="E950" i="51"/>
  <c r="I950" i="51"/>
  <c r="I951" i="51"/>
  <c r="F952" i="51"/>
  <c r="G952" i="51" s="1"/>
  <c r="J952" i="51"/>
  <c r="D954" i="51"/>
  <c r="H954" i="51"/>
  <c r="E955" i="51"/>
  <c r="I955" i="51"/>
  <c r="F956" i="51"/>
  <c r="J956" i="51"/>
  <c r="D958" i="51"/>
  <c r="I958" i="51"/>
  <c r="K973" i="51"/>
  <c r="E932" i="51"/>
  <c r="G932" i="51" s="1"/>
  <c r="I932" i="51"/>
  <c r="E936" i="51"/>
  <c r="G936" i="51" s="1"/>
  <c r="I936" i="51"/>
  <c r="F937" i="51"/>
  <c r="J937" i="51"/>
  <c r="E947" i="51"/>
  <c r="G947" i="51" s="1"/>
  <c r="I947" i="51"/>
  <c r="F948" i="51"/>
  <c r="J948" i="51"/>
  <c r="F950" i="51"/>
  <c r="J950" i="51"/>
  <c r="D951" i="51"/>
  <c r="E954" i="51"/>
  <c r="I954" i="51"/>
  <c r="F955" i="51"/>
  <c r="J955" i="51"/>
  <c r="E958" i="51"/>
  <c r="J958" i="51"/>
  <c r="J959" i="51"/>
  <c r="F959" i="51"/>
  <c r="I959" i="51"/>
  <c r="E959" i="51"/>
  <c r="K959" i="51"/>
  <c r="H972" i="51"/>
  <c r="J977" i="51"/>
  <c r="F977" i="51"/>
  <c r="I977" i="51"/>
  <c r="E977" i="51"/>
  <c r="K977" i="51"/>
  <c r="K937" i="51"/>
  <c r="K948" i="51"/>
  <c r="K950" i="51"/>
  <c r="E951" i="51"/>
  <c r="G951" i="51" s="1"/>
  <c r="K951" i="51"/>
  <c r="K955" i="51"/>
  <c r="J970" i="51"/>
  <c r="F970" i="51"/>
  <c r="I970" i="51"/>
  <c r="E970" i="51"/>
  <c r="K970" i="51"/>
  <c r="D973" i="51"/>
  <c r="J972" i="51"/>
  <c r="F972" i="51"/>
  <c r="I973" i="51"/>
  <c r="I972" i="51"/>
  <c r="E972" i="51"/>
  <c r="K972" i="51"/>
  <c r="I976" i="51"/>
  <c r="E976" i="51"/>
  <c r="H976" i="51"/>
  <c r="D976" i="51"/>
  <c r="K976" i="51"/>
  <c r="D937" i="51"/>
  <c r="D948" i="51"/>
  <c r="D950" i="51"/>
  <c r="D955" i="51"/>
  <c r="I969" i="51"/>
  <c r="E969" i="51"/>
  <c r="G969" i="51" s="1"/>
  <c r="H969" i="51"/>
  <c r="D969" i="51"/>
  <c r="K969" i="51"/>
  <c r="D970" i="51"/>
  <c r="D972" i="51"/>
  <c r="F976" i="51"/>
  <c r="F960" i="51"/>
  <c r="G960" i="51" s="1"/>
  <c r="J960" i="51"/>
  <c r="F971" i="51"/>
  <c r="J971" i="51"/>
  <c r="F974" i="51"/>
  <c r="J974" i="51"/>
  <c r="F978" i="51"/>
  <c r="J978" i="51"/>
  <c r="D980" i="51"/>
  <c r="H980" i="51"/>
  <c r="E981" i="51"/>
  <c r="I981" i="51"/>
  <c r="F982" i="51"/>
  <c r="J982" i="51"/>
  <c r="D991" i="51"/>
  <c r="H991" i="51"/>
  <c r="E992" i="51"/>
  <c r="I992" i="51"/>
  <c r="F993" i="51"/>
  <c r="J993" i="51"/>
  <c r="E980" i="51"/>
  <c r="I980" i="51"/>
  <c r="F981" i="51"/>
  <c r="J981" i="51"/>
  <c r="E991" i="51"/>
  <c r="I991" i="51"/>
  <c r="F992" i="51"/>
  <c r="J992" i="51"/>
  <c r="K981" i="51"/>
  <c r="K992" i="51"/>
  <c r="D981" i="51"/>
  <c r="D992" i="51"/>
  <c r="E99" i="42"/>
  <c r="D99" i="42"/>
  <c r="C99" i="42"/>
  <c r="G827" i="51" l="1"/>
  <c r="G826" i="51"/>
  <c r="G991" i="51"/>
  <c r="G881" i="51"/>
  <c r="G980" i="51"/>
  <c r="G954" i="51"/>
  <c r="C779" i="51"/>
  <c r="G52" i="51"/>
  <c r="C770" i="51"/>
  <c r="D771" i="51" s="1"/>
  <c r="C793" i="51"/>
  <c r="C764" i="51"/>
  <c r="F764" i="51" s="1"/>
  <c r="C784" i="51"/>
  <c r="H784" i="51" s="1"/>
  <c r="C765" i="51"/>
  <c r="C783" i="51"/>
  <c r="G892" i="51"/>
  <c r="G971" i="51"/>
  <c r="C778" i="51"/>
  <c r="E778" i="51" s="1"/>
  <c r="C774" i="51"/>
  <c r="E775" i="51" s="1"/>
  <c r="G775" i="51" s="1"/>
  <c r="G40" i="51"/>
  <c r="C780" i="51"/>
  <c r="F780" i="51" s="1"/>
  <c r="C785" i="51"/>
  <c r="J785" i="51" s="1"/>
  <c r="G865" i="51"/>
  <c r="G887" i="51"/>
  <c r="G862" i="51"/>
  <c r="G820" i="51"/>
  <c r="G806" i="51"/>
  <c r="K795" i="51"/>
  <c r="C773" i="51"/>
  <c r="I773" i="51" s="1"/>
  <c r="D543" i="51"/>
  <c r="G33" i="51"/>
  <c r="C776" i="51"/>
  <c r="F776" i="51" s="1"/>
  <c r="C762" i="51"/>
  <c r="H762" i="51" s="1"/>
  <c r="G815" i="51"/>
  <c r="G953" i="51"/>
  <c r="G849" i="51"/>
  <c r="G888" i="51"/>
  <c r="H543" i="51"/>
  <c r="C517" i="51"/>
  <c r="F517" i="51" s="1"/>
  <c r="C534" i="51"/>
  <c r="D534" i="51" s="1"/>
  <c r="C555" i="51"/>
  <c r="F555" i="51" s="1"/>
  <c r="C519" i="51"/>
  <c r="I520" i="51" s="1"/>
  <c r="C538" i="51"/>
  <c r="J538" i="51" s="1"/>
  <c r="J543" i="51"/>
  <c r="C539" i="51"/>
  <c r="H539" i="51" s="1"/>
  <c r="C545" i="51"/>
  <c r="K545" i="51" s="1"/>
  <c r="C537" i="51"/>
  <c r="D537" i="51" s="1"/>
  <c r="C782" i="51"/>
  <c r="J782" i="51" s="1"/>
  <c r="C756" i="51"/>
  <c r="E757" i="51" s="1"/>
  <c r="G757" i="51" s="1"/>
  <c r="C794" i="51"/>
  <c r="J794" i="51" s="1"/>
  <c r="C758" i="51"/>
  <c r="D759" i="51" s="1"/>
  <c r="E543" i="51"/>
  <c r="F543" i="51"/>
  <c r="C554" i="51"/>
  <c r="E554" i="51" s="1"/>
  <c r="C768" i="51"/>
  <c r="F768" i="51" s="1"/>
  <c r="C529" i="51"/>
  <c r="J529" i="51" s="1"/>
  <c r="C777" i="51"/>
  <c r="E777" i="51" s="1"/>
  <c r="G982" i="51"/>
  <c r="G974" i="51"/>
  <c r="G801" i="51"/>
  <c r="G931" i="51"/>
  <c r="I13" i="51"/>
  <c r="G930" i="51"/>
  <c r="G799" i="51"/>
  <c r="G848" i="51"/>
  <c r="G796" i="51"/>
  <c r="G978" i="51"/>
  <c r="G57" i="51"/>
  <c r="C781" i="51"/>
  <c r="D781" i="51" s="1"/>
  <c r="G17" i="51"/>
  <c r="G817" i="51"/>
  <c r="G9" i="51"/>
  <c r="G845" i="51"/>
  <c r="I543" i="51"/>
  <c r="C526" i="51"/>
  <c r="I526" i="51" s="1"/>
  <c r="C535" i="51"/>
  <c r="D536" i="51" s="1"/>
  <c r="C556" i="51"/>
  <c r="D556" i="51" s="1"/>
  <c r="C541" i="51"/>
  <c r="J541" i="51" s="1"/>
  <c r="C542" i="51"/>
  <c r="H542" i="51" s="1"/>
  <c r="C525" i="51"/>
  <c r="K525" i="51" s="1"/>
  <c r="C760" i="51"/>
  <c r="J760" i="51" s="1"/>
  <c r="C772" i="51"/>
  <c r="F772" i="51" s="1"/>
  <c r="K763" i="51"/>
  <c r="J795" i="51"/>
  <c r="C523" i="51"/>
  <c r="E523" i="51" s="1"/>
  <c r="C787" i="51"/>
  <c r="K787" i="51" s="1"/>
  <c r="G859" i="51"/>
  <c r="G866" i="51"/>
  <c r="G867" i="51"/>
  <c r="G798" i="51"/>
  <c r="C521" i="51"/>
  <c r="I521" i="51" s="1"/>
  <c r="C527" i="51"/>
  <c r="E527" i="51" s="1"/>
  <c r="C533" i="51"/>
  <c r="J533" i="51" s="1"/>
  <c r="C766" i="51"/>
  <c r="I766" i="51" s="1"/>
  <c r="C544" i="51"/>
  <c r="I544" i="51" s="1"/>
  <c r="G993" i="51"/>
  <c r="G956" i="51"/>
  <c r="G938" i="51"/>
  <c r="I795" i="51"/>
  <c r="H795" i="51"/>
  <c r="G66" i="51"/>
  <c r="G822" i="51"/>
  <c r="G840" i="51"/>
  <c r="G958" i="51"/>
  <c r="G926" i="51"/>
  <c r="G860" i="51"/>
  <c r="E795" i="51"/>
  <c r="G795" i="51" s="1"/>
  <c r="D795" i="51"/>
  <c r="G25" i="51"/>
  <c r="G804" i="51"/>
  <c r="G957" i="51"/>
  <c r="G970" i="51"/>
  <c r="G928" i="51"/>
  <c r="G864" i="51"/>
  <c r="G802" i="51"/>
  <c r="G29" i="51"/>
  <c r="G883" i="51"/>
  <c r="G955" i="51"/>
  <c r="G828" i="51"/>
  <c r="G992" i="51"/>
  <c r="G933" i="51"/>
  <c r="G882" i="51"/>
  <c r="G825" i="51"/>
  <c r="G850" i="51"/>
  <c r="G914" i="51"/>
  <c r="G838" i="51"/>
  <c r="G861" i="51"/>
  <c r="G823" i="51"/>
  <c r="G976" i="51"/>
  <c r="G959" i="51"/>
  <c r="G868" i="51"/>
  <c r="G842" i="51"/>
  <c r="G872" i="51"/>
  <c r="F770" i="51"/>
  <c r="E771" i="51"/>
  <c r="G771" i="51" s="1"/>
  <c r="G62" i="51"/>
  <c r="G44" i="51"/>
  <c r="C790" i="51"/>
  <c r="K790" i="51" s="1"/>
  <c r="C531" i="51"/>
  <c r="F531" i="51" s="1"/>
  <c r="E776" i="51"/>
  <c r="G776" i="51" s="1"/>
  <c r="J770" i="51"/>
  <c r="E770" i="51"/>
  <c r="K770" i="51" s="1"/>
  <c r="J776" i="51"/>
  <c r="H770" i="51"/>
  <c r="E518" i="51"/>
  <c r="G518" i="51" s="1"/>
  <c r="D770" i="51"/>
  <c r="K764" i="51"/>
  <c r="F538" i="51"/>
  <c r="J780" i="51"/>
  <c r="H537" i="51"/>
  <c r="C792" i="51"/>
  <c r="F792" i="51" s="1"/>
  <c r="E764" i="51"/>
  <c r="G764" i="51" s="1"/>
  <c r="C789" i="51"/>
  <c r="K789" i="51" s="1"/>
  <c r="D538" i="51"/>
  <c r="F537" i="51"/>
  <c r="H785" i="51"/>
  <c r="K786" i="51"/>
  <c r="K769" i="51"/>
  <c r="D764" i="51"/>
  <c r="G977" i="51"/>
  <c r="K782" i="51"/>
  <c r="H782" i="51"/>
  <c r="H779" i="51"/>
  <c r="D779" i="51"/>
  <c r="K779" i="51"/>
  <c r="J779" i="51"/>
  <c r="I779" i="51"/>
  <c r="F779" i="51"/>
  <c r="E779" i="51"/>
  <c r="H554" i="51"/>
  <c r="F554" i="51"/>
  <c r="G35" i="51"/>
  <c r="I35" i="51"/>
  <c r="G31" i="51"/>
  <c r="I31" i="51"/>
  <c r="G27" i="51"/>
  <c r="I27" i="51"/>
  <c r="G23" i="51"/>
  <c r="I23" i="51"/>
  <c r="G19" i="51"/>
  <c r="I19" i="51"/>
  <c r="G15" i="51"/>
  <c r="I15" i="51"/>
  <c r="G981" i="51"/>
  <c r="G937" i="51"/>
  <c r="G915" i="51"/>
  <c r="G911" i="51"/>
  <c r="G925" i="51"/>
  <c r="G912" i="51"/>
  <c r="G890" i="51"/>
  <c r="G846" i="51"/>
  <c r="G839" i="51"/>
  <c r="G884" i="51"/>
  <c r="G847" i="51"/>
  <c r="G805" i="51"/>
  <c r="H783" i="51"/>
  <c r="D783" i="51"/>
  <c r="K783" i="51"/>
  <c r="F783" i="51"/>
  <c r="E783" i="51"/>
  <c r="J783" i="51"/>
  <c r="I783" i="51"/>
  <c r="D774" i="51"/>
  <c r="E774" i="51"/>
  <c r="F519" i="51"/>
  <c r="E520" i="51"/>
  <c r="G520" i="51" s="1"/>
  <c r="K519" i="51"/>
  <c r="G906" i="51"/>
  <c r="G904" i="51"/>
  <c r="G893" i="51"/>
  <c r="G889" i="51"/>
  <c r="G843" i="51"/>
  <c r="G821" i="51"/>
  <c r="D758" i="51"/>
  <c r="E758" i="51"/>
  <c r="I758" i="51" s="1"/>
  <c r="H534" i="51"/>
  <c r="F534" i="51"/>
  <c r="G7" i="51"/>
  <c r="I7" i="51"/>
  <c r="G972" i="51"/>
  <c r="G950" i="51"/>
  <c r="G948" i="51"/>
  <c r="G916" i="51"/>
  <c r="G908" i="51"/>
  <c r="G905" i="51"/>
  <c r="G894" i="51"/>
  <c r="G886" i="51"/>
  <c r="E793" i="51"/>
  <c r="J793" i="51"/>
  <c r="F793" i="51"/>
  <c r="H793" i="51"/>
  <c r="D793" i="51"/>
  <c r="J778" i="51"/>
  <c r="F778" i="51"/>
  <c r="H778" i="51"/>
  <c r="J765" i="51"/>
  <c r="F765" i="51"/>
  <c r="E765" i="51"/>
  <c r="D765" i="51"/>
  <c r="I765" i="51"/>
  <c r="H765" i="51"/>
  <c r="F756" i="51"/>
  <c r="H794" i="51"/>
  <c r="D794" i="51"/>
  <c r="E794" i="51"/>
  <c r="J540" i="51"/>
  <c r="F540" i="51"/>
  <c r="I540" i="51"/>
  <c r="E540" i="51"/>
  <c r="H540" i="51"/>
  <c r="D540" i="51"/>
  <c r="K540" i="51"/>
  <c r="I545" i="51"/>
  <c r="H545" i="51"/>
  <c r="P2" i="51"/>
  <c r="P41" i="51"/>
  <c r="G6" i="51"/>
  <c r="I6" i="51"/>
  <c r="C1013" i="50"/>
  <c r="K1013" i="50" s="1"/>
  <c r="C1012" i="50"/>
  <c r="K1012" i="50" s="1"/>
  <c r="C1011" i="50"/>
  <c r="K1011" i="50" s="1"/>
  <c r="C1006" i="50"/>
  <c r="J1004" i="50"/>
  <c r="C1002" i="50"/>
  <c r="K1002" i="50" s="1"/>
  <c r="C1001" i="50"/>
  <c r="C1000" i="50"/>
  <c r="K1000" i="50" s="1"/>
  <c r="C999" i="50"/>
  <c r="K999" i="50" s="1"/>
  <c r="C998" i="50"/>
  <c r="K998" i="50" s="1"/>
  <c r="C997" i="50"/>
  <c r="K997" i="50" s="1"/>
  <c r="C996" i="50"/>
  <c r="K996" i="50" s="1"/>
  <c r="C995" i="50"/>
  <c r="K995" i="50" s="1"/>
  <c r="C994" i="50"/>
  <c r="K994" i="50" s="1"/>
  <c r="J993" i="50"/>
  <c r="C992" i="50"/>
  <c r="I993" i="50" s="1"/>
  <c r="A992" i="50"/>
  <c r="C991" i="50"/>
  <c r="K991" i="50" s="1"/>
  <c r="C990" i="50"/>
  <c r="K990" i="50" s="1"/>
  <c r="C989" i="50"/>
  <c r="K989" i="50" s="1"/>
  <c r="C984" i="50"/>
  <c r="J982" i="50"/>
  <c r="C980" i="50"/>
  <c r="K980" i="50" s="1"/>
  <c r="C979" i="50"/>
  <c r="C978" i="50"/>
  <c r="C977" i="50"/>
  <c r="E977" i="50" s="1"/>
  <c r="C976" i="50"/>
  <c r="K976" i="50" s="1"/>
  <c r="C975" i="50"/>
  <c r="J975" i="50" s="1"/>
  <c r="C974" i="50"/>
  <c r="C973" i="50"/>
  <c r="K973" i="50" s="1"/>
  <c r="C972" i="50"/>
  <c r="K972" i="50" s="1"/>
  <c r="J971" i="50"/>
  <c r="C970" i="50"/>
  <c r="J970" i="50" s="1"/>
  <c r="A970" i="50"/>
  <c r="C969" i="50"/>
  <c r="K969" i="50" s="1"/>
  <c r="C968" i="50"/>
  <c r="H968" i="50" s="1"/>
  <c r="C967" i="50"/>
  <c r="J967" i="50" s="1"/>
  <c r="C962" i="50"/>
  <c r="J960" i="50"/>
  <c r="C958" i="50"/>
  <c r="J958" i="50" s="1"/>
  <c r="C957" i="50"/>
  <c r="D957" i="50" s="1"/>
  <c r="C956" i="50"/>
  <c r="K956" i="50" s="1"/>
  <c r="C955" i="50"/>
  <c r="H955" i="50" s="1"/>
  <c r="C954" i="50"/>
  <c r="J954" i="50" s="1"/>
  <c r="C953" i="50"/>
  <c r="D953" i="50" s="1"/>
  <c r="C952" i="50"/>
  <c r="K952" i="50" s="1"/>
  <c r="C951" i="50"/>
  <c r="K951" i="50" s="1"/>
  <c r="C950" i="50"/>
  <c r="J950" i="50" s="1"/>
  <c r="J949" i="50"/>
  <c r="C948" i="50"/>
  <c r="K949" i="50" s="1"/>
  <c r="A948" i="50"/>
  <c r="C947" i="50"/>
  <c r="K947" i="50" s="1"/>
  <c r="C946" i="50"/>
  <c r="J946" i="50" s="1"/>
  <c r="C945" i="50"/>
  <c r="J945" i="50" s="1"/>
  <c r="C940" i="50"/>
  <c r="J938" i="50"/>
  <c r="C936" i="50"/>
  <c r="I936" i="50" s="1"/>
  <c r="C935" i="50"/>
  <c r="K935" i="50" s="1"/>
  <c r="C934" i="50"/>
  <c r="K934" i="50" s="1"/>
  <c r="C933" i="50"/>
  <c r="H933" i="50" s="1"/>
  <c r="C932" i="50"/>
  <c r="K932" i="50" s="1"/>
  <c r="C931" i="50"/>
  <c r="K931" i="50" s="1"/>
  <c r="C930" i="50"/>
  <c r="I930" i="50" s="1"/>
  <c r="C929" i="50"/>
  <c r="H929" i="50" s="1"/>
  <c r="C928" i="50"/>
  <c r="K928" i="50" s="1"/>
  <c r="J927" i="50"/>
  <c r="C926" i="50"/>
  <c r="A926" i="50"/>
  <c r="C925" i="50"/>
  <c r="K925" i="50" s="1"/>
  <c r="C924" i="50"/>
  <c r="C923" i="50"/>
  <c r="I923" i="50" s="1"/>
  <c r="C918" i="50"/>
  <c r="J916" i="50"/>
  <c r="C914" i="50"/>
  <c r="K914" i="50" s="1"/>
  <c r="C913" i="50"/>
  <c r="J913" i="50" s="1"/>
  <c r="C912" i="50"/>
  <c r="K912" i="50" s="1"/>
  <c r="C911" i="50"/>
  <c r="K911" i="50" s="1"/>
  <c r="C910" i="50"/>
  <c r="K910" i="50" s="1"/>
  <c r="C909" i="50"/>
  <c r="J909" i="50" s="1"/>
  <c r="C908" i="50"/>
  <c r="K908" i="50" s="1"/>
  <c r="C907" i="50"/>
  <c r="K907" i="50" s="1"/>
  <c r="C906" i="50"/>
  <c r="K906" i="50" s="1"/>
  <c r="J905" i="50"/>
  <c r="C904" i="50"/>
  <c r="I905" i="50" s="1"/>
  <c r="A904" i="50"/>
  <c r="C903" i="50"/>
  <c r="K903" i="50" s="1"/>
  <c r="C902" i="50"/>
  <c r="K902" i="50" s="1"/>
  <c r="C901" i="50"/>
  <c r="K901" i="50" s="1"/>
  <c r="C896" i="50"/>
  <c r="J894" i="50"/>
  <c r="C892" i="50"/>
  <c r="K892" i="50" s="1"/>
  <c r="C891" i="50"/>
  <c r="J891" i="50" s="1"/>
  <c r="C890" i="50"/>
  <c r="K890" i="50" s="1"/>
  <c r="C889" i="50"/>
  <c r="K889" i="50" s="1"/>
  <c r="C888" i="50"/>
  <c r="K888" i="50" s="1"/>
  <c r="C887" i="50"/>
  <c r="F887" i="50" s="1"/>
  <c r="C886" i="50"/>
  <c r="H886" i="50" s="1"/>
  <c r="C885" i="50"/>
  <c r="K885" i="50" s="1"/>
  <c r="C884" i="50"/>
  <c r="K884" i="50" s="1"/>
  <c r="J883" i="50"/>
  <c r="C882" i="50"/>
  <c r="I883" i="50" s="1"/>
  <c r="A882" i="50"/>
  <c r="C881" i="50"/>
  <c r="H881" i="50" s="1"/>
  <c r="C880" i="50"/>
  <c r="K880" i="50" s="1"/>
  <c r="C879" i="50"/>
  <c r="K879" i="50" s="1"/>
  <c r="C874" i="50"/>
  <c r="J872" i="50"/>
  <c r="C870" i="50"/>
  <c r="K870" i="50" s="1"/>
  <c r="C869" i="50"/>
  <c r="K869" i="50" s="1"/>
  <c r="C868" i="50"/>
  <c r="C867" i="50"/>
  <c r="K867" i="50" s="1"/>
  <c r="C866" i="50"/>
  <c r="K866" i="50" s="1"/>
  <c r="C865" i="50"/>
  <c r="K865" i="50" s="1"/>
  <c r="C864" i="50"/>
  <c r="C863" i="50"/>
  <c r="K863" i="50" s="1"/>
  <c r="C862" i="50"/>
  <c r="K862" i="50" s="1"/>
  <c r="J861" i="50"/>
  <c r="C860" i="50"/>
  <c r="K861" i="50" s="1"/>
  <c r="A860" i="50"/>
  <c r="C859" i="50"/>
  <c r="K859" i="50" s="1"/>
  <c r="C858" i="50"/>
  <c r="H858" i="50" s="1"/>
  <c r="C857" i="50"/>
  <c r="K857" i="50" s="1"/>
  <c r="C852" i="50"/>
  <c r="J850" i="50"/>
  <c r="C848" i="50"/>
  <c r="K848" i="50" s="1"/>
  <c r="C847" i="50"/>
  <c r="J847" i="50" s="1"/>
  <c r="C846" i="50"/>
  <c r="K846" i="50" s="1"/>
  <c r="C845" i="50"/>
  <c r="H845" i="50" s="1"/>
  <c r="C844" i="50"/>
  <c r="K844" i="50" s="1"/>
  <c r="C843" i="50"/>
  <c r="J843" i="50" s="1"/>
  <c r="C842" i="50"/>
  <c r="K842" i="50" s="1"/>
  <c r="C841" i="50"/>
  <c r="H841" i="50" s="1"/>
  <c r="C840" i="50"/>
  <c r="K840" i="50" s="1"/>
  <c r="J839" i="50"/>
  <c r="C838" i="50"/>
  <c r="D839" i="50" s="1"/>
  <c r="A838" i="50"/>
  <c r="C837" i="50"/>
  <c r="K837" i="50" s="1"/>
  <c r="C836" i="50"/>
  <c r="H836" i="50" s="1"/>
  <c r="C835" i="50"/>
  <c r="K835" i="50" s="1"/>
  <c r="C830" i="50"/>
  <c r="J828" i="50"/>
  <c r="C826" i="50"/>
  <c r="K826" i="50" s="1"/>
  <c r="C825" i="50"/>
  <c r="I825" i="50" s="1"/>
  <c r="C824" i="50"/>
  <c r="K824" i="50" s="1"/>
  <c r="C823" i="50"/>
  <c r="C822" i="50"/>
  <c r="K822" i="50" s="1"/>
  <c r="C821" i="50"/>
  <c r="C820" i="50"/>
  <c r="K820" i="50" s="1"/>
  <c r="C819" i="50"/>
  <c r="I819" i="50" s="1"/>
  <c r="C818" i="50"/>
  <c r="K818" i="50" s="1"/>
  <c r="J817" i="50"/>
  <c r="C816" i="50"/>
  <c r="K817" i="50" s="1"/>
  <c r="A816" i="50"/>
  <c r="C808" i="50"/>
  <c r="J806" i="50"/>
  <c r="J795" i="50"/>
  <c r="C791" i="50"/>
  <c r="C789" i="50"/>
  <c r="J787" i="50"/>
  <c r="C779" i="50"/>
  <c r="J779" i="50" s="1"/>
  <c r="J777" i="50"/>
  <c r="H777" i="50"/>
  <c r="F777" i="50"/>
  <c r="B776" i="50"/>
  <c r="A776" i="50"/>
  <c r="G775" i="50"/>
  <c r="C767" i="50"/>
  <c r="J765" i="50"/>
  <c r="J754" i="50"/>
  <c r="A753" i="50"/>
  <c r="C745" i="50"/>
  <c r="J743" i="50"/>
  <c r="J732" i="50"/>
  <c r="A731" i="50"/>
  <c r="C723" i="50"/>
  <c r="J721" i="50"/>
  <c r="J710" i="50"/>
  <c r="A709" i="50"/>
  <c r="C701" i="50"/>
  <c r="J699" i="50"/>
  <c r="J688" i="50"/>
  <c r="A687" i="50"/>
  <c r="C679" i="50"/>
  <c r="J677" i="50"/>
  <c r="J666" i="50"/>
  <c r="A665" i="50"/>
  <c r="C657" i="50"/>
  <c r="J655" i="50"/>
  <c r="J644" i="50"/>
  <c r="A643" i="50"/>
  <c r="C635" i="50"/>
  <c r="J633" i="50"/>
  <c r="J622" i="50"/>
  <c r="A621" i="50"/>
  <c r="C613" i="50"/>
  <c r="J611" i="50"/>
  <c r="J600" i="50"/>
  <c r="A599" i="50"/>
  <c r="C591" i="50"/>
  <c r="J589" i="50"/>
  <c r="J578" i="50"/>
  <c r="A577" i="50"/>
  <c r="C569" i="50"/>
  <c r="J569" i="50" s="1"/>
  <c r="J567" i="50"/>
  <c r="J556" i="50"/>
  <c r="C552" i="50"/>
  <c r="J552" i="50" s="1"/>
  <c r="C550" i="50"/>
  <c r="J550" i="50" s="1"/>
  <c r="J548" i="50"/>
  <c r="C540" i="50"/>
  <c r="J540" i="50" s="1"/>
  <c r="J538" i="50"/>
  <c r="H538" i="50"/>
  <c r="F538" i="50"/>
  <c r="B537" i="50"/>
  <c r="A537" i="50"/>
  <c r="G536" i="50"/>
  <c r="C528" i="50"/>
  <c r="J528" i="50" s="1"/>
  <c r="J526" i="50"/>
  <c r="J514" i="50"/>
  <c r="A513" i="50"/>
  <c r="C504" i="50"/>
  <c r="J504" i="50" s="1"/>
  <c r="J502" i="50"/>
  <c r="J490" i="50"/>
  <c r="A489" i="50"/>
  <c r="C480" i="50"/>
  <c r="J480" i="50" s="1"/>
  <c r="J478" i="50"/>
  <c r="J466" i="50"/>
  <c r="A465" i="50"/>
  <c r="C456" i="50"/>
  <c r="J456" i="50" s="1"/>
  <c r="J454" i="50"/>
  <c r="J442" i="50"/>
  <c r="A441" i="50"/>
  <c r="C432" i="50"/>
  <c r="J432" i="50" s="1"/>
  <c r="J430" i="50"/>
  <c r="J418" i="50"/>
  <c r="A417" i="50"/>
  <c r="C408" i="50"/>
  <c r="J408" i="50" s="1"/>
  <c r="J406" i="50"/>
  <c r="J394" i="50"/>
  <c r="A393" i="50"/>
  <c r="C384" i="50"/>
  <c r="J384" i="50" s="1"/>
  <c r="J382" i="50"/>
  <c r="J370" i="50"/>
  <c r="A369" i="50"/>
  <c r="C360" i="50"/>
  <c r="J360" i="50" s="1"/>
  <c r="J358" i="50"/>
  <c r="J346" i="50"/>
  <c r="A345" i="50"/>
  <c r="C336" i="50"/>
  <c r="J336" i="50" s="1"/>
  <c r="J334" i="50"/>
  <c r="J322" i="50"/>
  <c r="A321" i="50"/>
  <c r="C312" i="50"/>
  <c r="J312" i="50" s="1"/>
  <c r="J310" i="50"/>
  <c r="J298" i="50"/>
  <c r="C294" i="50"/>
  <c r="J294" i="50" s="1"/>
  <c r="C292" i="50"/>
  <c r="J292" i="50" s="1"/>
  <c r="J290" i="50"/>
  <c r="C283" i="50"/>
  <c r="J283" i="50" s="1"/>
  <c r="J281" i="50"/>
  <c r="H281" i="50"/>
  <c r="F281" i="50"/>
  <c r="A280" i="50"/>
  <c r="G278" i="50"/>
  <c r="A257" i="50"/>
  <c r="A236" i="50"/>
  <c r="A215" i="50"/>
  <c r="A194" i="50"/>
  <c r="A173" i="50"/>
  <c r="A152" i="50"/>
  <c r="A131" i="50"/>
  <c r="A110" i="50"/>
  <c r="A89" i="50"/>
  <c r="J67" i="50"/>
  <c r="H67" i="50"/>
  <c r="F67" i="50"/>
  <c r="C67" i="50"/>
  <c r="J66" i="50"/>
  <c r="H66" i="50"/>
  <c r="F66" i="50"/>
  <c r="C66" i="50"/>
  <c r="J65" i="50"/>
  <c r="H65" i="50"/>
  <c r="F65" i="50"/>
  <c r="C65" i="50"/>
  <c r="J64" i="50"/>
  <c r="H64" i="50"/>
  <c r="F64" i="50"/>
  <c r="C64" i="50"/>
  <c r="J63" i="50"/>
  <c r="H63" i="50"/>
  <c r="F63" i="50"/>
  <c r="C63" i="50"/>
  <c r="J62" i="50"/>
  <c r="H62" i="50"/>
  <c r="F62" i="50"/>
  <c r="C62" i="50"/>
  <c r="J61" i="50"/>
  <c r="H61" i="50"/>
  <c r="F61" i="50"/>
  <c r="C61" i="50"/>
  <c r="J60" i="50"/>
  <c r="H60" i="50"/>
  <c r="F60" i="50"/>
  <c r="D60" i="50"/>
  <c r="C60" i="50"/>
  <c r="A60" i="50"/>
  <c r="G59" i="50"/>
  <c r="J58" i="50"/>
  <c r="H58" i="50"/>
  <c r="F58" i="50"/>
  <c r="C58" i="50"/>
  <c r="E58" i="50" s="1"/>
  <c r="J57" i="50"/>
  <c r="H57" i="50"/>
  <c r="F57" i="50"/>
  <c r="C57" i="50"/>
  <c r="D57" i="50" s="1"/>
  <c r="J56" i="50"/>
  <c r="H56" i="50"/>
  <c r="F56" i="50"/>
  <c r="D56" i="50"/>
  <c r="C56" i="50"/>
  <c r="E56" i="50" s="1"/>
  <c r="J54" i="50"/>
  <c r="H54" i="50"/>
  <c r="F54" i="50"/>
  <c r="C54" i="50"/>
  <c r="E54" i="50" s="1"/>
  <c r="J53" i="50"/>
  <c r="H53" i="50"/>
  <c r="F53" i="50"/>
  <c r="C53" i="50"/>
  <c r="E53" i="50" s="1"/>
  <c r="J52" i="50"/>
  <c r="H52" i="50"/>
  <c r="F52" i="50"/>
  <c r="C52" i="50"/>
  <c r="D52" i="50" s="1"/>
  <c r="J51" i="50"/>
  <c r="H51" i="50"/>
  <c r="F51" i="50"/>
  <c r="C51" i="50"/>
  <c r="D51" i="50" s="1"/>
  <c r="J50" i="50"/>
  <c r="H50" i="50"/>
  <c r="F50" i="50"/>
  <c r="C50" i="50"/>
  <c r="E50" i="50" s="1"/>
  <c r="J49" i="50"/>
  <c r="H49" i="50"/>
  <c r="F49" i="50"/>
  <c r="C49" i="50"/>
  <c r="E49" i="50" s="1"/>
  <c r="J48" i="50"/>
  <c r="H48" i="50"/>
  <c r="F48" i="50"/>
  <c r="D48" i="50"/>
  <c r="C48" i="50"/>
  <c r="J47" i="50"/>
  <c r="H47" i="50"/>
  <c r="F47" i="50"/>
  <c r="C47" i="50"/>
  <c r="E47" i="50" s="1"/>
  <c r="J46" i="50"/>
  <c r="H46" i="50"/>
  <c r="F46" i="50"/>
  <c r="C46" i="50"/>
  <c r="E46" i="50" s="1"/>
  <c r="J45" i="50"/>
  <c r="H45" i="50"/>
  <c r="F45" i="50"/>
  <c r="C45" i="50"/>
  <c r="E45" i="50" s="1"/>
  <c r="J44" i="50"/>
  <c r="H44" i="50"/>
  <c r="F44" i="50"/>
  <c r="C44" i="50"/>
  <c r="D44" i="50" s="1"/>
  <c r="J43" i="50"/>
  <c r="H43" i="50"/>
  <c r="F43" i="50"/>
  <c r="C43" i="50"/>
  <c r="D43" i="50" s="1"/>
  <c r="J42" i="50"/>
  <c r="H42" i="50"/>
  <c r="F42" i="50"/>
  <c r="D42" i="50"/>
  <c r="C42" i="50"/>
  <c r="E42" i="50" s="1"/>
  <c r="A42" i="50"/>
  <c r="G41" i="50"/>
  <c r="J40" i="50"/>
  <c r="H40" i="50"/>
  <c r="F40" i="50"/>
  <c r="C40" i="50"/>
  <c r="D40" i="50" s="1"/>
  <c r="J39" i="50"/>
  <c r="H39" i="50"/>
  <c r="F39" i="50"/>
  <c r="C39" i="50"/>
  <c r="E39" i="50" s="1"/>
  <c r="J38" i="50"/>
  <c r="H38" i="50"/>
  <c r="F38" i="50"/>
  <c r="D38" i="50"/>
  <c r="C38" i="50"/>
  <c r="E38" i="50" s="1"/>
  <c r="J37" i="50"/>
  <c r="H37" i="50"/>
  <c r="F37" i="50"/>
  <c r="C37" i="50"/>
  <c r="D37" i="50" s="1"/>
  <c r="J36" i="50"/>
  <c r="H36" i="50"/>
  <c r="F36" i="50"/>
  <c r="C36" i="50"/>
  <c r="D36" i="50" s="1"/>
  <c r="J35" i="50"/>
  <c r="H35" i="50"/>
  <c r="F35" i="50"/>
  <c r="C35" i="50"/>
  <c r="E35" i="50" s="1"/>
  <c r="J34" i="50"/>
  <c r="H34" i="50"/>
  <c r="F34" i="50"/>
  <c r="C34" i="50"/>
  <c r="E34" i="50" s="1"/>
  <c r="J33" i="50"/>
  <c r="H33" i="50"/>
  <c r="F33" i="50"/>
  <c r="C33" i="50"/>
  <c r="D33" i="50" s="1"/>
  <c r="J32" i="50"/>
  <c r="H32" i="50"/>
  <c r="F32" i="50"/>
  <c r="C32" i="50"/>
  <c r="D32" i="50" s="1"/>
  <c r="J31" i="50"/>
  <c r="H31" i="50"/>
  <c r="F31" i="50"/>
  <c r="C31" i="50"/>
  <c r="D31" i="50" s="1"/>
  <c r="J30" i="50"/>
  <c r="H30" i="50"/>
  <c r="F30" i="50"/>
  <c r="C30" i="50"/>
  <c r="E30" i="50" s="1"/>
  <c r="J29" i="50"/>
  <c r="H29" i="50"/>
  <c r="F29" i="50"/>
  <c r="C29" i="50"/>
  <c r="D29" i="50" s="1"/>
  <c r="J28" i="50"/>
  <c r="H28" i="50"/>
  <c r="F28" i="50"/>
  <c r="D28" i="50"/>
  <c r="C28" i="50"/>
  <c r="E28" i="50" s="1"/>
  <c r="J27" i="50"/>
  <c r="H27" i="50"/>
  <c r="F27" i="50"/>
  <c r="C27" i="50"/>
  <c r="E27" i="50" s="1"/>
  <c r="J26" i="50"/>
  <c r="H26" i="50"/>
  <c r="F26" i="50"/>
  <c r="C26" i="50"/>
  <c r="E26" i="50" s="1"/>
  <c r="J25" i="50"/>
  <c r="H25" i="50"/>
  <c r="F25" i="50"/>
  <c r="C25" i="50"/>
  <c r="D25" i="50" s="1"/>
  <c r="J24" i="50"/>
  <c r="H24" i="50"/>
  <c r="F24" i="50"/>
  <c r="C24" i="50"/>
  <c r="D24" i="50" s="1"/>
  <c r="J23" i="50"/>
  <c r="H23" i="50"/>
  <c r="F23" i="50"/>
  <c r="C23" i="50"/>
  <c r="E23" i="50" s="1"/>
  <c r="J22" i="50"/>
  <c r="H22" i="50"/>
  <c r="F22" i="50"/>
  <c r="C22" i="50"/>
  <c r="E22" i="50" s="1"/>
  <c r="J21" i="50"/>
  <c r="H21" i="50"/>
  <c r="F21" i="50"/>
  <c r="D21" i="50"/>
  <c r="C21" i="50"/>
  <c r="E21" i="50" s="1"/>
  <c r="J20" i="50"/>
  <c r="H20" i="50"/>
  <c r="F20" i="50"/>
  <c r="C20" i="50"/>
  <c r="D20" i="50" s="1"/>
  <c r="J19" i="50"/>
  <c r="H19" i="50"/>
  <c r="F19" i="50"/>
  <c r="C19" i="50"/>
  <c r="E19" i="50" s="1"/>
  <c r="J18" i="50"/>
  <c r="H18" i="50"/>
  <c r="F18" i="50"/>
  <c r="C18" i="50"/>
  <c r="E18" i="50" s="1"/>
  <c r="J17" i="50"/>
  <c r="H17" i="50"/>
  <c r="F17" i="50"/>
  <c r="C17" i="50"/>
  <c r="E17" i="50" s="1"/>
  <c r="J16" i="50"/>
  <c r="H16" i="50"/>
  <c r="F16" i="50"/>
  <c r="C16" i="50"/>
  <c r="D16" i="50" s="1"/>
  <c r="J15" i="50"/>
  <c r="H15" i="50"/>
  <c r="F15" i="50"/>
  <c r="C15" i="50"/>
  <c r="E15" i="50" s="1"/>
  <c r="J14" i="50"/>
  <c r="H14" i="50"/>
  <c r="F14" i="50"/>
  <c r="D14" i="50"/>
  <c r="J13" i="50"/>
  <c r="H13" i="50"/>
  <c r="F13" i="50"/>
  <c r="C13" i="50"/>
  <c r="E13" i="50" s="1"/>
  <c r="J12" i="50"/>
  <c r="H12" i="50"/>
  <c r="F12" i="50"/>
  <c r="C12" i="50"/>
  <c r="D12" i="50" s="1"/>
  <c r="J11" i="50"/>
  <c r="H11" i="50"/>
  <c r="F11" i="50"/>
  <c r="D11" i="50"/>
  <c r="C11" i="50"/>
  <c r="E11" i="50" s="1"/>
  <c r="J10" i="50"/>
  <c r="H10" i="50"/>
  <c r="F10" i="50"/>
  <c r="C10" i="50"/>
  <c r="E10" i="50" s="1"/>
  <c r="J9" i="50"/>
  <c r="H9" i="50"/>
  <c r="F9" i="50"/>
  <c r="C9" i="50"/>
  <c r="E9" i="50" s="1"/>
  <c r="J8" i="50"/>
  <c r="H8" i="50"/>
  <c r="F8" i="50"/>
  <c r="C8" i="50"/>
  <c r="D8" i="50" s="1"/>
  <c r="J7" i="50"/>
  <c r="H7" i="50"/>
  <c r="F7" i="50"/>
  <c r="C7" i="50"/>
  <c r="E7" i="50" s="1"/>
  <c r="J6" i="50"/>
  <c r="H6" i="50"/>
  <c r="F6" i="50"/>
  <c r="E6" i="50"/>
  <c r="J5" i="50"/>
  <c r="H5" i="50"/>
  <c r="F5" i="50"/>
  <c r="C5" i="50"/>
  <c r="E5" i="50" s="1"/>
  <c r="J4" i="50"/>
  <c r="H4" i="50"/>
  <c r="F4" i="50"/>
  <c r="D4" i="50"/>
  <c r="E4" i="50"/>
  <c r="A4" i="50"/>
  <c r="D773" i="51" l="1"/>
  <c r="E539" i="51"/>
  <c r="E763" i="51"/>
  <c r="G763" i="51" s="1"/>
  <c r="F784" i="51"/>
  <c r="I762" i="51"/>
  <c r="I555" i="51"/>
  <c r="F773" i="51"/>
  <c r="I777" i="51"/>
  <c r="J555" i="51"/>
  <c r="I784" i="51"/>
  <c r="E780" i="51"/>
  <c r="G780" i="51" s="1"/>
  <c r="E545" i="51"/>
  <c r="G545" i="51" s="1"/>
  <c r="E534" i="51"/>
  <c r="I519" i="51"/>
  <c r="F545" i="51"/>
  <c r="J534" i="51"/>
  <c r="H519" i="51"/>
  <c r="D756" i="51"/>
  <c r="K555" i="51"/>
  <c r="J773" i="51"/>
  <c r="I780" i="51"/>
  <c r="I763" i="51"/>
  <c r="F777" i="51"/>
  <c r="G777" i="51" s="1"/>
  <c r="E756" i="51"/>
  <c r="D757" i="51"/>
  <c r="K534" i="51"/>
  <c r="I534" i="51"/>
  <c r="E555" i="51"/>
  <c r="G555" i="51" s="1"/>
  <c r="H555" i="51"/>
  <c r="H773" i="51"/>
  <c r="K773" i="51"/>
  <c r="J539" i="51"/>
  <c r="D777" i="51"/>
  <c r="D784" i="51"/>
  <c r="E529" i="51"/>
  <c r="K780" i="51"/>
  <c r="J764" i="51"/>
  <c r="I776" i="51"/>
  <c r="F781" i="51"/>
  <c r="F762" i="51"/>
  <c r="J777" i="51"/>
  <c r="J762" i="51"/>
  <c r="H776" i="51"/>
  <c r="J756" i="51"/>
  <c r="D555" i="51"/>
  <c r="E773" i="51"/>
  <c r="F539" i="51"/>
  <c r="K784" i="51"/>
  <c r="E784" i="51"/>
  <c r="H756" i="51"/>
  <c r="D539" i="51"/>
  <c r="H764" i="51"/>
  <c r="I764" i="51"/>
  <c r="D762" i="51"/>
  <c r="J784" i="51"/>
  <c r="D530" i="51"/>
  <c r="E781" i="51"/>
  <c r="K776" i="51"/>
  <c r="D780" i="51"/>
  <c r="H780" i="51"/>
  <c r="K762" i="51"/>
  <c r="D763" i="51"/>
  <c r="E762" i="51"/>
  <c r="G762" i="51" s="1"/>
  <c r="D776" i="51"/>
  <c r="C55" i="50"/>
  <c r="F758" i="51"/>
  <c r="H758" i="51"/>
  <c r="F774" i="51"/>
  <c r="G774" i="51" s="1"/>
  <c r="H774" i="51"/>
  <c r="I537" i="51"/>
  <c r="J545" i="51"/>
  <c r="I794" i="51"/>
  <c r="F794" i="51"/>
  <c r="G794" i="51" s="1"/>
  <c r="D778" i="51"/>
  <c r="J758" i="51"/>
  <c r="E759" i="51"/>
  <c r="G759" i="51" s="1"/>
  <c r="D520" i="51"/>
  <c r="K520" i="51"/>
  <c r="J519" i="51"/>
  <c r="D775" i="51"/>
  <c r="J554" i="51"/>
  <c r="H517" i="51"/>
  <c r="D768" i="51"/>
  <c r="E786" i="51"/>
  <c r="G786" i="51" s="1"/>
  <c r="E785" i="51"/>
  <c r="G785" i="51" s="1"/>
  <c r="F785" i="51"/>
  <c r="K538" i="51"/>
  <c r="C791" i="51"/>
  <c r="E791" i="51" s="1"/>
  <c r="K537" i="51"/>
  <c r="D518" i="51"/>
  <c r="D786" i="51"/>
  <c r="E517" i="51"/>
  <c r="G517" i="51" s="1"/>
  <c r="D769" i="51"/>
  <c r="E769" i="51"/>
  <c r="G769" i="51" s="1"/>
  <c r="I538" i="51"/>
  <c r="E768" i="51"/>
  <c r="G768" i="51" s="1"/>
  <c r="D545" i="51"/>
  <c r="K794" i="51"/>
  <c r="D519" i="51"/>
  <c r="E519" i="51"/>
  <c r="G519" i="51" s="1"/>
  <c r="J774" i="51"/>
  <c r="D517" i="51"/>
  <c r="H768" i="51"/>
  <c r="D785" i="51"/>
  <c r="J537" i="51"/>
  <c r="E538" i="51"/>
  <c r="G538" i="51" s="1"/>
  <c r="K785" i="51"/>
  <c r="H538" i="51"/>
  <c r="I786" i="51"/>
  <c r="E537" i="51"/>
  <c r="G537" i="51" s="1"/>
  <c r="J517" i="51"/>
  <c r="I785" i="51"/>
  <c r="J768" i="51"/>
  <c r="G543" i="51"/>
  <c r="D554" i="51"/>
  <c r="I782" i="51"/>
  <c r="F541" i="51"/>
  <c r="H777" i="51"/>
  <c r="I772" i="51"/>
  <c r="F529" i="51"/>
  <c r="G529" i="51" s="1"/>
  <c r="E530" i="51"/>
  <c r="G530" i="51" s="1"/>
  <c r="D529" i="51"/>
  <c r="E541" i="51"/>
  <c r="K777" i="51"/>
  <c r="D782" i="51"/>
  <c r="F782" i="51"/>
  <c r="H529" i="51"/>
  <c r="I541" i="51"/>
  <c r="E782" i="51"/>
  <c r="G782" i="51" s="1"/>
  <c r="H772" i="51"/>
  <c r="I761" i="51"/>
  <c r="H781" i="51"/>
  <c r="I781" i="51"/>
  <c r="J781" i="51"/>
  <c r="K781" i="51"/>
  <c r="D526" i="51"/>
  <c r="E522" i="51"/>
  <c r="G522" i="51" s="1"/>
  <c r="E542" i="51"/>
  <c r="I542" i="51"/>
  <c r="D541" i="51"/>
  <c r="J772" i="51"/>
  <c r="K772" i="51"/>
  <c r="E772" i="51"/>
  <c r="G772" i="51" s="1"/>
  <c r="H526" i="51"/>
  <c r="D772" i="51"/>
  <c r="F526" i="51"/>
  <c r="E526" i="51"/>
  <c r="F790" i="51"/>
  <c r="F535" i="51"/>
  <c r="F542" i="51"/>
  <c r="G542" i="51" s="1"/>
  <c r="J544" i="51"/>
  <c r="D544" i="51"/>
  <c r="D542" i="51"/>
  <c r="J526" i="51"/>
  <c r="D790" i="51"/>
  <c r="K542" i="51"/>
  <c r="J542" i="51"/>
  <c r="D760" i="51"/>
  <c r="F556" i="51"/>
  <c r="E536" i="51"/>
  <c r="G536" i="51" s="1"/>
  <c r="K556" i="51"/>
  <c r="E535" i="51"/>
  <c r="E760" i="51"/>
  <c r="H556" i="51"/>
  <c r="H760" i="51"/>
  <c r="I760" i="51"/>
  <c r="I525" i="51"/>
  <c r="E525" i="51"/>
  <c r="J525" i="51"/>
  <c r="D525" i="51"/>
  <c r="J556" i="51"/>
  <c r="I556" i="51"/>
  <c r="D535" i="51"/>
  <c r="J535" i="51"/>
  <c r="E761" i="51"/>
  <c r="G761" i="51" s="1"/>
  <c r="K760" i="51"/>
  <c r="D761" i="51"/>
  <c r="H525" i="51"/>
  <c r="E556" i="51"/>
  <c r="G556" i="51" s="1"/>
  <c r="F760" i="51"/>
  <c r="G760" i="51" s="1"/>
  <c r="H535" i="51"/>
  <c r="K761" i="51"/>
  <c r="F525" i="51"/>
  <c r="H541" i="51"/>
  <c r="K541" i="51"/>
  <c r="D523" i="51"/>
  <c r="H523" i="51"/>
  <c r="I523" i="51" s="1"/>
  <c r="D527" i="51"/>
  <c r="E524" i="51"/>
  <c r="G524" i="51" s="1"/>
  <c r="D524" i="51"/>
  <c r="H787" i="51"/>
  <c r="F787" i="51"/>
  <c r="H766" i="51"/>
  <c r="K766" i="51"/>
  <c r="D788" i="51"/>
  <c r="E767" i="51"/>
  <c r="G767" i="51" s="1"/>
  <c r="F523" i="51"/>
  <c r="G523" i="51" s="1"/>
  <c r="J523" i="51"/>
  <c r="K523" i="51" s="1"/>
  <c r="E521" i="51"/>
  <c r="H521" i="51"/>
  <c r="E544" i="51"/>
  <c r="F521" i="51"/>
  <c r="D521" i="51"/>
  <c r="K521" i="51"/>
  <c r="J521" i="51"/>
  <c r="D522" i="51"/>
  <c r="F544" i="51"/>
  <c r="K544" i="51"/>
  <c r="H544" i="51"/>
  <c r="I787" i="51"/>
  <c r="J787" i="51"/>
  <c r="I790" i="51"/>
  <c r="H790" i="51"/>
  <c r="E766" i="51"/>
  <c r="E787" i="51"/>
  <c r="G787" i="51" s="1"/>
  <c r="E788" i="51"/>
  <c r="G788" i="51" s="1"/>
  <c r="I788" i="51"/>
  <c r="J790" i="51"/>
  <c r="K767" i="51"/>
  <c r="J766" i="51"/>
  <c r="K788" i="51"/>
  <c r="D787" i="51"/>
  <c r="E790" i="51"/>
  <c r="F789" i="51"/>
  <c r="H789" i="51"/>
  <c r="D528" i="51"/>
  <c r="E789" i="51"/>
  <c r="F527" i="51"/>
  <c r="G527" i="51" s="1"/>
  <c r="K792" i="51"/>
  <c r="E533" i="51"/>
  <c r="D533" i="51"/>
  <c r="K533" i="51"/>
  <c r="H533" i="51"/>
  <c r="J792" i="51"/>
  <c r="J527" i="51"/>
  <c r="K527" i="51" s="1"/>
  <c r="E528" i="51"/>
  <c r="H527" i="51"/>
  <c r="I527" i="51" s="1"/>
  <c r="D767" i="51"/>
  <c r="D766" i="51"/>
  <c r="F766" i="51"/>
  <c r="F533" i="51"/>
  <c r="I533" i="51"/>
  <c r="I522" i="51"/>
  <c r="K522" i="51"/>
  <c r="E792" i="51"/>
  <c r="G792" i="51" s="1"/>
  <c r="D792" i="51"/>
  <c r="I792" i="51"/>
  <c r="H792" i="51"/>
  <c r="I789" i="51"/>
  <c r="J789" i="51"/>
  <c r="D789" i="51"/>
  <c r="O21" i="50"/>
  <c r="E60" i="50"/>
  <c r="G60" i="50" s="1"/>
  <c r="D61" i="50"/>
  <c r="D62" i="50"/>
  <c r="E63" i="50"/>
  <c r="G63" i="50" s="1"/>
  <c r="E64" i="50"/>
  <c r="G64" i="50" s="1"/>
  <c r="D65" i="50"/>
  <c r="D66" i="50"/>
  <c r="E67" i="50"/>
  <c r="I67" i="50" s="1"/>
  <c r="K518" i="51"/>
  <c r="G770" i="51"/>
  <c r="I771" i="51"/>
  <c r="I770" i="51"/>
  <c r="K771" i="51"/>
  <c r="I768" i="51"/>
  <c r="K768" i="51"/>
  <c r="I769" i="51"/>
  <c r="K758" i="51"/>
  <c r="I759" i="51"/>
  <c r="K759" i="51"/>
  <c r="D532" i="51"/>
  <c r="D531" i="51"/>
  <c r="E532" i="51"/>
  <c r="G532" i="51" s="1"/>
  <c r="E531" i="51"/>
  <c r="H531" i="51"/>
  <c r="J531" i="51"/>
  <c r="I529" i="51"/>
  <c r="K529" i="51"/>
  <c r="I518" i="51"/>
  <c r="E48" i="50"/>
  <c r="G48" i="50" s="1"/>
  <c r="E14" i="50"/>
  <c r="G14" i="50" s="1"/>
  <c r="G9" i="50"/>
  <c r="I767" i="51"/>
  <c r="G765" i="51"/>
  <c r="G793" i="51"/>
  <c r="I774" i="51"/>
  <c r="G773" i="51"/>
  <c r="G540" i="51"/>
  <c r="K774" i="51"/>
  <c r="I756" i="51"/>
  <c r="AG765" i="50"/>
  <c r="AG745" i="51" s="1"/>
  <c r="AC765" i="50"/>
  <c r="AC745" i="51" s="1"/>
  <c r="Y765" i="50"/>
  <c r="Y745" i="51" s="1"/>
  <c r="AE754" i="50"/>
  <c r="AE734" i="51" s="1"/>
  <c r="AA754" i="50"/>
  <c r="AA734" i="51" s="1"/>
  <c r="AF743" i="50"/>
  <c r="AF723" i="51" s="1"/>
  <c r="AB743" i="50"/>
  <c r="AB723" i="51" s="1"/>
  <c r="X743" i="50"/>
  <c r="X723" i="51" s="1"/>
  <c r="AD732" i="50"/>
  <c r="AD712" i="51" s="1"/>
  <c r="Z732" i="50"/>
  <c r="Z712" i="51" s="1"/>
  <c r="AE721" i="50"/>
  <c r="AE701" i="51" s="1"/>
  <c r="AA721" i="50"/>
  <c r="AA701" i="51" s="1"/>
  <c r="W721" i="50"/>
  <c r="W701" i="51" s="1"/>
  <c r="AC710" i="50"/>
  <c r="AC690" i="51" s="1"/>
  <c r="Y710" i="50"/>
  <c r="Y690" i="51" s="1"/>
  <c r="AD699" i="50"/>
  <c r="AD679" i="51" s="1"/>
  <c r="Z699" i="50"/>
  <c r="Z679" i="51" s="1"/>
  <c r="V699" i="50"/>
  <c r="V679" i="51" s="1"/>
  <c r="AB688" i="50"/>
  <c r="AB668" i="51" s="1"/>
  <c r="X688" i="50"/>
  <c r="X668" i="51" s="1"/>
  <c r="AC677" i="50"/>
  <c r="AC657" i="51" s="1"/>
  <c r="Y677" i="50"/>
  <c r="Y657" i="51" s="1"/>
  <c r="U677" i="50"/>
  <c r="U657" i="51" s="1"/>
  <c r="AA666" i="50"/>
  <c r="AA646" i="51" s="1"/>
  <c r="W666" i="50"/>
  <c r="W646" i="51" s="1"/>
  <c r="AB655" i="50"/>
  <c r="AB635" i="51" s="1"/>
  <c r="X655" i="50"/>
  <c r="X635" i="51" s="1"/>
  <c r="T655" i="50"/>
  <c r="T635" i="51" s="1"/>
  <c r="Z644" i="50"/>
  <c r="Z624" i="51" s="1"/>
  <c r="V644" i="50"/>
  <c r="V624" i="51" s="1"/>
  <c r="AA633" i="50"/>
  <c r="AA613" i="51" s="1"/>
  <c r="W633" i="50"/>
  <c r="W613" i="51" s="1"/>
  <c r="S633" i="50"/>
  <c r="S613" i="51" s="1"/>
  <c r="Y622" i="50"/>
  <c r="Y602" i="51" s="1"/>
  <c r="U622" i="50"/>
  <c r="U602" i="51" s="1"/>
  <c r="Z611" i="50"/>
  <c r="Z591" i="51" s="1"/>
  <c r="V611" i="50"/>
  <c r="V591" i="51" s="1"/>
  <c r="R611" i="50"/>
  <c r="R591" i="51" s="1"/>
  <c r="X600" i="50"/>
  <c r="X580" i="51" s="1"/>
  <c r="T600" i="50"/>
  <c r="T580" i="51" s="1"/>
  <c r="Y589" i="50"/>
  <c r="Y569" i="51" s="1"/>
  <c r="U589" i="50"/>
  <c r="U569" i="51" s="1"/>
  <c r="Q589" i="50"/>
  <c r="Q569" i="51" s="1"/>
  <c r="W578" i="50"/>
  <c r="W558" i="51" s="1"/>
  <c r="S578" i="50"/>
  <c r="S558" i="51" s="1"/>
  <c r="AE765" i="50"/>
  <c r="AE745" i="51" s="1"/>
  <c r="AA765" i="50"/>
  <c r="AA745" i="51" s="1"/>
  <c r="AG754" i="50"/>
  <c r="AG734" i="51" s="1"/>
  <c r="AC754" i="50"/>
  <c r="AC734" i="51" s="1"/>
  <c r="Y754" i="50"/>
  <c r="Y734" i="51" s="1"/>
  <c r="AD743" i="50"/>
  <c r="AD723" i="51" s="1"/>
  <c r="Z743" i="50"/>
  <c r="Z723" i="51" s="1"/>
  <c r="AF732" i="50"/>
  <c r="AF712" i="51" s="1"/>
  <c r="AB732" i="50"/>
  <c r="AB712" i="51" s="1"/>
  <c r="X732" i="50"/>
  <c r="X712" i="51" s="1"/>
  <c r="AC721" i="50"/>
  <c r="AC701" i="51" s="1"/>
  <c r="Y721" i="50"/>
  <c r="Y701" i="51" s="1"/>
  <c r="AE710" i="50"/>
  <c r="AE690" i="51" s="1"/>
  <c r="AA710" i="50"/>
  <c r="AA690" i="51" s="1"/>
  <c r="W710" i="50"/>
  <c r="W690" i="51" s="1"/>
  <c r="AB699" i="50"/>
  <c r="AB679" i="51" s="1"/>
  <c r="X699" i="50"/>
  <c r="X679" i="51" s="1"/>
  <c r="AD688" i="50"/>
  <c r="AD668" i="51" s="1"/>
  <c r="Z688" i="50"/>
  <c r="Z668" i="51" s="1"/>
  <c r="V688" i="50"/>
  <c r="V668" i="51" s="1"/>
  <c r="AA677" i="50"/>
  <c r="AA657" i="51" s="1"/>
  <c r="W677" i="50"/>
  <c r="W657" i="51" s="1"/>
  <c r="AC666" i="50"/>
  <c r="AC646" i="51" s="1"/>
  <c r="Y666" i="50"/>
  <c r="Y646" i="51" s="1"/>
  <c r="U666" i="50"/>
  <c r="U646" i="51" s="1"/>
  <c r="Z655" i="50"/>
  <c r="Z635" i="51" s="1"/>
  <c r="V655" i="50"/>
  <c r="V635" i="51" s="1"/>
  <c r="AB644" i="50"/>
  <c r="AB624" i="51" s="1"/>
  <c r="X644" i="50"/>
  <c r="X624" i="51" s="1"/>
  <c r="T644" i="50"/>
  <c r="T624" i="51" s="1"/>
  <c r="Y633" i="50"/>
  <c r="Y613" i="51" s="1"/>
  <c r="U633" i="50"/>
  <c r="U613" i="51" s="1"/>
  <c r="AA622" i="50"/>
  <c r="AA602" i="51" s="1"/>
  <c r="W622" i="50"/>
  <c r="W602" i="51" s="1"/>
  <c r="S622" i="50"/>
  <c r="S602" i="51" s="1"/>
  <c r="X611" i="50"/>
  <c r="X591" i="51" s="1"/>
  <c r="T611" i="50"/>
  <c r="T591" i="51" s="1"/>
  <c r="Z600" i="50"/>
  <c r="Z580" i="51" s="1"/>
  <c r="V600" i="50"/>
  <c r="V580" i="51" s="1"/>
  <c r="R600" i="50"/>
  <c r="R580" i="51" s="1"/>
  <c r="W589" i="50"/>
  <c r="W569" i="51" s="1"/>
  <c r="S589" i="50"/>
  <c r="S569" i="51" s="1"/>
  <c r="Y578" i="50"/>
  <c r="Y558" i="51" s="1"/>
  <c r="U578" i="50"/>
  <c r="U558" i="51" s="1"/>
  <c r="Q578" i="50"/>
  <c r="Q558" i="51" s="1"/>
  <c r="AF765" i="50"/>
  <c r="AF745" i="51" s="1"/>
  <c r="X765" i="50"/>
  <c r="X745" i="51" s="1"/>
  <c r="Z754" i="50"/>
  <c r="Z734" i="51" s="1"/>
  <c r="AA743" i="50"/>
  <c r="AA723" i="51" s="1"/>
  <c r="AC732" i="50"/>
  <c r="AC712" i="51" s="1"/>
  <c r="AD721" i="50"/>
  <c r="AD701" i="51" s="1"/>
  <c r="V721" i="50"/>
  <c r="V701" i="51" s="1"/>
  <c r="X710" i="50"/>
  <c r="X690" i="51" s="1"/>
  <c r="Y699" i="50"/>
  <c r="Y679" i="51" s="1"/>
  <c r="AA688" i="50"/>
  <c r="AA668" i="51" s="1"/>
  <c r="AB677" i="50"/>
  <c r="AB657" i="51" s="1"/>
  <c r="T677" i="50"/>
  <c r="T657" i="51" s="1"/>
  <c r="V666" i="50"/>
  <c r="V646" i="51" s="1"/>
  <c r="W655" i="50"/>
  <c r="W635" i="51" s="1"/>
  <c r="Y644" i="50"/>
  <c r="Y624" i="51" s="1"/>
  <c r="Z633" i="50"/>
  <c r="Z613" i="51" s="1"/>
  <c r="R633" i="50"/>
  <c r="R613" i="51" s="1"/>
  <c r="T622" i="50"/>
  <c r="T602" i="51" s="1"/>
  <c r="U611" i="50"/>
  <c r="U591" i="51" s="1"/>
  <c r="W600" i="50"/>
  <c r="W580" i="51" s="1"/>
  <c r="X589" i="50"/>
  <c r="X569" i="51" s="1"/>
  <c r="P589" i="50"/>
  <c r="P569" i="51" s="1"/>
  <c r="R578" i="50"/>
  <c r="R558" i="51" s="1"/>
  <c r="AD765" i="50"/>
  <c r="AD745" i="51" s="1"/>
  <c r="AF754" i="50"/>
  <c r="AF734" i="51" s="1"/>
  <c r="X754" i="50"/>
  <c r="X734" i="51" s="1"/>
  <c r="Y743" i="50"/>
  <c r="Y723" i="51" s="1"/>
  <c r="AA732" i="50"/>
  <c r="AA712" i="51" s="1"/>
  <c r="AB721" i="50"/>
  <c r="AB701" i="51" s="1"/>
  <c r="AD710" i="50"/>
  <c r="AD690" i="51" s="1"/>
  <c r="V710" i="50"/>
  <c r="V690" i="51" s="1"/>
  <c r="W699" i="50"/>
  <c r="W679" i="51" s="1"/>
  <c r="Y688" i="50"/>
  <c r="Y668" i="51" s="1"/>
  <c r="Z677" i="50"/>
  <c r="Z657" i="51" s="1"/>
  <c r="AB666" i="50"/>
  <c r="AB646" i="51" s="1"/>
  <c r="T666" i="50"/>
  <c r="T646" i="51" s="1"/>
  <c r="U655" i="50"/>
  <c r="U635" i="51" s="1"/>
  <c r="W644" i="50"/>
  <c r="W624" i="51" s="1"/>
  <c r="X633" i="50"/>
  <c r="X613" i="51" s="1"/>
  <c r="Z622" i="50"/>
  <c r="Z602" i="51" s="1"/>
  <c r="R622" i="50"/>
  <c r="R602" i="51" s="1"/>
  <c r="S611" i="50"/>
  <c r="S591" i="51" s="1"/>
  <c r="U600" i="50"/>
  <c r="U580" i="51" s="1"/>
  <c r="V589" i="50"/>
  <c r="V569" i="51" s="1"/>
  <c r="X578" i="50"/>
  <c r="X558" i="51" s="1"/>
  <c r="P578" i="50"/>
  <c r="P558" i="51" s="1"/>
  <c r="AB765" i="50"/>
  <c r="AB745" i="51" s="1"/>
  <c r="AD754" i="50"/>
  <c r="AD734" i="51" s="1"/>
  <c r="AE743" i="50"/>
  <c r="AE723" i="51" s="1"/>
  <c r="W743" i="50"/>
  <c r="W723" i="51" s="1"/>
  <c r="Y732" i="50"/>
  <c r="Y712" i="51" s="1"/>
  <c r="Z721" i="50"/>
  <c r="Z701" i="51" s="1"/>
  <c r="AB710" i="50"/>
  <c r="AB690" i="51" s="1"/>
  <c r="AC699" i="50"/>
  <c r="AC679" i="51" s="1"/>
  <c r="U699" i="50"/>
  <c r="U679" i="51" s="1"/>
  <c r="W688" i="50"/>
  <c r="W668" i="51" s="1"/>
  <c r="X677" i="50"/>
  <c r="X657" i="51" s="1"/>
  <c r="Z666" i="50"/>
  <c r="Z646" i="51" s="1"/>
  <c r="AA655" i="50"/>
  <c r="AA635" i="51" s="1"/>
  <c r="S655" i="50"/>
  <c r="S635" i="51" s="1"/>
  <c r="U644" i="50"/>
  <c r="U624" i="51" s="1"/>
  <c r="V633" i="50"/>
  <c r="V613" i="51" s="1"/>
  <c r="X622" i="50"/>
  <c r="X602" i="51" s="1"/>
  <c r="Y611" i="50"/>
  <c r="Y591" i="51" s="1"/>
  <c r="Q611" i="50"/>
  <c r="Q591" i="51" s="1"/>
  <c r="S600" i="50"/>
  <c r="S580" i="51" s="1"/>
  <c r="T589" i="50"/>
  <c r="T569" i="51" s="1"/>
  <c r="V578" i="50"/>
  <c r="V558" i="51" s="1"/>
  <c r="Z765" i="50"/>
  <c r="Z745" i="51" s="1"/>
  <c r="AB754" i="50"/>
  <c r="AB734" i="51" s="1"/>
  <c r="AC743" i="50"/>
  <c r="AC723" i="51" s="1"/>
  <c r="AE732" i="50"/>
  <c r="AE712" i="51" s="1"/>
  <c r="W732" i="50"/>
  <c r="W712" i="51" s="1"/>
  <c r="X721" i="50"/>
  <c r="X701" i="51" s="1"/>
  <c r="Z710" i="50"/>
  <c r="Z690" i="51" s="1"/>
  <c r="AA699" i="50"/>
  <c r="AA679" i="51" s="1"/>
  <c r="AC688" i="50"/>
  <c r="AC668" i="51" s="1"/>
  <c r="U688" i="50"/>
  <c r="U668" i="51" s="1"/>
  <c r="V677" i="50"/>
  <c r="V657" i="51" s="1"/>
  <c r="X666" i="50"/>
  <c r="X646" i="51" s="1"/>
  <c r="Y655" i="50"/>
  <c r="Y635" i="51" s="1"/>
  <c r="AA644" i="50"/>
  <c r="AA624" i="51" s="1"/>
  <c r="S644" i="50"/>
  <c r="S624" i="51" s="1"/>
  <c r="T633" i="50"/>
  <c r="T613" i="51" s="1"/>
  <c r="V622" i="50"/>
  <c r="V602" i="51" s="1"/>
  <c r="W611" i="50"/>
  <c r="W591" i="51" s="1"/>
  <c r="Y600" i="50"/>
  <c r="Y580" i="51" s="1"/>
  <c r="Q600" i="50"/>
  <c r="Q580" i="51" s="1"/>
  <c r="R589" i="50"/>
  <c r="R569" i="51" s="1"/>
  <c r="T578" i="50"/>
  <c r="T558" i="51" s="1"/>
  <c r="K793" i="51"/>
  <c r="K535" i="51"/>
  <c r="C803" i="50"/>
  <c r="W803" i="50" s="1"/>
  <c r="W783" i="51" s="1"/>
  <c r="AD1004" i="50"/>
  <c r="AD984" i="51" s="1"/>
  <c r="Z1004" i="50"/>
  <c r="Z984" i="51" s="1"/>
  <c r="AF993" i="50"/>
  <c r="AF973" i="51" s="1"/>
  <c r="AB993" i="50"/>
  <c r="AB973" i="51" s="1"/>
  <c r="X993" i="50"/>
  <c r="X973" i="51" s="1"/>
  <c r="AE982" i="50"/>
  <c r="AE962" i="51" s="1"/>
  <c r="AA982" i="50"/>
  <c r="AA962" i="51" s="1"/>
  <c r="W982" i="50"/>
  <c r="W962" i="51" s="1"/>
  <c r="AC971" i="50"/>
  <c r="AC951" i="51" s="1"/>
  <c r="Y971" i="50"/>
  <c r="Y951" i="51" s="1"/>
  <c r="AB960" i="50"/>
  <c r="AB940" i="51" s="1"/>
  <c r="X960" i="50"/>
  <c r="X940" i="51" s="1"/>
  <c r="AD949" i="50"/>
  <c r="AD929" i="51" s="1"/>
  <c r="Z949" i="50"/>
  <c r="Z929" i="51" s="1"/>
  <c r="V949" i="50"/>
  <c r="V929" i="51" s="1"/>
  <c r="AC938" i="50"/>
  <c r="AC918" i="51" s="1"/>
  <c r="Y938" i="50"/>
  <c r="Y918" i="51" s="1"/>
  <c r="U938" i="50"/>
  <c r="U918" i="51" s="1"/>
  <c r="AA927" i="50"/>
  <c r="AA907" i="51" s="1"/>
  <c r="W927" i="50"/>
  <c r="W907" i="51" s="1"/>
  <c r="Z916" i="50"/>
  <c r="Z896" i="51" s="1"/>
  <c r="V916" i="50"/>
  <c r="V896" i="51" s="1"/>
  <c r="AB905" i="50"/>
  <c r="AB885" i="51" s="1"/>
  <c r="X905" i="50"/>
  <c r="X885" i="51" s="1"/>
  <c r="T905" i="50"/>
  <c r="T885" i="51" s="1"/>
  <c r="AA894" i="50"/>
  <c r="AA874" i="51" s="1"/>
  <c r="W894" i="50"/>
  <c r="W874" i="51" s="1"/>
  <c r="S894" i="50"/>
  <c r="S874" i="51" s="1"/>
  <c r="Y883" i="50"/>
  <c r="Y863" i="51" s="1"/>
  <c r="U883" i="50"/>
  <c r="U863" i="51" s="1"/>
  <c r="X872" i="50"/>
  <c r="X852" i="51" s="1"/>
  <c r="T872" i="50"/>
  <c r="T852" i="51" s="1"/>
  <c r="Z861" i="50"/>
  <c r="Z841" i="51" s="1"/>
  <c r="V861" i="50"/>
  <c r="V841" i="51" s="1"/>
  <c r="R861" i="50"/>
  <c r="R841" i="51" s="1"/>
  <c r="Y850" i="50"/>
  <c r="Y830" i="51" s="1"/>
  <c r="U850" i="50"/>
  <c r="U830" i="51" s="1"/>
  <c r="Q850" i="50"/>
  <c r="Q830" i="51" s="1"/>
  <c r="W839" i="50"/>
  <c r="W819" i="51" s="1"/>
  <c r="S839" i="50"/>
  <c r="S819" i="51" s="1"/>
  <c r="AG1004" i="50"/>
  <c r="AG984" i="51" s="1"/>
  <c r="AC1004" i="50"/>
  <c r="AC984" i="51" s="1"/>
  <c r="Y1004" i="50"/>
  <c r="Y984" i="51" s="1"/>
  <c r="AE993" i="50"/>
  <c r="AE973" i="51" s="1"/>
  <c r="AA993" i="50"/>
  <c r="AA973" i="51" s="1"/>
  <c r="AD982" i="50"/>
  <c r="AD962" i="51" s="1"/>
  <c r="Z982" i="50"/>
  <c r="Z962" i="51" s="1"/>
  <c r="AF971" i="50"/>
  <c r="AF951" i="51" s="1"/>
  <c r="AB971" i="50"/>
  <c r="AB951" i="51" s="1"/>
  <c r="X971" i="50"/>
  <c r="X951" i="51" s="1"/>
  <c r="AE960" i="50"/>
  <c r="AE940" i="51" s="1"/>
  <c r="AA960" i="50"/>
  <c r="AA940" i="51" s="1"/>
  <c r="W960" i="50"/>
  <c r="W940" i="51" s="1"/>
  <c r="AC949" i="50"/>
  <c r="AC929" i="51" s="1"/>
  <c r="Y949" i="50"/>
  <c r="Y929" i="51" s="1"/>
  <c r="AB938" i="50"/>
  <c r="AB918" i="51" s="1"/>
  <c r="X938" i="50"/>
  <c r="X918" i="51" s="1"/>
  <c r="AD927" i="50"/>
  <c r="AD907" i="51" s="1"/>
  <c r="Z927" i="50"/>
  <c r="Z907" i="51" s="1"/>
  <c r="V927" i="50"/>
  <c r="V907" i="51" s="1"/>
  <c r="AC916" i="50"/>
  <c r="AC896" i="51" s="1"/>
  <c r="Y916" i="50"/>
  <c r="Y896" i="51" s="1"/>
  <c r="U916" i="50"/>
  <c r="U896" i="51" s="1"/>
  <c r="AA905" i="50"/>
  <c r="AA885" i="51" s="1"/>
  <c r="W905" i="50"/>
  <c r="W885" i="51" s="1"/>
  <c r="Z894" i="50"/>
  <c r="Z874" i="51" s="1"/>
  <c r="V894" i="50"/>
  <c r="V874" i="51" s="1"/>
  <c r="AB883" i="50"/>
  <c r="AB863" i="51" s="1"/>
  <c r="X883" i="50"/>
  <c r="X863" i="51" s="1"/>
  <c r="T883" i="50"/>
  <c r="T863" i="51" s="1"/>
  <c r="AA872" i="50"/>
  <c r="AA852" i="51" s="1"/>
  <c r="W872" i="50"/>
  <c r="W852" i="51" s="1"/>
  <c r="S872" i="50"/>
  <c r="S852" i="51" s="1"/>
  <c r="Y861" i="50"/>
  <c r="Y841" i="51" s="1"/>
  <c r="U861" i="50"/>
  <c r="U841" i="51" s="1"/>
  <c r="X850" i="50"/>
  <c r="X830" i="51" s="1"/>
  <c r="T850" i="50"/>
  <c r="T830" i="51" s="1"/>
  <c r="Z839" i="50"/>
  <c r="Z819" i="51" s="1"/>
  <c r="V839" i="50"/>
  <c r="V819" i="51" s="1"/>
  <c r="R839" i="50"/>
  <c r="R819" i="51" s="1"/>
  <c r="Y828" i="50"/>
  <c r="Y808" i="51" s="1"/>
  <c r="U828" i="50"/>
  <c r="U808" i="51" s="1"/>
  <c r="Q828" i="50"/>
  <c r="Q808" i="51" s="1"/>
  <c r="W817" i="50"/>
  <c r="W797" i="51" s="1"/>
  <c r="S817" i="50"/>
  <c r="S797" i="51" s="1"/>
  <c r="V806" i="50"/>
  <c r="V786" i="51" s="1"/>
  <c r="R806" i="50"/>
  <c r="R786" i="51" s="1"/>
  <c r="X795" i="50"/>
  <c r="X775" i="51" s="1"/>
  <c r="T795" i="50"/>
  <c r="T775" i="51" s="1"/>
  <c r="P795" i="50"/>
  <c r="P775" i="51" s="1"/>
  <c r="V787" i="50"/>
  <c r="V767" i="51" s="1"/>
  <c r="R787" i="50"/>
  <c r="R767" i="51" s="1"/>
  <c r="AF1004" i="50"/>
  <c r="AF984" i="51" s="1"/>
  <c r="AB1004" i="50"/>
  <c r="AB984" i="51" s="1"/>
  <c r="X1004" i="50"/>
  <c r="X984" i="51" s="1"/>
  <c r="AD993" i="50"/>
  <c r="AD973" i="51" s="1"/>
  <c r="Z993" i="50"/>
  <c r="Z973" i="51" s="1"/>
  <c r="AC982" i="50"/>
  <c r="AC962" i="51" s="1"/>
  <c r="Y982" i="50"/>
  <c r="Y962" i="51" s="1"/>
  <c r="AE971" i="50"/>
  <c r="AE951" i="51" s="1"/>
  <c r="AA971" i="50"/>
  <c r="AA951" i="51" s="1"/>
  <c r="W971" i="50"/>
  <c r="W951" i="51" s="1"/>
  <c r="AD960" i="50"/>
  <c r="AD940" i="51" s="1"/>
  <c r="Z960" i="50"/>
  <c r="Z940" i="51" s="1"/>
  <c r="V960" i="50"/>
  <c r="V940" i="51" s="1"/>
  <c r="AB949" i="50"/>
  <c r="AB929" i="51" s="1"/>
  <c r="X949" i="50"/>
  <c r="X929" i="51" s="1"/>
  <c r="AA938" i="50"/>
  <c r="AA918" i="51" s="1"/>
  <c r="W938" i="50"/>
  <c r="W918" i="51" s="1"/>
  <c r="AC927" i="50"/>
  <c r="AC907" i="51" s="1"/>
  <c r="Y927" i="50"/>
  <c r="Y907" i="51" s="1"/>
  <c r="U927" i="50"/>
  <c r="U907" i="51" s="1"/>
  <c r="AB916" i="50"/>
  <c r="AB896" i="51" s="1"/>
  <c r="X916" i="50"/>
  <c r="X896" i="51" s="1"/>
  <c r="T916" i="50"/>
  <c r="T896" i="51" s="1"/>
  <c r="Z905" i="50"/>
  <c r="Z885" i="51" s="1"/>
  <c r="V905" i="50"/>
  <c r="V885" i="51" s="1"/>
  <c r="Y894" i="50"/>
  <c r="Y874" i="51" s="1"/>
  <c r="U894" i="50"/>
  <c r="U874" i="51" s="1"/>
  <c r="AA883" i="50"/>
  <c r="AA863" i="51" s="1"/>
  <c r="W883" i="50"/>
  <c r="W863" i="51" s="1"/>
  <c r="S883" i="50"/>
  <c r="S863" i="51" s="1"/>
  <c r="Z872" i="50"/>
  <c r="Z852" i="51" s="1"/>
  <c r="V872" i="50"/>
  <c r="V852" i="51" s="1"/>
  <c r="R872" i="50"/>
  <c r="R852" i="51" s="1"/>
  <c r="X861" i="50"/>
  <c r="X841" i="51" s="1"/>
  <c r="T861" i="50"/>
  <c r="T841" i="51" s="1"/>
  <c r="W850" i="50"/>
  <c r="W830" i="51" s="1"/>
  <c r="S850" i="50"/>
  <c r="S830" i="51" s="1"/>
  <c r="Y839" i="50"/>
  <c r="Y819" i="51" s="1"/>
  <c r="U839" i="50"/>
  <c r="U819" i="51" s="1"/>
  <c r="Q839" i="50"/>
  <c r="Q819" i="51" s="1"/>
  <c r="AE1004" i="50"/>
  <c r="AE984" i="51" s="1"/>
  <c r="AA1004" i="50"/>
  <c r="AA984" i="51" s="1"/>
  <c r="AG993" i="50"/>
  <c r="AG973" i="51" s="1"/>
  <c r="AC993" i="50"/>
  <c r="AC973" i="51" s="1"/>
  <c r="Y993" i="50"/>
  <c r="Y973" i="51" s="1"/>
  <c r="AF982" i="50"/>
  <c r="AF962" i="51" s="1"/>
  <c r="AB982" i="50"/>
  <c r="AB962" i="51" s="1"/>
  <c r="X982" i="50"/>
  <c r="X962" i="51" s="1"/>
  <c r="AD971" i="50"/>
  <c r="AD951" i="51" s="1"/>
  <c r="Z971" i="50"/>
  <c r="Z951" i="51" s="1"/>
  <c r="AC960" i="50"/>
  <c r="AC940" i="51" s="1"/>
  <c r="Y960" i="50"/>
  <c r="Y940" i="51" s="1"/>
  <c r="AE949" i="50"/>
  <c r="AE929" i="51" s="1"/>
  <c r="AA949" i="50"/>
  <c r="AA929" i="51" s="1"/>
  <c r="W949" i="50"/>
  <c r="W929" i="51" s="1"/>
  <c r="AD938" i="50"/>
  <c r="AD918" i="51" s="1"/>
  <c r="Z938" i="50"/>
  <c r="Z918" i="51" s="1"/>
  <c r="V938" i="50"/>
  <c r="V918" i="51" s="1"/>
  <c r="AB927" i="50"/>
  <c r="AB907" i="51" s="1"/>
  <c r="X927" i="50"/>
  <c r="X907" i="51" s="1"/>
  <c r="AA916" i="50"/>
  <c r="AA896" i="51" s="1"/>
  <c r="W916" i="50"/>
  <c r="W896" i="51" s="1"/>
  <c r="AC905" i="50"/>
  <c r="AC885" i="51" s="1"/>
  <c r="Y905" i="50"/>
  <c r="Y885" i="51" s="1"/>
  <c r="U905" i="50"/>
  <c r="U885" i="51" s="1"/>
  <c r="AB894" i="50"/>
  <c r="AB874" i="51" s="1"/>
  <c r="X894" i="50"/>
  <c r="X874" i="51" s="1"/>
  <c r="T894" i="50"/>
  <c r="T874" i="51" s="1"/>
  <c r="Z883" i="50"/>
  <c r="Z863" i="51" s="1"/>
  <c r="V883" i="50"/>
  <c r="V863" i="51" s="1"/>
  <c r="Y872" i="50"/>
  <c r="Y852" i="51" s="1"/>
  <c r="U872" i="50"/>
  <c r="U852" i="51" s="1"/>
  <c r="AA861" i="50"/>
  <c r="AA841" i="51" s="1"/>
  <c r="W861" i="50"/>
  <c r="W841" i="51" s="1"/>
  <c r="S861" i="50"/>
  <c r="S841" i="51" s="1"/>
  <c r="Z850" i="50"/>
  <c r="Z830" i="51" s="1"/>
  <c r="V850" i="50"/>
  <c r="V830" i="51" s="1"/>
  <c r="R850" i="50"/>
  <c r="R830" i="51" s="1"/>
  <c r="X839" i="50"/>
  <c r="X819" i="51" s="1"/>
  <c r="T839" i="50"/>
  <c r="T819" i="51" s="1"/>
  <c r="W828" i="50"/>
  <c r="W808" i="51" s="1"/>
  <c r="S828" i="50"/>
  <c r="S808" i="51" s="1"/>
  <c r="Y817" i="50"/>
  <c r="Y797" i="51" s="1"/>
  <c r="U817" i="50"/>
  <c r="U797" i="51" s="1"/>
  <c r="Q817" i="50"/>
  <c r="Q797" i="51" s="1"/>
  <c r="X806" i="50"/>
  <c r="X786" i="51" s="1"/>
  <c r="T806" i="50"/>
  <c r="T786" i="51" s="1"/>
  <c r="P806" i="50"/>
  <c r="P786" i="51" s="1"/>
  <c r="V795" i="50"/>
  <c r="V775" i="51" s="1"/>
  <c r="R795" i="50"/>
  <c r="R775" i="51" s="1"/>
  <c r="X787" i="50"/>
  <c r="X767" i="51" s="1"/>
  <c r="T787" i="50"/>
  <c r="T767" i="51" s="1"/>
  <c r="P787" i="50"/>
  <c r="P767" i="51" s="1"/>
  <c r="R828" i="50"/>
  <c r="R808" i="51" s="1"/>
  <c r="T817" i="50"/>
  <c r="T797" i="51" s="1"/>
  <c r="Q806" i="50"/>
  <c r="Q786" i="51" s="1"/>
  <c r="S795" i="50"/>
  <c r="S775" i="51" s="1"/>
  <c r="U787" i="50"/>
  <c r="U767" i="51" s="1"/>
  <c r="X828" i="50"/>
  <c r="X808" i="51" s="1"/>
  <c r="P828" i="50"/>
  <c r="P808" i="51" s="1"/>
  <c r="R817" i="50"/>
  <c r="R797" i="51" s="1"/>
  <c r="W806" i="50"/>
  <c r="W786" i="51" s="1"/>
  <c r="O806" i="50"/>
  <c r="O786" i="51" s="1"/>
  <c r="Q795" i="50"/>
  <c r="Q775" i="51" s="1"/>
  <c r="S787" i="50"/>
  <c r="S767" i="51" s="1"/>
  <c r="V828" i="50"/>
  <c r="V808" i="51" s="1"/>
  <c r="X817" i="50"/>
  <c r="X797" i="51" s="1"/>
  <c r="P817" i="50"/>
  <c r="P797" i="51" s="1"/>
  <c r="U806" i="50"/>
  <c r="U786" i="51" s="1"/>
  <c r="W795" i="50"/>
  <c r="W775" i="51" s="1"/>
  <c r="O795" i="50"/>
  <c r="O775" i="51" s="1"/>
  <c r="Q787" i="50"/>
  <c r="Q767" i="51" s="1"/>
  <c r="T828" i="50"/>
  <c r="T808" i="51" s="1"/>
  <c r="V817" i="50"/>
  <c r="V797" i="51" s="1"/>
  <c r="S806" i="50"/>
  <c r="S786" i="51" s="1"/>
  <c r="U795" i="50"/>
  <c r="U775" i="51" s="1"/>
  <c r="W787" i="50"/>
  <c r="W767" i="51" s="1"/>
  <c r="O787" i="50"/>
  <c r="O767" i="51" s="1"/>
  <c r="G778" i="51"/>
  <c r="G554" i="51"/>
  <c r="K539" i="51"/>
  <c r="K517" i="51"/>
  <c r="I517" i="51"/>
  <c r="J789" i="50"/>
  <c r="X789" i="50"/>
  <c r="X769" i="51" s="1"/>
  <c r="T789" i="50"/>
  <c r="T769" i="51" s="1"/>
  <c r="P789" i="50"/>
  <c r="P769" i="51" s="1"/>
  <c r="W789" i="50"/>
  <c r="W769" i="51" s="1"/>
  <c r="S789" i="50"/>
  <c r="S769" i="51" s="1"/>
  <c r="O789" i="50"/>
  <c r="O769" i="51" s="1"/>
  <c r="U789" i="50"/>
  <c r="U769" i="51" s="1"/>
  <c r="R789" i="50"/>
  <c r="R769" i="51" s="1"/>
  <c r="Q789" i="50"/>
  <c r="Q769" i="51" s="1"/>
  <c r="V789" i="50"/>
  <c r="V769" i="51" s="1"/>
  <c r="J808" i="50"/>
  <c r="X808" i="50"/>
  <c r="X788" i="51" s="1"/>
  <c r="T808" i="50"/>
  <c r="T788" i="51" s="1"/>
  <c r="P808" i="50"/>
  <c r="P788" i="51" s="1"/>
  <c r="W808" i="50"/>
  <c r="W788" i="51" s="1"/>
  <c r="S808" i="50"/>
  <c r="S788" i="51" s="1"/>
  <c r="O808" i="50"/>
  <c r="O788" i="51" s="1"/>
  <c r="Q808" i="50"/>
  <c r="Q788" i="51" s="1"/>
  <c r="V808" i="50"/>
  <c r="V788" i="51" s="1"/>
  <c r="U808" i="50"/>
  <c r="U788" i="51" s="1"/>
  <c r="R808" i="50"/>
  <c r="R788" i="51" s="1"/>
  <c r="J874" i="50"/>
  <c r="AA874" i="50"/>
  <c r="AA854" i="51" s="1"/>
  <c r="W874" i="50"/>
  <c r="W854" i="51" s="1"/>
  <c r="S874" i="50"/>
  <c r="S854" i="51" s="1"/>
  <c r="Z874" i="50"/>
  <c r="Z854" i="51" s="1"/>
  <c r="V874" i="50"/>
  <c r="V854" i="51" s="1"/>
  <c r="R874" i="50"/>
  <c r="R854" i="51" s="1"/>
  <c r="Y874" i="50"/>
  <c r="Y854" i="51" s="1"/>
  <c r="U874" i="50"/>
  <c r="U854" i="51" s="1"/>
  <c r="X874" i="50"/>
  <c r="X854" i="51" s="1"/>
  <c r="T874" i="50"/>
  <c r="T854" i="51" s="1"/>
  <c r="J962" i="50"/>
  <c r="AE962" i="50"/>
  <c r="AE942" i="51" s="1"/>
  <c r="AA962" i="50"/>
  <c r="AA942" i="51" s="1"/>
  <c r="W962" i="50"/>
  <c r="W942" i="51" s="1"/>
  <c r="AD962" i="50"/>
  <c r="AD942" i="51" s="1"/>
  <c r="Z962" i="50"/>
  <c r="Z942" i="51" s="1"/>
  <c r="V962" i="50"/>
  <c r="V942" i="51" s="1"/>
  <c r="AC962" i="50"/>
  <c r="AC942" i="51" s="1"/>
  <c r="Y962" i="50"/>
  <c r="Y942" i="51" s="1"/>
  <c r="AB962" i="50"/>
  <c r="AB942" i="51" s="1"/>
  <c r="X962" i="50"/>
  <c r="X942" i="51" s="1"/>
  <c r="G756" i="51"/>
  <c r="I793" i="51"/>
  <c r="K775" i="51"/>
  <c r="G783" i="51"/>
  <c r="K554" i="51"/>
  <c r="J791" i="50"/>
  <c r="V791" i="50"/>
  <c r="V771" i="51" s="1"/>
  <c r="R791" i="50"/>
  <c r="R771" i="51" s="1"/>
  <c r="U791" i="50"/>
  <c r="U771" i="51" s="1"/>
  <c r="Q791" i="50"/>
  <c r="Q771" i="51" s="1"/>
  <c r="S791" i="50"/>
  <c r="S771" i="51" s="1"/>
  <c r="X791" i="50"/>
  <c r="X771" i="51" s="1"/>
  <c r="P791" i="50"/>
  <c r="P771" i="51" s="1"/>
  <c r="W791" i="50"/>
  <c r="W771" i="51" s="1"/>
  <c r="O791" i="50"/>
  <c r="O771" i="51" s="1"/>
  <c r="T791" i="50"/>
  <c r="T771" i="51" s="1"/>
  <c r="J896" i="50"/>
  <c r="AB896" i="50"/>
  <c r="AB876" i="51" s="1"/>
  <c r="X896" i="50"/>
  <c r="X876" i="51" s="1"/>
  <c r="T896" i="50"/>
  <c r="T876" i="51" s="1"/>
  <c r="AA896" i="50"/>
  <c r="AA876" i="51" s="1"/>
  <c r="W896" i="50"/>
  <c r="W876" i="51" s="1"/>
  <c r="S896" i="50"/>
  <c r="S876" i="51" s="1"/>
  <c r="Z896" i="50"/>
  <c r="Z876" i="51" s="1"/>
  <c r="V896" i="50"/>
  <c r="V876" i="51" s="1"/>
  <c r="Y896" i="50"/>
  <c r="Y876" i="51" s="1"/>
  <c r="U896" i="50"/>
  <c r="U876" i="51" s="1"/>
  <c r="J984" i="50"/>
  <c r="AF984" i="50"/>
  <c r="AF964" i="51" s="1"/>
  <c r="AB984" i="50"/>
  <c r="AB964" i="51" s="1"/>
  <c r="X984" i="50"/>
  <c r="X964" i="51" s="1"/>
  <c r="AE984" i="50"/>
  <c r="AE964" i="51" s="1"/>
  <c r="AA984" i="50"/>
  <c r="AA964" i="51" s="1"/>
  <c r="W984" i="50"/>
  <c r="W964" i="51" s="1"/>
  <c r="AD984" i="50"/>
  <c r="AD964" i="51" s="1"/>
  <c r="Z984" i="50"/>
  <c r="Z964" i="51" s="1"/>
  <c r="AC984" i="50"/>
  <c r="AC964" i="51" s="1"/>
  <c r="Y984" i="50"/>
  <c r="Y964" i="51" s="1"/>
  <c r="K757" i="51"/>
  <c r="K756" i="51"/>
  <c r="I778" i="51"/>
  <c r="G534" i="51"/>
  <c r="I775" i="51"/>
  <c r="G779" i="51"/>
  <c r="P57" i="51"/>
  <c r="P54" i="51"/>
  <c r="P52" i="50"/>
  <c r="P52" i="51" s="1"/>
  <c r="P50" i="50"/>
  <c r="P46" i="50"/>
  <c r="P46" i="51" s="1"/>
  <c r="P44" i="50"/>
  <c r="P44" i="51" s="1"/>
  <c r="O39" i="50"/>
  <c r="O39" i="51" s="1"/>
  <c r="O37" i="50"/>
  <c r="O37" i="51" s="1"/>
  <c r="O35" i="50"/>
  <c r="O35" i="51" s="1"/>
  <c r="O33" i="50"/>
  <c r="O33" i="51" s="1"/>
  <c r="O31" i="50"/>
  <c r="O31" i="51" s="1"/>
  <c r="O29" i="50"/>
  <c r="O29" i="51" s="1"/>
  <c r="O27" i="50"/>
  <c r="O27" i="51" s="1"/>
  <c r="O25" i="50"/>
  <c r="O25" i="51" s="1"/>
  <c r="O23" i="50"/>
  <c r="O23" i="51" s="1"/>
  <c r="O19" i="50"/>
  <c r="O19" i="51" s="1"/>
  <c r="O17" i="50"/>
  <c r="O17" i="51" s="1"/>
  <c r="O15" i="50"/>
  <c r="O15" i="51" s="1"/>
  <c r="O13" i="50"/>
  <c r="O13" i="51" s="1"/>
  <c r="O11" i="50"/>
  <c r="O9" i="50"/>
  <c r="O9" i="51" s="1"/>
  <c r="O7" i="50"/>
  <c r="O7" i="51" s="1"/>
  <c r="O5" i="50"/>
  <c r="P58" i="51"/>
  <c r="P53" i="50"/>
  <c r="P53" i="51" s="1"/>
  <c r="P49" i="50"/>
  <c r="P47" i="50"/>
  <c r="P47" i="51" s="1"/>
  <c r="P45" i="50"/>
  <c r="P45" i="51" s="1"/>
  <c r="P43" i="51"/>
  <c r="O40" i="50"/>
  <c r="O40" i="51" s="1"/>
  <c r="O38" i="50"/>
  <c r="O36" i="50"/>
  <c r="O36" i="51" s="1"/>
  <c r="O34" i="50"/>
  <c r="O34" i="51" s="1"/>
  <c r="O32" i="50"/>
  <c r="O32" i="51" s="1"/>
  <c r="O30" i="50"/>
  <c r="O30" i="51" s="1"/>
  <c r="O28" i="50"/>
  <c r="O26" i="50"/>
  <c r="O26" i="51" s="1"/>
  <c r="O24" i="50"/>
  <c r="O24" i="51" s="1"/>
  <c r="O22" i="50"/>
  <c r="O22" i="51" s="1"/>
  <c r="O20" i="50"/>
  <c r="O20" i="51" s="1"/>
  <c r="O18" i="50"/>
  <c r="O18" i="51" s="1"/>
  <c r="O16" i="50"/>
  <c r="O16" i="51" s="1"/>
  <c r="O14" i="50"/>
  <c r="O12" i="50"/>
  <c r="O12" i="51" s="1"/>
  <c r="O10" i="50"/>
  <c r="O10" i="51" s="1"/>
  <c r="O8" i="50"/>
  <c r="O8" i="51" s="1"/>
  <c r="O6" i="50"/>
  <c r="O4" i="50"/>
  <c r="P803" i="50"/>
  <c r="P783" i="51" s="1"/>
  <c r="Q803" i="50"/>
  <c r="Q783" i="51" s="1"/>
  <c r="J830" i="50"/>
  <c r="W830" i="50"/>
  <c r="W810" i="51" s="1"/>
  <c r="S830" i="50"/>
  <c r="S810" i="51" s="1"/>
  <c r="V830" i="50"/>
  <c r="V810" i="51" s="1"/>
  <c r="R830" i="50"/>
  <c r="R810" i="51" s="1"/>
  <c r="T830" i="50"/>
  <c r="T810" i="51" s="1"/>
  <c r="Y830" i="50"/>
  <c r="Y810" i="51" s="1"/>
  <c r="Q830" i="50"/>
  <c r="Q810" i="51" s="1"/>
  <c r="X830" i="50"/>
  <c r="X810" i="51" s="1"/>
  <c r="P830" i="50"/>
  <c r="P810" i="51" s="1"/>
  <c r="U830" i="50"/>
  <c r="U810" i="51" s="1"/>
  <c r="J918" i="50"/>
  <c r="AC918" i="50"/>
  <c r="AC898" i="51" s="1"/>
  <c r="Y918" i="50"/>
  <c r="Y898" i="51" s="1"/>
  <c r="U918" i="50"/>
  <c r="U898" i="51" s="1"/>
  <c r="AB918" i="50"/>
  <c r="AB898" i="51" s="1"/>
  <c r="X918" i="50"/>
  <c r="X898" i="51" s="1"/>
  <c r="T918" i="50"/>
  <c r="T898" i="51" s="1"/>
  <c r="AA918" i="50"/>
  <c r="AA898" i="51" s="1"/>
  <c r="W918" i="50"/>
  <c r="W898" i="51" s="1"/>
  <c r="Z918" i="50"/>
  <c r="Z898" i="51" s="1"/>
  <c r="V918" i="50"/>
  <c r="V898" i="51" s="1"/>
  <c r="J1006" i="50"/>
  <c r="AG1006" i="50"/>
  <c r="AG986" i="51" s="1"/>
  <c r="AC1006" i="50"/>
  <c r="AC986" i="51" s="1"/>
  <c r="Y1006" i="50"/>
  <c r="Y986" i="51" s="1"/>
  <c r="AF1006" i="50"/>
  <c r="AF986" i="51" s="1"/>
  <c r="AB1006" i="50"/>
  <c r="AB986" i="51" s="1"/>
  <c r="X1006" i="50"/>
  <c r="X986" i="51" s="1"/>
  <c r="AE1006" i="50"/>
  <c r="AE986" i="51" s="1"/>
  <c r="AA1006" i="50"/>
  <c r="AA986" i="51" s="1"/>
  <c r="AD1006" i="50"/>
  <c r="AD986" i="51" s="1"/>
  <c r="Z1006" i="50"/>
  <c r="Z986" i="51" s="1"/>
  <c r="G539" i="51"/>
  <c r="J591" i="50"/>
  <c r="Y591" i="50"/>
  <c r="Y571" i="51" s="1"/>
  <c r="U591" i="50"/>
  <c r="U571" i="51" s="1"/>
  <c r="Q591" i="50"/>
  <c r="Q571" i="51" s="1"/>
  <c r="X591" i="50"/>
  <c r="X571" i="51" s="1"/>
  <c r="T591" i="50"/>
  <c r="T571" i="51" s="1"/>
  <c r="P591" i="50"/>
  <c r="P571" i="51" s="1"/>
  <c r="W591" i="50"/>
  <c r="W571" i="51" s="1"/>
  <c r="S591" i="50"/>
  <c r="S571" i="51" s="1"/>
  <c r="V591" i="50"/>
  <c r="V571" i="51" s="1"/>
  <c r="R591" i="50"/>
  <c r="R571" i="51" s="1"/>
  <c r="J613" i="50"/>
  <c r="Z613" i="50"/>
  <c r="Z593" i="51" s="1"/>
  <c r="V613" i="50"/>
  <c r="V593" i="51" s="1"/>
  <c r="R613" i="50"/>
  <c r="R593" i="51" s="1"/>
  <c r="Y613" i="50"/>
  <c r="Y593" i="51" s="1"/>
  <c r="U613" i="50"/>
  <c r="U593" i="51" s="1"/>
  <c r="Q613" i="50"/>
  <c r="Q593" i="51" s="1"/>
  <c r="X613" i="50"/>
  <c r="X593" i="51" s="1"/>
  <c r="T613" i="50"/>
  <c r="T593" i="51" s="1"/>
  <c r="W613" i="50"/>
  <c r="W593" i="51" s="1"/>
  <c r="S613" i="50"/>
  <c r="S593" i="51" s="1"/>
  <c r="J635" i="50"/>
  <c r="AA635" i="50"/>
  <c r="AA615" i="51" s="1"/>
  <c r="W635" i="50"/>
  <c r="W615" i="51" s="1"/>
  <c r="S635" i="50"/>
  <c r="S615" i="51" s="1"/>
  <c r="Z635" i="50"/>
  <c r="Z615" i="51" s="1"/>
  <c r="V635" i="50"/>
  <c r="V615" i="51" s="1"/>
  <c r="R635" i="50"/>
  <c r="R615" i="51" s="1"/>
  <c r="Y635" i="50"/>
  <c r="Y615" i="51" s="1"/>
  <c r="U635" i="50"/>
  <c r="U615" i="51" s="1"/>
  <c r="X635" i="50"/>
  <c r="X615" i="51" s="1"/>
  <c r="T635" i="50"/>
  <c r="T615" i="51" s="1"/>
  <c r="J657" i="50"/>
  <c r="AB657" i="50"/>
  <c r="AB637" i="51" s="1"/>
  <c r="X657" i="50"/>
  <c r="X637" i="51" s="1"/>
  <c r="T657" i="50"/>
  <c r="T637" i="51" s="1"/>
  <c r="AA657" i="50"/>
  <c r="AA637" i="51" s="1"/>
  <c r="W657" i="50"/>
  <c r="W637" i="51" s="1"/>
  <c r="S657" i="50"/>
  <c r="S637" i="51" s="1"/>
  <c r="Z657" i="50"/>
  <c r="Z637" i="51" s="1"/>
  <c r="V657" i="50"/>
  <c r="V637" i="51" s="1"/>
  <c r="Y657" i="50"/>
  <c r="Y637" i="51" s="1"/>
  <c r="U657" i="50"/>
  <c r="U637" i="51" s="1"/>
  <c r="J679" i="50"/>
  <c r="AC679" i="50"/>
  <c r="AC659" i="51" s="1"/>
  <c r="Y679" i="50"/>
  <c r="Y659" i="51" s="1"/>
  <c r="U679" i="50"/>
  <c r="U659" i="51" s="1"/>
  <c r="AB679" i="50"/>
  <c r="AB659" i="51" s="1"/>
  <c r="X679" i="50"/>
  <c r="X659" i="51" s="1"/>
  <c r="T679" i="50"/>
  <c r="T659" i="51" s="1"/>
  <c r="AA679" i="50"/>
  <c r="AA659" i="51" s="1"/>
  <c r="W679" i="50"/>
  <c r="W659" i="51" s="1"/>
  <c r="Z679" i="50"/>
  <c r="Z659" i="51" s="1"/>
  <c r="V679" i="50"/>
  <c r="V659" i="51" s="1"/>
  <c r="J701" i="50"/>
  <c r="AA701" i="50"/>
  <c r="AA681" i="51" s="1"/>
  <c r="W701" i="50"/>
  <c r="W681" i="51" s="1"/>
  <c r="AD701" i="50"/>
  <c r="AD681" i="51" s="1"/>
  <c r="Y701" i="50"/>
  <c r="Y681" i="51" s="1"/>
  <c r="AC701" i="50"/>
  <c r="AC681" i="51" s="1"/>
  <c r="X701" i="50"/>
  <c r="X681" i="51" s="1"/>
  <c r="AB701" i="50"/>
  <c r="AB681" i="51" s="1"/>
  <c r="V701" i="50"/>
  <c r="V681" i="51" s="1"/>
  <c r="Z701" i="50"/>
  <c r="Z681" i="51" s="1"/>
  <c r="U701" i="50"/>
  <c r="U681" i="51" s="1"/>
  <c r="J723" i="50"/>
  <c r="AC723" i="50"/>
  <c r="AC703" i="51" s="1"/>
  <c r="Y723" i="50"/>
  <c r="Y703" i="51" s="1"/>
  <c r="AB723" i="50"/>
  <c r="AB703" i="51" s="1"/>
  <c r="X723" i="50"/>
  <c r="X703" i="51" s="1"/>
  <c r="AD723" i="50"/>
  <c r="AD703" i="51" s="1"/>
  <c r="V723" i="50"/>
  <c r="V703" i="51" s="1"/>
  <c r="AA723" i="50"/>
  <c r="AA703" i="51" s="1"/>
  <c r="Z723" i="50"/>
  <c r="Z703" i="51" s="1"/>
  <c r="AE723" i="50"/>
  <c r="AE703" i="51" s="1"/>
  <c r="W723" i="50"/>
  <c r="W703" i="51" s="1"/>
  <c r="J745" i="50"/>
  <c r="AD745" i="50"/>
  <c r="AD725" i="51" s="1"/>
  <c r="Z745" i="50"/>
  <c r="Z725" i="51" s="1"/>
  <c r="AC745" i="50"/>
  <c r="AC725" i="51" s="1"/>
  <c r="Y745" i="50"/>
  <c r="Y725" i="51" s="1"/>
  <c r="AE745" i="50"/>
  <c r="AE725" i="51" s="1"/>
  <c r="W745" i="50"/>
  <c r="W725" i="51" s="1"/>
  <c r="AB745" i="50"/>
  <c r="AB725" i="51" s="1"/>
  <c r="AA745" i="50"/>
  <c r="AA725" i="51" s="1"/>
  <c r="AF745" i="50"/>
  <c r="AF725" i="51" s="1"/>
  <c r="X745" i="50"/>
  <c r="X725" i="51" s="1"/>
  <c r="J767" i="50"/>
  <c r="AE767" i="50"/>
  <c r="AE747" i="51" s="1"/>
  <c r="AA767" i="50"/>
  <c r="AA747" i="51" s="1"/>
  <c r="AD767" i="50"/>
  <c r="AD747" i="51" s="1"/>
  <c r="Z767" i="50"/>
  <c r="Z747" i="51" s="1"/>
  <c r="AF767" i="50"/>
  <c r="AF747" i="51" s="1"/>
  <c r="X767" i="50"/>
  <c r="X747" i="51" s="1"/>
  <c r="AC767" i="50"/>
  <c r="AC747" i="51" s="1"/>
  <c r="AB767" i="50"/>
  <c r="AB747" i="51" s="1"/>
  <c r="AG767" i="50"/>
  <c r="AG747" i="51" s="1"/>
  <c r="Y767" i="50"/>
  <c r="Y747" i="51" s="1"/>
  <c r="J852" i="50"/>
  <c r="X852" i="50"/>
  <c r="X832" i="51" s="1"/>
  <c r="T852" i="50"/>
  <c r="T832" i="51" s="1"/>
  <c r="W852" i="50"/>
  <c r="W832" i="51" s="1"/>
  <c r="S852" i="50"/>
  <c r="S832" i="51" s="1"/>
  <c r="U852" i="50"/>
  <c r="U832" i="51" s="1"/>
  <c r="Z852" i="50"/>
  <c r="Z832" i="51" s="1"/>
  <c r="R852" i="50"/>
  <c r="R832" i="51" s="1"/>
  <c r="Y852" i="50"/>
  <c r="Y832" i="51" s="1"/>
  <c r="Q852" i="50"/>
  <c r="Q832" i="51" s="1"/>
  <c r="V852" i="50"/>
  <c r="V832" i="51" s="1"/>
  <c r="J940" i="50"/>
  <c r="AD940" i="50"/>
  <c r="AD920" i="51" s="1"/>
  <c r="Z940" i="50"/>
  <c r="Z920" i="51" s="1"/>
  <c r="V940" i="50"/>
  <c r="V920" i="51" s="1"/>
  <c r="AC940" i="50"/>
  <c r="AC920" i="51" s="1"/>
  <c r="Y940" i="50"/>
  <c r="Y920" i="51" s="1"/>
  <c r="U940" i="50"/>
  <c r="U920" i="51" s="1"/>
  <c r="AB940" i="50"/>
  <c r="AB920" i="51" s="1"/>
  <c r="X940" i="50"/>
  <c r="X920" i="51" s="1"/>
  <c r="AA940" i="50"/>
  <c r="AA920" i="51" s="1"/>
  <c r="W940" i="50"/>
  <c r="W920" i="51" s="1"/>
  <c r="Q3" i="51"/>
  <c r="I757" i="51"/>
  <c r="K778" i="51"/>
  <c r="G758" i="51"/>
  <c r="I554" i="51"/>
  <c r="I539" i="51"/>
  <c r="X569" i="50"/>
  <c r="X549" i="51" s="1"/>
  <c r="T569" i="50"/>
  <c r="T549" i="51" s="1"/>
  <c r="P569" i="50"/>
  <c r="P549" i="51" s="1"/>
  <c r="V567" i="50"/>
  <c r="V547" i="51" s="1"/>
  <c r="R567" i="50"/>
  <c r="R547" i="51" s="1"/>
  <c r="X556" i="50"/>
  <c r="X536" i="51" s="1"/>
  <c r="T556" i="50"/>
  <c r="T536" i="51" s="1"/>
  <c r="P556" i="50"/>
  <c r="P536" i="51" s="1"/>
  <c r="V552" i="50"/>
  <c r="V532" i="51" s="1"/>
  <c r="R552" i="50"/>
  <c r="R532" i="51" s="1"/>
  <c r="X550" i="50"/>
  <c r="X530" i="51" s="1"/>
  <c r="T550" i="50"/>
  <c r="T530" i="51" s="1"/>
  <c r="P550" i="50"/>
  <c r="P530" i="51" s="1"/>
  <c r="V548" i="50"/>
  <c r="V528" i="51" s="1"/>
  <c r="R548" i="50"/>
  <c r="R528" i="51" s="1"/>
  <c r="V569" i="50"/>
  <c r="V549" i="51" s="1"/>
  <c r="R569" i="50"/>
  <c r="R549" i="51" s="1"/>
  <c r="X567" i="50"/>
  <c r="X547" i="51" s="1"/>
  <c r="T567" i="50"/>
  <c r="T547" i="51" s="1"/>
  <c r="P567" i="50"/>
  <c r="P547" i="51" s="1"/>
  <c r="V556" i="50"/>
  <c r="V536" i="51" s="1"/>
  <c r="R556" i="50"/>
  <c r="R536" i="51" s="1"/>
  <c r="X552" i="50"/>
  <c r="X532" i="51" s="1"/>
  <c r="T552" i="50"/>
  <c r="T532" i="51" s="1"/>
  <c r="P552" i="50"/>
  <c r="P532" i="51" s="1"/>
  <c r="V550" i="50"/>
  <c r="V530" i="51" s="1"/>
  <c r="R550" i="50"/>
  <c r="R530" i="51" s="1"/>
  <c r="X548" i="50"/>
  <c r="X528" i="51" s="1"/>
  <c r="T548" i="50"/>
  <c r="T528" i="51" s="1"/>
  <c r="P548" i="50"/>
  <c r="P528" i="51" s="1"/>
  <c r="U569" i="50"/>
  <c r="U549" i="51" s="1"/>
  <c r="W567" i="50"/>
  <c r="W547" i="51" s="1"/>
  <c r="O567" i="50"/>
  <c r="O547" i="51" s="1"/>
  <c r="Q556" i="50"/>
  <c r="Q536" i="51" s="1"/>
  <c r="S552" i="50"/>
  <c r="S532" i="51" s="1"/>
  <c r="U550" i="50"/>
  <c r="U530" i="51" s="1"/>
  <c r="W548" i="50"/>
  <c r="W528" i="51" s="1"/>
  <c r="O548" i="50"/>
  <c r="O528" i="51" s="1"/>
  <c r="S569" i="50"/>
  <c r="S549" i="51" s="1"/>
  <c r="U567" i="50"/>
  <c r="U547" i="51" s="1"/>
  <c r="W556" i="50"/>
  <c r="W536" i="51" s="1"/>
  <c r="O556" i="50"/>
  <c r="O536" i="51" s="1"/>
  <c r="Q552" i="50"/>
  <c r="Q532" i="51" s="1"/>
  <c r="S550" i="50"/>
  <c r="S530" i="51" s="1"/>
  <c r="U548" i="50"/>
  <c r="U528" i="51" s="1"/>
  <c r="Q569" i="50"/>
  <c r="Q549" i="51" s="1"/>
  <c r="S567" i="50"/>
  <c r="S547" i="51" s="1"/>
  <c r="U556" i="50"/>
  <c r="U536" i="51" s="1"/>
  <c r="W552" i="50"/>
  <c r="W532" i="51" s="1"/>
  <c r="O552" i="50"/>
  <c r="O532" i="51" s="1"/>
  <c r="Q550" i="50"/>
  <c r="Q530" i="51" s="1"/>
  <c r="S548" i="50"/>
  <c r="S528" i="51" s="1"/>
  <c r="W569" i="50"/>
  <c r="W549" i="51" s="1"/>
  <c r="O569" i="50"/>
  <c r="O549" i="51" s="1"/>
  <c r="Q567" i="50"/>
  <c r="Q547" i="51" s="1"/>
  <c r="S556" i="50"/>
  <c r="S536" i="51" s="1"/>
  <c r="U552" i="50"/>
  <c r="U532" i="51" s="1"/>
  <c r="W550" i="50"/>
  <c r="W530" i="51" s="1"/>
  <c r="O550" i="50"/>
  <c r="O530" i="51" s="1"/>
  <c r="Q548" i="50"/>
  <c r="Q528" i="51" s="1"/>
  <c r="O2" i="50"/>
  <c r="P3" i="50" s="1"/>
  <c r="G13" i="50"/>
  <c r="F822" i="50"/>
  <c r="F840" i="50"/>
  <c r="D907" i="50"/>
  <c r="E934" i="50"/>
  <c r="E976" i="50"/>
  <c r="E40" i="50"/>
  <c r="G40" i="50" s="1"/>
  <c r="G42" i="50"/>
  <c r="I64" i="50"/>
  <c r="E838" i="50"/>
  <c r="I976" i="50"/>
  <c r="G21" i="50"/>
  <c r="D945" i="50"/>
  <c r="H824" i="50"/>
  <c r="I838" i="50"/>
  <c r="E858" i="50"/>
  <c r="D867" i="50"/>
  <c r="D923" i="50"/>
  <c r="D956" i="50"/>
  <c r="I50" i="50"/>
  <c r="I54" i="50"/>
  <c r="E867" i="50"/>
  <c r="I870" i="50"/>
  <c r="H902" i="50"/>
  <c r="E923" i="50"/>
  <c r="E956" i="50"/>
  <c r="E992" i="50"/>
  <c r="J951" i="50"/>
  <c r="F956" i="50"/>
  <c r="D6" i="50"/>
  <c r="E8" i="50"/>
  <c r="I8" i="50" s="1"/>
  <c r="E16" i="50"/>
  <c r="G16" i="50" s="1"/>
  <c r="D50" i="50"/>
  <c r="F842" i="50"/>
  <c r="K860" i="50"/>
  <c r="E862" i="50"/>
  <c r="E914" i="50"/>
  <c r="F970" i="50"/>
  <c r="K977" i="50"/>
  <c r="D866" i="50"/>
  <c r="J914" i="50"/>
  <c r="I970" i="50"/>
  <c r="D999" i="50"/>
  <c r="D7" i="50"/>
  <c r="D9" i="50"/>
  <c r="E31" i="50"/>
  <c r="I31" i="50" s="1"/>
  <c r="I35" i="50"/>
  <c r="E51" i="50"/>
  <c r="D54" i="50"/>
  <c r="E818" i="50"/>
  <c r="D820" i="50"/>
  <c r="D859" i="50"/>
  <c r="E866" i="50"/>
  <c r="I818" i="50"/>
  <c r="I826" i="50"/>
  <c r="D842" i="50"/>
  <c r="F844" i="50"/>
  <c r="H859" i="50"/>
  <c r="E860" i="50"/>
  <c r="D862" i="50"/>
  <c r="I866" i="50"/>
  <c r="E911" i="50"/>
  <c r="D914" i="50"/>
  <c r="D933" i="50"/>
  <c r="F935" i="50"/>
  <c r="D947" i="50"/>
  <c r="J956" i="50"/>
  <c r="F969" i="50"/>
  <c r="E970" i="50"/>
  <c r="D994" i="50"/>
  <c r="E12" i="50"/>
  <c r="G12" i="50" s="1"/>
  <c r="G17" i="50"/>
  <c r="E20" i="50"/>
  <c r="G20" i="50" s="1"/>
  <c r="G47" i="50"/>
  <c r="E826" i="50"/>
  <c r="F835" i="50"/>
  <c r="F846" i="50"/>
  <c r="J862" i="50"/>
  <c r="I863" i="50"/>
  <c r="E870" i="50"/>
  <c r="F901" i="50"/>
  <c r="E904" i="50"/>
  <c r="D911" i="50"/>
  <c r="I914" i="50"/>
  <c r="E931" i="50"/>
  <c r="J933" i="50"/>
  <c r="I947" i="50"/>
  <c r="E951" i="50"/>
  <c r="E952" i="50"/>
  <c r="I956" i="50"/>
  <c r="I971" i="50"/>
  <c r="D976" i="50"/>
  <c r="I980" i="50"/>
  <c r="D992" i="50"/>
  <c r="E993" i="50"/>
  <c r="G993" i="50" s="1"/>
  <c r="I994" i="50"/>
  <c r="H995" i="50"/>
  <c r="E999" i="50"/>
  <c r="D1012" i="50"/>
  <c r="I835" i="50"/>
  <c r="I901" i="50"/>
  <c r="D905" i="50"/>
  <c r="F931" i="50"/>
  <c r="J947" i="50"/>
  <c r="F952" i="50"/>
  <c r="J980" i="50"/>
  <c r="D13" i="50"/>
  <c r="E24" i="50"/>
  <c r="G24" i="50" s="1"/>
  <c r="D27" i="50"/>
  <c r="E36" i="50"/>
  <c r="G36" i="50" s="1"/>
  <c r="E65" i="50"/>
  <c r="G65" i="50" s="1"/>
  <c r="J818" i="50"/>
  <c r="F820" i="50"/>
  <c r="J826" i="50"/>
  <c r="D835" i="50"/>
  <c r="J835" i="50"/>
  <c r="I858" i="50"/>
  <c r="D863" i="50"/>
  <c r="J870" i="50"/>
  <c r="D889" i="50"/>
  <c r="D901" i="50"/>
  <c r="J901" i="50"/>
  <c r="D903" i="50"/>
  <c r="E905" i="50"/>
  <c r="G905" i="50" s="1"/>
  <c r="D928" i="50"/>
  <c r="I931" i="50"/>
  <c r="I952" i="50"/>
  <c r="D980" i="50"/>
  <c r="F989" i="50"/>
  <c r="H992" i="50"/>
  <c r="D995" i="50"/>
  <c r="D996" i="50"/>
  <c r="G28" i="50"/>
  <c r="E43" i="50"/>
  <c r="G43" i="50" s="1"/>
  <c r="D46" i="50"/>
  <c r="C780" i="50"/>
  <c r="K780" i="50" s="1"/>
  <c r="D818" i="50"/>
  <c r="D826" i="50"/>
  <c r="E835" i="50"/>
  <c r="K839" i="50"/>
  <c r="D846" i="50"/>
  <c r="F848" i="50"/>
  <c r="I862" i="50"/>
  <c r="E863" i="50"/>
  <c r="J866" i="50"/>
  <c r="I867" i="50"/>
  <c r="D870" i="50"/>
  <c r="F879" i="50"/>
  <c r="F884" i="50"/>
  <c r="J887" i="50"/>
  <c r="E889" i="50"/>
  <c r="E901" i="50"/>
  <c r="H903" i="50"/>
  <c r="D904" i="50"/>
  <c r="E907" i="50"/>
  <c r="F914" i="50"/>
  <c r="I928" i="50"/>
  <c r="D931" i="50"/>
  <c r="J931" i="50"/>
  <c r="F933" i="50"/>
  <c r="I934" i="50"/>
  <c r="F945" i="50"/>
  <c r="E947" i="50"/>
  <c r="D952" i="50"/>
  <c r="J952" i="50"/>
  <c r="I955" i="50"/>
  <c r="F972" i="50"/>
  <c r="J976" i="50"/>
  <c r="E980" i="50"/>
  <c r="D993" i="50"/>
  <c r="E995" i="50"/>
  <c r="G4" i="50"/>
  <c r="G56" i="50"/>
  <c r="C778" i="50"/>
  <c r="H778" i="50" s="1"/>
  <c r="C785" i="50"/>
  <c r="F785" i="50" s="1"/>
  <c r="I816" i="50"/>
  <c r="H818" i="50"/>
  <c r="J820" i="50"/>
  <c r="E822" i="50"/>
  <c r="J822" i="50"/>
  <c r="F824" i="50"/>
  <c r="H826" i="50"/>
  <c r="I836" i="50"/>
  <c r="H837" i="50"/>
  <c r="E840" i="50"/>
  <c r="J840" i="50"/>
  <c r="J842" i="50"/>
  <c r="E844" i="50"/>
  <c r="J844" i="50"/>
  <c r="J846" i="50"/>
  <c r="E848" i="50"/>
  <c r="J848" i="50"/>
  <c r="F857" i="50"/>
  <c r="H862" i="50"/>
  <c r="H866" i="50"/>
  <c r="H870" i="50"/>
  <c r="E879" i="50"/>
  <c r="J879" i="50"/>
  <c r="H880" i="50"/>
  <c r="H882" i="50"/>
  <c r="E884" i="50"/>
  <c r="J884" i="50"/>
  <c r="H885" i="50"/>
  <c r="F888" i="50"/>
  <c r="I889" i="50"/>
  <c r="F892" i="50"/>
  <c r="E902" i="50"/>
  <c r="I904" i="50"/>
  <c r="K905" i="50"/>
  <c r="F906" i="50"/>
  <c r="I907" i="50"/>
  <c r="F910" i="50"/>
  <c r="I911" i="50"/>
  <c r="K923" i="50"/>
  <c r="F929" i="50"/>
  <c r="E935" i="50"/>
  <c r="J935" i="50"/>
  <c r="K945" i="50"/>
  <c r="H947" i="50"/>
  <c r="H953" i="50"/>
  <c r="F955" i="50"/>
  <c r="H957" i="50"/>
  <c r="I968" i="50"/>
  <c r="E969" i="50"/>
  <c r="J969" i="50"/>
  <c r="E972" i="50"/>
  <c r="J972" i="50"/>
  <c r="H976" i="50"/>
  <c r="H980" i="50"/>
  <c r="E989" i="50"/>
  <c r="J989" i="50"/>
  <c r="H990" i="50"/>
  <c r="H991" i="50"/>
  <c r="H994" i="50"/>
  <c r="F998" i="50"/>
  <c r="I999" i="50"/>
  <c r="F1002" i="50"/>
  <c r="E1011" i="50"/>
  <c r="J1011" i="50"/>
  <c r="H1012" i="50"/>
  <c r="H1013" i="50"/>
  <c r="K816" i="50"/>
  <c r="J837" i="50"/>
  <c r="H857" i="50"/>
  <c r="I880" i="50"/>
  <c r="I882" i="50"/>
  <c r="K883" i="50"/>
  <c r="I885" i="50"/>
  <c r="H888" i="50"/>
  <c r="H892" i="50"/>
  <c r="H906" i="50"/>
  <c r="H910" i="50"/>
  <c r="J968" i="50"/>
  <c r="I990" i="50"/>
  <c r="H998" i="50"/>
  <c r="H1002" i="50"/>
  <c r="F1011" i="50"/>
  <c r="I1012" i="50"/>
  <c r="D15" i="50"/>
  <c r="D17" i="50"/>
  <c r="D19" i="50"/>
  <c r="D23" i="50"/>
  <c r="E32" i="50"/>
  <c r="G32" i="50" s="1"/>
  <c r="D35" i="50"/>
  <c r="D39" i="50"/>
  <c r="D47" i="50"/>
  <c r="E61" i="50"/>
  <c r="G61" i="50" s="1"/>
  <c r="D64" i="50"/>
  <c r="D816" i="50"/>
  <c r="I817" i="50"/>
  <c r="H822" i="50"/>
  <c r="J824" i="50"/>
  <c r="D837" i="50"/>
  <c r="H840" i="50"/>
  <c r="E841" i="50"/>
  <c r="H844" i="50"/>
  <c r="E845" i="50"/>
  <c r="H848" i="50"/>
  <c r="D857" i="50"/>
  <c r="I857" i="50"/>
  <c r="E865" i="50"/>
  <c r="E869" i="50"/>
  <c r="H879" i="50"/>
  <c r="D880" i="50"/>
  <c r="D882" i="50"/>
  <c r="D883" i="50"/>
  <c r="H884" i="50"/>
  <c r="D885" i="50"/>
  <c r="D888" i="50"/>
  <c r="I888" i="50"/>
  <c r="D890" i="50"/>
  <c r="D892" i="50"/>
  <c r="I892" i="50"/>
  <c r="I902" i="50"/>
  <c r="D906" i="50"/>
  <c r="I906" i="50"/>
  <c r="D908" i="50"/>
  <c r="D910" i="50"/>
  <c r="I910" i="50"/>
  <c r="E930" i="50"/>
  <c r="H935" i="50"/>
  <c r="F946" i="50"/>
  <c r="F948" i="50"/>
  <c r="F950" i="50"/>
  <c r="J955" i="50"/>
  <c r="E968" i="50"/>
  <c r="H969" i="50"/>
  <c r="H972" i="50"/>
  <c r="E973" i="50"/>
  <c r="E975" i="50"/>
  <c r="H989" i="50"/>
  <c r="D990" i="50"/>
  <c r="E994" i="50"/>
  <c r="J994" i="50"/>
  <c r="H996" i="50"/>
  <c r="D998" i="50"/>
  <c r="I998" i="50"/>
  <c r="D1000" i="50"/>
  <c r="D1002" i="50"/>
  <c r="I1002" i="50"/>
  <c r="H1011" i="50"/>
  <c r="G8" i="50"/>
  <c r="C784" i="50"/>
  <c r="D784" i="50" s="1"/>
  <c r="E816" i="50"/>
  <c r="F818" i="50"/>
  <c r="H820" i="50"/>
  <c r="D822" i="50"/>
  <c r="I822" i="50"/>
  <c r="D824" i="50"/>
  <c r="F826" i="50"/>
  <c r="H835" i="50"/>
  <c r="E836" i="50"/>
  <c r="F837" i="50"/>
  <c r="E839" i="50"/>
  <c r="G839" i="50" s="1"/>
  <c r="D840" i="50"/>
  <c r="I840" i="50"/>
  <c r="I841" i="50"/>
  <c r="H842" i="50"/>
  <c r="D844" i="50"/>
  <c r="I844" i="50"/>
  <c r="I845" i="50"/>
  <c r="H846" i="50"/>
  <c r="D848" i="50"/>
  <c r="I848" i="50"/>
  <c r="E857" i="50"/>
  <c r="J857" i="50"/>
  <c r="F862" i="50"/>
  <c r="J865" i="50"/>
  <c r="F866" i="50"/>
  <c r="J869" i="50"/>
  <c r="F870" i="50"/>
  <c r="D879" i="50"/>
  <c r="I879" i="50"/>
  <c r="E880" i="50"/>
  <c r="E882" i="50"/>
  <c r="E883" i="50"/>
  <c r="G883" i="50" s="1"/>
  <c r="D884" i="50"/>
  <c r="I884" i="50"/>
  <c r="E885" i="50"/>
  <c r="E888" i="50"/>
  <c r="J888" i="50"/>
  <c r="H889" i="50"/>
  <c r="H890" i="50"/>
  <c r="E892" i="50"/>
  <c r="J892" i="50"/>
  <c r="H901" i="50"/>
  <c r="D902" i="50"/>
  <c r="H904" i="50"/>
  <c r="E906" i="50"/>
  <c r="J906" i="50"/>
  <c r="H907" i="50"/>
  <c r="H908" i="50"/>
  <c r="E910" i="50"/>
  <c r="J910" i="50"/>
  <c r="H911" i="50"/>
  <c r="H914" i="50"/>
  <c r="D929" i="50"/>
  <c r="H931" i="50"/>
  <c r="D935" i="50"/>
  <c r="I935" i="50"/>
  <c r="K946" i="50"/>
  <c r="F947" i="50"/>
  <c r="K948" i="50"/>
  <c r="K950" i="50"/>
  <c r="H952" i="50"/>
  <c r="E955" i="50"/>
  <c r="H956" i="50"/>
  <c r="F968" i="50"/>
  <c r="D969" i="50"/>
  <c r="I969" i="50"/>
  <c r="K970" i="50"/>
  <c r="D972" i="50"/>
  <c r="I972" i="50"/>
  <c r="F976" i="50"/>
  <c r="F980" i="50"/>
  <c r="D989" i="50"/>
  <c r="I989" i="50"/>
  <c r="E990" i="50"/>
  <c r="D991" i="50"/>
  <c r="I992" i="50"/>
  <c r="K993" i="50"/>
  <c r="F994" i="50"/>
  <c r="I995" i="50"/>
  <c r="E998" i="50"/>
  <c r="J998" i="50"/>
  <c r="H999" i="50"/>
  <c r="H1000" i="50"/>
  <c r="E1002" i="50"/>
  <c r="J1002" i="50"/>
  <c r="D1011" i="50"/>
  <c r="I1011" i="50"/>
  <c r="E1012" i="50"/>
  <c r="D1013" i="50"/>
  <c r="I6" i="50"/>
  <c r="G6" i="50"/>
  <c r="I26" i="50"/>
  <c r="G26" i="50"/>
  <c r="I45" i="50"/>
  <c r="G45" i="50"/>
  <c r="I49" i="50"/>
  <c r="G49" i="50"/>
  <c r="I53" i="50"/>
  <c r="G53" i="50"/>
  <c r="I58" i="50"/>
  <c r="G58" i="50"/>
  <c r="I10" i="50"/>
  <c r="G10" i="50"/>
  <c r="I27" i="50"/>
  <c r="G27" i="50"/>
  <c r="I38" i="50"/>
  <c r="G38" i="50"/>
  <c r="I46" i="50"/>
  <c r="G46" i="50"/>
  <c r="I7" i="50"/>
  <c r="G7" i="50"/>
  <c r="I11" i="50"/>
  <c r="G11" i="50"/>
  <c r="I18" i="50"/>
  <c r="G18" i="50"/>
  <c r="I22" i="50"/>
  <c r="G22" i="50"/>
  <c r="I34" i="50"/>
  <c r="G34" i="50"/>
  <c r="I48" i="50"/>
  <c r="I5" i="50"/>
  <c r="G5" i="50"/>
  <c r="I15" i="50"/>
  <c r="G15" i="50"/>
  <c r="I19" i="50"/>
  <c r="G19" i="50"/>
  <c r="I23" i="50"/>
  <c r="G23" i="50"/>
  <c r="I30" i="50"/>
  <c r="G30" i="50"/>
  <c r="I39" i="50"/>
  <c r="G39" i="50"/>
  <c r="I4" i="50"/>
  <c r="I9" i="50"/>
  <c r="I13" i="50"/>
  <c r="I17" i="50"/>
  <c r="I21" i="50"/>
  <c r="E25" i="50"/>
  <c r="E29" i="50"/>
  <c r="E33" i="50"/>
  <c r="G35" i="50"/>
  <c r="E37" i="50"/>
  <c r="E44" i="50"/>
  <c r="G50" i="50"/>
  <c r="E52" i="50"/>
  <c r="G54" i="50"/>
  <c r="E57" i="50"/>
  <c r="E62" i="50"/>
  <c r="E66" i="50"/>
  <c r="I28" i="50"/>
  <c r="I42" i="50"/>
  <c r="I47" i="50"/>
  <c r="I56" i="50"/>
  <c r="I60" i="50"/>
  <c r="D5" i="50"/>
  <c r="D10" i="50"/>
  <c r="D18" i="50"/>
  <c r="D22" i="50"/>
  <c r="D26" i="50"/>
  <c r="D30" i="50"/>
  <c r="D34" i="50"/>
  <c r="D45" i="50"/>
  <c r="D49" i="50"/>
  <c r="D53" i="50"/>
  <c r="D58" i="50"/>
  <c r="D63" i="50"/>
  <c r="D67" i="50"/>
  <c r="O41" i="50"/>
  <c r="C546" i="50"/>
  <c r="C547" i="50"/>
  <c r="C554" i="50"/>
  <c r="C557" i="50"/>
  <c r="C561" i="50"/>
  <c r="C565" i="50"/>
  <c r="C574" i="50"/>
  <c r="C543" i="50"/>
  <c r="C555" i="50"/>
  <c r="C558" i="50"/>
  <c r="C562" i="50"/>
  <c r="C575" i="50"/>
  <c r="C537" i="50"/>
  <c r="C559" i="50"/>
  <c r="C563" i="50"/>
  <c r="C576" i="50"/>
  <c r="C539" i="50"/>
  <c r="C541" i="50"/>
  <c r="C545" i="50"/>
  <c r="C549" i="50"/>
  <c r="C551" i="50"/>
  <c r="C553" i="50"/>
  <c r="C560" i="50"/>
  <c r="C564" i="50"/>
  <c r="C788" i="50"/>
  <c r="C790" i="50"/>
  <c r="C792" i="50"/>
  <c r="C797" i="50"/>
  <c r="J821" i="50"/>
  <c r="F821" i="50"/>
  <c r="H821" i="50"/>
  <c r="D821" i="50"/>
  <c r="K821" i="50"/>
  <c r="H823" i="50"/>
  <c r="D823" i="50"/>
  <c r="J823" i="50"/>
  <c r="F823" i="50"/>
  <c r="K823" i="50"/>
  <c r="C786" i="50"/>
  <c r="E821" i="50"/>
  <c r="E823" i="50"/>
  <c r="C813" i="50"/>
  <c r="C804" i="50"/>
  <c r="C800" i="50"/>
  <c r="C796" i="50"/>
  <c r="C793" i="50"/>
  <c r="C782" i="50"/>
  <c r="C794" i="50"/>
  <c r="C799" i="50"/>
  <c r="C802" i="50"/>
  <c r="C805" i="50"/>
  <c r="C815" i="50"/>
  <c r="D817" i="50"/>
  <c r="H819" i="50"/>
  <c r="D819" i="50"/>
  <c r="J819" i="50"/>
  <c r="F819" i="50"/>
  <c r="K819" i="50"/>
  <c r="J825" i="50"/>
  <c r="F825" i="50"/>
  <c r="H825" i="50"/>
  <c r="D825" i="50"/>
  <c r="K825" i="50"/>
  <c r="C776" i="50"/>
  <c r="C798" i="50"/>
  <c r="C801" i="50"/>
  <c r="C814" i="50"/>
  <c r="J816" i="50"/>
  <c r="F816" i="50"/>
  <c r="H816" i="50"/>
  <c r="E817" i="50"/>
  <c r="G817" i="50" s="1"/>
  <c r="E819" i="50"/>
  <c r="I821" i="50"/>
  <c r="I823" i="50"/>
  <c r="E825" i="50"/>
  <c r="K843" i="50"/>
  <c r="K847" i="50"/>
  <c r="I864" i="50"/>
  <c r="E864" i="50"/>
  <c r="H864" i="50"/>
  <c r="I868" i="50"/>
  <c r="E868" i="50"/>
  <c r="H868" i="50"/>
  <c r="E820" i="50"/>
  <c r="I820" i="50"/>
  <c r="E824" i="50"/>
  <c r="I824" i="50"/>
  <c r="F836" i="50"/>
  <c r="J836" i="50"/>
  <c r="E837" i="50"/>
  <c r="I837" i="50"/>
  <c r="F838" i="50"/>
  <c r="J838" i="50"/>
  <c r="F841" i="50"/>
  <c r="J841" i="50"/>
  <c r="E842" i="50"/>
  <c r="I842" i="50"/>
  <c r="D843" i="50"/>
  <c r="H843" i="50"/>
  <c r="F845" i="50"/>
  <c r="J845" i="50"/>
  <c r="E846" i="50"/>
  <c r="I846" i="50"/>
  <c r="D847" i="50"/>
  <c r="H847" i="50"/>
  <c r="F858" i="50"/>
  <c r="J858" i="50"/>
  <c r="E859" i="50"/>
  <c r="I859" i="50"/>
  <c r="D861" i="50"/>
  <c r="J863" i="50"/>
  <c r="F863" i="50"/>
  <c r="H863" i="50"/>
  <c r="D864" i="50"/>
  <c r="J864" i="50"/>
  <c r="F865" i="50"/>
  <c r="J867" i="50"/>
  <c r="F867" i="50"/>
  <c r="H867" i="50"/>
  <c r="D868" i="50"/>
  <c r="J868" i="50"/>
  <c r="F869" i="50"/>
  <c r="K836" i="50"/>
  <c r="K838" i="50"/>
  <c r="I839" i="50"/>
  <c r="K841" i="50"/>
  <c r="E843" i="50"/>
  <c r="I843" i="50"/>
  <c r="K845" i="50"/>
  <c r="E847" i="50"/>
  <c r="I847" i="50"/>
  <c r="K858" i="50"/>
  <c r="F859" i="50"/>
  <c r="J859" i="50"/>
  <c r="J860" i="50"/>
  <c r="F860" i="50"/>
  <c r="H860" i="50"/>
  <c r="E861" i="50"/>
  <c r="G861" i="50" s="1"/>
  <c r="F864" i="50"/>
  <c r="K864" i="50"/>
  <c r="F868" i="50"/>
  <c r="K868" i="50"/>
  <c r="J881" i="50"/>
  <c r="F881" i="50"/>
  <c r="I881" i="50"/>
  <c r="E881" i="50"/>
  <c r="K881" i="50"/>
  <c r="J886" i="50"/>
  <c r="F886" i="50"/>
  <c r="I886" i="50"/>
  <c r="E886" i="50"/>
  <c r="K886" i="50"/>
  <c r="D836" i="50"/>
  <c r="D838" i="50"/>
  <c r="H838" i="50"/>
  <c r="D841" i="50"/>
  <c r="F843" i="50"/>
  <c r="D845" i="50"/>
  <c r="F847" i="50"/>
  <c r="D858" i="50"/>
  <c r="D860" i="50"/>
  <c r="I860" i="50"/>
  <c r="I861" i="50"/>
  <c r="H865" i="50"/>
  <c r="D865" i="50"/>
  <c r="I865" i="50"/>
  <c r="H869" i="50"/>
  <c r="D869" i="50"/>
  <c r="I869" i="50"/>
  <c r="D881" i="50"/>
  <c r="D886" i="50"/>
  <c r="I887" i="50"/>
  <c r="E887" i="50"/>
  <c r="G887" i="50" s="1"/>
  <c r="H887" i="50"/>
  <c r="D887" i="50"/>
  <c r="K887" i="50"/>
  <c r="K891" i="50"/>
  <c r="K909" i="50"/>
  <c r="D912" i="50"/>
  <c r="H912" i="50"/>
  <c r="K913" i="50"/>
  <c r="I924" i="50"/>
  <c r="E924" i="50"/>
  <c r="H924" i="50"/>
  <c r="E925" i="50"/>
  <c r="J925" i="50"/>
  <c r="K927" i="50"/>
  <c r="E927" i="50"/>
  <c r="G927" i="50" s="1"/>
  <c r="I926" i="50"/>
  <c r="E926" i="50"/>
  <c r="H926" i="50"/>
  <c r="F880" i="50"/>
  <c r="J880" i="50"/>
  <c r="F882" i="50"/>
  <c r="J882" i="50"/>
  <c r="F885" i="50"/>
  <c r="J885" i="50"/>
  <c r="F889" i="50"/>
  <c r="J889" i="50"/>
  <c r="E890" i="50"/>
  <c r="I890" i="50"/>
  <c r="D891" i="50"/>
  <c r="H891" i="50"/>
  <c r="F902" i="50"/>
  <c r="J902" i="50"/>
  <c r="E903" i="50"/>
  <c r="I903" i="50"/>
  <c r="F904" i="50"/>
  <c r="J904" i="50"/>
  <c r="F907" i="50"/>
  <c r="J907" i="50"/>
  <c r="E908" i="50"/>
  <c r="I908" i="50"/>
  <c r="D909" i="50"/>
  <c r="H909" i="50"/>
  <c r="F911" i="50"/>
  <c r="J911" i="50"/>
  <c r="E912" i="50"/>
  <c r="I912" i="50"/>
  <c r="D913" i="50"/>
  <c r="H913" i="50"/>
  <c r="J923" i="50"/>
  <c r="F923" i="50"/>
  <c r="H923" i="50"/>
  <c r="D924" i="50"/>
  <c r="J924" i="50"/>
  <c r="F925" i="50"/>
  <c r="D926" i="50"/>
  <c r="J926" i="50"/>
  <c r="I927" i="50"/>
  <c r="E928" i="50"/>
  <c r="K882" i="50"/>
  <c r="F890" i="50"/>
  <c r="J890" i="50"/>
  <c r="E891" i="50"/>
  <c r="I891" i="50"/>
  <c r="F903" i="50"/>
  <c r="J903" i="50"/>
  <c r="K904" i="50"/>
  <c r="F908" i="50"/>
  <c r="J908" i="50"/>
  <c r="E909" i="50"/>
  <c r="I909" i="50"/>
  <c r="F912" i="50"/>
  <c r="J912" i="50"/>
  <c r="E913" i="50"/>
  <c r="I913" i="50"/>
  <c r="F924" i="50"/>
  <c r="K924" i="50"/>
  <c r="F926" i="50"/>
  <c r="K926" i="50"/>
  <c r="K929" i="50"/>
  <c r="I929" i="50"/>
  <c r="E929" i="50"/>
  <c r="J929" i="50"/>
  <c r="F891" i="50"/>
  <c r="F909" i="50"/>
  <c r="F913" i="50"/>
  <c r="H925" i="50"/>
  <c r="D925" i="50"/>
  <c r="I925" i="50"/>
  <c r="D927" i="50"/>
  <c r="J928" i="50"/>
  <c r="F928" i="50"/>
  <c r="H928" i="50"/>
  <c r="J930" i="50"/>
  <c r="F930" i="50"/>
  <c r="H930" i="50"/>
  <c r="D930" i="50"/>
  <c r="K930" i="50"/>
  <c r="I932" i="50"/>
  <c r="E932" i="50"/>
  <c r="H932" i="50"/>
  <c r="D932" i="50"/>
  <c r="J932" i="50"/>
  <c r="F932" i="50"/>
  <c r="E933" i="50"/>
  <c r="I933" i="50"/>
  <c r="D934" i="50"/>
  <c r="H934" i="50"/>
  <c r="F936" i="50"/>
  <c r="J936" i="50"/>
  <c r="I945" i="50"/>
  <c r="E945" i="50"/>
  <c r="H945" i="50"/>
  <c r="E946" i="50"/>
  <c r="E948" i="50"/>
  <c r="J948" i="50"/>
  <c r="I949" i="50"/>
  <c r="D950" i="50"/>
  <c r="F951" i="50"/>
  <c r="J953" i="50"/>
  <c r="F953" i="50"/>
  <c r="I953" i="50"/>
  <c r="E953" i="50"/>
  <c r="K953" i="50"/>
  <c r="F958" i="50"/>
  <c r="F967" i="50"/>
  <c r="K936" i="50"/>
  <c r="I954" i="50"/>
  <c r="E954" i="50"/>
  <c r="H954" i="50"/>
  <c r="D954" i="50"/>
  <c r="K954" i="50"/>
  <c r="K933" i="50"/>
  <c r="F934" i="50"/>
  <c r="J934" i="50"/>
  <c r="D936" i="50"/>
  <c r="H936" i="50"/>
  <c r="E949" i="50"/>
  <c r="G949" i="50" s="1"/>
  <c r="H951" i="50"/>
  <c r="D951" i="50"/>
  <c r="I951" i="50"/>
  <c r="F954" i="50"/>
  <c r="J957" i="50"/>
  <c r="F957" i="50"/>
  <c r="I957" i="50"/>
  <c r="E957" i="50"/>
  <c r="K957" i="50"/>
  <c r="E936" i="50"/>
  <c r="H946" i="50"/>
  <c r="D946" i="50"/>
  <c r="I946" i="50"/>
  <c r="D949" i="50"/>
  <c r="H948" i="50"/>
  <c r="D948" i="50"/>
  <c r="I948" i="50"/>
  <c r="I950" i="50"/>
  <c r="E950" i="50"/>
  <c r="H950" i="50"/>
  <c r="I958" i="50"/>
  <c r="E958" i="50"/>
  <c r="H958" i="50"/>
  <c r="D958" i="50"/>
  <c r="K958" i="50"/>
  <c r="I967" i="50"/>
  <c r="E967" i="50"/>
  <c r="H967" i="50"/>
  <c r="D967" i="50"/>
  <c r="K967" i="50"/>
  <c r="H975" i="50"/>
  <c r="D975" i="50"/>
  <c r="I975" i="50"/>
  <c r="H979" i="50"/>
  <c r="D979" i="50"/>
  <c r="I979" i="50"/>
  <c r="J1001" i="50"/>
  <c r="F1001" i="50"/>
  <c r="I1001" i="50"/>
  <c r="E1001" i="50"/>
  <c r="H1001" i="50"/>
  <c r="D1001" i="50"/>
  <c r="I974" i="50"/>
  <c r="E974" i="50"/>
  <c r="H974" i="50"/>
  <c r="I978" i="50"/>
  <c r="E978" i="50"/>
  <c r="H978" i="50"/>
  <c r="E979" i="50"/>
  <c r="J979" i="50"/>
  <c r="K955" i="50"/>
  <c r="K968" i="50"/>
  <c r="D971" i="50"/>
  <c r="K971" i="50"/>
  <c r="J973" i="50"/>
  <c r="F973" i="50"/>
  <c r="H973" i="50"/>
  <c r="D974" i="50"/>
  <c r="J974" i="50"/>
  <c r="F975" i="50"/>
  <c r="K975" i="50"/>
  <c r="J977" i="50"/>
  <c r="F977" i="50"/>
  <c r="G977" i="50" s="1"/>
  <c r="H977" i="50"/>
  <c r="D978" i="50"/>
  <c r="J978" i="50"/>
  <c r="F979" i="50"/>
  <c r="K979" i="50"/>
  <c r="J997" i="50"/>
  <c r="F997" i="50"/>
  <c r="I997" i="50"/>
  <c r="E997" i="50"/>
  <c r="H997" i="50"/>
  <c r="D997" i="50"/>
  <c r="K1001" i="50"/>
  <c r="D955" i="50"/>
  <c r="D968" i="50"/>
  <c r="D970" i="50"/>
  <c r="H970" i="50"/>
  <c r="E971" i="50"/>
  <c r="G971" i="50" s="1"/>
  <c r="D973" i="50"/>
  <c r="I973" i="50"/>
  <c r="F974" i="50"/>
  <c r="K974" i="50"/>
  <c r="D977" i="50"/>
  <c r="I977" i="50"/>
  <c r="F978" i="50"/>
  <c r="K978" i="50"/>
  <c r="F990" i="50"/>
  <c r="G990" i="50" s="1"/>
  <c r="J990" i="50"/>
  <c r="E991" i="50"/>
  <c r="I991" i="50"/>
  <c r="F992" i="50"/>
  <c r="G992" i="50" s="1"/>
  <c r="J992" i="50"/>
  <c r="F995" i="50"/>
  <c r="J995" i="50"/>
  <c r="E996" i="50"/>
  <c r="I996" i="50"/>
  <c r="F999" i="50"/>
  <c r="J999" i="50"/>
  <c r="E1000" i="50"/>
  <c r="I1000" i="50"/>
  <c r="F1012" i="50"/>
  <c r="J1012" i="50"/>
  <c r="E1013" i="50"/>
  <c r="I1013" i="50"/>
  <c r="F991" i="50"/>
  <c r="J991" i="50"/>
  <c r="K992" i="50"/>
  <c r="F996" i="50"/>
  <c r="J996" i="50"/>
  <c r="F1000" i="50"/>
  <c r="J1000" i="50"/>
  <c r="F1013" i="50"/>
  <c r="J1013" i="50"/>
  <c r="D791" i="51" l="1"/>
  <c r="I791" i="51"/>
  <c r="F791" i="51"/>
  <c r="G791" i="51" s="1"/>
  <c r="I63" i="50"/>
  <c r="G781" i="51"/>
  <c r="G784" i="51"/>
  <c r="Z239" i="50"/>
  <c r="Z237" i="50"/>
  <c r="AA274" i="50"/>
  <c r="AA272" i="50"/>
  <c r="AA270" i="50"/>
  <c r="AA268" i="50"/>
  <c r="AA266" i="50"/>
  <c r="AA264" i="50"/>
  <c r="AA262" i="50"/>
  <c r="AA260" i="50"/>
  <c r="Z253" i="50"/>
  <c r="Z251" i="50"/>
  <c r="Z249" i="50"/>
  <c r="Z245" i="50"/>
  <c r="Z244" i="50"/>
  <c r="Z238" i="50"/>
  <c r="AA269" i="50"/>
  <c r="AA261" i="50"/>
  <c r="Z252" i="50"/>
  <c r="Z247" i="50"/>
  <c r="Z246" i="50"/>
  <c r="AA271" i="50"/>
  <c r="AA263" i="50"/>
  <c r="AA258" i="50"/>
  <c r="Y232" i="50"/>
  <c r="Y230" i="50"/>
  <c r="Y228" i="50"/>
  <c r="Y226" i="50"/>
  <c r="Z241" i="50"/>
  <c r="Z240" i="50"/>
  <c r="AA265" i="50"/>
  <c r="X211" i="50"/>
  <c r="X209" i="50"/>
  <c r="X207" i="50"/>
  <c r="X205" i="50"/>
  <c r="X203" i="50"/>
  <c r="X201" i="50"/>
  <c r="X199" i="50"/>
  <c r="X197" i="50"/>
  <c r="X195" i="50"/>
  <c r="U148" i="50"/>
  <c r="U147" i="50"/>
  <c r="U146" i="50"/>
  <c r="Z250" i="50"/>
  <c r="Z243" i="50"/>
  <c r="Z242" i="50"/>
  <c r="AA267" i="50"/>
  <c r="AA257" i="50"/>
  <c r="Y229" i="50"/>
  <c r="Y225" i="50"/>
  <c r="Y223" i="50"/>
  <c r="Y221" i="50"/>
  <c r="Y219" i="50"/>
  <c r="Y217" i="50"/>
  <c r="Y215" i="50"/>
  <c r="W190" i="50"/>
  <c r="AA273" i="50"/>
  <c r="X210" i="50"/>
  <c r="X206" i="50"/>
  <c r="X202" i="50"/>
  <c r="X198" i="50"/>
  <c r="X194" i="50"/>
  <c r="U143" i="50"/>
  <c r="U142" i="50"/>
  <c r="U141" i="50"/>
  <c r="U140" i="50"/>
  <c r="U139" i="50"/>
  <c r="U138" i="50"/>
  <c r="U137" i="50"/>
  <c r="U136" i="50"/>
  <c r="U135" i="50"/>
  <c r="U134" i="50"/>
  <c r="U133" i="50"/>
  <c r="U132" i="50"/>
  <c r="U131" i="50"/>
  <c r="V166" i="50"/>
  <c r="V162" i="50"/>
  <c r="V158" i="50"/>
  <c r="V154" i="50"/>
  <c r="W186" i="50"/>
  <c r="W181" i="50"/>
  <c r="W177" i="50"/>
  <c r="W173" i="50"/>
  <c r="Z236" i="50"/>
  <c r="Y231" i="50"/>
  <c r="Y224" i="50"/>
  <c r="Y220" i="50"/>
  <c r="Y216" i="50"/>
  <c r="U144" i="50"/>
  <c r="V167" i="50"/>
  <c r="V163" i="50"/>
  <c r="V159" i="50"/>
  <c r="V155" i="50"/>
  <c r="W189" i="50"/>
  <c r="W185" i="50"/>
  <c r="W180" i="50"/>
  <c r="W176" i="50"/>
  <c r="X208" i="50"/>
  <c r="X200" i="50"/>
  <c r="V168" i="50"/>
  <c r="V160" i="50"/>
  <c r="V152" i="50"/>
  <c r="W184" i="50"/>
  <c r="W179" i="50"/>
  <c r="T127" i="50"/>
  <c r="T126" i="50"/>
  <c r="T122" i="50"/>
  <c r="T118" i="50"/>
  <c r="T114" i="50"/>
  <c r="T110" i="50"/>
  <c r="S104" i="50"/>
  <c r="S100" i="50"/>
  <c r="S96" i="50"/>
  <c r="S92" i="50"/>
  <c r="S89" i="50"/>
  <c r="R68" i="50"/>
  <c r="R84" i="50"/>
  <c r="R82" i="50"/>
  <c r="R80" i="50"/>
  <c r="R77" i="50"/>
  <c r="R75" i="50"/>
  <c r="R61" i="50"/>
  <c r="X204" i="50"/>
  <c r="T124" i="50"/>
  <c r="T120" i="50"/>
  <c r="T116" i="50"/>
  <c r="S102" i="50"/>
  <c r="S94" i="50"/>
  <c r="AA259" i="50"/>
  <c r="Y222" i="50"/>
  <c r="V169" i="50"/>
  <c r="V161" i="50"/>
  <c r="V153" i="50"/>
  <c r="W187" i="50"/>
  <c r="W182" i="50"/>
  <c r="W174" i="50"/>
  <c r="T125" i="50"/>
  <c r="T121" i="50"/>
  <c r="T117" i="50"/>
  <c r="T113" i="50"/>
  <c r="S103" i="50"/>
  <c r="S99" i="50"/>
  <c r="S95" i="50"/>
  <c r="R71" i="50"/>
  <c r="R69" i="50"/>
  <c r="R66" i="50"/>
  <c r="R64" i="50"/>
  <c r="R62" i="50"/>
  <c r="Z248" i="50"/>
  <c r="X196" i="50"/>
  <c r="V164" i="50"/>
  <c r="V156" i="50"/>
  <c r="W188" i="50"/>
  <c r="W183" i="50"/>
  <c r="W175" i="50"/>
  <c r="T112" i="50"/>
  <c r="S106" i="50"/>
  <c r="S98" i="50"/>
  <c r="S91" i="50"/>
  <c r="W178" i="50"/>
  <c r="T111" i="50"/>
  <c r="S101" i="50"/>
  <c r="R73" i="50"/>
  <c r="R83" i="50"/>
  <c r="R79" i="50"/>
  <c r="R74" i="50"/>
  <c r="T115" i="50"/>
  <c r="R78" i="50"/>
  <c r="R70" i="50"/>
  <c r="Y227" i="50"/>
  <c r="U145" i="50"/>
  <c r="T123" i="50"/>
  <c r="S97" i="50"/>
  <c r="R72" i="50"/>
  <c r="R67" i="50"/>
  <c r="R63" i="50"/>
  <c r="Y218" i="50"/>
  <c r="V157" i="50"/>
  <c r="T119" i="50"/>
  <c r="S93" i="50"/>
  <c r="R85" i="50"/>
  <c r="R81" i="50"/>
  <c r="R76" i="50"/>
  <c r="V165" i="50"/>
  <c r="S105" i="50"/>
  <c r="S90" i="50"/>
  <c r="R65" i="50"/>
  <c r="R86" i="50"/>
  <c r="R60" i="50"/>
  <c r="P48" i="50"/>
  <c r="P55" i="50" s="1"/>
  <c r="Q48" i="50"/>
  <c r="Q55" i="50" s="1"/>
  <c r="Q42" i="50"/>
  <c r="Q49" i="50"/>
  <c r="K530" i="51"/>
  <c r="K791" i="51"/>
  <c r="J791" i="51"/>
  <c r="G526" i="51"/>
  <c r="I530" i="51"/>
  <c r="G541" i="51"/>
  <c r="K536" i="51"/>
  <c r="H791" i="51"/>
  <c r="I535" i="51"/>
  <c r="G790" i="51"/>
  <c r="I65" i="50"/>
  <c r="G535" i="51"/>
  <c r="G858" i="50"/>
  <c r="I536" i="51"/>
  <c r="G525" i="51"/>
  <c r="G789" i="51"/>
  <c r="G544" i="51"/>
  <c r="K524" i="51"/>
  <c r="I524" i="51"/>
  <c r="G521" i="51"/>
  <c r="F803" i="50"/>
  <c r="G766" i="51"/>
  <c r="G533" i="51"/>
  <c r="H785" i="50"/>
  <c r="G528" i="51"/>
  <c r="K528" i="51"/>
  <c r="I528" i="51"/>
  <c r="P21" i="50"/>
  <c r="G822" i="50"/>
  <c r="G880" i="50"/>
  <c r="G860" i="50"/>
  <c r="I12" i="50"/>
  <c r="P41" i="50"/>
  <c r="G67" i="50"/>
  <c r="G867" i="50"/>
  <c r="G999" i="50"/>
  <c r="G950" i="50"/>
  <c r="I14" i="50"/>
  <c r="K531" i="51"/>
  <c r="K532" i="51"/>
  <c r="I532" i="51"/>
  <c r="G531" i="51"/>
  <c r="I531" i="51"/>
  <c r="G51" i="50"/>
  <c r="G973" i="50"/>
  <c r="G1011" i="50"/>
  <c r="G948" i="50"/>
  <c r="G841" i="50"/>
  <c r="K784" i="50"/>
  <c r="G863" i="50"/>
  <c r="G892" i="50"/>
  <c r="G980" i="50"/>
  <c r="G888" i="50"/>
  <c r="I36" i="50"/>
  <c r="G945" i="50"/>
  <c r="G904" i="50"/>
  <c r="G865" i="50"/>
  <c r="G845" i="50"/>
  <c r="G842" i="50"/>
  <c r="G836" i="50"/>
  <c r="G816" i="50"/>
  <c r="G31" i="50"/>
  <c r="G826" i="50"/>
  <c r="G818" i="50"/>
  <c r="G902" i="50"/>
  <c r="G885" i="50"/>
  <c r="G838" i="50"/>
  <c r="G820" i="50"/>
  <c r="D785" i="50"/>
  <c r="G976" i="50"/>
  <c r="G930" i="50"/>
  <c r="G923" i="50"/>
  <c r="E785" i="50"/>
  <c r="G785" i="50" s="1"/>
  <c r="J785" i="50"/>
  <c r="G866" i="50"/>
  <c r="G884" i="50"/>
  <c r="G929" i="50"/>
  <c r="G882" i="50"/>
  <c r="G998" i="50"/>
  <c r="G935" i="50"/>
  <c r="D778" i="50"/>
  <c r="E781" i="50"/>
  <c r="G781" i="50" s="1"/>
  <c r="K781" i="50"/>
  <c r="G951" i="50"/>
  <c r="I780" i="50"/>
  <c r="D781" i="50"/>
  <c r="I803" i="50"/>
  <c r="K803" i="50"/>
  <c r="G1002" i="50"/>
  <c r="R803" i="50"/>
  <c r="R783" i="51" s="1"/>
  <c r="O803" i="50"/>
  <c r="O783" i="51" s="1"/>
  <c r="T803" i="50"/>
  <c r="T783" i="51" s="1"/>
  <c r="G975" i="50"/>
  <c r="G934" i="50"/>
  <c r="G946" i="50"/>
  <c r="G869" i="50"/>
  <c r="G824" i="50"/>
  <c r="E780" i="50"/>
  <c r="H780" i="50"/>
  <c r="I781" i="50"/>
  <c r="E803" i="50"/>
  <c r="D803" i="50"/>
  <c r="G870" i="50"/>
  <c r="G970" i="50"/>
  <c r="U803" i="50"/>
  <c r="U783" i="51" s="1"/>
  <c r="S803" i="50"/>
  <c r="S783" i="51" s="1"/>
  <c r="X803" i="50"/>
  <c r="X783" i="51" s="1"/>
  <c r="G933" i="50"/>
  <c r="F780" i="50"/>
  <c r="D780" i="50"/>
  <c r="J803" i="50"/>
  <c r="H803" i="50"/>
  <c r="I24" i="50"/>
  <c r="V803" i="50"/>
  <c r="V783" i="51" s="1"/>
  <c r="E779" i="50"/>
  <c r="G779" i="50" s="1"/>
  <c r="E778" i="50"/>
  <c r="I778" i="50" s="1"/>
  <c r="J778" i="50"/>
  <c r="F778" i="50"/>
  <c r="D779" i="50"/>
  <c r="C40" i="41"/>
  <c r="C44" i="41"/>
  <c r="C41" i="41"/>
  <c r="C45" i="41"/>
  <c r="C37" i="41"/>
  <c r="C38" i="41"/>
  <c r="C42" i="41"/>
  <c r="C39" i="41"/>
  <c r="C43" i="41"/>
  <c r="V814" i="50"/>
  <c r="V794" i="51" s="1"/>
  <c r="R814" i="50"/>
  <c r="R794" i="51" s="1"/>
  <c r="U814" i="50"/>
  <c r="U794" i="51" s="1"/>
  <c r="Q814" i="50"/>
  <c r="Q794" i="51" s="1"/>
  <c r="W814" i="50"/>
  <c r="W794" i="51" s="1"/>
  <c r="O814" i="50"/>
  <c r="O794" i="51" s="1"/>
  <c r="T814" i="50"/>
  <c r="T794" i="51" s="1"/>
  <c r="S814" i="50"/>
  <c r="S794" i="51" s="1"/>
  <c r="X814" i="50"/>
  <c r="X794" i="51" s="1"/>
  <c r="P814" i="50"/>
  <c r="P794" i="51" s="1"/>
  <c r="V776" i="50"/>
  <c r="V756" i="51" s="1"/>
  <c r="R776" i="50"/>
  <c r="R756" i="51" s="1"/>
  <c r="U776" i="50"/>
  <c r="U756" i="51" s="1"/>
  <c r="Q776" i="50"/>
  <c r="Q756" i="51" s="1"/>
  <c r="W776" i="50"/>
  <c r="W756" i="51" s="1"/>
  <c r="O776" i="50"/>
  <c r="O756" i="51" s="1"/>
  <c r="T776" i="50"/>
  <c r="T756" i="51" s="1"/>
  <c r="S776" i="50"/>
  <c r="S756" i="51" s="1"/>
  <c r="X776" i="50"/>
  <c r="X756" i="51" s="1"/>
  <c r="P776" i="50"/>
  <c r="P756" i="51" s="1"/>
  <c r="X815" i="50"/>
  <c r="X795" i="51" s="1"/>
  <c r="T815" i="50"/>
  <c r="T795" i="51" s="1"/>
  <c r="P815" i="50"/>
  <c r="P795" i="51" s="1"/>
  <c r="W815" i="50"/>
  <c r="W795" i="51" s="1"/>
  <c r="S815" i="50"/>
  <c r="S795" i="51" s="1"/>
  <c r="O815" i="50"/>
  <c r="O795" i="51" s="1"/>
  <c r="U815" i="50"/>
  <c r="U795" i="51" s="1"/>
  <c r="R815" i="50"/>
  <c r="R795" i="51" s="1"/>
  <c r="Q815" i="50"/>
  <c r="Q795" i="51" s="1"/>
  <c r="V815" i="50"/>
  <c r="V795" i="51" s="1"/>
  <c r="X794" i="50"/>
  <c r="X774" i="51" s="1"/>
  <c r="T794" i="50"/>
  <c r="T774" i="51" s="1"/>
  <c r="P794" i="50"/>
  <c r="P774" i="51" s="1"/>
  <c r="W794" i="50"/>
  <c r="W774" i="51" s="1"/>
  <c r="S794" i="50"/>
  <c r="S774" i="51" s="1"/>
  <c r="O794" i="50"/>
  <c r="O774" i="51" s="1"/>
  <c r="Q794" i="50"/>
  <c r="Q774" i="51" s="1"/>
  <c r="V794" i="50"/>
  <c r="V774" i="51" s="1"/>
  <c r="U794" i="50"/>
  <c r="U774" i="51" s="1"/>
  <c r="R794" i="50"/>
  <c r="R774" i="51" s="1"/>
  <c r="V800" i="50"/>
  <c r="V780" i="51" s="1"/>
  <c r="R800" i="50"/>
  <c r="R780" i="51" s="1"/>
  <c r="U800" i="50"/>
  <c r="U780" i="51" s="1"/>
  <c r="Q800" i="50"/>
  <c r="Q780" i="51" s="1"/>
  <c r="W800" i="50"/>
  <c r="W780" i="51" s="1"/>
  <c r="O800" i="50"/>
  <c r="O780" i="51" s="1"/>
  <c r="T800" i="50"/>
  <c r="T780" i="51" s="1"/>
  <c r="S800" i="50"/>
  <c r="S780" i="51" s="1"/>
  <c r="X800" i="50"/>
  <c r="X780" i="51" s="1"/>
  <c r="P800" i="50"/>
  <c r="P780" i="51" s="1"/>
  <c r="X797" i="50"/>
  <c r="X777" i="51" s="1"/>
  <c r="T797" i="50"/>
  <c r="T777" i="51" s="1"/>
  <c r="P797" i="50"/>
  <c r="P777" i="51" s="1"/>
  <c r="W797" i="50"/>
  <c r="W777" i="51" s="1"/>
  <c r="S797" i="50"/>
  <c r="S777" i="51" s="1"/>
  <c r="O797" i="50"/>
  <c r="O777" i="51" s="1"/>
  <c r="U797" i="50"/>
  <c r="U777" i="51" s="1"/>
  <c r="R797" i="50"/>
  <c r="R777" i="51" s="1"/>
  <c r="Q797" i="50"/>
  <c r="Q777" i="51" s="1"/>
  <c r="V797" i="50"/>
  <c r="V777" i="51" s="1"/>
  <c r="V539" i="50"/>
  <c r="V519" i="51" s="1"/>
  <c r="R539" i="50"/>
  <c r="R519" i="51" s="1"/>
  <c r="U539" i="50"/>
  <c r="U519" i="51" s="1"/>
  <c r="Q539" i="50"/>
  <c r="Q519" i="51" s="1"/>
  <c r="X539" i="50"/>
  <c r="X519" i="51" s="1"/>
  <c r="T539" i="50"/>
  <c r="T519" i="51" s="1"/>
  <c r="O539" i="50"/>
  <c r="O519" i="51" s="1"/>
  <c r="W539" i="50"/>
  <c r="W519" i="51" s="1"/>
  <c r="S539" i="50"/>
  <c r="S519" i="51" s="1"/>
  <c r="U563" i="50"/>
  <c r="U543" i="51" s="1"/>
  <c r="Q563" i="50"/>
  <c r="Q543" i="51" s="1"/>
  <c r="X563" i="50"/>
  <c r="X543" i="51" s="1"/>
  <c r="T563" i="50"/>
  <c r="T543" i="51" s="1"/>
  <c r="O563" i="50"/>
  <c r="O543" i="51" s="1"/>
  <c r="W563" i="50"/>
  <c r="W543" i="51" s="1"/>
  <c r="S563" i="50"/>
  <c r="S543" i="51" s="1"/>
  <c r="V563" i="50"/>
  <c r="V543" i="51" s="1"/>
  <c r="R563" i="50"/>
  <c r="R543" i="51" s="1"/>
  <c r="W575" i="50"/>
  <c r="W555" i="51" s="1"/>
  <c r="S575" i="50"/>
  <c r="S555" i="51" s="1"/>
  <c r="V575" i="50"/>
  <c r="V555" i="51" s="1"/>
  <c r="R575" i="50"/>
  <c r="R555" i="51" s="1"/>
  <c r="U575" i="50"/>
  <c r="U555" i="51" s="1"/>
  <c r="Q575" i="50"/>
  <c r="Q555" i="51" s="1"/>
  <c r="X575" i="50"/>
  <c r="X555" i="51" s="1"/>
  <c r="T575" i="50"/>
  <c r="T555" i="51" s="1"/>
  <c r="O575" i="50"/>
  <c r="O555" i="51" s="1"/>
  <c r="X574" i="50"/>
  <c r="X554" i="51" s="1"/>
  <c r="T574" i="50"/>
  <c r="T554" i="51" s="1"/>
  <c r="O574" i="50"/>
  <c r="O554" i="51" s="1"/>
  <c r="W574" i="50"/>
  <c r="W554" i="51" s="1"/>
  <c r="S574" i="50"/>
  <c r="S554" i="51" s="1"/>
  <c r="V574" i="50"/>
  <c r="V554" i="51" s="1"/>
  <c r="R574" i="50"/>
  <c r="R554" i="51" s="1"/>
  <c r="U574" i="50"/>
  <c r="U554" i="51" s="1"/>
  <c r="Q574" i="50"/>
  <c r="Q554" i="51" s="1"/>
  <c r="U554" i="50"/>
  <c r="U534" i="51" s="1"/>
  <c r="Q554" i="50"/>
  <c r="Q534" i="51" s="1"/>
  <c r="X554" i="50"/>
  <c r="X534" i="51" s="1"/>
  <c r="T554" i="50"/>
  <c r="T534" i="51" s="1"/>
  <c r="O554" i="50"/>
  <c r="O534" i="51" s="1"/>
  <c r="W554" i="50"/>
  <c r="W534" i="51" s="1"/>
  <c r="S554" i="50"/>
  <c r="S534" i="51" s="1"/>
  <c r="V554" i="50"/>
  <c r="V534" i="51" s="1"/>
  <c r="R554" i="50"/>
  <c r="R534" i="51" s="1"/>
  <c r="X778" i="50"/>
  <c r="X758" i="51" s="1"/>
  <c r="T778" i="50"/>
  <c r="T758" i="51" s="1"/>
  <c r="P778" i="50"/>
  <c r="P758" i="51" s="1"/>
  <c r="W778" i="50"/>
  <c r="W758" i="51" s="1"/>
  <c r="S778" i="50"/>
  <c r="S758" i="51" s="1"/>
  <c r="O778" i="50"/>
  <c r="O758" i="51" s="1"/>
  <c r="U778" i="50"/>
  <c r="U758" i="51" s="1"/>
  <c r="R778" i="50"/>
  <c r="R758" i="51" s="1"/>
  <c r="Q778" i="50"/>
  <c r="Q758" i="51" s="1"/>
  <c r="V778" i="50"/>
  <c r="V758" i="51" s="1"/>
  <c r="X801" i="50"/>
  <c r="X781" i="51" s="1"/>
  <c r="T801" i="50"/>
  <c r="T781" i="51" s="1"/>
  <c r="P801" i="50"/>
  <c r="P781" i="51" s="1"/>
  <c r="W801" i="50"/>
  <c r="W781" i="51" s="1"/>
  <c r="S801" i="50"/>
  <c r="S781" i="51" s="1"/>
  <c r="O801" i="50"/>
  <c r="O781" i="51" s="1"/>
  <c r="U801" i="50"/>
  <c r="U781" i="51" s="1"/>
  <c r="R801" i="50"/>
  <c r="R781" i="51" s="1"/>
  <c r="Q801" i="50"/>
  <c r="Q781" i="51" s="1"/>
  <c r="V801" i="50"/>
  <c r="V781" i="51" s="1"/>
  <c r="C810" i="50"/>
  <c r="E810" i="50" s="1"/>
  <c r="X805" i="50"/>
  <c r="X785" i="51" s="1"/>
  <c r="T805" i="50"/>
  <c r="T785" i="51" s="1"/>
  <c r="P805" i="50"/>
  <c r="P785" i="51" s="1"/>
  <c r="W805" i="50"/>
  <c r="W785" i="51" s="1"/>
  <c r="S805" i="50"/>
  <c r="S785" i="51" s="1"/>
  <c r="O805" i="50"/>
  <c r="O785" i="51" s="1"/>
  <c r="U805" i="50"/>
  <c r="U785" i="51" s="1"/>
  <c r="R805" i="50"/>
  <c r="R785" i="51" s="1"/>
  <c r="Q805" i="50"/>
  <c r="Q785" i="51" s="1"/>
  <c r="V805" i="50"/>
  <c r="V785" i="51" s="1"/>
  <c r="V804" i="50"/>
  <c r="V784" i="51" s="1"/>
  <c r="R804" i="50"/>
  <c r="R784" i="51" s="1"/>
  <c r="U804" i="50"/>
  <c r="U784" i="51" s="1"/>
  <c r="Q804" i="50"/>
  <c r="Q784" i="51" s="1"/>
  <c r="W804" i="50"/>
  <c r="W784" i="51" s="1"/>
  <c r="O804" i="50"/>
  <c r="O784" i="51" s="1"/>
  <c r="T804" i="50"/>
  <c r="T784" i="51" s="1"/>
  <c r="S804" i="50"/>
  <c r="S784" i="51" s="1"/>
  <c r="X804" i="50"/>
  <c r="X784" i="51" s="1"/>
  <c r="P804" i="50"/>
  <c r="P784" i="51" s="1"/>
  <c r="V786" i="50"/>
  <c r="V766" i="51" s="1"/>
  <c r="R786" i="50"/>
  <c r="R766" i="51" s="1"/>
  <c r="U786" i="50"/>
  <c r="U766" i="51" s="1"/>
  <c r="Q786" i="50"/>
  <c r="Q766" i="51" s="1"/>
  <c r="S786" i="50"/>
  <c r="S766" i="51" s="1"/>
  <c r="X786" i="50"/>
  <c r="X766" i="51" s="1"/>
  <c r="P786" i="50"/>
  <c r="P766" i="51" s="1"/>
  <c r="W786" i="50"/>
  <c r="W766" i="51" s="1"/>
  <c r="O786" i="50"/>
  <c r="O766" i="51" s="1"/>
  <c r="T786" i="50"/>
  <c r="T766" i="51" s="1"/>
  <c r="X792" i="50"/>
  <c r="X772" i="51" s="1"/>
  <c r="T792" i="50"/>
  <c r="T772" i="51" s="1"/>
  <c r="P792" i="50"/>
  <c r="P772" i="51" s="1"/>
  <c r="W792" i="50"/>
  <c r="W772" i="51" s="1"/>
  <c r="S792" i="50"/>
  <c r="S772" i="51" s="1"/>
  <c r="O792" i="50"/>
  <c r="O772" i="51" s="1"/>
  <c r="U792" i="50"/>
  <c r="U772" i="51" s="1"/>
  <c r="R792" i="50"/>
  <c r="R772" i="51" s="1"/>
  <c r="Q792" i="50"/>
  <c r="Q772" i="51" s="1"/>
  <c r="V792" i="50"/>
  <c r="V772" i="51" s="1"/>
  <c r="X564" i="50"/>
  <c r="X544" i="51" s="1"/>
  <c r="T564" i="50"/>
  <c r="T544" i="51" s="1"/>
  <c r="O564" i="50"/>
  <c r="O544" i="51" s="1"/>
  <c r="W564" i="50"/>
  <c r="W544" i="51" s="1"/>
  <c r="S564" i="50"/>
  <c r="S544" i="51" s="1"/>
  <c r="V564" i="50"/>
  <c r="V544" i="51" s="1"/>
  <c r="R564" i="50"/>
  <c r="R544" i="51" s="1"/>
  <c r="U564" i="50"/>
  <c r="U544" i="51" s="1"/>
  <c r="Q564" i="50"/>
  <c r="Q544" i="51" s="1"/>
  <c r="P559" i="50"/>
  <c r="P539" i="51" s="1"/>
  <c r="U559" i="50"/>
  <c r="U539" i="51" s="1"/>
  <c r="Q559" i="50"/>
  <c r="Q539" i="51" s="1"/>
  <c r="X559" i="50"/>
  <c r="X539" i="51" s="1"/>
  <c r="T559" i="50"/>
  <c r="T539" i="51" s="1"/>
  <c r="O559" i="50"/>
  <c r="O539" i="51" s="1"/>
  <c r="W559" i="50"/>
  <c r="W539" i="51" s="1"/>
  <c r="S559" i="50"/>
  <c r="S539" i="51" s="1"/>
  <c r="V559" i="50"/>
  <c r="V539" i="51" s="1"/>
  <c r="R559" i="50"/>
  <c r="R539" i="51" s="1"/>
  <c r="V562" i="50"/>
  <c r="V542" i="51" s="1"/>
  <c r="R562" i="50"/>
  <c r="R542" i="51" s="1"/>
  <c r="U562" i="50"/>
  <c r="U542" i="51" s="1"/>
  <c r="Q562" i="50"/>
  <c r="Q542" i="51" s="1"/>
  <c r="X562" i="50"/>
  <c r="X542" i="51" s="1"/>
  <c r="T562" i="50"/>
  <c r="T542" i="51" s="1"/>
  <c r="O562" i="50"/>
  <c r="O542" i="51" s="1"/>
  <c r="W562" i="50"/>
  <c r="W542" i="51" s="1"/>
  <c r="S562" i="50"/>
  <c r="S542" i="51" s="1"/>
  <c r="W565" i="50"/>
  <c r="W545" i="51" s="1"/>
  <c r="S565" i="50"/>
  <c r="S545" i="51" s="1"/>
  <c r="V565" i="50"/>
  <c r="V545" i="51" s="1"/>
  <c r="R565" i="50"/>
  <c r="R545" i="51" s="1"/>
  <c r="U565" i="50"/>
  <c r="U545" i="51" s="1"/>
  <c r="Q565" i="50"/>
  <c r="Q545" i="51" s="1"/>
  <c r="X565" i="50"/>
  <c r="X545" i="51" s="1"/>
  <c r="T565" i="50"/>
  <c r="T545" i="51" s="1"/>
  <c r="O565" i="50"/>
  <c r="O545" i="51" s="1"/>
  <c r="P547" i="50"/>
  <c r="P527" i="51" s="1"/>
  <c r="U547" i="50"/>
  <c r="U527" i="51" s="1"/>
  <c r="Q547" i="50"/>
  <c r="Q527" i="51" s="1"/>
  <c r="X547" i="50"/>
  <c r="X527" i="51" s="1"/>
  <c r="T547" i="50"/>
  <c r="T527" i="51" s="1"/>
  <c r="O547" i="50"/>
  <c r="O527" i="51" s="1"/>
  <c r="W547" i="50"/>
  <c r="W527" i="51" s="1"/>
  <c r="S547" i="50"/>
  <c r="S527" i="51" s="1"/>
  <c r="V547" i="50"/>
  <c r="V527" i="51" s="1"/>
  <c r="R547" i="50"/>
  <c r="R527" i="51" s="1"/>
  <c r="J780" i="50"/>
  <c r="V780" i="50"/>
  <c r="V760" i="51" s="1"/>
  <c r="R780" i="50"/>
  <c r="R760" i="51" s="1"/>
  <c r="U780" i="50"/>
  <c r="U760" i="51" s="1"/>
  <c r="Q780" i="50"/>
  <c r="Q760" i="51" s="1"/>
  <c r="S780" i="50"/>
  <c r="S760" i="51" s="1"/>
  <c r="X780" i="50"/>
  <c r="X760" i="51" s="1"/>
  <c r="P780" i="50"/>
  <c r="P760" i="51" s="1"/>
  <c r="W780" i="50"/>
  <c r="W760" i="51" s="1"/>
  <c r="O780" i="50"/>
  <c r="O760" i="51" s="1"/>
  <c r="T780" i="50"/>
  <c r="T760" i="51" s="1"/>
  <c r="V798" i="50"/>
  <c r="V778" i="51" s="1"/>
  <c r="R798" i="50"/>
  <c r="R778" i="51" s="1"/>
  <c r="U798" i="50"/>
  <c r="U778" i="51" s="1"/>
  <c r="Q798" i="50"/>
  <c r="Q778" i="51" s="1"/>
  <c r="S798" i="50"/>
  <c r="S778" i="51" s="1"/>
  <c r="X798" i="50"/>
  <c r="X778" i="51" s="1"/>
  <c r="P798" i="50"/>
  <c r="P778" i="51" s="1"/>
  <c r="W798" i="50"/>
  <c r="W778" i="51" s="1"/>
  <c r="O798" i="50"/>
  <c r="O778" i="51" s="1"/>
  <c r="T798" i="50"/>
  <c r="T778" i="51" s="1"/>
  <c r="V802" i="50"/>
  <c r="V782" i="51" s="1"/>
  <c r="R802" i="50"/>
  <c r="R782" i="51" s="1"/>
  <c r="U802" i="50"/>
  <c r="U782" i="51" s="1"/>
  <c r="Q802" i="50"/>
  <c r="Q782" i="51" s="1"/>
  <c r="S802" i="50"/>
  <c r="S782" i="51" s="1"/>
  <c r="X802" i="50"/>
  <c r="X782" i="51" s="1"/>
  <c r="P802" i="50"/>
  <c r="P782" i="51" s="1"/>
  <c r="W802" i="50"/>
  <c r="W782" i="51" s="1"/>
  <c r="O802" i="50"/>
  <c r="O782" i="51" s="1"/>
  <c r="T802" i="50"/>
  <c r="T782" i="51" s="1"/>
  <c r="V793" i="50"/>
  <c r="V773" i="51" s="1"/>
  <c r="R793" i="50"/>
  <c r="R773" i="51" s="1"/>
  <c r="U793" i="50"/>
  <c r="U773" i="51" s="1"/>
  <c r="Q793" i="50"/>
  <c r="Q773" i="51" s="1"/>
  <c r="S793" i="50"/>
  <c r="S773" i="51" s="1"/>
  <c r="X793" i="50"/>
  <c r="X773" i="51" s="1"/>
  <c r="P793" i="50"/>
  <c r="P773" i="51" s="1"/>
  <c r="W793" i="50"/>
  <c r="W773" i="51" s="1"/>
  <c r="O793" i="50"/>
  <c r="O773" i="51" s="1"/>
  <c r="T793" i="50"/>
  <c r="T773" i="51" s="1"/>
  <c r="X813" i="50"/>
  <c r="X793" i="51" s="1"/>
  <c r="T813" i="50"/>
  <c r="T793" i="51" s="1"/>
  <c r="P813" i="50"/>
  <c r="P793" i="51" s="1"/>
  <c r="W813" i="50"/>
  <c r="W793" i="51" s="1"/>
  <c r="S813" i="50"/>
  <c r="S793" i="51" s="1"/>
  <c r="O813" i="50"/>
  <c r="O793" i="51" s="1"/>
  <c r="Q813" i="50"/>
  <c r="Q793" i="51" s="1"/>
  <c r="V813" i="50"/>
  <c r="V793" i="51" s="1"/>
  <c r="U813" i="50"/>
  <c r="U793" i="51" s="1"/>
  <c r="R813" i="50"/>
  <c r="R793" i="51" s="1"/>
  <c r="V790" i="50"/>
  <c r="V770" i="51" s="1"/>
  <c r="R790" i="50"/>
  <c r="R770" i="51" s="1"/>
  <c r="U790" i="50"/>
  <c r="U770" i="51" s="1"/>
  <c r="Q790" i="50"/>
  <c r="Q770" i="51" s="1"/>
  <c r="W790" i="50"/>
  <c r="W770" i="51" s="1"/>
  <c r="O790" i="50"/>
  <c r="O770" i="51" s="1"/>
  <c r="T790" i="50"/>
  <c r="T770" i="51" s="1"/>
  <c r="S790" i="50"/>
  <c r="S770" i="51" s="1"/>
  <c r="X790" i="50"/>
  <c r="X770" i="51" s="1"/>
  <c r="P790" i="50"/>
  <c r="P770" i="51" s="1"/>
  <c r="P560" i="50"/>
  <c r="P540" i="51" s="1"/>
  <c r="X560" i="50"/>
  <c r="X540" i="51" s="1"/>
  <c r="T560" i="50"/>
  <c r="T540" i="51" s="1"/>
  <c r="O560" i="50"/>
  <c r="O540" i="51" s="1"/>
  <c r="W560" i="50"/>
  <c r="W540" i="51" s="1"/>
  <c r="S560" i="50"/>
  <c r="S540" i="51" s="1"/>
  <c r="V560" i="50"/>
  <c r="V540" i="51" s="1"/>
  <c r="R560" i="50"/>
  <c r="R540" i="51" s="1"/>
  <c r="U560" i="50"/>
  <c r="U540" i="51" s="1"/>
  <c r="Q560" i="50"/>
  <c r="Q540" i="51" s="1"/>
  <c r="W545" i="50"/>
  <c r="W525" i="51" s="1"/>
  <c r="S545" i="50"/>
  <c r="S525" i="51" s="1"/>
  <c r="V545" i="50"/>
  <c r="V525" i="51" s="1"/>
  <c r="R545" i="50"/>
  <c r="R525" i="51" s="1"/>
  <c r="U545" i="50"/>
  <c r="U525" i="51" s="1"/>
  <c r="Q545" i="50"/>
  <c r="Q525" i="51" s="1"/>
  <c r="X545" i="50"/>
  <c r="X525" i="51" s="1"/>
  <c r="T545" i="50"/>
  <c r="T525" i="51" s="1"/>
  <c r="O545" i="50"/>
  <c r="O525" i="51" s="1"/>
  <c r="V558" i="50"/>
  <c r="V538" i="51" s="1"/>
  <c r="R558" i="50"/>
  <c r="R538" i="51" s="1"/>
  <c r="U558" i="50"/>
  <c r="U538" i="51" s="1"/>
  <c r="Q558" i="50"/>
  <c r="Q538" i="51" s="1"/>
  <c r="X558" i="50"/>
  <c r="X538" i="51" s="1"/>
  <c r="T558" i="50"/>
  <c r="T538" i="51" s="1"/>
  <c r="O558" i="50"/>
  <c r="O538" i="51" s="1"/>
  <c r="W558" i="50"/>
  <c r="W538" i="51" s="1"/>
  <c r="S558" i="50"/>
  <c r="S538" i="51" s="1"/>
  <c r="W561" i="50"/>
  <c r="W541" i="51" s="1"/>
  <c r="S561" i="50"/>
  <c r="S541" i="51" s="1"/>
  <c r="V561" i="50"/>
  <c r="V541" i="51" s="1"/>
  <c r="R561" i="50"/>
  <c r="R541" i="51" s="1"/>
  <c r="U561" i="50"/>
  <c r="U541" i="51" s="1"/>
  <c r="Q561" i="50"/>
  <c r="Q541" i="51" s="1"/>
  <c r="X561" i="50"/>
  <c r="X541" i="51" s="1"/>
  <c r="T561" i="50"/>
  <c r="T541" i="51" s="1"/>
  <c r="O561" i="50"/>
  <c r="O541" i="51" s="1"/>
  <c r="V546" i="50"/>
  <c r="V526" i="51" s="1"/>
  <c r="R546" i="50"/>
  <c r="R526" i="51" s="1"/>
  <c r="U546" i="50"/>
  <c r="U526" i="51" s="1"/>
  <c r="Q546" i="50"/>
  <c r="Q526" i="51" s="1"/>
  <c r="X546" i="50"/>
  <c r="X526" i="51" s="1"/>
  <c r="T546" i="50"/>
  <c r="T526" i="51" s="1"/>
  <c r="O546" i="50"/>
  <c r="O526" i="51" s="1"/>
  <c r="W546" i="50"/>
  <c r="W526" i="51" s="1"/>
  <c r="S546" i="50"/>
  <c r="S526" i="51" s="1"/>
  <c r="J784" i="50"/>
  <c r="V784" i="50"/>
  <c r="V764" i="51" s="1"/>
  <c r="R784" i="50"/>
  <c r="R764" i="51" s="1"/>
  <c r="U784" i="50"/>
  <c r="U764" i="51" s="1"/>
  <c r="Q784" i="50"/>
  <c r="Q764" i="51" s="1"/>
  <c r="W784" i="50"/>
  <c r="W764" i="51" s="1"/>
  <c r="O784" i="50"/>
  <c r="O764" i="51" s="1"/>
  <c r="T784" i="50"/>
  <c r="T764" i="51" s="1"/>
  <c r="S784" i="50"/>
  <c r="S764" i="51" s="1"/>
  <c r="X784" i="50"/>
  <c r="X764" i="51" s="1"/>
  <c r="P784" i="50"/>
  <c r="P764" i="51" s="1"/>
  <c r="G969" i="50"/>
  <c r="Q41" i="51"/>
  <c r="Q2" i="51"/>
  <c r="X799" i="50"/>
  <c r="X779" i="51" s="1"/>
  <c r="T799" i="50"/>
  <c r="T779" i="51" s="1"/>
  <c r="P799" i="50"/>
  <c r="P779" i="51" s="1"/>
  <c r="W799" i="50"/>
  <c r="W779" i="51" s="1"/>
  <c r="S799" i="50"/>
  <c r="S779" i="51" s="1"/>
  <c r="O799" i="50"/>
  <c r="O779" i="51" s="1"/>
  <c r="Q799" i="50"/>
  <c r="Q779" i="51" s="1"/>
  <c r="V799" i="50"/>
  <c r="V779" i="51" s="1"/>
  <c r="U799" i="50"/>
  <c r="U779" i="51" s="1"/>
  <c r="R799" i="50"/>
  <c r="R779" i="51" s="1"/>
  <c r="X782" i="50"/>
  <c r="X762" i="51" s="1"/>
  <c r="T782" i="50"/>
  <c r="T762" i="51" s="1"/>
  <c r="P782" i="50"/>
  <c r="P762" i="51" s="1"/>
  <c r="W782" i="50"/>
  <c r="W762" i="51" s="1"/>
  <c r="S782" i="50"/>
  <c r="S762" i="51" s="1"/>
  <c r="O782" i="50"/>
  <c r="O762" i="51" s="1"/>
  <c r="Q782" i="50"/>
  <c r="Q762" i="51" s="1"/>
  <c r="V782" i="50"/>
  <c r="V762" i="51" s="1"/>
  <c r="U782" i="50"/>
  <c r="U762" i="51" s="1"/>
  <c r="R782" i="50"/>
  <c r="R762" i="51" s="1"/>
  <c r="V796" i="50"/>
  <c r="V776" i="51" s="1"/>
  <c r="R796" i="50"/>
  <c r="R776" i="51" s="1"/>
  <c r="U796" i="50"/>
  <c r="U776" i="51" s="1"/>
  <c r="Q796" i="50"/>
  <c r="Q776" i="51" s="1"/>
  <c r="W796" i="50"/>
  <c r="W776" i="51" s="1"/>
  <c r="O796" i="50"/>
  <c r="O776" i="51" s="1"/>
  <c r="T796" i="50"/>
  <c r="T776" i="51" s="1"/>
  <c r="S796" i="50"/>
  <c r="S776" i="51" s="1"/>
  <c r="X796" i="50"/>
  <c r="X776" i="51" s="1"/>
  <c r="P796" i="50"/>
  <c r="P776" i="51" s="1"/>
  <c r="X788" i="50"/>
  <c r="X768" i="51" s="1"/>
  <c r="T788" i="50"/>
  <c r="T768" i="51" s="1"/>
  <c r="P788" i="50"/>
  <c r="P768" i="51" s="1"/>
  <c r="W788" i="50"/>
  <c r="W768" i="51" s="1"/>
  <c r="S788" i="50"/>
  <c r="S768" i="51" s="1"/>
  <c r="O788" i="50"/>
  <c r="O768" i="51" s="1"/>
  <c r="Q788" i="50"/>
  <c r="Q768" i="51" s="1"/>
  <c r="V788" i="50"/>
  <c r="V768" i="51" s="1"/>
  <c r="U788" i="50"/>
  <c r="U768" i="51" s="1"/>
  <c r="R788" i="50"/>
  <c r="R768" i="51" s="1"/>
  <c r="V553" i="50"/>
  <c r="V533" i="51" s="1"/>
  <c r="R553" i="50"/>
  <c r="R533" i="51" s="1"/>
  <c r="U553" i="50"/>
  <c r="U533" i="51" s="1"/>
  <c r="Q553" i="50"/>
  <c r="Q533" i="51" s="1"/>
  <c r="X553" i="50"/>
  <c r="X533" i="51" s="1"/>
  <c r="T553" i="50"/>
  <c r="T533" i="51" s="1"/>
  <c r="O553" i="50"/>
  <c r="O533" i="51" s="1"/>
  <c r="W553" i="50"/>
  <c r="W533" i="51" s="1"/>
  <c r="S553" i="50"/>
  <c r="S533" i="51" s="1"/>
  <c r="U541" i="50"/>
  <c r="U521" i="51" s="1"/>
  <c r="Q541" i="50"/>
  <c r="Q521" i="51" s="1"/>
  <c r="X541" i="50"/>
  <c r="X521" i="51" s="1"/>
  <c r="T541" i="50"/>
  <c r="T521" i="51" s="1"/>
  <c r="O541" i="50"/>
  <c r="O521" i="51" s="1"/>
  <c r="W541" i="50"/>
  <c r="W521" i="51" s="1"/>
  <c r="S541" i="50"/>
  <c r="S521" i="51" s="1"/>
  <c r="V541" i="50"/>
  <c r="V521" i="51" s="1"/>
  <c r="R541" i="50"/>
  <c r="R521" i="51" s="1"/>
  <c r="P576" i="50"/>
  <c r="P556" i="51" s="1"/>
  <c r="V576" i="50"/>
  <c r="V556" i="51" s="1"/>
  <c r="R576" i="50"/>
  <c r="R556" i="51" s="1"/>
  <c r="U576" i="50"/>
  <c r="U556" i="51" s="1"/>
  <c r="Q576" i="50"/>
  <c r="Q556" i="51" s="1"/>
  <c r="X576" i="50"/>
  <c r="X556" i="51" s="1"/>
  <c r="T576" i="50"/>
  <c r="T556" i="51" s="1"/>
  <c r="O576" i="50"/>
  <c r="O556" i="51" s="1"/>
  <c r="W576" i="50"/>
  <c r="W556" i="51" s="1"/>
  <c r="S576" i="50"/>
  <c r="S556" i="51" s="1"/>
  <c r="X555" i="50"/>
  <c r="X535" i="51" s="1"/>
  <c r="T555" i="50"/>
  <c r="T535" i="51" s="1"/>
  <c r="O555" i="50"/>
  <c r="O535" i="51" s="1"/>
  <c r="W555" i="50"/>
  <c r="W535" i="51" s="1"/>
  <c r="S555" i="50"/>
  <c r="S535" i="51" s="1"/>
  <c r="V555" i="50"/>
  <c r="V535" i="51" s="1"/>
  <c r="R555" i="50"/>
  <c r="R535" i="51" s="1"/>
  <c r="U555" i="50"/>
  <c r="U535" i="51" s="1"/>
  <c r="Q555" i="50"/>
  <c r="Q535" i="51" s="1"/>
  <c r="W557" i="50"/>
  <c r="W537" i="51" s="1"/>
  <c r="S557" i="50"/>
  <c r="S537" i="51" s="1"/>
  <c r="V557" i="50"/>
  <c r="V537" i="51" s="1"/>
  <c r="R557" i="50"/>
  <c r="R537" i="51" s="1"/>
  <c r="U557" i="50"/>
  <c r="U537" i="51" s="1"/>
  <c r="Q557" i="50"/>
  <c r="Q537" i="51" s="1"/>
  <c r="X557" i="50"/>
  <c r="X537" i="51" s="1"/>
  <c r="T557" i="50"/>
  <c r="T537" i="51" s="1"/>
  <c r="O557" i="50"/>
  <c r="O537" i="51" s="1"/>
  <c r="I785" i="50"/>
  <c r="X785" i="50"/>
  <c r="X765" i="51" s="1"/>
  <c r="T785" i="50"/>
  <c r="T765" i="51" s="1"/>
  <c r="P785" i="50"/>
  <c r="P765" i="51" s="1"/>
  <c r="W785" i="50"/>
  <c r="W765" i="51" s="1"/>
  <c r="S785" i="50"/>
  <c r="S765" i="51" s="1"/>
  <c r="O785" i="50"/>
  <c r="O765" i="51" s="1"/>
  <c r="U785" i="50"/>
  <c r="U765" i="51" s="1"/>
  <c r="R785" i="50"/>
  <c r="R765" i="51" s="1"/>
  <c r="Q785" i="50"/>
  <c r="Q765" i="51" s="1"/>
  <c r="V785" i="50"/>
  <c r="V765" i="51" s="1"/>
  <c r="P2" i="50"/>
  <c r="Q3" i="50" s="1"/>
  <c r="Q58" i="50"/>
  <c r="Q58" i="51" s="1"/>
  <c r="Q53" i="50"/>
  <c r="Q53" i="51" s="1"/>
  <c r="Q51" i="50"/>
  <c r="Q47" i="50"/>
  <c r="Q47" i="51" s="1"/>
  <c r="Q45" i="50"/>
  <c r="Q45" i="51" s="1"/>
  <c r="Q43" i="50"/>
  <c r="Q43" i="51" s="1"/>
  <c r="P40" i="50"/>
  <c r="P40" i="51" s="1"/>
  <c r="P38" i="50"/>
  <c r="P36" i="50"/>
  <c r="P36" i="51" s="1"/>
  <c r="P34" i="50"/>
  <c r="P34" i="51" s="1"/>
  <c r="P32" i="50"/>
  <c r="P32" i="51" s="1"/>
  <c r="P30" i="50"/>
  <c r="P30" i="51" s="1"/>
  <c r="P28" i="50"/>
  <c r="P26" i="50"/>
  <c r="P26" i="51" s="1"/>
  <c r="P24" i="50"/>
  <c r="P24" i="51" s="1"/>
  <c r="P22" i="50"/>
  <c r="P22" i="51" s="1"/>
  <c r="P20" i="50"/>
  <c r="P20" i="51" s="1"/>
  <c r="P18" i="50"/>
  <c r="P18" i="51" s="1"/>
  <c r="P16" i="50"/>
  <c r="P16" i="51" s="1"/>
  <c r="P14" i="50"/>
  <c r="P14" i="51" s="1"/>
  <c r="P12" i="50"/>
  <c r="P12" i="51" s="1"/>
  <c r="P10" i="50"/>
  <c r="P10" i="51" s="1"/>
  <c r="P8" i="50"/>
  <c r="P8" i="51" s="1"/>
  <c r="P6" i="50"/>
  <c r="P4" i="50"/>
  <c r="Q57" i="50"/>
  <c r="Q57" i="51" s="1"/>
  <c r="Q54" i="50"/>
  <c r="Q54" i="51" s="1"/>
  <c r="Q52" i="50"/>
  <c r="Q52" i="51" s="1"/>
  <c r="Q50" i="50"/>
  <c r="Q48" i="51"/>
  <c r="Q46" i="50"/>
  <c r="Q46" i="51" s="1"/>
  <c r="Q44" i="50"/>
  <c r="Q44" i="51" s="1"/>
  <c r="P39" i="50"/>
  <c r="P39" i="51" s="1"/>
  <c r="P37" i="50"/>
  <c r="P37" i="51" s="1"/>
  <c r="P35" i="50"/>
  <c r="P35" i="51" s="1"/>
  <c r="P33" i="50"/>
  <c r="P33" i="51" s="1"/>
  <c r="P31" i="50"/>
  <c r="P31" i="51" s="1"/>
  <c r="P29" i="50"/>
  <c r="P29" i="51" s="1"/>
  <c r="P27" i="50"/>
  <c r="P27" i="51" s="1"/>
  <c r="P25" i="50"/>
  <c r="P25" i="51" s="1"/>
  <c r="P23" i="50"/>
  <c r="P23" i="51" s="1"/>
  <c r="P19" i="50"/>
  <c r="P19" i="51" s="1"/>
  <c r="P17" i="50"/>
  <c r="P17" i="51" s="1"/>
  <c r="P15" i="50"/>
  <c r="P15" i="51" s="1"/>
  <c r="P13" i="50"/>
  <c r="P13" i="51" s="1"/>
  <c r="P11" i="50"/>
  <c r="P9" i="50"/>
  <c r="P9" i="51" s="1"/>
  <c r="P7" i="50"/>
  <c r="P7" i="51" s="1"/>
  <c r="P5" i="50"/>
  <c r="F784" i="50"/>
  <c r="I784" i="50"/>
  <c r="E784" i="50"/>
  <c r="H784" i="50"/>
  <c r="P561" i="50"/>
  <c r="P541" i="51" s="1"/>
  <c r="P539" i="50"/>
  <c r="P519" i="51" s="1"/>
  <c r="P553" i="50"/>
  <c r="P533" i="51" s="1"/>
  <c r="P562" i="50"/>
  <c r="P542" i="51" s="1"/>
  <c r="P575" i="50"/>
  <c r="P555" i="51" s="1"/>
  <c r="P541" i="50"/>
  <c r="P521" i="51" s="1"/>
  <c r="P554" i="50"/>
  <c r="P534" i="51" s="1"/>
  <c r="P563" i="50"/>
  <c r="P543" i="51" s="1"/>
  <c r="P555" i="50"/>
  <c r="P535" i="51" s="1"/>
  <c r="P564" i="50"/>
  <c r="P544" i="51" s="1"/>
  <c r="P545" i="50"/>
  <c r="P525" i="51" s="1"/>
  <c r="P557" i="50"/>
  <c r="P537" i="51" s="1"/>
  <c r="P565" i="50"/>
  <c r="P545" i="51" s="1"/>
  <c r="P546" i="50"/>
  <c r="P526" i="51" s="1"/>
  <c r="P558" i="50"/>
  <c r="P538" i="51" s="1"/>
  <c r="P574" i="50"/>
  <c r="P554" i="51" s="1"/>
  <c r="I43" i="50"/>
  <c r="I40" i="50"/>
  <c r="G862" i="50"/>
  <c r="G840" i="50"/>
  <c r="G835" i="50"/>
  <c r="I16" i="50"/>
  <c r="I20" i="50"/>
  <c r="G910" i="50"/>
  <c r="G879" i="50"/>
  <c r="G956" i="50"/>
  <c r="G947" i="50"/>
  <c r="G989" i="50"/>
  <c r="G1012" i="50"/>
  <c r="G995" i="50"/>
  <c r="G907" i="50"/>
  <c r="G889" i="50"/>
  <c r="G846" i="50"/>
  <c r="G837" i="50"/>
  <c r="G911" i="50"/>
  <c r="I51" i="50"/>
  <c r="G906" i="50"/>
  <c r="G972" i="50"/>
  <c r="G914" i="50"/>
  <c r="G967" i="50"/>
  <c r="I32" i="50"/>
  <c r="G955" i="50"/>
  <c r="I61" i="50"/>
  <c r="G857" i="50"/>
  <c r="G844" i="50"/>
  <c r="G901" i="50"/>
  <c r="G936" i="50"/>
  <c r="C812" i="50"/>
  <c r="H812" i="50" s="1"/>
  <c r="C807" i="50"/>
  <c r="K807" i="50" s="1"/>
  <c r="G821" i="50"/>
  <c r="G848" i="50"/>
  <c r="G825" i="50"/>
  <c r="G819" i="50"/>
  <c r="G952" i="50"/>
  <c r="G931" i="50"/>
  <c r="G979" i="50"/>
  <c r="G997" i="50"/>
  <c r="G1001" i="50"/>
  <c r="G891" i="50"/>
  <c r="G928" i="50"/>
  <c r="G924" i="50"/>
  <c r="C811" i="50"/>
  <c r="K811" i="50" s="1"/>
  <c r="G958" i="50"/>
  <c r="G957" i="50"/>
  <c r="G909" i="50"/>
  <c r="G912" i="50"/>
  <c r="G903" i="50"/>
  <c r="G881" i="50"/>
  <c r="G843" i="50"/>
  <c r="G994" i="50"/>
  <c r="G968" i="50"/>
  <c r="G859" i="50"/>
  <c r="G864" i="50"/>
  <c r="E798" i="50"/>
  <c r="H798" i="50"/>
  <c r="F798" i="50"/>
  <c r="J798" i="50"/>
  <c r="D798" i="50"/>
  <c r="I815" i="50"/>
  <c r="E815" i="50"/>
  <c r="J815" i="50"/>
  <c r="D815" i="50"/>
  <c r="H815" i="50"/>
  <c r="K815" i="50"/>
  <c r="F815" i="50"/>
  <c r="H799" i="50"/>
  <c r="D799" i="50"/>
  <c r="J799" i="50"/>
  <c r="E799" i="50"/>
  <c r="I799" i="50"/>
  <c r="K799" i="50"/>
  <c r="F799" i="50"/>
  <c r="K804" i="50"/>
  <c r="H804" i="50"/>
  <c r="F804" i="50"/>
  <c r="J804" i="50"/>
  <c r="E804" i="50"/>
  <c r="I804" i="50"/>
  <c r="D804" i="50"/>
  <c r="E791" i="50"/>
  <c r="G791" i="50" s="1"/>
  <c r="J790" i="50"/>
  <c r="F790" i="50"/>
  <c r="D791" i="50"/>
  <c r="E790" i="50"/>
  <c r="K790" i="50" s="1"/>
  <c r="H790" i="50"/>
  <c r="D790" i="50"/>
  <c r="K560" i="50"/>
  <c r="J560" i="50"/>
  <c r="F560" i="50"/>
  <c r="I560" i="50"/>
  <c r="E560" i="50"/>
  <c r="H560" i="50"/>
  <c r="D560" i="50"/>
  <c r="K545" i="50"/>
  <c r="J545" i="50"/>
  <c r="F545" i="50"/>
  <c r="I545" i="50"/>
  <c r="E545" i="50"/>
  <c r="H545" i="50"/>
  <c r="D545" i="50"/>
  <c r="H576" i="50"/>
  <c r="D576" i="50"/>
  <c r="K576" i="50"/>
  <c r="J576" i="50"/>
  <c r="F576" i="50"/>
  <c r="I576" i="50"/>
  <c r="E576" i="50"/>
  <c r="D538" i="50"/>
  <c r="H537" i="50"/>
  <c r="D537" i="50"/>
  <c r="J537" i="50"/>
  <c r="F537" i="50"/>
  <c r="E538" i="50"/>
  <c r="G538" i="50" s="1"/>
  <c r="E537" i="50"/>
  <c r="X537" i="50" s="1"/>
  <c r="E556" i="50"/>
  <c r="G556" i="50" s="1"/>
  <c r="E555" i="50"/>
  <c r="D556" i="50"/>
  <c r="H555" i="50"/>
  <c r="D555" i="50"/>
  <c r="J555" i="50"/>
  <c r="F555" i="50"/>
  <c r="J557" i="50"/>
  <c r="F557" i="50"/>
  <c r="I557" i="50"/>
  <c r="E557" i="50"/>
  <c r="H557" i="50"/>
  <c r="D557" i="50"/>
  <c r="K557" i="50"/>
  <c r="G44" i="50"/>
  <c r="I44" i="50"/>
  <c r="G991" i="50"/>
  <c r="G974" i="50"/>
  <c r="G913" i="50"/>
  <c r="G926" i="50"/>
  <c r="G847" i="50"/>
  <c r="G868" i="50"/>
  <c r="J814" i="50"/>
  <c r="F814" i="50"/>
  <c r="H814" i="50"/>
  <c r="K814" i="50"/>
  <c r="E814" i="50"/>
  <c r="I814" i="50"/>
  <c r="D814" i="50"/>
  <c r="J794" i="50"/>
  <c r="F794" i="50"/>
  <c r="D794" i="50"/>
  <c r="E795" i="50"/>
  <c r="G795" i="50" s="1"/>
  <c r="H794" i="50"/>
  <c r="D795" i="50"/>
  <c r="E794" i="50"/>
  <c r="K793" i="50"/>
  <c r="H793" i="50"/>
  <c r="F793" i="50"/>
  <c r="J793" i="50"/>
  <c r="E793" i="50"/>
  <c r="I793" i="50"/>
  <c r="D793" i="50"/>
  <c r="E787" i="50"/>
  <c r="G787" i="50" s="1"/>
  <c r="E786" i="50"/>
  <c r="D787" i="50"/>
  <c r="H786" i="50"/>
  <c r="D786" i="50"/>
  <c r="J786" i="50"/>
  <c r="F786" i="50"/>
  <c r="E789" i="50"/>
  <c r="G789" i="50" s="1"/>
  <c r="J788" i="50"/>
  <c r="F788" i="50"/>
  <c r="D789" i="50"/>
  <c r="E788" i="50"/>
  <c r="H788" i="50"/>
  <c r="D788" i="50"/>
  <c r="K553" i="50"/>
  <c r="J553" i="50"/>
  <c r="F553" i="50"/>
  <c r="I553" i="50"/>
  <c r="E553" i="50"/>
  <c r="H553" i="50"/>
  <c r="D553" i="50"/>
  <c r="I542" i="50"/>
  <c r="K541" i="50"/>
  <c r="J541" i="50"/>
  <c r="F541" i="50"/>
  <c r="E542" i="50"/>
  <c r="G542" i="50" s="1"/>
  <c r="I541" i="50"/>
  <c r="E541" i="50"/>
  <c r="K542" i="50"/>
  <c r="D542" i="50"/>
  <c r="H541" i="50"/>
  <c r="D541" i="50"/>
  <c r="E544" i="50"/>
  <c r="G544" i="50" s="1"/>
  <c r="E543" i="50"/>
  <c r="O543" i="50" s="1"/>
  <c r="D544" i="50"/>
  <c r="H543" i="50"/>
  <c r="D543" i="50"/>
  <c r="J543" i="50"/>
  <c r="F543" i="50"/>
  <c r="J554" i="50"/>
  <c r="F554" i="50"/>
  <c r="I554" i="50"/>
  <c r="E554" i="50"/>
  <c r="H554" i="50"/>
  <c r="D554" i="50"/>
  <c r="K554" i="50"/>
  <c r="G25" i="50"/>
  <c r="I25" i="50"/>
  <c r="G978" i="50"/>
  <c r="G954" i="50"/>
  <c r="G925" i="50"/>
  <c r="J805" i="50"/>
  <c r="F805" i="50"/>
  <c r="I806" i="50"/>
  <c r="I805" i="50"/>
  <c r="D805" i="50"/>
  <c r="E806" i="50"/>
  <c r="G806" i="50" s="1"/>
  <c r="H805" i="50"/>
  <c r="K806" i="50"/>
  <c r="D806" i="50"/>
  <c r="K805" i="50"/>
  <c r="E805" i="50"/>
  <c r="K783" i="50"/>
  <c r="D783" i="50"/>
  <c r="H782" i="50"/>
  <c r="D782" i="50"/>
  <c r="I783" i="50"/>
  <c r="K782" i="50"/>
  <c r="J782" i="50"/>
  <c r="F782" i="50"/>
  <c r="E783" i="50"/>
  <c r="G783" i="50" s="1"/>
  <c r="I782" i="50"/>
  <c r="E782" i="50"/>
  <c r="K796" i="50"/>
  <c r="J796" i="50"/>
  <c r="E796" i="50"/>
  <c r="I796" i="50"/>
  <c r="D796" i="50"/>
  <c r="H796" i="50"/>
  <c r="F796" i="50"/>
  <c r="C809" i="50"/>
  <c r="J797" i="50"/>
  <c r="F797" i="50"/>
  <c r="K797" i="50"/>
  <c r="E797" i="50"/>
  <c r="I797" i="50"/>
  <c r="D797" i="50"/>
  <c r="H797" i="50"/>
  <c r="E552" i="50"/>
  <c r="G552" i="50" s="1"/>
  <c r="J551" i="50"/>
  <c r="F551" i="50"/>
  <c r="D552" i="50"/>
  <c r="E551" i="50"/>
  <c r="H551" i="50"/>
  <c r="D551" i="50"/>
  <c r="K539" i="50"/>
  <c r="K540" i="50"/>
  <c r="E540" i="50"/>
  <c r="G540" i="50" s="1"/>
  <c r="J539" i="50"/>
  <c r="F539" i="50"/>
  <c r="D540" i="50"/>
  <c r="I539" i="50"/>
  <c r="E539" i="50"/>
  <c r="I540" i="50"/>
  <c r="H539" i="50"/>
  <c r="D539" i="50"/>
  <c r="H563" i="50"/>
  <c r="D563" i="50"/>
  <c r="K563" i="50"/>
  <c r="J563" i="50"/>
  <c r="F563" i="50"/>
  <c r="I563" i="50"/>
  <c r="E563" i="50"/>
  <c r="I562" i="50"/>
  <c r="E562" i="50"/>
  <c r="H562" i="50"/>
  <c r="D562" i="50"/>
  <c r="K562" i="50"/>
  <c r="J562" i="50"/>
  <c r="F562" i="50"/>
  <c r="J565" i="50"/>
  <c r="F565" i="50"/>
  <c r="I565" i="50"/>
  <c r="E565" i="50"/>
  <c r="H565" i="50"/>
  <c r="D565" i="50"/>
  <c r="K565" i="50"/>
  <c r="J547" i="50"/>
  <c r="F547" i="50"/>
  <c r="E548" i="50"/>
  <c r="G548" i="50" s="1"/>
  <c r="E547" i="50"/>
  <c r="D548" i="50"/>
  <c r="H547" i="50"/>
  <c r="D547" i="50"/>
  <c r="G66" i="50"/>
  <c r="I66" i="50"/>
  <c r="G62" i="50"/>
  <c r="I62" i="50"/>
  <c r="G57" i="50"/>
  <c r="I57" i="50"/>
  <c r="G52" i="50"/>
  <c r="I52" i="50"/>
  <c r="G37" i="50"/>
  <c r="I37" i="50"/>
  <c r="G33" i="50"/>
  <c r="I33" i="50"/>
  <c r="G29" i="50"/>
  <c r="I29" i="50"/>
  <c r="G1013" i="50"/>
  <c r="G1000" i="50"/>
  <c r="G996" i="50"/>
  <c r="G953" i="50"/>
  <c r="G932" i="50"/>
  <c r="G908" i="50"/>
  <c r="G890" i="50"/>
  <c r="G886" i="50"/>
  <c r="J801" i="50"/>
  <c r="F801" i="50"/>
  <c r="H801" i="50"/>
  <c r="K801" i="50"/>
  <c r="E801" i="50"/>
  <c r="I801" i="50"/>
  <c r="D801" i="50"/>
  <c r="J776" i="50"/>
  <c r="F776" i="50"/>
  <c r="E777" i="50"/>
  <c r="G777" i="50" s="1"/>
  <c r="E776" i="50"/>
  <c r="D777" i="50"/>
  <c r="H776" i="50"/>
  <c r="D776" i="50"/>
  <c r="I802" i="50"/>
  <c r="E802" i="50"/>
  <c r="J802" i="50"/>
  <c r="D802" i="50"/>
  <c r="H802" i="50"/>
  <c r="K802" i="50"/>
  <c r="F802" i="50"/>
  <c r="K800" i="50"/>
  <c r="F800" i="50"/>
  <c r="J800" i="50"/>
  <c r="E800" i="50"/>
  <c r="I800" i="50"/>
  <c r="D800" i="50"/>
  <c r="H800" i="50"/>
  <c r="F813" i="50"/>
  <c r="J813" i="50"/>
  <c r="E813" i="50"/>
  <c r="D813" i="50"/>
  <c r="H813" i="50"/>
  <c r="G823" i="50"/>
  <c r="H792" i="50"/>
  <c r="K792" i="50"/>
  <c r="F792" i="50"/>
  <c r="J792" i="50"/>
  <c r="E792" i="50"/>
  <c r="I792" i="50"/>
  <c r="D792" i="50"/>
  <c r="K564" i="50"/>
  <c r="J564" i="50"/>
  <c r="F564" i="50"/>
  <c r="I564" i="50"/>
  <c r="E564" i="50"/>
  <c r="H564" i="50"/>
  <c r="D564" i="50"/>
  <c r="E550" i="50"/>
  <c r="G550" i="50" s="1"/>
  <c r="J549" i="50"/>
  <c r="F549" i="50"/>
  <c r="D550" i="50"/>
  <c r="E549" i="50"/>
  <c r="O549" i="50" s="1"/>
  <c r="H549" i="50"/>
  <c r="D549" i="50"/>
  <c r="H559" i="50"/>
  <c r="D559" i="50"/>
  <c r="J559" i="50"/>
  <c r="F559" i="50"/>
  <c r="E559" i="50"/>
  <c r="I575" i="50"/>
  <c r="E575" i="50"/>
  <c r="H575" i="50"/>
  <c r="D575" i="50"/>
  <c r="K575" i="50"/>
  <c r="J575" i="50"/>
  <c r="F575" i="50"/>
  <c r="I558" i="50"/>
  <c r="E558" i="50"/>
  <c r="H558" i="50"/>
  <c r="D558" i="50"/>
  <c r="K558" i="50"/>
  <c r="J558" i="50"/>
  <c r="F558" i="50"/>
  <c r="J574" i="50"/>
  <c r="F574" i="50"/>
  <c r="E574" i="50"/>
  <c r="H574" i="50"/>
  <c r="D574" i="50"/>
  <c r="J561" i="50"/>
  <c r="F561" i="50"/>
  <c r="I561" i="50"/>
  <c r="E561" i="50"/>
  <c r="H561" i="50"/>
  <c r="D561" i="50"/>
  <c r="K561" i="50"/>
  <c r="J546" i="50"/>
  <c r="F546" i="50"/>
  <c r="I546" i="50"/>
  <c r="E546" i="50"/>
  <c r="H546" i="50"/>
  <c r="D546" i="50"/>
  <c r="P48" i="51" l="1"/>
  <c r="AA253" i="50"/>
  <c r="AA251" i="50"/>
  <c r="AA249" i="50"/>
  <c r="AA247" i="50"/>
  <c r="AA245" i="50"/>
  <c r="AA243" i="50"/>
  <c r="AA241" i="50"/>
  <c r="AA239" i="50"/>
  <c r="AA252" i="50"/>
  <c r="AA246" i="50"/>
  <c r="AB271" i="50"/>
  <c r="AB270" i="50"/>
  <c r="AB263" i="50"/>
  <c r="AB262" i="50"/>
  <c r="AB258" i="50"/>
  <c r="Z232" i="50"/>
  <c r="Z230" i="50"/>
  <c r="Z228" i="50"/>
  <c r="Z226" i="50"/>
  <c r="AA248" i="50"/>
  <c r="AA240" i="50"/>
  <c r="AB273" i="50"/>
  <c r="AB272" i="50"/>
  <c r="AB265" i="50"/>
  <c r="AB264" i="50"/>
  <c r="AA250" i="50"/>
  <c r="AA242" i="50"/>
  <c r="AB267" i="50"/>
  <c r="AB266" i="50"/>
  <c r="AB257" i="50"/>
  <c r="Z229" i="50"/>
  <c r="Z225" i="50"/>
  <c r="Z223" i="50"/>
  <c r="Z221" i="50"/>
  <c r="Z219" i="50"/>
  <c r="Z217" i="50"/>
  <c r="Z215" i="50"/>
  <c r="AA244" i="50"/>
  <c r="AB269" i="50"/>
  <c r="AB268" i="50"/>
  <c r="Y210" i="50"/>
  <c r="Y208" i="50"/>
  <c r="Y206" i="50"/>
  <c r="Y204" i="50"/>
  <c r="Y202" i="50"/>
  <c r="Y200" i="50"/>
  <c r="Y198" i="50"/>
  <c r="Y196" i="50"/>
  <c r="Y194" i="50"/>
  <c r="AA236" i="50"/>
  <c r="Z231" i="50"/>
  <c r="Z224" i="50"/>
  <c r="Z220" i="50"/>
  <c r="Z216" i="50"/>
  <c r="X190" i="50"/>
  <c r="V144" i="50"/>
  <c r="W167" i="50"/>
  <c r="W163" i="50"/>
  <c r="W159" i="50"/>
  <c r="W155" i="50"/>
  <c r="X189" i="50"/>
  <c r="X185" i="50"/>
  <c r="X180" i="50"/>
  <c r="X176" i="50"/>
  <c r="AA238" i="50"/>
  <c r="AB260" i="50"/>
  <c r="Y209" i="50"/>
  <c r="Y205" i="50"/>
  <c r="Y201" i="50"/>
  <c r="Y197" i="50"/>
  <c r="V148" i="50"/>
  <c r="V147" i="50"/>
  <c r="V146" i="50"/>
  <c r="W168" i="50"/>
  <c r="W164" i="50"/>
  <c r="W160" i="50"/>
  <c r="W156" i="50"/>
  <c r="W152" i="50"/>
  <c r="X188" i="50"/>
  <c r="X184" i="50"/>
  <c r="X179" i="50"/>
  <c r="X175" i="50"/>
  <c r="AB259" i="50"/>
  <c r="Z222" i="50"/>
  <c r="W169" i="50"/>
  <c r="W161" i="50"/>
  <c r="W153" i="50"/>
  <c r="X187" i="50"/>
  <c r="X182" i="50"/>
  <c r="X174" i="50"/>
  <c r="U125" i="50"/>
  <c r="U121" i="50"/>
  <c r="U117" i="50"/>
  <c r="U113" i="50"/>
  <c r="T103" i="50"/>
  <c r="T99" i="50"/>
  <c r="T95" i="50"/>
  <c r="V145" i="50"/>
  <c r="X178" i="50"/>
  <c r="U123" i="50"/>
  <c r="U119" i="50"/>
  <c r="U111" i="50"/>
  <c r="T97" i="50"/>
  <c r="T93" i="50"/>
  <c r="AA237" i="50"/>
  <c r="Y211" i="50"/>
  <c r="Y203" i="50"/>
  <c r="Y195" i="50"/>
  <c r="X183" i="50"/>
  <c r="V143" i="50"/>
  <c r="V142" i="50"/>
  <c r="V141" i="50"/>
  <c r="V140" i="50"/>
  <c r="V139" i="50"/>
  <c r="V138" i="50"/>
  <c r="V137" i="50"/>
  <c r="V136" i="50"/>
  <c r="V135" i="50"/>
  <c r="V134" i="50"/>
  <c r="V133" i="50"/>
  <c r="V132" i="50"/>
  <c r="V131" i="50"/>
  <c r="W162" i="50"/>
  <c r="W154" i="50"/>
  <c r="X177" i="50"/>
  <c r="U124" i="50"/>
  <c r="U120" i="50"/>
  <c r="U116" i="50"/>
  <c r="U112" i="50"/>
  <c r="T106" i="50"/>
  <c r="T102" i="50"/>
  <c r="T98" i="50"/>
  <c r="T94" i="50"/>
  <c r="T91" i="50"/>
  <c r="T90" i="50"/>
  <c r="T89" i="50"/>
  <c r="AB274" i="50"/>
  <c r="Z227" i="50"/>
  <c r="Z218" i="50"/>
  <c r="W165" i="50"/>
  <c r="W157" i="50"/>
  <c r="U115" i="50"/>
  <c r="T105" i="50"/>
  <c r="T101" i="50"/>
  <c r="S68" i="50"/>
  <c r="Y199" i="50"/>
  <c r="U127" i="50"/>
  <c r="U118" i="50"/>
  <c r="T92" i="50"/>
  <c r="S85" i="50"/>
  <c r="S83" i="50"/>
  <c r="S81" i="50"/>
  <c r="S79" i="50"/>
  <c r="T96" i="50"/>
  <c r="S77" i="50"/>
  <c r="S76" i="50"/>
  <c r="S74" i="50"/>
  <c r="S72" i="50"/>
  <c r="S71" i="50"/>
  <c r="S69" i="50"/>
  <c r="W158" i="50"/>
  <c r="U114" i="50"/>
  <c r="T104" i="50"/>
  <c r="AB261" i="50"/>
  <c r="W166" i="50"/>
  <c r="X181" i="50"/>
  <c r="U126" i="50"/>
  <c r="U110" i="50"/>
  <c r="T100" i="50"/>
  <c r="S60" i="50"/>
  <c r="S84" i="50"/>
  <c r="S82" i="50"/>
  <c r="S80" i="50"/>
  <c r="S67" i="50"/>
  <c r="S66" i="50"/>
  <c r="S65" i="50"/>
  <c r="S64" i="50"/>
  <c r="S63" i="50"/>
  <c r="S62" i="50"/>
  <c r="S61" i="50"/>
  <c r="Y207" i="50"/>
  <c r="X186" i="50"/>
  <c r="X173" i="50"/>
  <c r="U122" i="50"/>
  <c r="S78" i="50"/>
  <c r="S75" i="50"/>
  <c r="S73" i="50"/>
  <c r="S70" i="50"/>
  <c r="S86" i="50"/>
  <c r="R52" i="50"/>
  <c r="R54" i="50"/>
  <c r="P56" i="50"/>
  <c r="Q2" i="50"/>
  <c r="R49" i="50"/>
  <c r="R48" i="50"/>
  <c r="R55" i="50" s="1"/>
  <c r="R42" i="50"/>
  <c r="K810" i="50"/>
  <c r="G803" i="50"/>
  <c r="Q41" i="50"/>
  <c r="Q22" i="50"/>
  <c r="Q22" i="51" s="1"/>
  <c r="Q26" i="50"/>
  <c r="Q26" i="51" s="1"/>
  <c r="Q23" i="50"/>
  <c r="Q23" i="51" s="1"/>
  <c r="Q27" i="50"/>
  <c r="Q27" i="51" s="1"/>
  <c r="Q24" i="50"/>
  <c r="Q24" i="51" s="1"/>
  <c r="Q29" i="50"/>
  <c r="Q29" i="51" s="1"/>
  <c r="Q25" i="50"/>
  <c r="Q25" i="51" s="1"/>
  <c r="Q28" i="50"/>
  <c r="D811" i="50"/>
  <c r="H810" i="50"/>
  <c r="I551" i="50"/>
  <c r="Q21" i="50"/>
  <c r="Q537" i="50"/>
  <c r="U549" i="50"/>
  <c r="W549" i="50"/>
  <c r="P549" i="50"/>
  <c r="V543" i="50"/>
  <c r="T543" i="50"/>
  <c r="Q551" i="50"/>
  <c r="S551" i="50"/>
  <c r="P543" i="50"/>
  <c r="V537" i="50"/>
  <c r="R549" i="50"/>
  <c r="Q543" i="50"/>
  <c r="S543" i="50"/>
  <c r="X543" i="50"/>
  <c r="O551" i="50"/>
  <c r="U551" i="50"/>
  <c r="W551" i="50"/>
  <c r="K549" i="50"/>
  <c r="O529" i="51" s="1"/>
  <c r="P551" i="50"/>
  <c r="S537" i="50"/>
  <c r="V549" i="50"/>
  <c r="T549" i="50"/>
  <c r="T529" i="51" s="1"/>
  <c r="U543" i="50"/>
  <c r="W543" i="50"/>
  <c r="T551" i="50"/>
  <c r="R551" i="50"/>
  <c r="P537" i="50"/>
  <c r="T537" i="50"/>
  <c r="W537" i="50"/>
  <c r="Q549" i="50"/>
  <c r="Q529" i="51" s="1"/>
  <c r="S549" i="50"/>
  <c r="X549" i="50"/>
  <c r="R543" i="50"/>
  <c r="X551" i="50"/>
  <c r="V551" i="50"/>
  <c r="I790" i="50"/>
  <c r="I791" i="50"/>
  <c r="K791" i="50"/>
  <c r="I788" i="50"/>
  <c r="K788" i="50"/>
  <c r="K789" i="50"/>
  <c r="I789" i="50"/>
  <c r="K779" i="50"/>
  <c r="I779" i="50"/>
  <c r="K778" i="50"/>
  <c r="I552" i="50"/>
  <c r="K552" i="50"/>
  <c r="K551" i="50"/>
  <c r="I549" i="50"/>
  <c r="I550" i="50"/>
  <c r="K550" i="50"/>
  <c r="I544" i="50"/>
  <c r="K544" i="50"/>
  <c r="K543" i="50"/>
  <c r="O523" i="51" s="1"/>
  <c r="I543" i="50"/>
  <c r="H811" i="50"/>
  <c r="G780" i="50"/>
  <c r="D810" i="50"/>
  <c r="F810" i="50"/>
  <c r="G810" i="50" s="1"/>
  <c r="I810" i="50"/>
  <c r="J810" i="50"/>
  <c r="G784" i="50"/>
  <c r="J811" i="50"/>
  <c r="E811" i="50"/>
  <c r="G778" i="50"/>
  <c r="F811" i="50"/>
  <c r="I811" i="50"/>
  <c r="I812" i="50"/>
  <c r="K808" i="50"/>
  <c r="E807" i="50"/>
  <c r="K798" i="50"/>
  <c r="G776" i="50"/>
  <c r="F807" i="50"/>
  <c r="D807" i="50"/>
  <c r="J807" i="50"/>
  <c r="H807" i="50"/>
  <c r="I807" i="50"/>
  <c r="I808" i="50"/>
  <c r="D808" i="50"/>
  <c r="E808" i="50"/>
  <c r="G808" i="50" s="1"/>
  <c r="K813" i="50"/>
  <c r="X809" i="50"/>
  <c r="X789" i="51" s="1"/>
  <c r="T809" i="50"/>
  <c r="T789" i="51" s="1"/>
  <c r="P809" i="50"/>
  <c r="P789" i="51" s="1"/>
  <c r="W809" i="50"/>
  <c r="W789" i="51" s="1"/>
  <c r="S809" i="50"/>
  <c r="S789" i="51" s="1"/>
  <c r="O809" i="50"/>
  <c r="O789" i="51" s="1"/>
  <c r="Q809" i="50"/>
  <c r="Q789" i="51" s="1"/>
  <c r="V809" i="50"/>
  <c r="V789" i="51" s="1"/>
  <c r="U809" i="50"/>
  <c r="U789" i="51" s="1"/>
  <c r="R809" i="50"/>
  <c r="R789" i="51" s="1"/>
  <c r="R3" i="51"/>
  <c r="O537" i="50"/>
  <c r="U537" i="50"/>
  <c r="V810" i="50"/>
  <c r="V790" i="51" s="1"/>
  <c r="R810" i="50"/>
  <c r="R790" i="51" s="1"/>
  <c r="U810" i="50"/>
  <c r="U790" i="51" s="1"/>
  <c r="Q810" i="50"/>
  <c r="Q790" i="51" s="1"/>
  <c r="W810" i="50"/>
  <c r="W790" i="51" s="1"/>
  <c r="O810" i="50"/>
  <c r="O790" i="51" s="1"/>
  <c r="T810" i="50"/>
  <c r="T790" i="51" s="1"/>
  <c r="S810" i="50"/>
  <c r="S790" i="51" s="1"/>
  <c r="X810" i="50"/>
  <c r="X790" i="51" s="1"/>
  <c r="P810" i="50"/>
  <c r="P790" i="51" s="1"/>
  <c r="I786" i="50"/>
  <c r="K794" i="50"/>
  <c r="X811" i="50"/>
  <c r="X791" i="51" s="1"/>
  <c r="T811" i="50"/>
  <c r="T791" i="51" s="1"/>
  <c r="P811" i="50"/>
  <c r="P791" i="51" s="1"/>
  <c r="W811" i="50"/>
  <c r="W791" i="51" s="1"/>
  <c r="S811" i="50"/>
  <c r="S791" i="51" s="1"/>
  <c r="O811" i="50"/>
  <c r="O791" i="51" s="1"/>
  <c r="U811" i="50"/>
  <c r="U791" i="51" s="1"/>
  <c r="R811" i="50"/>
  <c r="R791" i="51" s="1"/>
  <c r="Q811" i="50"/>
  <c r="Q791" i="51" s="1"/>
  <c r="V811" i="50"/>
  <c r="V791" i="51" s="1"/>
  <c r="D812" i="50"/>
  <c r="V812" i="50"/>
  <c r="V792" i="51" s="1"/>
  <c r="R812" i="50"/>
  <c r="R792" i="51" s="1"/>
  <c r="U812" i="50"/>
  <c r="U792" i="51" s="1"/>
  <c r="Q812" i="50"/>
  <c r="Q792" i="51" s="1"/>
  <c r="S812" i="50"/>
  <c r="S792" i="51" s="1"/>
  <c r="X812" i="50"/>
  <c r="X792" i="51" s="1"/>
  <c r="P812" i="50"/>
  <c r="P792" i="51" s="1"/>
  <c r="W812" i="50"/>
  <c r="W792" i="51" s="1"/>
  <c r="O812" i="50"/>
  <c r="O792" i="51" s="1"/>
  <c r="T812" i="50"/>
  <c r="T792" i="51" s="1"/>
  <c r="R537" i="50"/>
  <c r="V807" i="50"/>
  <c r="V787" i="51" s="1"/>
  <c r="R807" i="50"/>
  <c r="R787" i="51" s="1"/>
  <c r="U807" i="50"/>
  <c r="U787" i="51" s="1"/>
  <c r="Q807" i="50"/>
  <c r="Q787" i="51" s="1"/>
  <c r="S807" i="50"/>
  <c r="S787" i="51" s="1"/>
  <c r="X807" i="50"/>
  <c r="X787" i="51" s="1"/>
  <c r="P807" i="50"/>
  <c r="P787" i="51" s="1"/>
  <c r="W807" i="50"/>
  <c r="W787" i="51" s="1"/>
  <c r="O807" i="50"/>
  <c r="O787" i="51" s="1"/>
  <c r="T807" i="50"/>
  <c r="T787" i="51" s="1"/>
  <c r="R58" i="50"/>
  <c r="R58" i="51" s="1"/>
  <c r="R53" i="50"/>
  <c r="R53" i="51" s="1"/>
  <c r="R51" i="50"/>
  <c r="R47" i="50"/>
  <c r="R47" i="51" s="1"/>
  <c r="R45" i="50"/>
  <c r="R45" i="51" s="1"/>
  <c r="R43" i="50"/>
  <c r="R43" i="51" s="1"/>
  <c r="Q40" i="50"/>
  <c r="Q40" i="51" s="1"/>
  <c r="Q38" i="50"/>
  <c r="Q36" i="50"/>
  <c r="Q36" i="51" s="1"/>
  <c r="Q34" i="50"/>
  <c r="Q34" i="51" s="1"/>
  <c r="Q32" i="50"/>
  <c r="Q32" i="51" s="1"/>
  <c r="Q30" i="50"/>
  <c r="Q30" i="51" s="1"/>
  <c r="Q20" i="50"/>
  <c r="Q20" i="51" s="1"/>
  <c r="Q18" i="50"/>
  <c r="Q18" i="51" s="1"/>
  <c r="Q16" i="50"/>
  <c r="Q16" i="51" s="1"/>
  <c r="Q14" i="50"/>
  <c r="Q14" i="51" s="1"/>
  <c r="Q12" i="50"/>
  <c r="Q12" i="51" s="1"/>
  <c r="Q10" i="50"/>
  <c r="Q10" i="51" s="1"/>
  <c r="Q8" i="50"/>
  <c r="Q8" i="51" s="1"/>
  <c r="Q6" i="50"/>
  <c r="Q4" i="50"/>
  <c r="R57" i="50"/>
  <c r="R57" i="51" s="1"/>
  <c r="R54" i="51"/>
  <c r="R52" i="51"/>
  <c r="R50" i="50"/>
  <c r="R46" i="50"/>
  <c r="R46" i="51" s="1"/>
  <c r="R44" i="50"/>
  <c r="R44" i="51" s="1"/>
  <c r="Q39" i="50"/>
  <c r="Q39" i="51" s="1"/>
  <c r="Q37" i="50"/>
  <c r="Q37" i="51" s="1"/>
  <c r="Q35" i="50"/>
  <c r="Q35" i="51" s="1"/>
  <c r="Q33" i="50"/>
  <c r="Q33" i="51" s="1"/>
  <c r="Q31" i="50"/>
  <c r="Q31" i="51" s="1"/>
  <c r="Q19" i="50"/>
  <c r="Q19" i="51" s="1"/>
  <c r="Q17" i="50"/>
  <c r="Q17" i="51" s="1"/>
  <c r="Q15" i="50"/>
  <c r="Q15" i="51" s="1"/>
  <c r="Q13" i="50"/>
  <c r="Q13" i="51" s="1"/>
  <c r="Q11" i="50"/>
  <c r="Q9" i="50"/>
  <c r="Q9" i="51" s="1"/>
  <c r="Q7" i="50"/>
  <c r="Q7" i="51" s="1"/>
  <c r="Q5" i="50"/>
  <c r="K777" i="50"/>
  <c r="I777" i="50"/>
  <c r="I776" i="50"/>
  <c r="I813" i="50"/>
  <c r="K776" i="50"/>
  <c r="K786" i="50"/>
  <c r="K787" i="50"/>
  <c r="K795" i="50"/>
  <c r="I794" i="50"/>
  <c r="I787" i="50"/>
  <c r="I795" i="50"/>
  <c r="I798" i="50"/>
  <c r="E812" i="50"/>
  <c r="F812" i="50"/>
  <c r="J812" i="50"/>
  <c r="K812" i="50"/>
  <c r="G549" i="50"/>
  <c r="I548" i="50"/>
  <c r="G539" i="50"/>
  <c r="I556" i="50"/>
  <c r="G788" i="50"/>
  <c r="G541" i="50"/>
  <c r="G553" i="50"/>
  <c r="G555" i="50"/>
  <c r="G547" i="50"/>
  <c r="G797" i="50"/>
  <c r="G537" i="50"/>
  <c r="G792" i="50"/>
  <c r="G805" i="50"/>
  <c r="G574" i="50"/>
  <c r="G557" i="50"/>
  <c r="I537" i="50"/>
  <c r="G560" i="50"/>
  <c r="K556" i="50"/>
  <c r="G545" i="50"/>
  <c r="G558" i="50"/>
  <c r="K548" i="50"/>
  <c r="G551" i="50"/>
  <c r="G804" i="50"/>
  <c r="G559" i="50"/>
  <c r="G561" i="50"/>
  <c r="K574" i="50"/>
  <c r="I574" i="50"/>
  <c r="I559" i="50"/>
  <c r="G800" i="50"/>
  <c r="G801" i="50"/>
  <c r="I547" i="50"/>
  <c r="G565" i="50"/>
  <c r="G562" i="50"/>
  <c r="G563" i="50"/>
  <c r="G554" i="50"/>
  <c r="G793" i="50"/>
  <c r="G814" i="50"/>
  <c r="I555" i="50"/>
  <c r="K537" i="50"/>
  <c r="X517" i="51" s="1"/>
  <c r="G546" i="50"/>
  <c r="G575" i="50"/>
  <c r="G564" i="50"/>
  <c r="G813" i="50"/>
  <c r="G802" i="50"/>
  <c r="K809" i="50"/>
  <c r="J809" i="50"/>
  <c r="E809" i="50"/>
  <c r="I809" i="50"/>
  <c r="D809" i="50"/>
  <c r="H809" i="50"/>
  <c r="F809" i="50"/>
  <c r="G782" i="50"/>
  <c r="G543" i="50"/>
  <c r="G786" i="50"/>
  <c r="G794" i="50"/>
  <c r="I538" i="50"/>
  <c r="K538" i="50"/>
  <c r="G576" i="50"/>
  <c r="G790" i="50"/>
  <c r="G798" i="50"/>
  <c r="R3" i="50"/>
  <c r="K547" i="50"/>
  <c r="G796" i="50"/>
  <c r="K555" i="50"/>
  <c r="G799" i="50"/>
  <c r="K559" i="50"/>
  <c r="G815" i="50"/>
  <c r="AB238" i="50" l="1"/>
  <c r="AB236" i="50"/>
  <c r="AC273" i="50"/>
  <c r="AC271" i="50"/>
  <c r="AC269" i="50"/>
  <c r="AC267" i="50"/>
  <c r="AC265" i="50"/>
  <c r="AC263" i="50"/>
  <c r="AC261" i="50"/>
  <c r="AC259" i="50"/>
  <c r="AB252" i="50"/>
  <c r="AB250" i="50"/>
  <c r="AB248" i="50"/>
  <c r="AB247" i="50"/>
  <c r="AB240" i="50"/>
  <c r="AB239" i="50"/>
  <c r="AC272" i="50"/>
  <c r="AC264" i="50"/>
  <c r="AB251" i="50"/>
  <c r="AB242" i="50"/>
  <c r="AB241" i="50"/>
  <c r="AC274" i="50"/>
  <c r="AC266" i="50"/>
  <c r="AC257" i="50"/>
  <c r="AA231" i="50"/>
  <c r="AA229" i="50"/>
  <c r="AA227" i="50"/>
  <c r="AA225" i="50"/>
  <c r="AB244" i="50"/>
  <c r="AB243" i="50"/>
  <c r="AC268" i="50"/>
  <c r="Z210" i="50"/>
  <c r="Z208" i="50"/>
  <c r="Z206" i="50"/>
  <c r="Z204" i="50"/>
  <c r="Z202" i="50"/>
  <c r="Z200" i="50"/>
  <c r="Z198" i="50"/>
  <c r="Z196" i="50"/>
  <c r="Z194" i="50"/>
  <c r="AB253" i="50"/>
  <c r="AB246" i="50"/>
  <c r="AB245" i="50"/>
  <c r="AC270" i="50"/>
  <c r="AA232" i="50"/>
  <c r="AA228" i="50"/>
  <c r="AA224" i="50"/>
  <c r="AA222" i="50"/>
  <c r="AA220" i="50"/>
  <c r="AA218" i="50"/>
  <c r="AA216" i="50"/>
  <c r="AC260" i="50"/>
  <c r="Z209" i="50"/>
  <c r="Z205" i="50"/>
  <c r="Z201" i="50"/>
  <c r="Z197" i="50"/>
  <c r="W148" i="50"/>
  <c r="W147" i="50"/>
  <c r="W146" i="50"/>
  <c r="X168" i="50"/>
  <c r="X164" i="50"/>
  <c r="X160" i="50"/>
  <c r="X156" i="50"/>
  <c r="X152" i="50"/>
  <c r="Y188" i="50"/>
  <c r="Y184" i="50"/>
  <c r="Y179" i="50"/>
  <c r="Y175" i="50"/>
  <c r="AB249" i="50"/>
  <c r="AC262" i="50"/>
  <c r="AC258" i="50"/>
  <c r="AA226" i="50"/>
  <c r="AA223" i="50"/>
  <c r="AA219" i="50"/>
  <c r="AA215" i="50"/>
  <c r="Y190" i="50"/>
  <c r="W145" i="50"/>
  <c r="X169" i="50"/>
  <c r="X165" i="50"/>
  <c r="X161" i="50"/>
  <c r="X157" i="50"/>
  <c r="X153" i="50"/>
  <c r="Y187" i="50"/>
  <c r="Y183" i="50"/>
  <c r="Y182" i="50"/>
  <c r="Y178" i="50"/>
  <c r="Y174" i="50"/>
  <c r="AB237" i="50"/>
  <c r="Z211" i="50"/>
  <c r="Z203" i="50"/>
  <c r="Z195" i="50"/>
  <c r="W143" i="50"/>
  <c r="W142" i="50"/>
  <c r="W141" i="50"/>
  <c r="W140" i="50"/>
  <c r="W139" i="50"/>
  <c r="W138" i="50"/>
  <c r="W137" i="50"/>
  <c r="W136" i="50"/>
  <c r="W135" i="50"/>
  <c r="W134" i="50"/>
  <c r="W133" i="50"/>
  <c r="W132" i="50"/>
  <c r="W131" i="50"/>
  <c r="X162" i="50"/>
  <c r="X154" i="50"/>
  <c r="Y177" i="50"/>
  <c r="V124" i="50"/>
  <c r="V120" i="50"/>
  <c r="V116" i="50"/>
  <c r="V112" i="50"/>
  <c r="U106" i="50"/>
  <c r="U102" i="50"/>
  <c r="U98" i="50"/>
  <c r="U94" i="50"/>
  <c r="U91" i="50"/>
  <c r="U89" i="50"/>
  <c r="X166" i="50"/>
  <c r="X158" i="50"/>
  <c r="Y181" i="50"/>
  <c r="Y173" i="50"/>
  <c r="V127" i="50"/>
  <c r="V126" i="50"/>
  <c r="V122" i="50"/>
  <c r="V110" i="50"/>
  <c r="U96" i="50"/>
  <c r="T84" i="50"/>
  <c r="T83" i="50"/>
  <c r="T82" i="50"/>
  <c r="AA217" i="50"/>
  <c r="W144" i="50"/>
  <c r="X163" i="50"/>
  <c r="X155" i="50"/>
  <c r="Y185" i="50"/>
  <c r="Y180" i="50"/>
  <c r="V123" i="50"/>
  <c r="V119" i="50"/>
  <c r="V115" i="50"/>
  <c r="V111" i="50"/>
  <c r="U105" i="50"/>
  <c r="U101" i="50"/>
  <c r="U97" i="50"/>
  <c r="U93" i="50"/>
  <c r="T67" i="50"/>
  <c r="T66" i="50"/>
  <c r="T65" i="50"/>
  <c r="T64" i="50"/>
  <c r="T63" i="50"/>
  <c r="T62" i="50"/>
  <c r="T61" i="50"/>
  <c r="U90" i="50"/>
  <c r="Z207" i="50"/>
  <c r="Z199" i="50"/>
  <c r="Y186" i="50"/>
  <c r="V118" i="50"/>
  <c r="V114" i="50"/>
  <c r="U104" i="50"/>
  <c r="U100" i="50"/>
  <c r="U92" i="50"/>
  <c r="T85" i="50"/>
  <c r="T81" i="50"/>
  <c r="T80" i="50"/>
  <c r="T79" i="50"/>
  <c r="AA230" i="50"/>
  <c r="AA221" i="50"/>
  <c r="X159" i="50"/>
  <c r="V125" i="50"/>
  <c r="U99" i="50"/>
  <c r="V113" i="50"/>
  <c r="U103" i="50"/>
  <c r="X167" i="50"/>
  <c r="Y189" i="50"/>
  <c r="Y176" i="50"/>
  <c r="V121" i="50"/>
  <c r="U95" i="50"/>
  <c r="V117" i="50"/>
  <c r="T78" i="50"/>
  <c r="T77" i="50"/>
  <c r="T76" i="50"/>
  <c r="T75" i="50"/>
  <c r="T74" i="50"/>
  <c r="T73" i="50"/>
  <c r="T72" i="50"/>
  <c r="T71" i="50"/>
  <c r="T70" i="50"/>
  <c r="T69" i="50"/>
  <c r="T68" i="50"/>
  <c r="T86" i="50"/>
  <c r="T60" i="50"/>
  <c r="S58" i="50"/>
  <c r="S52" i="50"/>
  <c r="S52" i="51" s="1"/>
  <c r="S57" i="50"/>
  <c r="S57" i="51" s="1"/>
  <c r="P56" i="51"/>
  <c r="Q56" i="50"/>
  <c r="R56" i="50"/>
  <c r="R48" i="51"/>
  <c r="G811" i="50"/>
  <c r="X529" i="51"/>
  <c r="S529" i="51"/>
  <c r="R21" i="50"/>
  <c r="V529" i="51"/>
  <c r="X531" i="51"/>
  <c r="R531" i="51"/>
  <c r="X523" i="51"/>
  <c r="V517" i="51"/>
  <c r="T523" i="51"/>
  <c r="U529" i="51"/>
  <c r="R523" i="51"/>
  <c r="W517" i="51"/>
  <c r="T531" i="51"/>
  <c r="W531" i="51"/>
  <c r="S523" i="51"/>
  <c r="P523" i="51"/>
  <c r="V523" i="51"/>
  <c r="Q517" i="51"/>
  <c r="T517" i="51"/>
  <c r="W523" i="51"/>
  <c r="S517" i="51"/>
  <c r="U531" i="51"/>
  <c r="Q523" i="51"/>
  <c r="S531" i="51"/>
  <c r="P529" i="51"/>
  <c r="V531" i="51"/>
  <c r="P517" i="51"/>
  <c r="U523" i="51"/>
  <c r="P531" i="51"/>
  <c r="O531" i="51"/>
  <c r="R529" i="51"/>
  <c r="Q531" i="51"/>
  <c r="W529" i="51"/>
  <c r="G807" i="50"/>
  <c r="G812" i="50"/>
  <c r="C36" i="41"/>
  <c r="R517" i="51"/>
  <c r="U517" i="51"/>
  <c r="O517" i="51"/>
  <c r="R2" i="51"/>
  <c r="R41" i="51"/>
  <c r="S54" i="50"/>
  <c r="S54" i="51" s="1"/>
  <c r="S50" i="50"/>
  <c r="S48" i="50"/>
  <c r="S46" i="50"/>
  <c r="S46" i="51" s="1"/>
  <c r="S44" i="50"/>
  <c r="S44" i="51" s="1"/>
  <c r="S42" i="50"/>
  <c r="R39" i="50"/>
  <c r="R39" i="51" s="1"/>
  <c r="R37" i="50"/>
  <c r="R37" i="51" s="1"/>
  <c r="R35" i="50"/>
  <c r="R35" i="51" s="1"/>
  <c r="R33" i="50"/>
  <c r="R33" i="51" s="1"/>
  <c r="R31" i="50"/>
  <c r="R31" i="51" s="1"/>
  <c r="R29" i="50"/>
  <c r="R29" i="51" s="1"/>
  <c r="R27" i="50"/>
  <c r="R27" i="51" s="1"/>
  <c r="R25" i="50"/>
  <c r="R25" i="51" s="1"/>
  <c r="R23" i="50"/>
  <c r="R23" i="51" s="1"/>
  <c r="R19" i="50"/>
  <c r="R19" i="51" s="1"/>
  <c r="R17" i="50"/>
  <c r="R17" i="51" s="1"/>
  <c r="R15" i="50"/>
  <c r="R15" i="51" s="1"/>
  <c r="R13" i="50"/>
  <c r="R13" i="51" s="1"/>
  <c r="R11" i="50"/>
  <c r="R9" i="50"/>
  <c r="R9" i="51" s="1"/>
  <c r="R7" i="50"/>
  <c r="R7" i="51" s="1"/>
  <c r="R5" i="50"/>
  <c r="S58" i="51"/>
  <c r="S53" i="50"/>
  <c r="S53" i="51" s="1"/>
  <c r="S51" i="50"/>
  <c r="S49" i="50"/>
  <c r="S47" i="50"/>
  <c r="S47" i="51" s="1"/>
  <c r="S45" i="50"/>
  <c r="S45" i="51" s="1"/>
  <c r="S43" i="50"/>
  <c r="S43" i="51" s="1"/>
  <c r="R40" i="50"/>
  <c r="R40" i="51" s="1"/>
  <c r="R38" i="50"/>
  <c r="R36" i="50"/>
  <c r="R36" i="51" s="1"/>
  <c r="R34" i="50"/>
  <c r="R34" i="51" s="1"/>
  <c r="R32" i="50"/>
  <c r="R32" i="51" s="1"/>
  <c r="R30" i="50"/>
  <c r="R30" i="51" s="1"/>
  <c r="R28" i="50"/>
  <c r="R26" i="50"/>
  <c r="R26" i="51" s="1"/>
  <c r="R24" i="50"/>
  <c r="R24" i="51" s="1"/>
  <c r="R22" i="50"/>
  <c r="R22" i="51" s="1"/>
  <c r="R20" i="50"/>
  <c r="R20" i="51" s="1"/>
  <c r="R18" i="50"/>
  <c r="R18" i="51" s="1"/>
  <c r="R16" i="50"/>
  <c r="R16" i="51" s="1"/>
  <c r="R14" i="50"/>
  <c r="R14" i="51" s="1"/>
  <c r="R12" i="50"/>
  <c r="R12" i="51" s="1"/>
  <c r="R10" i="50"/>
  <c r="R10" i="51" s="1"/>
  <c r="R8" i="50"/>
  <c r="R8" i="51" s="1"/>
  <c r="R6" i="50"/>
  <c r="R4" i="50"/>
  <c r="G809" i="50"/>
  <c r="R2" i="50"/>
  <c r="R41" i="50"/>
  <c r="Q56" i="51" l="1"/>
  <c r="R60" i="51"/>
  <c r="R56" i="51"/>
  <c r="S60" i="51"/>
  <c r="S48" i="51"/>
  <c r="S55" i="50"/>
  <c r="S3" i="51"/>
  <c r="S3" i="50"/>
  <c r="AC252" i="50" l="1"/>
  <c r="AC250" i="50"/>
  <c r="AC248" i="50"/>
  <c r="AC246" i="50"/>
  <c r="AC244" i="50"/>
  <c r="AC242" i="50"/>
  <c r="AC240" i="50"/>
  <c r="AC251" i="50"/>
  <c r="AC241" i="50"/>
  <c r="AD274" i="50"/>
  <c r="AD273" i="50"/>
  <c r="AD266" i="50"/>
  <c r="AD265" i="50"/>
  <c r="AD257" i="50"/>
  <c r="AB231" i="50"/>
  <c r="AB229" i="50"/>
  <c r="AB227" i="50"/>
  <c r="AB225" i="50"/>
  <c r="AC243" i="50"/>
  <c r="AC237" i="50"/>
  <c r="AC236" i="50"/>
  <c r="AD268" i="50"/>
  <c r="AD267" i="50"/>
  <c r="AD260" i="50"/>
  <c r="AD259" i="50"/>
  <c r="AC253" i="50"/>
  <c r="AC245" i="50"/>
  <c r="AD270" i="50"/>
  <c r="AD269" i="50"/>
  <c r="AB232" i="50"/>
  <c r="AB228" i="50"/>
  <c r="AB224" i="50"/>
  <c r="AB222" i="50"/>
  <c r="AB220" i="50"/>
  <c r="AB218" i="50"/>
  <c r="AB216" i="50"/>
  <c r="Z190" i="50"/>
  <c r="AC247" i="50"/>
  <c r="AD272" i="50"/>
  <c r="AD271" i="50"/>
  <c r="AA211" i="50"/>
  <c r="AA209" i="50"/>
  <c r="AA207" i="50"/>
  <c r="AA205" i="50"/>
  <c r="AA203" i="50"/>
  <c r="AA201" i="50"/>
  <c r="AA199" i="50"/>
  <c r="AA197" i="50"/>
  <c r="AA195" i="50"/>
  <c r="X148" i="50"/>
  <c r="X147" i="50"/>
  <c r="X146" i="50"/>
  <c r="X145" i="50"/>
  <c r="X144" i="50"/>
  <c r="AC249" i="50"/>
  <c r="AC238" i="50"/>
  <c r="AD262" i="50"/>
  <c r="AD258" i="50"/>
  <c r="AB226" i="50"/>
  <c r="AB223" i="50"/>
  <c r="AB219" i="50"/>
  <c r="AB215" i="50"/>
  <c r="Y169" i="50"/>
  <c r="Y165" i="50"/>
  <c r="Y161" i="50"/>
  <c r="Y157" i="50"/>
  <c r="Y153" i="50"/>
  <c r="Z187" i="50"/>
  <c r="Z183" i="50"/>
  <c r="Z182" i="50"/>
  <c r="Z178" i="50"/>
  <c r="Z174" i="50"/>
  <c r="AD264" i="50"/>
  <c r="AA208" i="50"/>
  <c r="AA204" i="50"/>
  <c r="AA200" i="50"/>
  <c r="AA196" i="50"/>
  <c r="X143" i="50"/>
  <c r="X142" i="50"/>
  <c r="X141" i="50"/>
  <c r="X140" i="50"/>
  <c r="X139" i="50"/>
  <c r="X138" i="50"/>
  <c r="X137" i="50"/>
  <c r="X136" i="50"/>
  <c r="X135" i="50"/>
  <c r="X134" i="50"/>
  <c r="X133" i="50"/>
  <c r="X132" i="50"/>
  <c r="X131" i="50"/>
  <c r="Y166" i="50"/>
  <c r="Y162" i="50"/>
  <c r="Y158" i="50"/>
  <c r="Y154" i="50"/>
  <c r="Z186" i="50"/>
  <c r="Z181" i="50"/>
  <c r="Z177" i="50"/>
  <c r="Z173" i="50"/>
  <c r="W127" i="50"/>
  <c r="AB217" i="50"/>
  <c r="Y163" i="50"/>
  <c r="Y155" i="50"/>
  <c r="Z185" i="50"/>
  <c r="Z180" i="50"/>
  <c r="W123" i="50"/>
  <c r="W119" i="50"/>
  <c r="W115" i="50"/>
  <c r="W111" i="50"/>
  <c r="V105" i="50"/>
  <c r="V101" i="50"/>
  <c r="V97" i="50"/>
  <c r="V93" i="50"/>
  <c r="U67" i="50"/>
  <c r="U66" i="50"/>
  <c r="U65" i="50"/>
  <c r="U64" i="50"/>
  <c r="U63" i="50"/>
  <c r="U62" i="50"/>
  <c r="U61" i="50"/>
  <c r="V90" i="50"/>
  <c r="Z189" i="50"/>
  <c r="W113" i="50"/>
  <c r="AD263" i="50"/>
  <c r="AA206" i="50"/>
  <c r="AA198" i="50"/>
  <c r="Y164" i="50"/>
  <c r="Y156" i="50"/>
  <c r="Z188" i="50"/>
  <c r="Z175" i="50"/>
  <c r="W126" i="50"/>
  <c r="W122" i="50"/>
  <c r="W118" i="50"/>
  <c r="W114" i="50"/>
  <c r="W110" i="50"/>
  <c r="V104" i="50"/>
  <c r="V100" i="50"/>
  <c r="V96" i="50"/>
  <c r="V92" i="50"/>
  <c r="U85" i="50"/>
  <c r="U84" i="50"/>
  <c r="U83" i="50"/>
  <c r="U82" i="50"/>
  <c r="U81" i="50"/>
  <c r="U80" i="50"/>
  <c r="U79" i="50"/>
  <c r="U78" i="50"/>
  <c r="U77" i="50"/>
  <c r="U76" i="50"/>
  <c r="U75" i="50"/>
  <c r="U74" i="50"/>
  <c r="U73" i="50"/>
  <c r="U72" i="50"/>
  <c r="U71" i="50"/>
  <c r="U70" i="50"/>
  <c r="U69" i="50"/>
  <c r="U68" i="50"/>
  <c r="AD261" i="50"/>
  <c r="AB230" i="50"/>
  <c r="AB221" i="50"/>
  <c r="Y167" i="50"/>
  <c r="Y159" i="50"/>
  <c r="Z176" i="50"/>
  <c r="W125" i="50"/>
  <c r="W121" i="50"/>
  <c r="W117" i="50"/>
  <c r="V103" i="50"/>
  <c r="V99" i="50"/>
  <c r="V95" i="50"/>
  <c r="Y168" i="50"/>
  <c r="Z184" i="50"/>
  <c r="W116" i="50"/>
  <c r="V106" i="50"/>
  <c r="W120" i="50"/>
  <c r="AA210" i="50"/>
  <c r="W112" i="50"/>
  <c r="V102" i="50"/>
  <c r="V89" i="50"/>
  <c r="AC239" i="50"/>
  <c r="AA202" i="50"/>
  <c r="Y152" i="50"/>
  <c r="W124" i="50"/>
  <c r="V98" i="50"/>
  <c r="V91" i="50"/>
  <c r="AA194" i="50"/>
  <c r="Y160" i="50"/>
  <c r="Z179" i="50"/>
  <c r="V94" i="50"/>
  <c r="U60" i="50"/>
  <c r="U86" i="50"/>
  <c r="T52" i="50"/>
  <c r="T52" i="51" s="1"/>
  <c r="T58" i="50"/>
  <c r="T54" i="50"/>
  <c r="T54" i="51" s="1"/>
  <c r="S56" i="50"/>
  <c r="S21" i="50"/>
  <c r="S2" i="51"/>
  <c r="S41" i="51"/>
  <c r="T57" i="50"/>
  <c r="T57" i="51" s="1"/>
  <c r="T50" i="50"/>
  <c r="T48" i="50"/>
  <c r="T46" i="50"/>
  <c r="T46" i="51" s="1"/>
  <c r="T44" i="50"/>
  <c r="T44" i="51" s="1"/>
  <c r="T42" i="50"/>
  <c r="S39" i="50"/>
  <c r="S39" i="51" s="1"/>
  <c r="S37" i="50"/>
  <c r="S37" i="51" s="1"/>
  <c r="S35" i="50"/>
  <c r="S35" i="51" s="1"/>
  <c r="S33" i="50"/>
  <c r="S33" i="51" s="1"/>
  <c r="S31" i="50"/>
  <c r="S31" i="51" s="1"/>
  <c r="S29" i="50"/>
  <c r="S29" i="51" s="1"/>
  <c r="S27" i="50"/>
  <c r="S27" i="51" s="1"/>
  <c r="S25" i="50"/>
  <c r="S25" i="51" s="1"/>
  <c r="S23" i="50"/>
  <c r="S23" i="51" s="1"/>
  <c r="S19" i="50"/>
  <c r="S19" i="51" s="1"/>
  <c r="S17" i="50"/>
  <c r="S17" i="51" s="1"/>
  <c r="S15" i="50"/>
  <c r="S15" i="51" s="1"/>
  <c r="S13" i="50"/>
  <c r="S13" i="51" s="1"/>
  <c r="S11" i="50"/>
  <c r="S9" i="50"/>
  <c r="S9" i="51" s="1"/>
  <c r="S7" i="50"/>
  <c r="S7" i="51" s="1"/>
  <c r="S5" i="50"/>
  <c r="T58" i="51"/>
  <c r="T53" i="50"/>
  <c r="T53" i="51" s="1"/>
  <c r="T51" i="50"/>
  <c r="T49" i="50"/>
  <c r="T47" i="50"/>
  <c r="T47" i="51" s="1"/>
  <c r="T45" i="50"/>
  <c r="T45" i="51" s="1"/>
  <c r="T43" i="50"/>
  <c r="T43" i="51" s="1"/>
  <c r="S40" i="50"/>
  <c r="S40" i="51" s="1"/>
  <c r="S38" i="50"/>
  <c r="S36" i="50"/>
  <c r="S36" i="51" s="1"/>
  <c r="S34" i="50"/>
  <c r="S34" i="51" s="1"/>
  <c r="S32" i="50"/>
  <c r="S32" i="51" s="1"/>
  <c r="S30" i="50"/>
  <c r="S30" i="51" s="1"/>
  <c r="S28" i="50"/>
  <c r="S26" i="50"/>
  <c r="S26" i="51" s="1"/>
  <c r="S24" i="50"/>
  <c r="S24" i="51" s="1"/>
  <c r="S22" i="50"/>
  <c r="S22" i="51" s="1"/>
  <c r="S20" i="50"/>
  <c r="S20" i="51" s="1"/>
  <c r="S18" i="50"/>
  <c r="S18" i="51" s="1"/>
  <c r="S16" i="50"/>
  <c r="S16" i="51" s="1"/>
  <c r="S14" i="50"/>
  <c r="S12" i="50"/>
  <c r="S12" i="51" s="1"/>
  <c r="S10" i="50"/>
  <c r="S10" i="51" s="1"/>
  <c r="S8" i="50"/>
  <c r="S8" i="51" s="1"/>
  <c r="S6" i="50"/>
  <c r="S4" i="50"/>
  <c r="S41" i="50"/>
  <c r="S2" i="50"/>
  <c r="S56" i="51" l="1"/>
  <c r="T60" i="51"/>
  <c r="T48" i="51"/>
  <c r="T55" i="50"/>
  <c r="T3" i="51"/>
  <c r="T3" i="50"/>
  <c r="AD237" i="50" l="1"/>
  <c r="AE274" i="50"/>
  <c r="AE272" i="50"/>
  <c r="AE270" i="50"/>
  <c r="AE268" i="50"/>
  <c r="AE266" i="50"/>
  <c r="AE264" i="50"/>
  <c r="AE262" i="50"/>
  <c r="AE260" i="50"/>
  <c r="AD253" i="50"/>
  <c r="AD251" i="50"/>
  <c r="AD249" i="50"/>
  <c r="AD243" i="50"/>
  <c r="AD242" i="50"/>
  <c r="AD236" i="50"/>
  <c r="AE267" i="50"/>
  <c r="AE259" i="50"/>
  <c r="AD250" i="50"/>
  <c r="AD245" i="50"/>
  <c r="AD244" i="50"/>
  <c r="AD238" i="50"/>
  <c r="AE269" i="50"/>
  <c r="AE261" i="50"/>
  <c r="AE258" i="50"/>
  <c r="AC232" i="50"/>
  <c r="AC230" i="50"/>
  <c r="AC228" i="50"/>
  <c r="AC226" i="50"/>
  <c r="AD247" i="50"/>
  <c r="AD246" i="50"/>
  <c r="AE271" i="50"/>
  <c r="AB211" i="50"/>
  <c r="AB209" i="50"/>
  <c r="AB207" i="50"/>
  <c r="AB205" i="50"/>
  <c r="AB203" i="50"/>
  <c r="AB201" i="50"/>
  <c r="AB199" i="50"/>
  <c r="AB197" i="50"/>
  <c r="AB195" i="50"/>
  <c r="Y148" i="50"/>
  <c r="Y147" i="50"/>
  <c r="Y146" i="50"/>
  <c r="AD248" i="50"/>
  <c r="AE273" i="50"/>
  <c r="AC231" i="50"/>
  <c r="AC227" i="50"/>
  <c r="AC223" i="50"/>
  <c r="AC221" i="50"/>
  <c r="AC219" i="50"/>
  <c r="AC217" i="50"/>
  <c r="AC215" i="50"/>
  <c r="AA190" i="50"/>
  <c r="AB208" i="50"/>
  <c r="AB204" i="50"/>
  <c r="AB200" i="50"/>
  <c r="AB196" i="50"/>
  <c r="Y145" i="50"/>
  <c r="Y143" i="50"/>
  <c r="Y142" i="50"/>
  <c r="Y141" i="50"/>
  <c r="Y140" i="50"/>
  <c r="Y139" i="50"/>
  <c r="Y138" i="50"/>
  <c r="Y137" i="50"/>
  <c r="Y136" i="50"/>
  <c r="Y135" i="50"/>
  <c r="Y134" i="50"/>
  <c r="Y133" i="50"/>
  <c r="Y132" i="50"/>
  <c r="Y131" i="50"/>
  <c r="Z166" i="50"/>
  <c r="Z162" i="50"/>
  <c r="Z158" i="50"/>
  <c r="Z154" i="50"/>
  <c r="AA186" i="50"/>
  <c r="AA181" i="50"/>
  <c r="AA177" i="50"/>
  <c r="AA173" i="50"/>
  <c r="X127" i="50"/>
  <c r="AD252" i="50"/>
  <c r="AD240" i="50"/>
  <c r="AC229" i="50"/>
  <c r="AC222" i="50"/>
  <c r="AC218" i="50"/>
  <c r="Z167" i="50"/>
  <c r="Z163" i="50"/>
  <c r="Z159" i="50"/>
  <c r="Z155" i="50"/>
  <c r="AA189" i="50"/>
  <c r="AA185" i="50"/>
  <c r="AA180" i="50"/>
  <c r="AA176" i="50"/>
  <c r="AE263" i="50"/>
  <c r="AB206" i="50"/>
  <c r="AB198" i="50"/>
  <c r="Y144" i="50"/>
  <c r="Z164" i="50"/>
  <c r="Z156" i="50"/>
  <c r="AA188" i="50"/>
  <c r="AA175" i="50"/>
  <c r="X126" i="50"/>
  <c r="X122" i="50"/>
  <c r="X118" i="50"/>
  <c r="X114" i="50"/>
  <c r="X110" i="50"/>
  <c r="W104" i="50"/>
  <c r="W100" i="50"/>
  <c r="W96" i="50"/>
  <c r="W92" i="50"/>
  <c r="V85" i="50"/>
  <c r="V84" i="50"/>
  <c r="V83" i="50"/>
  <c r="V82" i="50"/>
  <c r="V81" i="50"/>
  <c r="V80" i="50"/>
  <c r="V79" i="50"/>
  <c r="V78" i="50"/>
  <c r="V77" i="50"/>
  <c r="V76" i="50"/>
  <c r="V75" i="50"/>
  <c r="V74" i="50"/>
  <c r="V73" i="50"/>
  <c r="V72" i="50"/>
  <c r="V71" i="50"/>
  <c r="V70" i="50"/>
  <c r="V69" i="50"/>
  <c r="V68" i="50"/>
  <c r="Z160" i="50"/>
  <c r="Z152" i="50"/>
  <c r="AA184" i="50"/>
  <c r="X112" i="50"/>
  <c r="W106" i="50"/>
  <c r="W98" i="50"/>
  <c r="W89" i="50"/>
  <c r="AD241" i="50"/>
  <c r="AC225" i="50"/>
  <c r="AC220" i="50"/>
  <c r="Z165" i="50"/>
  <c r="Z157" i="50"/>
  <c r="AA183" i="50"/>
  <c r="AA178" i="50"/>
  <c r="X125" i="50"/>
  <c r="X121" i="50"/>
  <c r="X117" i="50"/>
  <c r="X113" i="50"/>
  <c r="W103" i="50"/>
  <c r="W99" i="50"/>
  <c r="W95" i="50"/>
  <c r="AD239" i="50"/>
  <c r="AB210" i="50"/>
  <c r="AB202" i="50"/>
  <c r="AB194" i="50"/>
  <c r="Z168" i="50"/>
  <c r="AA179" i="50"/>
  <c r="X124" i="50"/>
  <c r="X120" i="50"/>
  <c r="X116" i="50"/>
  <c r="W102" i="50"/>
  <c r="W94" i="50"/>
  <c r="W91" i="50"/>
  <c r="X123" i="50"/>
  <c r="W97" i="50"/>
  <c r="W101" i="50"/>
  <c r="AE265" i="50"/>
  <c r="Z153" i="50"/>
  <c r="AA182" i="50"/>
  <c r="X119" i="50"/>
  <c r="W93" i="50"/>
  <c r="V67" i="50"/>
  <c r="V66" i="50"/>
  <c r="V65" i="50"/>
  <c r="V64" i="50"/>
  <c r="V63" i="50"/>
  <c r="V62" i="50"/>
  <c r="V61" i="50"/>
  <c r="W90" i="50"/>
  <c r="AC224" i="50"/>
  <c r="Z161" i="50"/>
  <c r="AA187" i="50"/>
  <c r="AA174" i="50"/>
  <c r="X115" i="50"/>
  <c r="W105" i="50"/>
  <c r="AE257" i="50"/>
  <c r="AC216" i="50"/>
  <c r="Z169" i="50"/>
  <c r="X111" i="50"/>
  <c r="V60" i="50"/>
  <c r="V86" i="50"/>
  <c r="U54" i="50"/>
  <c r="U54" i="51" s="1"/>
  <c r="U58" i="50"/>
  <c r="U58" i="51" s="1"/>
  <c r="T56" i="50"/>
  <c r="T21" i="50"/>
  <c r="T2" i="51"/>
  <c r="T41" i="51"/>
  <c r="U53" i="50"/>
  <c r="U53" i="51" s="1"/>
  <c r="U51" i="50"/>
  <c r="U49" i="50"/>
  <c r="U47" i="50"/>
  <c r="U47" i="51" s="1"/>
  <c r="U45" i="50"/>
  <c r="U45" i="51" s="1"/>
  <c r="U43" i="50"/>
  <c r="U43" i="51" s="1"/>
  <c r="T40" i="50"/>
  <c r="T40" i="51" s="1"/>
  <c r="T38" i="50"/>
  <c r="T36" i="50"/>
  <c r="T36" i="51" s="1"/>
  <c r="T34" i="50"/>
  <c r="T34" i="51" s="1"/>
  <c r="T32" i="50"/>
  <c r="T32" i="51" s="1"/>
  <c r="T30" i="50"/>
  <c r="T30" i="51" s="1"/>
  <c r="T28" i="50"/>
  <c r="T26" i="50"/>
  <c r="T26" i="51" s="1"/>
  <c r="T24" i="50"/>
  <c r="T24" i="51" s="1"/>
  <c r="T22" i="50"/>
  <c r="T22" i="51" s="1"/>
  <c r="T20" i="50"/>
  <c r="T20" i="51" s="1"/>
  <c r="T18" i="50"/>
  <c r="T18" i="51" s="1"/>
  <c r="T16" i="50"/>
  <c r="T16" i="51" s="1"/>
  <c r="T14" i="50"/>
  <c r="T14" i="51" s="1"/>
  <c r="T12" i="50"/>
  <c r="T12" i="51" s="1"/>
  <c r="T10" i="50"/>
  <c r="T10" i="51" s="1"/>
  <c r="T8" i="50"/>
  <c r="T8" i="51" s="1"/>
  <c r="T6" i="50"/>
  <c r="T4" i="50"/>
  <c r="U57" i="50"/>
  <c r="U57" i="51" s="1"/>
  <c r="U52" i="50"/>
  <c r="U52" i="51" s="1"/>
  <c r="U50" i="50"/>
  <c r="U48" i="50"/>
  <c r="U46" i="50"/>
  <c r="U46" i="51" s="1"/>
  <c r="U44" i="50"/>
  <c r="U44" i="51" s="1"/>
  <c r="U42" i="50"/>
  <c r="T39" i="50"/>
  <c r="T39" i="51" s="1"/>
  <c r="T37" i="50"/>
  <c r="T37" i="51" s="1"/>
  <c r="T35" i="50"/>
  <c r="T35" i="51" s="1"/>
  <c r="T33" i="50"/>
  <c r="T33" i="51" s="1"/>
  <c r="T31" i="50"/>
  <c r="T31" i="51" s="1"/>
  <c r="T29" i="50"/>
  <c r="T29" i="51" s="1"/>
  <c r="T27" i="50"/>
  <c r="T27" i="51" s="1"/>
  <c r="T25" i="50"/>
  <c r="T25" i="51" s="1"/>
  <c r="T23" i="50"/>
  <c r="T23" i="51" s="1"/>
  <c r="T19" i="50"/>
  <c r="T19" i="51" s="1"/>
  <c r="T17" i="50"/>
  <c r="T17" i="51" s="1"/>
  <c r="T15" i="50"/>
  <c r="T15" i="51" s="1"/>
  <c r="T13" i="50"/>
  <c r="T13" i="51" s="1"/>
  <c r="T11" i="50"/>
  <c r="T9" i="50"/>
  <c r="T9" i="51" s="1"/>
  <c r="T7" i="50"/>
  <c r="T7" i="51" s="1"/>
  <c r="T5" i="50"/>
  <c r="T2" i="50"/>
  <c r="T41" i="50"/>
  <c r="T56" i="51" l="1"/>
  <c r="U60" i="51"/>
  <c r="U48" i="51"/>
  <c r="U55" i="50"/>
  <c r="U56" i="50" s="1"/>
  <c r="V60" i="51" s="1"/>
  <c r="U3" i="51"/>
  <c r="U3" i="50"/>
  <c r="AE253" i="50" l="1"/>
  <c r="AE251" i="50"/>
  <c r="AE249" i="50"/>
  <c r="AE247" i="50"/>
  <c r="AE245" i="50"/>
  <c r="AE243" i="50"/>
  <c r="AE241" i="50"/>
  <c r="AE239" i="50"/>
  <c r="AE250" i="50"/>
  <c r="AE244" i="50"/>
  <c r="AE238" i="50"/>
  <c r="AE237" i="50"/>
  <c r="AF269" i="50"/>
  <c r="AF268" i="50"/>
  <c r="AF261" i="50"/>
  <c r="AF260" i="50"/>
  <c r="AF258" i="50"/>
  <c r="AD232" i="50"/>
  <c r="AD230" i="50"/>
  <c r="AD228" i="50"/>
  <c r="AD226" i="50"/>
  <c r="AE246" i="50"/>
  <c r="AF271" i="50"/>
  <c r="AF270" i="50"/>
  <c r="AF263" i="50"/>
  <c r="AF262" i="50"/>
  <c r="AE248" i="50"/>
  <c r="AF273" i="50"/>
  <c r="AF272" i="50"/>
  <c r="AD231" i="50"/>
  <c r="AD227" i="50"/>
  <c r="AD223" i="50"/>
  <c r="AD221" i="50"/>
  <c r="AD219" i="50"/>
  <c r="AD217" i="50"/>
  <c r="AD215" i="50"/>
  <c r="AB190" i="50"/>
  <c r="AB189" i="50"/>
  <c r="AB188" i="50"/>
  <c r="AB187" i="50"/>
  <c r="AB186" i="50"/>
  <c r="AB185" i="50"/>
  <c r="AB184" i="50"/>
  <c r="AB183" i="50"/>
  <c r="AB182" i="50"/>
  <c r="AB181" i="50"/>
  <c r="AB180" i="50"/>
  <c r="AB179" i="50"/>
  <c r="AB178" i="50"/>
  <c r="AB177" i="50"/>
  <c r="AB176" i="50"/>
  <c r="AB175" i="50"/>
  <c r="AB174" i="50"/>
  <c r="AB173" i="50"/>
  <c r="AE236" i="50"/>
  <c r="AF274" i="50"/>
  <c r="AF259" i="50"/>
  <c r="AC210" i="50"/>
  <c r="AC208" i="50"/>
  <c r="AC206" i="50"/>
  <c r="AC204" i="50"/>
  <c r="AC202" i="50"/>
  <c r="AC200" i="50"/>
  <c r="AC198" i="50"/>
  <c r="AC196" i="50"/>
  <c r="AC194" i="50"/>
  <c r="AE252" i="50"/>
  <c r="AE240" i="50"/>
  <c r="AF264" i="50"/>
  <c r="AD229" i="50"/>
  <c r="AD222" i="50"/>
  <c r="AD218" i="50"/>
  <c r="AA167" i="50"/>
  <c r="AA163" i="50"/>
  <c r="AA159" i="50"/>
  <c r="AA155" i="50"/>
  <c r="AE242" i="50"/>
  <c r="AF266" i="50"/>
  <c r="AC211" i="50"/>
  <c r="AC207" i="50"/>
  <c r="AC203" i="50"/>
  <c r="AC199" i="50"/>
  <c r="AC195" i="50"/>
  <c r="Z144" i="50"/>
  <c r="AA168" i="50"/>
  <c r="AA164" i="50"/>
  <c r="AA160" i="50"/>
  <c r="AA156" i="50"/>
  <c r="AA152" i="50"/>
  <c r="AD225" i="50"/>
  <c r="AD220" i="50"/>
  <c r="AA165" i="50"/>
  <c r="AA157" i="50"/>
  <c r="Y125" i="50"/>
  <c r="Y121" i="50"/>
  <c r="Y117" i="50"/>
  <c r="Y113" i="50"/>
  <c r="X103" i="50"/>
  <c r="X99" i="50"/>
  <c r="X95" i="50"/>
  <c r="AA169" i="50"/>
  <c r="X105" i="50"/>
  <c r="AF267" i="50"/>
  <c r="AC209" i="50"/>
  <c r="AC201" i="50"/>
  <c r="Z147" i="50"/>
  <c r="Z145" i="50"/>
  <c r="AA166" i="50"/>
  <c r="AA158" i="50"/>
  <c r="Y127" i="50"/>
  <c r="Y124" i="50"/>
  <c r="Y120" i="50"/>
  <c r="Y116" i="50"/>
  <c r="Y112" i="50"/>
  <c r="X106" i="50"/>
  <c r="X102" i="50"/>
  <c r="X98" i="50"/>
  <c r="X94" i="50"/>
  <c r="X91" i="50"/>
  <c r="X89" i="50"/>
  <c r="AF265" i="50"/>
  <c r="AF257" i="50"/>
  <c r="AD224" i="50"/>
  <c r="AD216" i="50"/>
  <c r="AA161" i="50"/>
  <c r="AA153" i="50"/>
  <c r="Y123" i="50"/>
  <c r="Y119" i="50"/>
  <c r="Y115" i="50"/>
  <c r="Y111" i="50"/>
  <c r="X101" i="50"/>
  <c r="X97" i="50"/>
  <c r="X93" i="50"/>
  <c r="AC205" i="50"/>
  <c r="Z146" i="50"/>
  <c r="Z141" i="50"/>
  <c r="Z137" i="50"/>
  <c r="Z133" i="50"/>
  <c r="AA154" i="50"/>
  <c r="Y114" i="50"/>
  <c r="X104" i="50"/>
  <c r="W67" i="50"/>
  <c r="W66" i="50"/>
  <c r="W65" i="50"/>
  <c r="W64" i="50"/>
  <c r="W63" i="50"/>
  <c r="W62" i="50"/>
  <c r="W61" i="50"/>
  <c r="X90" i="50"/>
  <c r="Y118" i="50"/>
  <c r="X92" i="50"/>
  <c r="W85" i="50"/>
  <c r="W83" i="50"/>
  <c r="W79" i="50"/>
  <c r="AC197" i="50"/>
  <c r="Z140" i="50"/>
  <c r="Z136" i="50"/>
  <c r="Z132" i="50"/>
  <c r="AA162" i="50"/>
  <c r="Y126" i="50"/>
  <c r="Y110" i="50"/>
  <c r="X100" i="50"/>
  <c r="W84" i="50"/>
  <c r="W82" i="50"/>
  <c r="W80" i="50"/>
  <c r="W78" i="50"/>
  <c r="W77" i="50"/>
  <c r="W76" i="50"/>
  <c r="W75" i="50"/>
  <c r="W74" i="50"/>
  <c r="W73" i="50"/>
  <c r="W72" i="50"/>
  <c r="W71" i="50"/>
  <c r="W70" i="50"/>
  <c r="W69" i="50"/>
  <c r="W68" i="50"/>
  <c r="Z143" i="50"/>
  <c r="Z139" i="50"/>
  <c r="Z135" i="50"/>
  <c r="Z131" i="50"/>
  <c r="Y122" i="50"/>
  <c r="X96" i="50"/>
  <c r="Z148" i="50"/>
  <c r="Z142" i="50"/>
  <c r="Z138" i="50"/>
  <c r="Z134" i="50"/>
  <c r="W81" i="50"/>
  <c r="W60" i="50"/>
  <c r="W86" i="50"/>
  <c r="V58" i="50"/>
  <c r="V54" i="50"/>
  <c r="V54" i="51" s="1"/>
  <c r="U56" i="51"/>
  <c r="U21" i="50"/>
  <c r="V58" i="51"/>
  <c r="V53" i="50"/>
  <c r="V53" i="51" s="1"/>
  <c r="V51" i="50"/>
  <c r="V49" i="50"/>
  <c r="V47" i="50"/>
  <c r="V47" i="51" s="1"/>
  <c r="V45" i="50"/>
  <c r="V45" i="51" s="1"/>
  <c r="V43" i="50"/>
  <c r="V43" i="51" s="1"/>
  <c r="U40" i="50"/>
  <c r="U40" i="51" s="1"/>
  <c r="U38" i="50"/>
  <c r="U36" i="50"/>
  <c r="U36" i="51" s="1"/>
  <c r="U34" i="50"/>
  <c r="U34" i="51" s="1"/>
  <c r="U32" i="50"/>
  <c r="U32" i="51" s="1"/>
  <c r="U30" i="50"/>
  <c r="U30" i="51" s="1"/>
  <c r="U28" i="50"/>
  <c r="U26" i="50"/>
  <c r="U26" i="51" s="1"/>
  <c r="U24" i="50"/>
  <c r="U24" i="51" s="1"/>
  <c r="U22" i="50"/>
  <c r="U22" i="51" s="1"/>
  <c r="U20" i="50"/>
  <c r="U20" i="51" s="1"/>
  <c r="U18" i="50"/>
  <c r="U18" i="51" s="1"/>
  <c r="U16" i="50"/>
  <c r="U16" i="51" s="1"/>
  <c r="U14" i="50"/>
  <c r="U14" i="51" s="1"/>
  <c r="U12" i="50"/>
  <c r="U12" i="51" s="1"/>
  <c r="U10" i="50"/>
  <c r="U10" i="51" s="1"/>
  <c r="U8" i="50"/>
  <c r="U8" i="51" s="1"/>
  <c r="U6" i="50"/>
  <c r="U4" i="50"/>
  <c r="V57" i="50"/>
  <c r="V57" i="51" s="1"/>
  <c r="V52" i="50"/>
  <c r="V52" i="51" s="1"/>
  <c r="V50" i="50"/>
  <c r="V48" i="50"/>
  <c r="V46" i="50"/>
  <c r="V46" i="51" s="1"/>
  <c r="V44" i="50"/>
  <c r="V44" i="51" s="1"/>
  <c r="V42" i="50"/>
  <c r="U39" i="50"/>
  <c r="U39" i="51" s="1"/>
  <c r="U37" i="50"/>
  <c r="U37" i="51" s="1"/>
  <c r="U35" i="50"/>
  <c r="U35" i="51" s="1"/>
  <c r="U33" i="50"/>
  <c r="U33" i="51" s="1"/>
  <c r="U31" i="50"/>
  <c r="U31" i="51" s="1"/>
  <c r="U29" i="50"/>
  <c r="U29" i="51" s="1"/>
  <c r="U27" i="50"/>
  <c r="U27" i="51" s="1"/>
  <c r="U25" i="50"/>
  <c r="U25" i="51" s="1"/>
  <c r="U23" i="50"/>
  <c r="U23" i="51" s="1"/>
  <c r="U19" i="50"/>
  <c r="U19" i="51" s="1"/>
  <c r="U17" i="50"/>
  <c r="U17" i="51" s="1"/>
  <c r="U15" i="50"/>
  <c r="U15" i="51" s="1"/>
  <c r="U13" i="50"/>
  <c r="U13" i="51" s="1"/>
  <c r="U11" i="50"/>
  <c r="U9" i="50"/>
  <c r="U9" i="51" s="1"/>
  <c r="U7" i="50"/>
  <c r="U7" i="51" s="1"/>
  <c r="U5" i="50"/>
  <c r="U41" i="51"/>
  <c r="U2" i="51"/>
  <c r="U2" i="50"/>
  <c r="U41" i="50"/>
  <c r="V48" i="51" l="1"/>
  <c r="V55" i="50"/>
  <c r="V56" i="50" s="1"/>
  <c r="W60" i="51" s="1"/>
  <c r="V3" i="51"/>
  <c r="V3" i="50"/>
  <c r="AF238" i="50" l="1"/>
  <c r="AF236" i="50"/>
  <c r="AG273" i="50"/>
  <c r="AG271" i="50"/>
  <c r="AG269" i="50"/>
  <c r="AG267" i="50"/>
  <c r="AG265" i="50"/>
  <c r="AG263" i="50"/>
  <c r="AG261" i="50"/>
  <c r="AG259" i="50"/>
  <c r="AF252" i="50"/>
  <c r="AF250" i="50"/>
  <c r="AF248" i="50"/>
  <c r="AF246" i="50"/>
  <c r="AF245" i="50"/>
  <c r="AG270" i="50"/>
  <c r="AG262" i="50"/>
  <c r="AF253" i="50"/>
  <c r="AF249" i="50"/>
  <c r="AF247" i="50"/>
  <c r="AF240" i="50"/>
  <c r="AF239" i="50"/>
  <c r="AG272" i="50"/>
  <c r="AG264" i="50"/>
  <c r="AG257" i="50"/>
  <c r="AE231" i="50"/>
  <c r="AE229" i="50"/>
  <c r="AE227" i="50"/>
  <c r="AE225" i="50"/>
  <c r="AG274" i="50"/>
  <c r="AD210" i="50"/>
  <c r="AD208" i="50"/>
  <c r="AD206" i="50"/>
  <c r="AD204" i="50"/>
  <c r="AD202" i="50"/>
  <c r="AD200" i="50"/>
  <c r="AD198" i="50"/>
  <c r="AD196" i="50"/>
  <c r="AD194" i="50"/>
  <c r="AB168" i="50"/>
  <c r="AB164" i="50"/>
  <c r="AB160" i="50"/>
  <c r="AB156" i="50"/>
  <c r="AB152" i="50"/>
  <c r="AF251" i="50"/>
  <c r="AF237" i="50"/>
  <c r="AG260" i="50"/>
  <c r="AG258" i="50"/>
  <c r="AE230" i="50"/>
  <c r="AE226" i="50"/>
  <c r="AE224" i="50"/>
  <c r="AE222" i="50"/>
  <c r="AE220" i="50"/>
  <c r="AE218" i="50"/>
  <c r="AE216" i="50"/>
  <c r="AB167" i="50"/>
  <c r="AB163" i="50"/>
  <c r="AB159" i="50"/>
  <c r="AB155" i="50"/>
  <c r="AF242" i="50"/>
  <c r="AG266" i="50"/>
  <c r="AD211" i="50"/>
  <c r="AD207" i="50"/>
  <c r="AD203" i="50"/>
  <c r="AD199" i="50"/>
  <c r="AD195" i="50"/>
  <c r="AB166" i="50"/>
  <c r="AB158" i="50"/>
  <c r="AA144" i="50"/>
  <c r="AF244" i="50"/>
  <c r="AG268" i="50"/>
  <c r="AE232" i="50"/>
  <c r="AE221" i="50"/>
  <c r="AE217" i="50"/>
  <c r="AC189" i="50"/>
  <c r="AC187" i="50"/>
  <c r="AC185" i="50"/>
  <c r="AC183" i="50"/>
  <c r="AC181" i="50"/>
  <c r="AC179" i="50"/>
  <c r="AC177" i="50"/>
  <c r="AC175" i="50"/>
  <c r="AC173" i="50"/>
  <c r="AB165" i="50"/>
  <c r="AB157" i="50"/>
  <c r="AF241" i="50"/>
  <c r="AD209" i="50"/>
  <c r="AD201" i="50"/>
  <c r="AB162" i="50"/>
  <c r="AA147" i="50"/>
  <c r="AA145" i="50"/>
  <c r="Z127" i="50"/>
  <c r="Z124" i="50"/>
  <c r="Z120" i="50"/>
  <c r="Z116" i="50"/>
  <c r="Z112" i="50"/>
  <c r="Y106" i="50"/>
  <c r="Y102" i="50"/>
  <c r="Y98" i="50"/>
  <c r="Y94" i="50"/>
  <c r="Y91" i="50"/>
  <c r="Y89" i="50"/>
  <c r="AD197" i="50"/>
  <c r="AB154" i="50"/>
  <c r="AA148" i="50"/>
  <c r="AA141" i="50"/>
  <c r="AA139" i="50"/>
  <c r="AA137" i="50"/>
  <c r="AA135" i="50"/>
  <c r="AA132" i="50"/>
  <c r="Z114" i="50"/>
  <c r="Y104" i="50"/>
  <c r="Y100" i="50"/>
  <c r="X85" i="50"/>
  <c r="X80" i="50"/>
  <c r="X79" i="50"/>
  <c r="X78" i="50"/>
  <c r="AE228" i="50"/>
  <c r="AE223" i="50"/>
  <c r="AE215" i="50"/>
  <c r="AC190" i="50"/>
  <c r="AC186" i="50"/>
  <c r="AC182" i="50"/>
  <c r="AC178" i="50"/>
  <c r="AC174" i="50"/>
  <c r="AB161" i="50"/>
  <c r="Z123" i="50"/>
  <c r="Z119" i="50"/>
  <c r="Z115" i="50"/>
  <c r="Z111" i="50"/>
  <c r="Y105" i="50"/>
  <c r="Y101" i="50"/>
  <c r="Y97" i="50"/>
  <c r="Y93" i="50"/>
  <c r="X67" i="50"/>
  <c r="X66" i="50"/>
  <c r="X65" i="50"/>
  <c r="X64" i="50"/>
  <c r="X63" i="50"/>
  <c r="X62" i="50"/>
  <c r="X61" i="50"/>
  <c r="Y90" i="50"/>
  <c r="AD205" i="50"/>
  <c r="AA146" i="50"/>
  <c r="AA143" i="50"/>
  <c r="AA142" i="50"/>
  <c r="AA140" i="50"/>
  <c r="AA138" i="50"/>
  <c r="AA136" i="50"/>
  <c r="AA134" i="50"/>
  <c r="AA133" i="50"/>
  <c r="AA131" i="50"/>
  <c r="Z126" i="50"/>
  <c r="Z122" i="50"/>
  <c r="Z118" i="50"/>
  <c r="Z110" i="50"/>
  <c r="Y96" i="50"/>
  <c r="Y92" i="50"/>
  <c r="X84" i="50"/>
  <c r="X83" i="50"/>
  <c r="X82" i="50"/>
  <c r="X81" i="50"/>
  <c r="AC176" i="50"/>
  <c r="Z121" i="50"/>
  <c r="Y95" i="50"/>
  <c r="X77" i="50"/>
  <c r="X76" i="50"/>
  <c r="X75" i="50"/>
  <c r="X74" i="50"/>
  <c r="X73" i="50"/>
  <c r="X72" i="50"/>
  <c r="X71" i="50"/>
  <c r="X70" i="50"/>
  <c r="X69" i="50"/>
  <c r="X68" i="50"/>
  <c r="AF243" i="50"/>
  <c r="AE219" i="50"/>
  <c r="AC188" i="50"/>
  <c r="Z117" i="50"/>
  <c r="AC184" i="50"/>
  <c r="AB169" i="50"/>
  <c r="Z113" i="50"/>
  <c r="Y103" i="50"/>
  <c r="AC180" i="50"/>
  <c r="AB153" i="50"/>
  <c r="Z125" i="50"/>
  <c r="Y99" i="50"/>
  <c r="X86" i="50"/>
  <c r="X60" i="50"/>
  <c r="W58" i="50"/>
  <c r="W54" i="50"/>
  <c r="W54" i="51" s="1"/>
  <c r="V56" i="51"/>
  <c r="V21" i="50"/>
  <c r="W57" i="50"/>
  <c r="W57" i="51" s="1"/>
  <c r="W52" i="50"/>
  <c r="W52" i="51" s="1"/>
  <c r="W50" i="50"/>
  <c r="W48" i="50"/>
  <c r="W46" i="50"/>
  <c r="W46" i="51" s="1"/>
  <c r="W44" i="50"/>
  <c r="W44" i="51" s="1"/>
  <c r="W42" i="50"/>
  <c r="V39" i="50"/>
  <c r="V39" i="51" s="1"/>
  <c r="V37" i="50"/>
  <c r="V37" i="51" s="1"/>
  <c r="V35" i="50"/>
  <c r="V35" i="51" s="1"/>
  <c r="V33" i="50"/>
  <c r="V33" i="51" s="1"/>
  <c r="V31" i="50"/>
  <c r="V31" i="51" s="1"/>
  <c r="V29" i="50"/>
  <c r="V29" i="51" s="1"/>
  <c r="V27" i="50"/>
  <c r="V27" i="51" s="1"/>
  <c r="V25" i="50"/>
  <c r="V25" i="51" s="1"/>
  <c r="V23" i="50"/>
  <c r="V23" i="51" s="1"/>
  <c r="V19" i="50"/>
  <c r="V19" i="51" s="1"/>
  <c r="V17" i="50"/>
  <c r="V17" i="51" s="1"/>
  <c r="V15" i="50"/>
  <c r="V15" i="51" s="1"/>
  <c r="V13" i="50"/>
  <c r="V13" i="51" s="1"/>
  <c r="V11" i="50"/>
  <c r="V9" i="50"/>
  <c r="V9" i="51" s="1"/>
  <c r="V7" i="50"/>
  <c r="V7" i="51" s="1"/>
  <c r="V5" i="50"/>
  <c r="W58" i="51"/>
  <c r="W53" i="50"/>
  <c r="W53" i="51" s="1"/>
  <c r="W51" i="50"/>
  <c r="W49" i="50"/>
  <c r="W47" i="50"/>
  <c r="W47" i="51" s="1"/>
  <c r="W45" i="50"/>
  <c r="W45" i="51" s="1"/>
  <c r="W43" i="50"/>
  <c r="W43" i="51" s="1"/>
  <c r="V40" i="50"/>
  <c r="V40" i="51" s="1"/>
  <c r="V38" i="50"/>
  <c r="V36" i="50"/>
  <c r="V36" i="51" s="1"/>
  <c r="V34" i="50"/>
  <c r="V34" i="51" s="1"/>
  <c r="V32" i="50"/>
  <c r="V32" i="51" s="1"/>
  <c r="V30" i="50"/>
  <c r="V30" i="51" s="1"/>
  <c r="V28" i="50"/>
  <c r="V26" i="50"/>
  <c r="V26" i="51" s="1"/>
  <c r="V24" i="50"/>
  <c r="V24" i="51" s="1"/>
  <c r="V22" i="50"/>
  <c r="V22" i="51" s="1"/>
  <c r="V20" i="50"/>
  <c r="V20" i="51" s="1"/>
  <c r="V18" i="50"/>
  <c r="V18" i="51" s="1"/>
  <c r="V16" i="50"/>
  <c r="V16" i="51" s="1"/>
  <c r="V14" i="50"/>
  <c r="V14" i="51" s="1"/>
  <c r="V12" i="50"/>
  <c r="V12" i="51" s="1"/>
  <c r="V10" i="50"/>
  <c r="V10" i="51" s="1"/>
  <c r="V8" i="50"/>
  <c r="V8" i="51" s="1"/>
  <c r="V6" i="50"/>
  <c r="V4" i="50"/>
  <c r="V2" i="51"/>
  <c r="V41" i="51"/>
  <c r="V2" i="50"/>
  <c r="V41" i="50"/>
  <c r="W48" i="51" l="1"/>
  <c r="W55" i="50"/>
  <c r="W56" i="50" s="1"/>
  <c r="X60" i="51" s="1"/>
  <c r="W3" i="51"/>
  <c r="W3" i="50"/>
  <c r="AG252" i="50" l="1"/>
  <c r="AG250" i="50"/>
  <c r="AG248" i="50"/>
  <c r="AG246" i="50"/>
  <c r="AG244" i="50"/>
  <c r="AG242" i="50"/>
  <c r="AG240" i="50"/>
  <c r="AG253" i="50"/>
  <c r="AG249" i="50"/>
  <c r="AG247" i="50"/>
  <c r="AG239" i="50"/>
  <c r="AH272" i="50"/>
  <c r="AH271" i="50"/>
  <c r="AH264" i="50"/>
  <c r="AH263" i="50"/>
  <c r="AH257" i="50"/>
  <c r="AF231" i="50"/>
  <c r="AF229" i="50"/>
  <c r="AF227" i="50"/>
  <c r="AF225" i="50"/>
  <c r="AG241" i="50"/>
  <c r="AH274" i="50"/>
  <c r="AH273" i="50"/>
  <c r="AH266" i="50"/>
  <c r="AH265" i="50"/>
  <c r="AG251" i="50"/>
  <c r="AG237" i="50"/>
  <c r="AG236" i="50"/>
  <c r="AH260" i="50"/>
  <c r="AH259" i="50"/>
  <c r="AH258" i="50"/>
  <c r="AF230" i="50"/>
  <c r="AF226" i="50"/>
  <c r="AF224" i="50"/>
  <c r="AF222" i="50"/>
  <c r="AF220" i="50"/>
  <c r="AF218" i="50"/>
  <c r="AF216" i="50"/>
  <c r="AB147" i="50"/>
  <c r="AB143" i="50"/>
  <c r="AB139" i="50"/>
  <c r="AB135" i="50"/>
  <c r="AB131" i="50"/>
  <c r="AC166" i="50"/>
  <c r="AC162" i="50"/>
  <c r="AC158" i="50"/>
  <c r="AC154" i="50"/>
  <c r="AG238" i="50"/>
  <c r="AH262" i="50"/>
  <c r="AH261" i="50"/>
  <c r="AE211" i="50"/>
  <c r="AE209" i="50"/>
  <c r="AE207" i="50"/>
  <c r="AE205" i="50"/>
  <c r="AE203" i="50"/>
  <c r="AE201" i="50"/>
  <c r="AE199" i="50"/>
  <c r="AE197" i="50"/>
  <c r="AE195" i="50"/>
  <c r="AB146" i="50"/>
  <c r="AB142" i="50"/>
  <c r="AB138" i="50"/>
  <c r="AB134" i="50"/>
  <c r="AC169" i="50"/>
  <c r="AC165" i="50"/>
  <c r="AC161" i="50"/>
  <c r="AC157" i="50"/>
  <c r="AC153" i="50"/>
  <c r="AH268" i="50"/>
  <c r="AF232" i="50"/>
  <c r="AF221" i="50"/>
  <c r="AF217" i="50"/>
  <c r="AB141" i="50"/>
  <c r="AB133" i="50"/>
  <c r="AD189" i="50"/>
  <c r="AD187" i="50"/>
  <c r="AD185" i="50"/>
  <c r="AD183" i="50"/>
  <c r="AD181" i="50"/>
  <c r="AD179" i="50"/>
  <c r="AD177" i="50"/>
  <c r="AD175" i="50"/>
  <c r="AD173" i="50"/>
  <c r="AC168" i="50"/>
  <c r="AC160" i="50"/>
  <c r="AC152" i="50"/>
  <c r="AH270" i="50"/>
  <c r="AE210" i="50"/>
  <c r="AE206" i="50"/>
  <c r="AE202" i="50"/>
  <c r="AE198" i="50"/>
  <c r="AE194" i="50"/>
  <c r="AB148" i="50"/>
  <c r="AB140" i="50"/>
  <c r="AB132" i="50"/>
  <c r="AC167" i="50"/>
  <c r="AC159" i="50"/>
  <c r="AA127" i="50"/>
  <c r="AH267" i="50"/>
  <c r="AF228" i="50"/>
  <c r="AF223" i="50"/>
  <c r="AF215" i="50"/>
  <c r="AB145" i="50"/>
  <c r="AD190" i="50"/>
  <c r="AD186" i="50"/>
  <c r="AD182" i="50"/>
  <c r="AD178" i="50"/>
  <c r="AD174" i="50"/>
  <c r="AC164" i="50"/>
  <c r="AA123" i="50"/>
  <c r="AA119" i="50"/>
  <c r="AA115" i="50"/>
  <c r="AA111" i="50"/>
  <c r="Z105" i="50"/>
  <c r="Z101" i="50"/>
  <c r="Z97" i="50"/>
  <c r="Z93" i="50"/>
  <c r="Y67" i="50"/>
  <c r="Y66" i="50"/>
  <c r="Y65" i="50"/>
  <c r="Y64" i="50"/>
  <c r="Y63" i="50"/>
  <c r="Y62" i="50"/>
  <c r="Y61" i="50"/>
  <c r="Z90" i="50"/>
  <c r="AG243" i="50"/>
  <c r="AB137" i="50"/>
  <c r="AD184" i="50"/>
  <c r="AD176" i="50"/>
  <c r="AA117" i="50"/>
  <c r="Z103" i="50"/>
  <c r="Z99" i="50"/>
  <c r="AG245" i="50"/>
  <c r="AE204" i="50"/>
  <c r="AE196" i="50"/>
  <c r="AB144" i="50"/>
  <c r="AC163" i="50"/>
  <c r="AA126" i="50"/>
  <c r="AA122" i="50"/>
  <c r="AA118" i="50"/>
  <c r="AA114" i="50"/>
  <c r="AA110" i="50"/>
  <c r="Z104" i="50"/>
  <c r="Z100" i="50"/>
  <c r="Z96" i="50"/>
  <c r="Z92" i="50"/>
  <c r="Y85" i="50"/>
  <c r="Y84" i="50"/>
  <c r="Y83" i="50"/>
  <c r="Y82" i="50"/>
  <c r="Y81" i="50"/>
  <c r="Y80" i="50"/>
  <c r="Y79" i="50"/>
  <c r="Y78" i="50"/>
  <c r="Y77" i="50"/>
  <c r="Y76" i="50"/>
  <c r="Y75" i="50"/>
  <c r="Y74" i="50"/>
  <c r="Y73" i="50"/>
  <c r="Y72" i="50"/>
  <c r="Y71" i="50"/>
  <c r="Y70" i="50"/>
  <c r="Y69" i="50"/>
  <c r="Y68" i="50"/>
  <c r="AF219" i="50"/>
  <c r="AD188" i="50"/>
  <c r="AD180" i="50"/>
  <c r="AC156" i="50"/>
  <c r="AA125" i="50"/>
  <c r="AA121" i="50"/>
  <c r="AA113" i="50"/>
  <c r="Z95" i="50"/>
  <c r="AH269" i="50"/>
  <c r="AB136" i="50"/>
  <c r="AC155" i="50"/>
  <c r="AA112" i="50"/>
  <c r="Z102" i="50"/>
  <c r="Z89" i="50"/>
  <c r="Z106" i="50"/>
  <c r="AA124" i="50"/>
  <c r="Z98" i="50"/>
  <c r="Z91" i="50"/>
  <c r="AE208" i="50"/>
  <c r="AA120" i="50"/>
  <c r="Z94" i="50"/>
  <c r="AE200" i="50"/>
  <c r="AA116" i="50"/>
  <c r="Y60" i="50"/>
  <c r="Y86" i="50"/>
  <c r="X54" i="50"/>
  <c r="X54" i="51" s="1"/>
  <c r="X58" i="50"/>
  <c r="W56" i="51"/>
  <c r="W21" i="50"/>
  <c r="X57" i="50"/>
  <c r="X57" i="51" s="1"/>
  <c r="X52" i="50"/>
  <c r="X52" i="51" s="1"/>
  <c r="X50" i="50"/>
  <c r="X48" i="50"/>
  <c r="X46" i="50"/>
  <c r="X46" i="51" s="1"/>
  <c r="X44" i="50"/>
  <c r="X44" i="51" s="1"/>
  <c r="X42" i="50"/>
  <c r="W39" i="50"/>
  <c r="W39" i="51" s="1"/>
  <c r="W37" i="50"/>
  <c r="W37" i="51" s="1"/>
  <c r="W35" i="50"/>
  <c r="W35" i="51" s="1"/>
  <c r="W33" i="50"/>
  <c r="W33" i="51" s="1"/>
  <c r="W31" i="50"/>
  <c r="W31" i="51" s="1"/>
  <c r="W29" i="50"/>
  <c r="W29" i="51" s="1"/>
  <c r="W27" i="50"/>
  <c r="W27" i="51" s="1"/>
  <c r="W25" i="50"/>
  <c r="W25" i="51" s="1"/>
  <c r="W23" i="50"/>
  <c r="W23" i="51" s="1"/>
  <c r="W19" i="50"/>
  <c r="W19" i="51" s="1"/>
  <c r="W17" i="50"/>
  <c r="W17" i="51" s="1"/>
  <c r="W15" i="50"/>
  <c r="W15" i="51" s="1"/>
  <c r="W13" i="50"/>
  <c r="W13" i="51" s="1"/>
  <c r="W11" i="50"/>
  <c r="W9" i="50"/>
  <c r="W9" i="51" s="1"/>
  <c r="W7" i="50"/>
  <c r="W7" i="51" s="1"/>
  <c r="W5" i="50"/>
  <c r="X58" i="51"/>
  <c r="X53" i="50"/>
  <c r="X53" i="51" s="1"/>
  <c r="X51" i="50"/>
  <c r="X49" i="50"/>
  <c r="X47" i="50"/>
  <c r="X47" i="51" s="1"/>
  <c r="X45" i="50"/>
  <c r="X45" i="51" s="1"/>
  <c r="X43" i="50"/>
  <c r="X43" i="51" s="1"/>
  <c r="W40" i="50"/>
  <c r="W40" i="51" s="1"/>
  <c r="W38" i="50"/>
  <c r="W36" i="50"/>
  <c r="W36" i="51" s="1"/>
  <c r="W34" i="50"/>
  <c r="W34" i="51" s="1"/>
  <c r="W32" i="50"/>
  <c r="W32" i="51" s="1"/>
  <c r="W30" i="50"/>
  <c r="W30" i="51" s="1"/>
  <c r="W28" i="50"/>
  <c r="W26" i="50"/>
  <c r="W26" i="51" s="1"/>
  <c r="W24" i="50"/>
  <c r="W24" i="51" s="1"/>
  <c r="W22" i="50"/>
  <c r="W22" i="51" s="1"/>
  <c r="W20" i="50"/>
  <c r="W20" i="51" s="1"/>
  <c r="W18" i="50"/>
  <c r="W18" i="51" s="1"/>
  <c r="W16" i="50"/>
  <c r="W16" i="51" s="1"/>
  <c r="W14" i="50"/>
  <c r="W12" i="50"/>
  <c r="W12" i="51" s="1"/>
  <c r="W10" i="50"/>
  <c r="W10" i="51" s="1"/>
  <c r="W8" i="50"/>
  <c r="W8" i="51" s="1"/>
  <c r="W6" i="50"/>
  <c r="W4" i="50"/>
  <c r="W2" i="51"/>
  <c r="X3" i="51" s="1"/>
  <c r="W41" i="51"/>
  <c r="W41" i="50"/>
  <c r="W2" i="50"/>
  <c r="X3" i="50" s="1"/>
  <c r="AH237" i="50" l="1"/>
  <c r="AI274" i="50"/>
  <c r="AI272" i="50"/>
  <c r="AI270" i="50"/>
  <c r="AI268" i="50"/>
  <c r="AI266" i="50"/>
  <c r="AI264" i="50"/>
  <c r="AI262" i="50"/>
  <c r="AI260" i="50"/>
  <c r="AH253" i="50"/>
  <c r="AH251" i="50"/>
  <c r="AH249" i="50"/>
  <c r="AH241" i="50"/>
  <c r="AH240" i="50"/>
  <c r="AI273" i="50"/>
  <c r="AI265" i="50"/>
  <c r="AH252" i="50"/>
  <c r="AH248" i="50"/>
  <c r="AH243" i="50"/>
  <c r="AH242" i="50"/>
  <c r="AH236" i="50"/>
  <c r="AI267" i="50"/>
  <c r="AI259" i="50"/>
  <c r="AI258" i="50"/>
  <c r="AG232" i="50"/>
  <c r="AG230" i="50"/>
  <c r="AG228" i="50"/>
  <c r="AG226" i="50"/>
  <c r="AH238" i="50"/>
  <c r="AI261" i="50"/>
  <c r="AF211" i="50"/>
  <c r="AF209" i="50"/>
  <c r="AF207" i="50"/>
  <c r="AF205" i="50"/>
  <c r="AF203" i="50"/>
  <c r="AF201" i="50"/>
  <c r="AF199" i="50"/>
  <c r="AF197" i="50"/>
  <c r="AF195" i="50"/>
  <c r="AD166" i="50"/>
  <c r="AD162" i="50"/>
  <c r="AD158" i="50"/>
  <c r="AD154" i="50"/>
  <c r="AC147" i="50"/>
  <c r="AC143" i="50"/>
  <c r="AC139" i="50"/>
  <c r="AC135" i="50"/>
  <c r="AC131" i="50"/>
  <c r="AB124" i="50"/>
  <c r="AB120" i="50"/>
  <c r="AB116" i="50"/>
  <c r="AB112" i="50"/>
  <c r="AH239" i="50"/>
  <c r="AI263" i="50"/>
  <c r="AI257" i="50"/>
  <c r="AG229" i="50"/>
  <c r="AG225" i="50"/>
  <c r="AG223" i="50"/>
  <c r="AG221" i="50"/>
  <c r="AG219" i="50"/>
  <c r="AG217" i="50"/>
  <c r="AG215" i="50"/>
  <c r="AE190" i="50"/>
  <c r="AE189" i="50"/>
  <c r="AE188" i="50"/>
  <c r="AE187" i="50"/>
  <c r="AE186" i="50"/>
  <c r="AE185" i="50"/>
  <c r="AE184" i="50"/>
  <c r="AE183" i="50"/>
  <c r="AE182" i="50"/>
  <c r="AE181" i="50"/>
  <c r="AE180" i="50"/>
  <c r="AE179" i="50"/>
  <c r="AE178" i="50"/>
  <c r="AE177" i="50"/>
  <c r="AE176" i="50"/>
  <c r="AE175" i="50"/>
  <c r="AE174" i="50"/>
  <c r="AE173" i="50"/>
  <c r="AD169" i="50"/>
  <c r="AD165" i="50"/>
  <c r="AD161" i="50"/>
  <c r="AD157" i="50"/>
  <c r="AD153" i="50"/>
  <c r="AC146" i="50"/>
  <c r="AC142" i="50"/>
  <c r="AC138" i="50"/>
  <c r="AC134" i="50"/>
  <c r="AB127" i="50"/>
  <c r="AB123" i="50"/>
  <c r="AB119" i="50"/>
  <c r="AB115" i="50"/>
  <c r="AB111" i="50"/>
  <c r="AH244" i="50"/>
  <c r="AF210" i="50"/>
  <c r="AF206" i="50"/>
  <c r="AF202" i="50"/>
  <c r="AF198" i="50"/>
  <c r="AF194" i="50"/>
  <c r="AD164" i="50"/>
  <c r="AD156" i="50"/>
  <c r="AC141" i="50"/>
  <c r="AC133" i="50"/>
  <c r="AB122" i="50"/>
  <c r="AB114" i="50"/>
  <c r="AH246" i="50"/>
  <c r="AG227" i="50"/>
  <c r="AG224" i="50"/>
  <c r="AG220" i="50"/>
  <c r="AG216" i="50"/>
  <c r="AD163" i="50"/>
  <c r="AD155" i="50"/>
  <c r="AC148" i="50"/>
  <c r="AC140" i="50"/>
  <c r="AC132" i="50"/>
  <c r="AB121" i="50"/>
  <c r="AB113" i="50"/>
  <c r="AH245" i="50"/>
  <c r="AF204" i="50"/>
  <c r="AF196" i="50"/>
  <c r="AD160" i="50"/>
  <c r="AC145" i="50"/>
  <c r="AB126" i="50"/>
  <c r="AB110" i="50"/>
  <c r="AA104" i="50"/>
  <c r="AA100" i="50"/>
  <c r="AA96" i="50"/>
  <c r="AA92" i="50"/>
  <c r="Z85" i="50"/>
  <c r="Z84" i="50"/>
  <c r="Z83" i="50"/>
  <c r="Z82" i="50"/>
  <c r="Z81" i="50"/>
  <c r="Z80" i="50"/>
  <c r="Z79" i="50"/>
  <c r="Z78" i="50"/>
  <c r="Z77" i="50"/>
  <c r="Z76" i="50"/>
  <c r="Z75" i="50"/>
  <c r="Z74" i="50"/>
  <c r="Z73" i="50"/>
  <c r="Z72" i="50"/>
  <c r="Z71" i="50"/>
  <c r="Z70" i="50"/>
  <c r="Z69" i="50"/>
  <c r="Z68" i="50"/>
  <c r="AD152" i="50"/>
  <c r="AC137" i="50"/>
  <c r="AA102" i="50"/>
  <c r="AA94" i="50"/>
  <c r="AA90" i="50"/>
  <c r="AA89" i="50"/>
  <c r="AH250" i="50"/>
  <c r="AI271" i="50"/>
  <c r="AG231" i="50"/>
  <c r="AG218" i="50"/>
  <c r="AD159" i="50"/>
  <c r="AC144" i="50"/>
  <c r="AB125" i="50"/>
  <c r="AA103" i="50"/>
  <c r="AA99" i="50"/>
  <c r="AA95" i="50"/>
  <c r="AA91" i="50"/>
  <c r="AI269" i="50"/>
  <c r="AF208" i="50"/>
  <c r="AF200" i="50"/>
  <c r="AD168" i="50"/>
  <c r="AB118" i="50"/>
  <c r="AA106" i="50"/>
  <c r="AA98" i="50"/>
  <c r="AH247" i="50"/>
  <c r="AA93" i="50"/>
  <c r="AA97" i="50"/>
  <c r="Z67" i="50"/>
  <c r="Z65" i="50"/>
  <c r="Z63" i="50"/>
  <c r="Z62" i="50"/>
  <c r="AD167" i="50"/>
  <c r="AC136" i="50"/>
  <c r="AA105" i="50"/>
  <c r="AB117" i="50"/>
  <c r="AA101" i="50"/>
  <c r="AG222" i="50"/>
  <c r="Z66" i="50"/>
  <c r="Z64" i="50"/>
  <c r="Z61" i="50"/>
  <c r="Z60" i="50"/>
  <c r="Z86" i="50"/>
  <c r="X48" i="51"/>
  <c r="X55" i="50"/>
  <c r="X56" i="50" s="1"/>
  <c r="Y60" i="51" s="1"/>
  <c r="Y58" i="50"/>
  <c r="Y58" i="51" s="1"/>
  <c r="Y53" i="50"/>
  <c r="Y53" i="51" s="1"/>
  <c r="Y46" i="50"/>
  <c r="Y46" i="51" s="1"/>
  <c r="X41" i="50"/>
  <c r="X36" i="50"/>
  <c r="X36" i="51" s="1"/>
  <c r="X32" i="50"/>
  <c r="X32" i="51" s="1"/>
  <c r="X27" i="50"/>
  <c r="X27" i="51" s="1"/>
  <c r="X23" i="50"/>
  <c r="X23" i="51" s="1"/>
  <c r="X18" i="50"/>
  <c r="X18" i="51" s="1"/>
  <c r="X13" i="50"/>
  <c r="X13" i="51" s="1"/>
  <c r="X8" i="50"/>
  <c r="X8" i="51" s="1"/>
  <c r="X40" i="50"/>
  <c r="X40" i="51" s="1"/>
  <c r="X35" i="50"/>
  <c r="X35" i="51" s="1"/>
  <c r="X26" i="50"/>
  <c r="X26" i="51" s="1"/>
  <c r="X17" i="50"/>
  <c r="X17" i="51" s="1"/>
  <c r="X12" i="50"/>
  <c r="X12" i="51" s="1"/>
  <c r="X7" i="50"/>
  <c r="X7" i="51" s="1"/>
  <c r="Y48" i="50"/>
  <c r="X39" i="50"/>
  <c r="X39" i="51" s="1"/>
  <c r="X34" i="50"/>
  <c r="X34" i="51" s="1"/>
  <c r="X25" i="50"/>
  <c r="X25" i="51" s="1"/>
  <c r="X16" i="50"/>
  <c r="X10" i="50"/>
  <c r="X10" i="51" s="1"/>
  <c r="Y54" i="50"/>
  <c r="Y54" i="51" s="1"/>
  <c r="Y43" i="50"/>
  <c r="Y43" i="51" s="1"/>
  <c r="X33" i="50"/>
  <c r="X33" i="51" s="1"/>
  <c r="X29" i="50"/>
  <c r="X29" i="51" s="1"/>
  <c r="X19" i="50"/>
  <c r="X19" i="51" s="1"/>
  <c r="X15" i="50"/>
  <c r="X15" i="51" s="1"/>
  <c r="X5" i="50"/>
  <c r="Y57" i="50"/>
  <c r="Y57" i="51" s="1"/>
  <c r="Y52" i="50"/>
  <c r="Y52" i="51" s="1"/>
  <c r="Y45" i="50"/>
  <c r="Y45" i="51" s="1"/>
  <c r="X31" i="50"/>
  <c r="X31" i="51" s="1"/>
  <c r="X22" i="50"/>
  <c r="X22" i="51" s="1"/>
  <c r="Y44" i="50"/>
  <c r="Y44" i="51" s="1"/>
  <c r="X30" i="50"/>
  <c r="X30" i="51" s="1"/>
  <c r="X20" i="50"/>
  <c r="X20" i="51" s="1"/>
  <c r="X6" i="50"/>
  <c r="Y47" i="50"/>
  <c r="Y47" i="51" s="1"/>
  <c r="X37" i="50"/>
  <c r="X37" i="51" s="1"/>
  <c r="X24" i="50"/>
  <c r="X24" i="51" s="1"/>
  <c r="X9" i="50"/>
  <c r="X9" i="51" s="1"/>
  <c r="X38" i="50"/>
  <c r="Y49" i="50"/>
  <c r="X28" i="50"/>
  <c r="Y42" i="50"/>
  <c r="Y50" i="50"/>
  <c r="X4" i="50"/>
  <c r="X11" i="50"/>
  <c r="X14" i="50"/>
  <c r="X14" i="51" s="1"/>
  <c r="Y51" i="50"/>
  <c r="X21" i="50"/>
  <c r="X16" i="51"/>
  <c r="X2" i="51"/>
  <c r="X41" i="51"/>
  <c r="X2" i="50"/>
  <c r="X56" i="51" l="1"/>
  <c r="Y48" i="51"/>
  <c r="Y55" i="50"/>
  <c r="Y56" i="50" s="1"/>
  <c r="Z60" i="51" s="1"/>
  <c r="AS6" i="50"/>
  <c r="Y56" i="51" l="1"/>
  <c r="AS42" i="50"/>
  <c r="B4" i="47"/>
  <c r="B6" i="47" s="1"/>
  <c r="AP47" i="47"/>
  <c r="L47" i="47"/>
  <c r="F47" i="47"/>
  <c r="FL46" i="47"/>
  <c r="AP46" i="47"/>
  <c r="L46" i="47"/>
  <c r="F46" i="47"/>
  <c r="FL45" i="47"/>
  <c r="FF45" i="47"/>
  <c r="AP45" i="47"/>
  <c r="L45" i="47"/>
  <c r="F45" i="47"/>
  <c r="FL44" i="47"/>
  <c r="FF44" i="47"/>
  <c r="EZ44" i="47"/>
  <c r="L44" i="47"/>
  <c r="F44" i="47"/>
  <c r="FL43" i="47"/>
  <c r="FF43" i="47"/>
  <c r="EZ43" i="47"/>
  <c r="ET43" i="47"/>
  <c r="L43" i="47"/>
  <c r="F43" i="47"/>
  <c r="FL42" i="47"/>
  <c r="FF42" i="47"/>
  <c r="EZ42" i="47"/>
  <c r="ET42" i="47"/>
  <c r="EN42" i="47"/>
  <c r="L42" i="47"/>
  <c r="F42" i="47"/>
  <c r="FL41" i="47"/>
  <c r="FF41" i="47"/>
  <c r="EZ41" i="47"/>
  <c r="ET41" i="47"/>
  <c r="EN41" i="47"/>
  <c r="EH41" i="47"/>
  <c r="L41" i="47"/>
  <c r="F41" i="47"/>
  <c r="FL40" i="47"/>
  <c r="FF40" i="47"/>
  <c r="EZ40" i="47"/>
  <c r="ET40" i="47"/>
  <c r="EN40" i="47"/>
  <c r="EH40" i="47"/>
  <c r="EB40" i="47"/>
  <c r="L40" i="47"/>
  <c r="F40" i="47"/>
  <c r="FL39" i="47"/>
  <c r="FF39" i="47"/>
  <c r="EZ39" i="47"/>
  <c r="ET39" i="47"/>
  <c r="EN39" i="47"/>
  <c r="EH39" i="47"/>
  <c r="EB39" i="47"/>
  <c r="DV39" i="47"/>
  <c r="F39" i="47"/>
  <c r="FL38" i="47"/>
  <c r="FF38" i="47"/>
  <c r="EZ38" i="47"/>
  <c r="ET38" i="47"/>
  <c r="EN38" i="47"/>
  <c r="EH38" i="47"/>
  <c r="EB38" i="47"/>
  <c r="DV38" i="47"/>
  <c r="N5" i="22" l="1"/>
  <c r="N6" i="22"/>
  <c r="N7" i="22"/>
  <c r="N8" i="22"/>
  <c r="N9" i="22"/>
  <c r="N10" i="22"/>
  <c r="N11" i="22"/>
  <c r="N12" i="22"/>
  <c r="N13" i="22"/>
  <c r="N14" i="22"/>
  <c r="N15" i="22"/>
  <c r="N16" i="22"/>
  <c r="N17" i="22"/>
  <c r="N18" i="22"/>
  <c r="N19" i="22"/>
  <c r="N20" i="22"/>
  <c r="N21" i="22"/>
  <c r="N22" i="22"/>
  <c r="N23" i="22"/>
  <c r="N24" i="22"/>
  <c r="N25" i="22"/>
  <c r="N26" i="22"/>
  <c r="N27" i="22"/>
  <c r="N28" i="22"/>
  <c r="N29" i="22"/>
  <c r="N30" i="22"/>
  <c r="N31" i="22"/>
  <c r="N32" i="22"/>
  <c r="N33" i="22"/>
  <c r="N34" i="22"/>
  <c r="N35" i="22"/>
  <c r="N36" i="22"/>
  <c r="N37" i="22"/>
  <c r="N38" i="22"/>
  <c r="N39" i="22"/>
  <c r="N40" i="22"/>
  <c r="N42" i="22"/>
  <c r="N43" i="22"/>
  <c r="N44" i="22"/>
  <c r="N45" i="22"/>
  <c r="N46" i="22"/>
  <c r="N47" i="22"/>
  <c r="N48" i="22"/>
  <c r="N49" i="22"/>
  <c r="N50" i="22"/>
  <c r="N51" i="22"/>
  <c r="N52" i="22"/>
  <c r="N53" i="22"/>
  <c r="N54" i="22"/>
  <c r="N55" i="22"/>
  <c r="N56" i="22"/>
  <c r="N57" i="22"/>
  <c r="N59" i="22"/>
  <c r="K60" i="51" s="1"/>
  <c r="N60" i="22"/>
  <c r="N61" i="22"/>
  <c r="N62" i="22"/>
  <c r="N63" i="22"/>
  <c r="N64" i="22"/>
  <c r="N65" i="22"/>
  <c r="N66" i="22"/>
  <c r="N67" i="22"/>
  <c r="N68" i="22"/>
  <c r="N69" i="22"/>
  <c r="N70" i="22"/>
  <c r="N71" i="22"/>
  <c r="N72" i="22"/>
  <c r="N73" i="22"/>
  <c r="N74" i="22"/>
  <c r="N75" i="22"/>
  <c r="N76" i="22"/>
  <c r="N77" i="22"/>
  <c r="N78" i="22"/>
  <c r="N79" i="22"/>
  <c r="N80" i="22"/>
  <c r="N81" i="22"/>
  <c r="N82" i="22"/>
  <c r="N83" i="22"/>
  <c r="N84" i="22"/>
  <c r="N85" i="22"/>
  <c r="N86" i="22"/>
  <c r="N88" i="22"/>
  <c r="N89" i="22"/>
  <c r="N90" i="22"/>
  <c r="N91" i="22"/>
  <c r="N92" i="22"/>
  <c r="N93" i="22"/>
  <c r="N94" i="22"/>
  <c r="N95" i="22"/>
  <c r="N96" i="22"/>
  <c r="N97" i="22"/>
  <c r="N98" i="22"/>
  <c r="N99" i="22"/>
  <c r="N100" i="22"/>
  <c r="N101" i="22"/>
  <c r="N102" i="22"/>
  <c r="N103" i="22"/>
  <c r="N104" i="22"/>
  <c r="N105" i="22"/>
  <c r="N106" i="22"/>
  <c r="N107" i="22"/>
  <c r="N108" i="22"/>
  <c r="N109" i="22"/>
  <c r="N110" i="22"/>
  <c r="N111" i="22"/>
  <c r="N112" i="22"/>
  <c r="N113" i="22"/>
  <c r="N114" i="22"/>
  <c r="N115" i="22"/>
  <c r="N116" i="22"/>
  <c r="N117" i="22"/>
  <c r="N118" i="22"/>
  <c r="N119" i="22"/>
  <c r="N120" i="22"/>
  <c r="N121" i="22"/>
  <c r="N122" i="22"/>
  <c r="N123" i="22"/>
  <c r="N124" i="22"/>
  <c r="N125" i="22"/>
  <c r="N126" i="22"/>
  <c r="N128" i="22"/>
  <c r="N129" i="22"/>
  <c r="N130" i="22"/>
  <c r="N131" i="22"/>
  <c r="N132" i="22"/>
  <c r="N133" i="22"/>
  <c r="N134" i="22"/>
  <c r="N135" i="22"/>
  <c r="N136" i="22"/>
  <c r="N137" i="22"/>
  <c r="N138" i="22"/>
  <c r="N139" i="22"/>
  <c r="N140" i="22"/>
  <c r="N141" i="22"/>
  <c r="N142" i="22"/>
  <c r="N143" i="22"/>
  <c r="N144" i="22"/>
  <c r="N145" i="22"/>
  <c r="N146" i="22"/>
  <c r="N147" i="22"/>
  <c r="N148" i="22"/>
  <c r="N149" i="22"/>
  <c r="N150" i="22"/>
  <c r="N151" i="22"/>
  <c r="N152" i="22"/>
  <c r="N153" i="22"/>
  <c r="N154" i="22"/>
  <c r="N155" i="22"/>
  <c r="N156" i="22"/>
  <c r="N157" i="22"/>
  <c r="N158" i="22"/>
  <c r="N159" i="22"/>
  <c r="N160" i="22"/>
  <c r="N161" i="22"/>
  <c r="N162" i="22"/>
  <c r="N163" i="22"/>
  <c r="N164" i="22"/>
  <c r="N165" i="22"/>
  <c r="N166" i="22"/>
  <c r="N169" i="22"/>
  <c r="N170" i="22"/>
  <c r="N171" i="22"/>
  <c r="N172" i="22"/>
  <c r="N173" i="22"/>
  <c r="N174" i="22"/>
  <c r="N175" i="22"/>
  <c r="N176" i="22"/>
  <c r="N177" i="22"/>
  <c r="N178" i="22"/>
  <c r="N179" i="22"/>
  <c r="N180" i="22"/>
  <c r="N181" i="22"/>
  <c r="N182" i="22"/>
  <c r="N183" i="22"/>
  <c r="N184" i="22"/>
  <c r="N185" i="22"/>
  <c r="N186" i="22"/>
  <c r="N187" i="22"/>
  <c r="N188" i="22"/>
  <c r="N189" i="22"/>
  <c r="N190" i="22"/>
  <c r="N191" i="22"/>
  <c r="N192" i="22"/>
  <c r="N193" i="22"/>
  <c r="N194" i="22"/>
  <c r="N195" i="22"/>
  <c r="N196" i="22"/>
  <c r="N197" i="22"/>
  <c r="N198" i="22"/>
  <c r="N199" i="22"/>
  <c r="N200" i="22"/>
  <c r="N201" i="22"/>
  <c r="N202" i="22"/>
  <c r="N203" i="22"/>
  <c r="N204" i="22"/>
  <c r="N205" i="22"/>
  <c r="N206" i="22"/>
  <c r="N207" i="22"/>
  <c r="N208" i="22"/>
  <c r="K39" i="51" l="1"/>
  <c r="K39" i="50"/>
  <c r="K19" i="51"/>
  <c r="K19" i="50"/>
  <c r="K10" i="51"/>
  <c r="K10" i="50"/>
  <c r="K58" i="51"/>
  <c r="K58" i="50"/>
  <c r="K37" i="51"/>
  <c r="K37" i="50"/>
  <c r="K17" i="51"/>
  <c r="K17" i="50"/>
  <c r="K13" i="51"/>
  <c r="K13" i="50"/>
  <c r="K57" i="51"/>
  <c r="K57" i="50"/>
  <c r="K40" i="51"/>
  <c r="K40" i="50"/>
  <c r="K20" i="51"/>
  <c r="K20" i="50"/>
  <c r="K16" i="51"/>
  <c r="K16" i="50"/>
  <c r="K12" i="51"/>
  <c r="K12" i="50"/>
  <c r="K65" i="51"/>
  <c r="K65" i="50"/>
  <c r="K61" i="51"/>
  <c r="K61" i="50"/>
  <c r="K64" i="51"/>
  <c r="K64" i="50"/>
  <c r="K67" i="51"/>
  <c r="K67" i="50"/>
  <c r="K66" i="51"/>
  <c r="K66" i="50"/>
  <c r="K54" i="51"/>
  <c r="K54" i="50"/>
  <c r="K53" i="51"/>
  <c r="K53" i="50"/>
  <c r="K52" i="51"/>
  <c r="K52" i="50"/>
  <c r="K48" i="51"/>
  <c r="K48" i="50"/>
  <c r="K47" i="51"/>
  <c r="K47" i="50"/>
  <c r="K46" i="51"/>
  <c r="K46" i="50"/>
  <c r="K35" i="51"/>
  <c r="K35" i="50"/>
  <c r="K34" i="51"/>
  <c r="K34" i="50"/>
  <c r="K33" i="51"/>
  <c r="K33" i="50"/>
  <c r="K36" i="51"/>
  <c r="K36" i="50"/>
  <c r="K32" i="51"/>
  <c r="K32" i="50"/>
  <c r="K27" i="51"/>
  <c r="K27" i="50"/>
  <c r="K26" i="51"/>
  <c r="K26" i="50"/>
  <c r="K25" i="51"/>
  <c r="K25" i="50"/>
  <c r="K9" i="51"/>
  <c r="K9" i="50"/>
  <c r="K8" i="51"/>
  <c r="K8" i="50"/>
  <c r="K56" i="51"/>
  <c r="K56" i="50"/>
  <c r="K63" i="51"/>
  <c r="K63" i="50"/>
  <c r="K62" i="51"/>
  <c r="K62" i="50"/>
  <c r="K60" i="50"/>
  <c r="K51" i="51"/>
  <c r="K51" i="50"/>
  <c r="K50" i="51"/>
  <c r="K50" i="50"/>
  <c r="K49" i="51"/>
  <c r="K49" i="50"/>
  <c r="P49" i="51" s="1"/>
  <c r="K45" i="51"/>
  <c r="K45" i="50"/>
  <c r="K44" i="51"/>
  <c r="K44" i="50"/>
  <c r="K43" i="51"/>
  <c r="K43" i="50"/>
  <c r="K42" i="51"/>
  <c r="K42" i="50"/>
  <c r="K38" i="51"/>
  <c r="K38" i="50"/>
  <c r="K31" i="51"/>
  <c r="K31" i="50"/>
  <c r="K30" i="51"/>
  <c r="K30" i="50"/>
  <c r="K29" i="51"/>
  <c r="K29" i="50"/>
  <c r="K28" i="51"/>
  <c r="K28" i="50"/>
  <c r="K24" i="51"/>
  <c r="K24" i="50"/>
  <c r="K23" i="51"/>
  <c r="K23" i="50"/>
  <c r="K22" i="51"/>
  <c r="K22" i="50"/>
  <c r="K21" i="51"/>
  <c r="K21" i="50"/>
  <c r="K18" i="51"/>
  <c r="K18" i="50"/>
  <c r="K15" i="51"/>
  <c r="K15" i="50"/>
  <c r="K14" i="51"/>
  <c r="K14" i="50"/>
  <c r="K11" i="51"/>
  <c r="K11" i="50"/>
  <c r="K7" i="51"/>
  <c r="K7" i="50"/>
  <c r="K6" i="51"/>
  <c r="K6" i="50"/>
  <c r="K5" i="51"/>
  <c r="K5" i="50"/>
  <c r="K4" i="51"/>
  <c r="K4" i="50"/>
  <c r="D11" i="44"/>
  <c r="D10" i="44"/>
  <c r="D9" i="44"/>
  <c r="D8" i="44"/>
  <c r="D7" i="44"/>
  <c r="D6" i="44"/>
  <c r="D5" i="44"/>
  <c r="D4" i="44"/>
  <c r="D3" i="44"/>
  <c r="D2" i="44"/>
  <c r="O5" i="51" l="1"/>
  <c r="P5" i="51"/>
  <c r="Q5" i="51"/>
  <c r="R5" i="51"/>
  <c r="S5" i="51"/>
  <c r="T5" i="51"/>
  <c r="U5" i="51"/>
  <c r="V5" i="51"/>
  <c r="W5" i="51"/>
  <c r="X5" i="51"/>
  <c r="P42" i="51"/>
  <c r="Q42" i="51"/>
  <c r="R42" i="51"/>
  <c r="S42" i="51"/>
  <c r="T42" i="51"/>
  <c r="U42" i="51"/>
  <c r="V42" i="51"/>
  <c r="W42" i="51"/>
  <c r="X42" i="51"/>
  <c r="Y42" i="51"/>
  <c r="O4" i="51"/>
  <c r="P4" i="51"/>
  <c r="Q4" i="51"/>
  <c r="R4" i="51"/>
  <c r="S4" i="51"/>
  <c r="T4" i="51"/>
  <c r="U4" i="51"/>
  <c r="V4" i="51"/>
  <c r="X4" i="51"/>
  <c r="W4" i="51"/>
  <c r="O21" i="51"/>
  <c r="P21" i="51"/>
  <c r="Q21" i="51"/>
  <c r="R21" i="51"/>
  <c r="S21" i="51"/>
  <c r="T21" i="51"/>
  <c r="U21" i="51"/>
  <c r="V21" i="51"/>
  <c r="W21" i="51"/>
  <c r="X21" i="51"/>
  <c r="O28" i="51"/>
  <c r="Q28" i="51"/>
  <c r="P28" i="51"/>
  <c r="R28" i="51"/>
  <c r="S28" i="51"/>
  <c r="T28" i="51"/>
  <c r="U28" i="51"/>
  <c r="V28" i="51"/>
  <c r="X28" i="51"/>
  <c r="W28" i="51"/>
  <c r="P51" i="51"/>
  <c r="Q51" i="51"/>
  <c r="R51" i="51"/>
  <c r="S51" i="51"/>
  <c r="T51" i="51"/>
  <c r="U51" i="51"/>
  <c r="V51" i="51"/>
  <c r="W51" i="51"/>
  <c r="X51" i="51"/>
  <c r="Y51" i="51"/>
  <c r="P50" i="51"/>
  <c r="Q50" i="51"/>
  <c r="R50" i="51"/>
  <c r="S50" i="51"/>
  <c r="T50" i="51"/>
  <c r="U50" i="51"/>
  <c r="V50" i="51"/>
  <c r="W50" i="51"/>
  <c r="X50" i="51"/>
  <c r="Y50" i="51"/>
  <c r="Q49" i="51"/>
  <c r="R49" i="51"/>
  <c r="S49" i="51"/>
  <c r="T49" i="51"/>
  <c r="U49" i="51"/>
  <c r="V49" i="51"/>
  <c r="W49" i="51"/>
  <c r="X49" i="51"/>
  <c r="Y49" i="51"/>
  <c r="O38" i="51"/>
  <c r="P38" i="51"/>
  <c r="Q38" i="51"/>
  <c r="R38" i="51"/>
  <c r="S38" i="51"/>
  <c r="T38" i="51"/>
  <c r="U38" i="51"/>
  <c r="V38" i="51"/>
  <c r="W38" i="51"/>
  <c r="X38" i="51"/>
  <c r="O14" i="51"/>
  <c r="S14" i="51"/>
  <c r="W14" i="51"/>
  <c r="O11" i="51"/>
  <c r="P11" i="51"/>
  <c r="Q11" i="51"/>
  <c r="R11" i="51"/>
  <c r="S11" i="51"/>
  <c r="T11" i="51"/>
  <c r="U11" i="51"/>
  <c r="V11" i="51"/>
  <c r="X11" i="51"/>
  <c r="W11" i="51"/>
  <c r="O6" i="51"/>
  <c r="P6" i="51"/>
  <c r="Q6" i="51"/>
  <c r="R6" i="51"/>
  <c r="S6" i="51"/>
  <c r="T6" i="51"/>
  <c r="U6" i="51"/>
  <c r="V6" i="51"/>
  <c r="W6" i="51"/>
  <c r="X6" i="51"/>
  <c r="D12" i="44"/>
  <c r="M12" i="44"/>
  <c r="M11" i="44"/>
  <c r="M10" i="44"/>
  <c r="M9" i="44"/>
  <c r="M8" i="44"/>
  <c r="M7" i="44"/>
  <c r="M6" i="44"/>
  <c r="M5" i="44"/>
  <c r="M4" i="44"/>
  <c r="M3" i="44"/>
  <c r="C5" i="41" l="1"/>
  <c r="AS42" i="51"/>
  <c r="C4" i="41"/>
  <c r="I28" i="44" l="1"/>
  <c r="Z29" i="44"/>
  <c r="Y29" i="44"/>
  <c r="J28" i="44" l="1"/>
  <c r="M29" i="44"/>
  <c r="V29" i="44"/>
  <c r="R29" i="44"/>
  <c r="L28" i="44"/>
  <c r="U29" i="44"/>
  <c r="W29" i="44"/>
  <c r="Q29" i="44"/>
  <c r="T29" i="44"/>
  <c r="X29" i="44"/>
  <c r="N29" i="44"/>
  <c r="K28" i="44"/>
  <c r="P29" i="44"/>
  <c r="O29" i="44"/>
  <c r="S29" i="44"/>
  <c r="AG13" i="44" l="1"/>
  <c r="B125" i="42" l="1"/>
  <c r="B77" i="42"/>
  <c r="B60" i="50" s="1"/>
  <c r="B89" i="42"/>
  <c r="B114" i="42"/>
  <c r="B796" i="51" s="1"/>
  <c r="C807" i="51" s="1"/>
  <c r="C80" i="50" l="1"/>
  <c r="C84" i="50"/>
  <c r="C81" i="50"/>
  <c r="C82" i="50"/>
  <c r="C79" i="50"/>
  <c r="C83" i="50"/>
  <c r="J807" i="51"/>
  <c r="K807" i="51"/>
  <c r="I807" i="51"/>
  <c r="H807" i="51"/>
  <c r="C811" i="51"/>
  <c r="F807" i="51"/>
  <c r="E807" i="51"/>
  <c r="D807" i="51"/>
  <c r="C809" i="51"/>
  <c r="C812" i="51"/>
  <c r="C813" i="51"/>
  <c r="C814" i="51"/>
  <c r="I808" i="51"/>
  <c r="E808" i="51"/>
  <c r="G808" i="51" s="1"/>
  <c r="K808" i="51"/>
  <c r="D808" i="51"/>
  <c r="B131" i="42"/>
  <c r="B134" i="42"/>
  <c r="B130" i="42"/>
  <c r="B133" i="42"/>
  <c r="B129" i="42"/>
  <c r="B132" i="42"/>
  <c r="B128" i="42"/>
  <c r="B270" i="51"/>
  <c r="O268" i="51"/>
  <c r="P268" i="51" s="1"/>
  <c r="Q268" i="51" s="1"/>
  <c r="R268" i="51" s="1"/>
  <c r="S268" i="51" s="1"/>
  <c r="T268" i="51" s="1"/>
  <c r="U268" i="51" s="1"/>
  <c r="V268" i="51" s="1"/>
  <c r="W268" i="51" s="1"/>
  <c r="X268" i="51" s="1"/>
  <c r="Y268" i="51" s="1"/>
  <c r="Z268" i="51" s="1"/>
  <c r="AA268" i="51" s="1"/>
  <c r="AB268" i="51" s="1"/>
  <c r="AC268" i="51" s="1"/>
  <c r="AD268" i="51" s="1"/>
  <c r="AE268" i="51" s="1"/>
  <c r="AF268" i="51" s="1"/>
  <c r="AG268" i="51" s="1"/>
  <c r="AH268" i="51" s="1"/>
  <c r="AI268" i="51" s="1"/>
  <c r="AJ268" i="51" s="1"/>
  <c r="AK268" i="51" s="1"/>
  <c r="AL268" i="51" s="1"/>
  <c r="AM268" i="51" s="1"/>
  <c r="AN268" i="51" s="1"/>
  <c r="AO268" i="51" s="1"/>
  <c r="AP268" i="51" s="1"/>
  <c r="AQ268" i="51" s="1"/>
  <c r="AR268" i="51" s="1"/>
  <c r="O278" i="50"/>
  <c r="P278" i="50" s="1"/>
  <c r="Q278" i="50" s="1"/>
  <c r="R278" i="50" s="1"/>
  <c r="S278" i="50" s="1"/>
  <c r="T278" i="50" s="1"/>
  <c r="U278" i="50" s="1"/>
  <c r="V278" i="50" s="1"/>
  <c r="W278" i="50" s="1"/>
  <c r="X278" i="50" s="1"/>
  <c r="Y278" i="50" s="1"/>
  <c r="Z278" i="50" s="1"/>
  <c r="AA278" i="50" s="1"/>
  <c r="AB278" i="50" s="1"/>
  <c r="AC278" i="50" s="1"/>
  <c r="AD278" i="50" s="1"/>
  <c r="AE278" i="50" s="1"/>
  <c r="AF278" i="50" s="1"/>
  <c r="AG278" i="50" s="1"/>
  <c r="AH278" i="50" s="1"/>
  <c r="AI278" i="50" s="1"/>
  <c r="AJ278" i="50" s="1"/>
  <c r="AK278" i="50" s="1"/>
  <c r="AL278" i="50" s="1"/>
  <c r="AM278" i="50" s="1"/>
  <c r="AN278" i="50" s="1"/>
  <c r="AO278" i="50" s="1"/>
  <c r="AP278" i="50" s="1"/>
  <c r="AQ278" i="50" s="1"/>
  <c r="AR278" i="50" s="1"/>
  <c r="B280" i="50"/>
  <c r="C302" i="50" s="1"/>
  <c r="E1" i="47"/>
  <c r="B60" i="51"/>
  <c r="B115" i="42"/>
  <c r="B818" i="51" s="1"/>
  <c r="C829" i="51" s="1"/>
  <c r="B816" i="50"/>
  <c r="C827" i="50" s="1"/>
  <c r="B78" i="42"/>
  <c r="C2" i="44"/>
  <c r="V84" i="51" l="1"/>
  <c r="R80" i="51"/>
  <c r="T83" i="51"/>
  <c r="Q82" i="51"/>
  <c r="Q61" i="51"/>
  <c r="Q65" i="51"/>
  <c r="Q83" i="51"/>
  <c r="Q66" i="51"/>
  <c r="Q62" i="51"/>
  <c r="Q63" i="51"/>
  <c r="Q67" i="51"/>
  <c r="Q64" i="51"/>
  <c r="R63" i="51"/>
  <c r="R62" i="51"/>
  <c r="R67" i="51"/>
  <c r="R66" i="51"/>
  <c r="R61" i="51"/>
  <c r="R65" i="51"/>
  <c r="R84" i="51"/>
  <c r="R64" i="51"/>
  <c r="S64" i="51"/>
  <c r="S62" i="51"/>
  <c r="S67" i="51"/>
  <c r="S65" i="51"/>
  <c r="S61" i="51"/>
  <c r="S66" i="51"/>
  <c r="S63" i="51"/>
  <c r="T84" i="51"/>
  <c r="T61" i="51"/>
  <c r="T66" i="51"/>
  <c r="T62" i="51"/>
  <c r="T65" i="51"/>
  <c r="T63" i="51"/>
  <c r="T64" i="51"/>
  <c r="T67" i="51"/>
  <c r="U66" i="51"/>
  <c r="U64" i="51"/>
  <c r="U84" i="51"/>
  <c r="U62" i="51"/>
  <c r="U61" i="51"/>
  <c r="U63" i="51"/>
  <c r="U65" i="51"/>
  <c r="U67" i="51"/>
  <c r="V66" i="51"/>
  <c r="V64" i="51"/>
  <c r="V62" i="51"/>
  <c r="V65" i="51"/>
  <c r="V67" i="51"/>
  <c r="V63" i="51"/>
  <c r="V61" i="51"/>
  <c r="W61" i="51"/>
  <c r="W63" i="51"/>
  <c r="W62" i="51"/>
  <c r="W64" i="51"/>
  <c r="W65" i="51"/>
  <c r="W67" i="51"/>
  <c r="W66" i="51"/>
  <c r="X64" i="51"/>
  <c r="X62" i="51"/>
  <c r="X61" i="51"/>
  <c r="X63" i="51"/>
  <c r="X65" i="51"/>
  <c r="X67" i="51"/>
  <c r="X66" i="51"/>
  <c r="Y63" i="51"/>
  <c r="Y65" i="51"/>
  <c r="Y67" i="51"/>
  <c r="Y66" i="51"/>
  <c r="Y64" i="51"/>
  <c r="Y62" i="51"/>
  <c r="Y61" i="51"/>
  <c r="Z67" i="51"/>
  <c r="Z61" i="51"/>
  <c r="Z63" i="51"/>
  <c r="Z62" i="51"/>
  <c r="Z65" i="51"/>
  <c r="Z64" i="51"/>
  <c r="Z66" i="51"/>
  <c r="G807" i="51"/>
  <c r="I814" i="51"/>
  <c r="K814" i="51"/>
  <c r="E814" i="51"/>
  <c r="F814" i="51"/>
  <c r="H814" i="51"/>
  <c r="D814" i="51"/>
  <c r="J814" i="51"/>
  <c r="D813" i="51"/>
  <c r="I813" i="51"/>
  <c r="F813" i="51"/>
  <c r="H813" i="51"/>
  <c r="K813" i="51"/>
  <c r="J813" i="51"/>
  <c r="E813" i="51"/>
  <c r="G813" i="51" s="1"/>
  <c r="H829" i="51"/>
  <c r="D829" i="51"/>
  <c r="E830" i="51"/>
  <c r="G830" i="51" s="1"/>
  <c r="D830" i="51"/>
  <c r="I830" i="51"/>
  <c r="C835" i="51"/>
  <c r="K829" i="51"/>
  <c r="J829" i="51"/>
  <c r="I829" i="51"/>
  <c r="C836" i="51"/>
  <c r="C833" i="51"/>
  <c r="F829" i="51"/>
  <c r="E829" i="51"/>
  <c r="K830" i="51"/>
  <c r="C831" i="51"/>
  <c r="C834" i="51"/>
  <c r="C3" i="44"/>
  <c r="B88" i="51"/>
  <c r="B89" i="50"/>
  <c r="C88" i="50"/>
  <c r="Q87" i="50"/>
  <c r="Q86" i="51" s="1"/>
  <c r="Q88" i="50"/>
  <c r="Q87" i="51" s="1"/>
  <c r="C71" i="50"/>
  <c r="D86" i="50"/>
  <c r="C86" i="50"/>
  <c r="C76" i="50"/>
  <c r="M86" i="50"/>
  <c r="C78" i="50"/>
  <c r="C68" i="50"/>
  <c r="C77" i="50"/>
  <c r="C87" i="50"/>
  <c r="C72" i="50"/>
  <c r="D78" i="50"/>
  <c r="D68" i="50"/>
  <c r="C70" i="50"/>
  <c r="C69" i="50"/>
  <c r="R87" i="50"/>
  <c r="R86" i="51" s="1"/>
  <c r="R88" i="50"/>
  <c r="R87" i="51" s="1"/>
  <c r="S88" i="50"/>
  <c r="S87" i="51" s="1"/>
  <c r="S87" i="50"/>
  <c r="S86" i="51" s="1"/>
  <c r="T88" i="50"/>
  <c r="T87" i="51" s="1"/>
  <c r="T87" i="50"/>
  <c r="T86" i="51" s="1"/>
  <c r="U88" i="50"/>
  <c r="U87" i="51" s="1"/>
  <c r="U87" i="50"/>
  <c r="U86" i="51" s="1"/>
  <c r="V87" i="50"/>
  <c r="V86" i="51" s="1"/>
  <c r="V88" i="50"/>
  <c r="V87" i="51" s="1"/>
  <c r="W87" i="50"/>
  <c r="W86" i="51" s="1"/>
  <c r="W88" i="50"/>
  <c r="W87" i="51" s="1"/>
  <c r="X87" i="50"/>
  <c r="X86" i="51" s="1"/>
  <c r="X88" i="50"/>
  <c r="X87" i="51" s="1"/>
  <c r="Y88" i="50"/>
  <c r="Y87" i="51" s="1"/>
  <c r="Y87" i="50"/>
  <c r="Y86" i="51" s="1"/>
  <c r="Z87" i="50"/>
  <c r="Z86" i="51" s="1"/>
  <c r="Z88" i="50"/>
  <c r="Z87" i="51" s="1"/>
  <c r="AB370" i="50"/>
  <c r="AB357" i="51" s="1"/>
  <c r="AR370" i="50"/>
  <c r="AR357" i="51" s="1"/>
  <c r="U370" i="50"/>
  <c r="U357" i="51" s="1"/>
  <c r="AK370" i="50"/>
  <c r="AK357" i="51" s="1"/>
  <c r="S370" i="50"/>
  <c r="S357" i="51" s="1"/>
  <c r="Z370" i="50"/>
  <c r="Z357" i="51" s="1"/>
  <c r="AM370" i="50"/>
  <c r="AM357" i="51" s="1"/>
  <c r="AF370" i="50"/>
  <c r="AF357" i="51" s="1"/>
  <c r="AL370" i="50"/>
  <c r="AL357" i="51" s="1"/>
  <c r="Y370" i="50"/>
  <c r="Y357" i="51" s="1"/>
  <c r="AN370" i="50"/>
  <c r="AN357" i="51" s="1"/>
  <c r="AG370" i="50"/>
  <c r="AG357" i="51" s="1"/>
  <c r="AE370" i="50"/>
  <c r="AE357" i="51" s="1"/>
  <c r="AP370" i="50"/>
  <c r="AP357" i="51" s="1"/>
  <c r="AA346" i="50"/>
  <c r="AA334" i="51" s="1"/>
  <c r="AQ346" i="50"/>
  <c r="AQ334" i="51" s="1"/>
  <c r="AF346" i="50"/>
  <c r="AF334" i="51" s="1"/>
  <c r="Y346" i="50"/>
  <c r="Y334" i="51" s="1"/>
  <c r="Z346" i="50"/>
  <c r="Z334" i="51" s="1"/>
  <c r="AK346" i="50"/>
  <c r="AK334" i="51" s="1"/>
  <c r="Q346" i="50"/>
  <c r="Q334" i="51" s="1"/>
  <c r="AP336" i="50"/>
  <c r="AP324" i="51" s="1"/>
  <c r="Z336" i="50"/>
  <c r="Z324" i="51" s="1"/>
  <c r="AN334" i="50"/>
  <c r="AN322" i="51" s="1"/>
  <c r="X334" i="50"/>
  <c r="X322" i="51" s="1"/>
  <c r="AN336" i="50"/>
  <c r="AN324" i="51" s="1"/>
  <c r="X336" i="50"/>
  <c r="X324" i="51" s="1"/>
  <c r="AL334" i="50"/>
  <c r="AL322" i="51" s="1"/>
  <c r="V334" i="50"/>
  <c r="V322" i="51" s="1"/>
  <c r="Y336" i="50"/>
  <c r="Y324" i="51" s="1"/>
  <c r="AA334" i="50"/>
  <c r="AA322" i="51" s="1"/>
  <c r="W336" i="50"/>
  <c r="W324" i="51" s="1"/>
  <c r="Q334" i="50"/>
  <c r="Q322" i="51" s="1"/>
  <c r="AM334" i="50"/>
  <c r="AM322" i="51" s="1"/>
  <c r="AI336" i="50"/>
  <c r="AI324" i="51" s="1"/>
  <c r="AC334" i="50"/>
  <c r="AC322" i="51" s="1"/>
  <c r="Z322" i="50"/>
  <c r="Z311" i="51" s="1"/>
  <c r="AP322" i="50"/>
  <c r="AP311" i="51" s="1"/>
  <c r="AG312" i="50"/>
  <c r="AG301" i="51" s="1"/>
  <c r="Q312" i="50"/>
  <c r="Q301" i="51" s="1"/>
  <c r="AC310" i="50"/>
  <c r="AC299" i="51" s="1"/>
  <c r="AE322" i="50"/>
  <c r="AE311" i="51" s="1"/>
  <c r="AR312" i="50"/>
  <c r="AR301" i="51" s="1"/>
  <c r="AB312" i="50"/>
  <c r="AB301" i="51" s="1"/>
  <c r="AR310" i="50"/>
  <c r="AR299" i="51" s="1"/>
  <c r="AB310" i="50"/>
  <c r="AB299" i="51" s="1"/>
  <c r="AF322" i="50"/>
  <c r="AF311" i="51" s="1"/>
  <c r="AQ312" i="50"/>
  <c r="AQ301" i="51" s="1"/>
  <c r="AA312" i="50"/>
  <c r="AA301" i="51" s="1"/>
  <c r="AQ310" i="50"/>
  <c r="AQ299" i="51" s="1"/>
  <c r="AA310" i="50"/>
  <c r="AA299" i="51" s="1"/>
  <c r="Y322" i="50"/>
  <c r="Y311" i="51" s="1"/>
  <c r="AO322" i="50"/>
  <c r="AO311" i="51" s="1"/>
  <c r="AH312" i="50"/>
  <c r="AH301" i="51" s="1"/>
  <c r="R312" i="50"/>
  <c r="R301" i="51" s="1"/>
  <c r="AD310" i="50"/>
  <c r="AD299" i="51" s="1"/>
  <c r="AQ298" i="50"/>
  <c r="AQ288" i="51" s="1"/>
  <c r="AA298" i="50"/>
  <c r="AA288" i="51" s="1"/>
  <c r="AM294" i="50"/>
  <c r="AM284" i="51" s="1"/>
  <c r="W294" i="50"/>
  <c r="W284" i="51" s="1"/>
  <c r="AM292" i="50"/>
  <c r="AM282" i="51" s="1"/>
  <c r="W292" i="50"/>
  <c r="W282" i="51" s="1"/>
  <c r="AM290" i="50"/>
  <c r="AM280" i="51" s="1"/>
  <c r="W290" i="50"/>
  <c r="W280" i="51" s="1"/>
  <c r="S310" i="50"/>
  <c r="S299" i="51" s="1"/>
  <c r="AH298" i="50"/>
  <c r="AH288" i="51" s="1"/>
  <c r="R298" i="50"/>
  <c r="R288" i="51" s="1"/>
  <c r="AD294" i="50"/>
  <c r="AD284" i="51" s="1"/>
  <c r="AP292" i="50"/>
  <c r="AP282" i="51" s="1"/>
  <c r="Z292" i="50"/>
  <c r="Z282" i="51" s="1"/>
  <c r="AL290" i="50"/>
  <c r="AL280" i="51" s="1"/>
  <c r="V290" i="50"/>
  <c r="V280" i="51" s="1"/>
  <c r="AO298" i="50"/>
  <c r="AO288" i="51" s="1"/>
  <c r="Y298" i="50"/>
  <c r="Y288" i="51" s="1"/>
  <c r="AK294" i="50"/>
  <c r="AK284" i="51" s="1"/>
  <c r="U294" i="50"/>
  <c r="U284" i="51" s="1"/>
  <c r="AG292" i="50"/>
  <c r="AG282" i="51" s="1"/>
  <c r="Q292" i="50"/>
  <c r="Q282" i="51" s="1"/>
  <c r="AC290" i="50"/>
  <c r="AC280" i="51" s="1"/>
  <c r="Z310" i="50"/>
  <c r="Z299" i="51" s="1"/>
  <c r="AN298" i="50"/>
  <c r="AN288" i="51" s="1"/>
  <c r="X298" i="50"/>
  <c r="X288" i="51" s="1"/>
  <c r="AN294" i="50"/>
  <c r="AN284" i="51" s="1"/>
  <c r="X294" i="50"/>
  <c r="X284" i="51" s="1"/>
  <c r="AN292" i="50"/>
  <c r="AN282" i="51" s="1"/>
  <c r="X292" i="50"/>
  <c r="X282" i="51" s="1"/>
  <c r="AN290" i="50"/>
  <c r="AN280" i="51" s="1"/>
  <c r="X290" i="50"/>
  <c r="X280" i="51" s="1"/>
  <c r="M280" i="50"/>
  <c r="C317" i="50"/>
  <c r="AL317" i="50" s="1"/>
  <c r="AL306" i="51" s="1"/>
  <c r="C305" i="50"/>
  <c r="R305" i="50" s="1"/>
  <c r="R295" i="51" s="1"/>
  <c r="C293" i="50"/>
  <c r="AL293" i="50" s="1"/>
  <c r="AL283" i="51" s="1"/>
  <c r="C289" i="50"/>
  <c r="AH289" i="50" s="1"/>
  <c r="AH279" i="51" s="1"/>
  <c r="C307" i="50"/>
  <c r="Q307" i="50" s="1"/>
  <c r="Q297" i="51" s="1"/>
  <c r="C286" i="50"/>
  <c r="AD286" i="50" s="1"/>
  <c r="AD276" i="51" s="1"/>
  <c r="T370" i="50"/>
  <c r="T357" i="51" s="1"/>
  <c r="W370" i="50"/>
  <c r="W357" i="51" s="1"/>
  <c r="AO370" i="50"/>
  <c r="AO357" i="51" s="1"/>
  <c r="AQ370" i="50"/>
  <c r="AQ357" i="51" s="1"/>
  <c r="AA370" i="50"/>
  <c r="AA357" i="51" s="1"/>
  <c r="R370" i="50"/>
  <c r="R357" i="51" s="1"/>
  <c r="AE346" i="50"/>
  <c r="AE334" i="51" s="1"/>
  <c r="T346" i="50"/>
  <c r="T334" i="51" s="1"/>
  <c r="AJ346" i="50"/>
  <c r="AJ334" i="51" s="1"/>
  <c r="AG346" i="50"/>
  <c r="AG334" i="51" s="1"/>
  <c r="AH346" i="50"/>
  <c r="AH334" i="51" s="1"/>
  <c r="V346" i="50"/>
  <c r="V334" i="51" s="1"/>
  <c r="AD346" i="50"/>
  <c r="AD334" i="51" s="1"/>
  <c r="AL336" i="50"/>
  <c r="AL324" i="51" s="1"/>
  <c r="V336" i="50"/>
  <c r="V324" i="51" s="1"/>
  <c r="AJ334" i="50"/>
  <c r="AJ322" i="51" s="1"/>
  <c r="T334" i="50"/>
  <c r="T322" i="51" s="1"/>
  <c r="AJ336" i="50"/>
  <c r="AJ324" i="51" s="1"/>
  <c r="T336" i="50"/>
  <c r="T324" i="51" s="1"/>
  <c r="AH334" i="50"/>
  <c r="AH322" i="51" s="1"/>
  <c r="R334" i="50"/>
  <c r="R322" i="51" s="1"/>
  <c r="Q336" i="50"/>
  <c r="Q324" i="51" s="1"/>
  <c r="S334" i="50"/>
  <c r="S322" i="51" s="1"/>
  <c r="AO334" i="50"/>
  <c r="AO322" i="51" s="1"/>
  <c r="AK336" i="50"/>
  <c r="AK324" i="51" s="1"/>
  <c r="AE334" i="50"/>
  <c r="AE322" i="51" s="1"/>
  <c r="AA336" i="50"/>
  <c r="AA324" i="51" s="1"/>
  <c r="U334" i="50"/>
  <c r="U322" i="51" s="1"/>
  <c r="AD322" i="50"/>
  <c r="AD311" i="51" s="1"/>
  <c r="P322" i="50"/>
  <c r="P311" i="51" s="1"/>
  <c r="AC312" i="50"/>
  <c r="AC301" i="51" s="1"/>
  <c r="AO310" i="50"/>
  <c r="AO299" i="51" s="1"/>
  <c r="S322" i="50"/>
  <c r="S311" i="51" s="1"/>
  <c r="AI322" i="50"/>
  <c r="AI311" i="51" s="1"/>
  <c r="AN312" i="50"/>
  <c r="AN301" i="51" s="1"/>
  <c r="X312" i="50"/>
  <c r="X301" i="51" s="1"/>
  <c r="AN310" i="50"/>
  <c r="AN299" i="51" s="1"/>
  <c r="T322" i="50"/>
  <c r="T311" i="51" s="1"/>
  <c r="AJ322" i="50"/>
  <c r="AJ311" i="51" s="1"/>
  <c r="AM312" i="50"/>
  <c r="AM301" i="51" s="1"/>
  <c r="W312" i="50"/>
  <c r="W301" i="51" s="1"/>
  <c r="AM310" i="50"/>
  <c r="AM299" i="51" s="1"/>
  <c r="W310" i="50"/>
  <c r="W299" i="51" s="1"/>
  <c r="AC322" i="50"/>
  <c r="AC311" i="51" s="1"/>
  <c r="O298" i="50"/>
  <c r="O288" i="51" s="1"/>
  <c r="AD312" i="50"/>
  <c r="AD301" i="51" s="1"/>
  <c r="AP310" i="50"/>
  <c r="AP299" i="51" s="1"/>
  <c r="Y310" i="50"/>
  <c r="Y299" i="51" s="1"/>
  <c r="AM298" i="50"/>
  <c r="AM288" i="51" s="1"/>
  <c r="W298" i="50"/>
  <c r="W288" i="51" s="1"/>
  <c r="AI294" i="50"/>
  <c r="AI284" i="51" s="1"/>
  <c r="S294" i="50"/>
  <c r="S284" i="51" s="1"/>
  <c r="AI292" i="50"/>
  <c r="AI282" i="51" s="1"/>
  <c r="S292" i="50"/>
  <c r="S282" i="51" s="1"/>
  <c r="AI290" i="50"/>
  <c r="AI280" i="51" s="1"/>
  <c r="S290" i="50"/>
  <c r="S280" i="51" s="1"/>
  <c r="O310" i="50"/>
  <c r="O299" i="51" s="1"/>
  <c r="AD298" i="50"/>
  <c r="AD288" i="51" s="1"/>
  <c r="AP294" i="50"/>
  <c r="AP284" i="51" s="1"/>
  <c r="Z294" i="50"/>
  <c r="Z284" i="51" s="1"/>
  <c r="AL292" i="50"/>
  <c r="AL282" i="51" s="1"/>
  <c r="V292" i="50"/>
  <c r="V282" i="51" s="1"/>
  <c r="AH290" i="50"/>
  <c r="AH280" i="51" s="1"/>
  <c r="R290" i="50"/>
  <c r="R280" i="51" s="1"/>
  <c r="AK298" i="50"/>
  <c r="AK288" i="51" s="1"/>
  <c r="U298" i="50"/>
  <c r="U288" i="51" s="1"/>
  <c r="AG294" i="50"/>
  <c r="AG284" i="51" s="1"/>
  <c r="Q294" i="50"/>
  <c r="Q284" i="51" s="1"/>
  <c r="AC292" i="50"/>
  <c r="AC282" i="51" s="1"/>
  <c r="AO290" i="50"/>
  <c r="AO280" i="51" s="1"/>
  <c r="Y290" i="50"/>
  <c r="Y280" i="51" s="1"/>
  <c r="U310" i="50"/>
  <c r="U299" i="51" s="1"/>
  <c r="AJ298" i="50"/>
  <c r="AJ288" i="51" s="1"/>
  <c r="T298" i="50"/>
  <c r="T288" i="51" s="1"/>
  <c r="AJ294" i="50"/>
  <c r="AJ284" i="51" s="1"/>
  <c r="T294" i="50"/>
  <c r="T284" i="51" s="1"/>
  <c r="AJ292" i="50"/>
  <c r="AJ282" i="51" s="1"/>
  <c r="T292" i="50"/>
  <c r="T282" i="51" s="1"/>
  <c r="AJ290" i="50"/>
  <c r="AJ280" i="51" s="1"/>
  <c r="T290" i="50"/>
  <c r="T280" i="51" s="1"/>
  <c r="C318" i="50"/>
  <c r="AE318" i="50" s="1"/>
  <c r="AE307" i="51" s="1"/>
  <c r="C297" i="50"/>
  <c r="AJ297" i="50" s="1"/>
  <c r="AJ287" i="51" s="1"/>
  <c r="C296" i="50"/>
  <c r="AL296" i="50" s="1"/>
  <c r="AL286" i="51" s="1"/>
  <c r="C288" i="50"/>
  <c r="O288" i="50" s="1"/>
  <c r="O278" i="51" s="1"/>
  <c r="C306" i="50"/>
  <c r="AQ306" i="50" s="1"/>
  <c r="AQ296" i="51" s="1"/>
  <c r="X370" i="50"/>
  <c r="X357" i="51" s="1"/>
  <c r="AI370" i="50"/>
  <c r="AI357" i="51" s="1"/>
  <c r="AS370" i="50"/>
  <c r="AS357" i="51" s="1"/>
  <c r="V370" i="50"/>
  <c r="V357" i="51" s="1"/>
  <c r="S346" i="50"/>
  <c r="S334" i="51" s="1"/>
  <c r="AI346" i="50"/>
  <c r="AI334" i="51" s="1"/>
  <c r="X346" i="50"/>
  <c r="X334" i="51" s="1"/>
  <c r="AN346" i="50"/>
  <c r="AN334" i="51" s="1"/>
  <c r="AO346" i="50"/>
  <c r="AO334" i="51" s="1"/>
  <c r="AP346" i="50"/>
  <c r="AP334" i="51" s="1"/>
  <c r="AL346" i="50"/>
  <c r="AL334" i="51" s="1"/>
  <c r="AH336" i="50"/>
  <c r="AH324" i="51" s="1"/>
  <c r="R336" i="50"/>
  <c r="R324" i="51" s="1"/>
  <c r="AF334" i="50"/>
  <c r="AF322" i="51" s="1"/>
  <c r="P334" i="50"/>
  <c r="P322" i="51" s="1"/>
  <c r="AF336" i="50"/>
  <c r="AF324" i="51" s="1"/>
  <c r="P336" i="50"/>
  <c r="P324" i="51" s="1"/>
  <c r="AD334" i="50"/>
  <c r="AD322" i="51" s="1"/>
  <c r="AO336" i="50"/>
  <c r="AO324" i="51" s="1"/>
  <c r="AQ334" i="50"/>
  <c r="AQ322" i="51" s="1"/>
  <c r="AM336" i="50"/>
  <c r="AM324" i="51" s="1"/>
  <c r="AG334" i="50"/>
  <c r="AG322" i="51" s="1"/>
  <c r="AC336" i="50"/>
  <c r="AC324" i="51" s="1"/>
  <c r="W334" i="50"/>
  <c r="W322" i="51" s="1"/>
  <c r="S336" i="50"/>
  <c r="S324" i="51" s="1"/>
  <c r="R322" i="50"/>
  <c r="R311" i="51" s="1"/>
  <c r="AH322" i="50"/>
  <c r="AH311" i="51" s="1"/>
  <c r="AO312" i="50"/>
  <c r="AO301" i="51" s="1"/>
  <c r="Y312" i="50"/>
  <c r="Y301" i="51" s="1"/>
  <c r="AK310" i="50"/>
  <c r="AK299" i="51" s="1"/>
  <c r="W322" i="50"/>
  <c r="W311" i="51" s="1"/>
  <c r="AM322" i="50"/>
  <c r="AM311" i="51" s="1"/>
  <c r="AJ312" i="50"/>
  <c r="AJ301" i="51" s="1"/>
  <c r="T312" i="50"/>
  <c r="T301" i="51" s="1"/>
  <c r="AJ310" i="50"/>
  <c r="AJ299" i="51" s="1"/>
  <c r="X322" i="50"/>
  <c r="X311" i="51" s="1"/>
  <c r="AN322" i="50"/>
  <c r="AN311" i="51" s="1"/>
  <c r="AI312" i="50"/>
  <c r="AI301" i="51" s="1"/>
  <c r="S312" i="50"/>
  <c r="S301" i="51" s="1"/>
  <c r="AI310" i="50"/>
  <c r="AI299" i="51" s="1"/>
  <c r="Q322" i="50"/>
  <c r="Q311" i="51" s="1"/>
  <c r="AG322" i="50"/>
  <c r="AG311" i="51" s="1"/>
  <c r="AP312" i="50"/>
  <c r="AP301" i="51" s="1"/>
  <c r="Z312" i="50"/>
  <c r="Z301" i="51" s="1"/>
  <c r="AL310" i="50"/>
  <c r="AL299" i="51" s="1"/>
  <c r="T310" i="50"/>
  <c r="T299" i="51" s="1"/>
  <c r="AI298" i="50"/>
  <c r="AI288" i="51" s="1"/>
  <c r="S298" i="50"/>
  <c r="S288" i="51" s="1"/>
  <c r="AE294" i="50"/>
  <c r="AE284" i="51" s="1"/>
  <c r="O294" i="50"/>
  <c r="O284" i="51" s="1"/>
  <c r="AE292" i="50"/>
  <c r="AE282" i="51" s="1"/>
  <c r="O292" i="50"/>
  <c r="O282" i="51" s="1"/>
  <c r="AE290" i="50"/>
  <c r="AE280" i="51" s="1"/>
  <c r="O290" i="50"/>
  <c r="O280" i="51" s="1"/>
  <c r="AP298" i="50"/>
  <c r="AP288" i="51" s="1"/>
  <c r="Z298" i="50"/>
  <c r="Z288" i="51" s="1"/>
  <c r="AL294" i="50"/>
  <c r="AL284" i="51" s="1"/>
  <c r="V294" i="50"/>
  <c r="V284" i="51" s="1"/>
  <c r="AH292" i="50"/>
  <c r="AH282" i="51" s="1"/>
  <c r="R292" i="50"/>
  <c r="R282" i="51" s="1"/>
  <c r="AD290" i="50"/>
  <c r="AD280" i="51" s="1"/>
  <c r="V310" i="50"/>
  <c r="V299" i="51" s="1"/>
  <c r="AG298" i="50"/>
  <c r="AG288" i="51" s="1"/>
  <c r="Q298" i="50"/>
  <c r="Q288" i="51" s="1"/>
  <c r="AC294" i="50"/>
  <c r="AC284" i="51" s="1"/>
  <c r="AO292" i="50"/>
  <c r="AO282" i="51" s="1"/>
  <c r="Y292" i="50"/>
  <c r="Y282" i="51" s="1"/>
  <c r="AK290" i="50"/>
  <c r="AK280" i="51" s="1"/>
  <c r="U290" i="50"/>
  <c r="U280" i="51" s="1"/>
  <c r="Q310" i="50"/>
  <c r="Q299" i="51" s="1"/>
  <c r="AF298" i="50"/>
  <c r="AF288" i="51" s="1"/>
  <c r="P298" i="50"/>
  <c r="P288" i="51" s="1"/>
  <c r="AF294" i="50"/>
  <c r="AF284" i="51" s="1"/>
  <c r="P294" i="50"/>
  <c r="P284" i="51" s="1"/>
  <c r="AF292" i="50"/>
  <c r="AF282" i="51" s="1"/>
  <c r="P292" i="50"/>
  <c r="P282" i="51" s="1"/>
  <c r="AF290" i="50"/>
  <c r="AF280" i="51" s="1"/>
  <c r="P290" i="50"/>
  <c r="P280" i="51" s="1"/>
  <c r="C282" i="50"/>
  <c r="AN282" i="50" s="1"/>
  <c r="AN272" i="51" s="1"/>
  <c r="C300" i="50"/>
  <c r="AD300" i="50" s="1"/>
  <c r="AD290" i="51" s="1"/>
  <c r="C299" i="50"/>
  <c r="AL299" i="50" s="1"/>
  <c r="AL289" i="51" s="1"/>
  <c r="C291" i="50"/>
  <c r="AK291" i="50" s="1"/>
  <c r="AK281" i="51" s="1"/>
  <c r="AJ370" i="50"/>
  <c r="AJ357" i="51" s="1"/>
  <c r="AC370" i="50"/>
  <c r="AC357" i="51" s="1"/>
  <c r="AH370" i="50"/>
  <c r="AH357" i="51" s="1"/>
  <c r="AD370" i="50"/>
  <c r="AD357" i="51" s="1"/>
  <c r="W346" i="50"/>
  <c r="W334" i="51" s="1"/>
  <c r="AM346" i="50"/>
  <c r="AM334" i="51" s="1"/>
  <c r="AB346" i="50"/>
  <c r="AB334" i="51" s="1"/>
  <c r="AR346" i="50"/>
  <c r="AR334" i="51" s="1"/>
  <c r="R346" i="50"/>
  <c r="R334" i="51" s="1"/>
  <c r="U346" i="50"/>
  <c r="U334" i="51" s="1"/>
  <c r="AC346" i="50"/>
  <c r="AC334" i="51" s="1"/>
  <c r="AD336" i="50"/>
  <c r="AD324" i="51" s="1"/>
  <c r="AR334" i="50"/>
  <c r="AR322" i="51" s="1"/>
  <c r="AB334" i="50"/>
  <c r="AB322" i="51" s="1"/>
  <c r="AR336" i="50"/>
  <c r="AR324" i="51" s="1"/>
  <c r="AB336" i="50"/>
  <c r="AB324" i="51" s="1"/>
  <c r="AP334" i="50"/>
  <c r="AP322" i="51" s="1"/>
  <c r="Z334" i="50"/>
  <c r="Z322" i="51" s="1"/>
  <c r="AG336" i="50"/>
  <c r="AG324" i="51" s="1"/>
  <c r="AI334" i="50"/>
  <c r="AI322" i="51" s="1"/>
  <c r="AE336" i="50"/>
  <c r="AE324" i="51" s="1"/>
  <c r="Y334" i="50"/>
  <c r="Y322" i="51" s="1"/>
  <c r="U336" i="50"/>
  <c r="U324" i="51" s="1"/>
  <c r="AQ336" i="50"/>
  <c r="AQ324" i="51" s="1"/>
  <c r="AK334" i="50"/>
  <c r="AK322" i="51" s="1"/>
  <c r="V322" i="50"/>
  <c r="V311" i="51" s="1"/>
  <c r="AL322" i="50"/>
  <c r="AL311" i="51" s="1"/>
  <c r="AK312" i="50"/>
  <c r="AK301" i="51" s="1"/>
  <c r="U312" i="50"/>
  <c r="U301" i="51" s="1"/>
  <c r="AG310" i="50"/>
  <c r="AG299" i="51" s="1"/>
  <c r="AA322" i="50"/>
  <c r="AA311" i="51" s="1"/>
  <c r="AQ322" i="50"/>
  <c r="AQ311" i="51" s="1"/>
  <c r="AF312" i="50"/>
  <c r="AF301" i="51" s="1"/>
  <c r="P312" i="50"/>
  <c r="P301" i="51" s="1"/>
  <c r="AF310" i="50"/>
  <c r="AF299" i="51" s="1"/>
  <c r="AB322" i="50"/>
  <c r="AB311" i="51" s="1"/>
  <c r="AR322" i="50"/>
  <c r="AR311" i="51" s="1"/>
  <c r="AE312" i="50"/>
  <c r="AE301" i="51" s="1"/>
  <c r="O312" i="50"/>
  <c r="O301" i="51" s="1"/>
  <c r="AE310" i="50"/>
  <c r="AE299" i="51" s="1"/>
  <c r="U322" i="50"/>
  <c r="U311" i="51" s="1"/>
  <c r="AK322" i="50"/>
  <c r="AK311" i="51" s="1"/>
  <c r="AL312" i="50"/>
  <c r="AL301" i="51" s="1"/>
  <c r="V312" i="50"/>
  <c r="V301" i="51" s="1"/>
  <c r="AH310" i="50"/>
  <c r="AH299" i="51" s="1"/>
  <c r="P310" i="50"/>
  <c r="P299" i="51" s="1"/>
  <c r="AE298" i="50"/>
  <c r="AE288" i="51" s="1"/>
  <c r="AQ294" i="50"/>
  <c r="AQ284" i="51" s="1"/>
  <c r="AA294" i="50"/>
  <c r="AA284" i="51" s="1"/>
  <c r="AQ292" i="50"/>
  <c r="AQ282" i="51" s="1"/>
  <c r="AA292" i="50"/>
  <c r="AA282" i="51" s="1"/>
  <c r="AQ290" i="50"/>
  <c r="AQ280" i="51" s="1"/>
  <c r="AA290" i="50"/>
  <c r="AA280" i="51" s="1"/>
  <c r="X310" i="50"/>
  <c r="X299" i="51" s="1"/>
  <c r="AL298" i="50"/>
  <c r="AL288" i="51" s="1"/>
  <c r="V298" i="50"/>
  <c r="V288" i="51" s="1"/>
  <c r="AH294" i="50"/>
  <c r="AH284" i="51" s="1"/>
  <c r="R294" i="50"/>
  <c r="R284" i="51" s="1"/>
  <c r="AD292" i="50"/>
  <c r="AD282" i="51" s="1"/>
  <c r="AP290" i="50"/>
  <c r="AP280" i="51" s="1"/>
  <c r="Z290" i="50"/>
  <c r="Z280" i="51" s="1"/>
  <c r="R310" i="50"/>
  <c r="R299" i="51" s="1"/>
  <c r="AC298" i="50"/>
  <c r="AC288" i="51" s="1"/>
  <c r="AO294" i="50"/>
  <c r="AO284" i="51" s="1"/>
  <c r="Y294" i="50"/>
  <c r="Y284" i="51" s="1"/>
  <c r="AK292" i="50"/>
  <c r="AK282" i="51" s="1"/>
  <c r="U292" i="50"/>
  <c r="U282" i="51" s="1"/>
  <c r="AG290" i="50"/>
  <c r="AG280" i="51" s="1"/>
  <c r="Q290" i="50"/>
  <c r="Q280" i="51" s="1"/>
  <c r="AR298" i="50"/>
  <c r="AR288" i="51" s="1"/>
  <c r="AB298" i="50"/>
  <c r="AB288" i="51" s="1"/>
  <c r="AR294" i="50"/>
  <c r="AR284" i="51" s="1"/>
  <c r="AB294" i="50"/>
  <c r="AB284" i="51" s="1"/>
  <c r="AR292" i="50"/>
  <c r="AR282" i="51" s="1"/>
  <c r="AB292" i="50"/>
  <c r="AB282" i="51" s="1"/>
  <c r="AR290" i="50"/>
  <c r="AR280" i="51" s="1"/>
  <c r="AB290" i="50"/>
  <c r="AB280" i="51" s="1"/>
  <c r="L280" i="50"/>
  <c r="C319" i="50"/>
  <c r="AJ319" i="50" s="1"/>
  <c r="AJ308" i="51" s="1"/>
  <c r="C301" i="50"/>
  <c r="O308" i="50" s="1"/>
  <c r="C280" i="50"/>
  <c r="AP280" i="50" s="1"/>
  <c r="AP270" i="51" s="1"/>
  <c r="C304" i="50"/>
  <c r="AB304" i="50" s="1"/>
  <c r="AB294" i="51" s="1"/>
  <c r="C284" i="50"/>
  <c r="O284" i="50" s="1"/>
  <c r="O274" i="51" s="1"/>
  <c r="C303" i="50"/>
  <c r="V303" i="50" s="1"/>
  <c r="V293" i="51" s="1"/>
  <c r="C295" i="50"/>
  <c r="V295" i="50" s="1"/>
  <c r="V285" i="51" s="1"/>
  <c r="AL302" i="50"/>
  <c r="AL292" i="51" s="1"/>
  <c r="T302" i="50"/>
  <c r="T292" i="51" s="1"/>
  <c r="R302" i="50"/>
  <c r="R292" i="51" s="1"/>
  <c r="P302" i="50"/>
  <c r="P292" i="51" s="1"/>
  <c r="AK302" i="50"/>
  <c r="AK292" i="51" s="1"/>
  <c r="AM302" i="50"/>
  <c r="AM292" i="51" s="1"/>
  <c r="AG302" i="50"/>
  <c r="AG292" i="51" s="1"/>
  <c r="AI302" i="50"/>
  <c r="AI292" i="51" s="1"/>
  <c r="V302" i="50"/>
  <c r="V292" i="51" s="1"/>
  <c r="AE302" i="50"/>
  <c r="AE292" i="51" s="1"/>
  <c r="AO302" i="50"/>
  <c r="AO292" i="51" s="1"/>
  <c r="AQ302" i="50"/>
  <c r="AQ292" i="51" s="1"/>
  <c r="U302" i="50"/>
  <c r="U292" i="51" s="1"/>
  <c r="W302" i="50"/>
  <c r="W292" i="51" s="1"/>
  <c r="Q302" i="50"/>
  <c r="Q292" i="51" s="1"/>
  <c r="S302" i="50"/>
  <c r="S292" i="51" s="1"/>
  <c r="AC302" i="50"/>
  <c r="AC292" i="51" s="1"/>
  <c r="O302" i="50"/>
  <c r="O292" i="51" s="1"/>
  <c r="Y302" i="50"/>
  <c r="Y292" i="51" s="1"/>
  <c r="AA302" i="50"/>
  <c r="AA292" i="51" s="1"/>
  <c r="AR302" i="50"/>
  <c r="AR292" i="51" s="1"/>
  <c r="AP302" i="50"/>
  <c r="AP292" i="51" s="1"/>
  <c r="AN302" i="50"/>
  <c r="AN292" i="51" s="1"/>
  <c r="AH302" i="50"/>
  <c r="AH292" i="51" s="1"/>
  <c r="Z302" i="50"/>
  <c r="Z292" i="51" s="1"/>
  <c r="AF302" i="50"/>
  <c r="AF292" i="51" s="1"/>
  <c r="X302" i="50"/>
  <c r="X292" i="51" s="1"/>
  <c r="AD302" i="50"/>
  <c r="AD292" i="51" s="1"/>
  <c r="AJ302" i="50"/>
  <c r="AJ292" i="51" s="1"/>
  <c r="AB302" i="50"/>
  <c r="AB292" i="51" s="1"/>
  <c r="H812" i="51"/>
  <c r="J812" i="51"/>
  <c r="D812" i="51"/>
  <c r="I812" i="51"/>
  <c r="E812" i="51"/>
  <c r="F812" i="51"/>
  <c r="K812" i="51"/>
  <c r="C87" i="51"/>
  <c r="C81" i="51"/>
  <c r="C80" i="51"/>
  <c r="C79" i="51"/>
  <c r="C85" i="51"/>
  <c r="D68" i="51"/>
  <c r="M85" i="51"/>
  <c r="C68" i="51"/>
  <c r="D73" i="51"/>
  <c r="D78" i="51"/>
  <c r="C71" i="51"/>
  <c r="C77" i="51"/>
  <c r="C72" i="51"/>
  <c r="D85" i="51"/>
  <c r="C70" i="51"/>
  <c r="C78" i="51"/>
  <c r="C83" i="51"/>
  <c r="C69" i="51"/>
  <c r="C82" i="51"/>
  <c r="C76" i="51"/>
  <c r="C86" i="51"/>
  <c r="C84" i="51"/>
  <c r="AL43" i="47"/>
  <c r="J76" i="47"/>
  <c r="J77" i="47" s="1"/>
  <c r="J78" i="47" s="1"/>
  <c r="J79" i="47" s="1"/>
  <c r="J80" i="47" s="1"/>
  <c r="J81" i="47" s="1"/>
  <c r="J82" i="47" s="1"/>
  <c r="J83" i="47" s="1"/>
  <c r="J84" i="47" s="1"/>
  <c r="J85" i="47" s="1"/>
  <c r="J86" i="47" s="1"/>
  <c r="J87" i="47" s="1"/>
  <c r="J88" i="47" s="1"/>
  <c r="J89" i="47" s="1"/>
  <c r="J90" i="47" s="1"/>
  <c r="J91" i="47" s="1"/>
  <c r="J92" i="47" s="1"/>
  <c r="J93" i="47" s="1"/>
  <c r="J94" i="47" s="1"/>
  <c r="J95" i="47" s="1"/>
  <c r="J96" i="47" s="1"/>
  <c r="J97" i="47" s="1"/>
  <c r="J98" i="47" s="1"/>
  <c r="J99" i="47" s="1"/>
  <c r="J100" i="47" s="1"/>
  <c r="J101" i="47" s="1"/>
  <c r="J102" i="47" s="1"/>
  <c r="J103" i="47" s="1"/>
  <c r="AX45" i="47"/>
  <c r="AF42" i="47"/>
  <c r="N39" i="47"/>
  <c r="BJ47" i="47"/>
  <c r="AR44" i="47"/>
  <c r="V76" i="47"/>
  <c r="V77" i="47" s="1"/>
  <c r="V78" i="47" s="1"/>
  <c r="V79" i="47" s="1"/>
  <c r="V80" i="47" s="1"/>
  <c r="V81" i="47" s="1"/>
  <c r="V82" i="47" s="1"/>
  <c r="V83" i="47" s="1"/>
  <c r="V84" i="47" s="1"/>
  <c r="V85" i="47" s="1"/>
  <c r="V86" i="47" s="1"/>
  <c r="V87" i="47" s="1"/>
  <c r="V88" i="47" s="1"/>
  <c r="V89" i="47" s="1"/>
  <c r="V90" i="47" s="1"/>
  <c r="V91" i="47" s="1"/>
  <c r="V92" i="47" s="1"/>
  <c r="V93" i="47" s="1"/>
  <c r="V94" i="47" s="1"/>
  <c r="V95" i="47" s="1"/>
  <c r="V96" i="47" s="1"/>
  <c r="V97" i="47" s="1"/>
  <c r="V98" i="47" s="1"/>
  <c r="V99" i="47" s="1"/>
  <c r="V100" i="47" s="1"/>
  <c r="V101" i="47" s="1"/>
  <c r="V102" i="47" s="1"/>
  <c r="V103" i="47" s="1"/>
  <c r="T40" i="47"/>
  <c r="Z41" i="47"/>
  <c r="BD46" i="47"/>
  <c r="F1" i="47"/>
  <c r="H38" i="47"/>
  <c r="B116" i="42"/>
  <c r="B840" i="51" s="1"/>
  <c r="C851" i="51" s="1"/>
  <c r="C276" i="51"/>
  <c r="C296" i="51"/>
  <c r="C291" i="51"/>
  <c r="C281" i="51"/>
  <c r="C294" i="51"/>
  <c r="M270" i="51"/>
  <c r="C297" i="51"/>
  <c r="C278" i="51"/>
  <c r="C307" i="51"/>
  <c r="C295" i="51"/>
  <c r="C283" i="51"/>
  <c r="C279" i="51"/>
  <c r="C308" i="51"/>
  <c r="C287" i="51"/>
  <c r="C270" i="51"/>
  <c r="AN309" i="51" s="1"/>
  <c r="AO332" i="51" s="1"/>
  <c r="C306" i="51"/>
  <c r="L270" i="51"/>
  <c r="C285" i="51"/>
  <c r="C289" i="51"/>
  <c r="C274" i="51"/>
  <c r="C292" i="51"/>
  <c r="C286" i="51"/>
  <c r="C293" i="51"/>
  <c r="C272" i="51"/>
  <c r="C290" i="51"/>
  <c r="K809" i="51"/>
  <c r="K810" i="51"/>
  <c r="I809" i="51"/>
  <c r="I810" i="51"/>
  <c r="E809" i="51"/>
  <c r="H809" i="51"/>
  <c r="F809" i="51"/>
  <c r="D809" i="51"/>
  <c r="D810" i="51"/>
  <c r="E810" i="51"/>
  <c r="G810" i="51" s="1"/>
  <c r="J809" i="51"/>
  <c r="J811" i="51"/>
  <c r="D811" i="51"/>
  <c r="F811" i="51"/>
  <c r="I811" i="51"/>
  <c r="E811" i="51"/>
  <c r="K811" i="51"/>
  <c r="H811" i="51"/>
  <c r="C834" i="50"/>
  <c r="E827" i="50"/>
  <c r="C829" i="50"/>
  <c r="I828" i="50"/>
  <c r="E828" i="50"/>
  <c r="G828" i="50" s="1"/>
  <c r="C831" i="50"/>
  <c r="C832" i="50"/>
  <c r="D827" i="50"/>
  <c r="I827" i="50"/>
  <c r="F827" i="50"/>
  <c r="H827" i="50"/>
  <c r="C833" i="50"/>
  <c r="K828" i="50"/>
  <c r="J827" i="50"/>
  <c r="K827" i="50"/>
  <c r="D828" i="50"/>
  <c r="B838" i="50"/>
  <c r="C849" i="50" s="1"/>
  <c r="N235" i="22"/>
  <c r="N234" i="22"/>
  <c r="N233" i="22"/>
  <c r="N232" i="22"/>
  <c r="N231" i="22"/>
  <c r="N230" i="22"/>
  <c r="N229" i="22"/>
  <c r="N228" i="22"/>
  <c r="N227" i="22"/>
  <c r="N226" i="22"/>
  <c r="N225" i="22"/>
  <c r="N224" i="22"/>
  <c r="N223" i="22"/>
  <c r="N222" i="22"/>
  <c r="N221" i="22"/>
  <c r="N220" i="22"/>
  <c r="N219" i="22"/>
  <c r="N218" i="22"/>
  <c r="N217" i="22"/>
  <c r="N216" i="22"/>
  <c r="N215" i="22"/>
  <c r="N214" i="22"/>
  <c r="N213" i="22"/>
  <c r="N212" i="22"/>
  <c r="N211" i="22"/>
  <c r="C102" i="50" l="1"/>
  <c r="C105" i="50"/>
  <c r="C101" i="50"/>
  <c r="C104" i="50"/>
  <c r="C103" i="50"/>
  <c r="C100" i="50"/>
  <c r="Q78" i="51"/>
  <c r="X78" i="51"/>
  <c r="V78" i="51"/>
  <c r="Z78" i="51"/>
  <c r="Y78" i="51"/>
  <c r="S78" i="51"/>
  <c r="T78" i="51"/>
  <c r="U78" i="51"/>
  <c r="R78" i="51"/>
  <c r="W78" i="51"/>
  <c r="W84" i="51"/>
  <c r="V80" i="51"/>
  <c r="S84" i="51"/>
  <c r="Q84" i="51"/>
  <c r="Z84" i="51"/>
  <c r="X84" i="51"/>
  <c r="Y84" i="51"/>
  <c r="B117" i="42"/>
  <c r="B862" i="51" s="1"/>
  <c r="C873" i="51" s="1"/>
  <c r="C878" i="51" s="1"/>
  <c r="V83" i="51"/>
  <c r="AP293" i="50"/>
  <c r="AP283" i="51" s="1"/>
  <c r="S80" i="51"/>
  <c r="AI317" i="50"/>
  <c r="AI306" i="51" s="1"/>
  <c r="AP296" i="50"/>
  <c r="AP286" i="51" s="1"/>
  <c r="AM296" i="50"/>
  <c r="AM286" i="51" s="1"/>
  <c r="S296" i="50"/>
  <c r="S286" i="51" s="1"/>
  <c r="AB303" i="50"/>
  <c r="AB293" i="51" s="1"/>
  <c r="AH317" i="50"/>
  <c r="AH306" i="51" s="1"/>
  <c r="B860" i="50"/>
  <c r="C871" i="50" s="1"/>
  <c r="D871" i="50" s="1"/>
  <c r="AJ317" i="50"/>
  <c r="AJ306" i="51" s="1"/>
  <c r="AI296" i="50"/>
  <c r="AI286" i="51" s="1"/>
  <c r="AC288" i="50"/>
  <c r="AC278" i="51" s="1"/>
  <c r="AB296" i="50"/>
  <c r="AB286" i="51" s="1"/>
  <c r="AO320" i="50"/>
  <c r="AP344" i="50" s="1"/>
  <c r="AQ288" i="50"/>
  <c r="AQ278" i="51" s="1"/>
  <c r="AQ291" i="50"/>
  <c r="AQ281" i="51" s="1"/>
  <c r="AN303" i="50"/>
  <c r="AN293" i="51" s="1"/>
  <c r="AF295" i="50"/>
  <c r="AF285" i="51" s="1"/>
  <c r="AQ286" i="50"/>
  <c r="AQ276" i="51" s="1"/>
  <c r="AQ320" i="50"/>
  <c r="AR344" i="50" s="1"/>
  <c r="AO301" i="50"/>
  <c r="AO291" i="51" s="1"/>
  <c r="AP291" i="50"/>
  <c r="AP281" i="51" s="1"/>
  <c r="AR296" i="50"/>
  <c r="AR286" i="51" s="1"/>
  <c r="AO288" i="50"/>
  <c r="AO278" i="51" s="1"/>
  <c r="P288" i="50"/>
  <c r="P278" i="51" s="1"/>
  <c r="AG305" i="50"/>
  <c r="AG295" i="51" s="1"/>
  <c r="AL305" i="50"/>
  <c r="AL295" i="51" s="1"/>
  <c r="Y305" i="50"/>
  <c r="Y295" i="51" s="1"/>
  <c r="AG288" i="50"/>
  <c r="AG278" i="51" s="1"/>
  <c r="AE286" i="50"/>
  <c r="AE276" i="51" s="1"/>
  <c r="V284" i="50"/>
  <c r="V274" i="51" s="1"/>
  <c r="AR299" i="50"/>
  <c r="AR289" i="51" s="1"/>
  <c r="AN289" i="50"/>
  <c r="AN279" i="51" s="1"/>
  <c r="Y83" i="51"/>
  <c r="S83" i="51"/>
  <c r="R83" i="51"/>
  <c r="Z299" i="50"/>
  <c r="Z289" i="51" s="1"/>
  <c r="AR320" i="50"/>
  <c r="AJ280" i="50"/>
  <c r="AJ270" i="51" s="1"/>
  <c r="AD304" i="50"/>
  <c r="AD294" i="51" s="1"/>
  <c r="AR318" i="50"/>
  <c r="AR307" i="51" s="1"/>
  <c r="AO300" i="50"/>
  <c r="AO290" i="51" s="1"/>
  <c r="AJ293" i="50"/>
  <c r="AJ283" i="51" s="1"/>
  <c r="AF300" i="50"/>
  <c r="AF290" i="51" s="1"/>
  <c r="AI282" i="50"/>
  <c r="AI272" i="51" s="1"/>
  <c r="AK280" i="50"/>
  <c r="AK270" i="51" s="1"/>
  <c r="AQ280" i="50"/>
  <c r="AQ270" i="51" s="1"/>
  <c r="AG318" i="50"/>
  <c r="AG307" i="51" s="1"/>
  <c r="P307" i="50"/>
  <c r="P297" i="51" s="1"/>
  <c r="R307" i="50"/>
  <c r="R297" i="51" s="1"/>
  <c r="AP317" i="50"/>
  <c r="AP306" i="51" s="1"/>
  <c r="AL291" i="50"/>
  <c r="AL281" i="51" s="1"/>
  <c r="AL307" i="50"/>
  <c r="AL297" i="51" s="1"/>
  <c r="AB307" i="50"/>
  <c r="AB297" i="51" s="1"/>
  <c r="T307" i="50"/>
  <c r="T297" i="51" s="1"/>
  <c r="AO303" i="50"/>
  <c r="AO293" i="51" s="1"/>
  <c r="AA296" i="50"/>
  <c r="AA286" i="51" s="1"/>
  <c r="AM301" i="50"/>
  <c r="AM291" i="51" s="1"/>
  <c r="AI291" i="50"/>
  <c r="AI281" i="51" s="1"/>
  <c r="AH296" i="50"/>
  <c r="AH286" i="51" s="1"/>
  <c r="W296" i="50"/>
  <c r="W286" i="51" s="1"/>
  <c r="AI301" i="50"/>
  <c r="AI291" i="51" s="1"/>
  <c r="AO296" i="50"/>
  <c r="AO286" i="51" s="1"/>
  <c r="AN317" i="50"/>
  <c r="AN306" i="51" s="1"/>
  <c r="AP307" i="50"/>
  <c r="AP297" i="51" s="1"/>
  <c r="P296" i="50"/>
  <c r="P286" i="51" s="1"/>
  <c r="V307" i="50"/>
  <c r="V297" i="51" s="1"/>
  <c r="AH291" i="50"/>
  <c r="AH281" i="51" s="1"/>
  <c r="AH307" i="50"/>
  <c r="AH297" i="51" s="1"/>
  <c r="X296" i="50"/>
  <c r="X286" i="51" s="1"/>
  <c r="AA303" i="50"/>
  <c r="AA293" i="51" s="1"/>
  <c r="Y296" i="50"/>
  <c r="Y286" i="51" s="1"/>
  <c r="Z307" i="50"/>
  <c r="Z297" i="51" s="1"/>
  <c r="Z296" i="50"/>
  <c r="Z286" i="51" s="1"/>
  <c r="U300" i="50"/>
  <c r="U290" i="51" s="1"/>
  <c r="AQ307" i="50"/>
  <c r="AQ297" i="51" s="1"/>
  <c r="R296" i="50"/>
  <c r="R286" i="51" s="1"/>
  <c r="AR307" i="50"/>
  <c r="AR297" i="51" s="1"/>
  <c r="AN307" i="50"/>
  <c r="AN297" i="51" s="1"/>
  <c r="AP301" i="50"/>
  <c r="AP291" i="51" s="1"/>
  <c r="V296" i="50"/>
  <c r="V286" i="51" s="1"/>
  <c r="AI303" i="50"/>
  <c r="AI293" i="51" s="1"/>
  <c r="AN291" i="50"/>
  <c r="AN281" i="51" s="1"/>
  <c r="AD296" i="50"/>
  <c r="AD286" i="51" s="1"/>
  <c r="AA307" i="50"/>
  <c r="AA297" i="51" s="1"/>
  <c r="AL303" i="50"/>
  <c r="AL293" i="51" s="1"/>
  <c r="AM317" i="50"/>
  <c r="AM306" i="51" s="1"/>
  <c r="AJ291" i="50"/>
  <c r="AJ281" i="51" s="1"/>
  <c r="AN296" i="50"/>
  <c r="AN286" i="51" s="1"/>
  <c r="AH301" i="50"/>
  <c r="AH291" i="51" s="1"/>
  <c r="AI307" i="50"/>
  <c r="AI297" i="51" s="1"/>
  <c r="Q296" i="50"/>
  <c r="Q286" i="51" s="1"/>
  <c r="AK303" i="50"/>
  <c r="AK293" i="51" s="1"/>
  <c r="AM307" i="50"/>
  <c r="AM297" i="51" s="1"/>
  <c r="Y307" i="50"/>
  <c r="Y297" i="51" s="1"/>
  <c r="AQ317" i="50"/>
  <c r="AQ306" i="51" s="1"/>
  <c r="X307" i="50"/>
  <c r="X297" i="51" s="1"/>
  <c r="AN301" i="50"/>
  <c r="AN291" i="51" s="1"/>
  <c r="AC296" i="50"/>
  <c r="AC286" i="51" s="1"/>
  <c r="T296" i="50"/>
  <c r="T286" i="51" s="1"/>
  <c r="U296" i="50"/>
  <c r="U286" i="51" s="1"/>
  <c r="AG296" i="50"/>
  <c r="AG286" i="51" s="1"/>
  <c r="AJ307" i="50"/>
  <c r="AJ297" i="51" s="1"/>
  <c r="AR291" i="50"/>
  <c r="AR281" i="51" s="1"/>
  <c r="AO307" i="50"/>
  <c r="AO297" i="51" s="1"/>
  <c r="AE307" i="50"/>
  <c r="AE297" i="51" s="1"/>
  <c r="S307" i="50"/>
  <c r="S297" i="51" s="1"/>
  <c r="W307" i="50"/>
  <c r="W297" i="51" s="1"/>
  <c r="AD307" i="50"/>
  <c r="AD297" i="51" s="1"/>
  <c r="AK307" i="50"/>
  <c r="AK297" i="51" s="1"/>
  <c r="AR301" i="50"/>
  <c r="AR291" i="51" s="1"/>
  <c r="AK301" i="50"/>
  <c r="AK291" i="51" s="1"/>
  <c r="AL301" i="50"/>
  <c r="AL291" i="51" s="1"/>
  <c r="AJ303" i="50"/>
  <c r="AJ293" i="51" s="1"/>
  <c r="U307" i="50"/>
  <c r="U297" i="51" s="1"/>
  <c r="AO317" i="50"/>
  <c r="AO306" i="51" s="1"/>
  <c r="P303" i="50"/>
  <c r="P293" i="51" s="1"/>
  <c r="AK317" i="50"/>
  <c r="AK306" i="51" s="1"/>
  <c r="AF296" i="50"/>
  <c r="AF286" i="51" s="1"/>
  <c r="AH303" i="50"/>
  <c r="AH293" i="51" s="1"/>
  <c r="AQ301" i="50"/>
  <c r="AQ291" i="51" s="1"/>
  <c r="AJ296" i="50"/>
  <c r="AJ286" i="51" s="1"/>
  <c r="AR317" i="50"/>
  <c r="AR306" i="51" s="1"/>
  <c r="AK296" i="50"/>
  <c r="AK286" i="51" s="1"/>
  <c r="O307" i="50"/>
  <c r="O297" i="51" s="1"/>
  <c r="AG307" i="50"/>
  <c r="AG297" i="51" s="1"/>
  <c r="AC307" i="50"/>
  <c r="AC297" i="51" s="1"/>
  <c r="S300" i="50"/>
  <c r="S290" i="51" s="1"/>
  <c r="AE296" i="50"/>
  <c r="AE286" i="51" s="1"/>
  <c r="AK297" i="50"/>
  <c r="AK287" i="51" s="1"/>
  <c r="AI284" i="50"/>
  <c r="AI274" i="51" s="1"/>
  <c r="AN319" i="50"/>
  <c r="AN308" i="51" s="1"/>
  <c r="T299" i="50"/>
  <c r="T289" i="51" s="1"/>
  <c r="Q299" i="50"/>
  <c r="Q289" i="51" s="1"/>
  <c r="Y299" i="50"/>
  <c r="Y289" i="51" s="1"/>
  <c r="W284" i="50"/>
  <c r="W274" i="51" s="1"/>
  <c r="AD319" i="50"/>
  <c r="AD308" i="51" s="1"/>
  <c r="AM303" i="50"/>
  <c r="AM293" i="51" s="1"/>
  <c r="AG295" i="50"/>
  <c r="AG285" i="51" s="1"/>
  <c r="AE295" i="50"/>
  <c r="AE285" i="51" s="1"/>
  <c r="P319" i="50"/>
  <c r="P308" i="51" s="1"/>
  <c r="AH280" i="50"/>
  <c r="AH270" i="51" s="1"/>
  <c r="AK288" i="50"/>
  <c r="AK278" i="51" s="1"/>
  <c r="AH282" i="50"/>
  <c r="AH272" i="51" s="1"/>
  <c r="Q288" i="50"/>
  <c r="Q278" i="51" s="1"/>
  <c r="AK299" i="50"/>
  <c r="AK289" i="51" s="1"/>
  <c r="AE319" i="50"/>
  <c r="AE308" i="51" s="1"/>
  <c r="X286" i="50"/>
  <c r="X276" i="51" s="1"/>
  <c r="AM295" i="50"/>
  <c r="AM285" i="51" s="1"/>
  <c r="P305" i="50"/>
  <c r="P295" i="51" s="1"/>
  <c r="Y295" i="50"/>
  <c r="Y285" i="51" s="1"/>
  <c r="AI288" i="50"/>
  <c r="AI278" i="51" s="1"/>
  <c r="O305" i="50"/>
  <c r="O295" i="51" s="1"/>
  <c r="O295" i="50"/>
  <c r="O285" i="51" s="1"/>
  <c r="Y284" i="50"/>
  <c r="Y274" i="51" s="1"/>
  <c r="Q286" i="50"/>
  <c r="Q276" i="51" s="1"/>
  <c r="V305" i="50"/>
  <c r="V295" i="51" s="1"/>
  <c r="R288" i="50"/>
  <c r="R278" i="51" s="1"/>
  <c r="AK286" i="50"/>
  <c r="AK276" i="51" s="1"/>
  <c r="Z80" i="51"/>
  <c r="Y80" i="51"/>
  <c r="X80" i="51"/>
  <c r="W80" i="51"/>
  <c r="Q80" i="51"/>
  <c r="AQ305" i="50"/>
  <c r="AQ295" i="51" s="1"/>
  <c r="W305" i="50"/>
  <c r="W295" i="51" s="1"/>
  <c r="AB288" i="50"/>
  <c r="AB278" i="51" s="1"/>
  <c r="AN295" i="50"/>
  <c r="AN285" i="51" s="1"/>
  <c r="W286" i="50"/>
  <c r="W276" i="51" s="1"/>
  <c r="AR295" i="50"/>
  <c r="AR285" i="51" s="1"/>
  <c r="T305" i="50"/>
  <c r="T295" i="51" s="1"/>
  <c r="W288" i="50"/>
  <c r="W278" i="51" s="1"/>
  <c r="AR286" i="50"/>
  <c r="AR276" i="51" s="1"/>
  <c r="Z305" i="50"/>
  <c r="Z295" i="51" s="1"/>
  <c r="AA288" i="50"/>
  <c r="AA278" i="51" s="1"/>
  <c r="S286" i="50"/>
  <c r="S276" i="51" s="1"/>
  <c r="T288" i="50"/>
  <c r="T278" i="51" s="1"/>
  <c r="AQ295" i="50"/>
  <c r="AQ285" i="51" s="1"/>
  <c r="T286" i="50"/>
  <c r="T276" i="51" s="1"/>
  <c r="AB286" i="50"/>
  <c r="AB276" i="51" s="1"/>
  <c r="R295" i="50"/>
  <c r="R285" i="51" s="1"/>
  <c r="AO282" i="50"/>
  <c r="AO272" i="51" s="1"/>
  <c r="AO305" i="50"/>
  <c r="AO295" i="51" s="1"/>
  <c r="AP284" i="50"/>
  <c r="AP274" i="51" s="1"/>
  <c r="Y286" i="50"/>
  <c r="Y276" i="51" s="1"/>
  <c r="P299" i="50"/>
  <c r="P289" i="51" s="1"/>
  <c r="AP288" i="50"/>
  <c r="AP278" i="51" s="1"/>
  <c r="AA305" i="50"/>
  <c r="AA295" i="51" s="1"/>
  <c r="AQ282" i="50"/>
  <c r="AQ272" i="51" s="1"/>
  <c r="Z288" i="50"/>
  <c r="Z278" i="51" s="1"/>
  <c r="U288" i="50"/>
  <c r="U278" i="51" s="1"/>
  <c r="AK295" i="50"/>
  <c r="AK285" i="51" s="1"/>
  <c r="V288" i="50"/>
  <c r="V278" i="51" s="1"/>
  <c r="Q295" i="50"/>
  <c r="Q285" i="51" s="1"/>
  <c r="AC305" i="50"/>
  <c r="AC295" i="51" s="1"/>
  <c r="AQ319" i="50"/>
  <c r="AQ308" i="51" s="1"/>
  <c r="AO286" i="50"/>
  <c r="AO276" i="51" s="1"/>
  <c r="U295" i="50"/>
  <c r="U285" i="51" s="1"/>
  <c r="AD295" i="50"/>
  <c r="AD285" i="51" s="1"/>
  <c r="AM297" i="50"/>
  <c r="AM287" i="51" s="1"/>
  <c r="AL295" i="50"/>
  <c r="AL285" i="51" s="1"/>
  <c r="AC286" i="50"/>
  <c r="AC276" i="51" s="1"/>
  <c r="AF288" i="50"/>
  <c r="AF278" i="51" s="1"/>
  <c r="AA295" i="50"/>
  <c r="AA285" i="51" s="1"/>
  <c r="AH286" i="50"/>
  <c r="AH276" i="51" s="1"/>
  <c r="U80" i="51"/>
  <c r="T80" i="51"/>
  <c r="Y319" i="50"/>
  <c r="Y308" i="51" s="1"/>
  <c r="AJ284" i="50"/>
  <c r="AJ274" i="51" s="1"/>
  <c r="Q284" i="50"/>
  <c r="Q274" i="51" s="1"/>
  <c r="AC319" i="50"/>
  <c r="AC308" i="51" s="1"/>
  <c r="AG304" i="50"/>
  <c r="AG294" i="51" s="1"/>
  <c r="S304" i="50"/>
  <c r="S294" i="51" s="1"/>
  <c r="W318" i="50"/>
  <c r="W307" i="51" s="1"/>
  <c r="AK293" i="50"/>
  <c r="AK283" i="51" s="1"/>
  <c r="S318" i="50"/>
  <c r="S307" i="51" s="1"/>
  <c r="AB318" i="50"/>
  <c r="AB307" i="51" s="1"/>
  <c r="AG300" i="50"/>
  <c r="AG290" i="51" s="1"/>
  <c r="AL280" i="50"/>
  <c r="AL270" i="51" s="1"/>
  <c r="Q306" i="50"/>
  <c r="Q296" i="51" s="1"/>
  <c r="AI295" i="50"/>
  <c r="AI285" i="51" s="1"/>
  <c r="X295" i="50"/>
  <c r="X285" i="51" s="1"/>
  <c r="S295" i="50"/>
  <c r="S285" i="51" s="1"/>
  <c r="W300" i="50"/>
  <c r="W290" i="51" s="1"/>
  <c r="X318" i="50"/>
  <c r="X307" i="51" s="1"/>
  <c r="AP286" i="50"/>
  <c r="AP276" i="51" s="1"/>
  <c r="AK305" i="50"/>
  <c r="AK295" i="51" s="1"/>
  <c r="AJ305" i="50"/>
  <c r="AJ295" i="51" s="1"/>
  <c r="AH305" i="50"/>
  <c r="AH295" i="51" s="1"/>
  <c r="AF286" i="50"/>
  <c r="AF276" i="51" s="1"/>
  <c r="AL320" i="50"/>
  <c r="AM344" i="50" s="1"/>
  <c r="AH295" i="50"/>
  <c r="AH285" i="51" s="1"/>
  <c r="X305" i="50"/>
  <c r="X295" i="51" s="1"/>
  <c r="AL288" i="50"/>
  <c r="AL278" i="51" s="1"/>
  <c r="AR282" i="50"/>
  <c r="AR272" i="51" s="1"/>
  <c r="AC295" i="50"/>
  <c r="AC285" i="51" s="1"/>
  <c r="AI305" i="50"/>
  <c r="AI295" i="51" s="1"/>
  <c r="AN304" i="50"/>
  <c r="AN294" i="51" s="1"/>
  <c r="U305" i="50"/>
  <c r="U295" i="51" s="1"/>
  <c r="AN288" i="50"/>
  <c r="AN278" i="51" s="1"/>
  <c r="AE288" i="50"/>
  <c r="AE278" i="51" s="1"/>
  <c r="AJ288" i="50"/>
  <c r="AJ278" i="51" s="1"/>
  <c r="AH288" i="50"/>
  <c r="AH278" i="51" s="1"/>
  <c r="AP282" i="50"/>
  <c r="AP272" i="51" s="1"/>
  <c r="AD305" i="50"/>
  <c r="AD295" i="51" s="1"/>
  <c r="AJ318" i="50"/>
  <c r="AJ307" i="51" s="1"/>
  <c r="AN286" i="50"/>
  <c r="AN276" i="51" s="1"/>
  <c r="U286" i="50"/>
  <c r="U276" i="51" s="1"/>
  <c r="AN320" i="50"/>
  <c r="AO344" i="50" s="1"/>
  <c r="S305" i="50"/>
  <c r="S295" i="51" s="1"/>
  <c r="X288" i="50"/>
  <c r="X278" i="51" s="1"/>
  <c r="AN280" i="50"/>
  <c r="AN270" i="51" s="1"/>
  <c r="AF305" i="50"/>
  <c r="AF295" i="51" s="1"/>
  <c r="AM288" i="50"/>
  <c r="AM278" i="51" s="1"/>
  <c r="AD288" i="50"/>
  <c r="AD278" i="51" s="1"/>
  <c r="AM280" i="50"/>
  <c r="AM270" i="51" s="1"/>
  <c r="AG286" i="50"/>
  <c r="AG276" i="51" s="1"/>
  <c r="R286" i="50"/>
  <c r="R276" i="51" s="1"/>
  <c r="AM305" i="50"/>
  <c r="AM295" i="51" s="1"/>
  <c r="Y288" i="50"/>
  <c r="Y278" i="51" s="1"/>
  <c r="AO318" i="50"/>
  <c r="AO307" i="51" s="1"/>
  <c r="P286" i="50"/>
  <c r="P276" i="51" s="1"/>
  <c r="Z83" i="51"/>
  <c r="U83" i="51"/>
  <c r="AE300" i="50"/>
  <c r="AE290" i="51" s="1"/>
  <c r="AJ304" i="50"/>
  <c r="AJ294" i="51" s="1"/>
  <c r="Z300" i="50"/>
  <c r="Z290" i="51" s="1"/>
  <c r="T304" i="50"/>
  <c r="T294" i="51" s="1"/>
  <c r="T318" i="50"/>
  <c r="T307" i="51" s="1"/>
  <c r="AL300" i="50"/>
  <c r="AL290" i="51" s="1"/>
  <c r="AC300" i="50"/>
  <c r="AC290" i="51" s="1"/>
  <c r="AI306" i="50"/>
  <c r="AI296" i="51" s="1"/>
  <c r="AM306" i="50"/>
  <c r="AM296" i="51" s="1"/>
  <c r="AB305" i="50"/>
  <c r="AB295" i="51" s="1"/>
  <c r="W295" i="50"/>
  <c r="W285" i="51" s="1"/>
  <c r="Z295" i="50"/>
  <c r="Z285" i="51" s="1"/>
  <c r="AA318" i="50"/>
  <c r="AA307" i="51" s="1"/>
  <c r="AP305" i="50"/>
  <c r="AP295" i="51" s="1"/>
  <c r="AE305" i="50"/>
  <c r="AE295" i="51" s="1"/>
  <c r="T306" i="50"/>
  <c r="T296" i="51" s="1"/>
  <c r="AN293" i="50"/>
  <c r="AN283" i="51" s="1"/>
  <c r="AA286" i="50"/>
  <c r="AA276" i="51" s="1"/>
  <c r="U306" i="50"/>
  <c r="U296" i="51" s="1"/>
  <c r="AN305" i="50"/>
  <c r="AN295" i="51" s="1"/>
  <c r="AM282" i="50"/>
  <c r="AM272" i="51" s="1"/>
  <c r="AI280" i="50"/>
  <c r="AI270" i="51" s="1"/>
  <c r="Q305" i="50"/>
  <c r="Q295" i="51" s="1"/>
  <c r="AP295" i="50"/>
  <c r="AP285" i="51" s="1"/>
  <c r="V286" i="50"/>
  <c r="V276" i="51" s="1"/>
  <c r="Z304" i="50"/>
  <c r="Z294" i="51" s="1"/>
  <c r="AO280" i="50"/>
  <c r="AO270" i="51" s="1"/>
  <c r="AJ295" i="50"/>
  <c r="AJ285" i="51" s="1"/>
  <c r="AH293" i="50"/>
  <c r="AH283" i="51" s="1"/>
  <c r="AL286" i="50"/>
  <c r="AL276" i="51" s="1"/>
  <c r="AM286" i="50"/>
  <c r="AM276" i="51" s="1"/>
  <c r="AH320" i="50"/>
  <c r="AI344" i="50" s="1"/>
  <c r="S288" i="50"/>
  <c r="S278" i="51" s="1"/>
  <c r="O304" i="50"/>
  <c r="O294" i="51" s="1"/>
  <c r="AL306" i="50"/>
  <c r="AL296" i="51" s="1"/>
  <c r="AJ306" i="50"/>
  <c r="AJ296" i="51" s="1"/>
  <c r="AM300" i="50"/>
  <c r="AM290" i="51" s="1"/>
  <c r="AM304" i="50"/>
  <c r="AM294" i="51" s="1"/>
  <c r="AI286" i="50"/>
  <c r="AI276" i="51" s="1"/>
  <c r="AM320" i="50"/>
  <c r="AN344" i="50" s="1"/>
  <c r="AJ286" i="50"/>
  <c r="AJ276" i="51" s="1"/>
  <c r="X83" i="51"/>
  <c r="W83" i="51"/>
  <c r="Q304" i="50"/>
  <c r="Q294" i="51" s="1"/>
  <c r="AH300" i="50"/>
  <c r="AH290" i="51" s="1"/>
  <c r="AK306" i="50"/>
  <c r="AK296" i="51" s="1"/>
  <c r="W306" i="50"/>
  <c r="W296" i="51" s="1"/>
  <c r="O300" i="50"/>
  <c r="O290" i="51" s="1"/>
  <c r="V306" i="50"/>
  <c r="V296" i="51" s="1"/>
  <c r="AE306" i="50"/>
  <c r="AE296" i="51" s="1"/>
  <c r="R318" i="50"/>
  <c r="R307" i="51" s="1"/>
  <c r="AH306" i="50"/>
  <c r="AH296" i="51" s="1"/>
  <c r="X306" i="50"/>
  <c r="X296" i="51" s="1"/>
  <c r="AA304" i="50"/>
  <c r="AA294" i="51" s="1"/>
  <c r="V318" i="50"/>
  <c r="V307" i="51" s="1"/>
  <c r="Q300" i="50"/>
  <c r="Q290" i="51" s="1"/>
  <c r="AP306" i="50"/>
  <c r="AP296" i="51" s="1"/>
  <c r="AE304" i="50"/>
  <c r="AE294" i="51" s="1"/>
  <c r="AJ300" i="50"/>
  <c r="AJ290" i="51" s="1"/>
  <c r="R306" i="50"/>
  <c r="R296" i="51" s="1"/>
  <c r="AO306" i="50"/>
  <c r="AO296" i="51" s="1"/>
  <c r="Q318" i="50"/>
  <c r="Q307" i="51" s="1"/>
  <c r="AL318" i="50"/>
  <c r="AL307" i="51" s="1"/>
  <c r="AI293" i="50"/>
  <c r="AI283" i="51" s="1"/>
  <c r="Z303" i="50"/>
  <c r="Z293" i="51" s="1"/>
  <c r="Q303" i="50"/>
  <c r="Q293" i="51" s="1"/>
  <c r="AB306" i="50"/>
  <c r="AB296" i="51" s="1"/>
  <c r="AI304" i="50"/>
  <c r="AI294" i="51" s="1"/>
  <c r="Z306" i="50"/>
  <c r="Z296" i="51" s="1"/>
  <c r="AG306" i="50"/>
  <c r="AG296" i="51" s="1"/>
  <c r="AH304" i="50"/>
  <c r="AH294" i="51" s="1"/>
  <c r="AC306" i="50"/>
  <c r="AC296" i="51" s="1"/>
  <c r="AF304" i="50"/>
  <c r="AF294" i="51" s="1"/>
  <c r="AN318" i="50"/>
  <c r="AN307" i="51" s="1"/>
  <c r="U318" i="50"/>
  <c r="U307" i="51" s="1"/>
  <c r="AA306" i="50"/>
  <c r="AA296" i="51" s="1"/>
  <c r="AD318" i="50"/>
  <c r="AD307" i="51" s="1"/>
  <c r="AI318" i="50"/>
  <c r="AI307" i="51" s="1"/>
  <c r="AQ309" i="51"/>
  <c r="AR332" i="51" s="1"/>
  <c r="AM309" i="51"/>
  <c r="AN332" i="51" s="1"/>
  <c r="R304" i="50"/>
  <c r="R294" i="51" s="1"/>
  <c r="P304" i="50"/>
  <c r="P294" i="51" s="1"/>
  <c r="AB300" i="50"/>
  <c r="AB290" i="51" s="1"/>
  <c r="AL304" i="50"/>
  <c r="AL294" i="51" s="1"/>
  <c r="X300" i="50"/>
  <c r="X290" i="51" s="1"/>
  <c r="AQ300" i="50"/>
  <c r="AQ290" i="51" s="1"/>
  <c r="AO304" i="50"/>
  <c r="AO294" i="51" s="1"/>
  <c r="AK304" i="50"/>
  <c r="AK294" i="51" s="1"/>
  <c r="AQ318" i="50"/>
  <c r="AQ307" i="51" s="1"/>
  <c r="X304" i="50"/>
  <c r="X294" i="51" s="1"/>
  <c r="V304" i="50"/>
  <c r="V294" i="51" s="1"/>
  <c r="AC304" i="50"/>
  <c r="AC294" i="51" s="1"/>
  <c r="AA300" i="50"/>
  <c r="AA290" i="51" s="1"/>
  <c r="Y304" i="50"/>
  <c r="Y294" i="51" s="1"/>
  <c r="Y300" i="50"/>
  <c r="Y290" i="51" s="1"/>
  <c r="AQ304" i="50"/>
  <c r="AQ294" i="51" s="1"/>
  <c r="Y306" i="50"/>
  <c r="Y296" i="51" s="1"/>
  <c r="AC318" i="50"/>
  <c r="AC307" i="51" s="1"/>
  <c r="O318" i="50"/>
  <c r="O307" i="51" s="1"/>
  <c r="AF306" i="50"/>
  <c r="AF296" i="51" s="1"/>
  <c r="W304" i="50"/>
  <c r="W294" i="51" s="1"/>
  <c r="P318" i="50"/>
  <c r="P307" i="51" s="1"/>
  <c r="AK318" i="50"/>
  <c r="AK307" i="51" s="1"/>
  <c r="AR293" i="50"/>
  <c r="AR283" i="51" s="1"/>
  <c r="AO309" i="51"/>
  <c r="AP332" i="51" s="1"/>
  <c r="AR300" i="50"/>
  <c r="AR290" i="51" s="1"/>
  <c r="AN300" i="50"/>
  <c r="AN290" i="51" s="1"/>
  <c r="AN306" i="50"/>
  <c r="AN296" i="51" s="1"/>
  <c r="O306" i="50"/>
  <c r="O296" i="51" s="1"/>
  <c r="AP318" i="50"/>
  <c r="AP307" i="51" s="1"/>
  <c r="P306" i="50"/>
  <c r="P296" i="51" s="1"/>
  <c r="AR306" i="50"/>
  <c r="AR296" i="51" s="1"/>
  <c r="V300" i="50"/>
  <c r="V290" i="51" s="1"/>
  <c r="R300" i="50"/>
  <c r="R290" i="51" s="1"/>
  <c r="AK300" i="50"/>
  <c r="AK290" i="51" s="1"/>
  <c r="P300" i="50"/>
  <c r="P290" i="51" s="1"/>
  <c r="AF318" i="50"/>
  <c r="AF307" i="51" s="1"/>
  <c r="AH318" i="50"/>
  <c r="AH307" i="51" s="1"/>
  <c r="AF303" i="50"/>
  <c r="AF293" i="51" s="1"/>
  <c r="AP300" i="50"/>
  <c r="AP290" i="51" s="1"/>
  <c r="S306" i="50"/>
  <c r="S296" i="51" s="1"/>
  <c r="T300" i="50"/>
  <c r="T290" i="51" s="1"/>
  <c r="U304" i="50"/>
  <c r="U294" i="51" s="1"/>
  <c r="AR304" i="50"/>
  <c r="AR294" i="51" s="1"/>
  <c r="AM318" i="50"/>
  <c r="AM307" i="51" s="1"/>
  <c r="Y318" i="50"/>
  <c r="Y307" i="51" s="1"/>
  <c r="AC303" i="50"/>
  <c r="AC293" i="51" s="1"/>
  <c r="Z318" i="50"/>
  <c r="Z307" i="51" s="1"/>
  <c r="AI309" i="51"/>
  <c r="AJ332" i="51" s="1"/>
  <c r="U319" i="50"/>
  <c r="U308" i="51" s="1"/>
  <c r="AQ284" i="50"/>
  <c r="AQ274" i="51" s="1"/>
  <c r="O299" i="50"/>
  <c r="O289" i="51" s="1"/>
  <c r="AL289" i="50"/>
  <c r="AL279" i="51" s="1"/>
  <c r="AO289" i="50"/>
  <c r="AO279" i="51" s="1"/>
  <c r="AR289" i="50"/>
  <c r="AR279" i="51" s="1"/>
  <c r="AH299" i="50"/>
  <c r="AH289" i="51" s="1"/>
  <c r="W319" i="50"/>
  <c r="W308" i="51" s="1"/>
  <c r="AR284" i="50"/>
  <c r="AR274" i="51" s="1"/>
  <c r="AP297" i="50"/>
  <c r="AP287" i="51" s="1"/>
  <c r="V299" i="50"/>
  <c r="V289" i="51" s="1"/>
  <c r="AK289" i="50"/>
  <c r="AK279" i="51" s="1"/>
  <c r="R299" i="50"/>
  <c r="R289" i="51" s="1"/>
  <c r="Q319" i="50"/>
  <c r="Q308" i="51" s="1"/>
  <c r="AE284" i="50"/>
  <c r="AE274" i="51" s="1"/>
  <c r="AC299" i="50"/>
  <c r="AC289" i="51" s="1"/>
  <c r="U299" i="50"/>
  <c r="U289" i="51" s="1"/>
  <c r="AP289" i="50"/>
  <c r="AP279" i="51" s="1"/>
  <c r="AF319" i="50"/>
  <c r="AF308" i="51" s="1"/>
  <c r="AK319" i="50"/>
  <c r="AK308" i="51" s="1"/>
  <c r="AM284" i="50"/>
  <c r="AM274" i="51" s="1"/>
  <c r="X284" i="50"/>
  <c r="X274" i="51" s="1"/>
  <c r="AN297" i="50"/>
  <c r="AN287" i="51" s="1"/>
  <c r="AD299" i="50"/>
  <c r="AD289" i="51" s="1"/>
  <c r="AP319" i="50"/>
  <c r="AP308" i="51" s="1"/>
  <c r="T319" i="50"/>
  <c r="T308" i="51" s="1"/>
  <c r="AO284" i="50"/>
  <c r="AO274" i="51" s="1"/>
  <c r="AL284" i="50"/>
  <c r="AL274" i="51" s="1"/>
  <c r="AI299" i="50"/>
  <c r="AI289" i="51" s="1"/>
  <c r="AO297" i="50"/>
  <c r="AO287" i="51" s="1"/>
  <c r="AI319" i="50"/>
  <c r="AI308" i="51" s="1"/>
  <c r="Z82" i="51"/>
  <c r="W82" i="51"/>
  <c r="U82" i="51"/>
  <c r="AQ289" i="50"/>
  <c r="AQ279" i="51" s="1"/>
  <c r="AO299" i="50"/>
  <c r="AO289" i="51" s="1"/>
  <c r="S299" i="50"/>
  <c r="S289" i="51" s="1"/>
  <c r="AG284" i="50"/>
  <c r="AG274" i="51" s="1"/>
  <c r="AA299" i="50"/>
  <c r="AA289" i="51" s="1"/>
  <c r="W299" i="50"/>
  <c r="W289" i="51" s="1"/>
  <c r="AL297" i="50"/>
  <c r="AL287" i="51" s="1"/>
  <c r="AO319" i="50"/>
  <c r="AO308" i="51" s="1"/>
  <c r="AC284" i="50"/>
  <c r="AC274" i="51" s="1"/>
  <c r="X299" i="50"/>
  <c r="X289" i="51" s="1"/>
  <c r="AH297" i="50"/>
  <c r="AH287" i="51" s="1"/>
  <c r="AB299" i="50"/>
  <c r="AB289" i="51" s="1"/>
  <c r="Z319" i="50"/>
  <c r="Z308" i="51" s="1"/>
  <c r="AM319" i="50"/>
  <c r="AM308" i="51" s="1"/>
  <c r="U284" i="50"/>
  <c r="U274" i="51" s="1"/>
  <c r="R284" i="50"/>
  <c r="R274" i="51" s="1"/>
  <c r="AI297" i="50"/>
  <c r="AI287" i="51" s="1"/>
  <c r="AJ299" i="50"/>
  <c r="AJ289" i="51" s="1"/>
  <c r="AF299" i="50"/>
  <c r="AF289" i="51" s="1"/>
  <c r="AR319" i="50"/>
  <c r="AR308" i="51" s="1"/>
  <c r="X319" i="50"/>
  <c r="X308" i="51" s="1"/>
  <c r="P284" i="50"/>
  <c r="P274" i="51" s="1"/>
  <c r="AN284" i="50"/>
  <c r="AN274" i="51" s="1"/>
  <c r="AH319" i="50"/>
  <c r="AH308" i="51" s="1"/>
  <c r="Z284" i="50"/>
  <c r="Z274" i="51" s="1"/>
  <c r="Y82" i="51"/>
  <c r="X82" i="51"/>
  <c r="V82" i="51"/>
  <c r="T82" i="51"/>
  <c r="R82" i="51"/>
  <c r="AK309" i="51"/>
  <c r="AL332" i="51" s="1"/>
  <c r="AM299" i="50"/>
  <c r="AM289" i="51" s="1"/>
  <c r="AN299" i="50"/>
  <c r="AN289" i="51" s="1"/>
  <c r="AM289" i="50"/>
  <c r="AM279" i="51" s="1"/>
  <c r="AQ297" i="50"/>
  <c r="AQ287" i="51" s="1"/>
  <c r="AI289" i="50"/>
  <c r="AI279" i="51" s="1"/>
  <c r="R319" i="50"/>
  <c r="R308" i="51" s="1"/>
  <c r="AA319" i="50"/>
  <c r="AA308" i="51" s="1"/>
  <c r="AB319" i="50"/>
  <c r="AB308" i="51" s="1"/>
  <c r="AG319" i="50"/>
  <c r="AG308" i="51" s="1"/>
  <c r="S284" i="50"/>
  <c r="S274" i="51" s="1"/>
  <c r="T284" i="50"/>
  <c r="T274" i="51" s="1"/>
  <c r="AR280" i="50"/>
  <c r="AR270" i="51" s="1"/>
  <c r="P295" i="50"/>
  <c r="P285" i="51" s="1"/>
  <c r="AE299" i="50"/>
  <c r="AE289" i="51" s="1"/>
  <c r="AP299" i="50"/>
  <c r="AP289" i="51" s="1"/>
  <c r="AB295" i="50"/>
  <c r="AB285" i="51" s="1"/>
  <c r="AQ299" i="50"/>
  <c r="AQ289" i="51" s="1"/>
  <c r="S319" i="50"/>
  <c r="S308" i="51" s="1"/>
  <c r="AK284" i="50"/>
  <c r="AK274" i="51" s="1"/>
  <c r="AH284" i="50"/>
  <c r="AH274" i="51" s="1"/>
  <c r="AK320" i="50"/>
  <c r="AL344" i="50" s="1"/>
  <c r="AL319" i="50"/>
  <c r="AL308" i="51" s="1"/>
  <c r="AF284" i="50"/>
  <c r="AF274" i="51" s="1"/>
  <c r="S82" i="51"/>
  <c r="G809" i="51"/>
  <c r="X303" i="50"/>
  <c r="X293" i="51" s="1"/>
  <c r="S102" i="51"/>
  <c r="W100" i="51"/>
  <c r="R103" i="51"/>
  <c r="R104" i="51"/>
  <c r="AB284" i="50"/>
  <c r="AB274" i="51" s="1"/>
  <c r="AI320" i="50"/>
  <c r="AJ344" i="50" s="1"/>
  <c r="W77" i="51"/>
  <c r="S77" i="51"/>
  <c r="Z77" i="51"/>
  <c r="V77" i="51"/>
  <c r="R77" i="51"/>
  <c r="Y77" i="51"/>
  <c r="U77" i="51"/>
  <c r="Q77" i="51"/>
  <c r="X77" i="51"/>
  <c r="T77" i="51"/>
  <c r="Y76" i="51"/>
  <c r="U76" i="51"/>
  <c r="Q76" i="51"/>
  <c r="Z76" i="51"/>
  <c r="R76" i="51"/>
  <c r="X76" i="51"/>
  <c r="T76" i="51"/>
  <c r="W76" i="51"/>
  <c r="S76" i="51"/>
  <c r="V76" i="51"/>
  <c r="W71" i="51"/>
  <c r="S71" i="51"/>
  <c r="X71" i="51"/>
  <c r="Z71" i="51"/>
  <c r="V71" i="51"/>
  <c r="R71" i="51"/>
  <c r="T71" i="51"/>
  <c r="Y71" i="51"/>
  <c r="U71" i="51"/>
  <c r="Q71" i="51"/>
  <c r="W69" i="51"/>
  <c r="S69" i="51"/>
  <c r="T69" i="51"/>
  <c r="Z69" i="51"/>
  <c r="V69" i="51"/>
  <c r="R69" i="51"/>
  <c r="X69" i="51"/>
  <c r="Y69" i="51"/>
  <c r="U69" i="51"/>
  <c r="Q69" i="51"/>
  <c r="Y72" i="51"/>
  <c r="U72" i="51"/>
  <c r="Q72" i="51"/>
  <c r="V72" i="51"/>
  <c r="X72" i="51"/>
  <c r="T72" i="51"/>
  <c r="Z72" i="51"/>
  <c r="W72" i="51"/>
  <c r="S72" i="51"/>
  <c r="R72" i="51"/>
  <c r="AA284" i="50"/>
  <c r="AA274" i="51" s="1"/>
  <c r="AP320" i="50"/>
  <c r="AQ344" i="50" s="1"/>
  <c r="AL309" i="51"/>
  <c r="AM332" i="51" s="1"/>
  <c r="AJ309" i="51"/>
  <c r="AK332" i="51" s="1"/>
  <c r="AR309" i="51"/>
  <c r="AH309" i="51"/>
  <c r="AI332" i="51" s="1"/>
  <c r="G814" i="51"/>
  <c r="T295" i="50"/>
  <c r="T285" i="51" s="1"/>
  <c r="AD284" i="50"/>
  <c r="AD274" i="51" s="1"/>
  <c r="Z286" i="50"/>
  <c r="Z276" i="51" s="1"/>
  <c r="AJ282" i="50"/>
  <c r="AJ272" i="51" s="1"/>
  <c r="V319" i="50"/>
  <c r="V308" i="51" s="1"/>
  <c r="O319" i="50"/>
  <c r="O308" i="51" s="1"/>
  <c r="AM293" i="50"/>
  <c r="AM283" i="51" s="1"/>
  <c r="AQ293" i="50"/>
  <c r="AQ283" i="51" s="1"/>
  <c r="AO293" i="50"/>
  <c r="AO283" i="51" s="1"/>
  <c r="AK282" i="50"/>
  <c r="AK272" i="51" s="1"/>
  <c r="C880" i="51"/>
  <c r="H286" i="51"/>
  <c r="F286" i="51"/>
  <c r="D286" i="51"/>
  <c r="I286" i="51"/>
  <c r="K286" i="51"/>
  <c r="E286" i="51"/>
  <c r="G286" i="51" s="1"/>
  <c r="J286" i="51"/>
  <c r="D280" i="51"/>
  <c r="H279" i="51"/>
  <c r="J279" i="51"/>
  <c r="D279" i="51"/>
  <c r="E279" i="51"/>
  <c r="E280" i="51"/>
  <c r="G280" i="51" s="1"/>
  <c r="F279" i="51"/>
  <c r="K277" i="51"/>
  <c r="I277" i="51"/>
  <c r="D276" i="51"/>
  <c r="D277" i="51"/>
  <c r="I276" i="51"/>
  <c r="E277" i="51"/>
  <c r="G277" i="51" s="1"/>
  <c r="J276" i="51"/>
  <c r="K276" i="51"/>
  <c r="F276" i="51"/>
  <c r="E276" i="51"/>
  <c r="H276" i="51"/>
  <c r="G811" i="51"/>
  <c r="H290" i="51"/>
  <c r="F290" i="51"/>
  <c r="D290" i="51"/>
  <c r="I290" i="51"/>
  <c r="K290" i="51"/>
  <c r="E290" i="51"/>
  <c r="J290" i="51"/>
  <c r="I292" i="51"/>
  <c r="K292" i="51"/>
  <c r="J292" i="51"/>
  <c r="H292" i="51"/>
  <c r="F292" i="51"/>
  <c r="D292" i="51"/>
  <c r="E292" i="51"/>
  <c r="AP309" i="51"/>
  <c r="AQ332" i="51" s="1"/>
  <c r="E271" i="51"/>
  <c r="G271" i="51" s="1"/>
  <c r="D270" i="51"/>
  <c r="E270" i="51"/>
  <c r="J270" i="51"/>
  <c r="D271" i="51"/>
  <c r="F270" i="51"/>
  <c r="H270" i="51"/>
  <c r="E278" i="51"/>
  <c r="J278" i="51"/>
  <c r="H278" i="51"/>
  <c r="F278" i="51"/>
  <c r="I278" i="51"/>
  <c r="D278" i="51"/>
  <c r="K278" i="51"/>
  <c r="E282" i="51"/>
  <c r="G282" i="51" s="1"/>
  <c r="H281" i="51"/>
  <c r="E281" i="51"/>
  <c r="D281" i="51"/>
  <c r="J281" i="51"/>
  <c r="D282" i="51"/>
  <c r="F281" i="51"/>
  <c r="BJ46" i="47"/>
  <c r="Z40" i="47"/>
  <c r="BP47" i="47"/>
  <c r="T39" i="47"/>
  <c r="AF41" i="47"/>
  <c r="AX44" i="47"/>
  <c r="N38" i="47"/>
  <c r="BD45" i="47"/>
  <c r="AR43" i="47"/>
  <c r="AL42" i="47"/>
  <c r="G1" i="47"/>
  <c r="E86" i="51"/>
  <c r="D86" i="51"/>
  <c r="J86" i="51"/>
  <c r="H86" i="51"/>
  <c r="F86" i="51"/>
  <c r="K86" i="51"/>
  <c r="H83" i="51"/>
  <c r="J83" i="51"/>
  <c r="D83" i="51"/>
  <c r="F83" i="51"/>
  <c r="K83" i="51"/>
  <c r="E83" i="51"/>
  <c r="J72" i="51"/>
  <c r="F72" i="51"/>
  <c r="K72" i="51"/>
  <c r="E72" i="51"/>
  <c r="D72" i="51"/>
  <c r="H72" i="51"/>
  <c r="J85" i="51"/>
  <c r="F85" i="51"/>
  <c r="K85" i="51"/>
  <c r="E85" i="51"/>
  <c r="H85" i="51"/>
  <c r="D81" i="51"/>
  <c r="J81" i="51"/>
  <c r="F81" i="51"/>
  <c r="K81" i="51"/>
  <c r="E81" i="51"/>
  <c r="H81" i="51"/>
  <c r="G812" i="51"/>
  <c r="AD303" i="50"/>
  <c r="AD293" i="51" s="1"/>
  <c r="O303" i="50"/>
  <c r="O293" i="51" s="1"/>
  <c r="AO291" i="50"/>
  <c r="AO281" i="51" s="1"/>
  <c r="AM291" i="50"/>
  <c r="AM281" i="51" s="1"/>
  <c r="AP303" i="50"/>
  <c r="AP293" i="51" s="1"/>
  <c r="AQ303" i="50"/>
  <c r="AQ293" i="51" s="1"/>
  <c r="O296" i="50"/>
  <c r="O286" i="51" s="1"/>
  <c r="U303" i="50"/>
  <c r="U293" i="51" s="1"/>
  <c r="R303" i="50"/>
  <c r="R293" i="51" s="1"/>
  <c r="O286" i="50"/>
  <c r="O276" i="51" s="1"/>
  <c r="AJ320" i="50"/>
  <c r="AK344" i="50" s="1"/>
  <c r="E285" i="50"/>
  <c r="G285" i="50" s="1"/>
  <c r="D285" i="50"/>
  <c r="F284" i="50"/>
  <c r="H284" i="50"/>
  <c r="K284" i="50"/>
  <c r="I284" i="50"/>
  <c r="D284" i="50"/>
  <c r="I285" i="50"/>
  <c r="E284" i="50"/>
  <c r="K285" i="50"/>
  <c r="J284" i="50"/>
  <c r="K319" i="50"/>
  <c r="E319" i="50"/>
  <c r="J319" i="50"/>
  <c r="H319" i="50"/>
  <c r="F319" i="50"/>
  <c r="D319" i="50"/>
  <c r="I319" i="50"/>
  <c r="AG299" i="50"/>
  <c r="AG289" i="51" s="1"/>
  <c r="H299" i="50"/>
  <c r="F299" i="50"/>
  <c r="D299" i="50"/>
  <c r="I299" i="50"/>
  <c r="K299" i="50"/>
  <c r="E299" i="50"/>
  <c r="G299" i="50" s="1"/>
  <c r="J299" i="50"/>
  <c r="AR297" i="50"/>
  <c r="AR287" i="51" s="1"/>
  <c r="H297" i="50"/>
  <c r="J297" i="50"/>
  <c r="D297" i="50"/>
  <c r="F297" i="50"/>
  <c r="E298" i="50"/>
  <c r="G298" i="50" s="1"/>
  <c r="E297" i="50"/>
  <c r="D298" i="50"/>
  <c r="AF307" i="50"/>
  <c r="AF297" i="51" s="1"/>
  <c r="J307" i="50"/>
  <c r="H307" i="50"/>
  <c r="F307" i="50"/>
  <c r="D307" i="50"/>
  <c r="I307" i="50"/>
  <c r="K307" i="50"/>
  <c r="E307" i="50"/>
  <c r="AR305" i="50"/>
  <c r="AR295" i="51" s="1"/>
  <c r="I305" i="50"/>
  <c r="K305" i="50"/>
  <c r="E305" i="50"/>
  <c r="J305" i="50"/>
  <c r="H305" i="50"/>
  <c r="F305" i="50"/>
  <c r="D305" i="50"/>
  <c r="E84" i="50"/>
  <c r="J84" i="50"/>
  <c r="H84" i="50"/>
  <c r="F84" i="50"/>
  <c r="D84" i="50"/>
  <c r="K84" i="50"/>
  <c r="K82" i="50"/>
  <c r="H82" i="50"/>
  <c r="J82" i="50"/>
  <c r="D82" i="50"/>
  <c r="F82" i="50"/>
  <c r="E82" i="50"/>
  <c r="E68" i="50"/>
  <c r="H68" i="50"/>
  <c r="J68" i="50"/>
  <c r="K68" i="50"/>
  <c r="F68" i="50"/>
  <c r="D76" i="50"/>
  <c r="K76" i="50"/>
  <c r="E76" i="50"/>
  <c r="J76" i="50"/>
  <c r="H76" i="50"/>
  <c r="F76" i="50"/>
  <c r="F88" i="50"/>
  <c r="E88" i="50"/>
  <c r="K88" i="50"/>
  <c r="H88" i="50"/>
  <c r="J88" i="50"/>
  <c r="D88" i="50"/>
  <c r="H836" i="51"/>
  <c r="F836" i="51"/>
  <c r="D836" i="51"/>
  <c r="I836" i="51"/>
  <c r="K836" i="51"/>
  <c r="E836" i="51"/>
  <c r="G836" i="51" s="1"/>
  <c r="J836" i="51"/>
  <c r="J835" i="51"/>
  <c r="H835" i="51"/>
  <c r="F835" i="51"/>
  <c r="D835" i="51"/>
  <c r="K835" i="51"/>
  <c r="E835" i="51"/>
  <c r="I835" i="51"/>
  <c r="H306" i="51"/>
  <c r="J306" i="51"/>
  <c r="E306" i="51"/>
  <c r="F306" i="51"/>
  <c r="D306" i="51"/>
  <c r="K294" i="51"/>
  <c r="J294" i="51"/>
  <c r="F294" i="51"/>
  <c r="I294" i="51"/>
  <c r="H294" i="51"/>
  <c r="E294" i="51"/>
  <c r="D294" i="51"/>
  <c r="D273" i="51"/>
  <c r="F272" i="51"/>
  <c r="E273" i="51"/>
  <c r="G273" i="51" s="1"/>
  <c r="J272" i="51"/>
  <c r="H272" i="51"/>
  <c r="E272" i="51"/>
  <c r="G272" i="51" s="1"/>
  <c r="D272" i="51"/>
  <c r="D275" i="51"/>
  <c r="I274" i="51"/>
  <c r="E275" i="51"/>
  <c r="G275" i="51" s="1"/>
  <c r="J274" i="51"/>
  <c r="E274" i="51"/>
  <c r="K274" i="51"/>
  <c r="H274" i="51"/>
  <c r="K275" i="51"/>
  <c r="D274" i="51"/>
  <c r="F274" i="51"/>
  <c r="I275" i="51"/>
  <c r="J285" i="51"/>
  <c r="H285" i="51"/>
  <c r="F285" i="51"/>
  <c r="E285" i="51"/>
  <c r="D285" i="51"/>
  <c r="K285" i="51"/>
  <c r="I285" i="51"/>
  <c r="J287" i="51"/>
  <c r="D287" i="51"/>
  <c r="F287" i="51"/>
  <c r="E288" i="51"/>
  <c r="G288" i="51" s="1"/>
  <c r="E287" i="51"/>
  <c r="D288" i="51"/>
  <c r="H287" i="51"/>
  <c r="D283" i="51"/>
  <c r="J283" i="51"/>
  <c r="E284" i="51"/>
  <c r="G284" i="51" s="1"/>
  <c r="H283" i="51"/>
  <c r="E283" i="51"/>
  <c r="K283" i="51" s="1"/>
  <c r="D284" i="51"/>
  <c r="F283" i="51"/>
  <c r="F297" i="51"/>
  <c r="D297" i="51"/>
  <c r="K297" i="51"/>
  <c r="E297" i="51"/>
  <c r="J297" i="51"/>
  <c r="H297" i="51"/>
  <c r="I297" i="51"/>
  <c r="H291" i="51"/>
  <c r="D291" i="51"/>
  <c r="J291" i="51"/>
  <c r="E291" i="51"/>
  <c r="F291" i="51"/>
  <c r="K76" i="51"/>
  <c r="D76" i="51"/>
  <c r="E76" i="51"/>
  <c r="J76" i="51"/>
  <c r="F76" i="51"/>
  <c r="H76" i="51"/>
  <c r="H78" i="51"/>
  <c r="K78" i="51"/>
  <c r="J78" i="51"/>
  <c r="E78" i="51"/>
  <c r="F78" i="51"/>
  <c r="J77" i="51"/>
  <c r="F77" i="51"/>
  <c r="K77" i="51"/>
  <c r="H77" i="51"/>
  <c r="E77" i="51"/>
  <c r="D77" i="51"/>
  <c r="F68" i="51"/>
  <c r="H68" i="51"/>
  <c r="E68" i="51"/>
  <c r="J68" i="51"/>
  <c r="K68" i="51"/>
  <c r="F79" i="51"/>
  <c r="K79" i="51"/>
  <c r="E79" i="51"/>
  <c r="H79" i="51"/>
  <c r="J79" i="51"/>
  <c r="D79" i="51"/>
  <c r="H87" i="51"/>
  <c r="F87" i="51"/>
  <c r="E87" i="51"/>
  <c r="J87" i="51"/>
  <c r="D87" i="51"/>
  <c r="K87" i="51"/>
  <c r="AR303" i="50"/>
  <c r="AR293" i="51" s="1"/>
  <c r="AG303" i="50"/>
  <c r="AG293" i="51" s="1"/>
  <c r="S303" i="50"/>
  <c r="S293" i="51" s="1"/>
  <c r="T303" i="50"/>
  <c r="T293" i="51" s="1"/>
  <c r="AP304" i="50"/>
  <c r="AP294" i="51" s="1"/>
  <c r="I304" i="50"/>
  <c r="K304" i="50"/>
  <c r="E304" i="50"/>
  <c r="J304" i="50"/>
  <c r="H304" i="50"/>
  <c r="F304" i="50"/>
  <c r="D304" i="50"/>
  <c r="AI300" i="50"/>
  <c r="AI290" i="51" s="1"/>
  <c r="E300" i="50"/>
  <c r="J300" i="50"/>
  <c r="H300" i="50"/>
  <c r="F300" i="50"/>
  <c r="D300" i="50"/>
  <c r="I300" i="50"/>
  <c r="K300" i="50"/>
  <c r="AD306" i="50"/>
  <c r="AD296" i="51" s="1"/>
  <c r="J306" i="50"/>
  <c r="H306" i="50"/>
  <c r="F306" i="50"/>
  <c r="D306" i="50"/>
  <c r="I306" i="50"/>
  <c r="K306" i="50"/>
  <c r="E306" i="50"/>
  <c r="I318" i="50"/>
  <c r="K318" i="50"/>
  <c r="E318" i="50"/>
  <c r="F318" i="50"/>
  <c r="H318" i="50"/>
  <c r="D318" i="50"/>
  <c r="J318" i="50"/>
  <c r="AJ289" i="50"/>
  <c r="AJ279" i="51" s="1"/>
  <c r="D289" i="50"/>
  <c r="F289" i="50"/>
  <c r="E290" i="50"/>
  <c r="G290" i="50" s="1"/>
  <c r="E289" i="50"/>
  <c r="D290" i="50"/>
  <c r="H289" i="50"/>
  <c r="J289" i="50"/>
  <c r="J317" i="50"/>
  <c r="E317" i="50"/>
  <c r="F317" i="50"/>
  <c r="D317" i="50"/>
  <c r="H317" i="50"/>
  <c r="H80" i="50"/>
  <c r="F80" i="50"/>
  <c r="D80" i="50"/>
  <c r="J80" i="50"/>
  <c r="E80" i="50"/>
  <c r="K80" i="50"/>
  <c r="E78" i="50"/>
  <c r="K78" i="50"/>
  <c r="H78" i="50"/>
  <c r="J78" i="50"/>
  <c r="F78" i="50"/>
  <c r="F86" i="50"/>
  <c r="E86" i="50"/>
  <c r="H86" i="50"/>
  <c r="J86" i="50"/>
  <c r="K86" i="50"/>
  <c r="C109" i="50"/>
  <c r="R108" i="50"/>
  <c r="R106" i="51" s="1"/>
  <c r="R109" i="50"/>
  <c r="R107" i="51" s="1"/>
  <c r="C93" i="50"/>
  <c r="D99" i="50"/>
  <c r="C97" i="50"/>
  <c r="M107" i="50"/>
  <c r="C99" i="50"/>
  <c r="C107" i="50"/>
  <c r="D89" i="50"/>
  <c r="C91" i="50"/>
  <c r="C89" i="50"/>
  <c r="E89" i="50" s="1"/>
  <c r="C98" i="50"/>
  <c r="C108" i="50"/>
  <c r="C92" i="50"/>
  <c r="D107" i="50"/>
  <c r="C90" i="50"/>
  <c r="S109" i="50"/>
  <c r="S107" i="51" s="1"/>
  <c r="S108" i="50"/>
  <c r="S106" i="51" s="1"/>
  <c r="T108" i="50"/>
  <c r="T106" i="51" s="1"/>
  <c r="T109" i="50"/>
  <c r="T107" i="51" s="1"/>
  <c r="U108" i="50"/>
  <c r="U106" i="51" s="1"/>
  <c r="U109" i="50"/>
  <c r="U107" i="51" s="1"/>
  <c r="V108" i="50"/>
  <c r="V106" i="51" s="1"/>
  <c r="V109" i="50"/>
  <c r="V107" i="51" s="1"/>
  <c r="W109" i="50"/>
  <c r="W107" i="51" s="1"/>
  <c r="W108" i="50"/>
  <c r="W106" i="51" s="1"/>
  <c r="X109" i="50"/>
  <c r="X107" i="51" s="1"/>
  <c r="X108" i="50"/>
  <c r="X106" i="51" s="1"/>
  <c r="Y108" i="50"/>
  <c r="Y106" i="51" s="1"/>
  <c r="Y109" i="50"/>
  <c r="Y107" i="51" s="1"/>
  <c r="Z108" i="50"/>
  <c r="Z106" i="51" s="1"/>
  <c r="Z109" i="50"/>
  <c r="Z107" i="51" s="1"/>
  <c r="AA109" i="50"/>
  <c r="AA107" i="51" s="1"/>
  <c r="AA108" i="50"/>
  <c r="AA106" i="51" s="1"/>
  <c r="G829" i="51"/>
  <c r="K293" i="51"/>
  <c r="E293" i="51"/>
  <c r="J293" i="51"/>
  <c r="H293" i="51"/>
  <c r="D293" i="51"/>
  <c r="F293" i="51"/>
  <c r="I293" i="51"/>
  <c r="K308" i="51"/>
  <c r="E308" i="51"/>
  <c r="J308" i="51"/>
  <c r="H308" i="51"/>
  <c r="F308" i="51"/>
  <c r="D308" i="51"/>
  <c r="I308" i="51"/>
  <c r="I295" i="51"/>
  <c r="K295" i="51"/>
  <c r="H295" i="51"/>
  <c r="F295" i="51"/>
  <c r="D295" i="51"/>
  <c r="E295" i="51"/>
  <c r="J295" i="51"/>
  <c r="I296" i="51"/>
  <c r="K296" i="51"/>
  <c r="E296" i="51"/>
  <c r="D296" i="51"/>
  <c r="J296" i="51"/>
  <c r="F296" i="51"/>
  <c r="H296" i="51"/>
  <c r="D851" i="51"/>
  <c r="K851" i="51"/>
  <c r="J851" i="51"/>
  <c r="E851" i="51"/>
  <c r="C855" i="51"/>
  <c r="C857" i="51"/>
  <c r="C856" i="51"/>
  <c r="F851" i="51"/>
  <c r="C858" i="51"/>
  <c r="K852" i="51"/>
  <c r="C853" i="51"/>
  <c r="I852" i="51"/>
  <c r="E852" i="51"/>
  <c r="G852" i="51" s="1"/>
  <c r="D852" i="51"/>
  <c r="I851" i="51"/>
  <c r="H851" i="51"/>
  <c r="K82" i="51"/>
  <c r="E82" i="51"/>
  <c r="J82" i="51"/>
  <c r="H82" i="51"/>
  <c r="D82" i="51"/>
  <c r="F82" i="51"/>
  <c r="H70" i="51"/>
  <c r="J70" i="51"/>
  <c r="D70" i="51"/>
  <c r="E70" i="51"/>
  <c r="K70" i="51"/>
  <c r="F70" i="51"/>
  <c r="K71" i="51"/>
  <c r="F71" i="51"/>
  <c r="D71" i="51"/>
  <c r="J71" i="51"/>
  <c r="E71" i="51"/>
  <c r="H71" i="51"/>
  <c r="W303" i="50"/>
  <c r="W293" i="51" s="1"/>
  <c r="AE303" i="50"/>
  <c r="AE293" i="51" s="1"/>
  <c r="Y303" i="50"/>
  <c r="Y293" i="51" s="1"/>
  <c r="AO295" i="50"/>
  <c r="AO285" i="51" s="1"/>
  <c r="F295" i="50"/>
  <c r="D295" i="50"/>
  <c r="I295" i="50"/>
  <c r="K295" i="50"/>
  <c r="E295" i="50"/>
  <c r="H295" i="50"/>
  <c r="J295" i="50"/>
  <c r="E281" i="50"/>
  <c r="G281" i="50" s="1"/>
  <c r="E280" i="50"/>
  <c r="D281" i="50"/>
  <c r="H280" i="50"/>
  <c r="J280" i="50"/>
  <c r="D280" i="50"/>
  <c r="F280" i="50"/>
  <c r="AL282" i="50"/>
  <c r="AL272" i="51" s="1"/>
  <c r="F282" i="50"/>
  <c r="E283" i="50"/>
  <c r="G283" i="50" s="1"/>
  <c r="H282" i="50"/>
  <c r="E282" i="50"/>
  <c r="D282" i="50"/>
  <c r="J282" i="50"/>
  <c r="D283" i="50"/>
  <c r="AR288" i="50"/>
  <c r="AR278" i="51" s="1"/>
  <c r="K288" i="50"/>
  <c r="E288" i="50"/>
  <c r="J288" i="50"/>
  <c r="H288" i="50"/>
  <c r="F288" i="50"/>
  <c r="D288" i="50"/>
  <c r="I288" i="50"/>
  <c r="K302" i="50"/>
  <c r="E302" i="50"/>
  <c r="J302" i="50"/>
  <c r="H302" i="50"/>
  <c r="F302" i="50"/>
  <c r="D302" i="50"/>
  <c r="I302" i="50"/>
  <c r="J69" i="50"/>
  <c r="D69" i="50"/>
  <c r="F69" i="50"/>
  <c r="K69" i="50"/>
  <c r="E69" i="50"/>
  <c r="H69" i="50"/>
  <c r="J87" i="50"/>
  <c r="D87" i="50"/>
  <c r="F87" i="50"/>
  <c r="K87" i="50"/>
  <c r="E87" i="50"/>
  <c r="H87" i="50"/>
  <c r="K83" i="50"/>
  <c r="J83" i="50"/>
  <c r="H83" i="50"/>
  <c r="F83" i="50"/>
  <c r="D83" i="50"/>
  <c r="E83" i="50"/>
  <c r="E71" i="50"/>
  <c r="J71" i="50"/>
  <c r="H71" i="50"/>
  <c r="F71" i="50"/>
  <c r="D71" i="50"/>
  <c r="K71" i="50"/>
  <c r="I834" i="51"/>
  <c r="K834" i="51"/>
  <c r="E834" i="51"/>
  <c r="J834" i="51"/>
  <c r="F834" i="51"/>
  <c r="H834" i="51"/>
  <c r="D834" i="51"/>
  <c r="J289" i="51"/>
  <c r="H289" i="51"/>
  <c r="F289" i="51"/>
  <c r="D289" i="51"/>
  <c r="I289" i="51"/>
  <c r="K289" i="51"/>
  <c r="E289" i="51"/>
  <c r="F307" i="51"/>
  <c r="D307" i="51"/>
  <c r="E307" i="51"/>
  <c r="J307" i="51"/>
  <c r="H307" i="51"/>
  <c r="I307" i="51"/>
  <c r="K307" i="51"/>
  <c r="K84" i="51"/>
  <c r="H84" i="51"/>
  <c r="F84" i="51"/>
  <c r="J84" i="51"/>
  <c r="D84" i="51"/>
  <c r="E84" i="51"/>
  <c r="K69" i="51"/>
  <c r="E69" i="51"/>
  <c r="J69" i="51"/>
  <c r="H69" i="51"/>
  <c r="D69" i="51"/>
  <c r="F69" i="51"/>
  <c r="K80" i="51"/>
  <c r="H80" i="51"/>
  <c r="F80" i="51"/>
  <c r="D80" i="51"/>
  <c r="E80" i="51"/>
  <c r="J80" i="51"/>
  <c r="J303" i="50"/>
  <c r="H303" i="50"/>
  <c r="F303" i="50"/>
  <c r="D303" i="50"/>
  <c r="I303" i="50"/>
  <c r="K303" i="50"/>
  <c r="E303" i="50"/>
  <c r="G303" i="50" s="1"/>
  <c r="AJ301" i="50"/>
  <c r="AJ291" i="51" s="1"/>
  <c r="Y308" i="50"/>
  <c r="AC308" i="50"/>
  <c r="AG308" i="50"/>
  <c r="AK308" i="50"/>
  <c r="AO308" i="50"/>
  <c r="X308" i="50"/>
  <c r="T308" i="50"/>
  <c r="P308" i="50"/>
  <c r="Z308" i="50"/>
  <c r="AD308" i="50"/>
  <c r="AH308" i="50"/>
  <c r="AL308" i="50"/>
  <c r="AP308" i="50"/>
  <c r="W308" i="50"/>
  <c r="S308" i="50"/>
  <c r="AA308" i="50"/>
  <c r="AE308" i="50"/>
  <c r="AI308" i="50"/>
  <c r="AM308" i="50"/>
  <c r="AQ308" i="50"/>
  <c r="V308" i="50"/>
  <c r="R308" i="50"/>
  <c r="AF308" i="50"/>
  <c r="U308" i="50"/>
  <c r="C308" i="50"/>
  <c r="AJ308" i="50"/>
  <c r="Q308" i="50"/>
  <c r="AN308" i="50"/>
  <c r="AB308" i="50"/>
  <c r="AR308" i="50"/>
  <c r="H301" i="50"/>
  <c r="J301" i="50"/>
  <c r="D301" i="50"/>
  <c r="F301" i="50"/>
  <c r="E301" i="50"/>
  <c r="J291" i="50"/>
  <c r="D292" i="50"/>
  <c r="F291" i="50"/>
  <c r="E292" i="50"/>
  <c r="G292" i="50" s="1"/>
  <c r="H291" i="50"/>
  <c r="E291" i="50"/>
  <c r="D291" i="50"/>
  <c r="AQ296" i="50"/>
  <c r="AQ286" i="51" s="1"/>
  <c r="H296" i="50"/>
  <c r="F296" i="50"/>
  <c r="D296" i="50"/>
  <c r="I296" i="50"/>
  <c r="K296" i="50"/>
  <c r="E296" i="50"/>
  <c r="J296" i="50"/>
  <c r="D287" i="50"/>
  <c r="I286" i="50"/>
  <c r="E287" i="50"/>
  <c r="G287" i="50" s="1"/>
  <c r="J286" i="50"/>
  <c r="E286" i="50"/>
  <c r="K286" i="50"/>
  <c r="F286" i="50"/>
  <c r="H286" i="50"/>
  <c r="K287" i="50"/>
  <c r="I287" i="50"/>
  <c r="D286" i="50"/>
  <c r="D294" i="50"/>
  <c r="F293" i="50"/>
  <c r="E294" i="50"/>
  <c r="G294" i="50" s="1"/>
  <c r="H293" i="50"/>
  <c r="J293" i="50"/>
  <c r="E293" i="50"/>
  <c r="D293" i="50"/>
  <c r="H70" i="50"/>
  <c r="F70" i="50"/>
  <c r="D70" i="50"/>
  <c r="E70" i="50"/>
  <c r="K70" i="50"/>
  <c r="J70" i="50"/>
  <c r="J72" i="50"/>
  <c r="D72" i="50"/>
  <c r="F72" i="50"/>
  <c r="K72" i="50"/>
  <c r="E72" i="50"/>
  <c r="H72" i="50"/>
  <c r="J77" i="50"/>
  <c r="D77" i="50"/>
  <c r="F77" i="50"/>
  <c r="K77" i="50"/>
  <c r="E77" i="50"/>
  <c r="H77" i="50"/>
  <c r="C107" i="51"/>
  <c r="D98" i="51"/>
  <c r="C100" i="51"/>
  <c r="D93" i="51"/>
  <c r="C92" i="51"/>
  <c r="C90" i="51"/>
  <c r="C103" i="51"/>
  <c r="D88" i="51"/>
  <c r="M105" i="51"/>
  <c r="C105" i="51"/>
  <c r="D105" i="51"/>
  <c r="C96" i="51"/>
  <c r="C97" i="51"/>
  <c r="C91" i="51"/>
  <c r="C106" i="51"/>
  <c r="C88" i="51"/>
  <c r="C99" i="51"/>
  <c r="C104" i="51"/>
  <c r="C98" i="51"/>
  <c r="C101" i="51"/>
  <c r="C89" i="51"/>
  <c r="C102" i="51"/>
  <c r="D831" i="51"/>
  <c r="J831" i="51"/>
  <c r="K832" i="51"/>
  <c r="D832" i="51"/>
  <c r="F831" i="51"/>
  <c r="E832" i="51"/>
  <c r="G832" i="51" s="1"/>
  <c r="I831" i="51"/>
  <c r="H831" i="51"/>
  <c r="E831" i="51"/>
  <c r="K831" i="51"/>
  <c r="I832" i="51"/>
  <c r="J833" i="51"/>
  <c r="H833" i="51"/>
  <c r="F833" i="51"/>
  <c r="D833" i="51"/>
  <c r="I833" i="51"/>
  <c r="K833" i="51"/>
  <c r="E833" i="51"/>
  <c r="G833" i="51" s="1"/>
  <c r="G827" i="50"/>
  <c r="C855" i="50"/>
  <c r="I849" i="50"/>
  <c r="F849" i="50"/>
  <c r="I850" i="50"/>
  <c r="H849" i="50"/>
  <c r="E850" i="50"/>
  <c r="G850" i="50" s="1"/>
  <c r="E849" i="50"/>
  <c r="J849" i="50"/>
  <c r="C854" i="50"/>
  <c r="D850" i="50"/>
  <c r="C856" i="50"/>
  <c r="K850" i="50"/>
  <c r="C851" i="50"/>
  <c r="C853" i="50"/>
  <c r="K849" i="50"/>
  <c r="D849" i="50"/>
  <c r="D831" i="50"/>
  <c r="I831" i="50"/>
  <c r="K831" i="50"/>
  <c r="E831" i="50"/>
  <c r="J831" i="50"/>
  <c r="H831" i="50"/>
  <c r="F831" i="50"/>
  <c r="K834" i="50"/>
  <c r="J834" i="50"/>
  <c r="H834" i="50"/>
  <c r="E834" i="50"/>
  <c r="D834" i="50"/>
  <c r="I834" i="50"/>
  <c r="F834" i="50"/>
  <c r="D833" i="50"/>
  <c r="K833" i="50"/>
  <c r="E833" i="50"/>
  <c r="J833" i="50"/>
  <c r="H833" i="50"/>
  <c r="F833" i="50"/>
  <c r="I833" i="50"/>
  <c r="K832" i="50"/>
  <c r="I832" i="50"/>
  <c r="J832" i="50"/>
  <c r="H832" i="50"/>
  <c r="F832" i="50"/>
  <c r="D832" i="50"/>
  <c r="E832" i="50"/>
  <c r="E829" i="50"/>
  <c r="K829" i="50"/>
  <c r="F829" i="50"/>
  <c r="I830" i="50"/>
  <c r="E830" i="50"/>
  <c r="G830" i="50" s="1"/>
  <c r="D830" i="50"/>
  <c r="H829" i="50"/>
  <c r="J829" i="50"/>
  <c r="I829" i="50"/>
  <c r="D829" i="50"/>
  <c r="K830" i="50"/>
  <c r="B118" i="42"/>
  <c r="B884" i="51" s="1"/>
  <c r="C895" i="51" s="1"/>
  <c r="I874" i="51" l="1"/>
  <c r="B882" i="50"/>
  <c r="C893" i="50" s="1"/>
  <c r="D874" i="51"/>
  <c r="K874" i="51"/>
  <c r="Z98" i="51"/>
  <c r="S98" i="51"/>
  <c r="AA98" i="51"/>
  <c r="W98" i="51"/>
  <c r="X98" i="51"/>
  <c r="Y98" i="51"/>
  <c r="U98" i="51"/>
  <c r="V98" i="51"/>
  <c r="T98" i="51"/>
  <c r="R98" i="51"/>
  <c r="E874" i="51"/>
  <c r="G874" i="51" s="1"/>
  <c r="E873" i="51"/>
  <c r="D873" i="51"/>
  <c r="J873" i="51"/>
  <c r="H873" i="51"/>
  <c r="F873" i="51"/>
  <c r="I873" i="51"/>
  <c r="C879" i="51"/>
  <c r="H879" i="51" s="1"/>
  <c r="K873" i="51"/>
  <c r="C875" i="51"/>
  <c r="C877" i="51"/>
  <c r="E877" i="51" s="1"/>
  <c r="I871" i="50"/>
  <c r="G293" i="50"/>
  <c r="G307" i="50"/>
  <c r="K871" i="50"/>
  <c r="K872" i="50"/>
  <c r="C877" i="50"/>
  <c r="J877" i="50" s="1"/>
  <c r="G831" i="51"/>
  <c r="C878" i="50"/>
  <c r="J878" i="50" s="1"/>
  <c r="E872" i="50"/>
  <c r="G872" i="50" s="1"/>
  <c r="C876" i="50"/>
  <c r="K876" i="50" s="1"/>
  <c r="J871" i="50"/>
  <c r="C873" i="50"/>
  <c r="E874" i="50" s="1"/>
  <c r="G874" i="50" s="1"/>
  <c r="C875" i="50"/>
  <c r="J875" i="50" s="1"/>
  <c r="F871" i="50"/>
  <c r="H871" i="50"/>
  <c r="D872" i="50"/>
  <c r="E871" i="50"/>
  <c r="I872" i="50"/>
  <c r="G296" i="50"/>
  <c r="G295" i="50"/>
  <c r="G306" i="50"/>
  <c r="G290" i="51"/>
  <c r="R100" i="51"/>
  <c r="R102" i="51"/>
  <c r="Y102" i="51"/>
  <c r="X100" i="51"/>
  <c r="V102" i="51"/>
  <c r="G873" i="51"/>
  <c r="T100" i="51"/>
  <c r="G289" i="51"/>
  <c r="Y103" i="51"/>
  <c r="U102" i="51"/>
  <c r="W102" i="51"/>
  <c r="V104" i="51"/>
  <c r="S100" i="51"/>
  <c r="AA100" i="51"/>
  <c r="U100" i="51"/>
  <c r="AA103" i="51"/>
  <c r="Z100" i="51"/>
  <c r="Y100" i="51"/>
  <c r="W104" i="51"/>
  <c r="V100" i="51"/>
  <c r="T103" i="51"/>
  <c r="Z103" i="51"/>
  <c r="X103" i="51"/>
  <c r="S103" i="51"/>
  <c r="T102" i="51"/>
  <c r="K291" i="51"/>
  <c r="AA102" i="51"/>
  <c r="X104" i="51"/>
  <c r="S104" i="51"/>
  <c r="AA104" i="51"/>
  <c r="Z102" i="51"/>
  <c r="Y104" i="51"/>
  <c r="X102" i="51"/>
  <c r="W103" i="51"/>
  <c r="V103" i="51"/>
  <c r="U103" i="51"/>
  <c r="K280" i="50"/>
  <c r="Z104" i="51"/>
  <c r="U104" i="51"/>
  <c r="T104" i="51"/>
  <c r="G297" i="50"/>
  <c r="G284" i="50"/>
  <c r="AA96" i="51"/>
  <c r="W96" i="51"/>
  <c r="S96" i="51"/>
  <c r="Y96" i="51"/>
  <c r="U96" i="51"/>
  <c r="V96" i="51"/>
  <c r="Z96" i="51"/>
  <c r="T96" i="51"/>
  <c r="R96" i="51"/>
  <c r="X96" i="51"/>
  <c r="G289" i="50"/>
  <c r="Y68" i="51"/>
  <c r="U68" i="51"/>
  <c r="Y97" i="51"/>
  <c r="U97" i="51"/>
  <c r="AA97" i="51"/>
  <c r="W97" i="51"/>
  <c r="S97" i="51"/>
  <c r="T97" i="51"/>
  <c r="V97" i="51"/>
  <c r="Z97" i="51"/>
  <c r="R97" i="51"/>
  <c r="X97" i="51"/>
  <c r="K301" i="50"/>
  <c r="G307" i="51"/>
  <c r="G282" i="50"/>
  <c r="S91" i="51"/>
  <c r="Z91" i="51"/>
  <c r="V91" i="51"/>
  <c r="R91" i="51"/>
  <c r="X91" i="51"/>
  <c r="AA91" i="51"/>
  <c r="Y91" i="51"/>
  <c r="U91" i="51"/>
  <c r="T91" i="51"/>
  <c r="W91" i="51"/>
  <c r="G318" i="50"/>
  <c r="I291" i="51"/>
  <c r="G294" i="51"/>
  <c r="G292" i="51"/>
  <c r="X68" i="51"/>
  <c r="T68" i="51"/>
  <c r="U92" i="51"/>
  <c r="X92" i="51"/>
  <c r="T92" i="51"/>
  <c r="V92" i="51"/>
  <c r="AA92" i="51"/>
  <c r="W92" i="51"/>
  <c r="S92" i="51"/>
  <c r="Z92" i="51"/>
  <c r="R92" i="51"/>
  <c r="Y92" i="51"/>
  <c r="W68" i="51"/>
  <c r="S68" i="51"/>
  <c r="AA89" i="51"/>
  <c r="Z89" i="51"/>
  <c r="V89" i="51"/>
  <c r="R89" i="51"/>
  <c r="T89" i="51"/>
  <c r="S89" i="51"/>
  <c r="Y89" i="51"/>
  <c r="U89" i="51"/>
  <c r="X89" i="51"/>
  <c r="W89" i="51"/>
  <c r="Z68" i="51"/>
  <c r="V68" i="51"/>
  <c r="G296" i="51"/>
  <c r="G295" i="51"/>
  <c r="K317" i="50"/>
  <c r="G286" i="50"/>
  <c r="I301" i="50"/>
  <c r="G302" i="50"/>
  <c r="G317" i="50"/>
  <c r="I287" i="51"/>
  <c r="K279" i="51"/>
  <c r="I290" i="50"/>
  <c r="I279" i="51"/>
  <c r="I280" i="50"/>
  <c r="K270" i="51"/>
  <c r="K271" i="51"/>
  <c r="I271" i="51"/>
  <c r="I270" i="51"/>
  <c r="W85" i="51"/>
  <c r="S85" i="51"/>
  <c r="Z85" i="51"/>
  <c r="V85" i="51"/>
  <c r="R85" i="51"/>
  <c r="Y85" i="51"/>
  <c r="U85" i="51"/>
  <c r="Q85" i="51"/>
  <c r="X85" i="51"/>
  <c r="T85" i="51"/>
  <c r="Z70" i="51"/>
  <c r="K291" i="50"/>
  <c r="I291" i="50"/>
  <c r="I284" i="51"/>
  <c r="Y70" i="51"/>
  <c r="S70" i="51"/>
  <c r="X70" i="51"/>
  <c r="V70" i="51"/>
  <c r="U70" i="51"/>
  <c r="T70" i="51"/>
  <c r="W70" i="51"/>
  <c r="R70" i="51"/>
  <c r="Q70" i="51"/>
  <c r="G306" i="51"/>
  <c r="I306" i="51"/>
  <c r="G319" i="50"/>
  <c r="G297" i="51"/>
  <c r="G287" i="51"/>
  <c r="I298" i="50"/>
  <c r="K287" i="51"/>
  <c r="K298" i="50"/>
  <c r="I283" i="51"/>
  <c r="I294" i="50"/>
  <c r="K284" i="51"/>
  <c r="I293" i="50"/>
  <c r="K293" i="50"/>
  <c r="K294" i="50"/>
  <c r="K281" i="51"/>
  <c r="K282" i="51"/>
  <c r="I282" i="51"/>
  <c r="I292" i="50"/>
  <c r="K292" i="50"/>
  <c r="I281" i="51"/>
  <c r="K289" i="50"/>
  <c r="I282" i="50"/>
  <c r="K283" i="50"/>
  <c r="I283" i="50"/>
  <c r="I273" i="51"/>
  <c r="K282" i="50"/>
  <c r="I272" i="51"/>
  <c r="K272" i="51"/>
  <c r="K273" i="51"/>
  <c r="G834" i="51"/>
  <c r="I71" i="50"/>
  <c r="G71" i="50"/>
  <c r="G87" i="50"/>
  <c r="I87" i="50"/>
  <c r="H858" i="51"/>
  <c r="D858" i="51"/>
  <c r="K858" i="51"/>
  <c r="E858" i="51"/>
  <c r="I858" i="51"/>
  <c r="J858" i="51"/>
  <c r="F858" i="51"/>
  <c r="F855" i="51"/>
  <c r="D855" i="51"/>
  <c r="J855" i="51"/>
  <c r="H855" i="51"/>
  <c r="K855" i="51"/>
  <c r="E855" i="51"/>
  <c r="I855" i="51"/>
  <c r="D92" i="50"/>
  <c r="K92" i="50"/>
  <c r="E92" i="50"/>
  <c r="J92" i="50"/>
  <c r="H92" i="50"/>
  <c r="F92" i="50"/>
  <c r="K103" i="50"/>
  <c r="H103" i="50"/>
  <c r="J103" i="50"/>
  <c r="D103" i="50"/>
  <c r="F103" i="50"/>
  <c r="E103" i="50"/>
  <c r="H107" i="50"/>
  <c r="J107" i="50"/>
  <c r="K107" i="50"/>
  <c r="E107" i="50"/>
  <c r="F107" i="50"/>
  <c r="I79" i="51"/>
  <c r="G79" i="51"/>
  <c r="G88" i="50"/>
  <c r="I88" i="50"/>
  <c r="I85" i="51"/>
  <c r="G85" i="51"/>
  <c r="I280" i="51"/>
  <c r="J880" i="51"/>
  <c r="D880" i="51"/>
  <c r="F880" i="51"/>
  <c r="I880" i="51"/>
  <c r="K880" i="51"/>
  <c r="H880" i="51"/>
  <c r="E880" i="51"/>
  <c r="G880" i="51" s="1"/>
  <c r="E101" i="51"/>
  <c r="F101" i="51"/>
  <c r="J101" i="51"/>
  <c r="H101" i="51"/>
  <c r="D101" i="51"/>
  <c r="K101" i="51"/>
  <c r="I895" i="51"/>
  <c r="D895" i="51"/>
  <c r="K895" i="51"/>
  <c r="J895" i="51"/>
  <c r="E895" i="51"/>
  <c r="C902" i="51"/>
  <c r="C899" i="51"/>
  <c r="F895" i="51"/>
  <c r="C900" i="51"/>
  <c r="C901" i="51"/>
  <c r="K896" i="51"/>
  <c r="C897" i="51"/>
  <c r="D896" i="51"/>
  <c r="I896" i="51"/>
  <c r="H895" i="51"/>
  <c r="E896" i="51"/>
  <c r="G896" i="51" s="1"/>
  <c r="E98" i="51"/>
  <c r="F98" i="51"/>
  <c r="H98" i="51"/>
  <c r="K98" i="51"/>
  <c r="J98" i="51"/>
  <c r="E106" i="51"/>
  <c r="K106" i="51"/>
  <c r="J106" i="51"/>
  <c r="F106" i="51"/>
  <c r="H106" i="51"/>
  <c r="D106" i="51"/>
  <c r="H103" i="51"/>
  <c r="J103" i="51"/>
  <c r="D103" i="51"/>
  <c r="F103" i="51"/>
  <c r="K103" i="51"/>
  <c r="E103" i="51"/>
  <c r="K100" i="51"/>
  <c r="H100" i="51"/>
  <c r="F100" i="51"/>
  <c r="J100" i="51"/>
  <c r="E100" i="51"/>
  <c r="D100" i="51"/>
  <c r="I69" i="51"/>
  <c r="G69" i="51"/>
  <c r="G83" i="50"/>
  <c r="I83" i="50"/>
  <c r="G288" i="50"/>
  <c r="I281" i="50"/>
  <c r="G280" i="50"/>
  <c r="G851" i="51"/>
  <c r="F90" i="50"/>
  <c r="E90" i="50"/>
  <c r="K90" i="50"/>
  <c r="H90" i="50"/>
  <c r="J90" i="50"/>
  <c r="D90" i="50"/>
  <c r="J108" i="50"/>
  <c r="D108" i="50"/>
  <c r="F108" i="50"/>
  <c r="K108" i="50"/>
  <c r="E108" i="50"/>
  <c r="H108" i="50"/>
  <c r="H91" i="50"/>
  <c r="F91" i="50"/>
  <c r="D91" i="50"/>
  <c r="E91" i="50"/>
  <c r="K91" i="50"/>
  <c r="J91" i="50"/>
  <c r="E97" i="50"/>
  <c r="J97" i="50"/>
  <c r="H97" i="50"/>
  <c r="F97" i="50"/>
  <c r="D97" i="50"/>
  <c r="K97" i="50"/>
  <c r="G78" i="50"/>
  <c r="I78" i="50"/>
  <c r="I317" i="50"/>
  <c r="I289" i="50"/>
  <c r="G300" i="50"/>
  <c r="I68" i="51"/>
  <c r="G68" i="51"/>
  <c r="G77" i="51"/>
  <c r="I77" i="51"/>
  <c r="G291" i="51"/>
  <c r="K288" i="51"/>
  <c r="G285" i="51"/>
  <c r="I86" i="51"/>
  <c r="G86" i="51"/>
  <c r="K879" i="51"/>
  <c r="K96" i="51"/>
  <c r="D96" i="51"/>
  <c r="J96" i="51"/>
  <c r="H96" i="51"/>
  <c r="E96" i="51"/>
  <c r="F96" i="51"/>
  <c r="K104" i="51"/>
  <c r="F104" i="51"/>
  <c r="D104" i="51"/>
  <c r="J104" i="51"/>
  <c r="H104" i="51"/>
  <c r="E104" i="51"/>
  <c r="K91" i="51"/>
  <c r="J91" i="51"/>
  <c r="H91" i="51"/>
  <c r="D91" i="51"/>
  <c r="E91" i="51"/>
  <c r="F91" i="51"/>
  <c r="E105" i="51"/>
  <c r="F105" i="51"/>
  <c r="K105" i="51"/>
  <c r="J105" i="51"/>
  <c r="H105" i="51"/>
  <c r="H90" i="51"/>
  <c r="J90" i="51"/>
  <c r="D90" i="51"/>
  <c r="F90" i="51"/>
  <c r="K90" i="51"/>
  <c r="E90" i="51"/>
  <c r="I77" i="50"/>
  <c r="G77" i="50"/>
  <c r="G291" i="50"/>
  <c r="G69" i="50"/>
  <c r="I69" i="50"/>
  <c r="I70" i="51"/>
  <c r="G70" i="51"/>
  <c r="I82" i="51"/>
  <c r="G82" i="51"/>
  <c r="E853" i="51"/>
  <c r="D853" i="51"/>
  <c r="J853" i="51"/>
  <c r="K854" i="51"/>
  <c r="D854" i="51"/>
  <c r="F853" i="51"/>
  <c r="K853" i="51"/>
  <c r="I853" i="51"/>
  <c r="I854" i="51"/>
  <c r="E854" i="51"/>
  <c r="G854" i="51" s="1"/>
  <c r="H853" i="51"/>
  <c r="F856" i="51"/>
  <c r="H856" i="51"/>
  <c r="J856" i="51"/>
  <c r="E856" i="51"/>
  <c r="I856" i="51"/>
  <c r="D856" i="51"/>
  <c r="K856" i="51"/>
  <c r="G293" i="51"/>
  <c r="J98" i="50"/>
  <c r="D98" i="50"/>
  <c r="F98" i="50"/>
  <c r="K98" i="50"/>
  <c r="E98" i="50"/>
  <c r="H98" i="50"/>
  <c r="E105" i="50"/>
  <c r="J105" i="50"/>
  <c r="H105" i="50"/>
  <c r="F105" i="50"/>
  <c r="D105" i="50"/>
  <c r="K105" i="50"/>
  <c r="K99" i="50"/>
  <c r="H99" i="50"/>
  <c r="J99" i="50"/>
  <c r="F99" i="50"/>
  <c r="E99" i="50"/>
  <c r="G80" i="50"/>
  <c r="I80" i="50"/>
  <c r="K290" i="50"/>
  <c r="I87" i="51"/>
  <c r="G87" i="51"/>
  <c r="I76" i="51"/>
  <c r="G76" i="51"/>
  <c r="I68" i="50"/>
  <c r="G68" i="50"/>
  <c r="R68" i="51"/>
  <c r="I84" i="50"/>
  <c r="G84" i="50"/>
  <c r="K297" i="50"/>
  <c r="G81" i="51"/>
  <c r="I81" i="51"/>
  <c r="I72" i="51"/>
  <c r="G72" i="51"/>
  <c r="I83" i="51"/>
  <c r="G83" i="51"/>
  <c r="G281" i="51"/>
  <c r="G278" i="51"/>
  <c r="G276" i="51"/>
  <c r="K280" i="51"/>
  <c r="G279" i="51"/>
  <c r="K102" i="51"/>
  <c r="H102" i="51"/>
  <c r="F102" i="51"/>
  <c r="D102" i="51"/>
  <c r="J102" i="51"/>
  <c r="E102" i="51"/>
  <c r="J88" i="51"/>
  <c r="K88" i="51"/>
  <c r="H88" i="51"/>
  <c r="E88" i="51"/>
  <c r="F88" i="51"/>
  <c r="I72" i="50"/>
  <c r="G72" i="50"/>
  <c r="I80" i="51"/>
  <c r="G80" i="51"/>
  <c r="K89" i="51"/>
  <c r="H89" i="51"/>
  <c r="F89" i="51"/>
  <c r="D89" i="51"/>
  <c r="E89" i="51"/>
  <c r="J89" i="51"/>
  <c r="H99" i="51"/>
  <c r="J99" i="51"/>
  <c r="D99" i="51"/>
  <c r="F99" i="51"/>
  <c r="E99" i="51"/>
  <c r="K99" i="51"/>
  <c r="E97" i="51"/>
  <c r="J97" i="51"/>
  <c r="F97" i="51"/>
  <c r="K97" i="51"/>
  <c r="H97" i="51"/>
  <c r="D97" i="51"/>
  <c r="J92" i="51"/>
  <c r="E92" i="51"/>
  <c r="K92" i="51"/>
  <c r="D92" i="51"/>
  <c r="H92" i="51"/>
  <c r="F92" i="51"/>
  <c r="H107" i="51"/>
  <c r="F107" i="51"/>
  <c r="E107" i="51"/>
  <c r="J107" i="51"/>
  <c r="D107" i="51"/>
  <c r="K107" i="51"/>
  <c r="G70" i="50"/>
  <c r="I70" i="50"/>
  <c r="G301" i="50"/>
  <c r="I84" i="51"/>
  <c r="G84" i="51"/>
  <c r="K281" i="50"/>
  <c r="G71" i="51"/>
  <c r="I71" i="51"/>
  <c r="I857" i="51"/>
  <c r="H857" i="51"/>
  <c r="E857" i="51"/>
  <c r="K857" i="51"/>
  <c r="F857" i="51"/>
  <c r="J857" i="51"/>
  <c r="D857" i="51"/>
  <c r="G308" i="51"/>
  <c r="H89" i="50"/>
  <c r="K89" i="50"/>
  <c r="J89" i="50"/>
  <c r="F89" i="50"/>
  <c r="D101" i="50"/>
  <c r="K101" i="50"/>
  <c r="E101" i="50"/>
  <c r="J101" i="50"/>
  <c r="H101" i="50"/>
  <c r="F101" i="50"/>
  <c r="J104" i="50"/>
  <c r="H104" i="50"/>
  <c r="F104" i="50"/>
  <c r="D104" i="50"/>
  <c r="K104" i="50"/>
  <c r="E104" i="50"/>
  <c r="E93" i="50"/>
  <c r="H93" i="50"/>
  <c r="K93" i="50"/>
  <c r="J93" i="50"/>
  <c r="F93" i="50"/>
  <c r="D93" i="50"/>
  <c r="K109" i="50"/>
  <c r="H109" i="50"/>
  <c r="J109" i="50"/>
  <c r="D109" i="50"/>
  <c r="F109" i="50"/>
  <c r="E109" i="50"/>
  <c r="G86" i="50"/>
  <c r="I86" i="50"/>
  <c r="G304" i="50"/>
  <c r="I78" i="51"/>
  <c r="G78" i="51"/>
  <c r="G283" i="51"/>
  <c r="I288" i="51"/>
  <c r="G274" i="51"/>
  <c r="K306" i="51"/>
  <c r="G835" i="51"/>
  <c r="I76" i="50"/>
  <c r="G76" i="50"/>
  <c r="G82" i="50"/>
  <c r="I82" i="50"/>
  <c r="G305" i="50"/>
  <c r="I297" i="50"/>
  <c r="BP46" i="47"/>
  <c r="Z39" i="47"/>
  <c r="BD44" i="47"/>
  <c r="BV47" i="47"/>
  <c r="T38" i="47"/>
  <c r="AX43" i="47"/>
  <c r="BJ45" i="47"/>
  <c r="AR42" i="47"/>
  <c r="H1" i="47"/>
  <c r="AF40" i="47"/>
  <c r="AL41" i="47"/>
  <c r="G270" i="51"/>
  <c r="K876" i="51"/>
  <c r="D876" i="51"/>
  <c r="E875" i="51"/>
  <c r="E876" i="51"/>
  <c r="G876" i="51" s="1"/>
  <c r="K875" i="51"/>
  <c r="J875" i="51"/>
  <c r="H875" i="51"/>
  <c r="I875" i="51"/>
  <c r="D875" i="51"/>
  <c r="F875" i="51"/>
  <c r="I876" i="51"/>
  <c r="H877" i="51"/>
  <c r="F877" i="51"/>
  <c r="D877" i="51"/>
  <c r="J877" i="51"/>
  <c r="K877" i="51"/>
  <c r="I877" i="51"/>
  <c r="J878" i="51"/>
  <c r="I878" i="51"/>
  <c r="K878" i="51"/>
  <c r="F878" i="51"/>
  <c r="E878" i="51"/>
  <c r="H878" i="51"/>
  <c r="D878" i="51"/>
  <c r="G832" i="50"/>
  <c r="G834" i="50"/>
  <c r="G829" i="50"/>
  <c r="G831" i="50"/>
  <c r="K874" i="50"/>
  <c r="H873" i="50"/>
  <c r="F873" i="50"/>
  <c r="I873" i="50"/>
  <c r="J873" i="50"/>
  <c r="D873" i="50"/>
  <c r="K873" i="50"/>
  <c r="D874" i="50"/>
  <c r="B904" i="50"/>
  <c r="C915" i="50" s="1"/>
  <c r="G833" i="50"/>
  <c r="J856" i="50"/>
  <c r="D856" i="50"/>
  <c r="H856" i="50"/>
  <c r="K856" i="50"/>
  <c r="E856" i="50"/>
  <c r="F856" i="50"/>
  <c r="I856" i="50"/>
  <c r="G849" i="50"/>
  <c r="D893" i="50"/>
  <c r="C897" i="50"/>
  <c r="C900" i="50"/>
  <c r="E893" i="50"/>
  <c r="C899" i="50"/>
  <c r="C898" i="50"/>
  <c r="C895" i="50"/>
  <c r="K894" i="50"/>
  <c r="D894" i="50"/>
  <c r="I894" i="50"/>
  <c r="J893" i="50"/>
  <c r="E894" i="50"/>
  <c r="G894" i="50" s="1"/>
  <c r="H893" i="50"/>
  <c r="K893" i="50"/>
  <c r="F893" i="50"/>
  <c r="I893" i="50"/>
  <c r="I853" i="50"/>
  <c r="K853" i="50"/>
  <c r="E853" i="50"/>
  <c r="J853" i="50"/>
  <c r="H853" i="50"/>
  <c r="F853" i="50"/>
  <c r="D853" i="50"/>
  <c r="H878" i="50"/>
  <c r="I852" i="50"/>
  <c r="K852" i="50"/>
  <c r="D852" i="50"/>
  <c r="H851" i="50"/>
  <c r="E852" i="50"/>
  <c r="G852" i="50" s="1"/>
  <c r="I851" i="50"/>
  <c r="D851" i="50"/>
  <c r="J851" i="50"/>
  <c r="E851" i="50"/>
  <c r="K851" i="50"/>
  <c r="F851" i="50"/>
  <c r="K854" i="50"/>
  <c r="E854" i="50"/>
  <c r="J854" i="50"/>
  <c r="H854" i="50"/>
  <c r="F854" i="50"/>
  <c r="D854" i="50"/>
  <c r="I854" i="50"/>
  <c r="K855" i="50"/>
  <c r="E855" i="50"/>
  <c r="J855" i="50"/>
  <c r="H855" i="50"/>
  <c r="F855" i="50"/>
  <c r="D855" i="50"/>
  <c r="I855" i="50"/>
  <c r="B119" i="42"/>
  <c r="B906" i="51" s="1"/>
  <c r="C917" i="51" s="1"/>
  <c r="I105" i="51" l="1"/>
  <c r="E879" i="51"/>
  <c r="J879" i="51"/>
  <c r="I879" i="51"/>
  <c r="D879" i="51"/>
  <c r="F879" i="51"/>
  <c r="E873" i="50"/>
  <c r="I874" i="50"/>
  <c r="E877" i="50"/>
  <c r="E876" i="50"/>
  <c r="I876" i="50"/>
  <c r="F878" i="50"/>
  <c r="I878" i="50"/>
  <c r="K878" i="50"/>
  <c r="D878" i="50"/>
  <c r="E878" i="50"/>
  <c r="D877" i="50"/>
  <c r="D875" i="50"/>
  <c r="H877" i="50"/>
  <c r="I877" i="50"/>
  <c r="E875" i="50"/>
  <c r="F877" i="50"/>
  <c r="G877" i="50" s="1"/>
  <c r="K877" i="50"/>
  <c r="J876" i="50"/>
  <c r="G871" i="50"/>
  <c r="D876" i="50"/>
  <c r="H876" i="50"/>
  <c r="F876" i="50"/>
  <c r="K875" i="50"/>
  <c r="H875" i="50"/>
  <c r="I875" i="50"/>
  <c r="F875" i="50"/>
  <c r="G878" i="51"/>
  <c r="Z88" i="51"/>
  <c r="V88" i="51"/>
  <c r="S88" i="51"/>
  <c r="Y88" i="51"/>
  <c r="U88" i="51"/>
  <c r="AA88" i="51"/>
  <c r="X88" i="51"/>
  <c r="T88" i="51"/>
  <c r="R88" i="51"/>
  <c r="W88" i="51"/>
  <c r="X107" i="50"/>
  <c r="X105" i="51" s="1"/>
  <c r="T107" i="50"/>
  <c r="T105" i="51" s="1"/>
  <c r="AA107" i="50"/>
  <c r="AA105" i="51" s="1"/>
  <c r="W107" i="50"/>
  <c r="W105" i="51" s="1"/>
  <c r="S107" i="50"/>
  <c r="S105" i="51" s="1"/>
  <c r="Z107" i="50"/>
  <c r="Z105" i="51" s="1"/>
  <c r="V107" i="50"/>
  <c r="V105" i="51" s="1"/>
  <c r="R107" i="50"/>
  <c r="R105" i="51" s="1"/>
  <c r="Y107" i="50"/>
  <c r="Y105" i="51" s="1"/>
  <c r="U107" i="50"/>
  <c r="U105" i="51" s="1"/>
  <c r="G105" i="51"/>
  <c r="R90" i="51"/>
  <c r="AA90" i="51"/>
  <c r="W90" i="51"/>
  <c r="V90" i="51"/>
  <c r="S90" i="51"/>
  <c r="Y90" i="51"/>
  <c r="X90" i="51"/>
  <c r="T90" i="51"/>
  <c r="Z90" i="51"/>
  <c r="U90" i="51"/>
  <c r="G853" i="51"/>
  <c r="G895" i="51"/>
  <c r="G858" i="51"/>
  <c r="G857" i="51"/>
  <c r="I93" i="50"/>
  <c r="G93" i="50"/>
  <c r="BV46" i="47"/>
  <c r="BD43" i="47"/>
  <c r="AX42" i="47"/>
  <c r="CB47" i="47"/>
  <c r="I1" i="47"/>
  <c r="BP45" i="47"/>
  <c r="AL40" i="47"/>
  <c r="AF39" i="47"/>
  <c r="AR41" i="47"/>
  <c r="BJ44" i="47"/>
  <c r="Z38" i="47"/>
  <c r="G109" i="50"/>
  <c r="I109" i="50"/>
  <c r="G104" i="50"/>
  <c r="I104" i="50"/>
  <c r="I89" i="50"/>
  <c r="G89" i="50"/>
  <c r="I92" i="51"/>
  <c r="G92" i="51"/>
  <c r="I88" i="51"/>
  <c r="G88" i="51"/>
  <c r="I102" i="51"/>
  <c r="G102" i="51"/>
  <c r="G99" i="50"/>
  <c r="I99" i="50"/>
  <c r="G856" i="51"/>
  <c r="I90" i="51"/>
  <c r="G90" i="51"/>
  <c r="G91" i="51"/>
  <c r="I91" i="51"/>
  <c r="I96" i="51"/>
  <c r="G96" i="51"/>
  <c r="G90" i="50"/>
  <c r="I90" i="50"/>
  <c r="I100" i="51"/>
  <c r="G100" i="51"/>
  <c r="I106" i="51"/>
  <c r="G106" i="51"/>
  <c r="F897" i="51"/>
  <c r="E898" i="51"/>
  <c r="G898" i="51" s="1"/>
  <c r="K897" i="51"/>
  <c r="I897" i="51"/>
  <c r="H897" i="51"/>
  <c r="I898" i="51"/>
  <c r="D897" i="51"/>
  <c r="J897" i="51"/>
  <c r="D898" i="51"/>
  <c r="E897" i="51"/>
  <c r="K898" i="51"/>
  <c r="E917" i="51"/>
  <c r="C922" i="51"/>
  <c r="C921" i="51"/>
  <c r="F917" i="51"/>
  <c r="C924" i="51"/>
  <c r="C923" i="51"/>
  <c r="K918" i="51"/>
  <c r="C919" i="51"/>
  <c r="I918" i="51"/>
  <c r="H917" i="51"/>
  <c r="E918" i="51"/>
  <c r="G918" i="51" s="1"/>
  <c r="D918" i="51"/>
  <c r="I917" i="51"/>
  <c r="D917" i="51"/>
  <c r="K917" i="51"/>
  <c r="J917" i="51"/>
  <c r="G97" i="51"/>
  <c r="I97" i="51"/>
  <c r="Q68" i="51"/>
  <c r="I101" i="51"/>
  <c r="G101" i="51"/>
  <c r="I92" i="50"/>
  <c r="G92" i="50"/>
  <c r="G877" i="51"/>
  <c r="G875" i="51"/>
  <c r="I101" i="50"/>
  <c r="G101" i="50"/>
  <c r="I107" i="51"/>
  <c r="G107" i="51"/>
  <c r="I99" i="51"/>
  <c r="G99" i="51"/>
  <c r="I105" i="50"/>
  <c r="G105" i="50"/>
  <c r="G104" i="51"/>
  <c r="I104" i="51"/>
  <c r="G879" i="51"/>
  <c r="I103" i="51"/>
  <c r="G103" i="51"/>
  <c r="I98" i="51"/>
  <c r="G98" i="51"/>
  <c r="I899" i="51"/>
  <c r="E899" i="51"/>
  <c r="J899" i="51"/>
  <c r="K899" i="51"/>
  <c r="F899" i="51"/>
  <c r="H899" i="51"/>
  <c r="D899" i="51"/>
  <c r="I89" i="51"/>
  <c r="G89" i="51"/>
  <c r="I98" i="50"/>
  <c r="G98" i="50"/>
  <c r="G97" i="50"/>
  <c r="I97" i="50"/>
  <c r="I108" i="50"/>
  <c r="G108" i="50"/>
  <c r="K900" i="51"/>
  <c r="E900" i="51"/>
  <c r="J900" i="51"/>
  <c r="H900" i="51"/>
  <c r="D900" i="51"/>
  <c r="F900" i="51"/>
  <c r="I900" i="51"/>
  <c r="I91" i="50"/>
  <c r="G91" i="50"/>
  <c r="J901" i="51"/>
  <c r="H901" i="51"/>
  <c r="F901" i="51"/>
  <c r="I901" i="51"/>
  <c r="E901" i="51"/>
  <c r="D901" i="51"/>
  <c r="K901" i="51"/>
  <c r="D902" i="51"/>
  <c r="I902" i="51"/>
  <c r="K902" i="51"/>
  <c r="E902" i="51"/>
  <c r="J902" i="51"/>
  <c r="H902" i="51"/>
  <c r="F902" i="51"/>
  <c r="G107" i="50"/>
  <c r="I107" i="50"/>
  <c r="G103" i="50"/>
  <c r="I103" i="50"/>
  <c r="G855" i="51"/>
  <c r="G854" i="50"/>
  <c r="G873" i="50"/>
  <c r="G851" i="50"/>
  <c r="B926" i="50"/>
  <c r="C937" i="50" s="1"/>
  <c r="G855" i="50"/>
  <c r="G853" i="50"/>
  <c r="G893" i="50"/>
  <c r="G856" i="50"/>
  <c r="I915" i="50"/>
  <c r="C917" i="50"/>
  <c r="F915" i="50"/>
  <c r="E915" i="50"/>
  <c r="C922" i="50"/>
  <c r="H915" i="50"/>
  <c r="D916" i="50"/>
  <c r="C921" i="50"/>
  <c r="K916" i="50"/>
  <c r="D915" i="50"/>
  <c r="C920" i="50"/>
  <c r="I916" i="50"/>
  <c r="E916" i="50"/>
  <c r="G916" i="50" s="1"/>
  <c r="C919" i="50"/>
  <c r="K915" i="50"/>
  <c r="J915" i="50"/>
  <c r="D896" i="50"/>
  <c r="H895" i="50"/>
  <c r="E896" i="50"/>
  <c r="G896" i="50" s="1"/>
  <c r="I895" i="50"/>
  <c r="D895" i="50"/>
  <c r="J895" i="50"/>
  <c r="E895" i="50"/>
  <c r="K895" i="50"/>
  <c r="F895" i="50"/>
  <c r="I896" i="50"/>
  <c r="K896" i="50"/>
  <c r="I900" i="50"/>
  <c r="K900" i="50"/>
  <c r="E900" i="50"/>
  <c r="J900" i="50"/>
  <c r="H900" i="50"/>
  <c r="F900" i="50"/>
  <c r="D900" i="50"/>
  <c r="D898" i="50"/>
  <c r="K898" i="50"/>
  <c r="J898" i="50"/>
  <c r="H898" i="50"/>
  <c r="F898" i="50"/>
  <c r="I898" i="50"/>
  <c r="E898" i="50"/>
  <c r="D897" i="50"/>
  <c r="I897" i="50"/>
  <c r="K897" i="50"/>
  <c r="E897" i="50"/>
  <c r="J897" i="50"/>
  <c r="H897" i="50"/>
  <c r="F897" i="50"/>
  <c r="K899" i="50"/>
  <c r="E899" i="50"/>
  <c r="J899" i="50"/>
  <c r="H899" i="50"/>
  <c r="D899" i="50"/>
  <c r="F899" i="50"/>
  <c r="I899" i="50"/>
  <c r="B120" i="42"/>
  <c r="B928" i="51" s="1"/>
  <c r="C939" i="51" s="1"/>
  <c r="G878" i="50" l="1"/>
  <c r="G876" i="50"/>
  <c r="G875" i="50"/>
  <c r="G901" i="51"/>
  <c r="G897" i="51"/>
  <c r="G899" i="51"/>
  <c r="J919" i="51"/>
  <c r="E919" i="51"/>
  <c r="K919" i="51"/>
  <c r="F919" i="51"/>
  <c r="H919" i="51"/>
  <c r="K920" i="51"/>
  <c r="I920" i="51"/>
  <c r="D919" i="51"/>
  <c r="E920" i="51"/>
  <c r="G920" i="51" s="1"/>
  <c r="I919" i="51"/>
  <c r="D920" i="51"/>
  <c r="G900" i="51"/>
  <c r="F921" i="51"/>
  <c r="H921" i="51"/>
  <c r="J921" i="51"/>
  <c r="D921" i="51"/>
  <c r="K921" i="51"/>
  <c r="E921" i="51"/>
  <c r="I921" i="51"/>
  <c r="D940" i="51"/>
  <c r="I940" i="51"/>
  <c r="H939" i="51"/>
  <c r="E940" i="51"/>
  <c r="G940" i="51" s="1"/>
  <c r="J939" i="51"/>
  <c r="I939" i="51"/>
  <c r="D939" i="51"/>
  <c r="K939" i="51"/>
  <c r="C943" i="51"/>
  <c r="F939" i="51"/>
  <c r="E939" i="51"/>
  <c r="C946" i="51"/>
  <c r="K940" i="51"/>
  <c r="C941" i="51"/>
  <c r="C944" i="51"/>
  <c r="C945" i="51"/>
  <c r="G902" i="51"/>
  <c r="D923" i="51"/>
  <c r="J923" i="51"/>
  <c r="H923" i="51"/>
  <c r="F923" i="51"/>
  <c r="K923" i="51"/>
  <c r="I923" i="51"/>
  <c r="E923" i="51"/>
  <c r="I922" i="51"/>
  <c r="J922" i="51"/>
  <c r="E922" i="51"/>
  <c r="D922" i="51"/>
  <c r="K922" i="51"/>
  <c r="F922" i="51"/>
  <c r="H922" i="51"/>
  <c r="CB46" i="47"/>
  <c r="AL39" i="47"/>
  <c r="BJ43" i="47"/>
  <c r="CH47" i="47"/>
  <c r="AF38" i="47"/>
  <c r="J1" i="47"/>
  <c r="BV45" i="47"/>
  <c r="BD42" i="47"/>
  <c r="BP44" i="47"/>
  <c r="AR40" i="47"/>
  <c r="AX41" i="47"/>
  <c r="K924" i="51"/>
  <c r="F924" i="51"/>
  <c r="I924" i="51"/>
  <c r="J924" i="51"/>
  <c r="D924" i="51"/>
  <c r="E924" i="51"/>
  <c r="G924" i="51" s="1"/>
  <c r="H924" i="51"/>
  <c r="G917" i="51"/>
  <c r="G898" i="50"/>
  <c r="G895" i="50"/>
  <c r="G897" i="50"/>
  <c r="G900" i="50"/>
  <c r="I919" i="50"/>
  <c r="E919" i="50"/>
  <c r="D919" i="50"/>
  <c r="J919" i="50"/>
  <c r="H919" i="50"/>
  <c r="F919" i="50"/>
  <c r="K919" i="50"/>
  <c r="E918" i="50"/>
  <c r="G918" i="50" s="1"/>
  <c r="D917" i="50"/>
  <c r="K917" i="50"/>
  <c r="J917" i="50"/>
  <c r="D918" i="50"/>
  <c r="E917" i="50"/>
  <c r="F917" i="50"/>
  <c r="H917" i="50"/>
  <c r="K918" i="50"/>
  <c r="I917" i="50"/>
  <c r="I918" i="50"/>
  <c r="I922" i="50"/>
  <c r="J922" i="50"/>
  <c r="D922" i="50"/>
  <c r="E922" i="50"/>
  <c r="H922" i="50"/>
  <c r="K922" i="50"/>
  <c r="F922" i="50"/>
  <c r="B948" i="50"/>
  <c r="C959" i="50" s="1"/>
  <c r="G899" i="50"/>
  <c r="H921" i="50"/>
  <c r="J921" i="50"/>
  <c r="D921" i="50"/>
  <c r="E921" i="50"/>
  <c r="K921" i="50"/>
  <c r="I921" i="50"/>
  <c r="F921" i="50"/>
  <c r="G915" i="50"/>
  <c r="D937" i="50"/>
  <c r="C944" i="50"/>
  <c r="F937" i="50"/>
  <c r="E937" i="50"/>
  <c r="C943" i="50"/>
  <c r="C942" i="50"/>
  <c r="C941" i="50"/>
  <c r="K938" i="50"/>
  <c r="D938" i="50"/>
  <c r="I938" i="50"/>
  <c r="C939" i="50"/>
  <c r="E938" i="50"/>
  <c r="G938" i="50" s="1"/>
  <c r="H937" i="50"/>
  <c r="K937" i="50"/>
  <c r="J937" i="50"/>
  <c r="I937" i="50"/>
  <c r="K920" i="50"/>
  <c r="H920" i="50"/>
  <c r="F920" i="50"/>
  <c r="I920" i="50"/>
  <c r="J920" i="50"/>
  <c r="E920" i="50"/>
  <c r="D920" i="50"/>
  <c r="B121" i="42"/>
  <c r="B950" i="51" s="1"/>
  <c r="C961" i="51" s="1"/>
  <c r="B126" i="42"/>
  <c r="B127" i="42" s="1"/>
  <c r="G921" i="51" l="1"/>
  <c r="G939" i="51"/>
  <c r="G919" i="51"/>
  <c r="C966" i="51"/>
  <c r="H961" i="51"/>
  <c r="E962" i="51"/>
  <c r="G962" i="51" s="1"/>
  <c r="I961" i="51"/>
  <c r="D961" i="51"/>
  <c r="K961" i="51"/>
  <c r="D962" i="51"/>
  <c r="J961" i="51"/>
  <c r="E961" i="51"/>
  <c r="F961" i="51"/>
  <c r="C968" i="51"/>
  <c r="C963" i="51"/>
  <c r="I962" i="51"/>
  <c r="C967" i="51"/>
  <c r="C965" i="51"/>
  <c r="K962" i="51"/>
  <c r="G923" i="51"/>
  <c r="I942" i="51"/>
  <c r="E941" i="51"/>
  <c r="D941" i="51"/>
  <c r="J941" i="51"/>
  <c r="K942" i="51"/>
  <c r="I941" i="51"/>
  <c r="D942" i="51"/>
  <c r="E942" i="51"/>
  <c r="G942" i="51" s="1"/>
  <c r="K941" i="51"/>
  <c r="H941" i="51"/>
  <c r="F941" i="51"/>
  <c r="CH46" i="47"/>
  <c r="AX40" i="47"/>
  <c r="BJ42" i="47"/>
  <c r="BV44" i="47"/>
  <c r="AR39" i="47"/>
  <c r="BP43" i="47"/>
  <c r="AL38" i="47"/>
  <c r="BD41" i="47"/>
  <c r="CB45" i="47"/>
  <c r="K1" i="47"/>
  <c r="CN47" i="47"/>
  <c r="D944" i="51"/>
  <c r="I944" i="51"/>
  <c r="K944" i="51"/>
  <c r="E944" i="51"/>
  <c r="F944" i="51"/>
  <c r="H944" i="51"/>
  <c r="J944" i="51"/>
  <c r="G922" i="51"/>
  <c r="J943" i="51"/>
  <c r="H943" i="51"/>
  <c r="F943" i="51"/>
  <c r="D943" i="51"/>
  <c r="K943" i="51"/>
  <c r="I943" i="51"/>
  <c r="E943" i="51"/>
  <c r="G943" i="51" s="1"/>
  <c r="I945" i="51"/>
  <c r="K945" i="51"/>
  <c r="E945" i="51"/>
  <c r="J945" i="51"/>
  <c r="D945" i="51"/>
  <c r="F945" i="51"/>
  <c r="H945" i="51"/>
  <c r="J946" i="51"/>
  <c r="H946" i="51"/>
  <c r="F946" i="51"/>
  <c r="D946" i="51"/>
  <c r="K946" i="51"/>
  <c r="I946" i="51"/>
  <c r="E946" i="51"/>
  <c r="G946" i="51" s="1"/>
  <c r="G922" i="50"/>
  <c r="G920" i="50"/>
  <c r="G937" i="50"/>
  <c r="G917" i="50"/>
  <c r="I943" i="50"/>
  <c r="J943" i="50"/>
  <c r="D943" i="50"/>
  <c r="E943" i="50"/>
  <c r="H943" i="50"/>
  <c r="K943" i="50"/>
  <c r="F943" i="50"/>
  <c r="C963" i="50"/>
  <c r="E959" i="50"/>
  <c r="C965" i="50"/>
  <c r="C964" i="50"/>
  <c r="K960" i="50"/>
  <c r="E960" i="50"/>
  <c r="G960" i="50" s="1"/>
  <c r="D960" i="50"/>
  <c r="I960" i="50"/>
  <c r="I959" i="50"/>
  <c r="C961" i="50"/>
  <c r="F959" i="50"/>
  <c r="H959" i="50"/>
  <c r="K959" i="50"/>
  <c r="C966" i="50"/>
  <c r="D959" i="50"/>
  <c r="J959" i="50"/>
  <c r="B970" i="50"/>
  <c r="C981" i="50" s="1"/>
  <c r="I939" i="50"/>
  <c r="D939" i="50"/>
  <c r="J939" i="50"/>
  <c r="E939" i="50"/>
  <c r="K939" i="50"/>
  <c r="F939" i="50"/>
  <c r="I940" i="50"/>
  <c r="K940" i="50"/>
  <c r="D940" i="50"/>
  <c r="H939" i="50"/>
  <c r="E940" i="50"/>
  <c r="G940" i="50" s="1"/>
  <c r="D941" i="50"/>
  <c r="I941" i="50"/>
  <c r="K941" i="50"/>
  <c r="E941" i="50"/>
  <c r="J941" i="50"/>
  <c r="H941" i="50"/>
  <c r="F941" i="50"/>
  <c r="G921" i="50"/>
  <c r="G919" i="50"/>
  <c r="H942" i="50"/>
  <c r="F942" i="50"/>
  <c r="D942" i="50"/>
  <c r="I942" i="50"/>
  <c r="K942" i="50"/>
  <c r="E942" i="50"/>
  <c r="G942" i="50" s="1"/>
  <c r="J942" i="50"/>
  <c r="F944" i="50"/>
  <c r="D944" i="50"/>
  <c r="K944" i="50"/>
  <c r="H944" i="50"/>
  <c r="E944" i="50"/>
  <c r="J944" i="50"/>
  <c r="I944" i="50"/>
  <c r="B122" i="42"/>
  <c r="B972" i="51" s="1"/>
  <c r="C983" i="51" s="1"/>
  <c r="G961" i="51" l="1"/>
  <c r="C987" i="51"/>
  <c r="F983" i="51"/>
  <c r="E983" i="51"/>
  <c r="C990" i="51"/>
  <c r="C985" i="51"/>
  <c r="C988" i="51"/>
  <c r="C989" i="51"/>
  <c r="K984" i="51"/>
  <c r="D984" i="51"/>
  <c r="I984" i="51"/>
  <c r="H983" i="51"/>
  <c r="E984" i="51"/>
  <c r="G984" i="51" s="1"/>
  <c r="K983" i="51"/>
  <c r="J983" i="51"/>
  <c r="I983" i="51"/>
  <c r="D983" i="51"/>
  <c r="G944" i="51"/>
  <c r="G941" i="51"/>
  <c r="H965" i="51"/>
  <c r="J965" i="51"/>
  <c r="D965" i="51"/>
  <c r="I965" i="51"/>
  <c r="F965" i="51"/>
  <c r="E965" i="51"/>
  <c r="K965" i="51"/>
  <c r="I968" i="51"/>
  <c r="H968" i="51"/>
  <c r="F968" i="51"/>
  <c r="D968" i="51"/>
  <c r="K968" i="51"/>
  <c r="E968" i="51"/>
  <c r="J968" i="51"/>
  <c r="K964" i="51"/>
  <c r="I964" i="51"/>
  <c r="J963" i="51"/>
  <c r="E964" i="51"/>
  <c r="G964" i="51" s="1"/>
  <c r="F963" i="51"/>
  <c r="H963" i="51"/>
  <c r="D963" i="51"/>
  <c r="I963" i="51"/>
  <c r="D964" i="51"/>
  <c r="E963" i="51"/>
  <c r="K963" i="51"/>
  <c r="CN46" i="47"/>
  <c r="AX39" i="47"/>
  <c r="L1" i="47"/>
  <c r="CT47" i="47"/>
  <c r="AR38" i="47"/>
  <c r="BV43" i="47"/>
  <c r="CH45" i="47"/>
  <c r="BP42" i="47"/>
  <c r="CB44" i="47"/>
  <c r="BD40" i="47"/>
  <c r="BJ41" i="47"/>
  <c r="D967" i="51"/>
  <c r="K967" i="51"/>
  <c r="I967" i="51"/>
  <c r="J967" i="51"/>
  <c r="H967" i="51"/>
  <c r="F967" i="51"/>
  <c r="E967" i="51"/>
  <c r="G945" i="51"/>
  <c r="F966" i="51"/>
  <c r="D966" i="51"/>
  <c r="I966" i="51"/>
  <c r="K966" i="51"/>
  <c r="E966" i="51"/>
  <c r="J966" i="51"/>
  <c r="H966" i="51"/>
  <c r="G944" i="50"/>
  <c r="G941" i="50"/>
  <c r="I963" i="50"/>
  <c r="F963" i="50"/>
  <c r="E963" i="50"/>
  <c r="K963" i="50"/>
  <c r="H963" i="50"/>
  <c r="J963" i="50"/>
  <c r="D963" i="50"/>
  <c r="G943" i="50"/>
  <c r="B992" i="50"/>
  <c r="C1003" i="50" s="1"/>
  <c r="F964" i="50"/>
  <c r="H964" i="50"/>
  <c r="E964" i="50"/>
  <c r="D964" i="50"/>
  <c r="J964" i="50"/>
  <c r="K964" i="50"/>
  <c r="I964" i="50"/>
  <c r="G939" i="50"/>
  <c r="K965" i="50"/>
  <c r="D965" i="50"/>
  <c r="J965" i="50"/>
  <c r="I965" i="50"/>
  <c r="F965" i="50"/>
  <c r="H965" i="50"/>
  <c r="E965" i="50"/>
  <c r="I982" i="50"/>
  <c r="J981" i="50"/>
  <c r="E981" i="50"/>
  <c r="I981" i="50"/>
  <c r="K981" i="50"/>
  <c r="F981" i="50"/>
  <c r="D982" i="50"/>
  <c r="C988" i="50"/>
  <c r="C985" i="50"/>
  <c r="C987" i="50"/>
  <c r="D981" i="50"/>
  <c r="H981" i="50"/>
  <c r="C986" i="50"/>
  <c r="C983" i="50"/>
  <c r="E982" i="50"/>
  <c r="G982" i="50" s="1"/>
  <c r="K982" i="50"/>
  <c r="J966" i="50"/>
  <c r="D966" i="50"/>
  <c r="F966" i="50"/>
  <c r="K966" i="50"/>
  <c r="I966" i="50"/>
  <c r="H966" i="50"/>
  <c r="E966" i="50"/>
  <c r="G966" i="50" s="1"/>
  <c r="D962" i="50"/>
  <c r="H961" i="50"/>
  <c r="F961" i="50"/>
  <c r="I961" i="50"/>
  <c r="D961" i="50"/>
  <c r="K962" i="50"/>
  <c r="E961" i="50"/>
  <c r="J961" i="50"/>
  <c r="K961" i="50"/>
  <c r="I962" i="50"/>
  <c r="E962" i="50"/>
  <c r="G962" i="50" s="1"/>
  <c r="G959" i="50"/>
  <c r="B90" i="42"/>
  <c r="B79" i="42"/>
  <c r="J15" i="42"/>
  <c r="G966" i="51" l="1"/>
  <c r="B2" i="44"/>
  <c r="E2" i="44" s="1"/>
  <c r="N2" i="44" s="1"/>
  <c r="O2" i="44" s="1"/>
  <c r="P2" i="44" s="1"/>
  <c r="Q2" i="44" s="1"/>
  <c r="R2" i="44" s="1"/>
  <c r="S2" i="44" s="1"/>
  <c r="T2" i="44" s="1"/>
  <c r="U2" i="44" s="1"/>
  <c r="V2" i="44" s="1"/>
  <c r="W2" i="44" s="1"/>
  <c r="X2" i="44" s="1"/>
  <c r="Y2" i="44" s="1"/>
  <c r="Z2" i="44" s="1"/>
  <c r="AA2" i="44" s="1"/>
  <c r="AB2" i="44" s="1"/>
  <c r="AC2" i="44" s="1"/>
  <c r="AD2" i="44" s="1"/>
  <c r="AE2" i="44" s="1"/>
  <c r="AF2" i="44" s="1"/>
  <c r="C73" i="50"/>
  <c r="L94" i="50" s="1"/>
  <c r="L73" i="50"/>
  <c r="L73" i="51"/>
  <c r="C73" i="51"/>
  <c r="C93" i="51" s="1"/>
  <c r="G983" i="51"/>
  <c r="G965" i="51"/>
  <c r="G963" i="51"/>
  <c r="C4" i="44"/>
  <c r="B108" i="51"/>
  <c r="B110" i="50"/>
  <c r="G968" i="51"/>
  <c r="D989" i="51"/>
  <c r="I989" i="51"/>
  <c r="K989" i="51"/>
  <c r="F989" i="51"/>
  <c r="E989" i="51"/>
  <c r="H989" i="51"/>
  <c r="J989" i="51"/>
  <c r="B310" i="51"/>
  <c r="B321" i="50"/>
  <c r="C309" i="50"/>
  <c r="C298" i="51"/>
  <c r="CT46" i="47"/>
  <c r="BJ40" i="47"/>
  <c r="M1" i="47"/>
  <c r="CN45" i="47"/>
  <c r="CZ47" i="47"/>
  <c r="CH44" i="47"/>
  <c r="AX38" i="47"/>
  <c r="BV42" i="47"/>
  <c r="BP41" i="47"/>
  <c r="BD39" i="47"/>
  <c r="CB43" i="47"/>
  <c r="H988" i="51"/>
  <c r="F988" i="51"/>
  <c r="D988" i="51"/>
  <c r="I988" i="51"/>
  <c r="K988" i="51"/>
  <c r="J988" i="51"/>
  <c r="E988" i="51"/>
  <c r="G961" i="50"/>
  <c r="I990" i="51"/>
  <c r="K990" i="51"/>
  <c r="E990" i="51"/>
  <c r="H990" i="51"/>
  <c r="D990" i="51"/>
  <c r="J990" i="51"/>
  <c r="F990" i="51"/>
  <c r="G967" i="51"/>
  <c r="K985" i="51"/>
  <c r="I985" i="51"/>
  <c r="H985" i="51"/>
  <c r="I986" i="51"/>
  <c r="E985" i="51"/>
  <c r="D985" i="51"/>
  <c r="D986" i="51"/>
  <c r="E986" i="51"/>
  <c r="G986" i="51" s="1"/>
  <c r="J985" i="51"/>
  <c r="F985" i="51"/>
  <c r="K986" i="51"/>
  <c r="I987" i="51"/>
  <c r="K987" i="51"/>
  <c r="E987" i="51"/>
  <c r="H987" i="51"/>
  <c r="D987" i="51"/>
  <c r="J987" i="51"/>
  <c r="F987" i="51"/>
  <c r="G964" i="50"/>
  <c r="G965" i="50"/>
  <c r="G963" i="50"/>
  <c r="E988" i="50"/>
  <c r="F988" i="50"/>
  <c r="H988" i="50"/>
  <c r="K988" i="50"/>
  <c r="D988" i="50"/>
  <c r="I988" i="50"/>
  <c r="J988" i="50"/>
  <c r="G981" i="50"/>
  <c r="H983" i="50"/>
  <c r="F983" i="50"/>
  <c r="E984" i="50"/>
  <c r="G984" i="50" s="1"/>
  <c r="D983" i="50"/>
  <c r="K984" i="50"/>
  <c r="I983" i="50"/>
  <c r="K983" i="50"/>
  <c r="E983" i="50"/>
  <c r="I984" i="50"/>
  <c r="D984" i="50"/>
  <c r="J983" i="50"/>
  <c r="E987" i="50"/>
  <c r="J987" i="50"/>
  <c r="K987" i="50"/>
  <c r="F987" i="50"/>
  <c r="H987" i="50"/>
  <c r="I987" i="50"/>
  <c r="D987" i="50"/>
  <c r="F986" i="50"/>
  <c r="E986" i="50"/>
  <c r="D986" i="50"/>
  <c r="K986" i="50"/>
  <c r="I986" i="50"/>
  <c r="J986" i="50"/>
  <c r="H986" i="50"/>
  <c r="H985" i="50"/>
  <c r="J985" i="50"/>
  <c r="D985" i="50"/>
  <c r="I985" i="50"/>
  <c r="K985" i="50"/>
  <c r="F985" i="50"/>
  <c r="E985" i="50"/>
  <c r="E1004" i="50"/>
  <c r="G1004" i="50" s="1"/>
  <c r="H1003" i="50"/>
  <c r="K1003" i="50"/>
  <c r="F1003" i="50"/>
  <c r="C1010" i="50"/>
  <c r="D1003" i="50"/>
  <c r="C1007" i="50"/>
  <c r="C1009" i="50"/>
  <c r="C1008" i="50"/>
  <c r="C1005" i="50"/>
  <c r="E1003" i="50"/>
  <c r="I1003" i="50"/>
  <c r="D1004" i="50"/>
  <c r="I1004" i="50"/>
  <c r="J1003" i="50"/>
  <c r="K1004" i="50"/>
  <c r="B80" i="42"/>
  <c r="B91" i="42"/>
  <c r="C124" i="50" l="1"/>
  <c r="C123" i="50"/>
  <c r="C126" i="50"/>
  <c r="C122" i="50"/>
  <c r="C125" i="50"/>
  <c r="C121" i="50"/>
  <c r="C94" i="50"/>
  <c r="E94" i="50" s="1"/>
  <c r="L93" i="51"/>
  <c r="T122" i="51"/>
  <c r="T124" i="51"/>
  <c r="T120" i="51"/>
  <c r="T123" i="51"/>
  <c r="S122" i="51"/>
  <c r="J93" i="51"/>
  <c r="K93" i="51"/>
  <c r="H93" i="51"/>
  <c r="C95" i="51"/>
  <c r="F93" i="51"/>
  <c r="C94" i="51"/>
  <c r="E93" i="51"/>
  <c r="W73" i="51"/>
  <c r="V73" i="51"/>
  <c r="Q73" i="51"/>
  <c r="C74" i="50"/>
  <c r="K73" i="50"/>
  <c r="S73" i="51"/>
  <c r="R73" i="51"/>
  <c r="T73" i="51"/>
  <c r="H73" i="50"/>
  <c r="X73" i="51"/>
  <c r="Y73" i="51"/>
  <c r="F73" i="50"/>
  <c r="J73" i="50"/>
  <c r="C75" i="50"/>
  <c r="Z73" i="51"/>
  <c r="U73" i="51"/>
  <c r="D73" i="50"/>
  <c r="E73" i="50"/>
  <c r="C75" i="51"/>
  <c r="F73" i="51"/>
  <c r="C74" i="51"/>
  <c r="J73" i="51"/>
  <c r="E73" i="51"/>
  <c r="H73" i="51"/>
  <c r="K73" i="51"/>
  <c r="G985" i="51"/>
  <c r="G988" i="51"/>
  <c r="B333" i="51"/>
  <c r="B345" i="50"/>
  <c r="G987" i="51"/>
  <c r="C341" i="50"/>
  <c r="AK341" i="50" s="1"/>
  <c r="AK329" i="51" s="1"/>
  <c r="C328" i="50"/>
  <c r="S328" i="50" s="1"/>
  <c r="S317" i="51" s="1"/>
  <c r="C325" i="50"/>
  <c r="AK325" i="50" s="1"/>
  <c r="AK314" i="51" s="1"/>
  <c r="M321" i="50"/>
  <c r="C333" i="50"/>
  <c r="AP333" i="50" s="1"/>
  <c r="AP321" i="51" s="1"/>
  <c r="C329" i="50"/>
  <c r="T329" i="50" s="1"/>
  <c r="T318" i="51" s="1"/>
  <c r="L321" i="50"/>
  <c r="C321" i="50"/>
  <c r="AJ321" i="50" s="1"/>
  <c r="AJ310" i="51" s="1"/>
  <c r="C342" i="50"/>
  <c r="X342" i="50" s="1"/>
  <c r="X330" i="51" s="1"/>
  <c r="C343" i="50"/>
  <c r="AG343" i="50" s="1"/>
  <c r="AG331" i="51" s="1"/>
  <c r="C326" i="50"/>
  <c r="AI326" i="50" s="1"/>
  <c r="AI315" i="51" s="1"/>
  <c r="C327" i="50"/>
  <c r="AO327" i="50" s="1"/>
  <c r="AO316" i="51" s="1"/>
  <c r="C324" i="50"/>
  <c r="AE324" i="50" s="1"/>
  <c r="AE313" i="51" s="1"/>
  <c r="C323" i="50"/>
  <c r="AN323" i="50" s="1"/>
  <c r="AN312" i="51" s="1"/>
  <c r="C330" i="50"/>
  <c r="AO330" i="50" s="1"/>
  <c r="AO319" i="51" s="1"/>
  <c r="C331" i="50"/>
  <c r="AR331" i="50" s="1"/>
  <c r="AR320" i="51" s="1"/>
  <c r="AN324" i="50"/>
  <c r="AN313" i="51" s="1"/>
  <c r="G990" i="51"/>
  <c r="C304" i="51"/>
  <c r="J298" i="51"/>
  <c r="E298" i="51"/>
  <c r="H298" i="51"/>
  <c r="D298" i="51"/>
  <c r="D299" i="51"/>
  <c r="E299" i="51"/>
  <c r="G299" i="51" s="1"/>
  <c r="F298" i="51"/>
  <c r="C303" i="51"/>
  <c r="C300" i="51"/>
  <c r="C302" i="51"/>
  <c r="C305" i="51"/>
  <c r="G989" i="51"/>
  <c r="C127" i="51"/>
  <c r="M125" i="51"/>
  <c r="C125" i="51"/>
  <c r="C111" i="51"/>
  <c r="C112" i="51"/>
  <c r="D118" i="51"/>
  <c r="C124" i="51"/>
  <c r="C121" i="51"/>
  <c r="D125" i="51"/>
  <c r="C108" i="51"/>
  <c r="C110" i="51"/>
  <c r="C119" i="51"/>
  <c r="D108" i="51"/>
  <c r="C117" i="51"/>
  <c r="C126" i="51"/>
  <c r="C122" i="51"/>
  <c r="D113" i="51"/>
  <c r="C123" i="51"/>
  <c r="C120" i="51"/>
  <c r="C116" i="51"/>
  <c r="C109" i="51"/>
  <c r="C118" i="51"/>
  <c r="C113" i="51"/>
  <c r="C115" i="51" s="1"/>
  <c r="L113" i="51"/>
  <c r="D309" i="50"/>
  <c r="J309" i="50"/>
  <c r="E310" i="50"/>
  <c r="G310" i="50" s="1"/>
  <c r="F309" i="50"/>
  <c r="E309" i="50"/>
  <c r="H309" i="50"/>
  <c r="D310" i="50"/>
  <c r="AJ309" i="50"/>
  <c r="AJ298" i="51" s="1"/>
  <c r="C316" i="50"/>
  <c r="AL309" i="50"/>
  <c r="AL298" i="51" s="1"/>
  <c r="C313" i="50"/>
  <c r="C315" i="50"/>
  <c r="AI309" i="50"/>
  <c r="AI298" i="51" s="1"/>
  <c r="AP309" i="50"/>
  <c r="AP298" i="51" s="1"/>
  <c r="AR309" i="50"/>
  <c r="AR298" i="51" s="1"/>
  <c r="AK309" i="50"/>
  <c r="AK298" i="51" s="1"/>
  <c r="AO309" i="50"/>
  <c r="AO298" i="51" s="1"/>
  <c r="AN309" i="50"/>
  <c r="AN298" i="51" s="1"/>
  <c r="C314" i="50"/>
  <c r="AH309" i="50"/>
  <c r="AH298" i="51" s="1"/>
  <c r="AM309" i="50"/>
  <c r="AM298" i="51" s="1"/>
  <c r="AQ309" i="50"/>
  <c r="AQ298" i="51" s="1"/>
  <c r="C311" i="50"/>
  <c r="C130" i="50"/>
  <c r="S130" i="50"/>
  <c r="S127" i="51" s="1"/>
  <c r="S129" i="50"/>
  <c r="S126" i="51" s="1"/>
  <c r="C110" i="50"/>
  <c r="E110" i="50" s="1"/>
  <c r="D120" i="50"/>
  <c r="C120" i="50"/>
  <c r="C114" i="50"/>
  <c r="D110" i="50"/>
  <c r="C112" i="50"/>
  <c r="D115" i="50"/>
  <c r="C128" i="50"/>
  <c r="C113" i="50"/>
  <c r="D128" i="50"/>
  <c r="C119" i="50"/>
  <c r="C129" i="50"/>
  <c r="C118" i="50"/>
  <c r="M128" i="50"/>
  <c r="C111" i="50"/>
  <c r="T129" i="50"/>
  <c r="T126" i="51" s="1"/>
  <c r="C115" i="50"/>
  <c r="E115" i="50" s="1"/>
  <c r="L115" i="50"/>
  <c r="T130" i="50"/>
  <c r="T127" i="51" s="1"/>
  <c r="U130" i="50"/>
  <c r="U127" i="51" s="1"/>
  <c r="U129" i="50"/>
  <c r="U126" i="51" s="1"/>
  <c r="V130" i="50"/>
  <c r="V127" i="51" s="1"/>
  <c r="V129" i="50"/>
  <c r="V126" i="51" s="1"/>
  <c r="W130" i="50"/>
  <c r="W127" i="51" s="1"/>
  <c r="W129" i="50"/>
  <c r="W126" i="51" s="1"/>
  <c r="X129" i="50"/>
  <c r="X126" i="51" s="1"/>
  <c r="X130" i="50"/>
  <c r="X127" i="51" s="1"/>
  <c r="Y129" i="50"/>
  <c r="Y126" i="51" s="1"/>
  <c r="Y130" i="50"/>
  <c r="Y127" i="51" s="1"/>
  <c r="Z129" i="50"/>
  <c r="Z126" i="51" s="1"/>
  <c r="Z130" i="50"/>
  <c r="Z127" i="51" s="1"/>
  <c r="AA130" i="50"/>
  <c r="AA127" i="51" s="1"/>
  <c r="AA129" i="50"/>
  <c r="AA126" i="51" s="1"/>
  <c r="AB129" i="50"/>
  <c r="AB126" i="51" s="1"/>
  <c r="AB130" i="50"/>
  <c r="AB127" i="51" s="1"/>
  <c r="C5" i="44"/>
  <c r="B128" i="51"/>
  <c r="B131" i="50"/>
  <c r="CZ46" i="47"/>
  <c r="BJ39" i="47"/>
  <c r="CN44" i="47"/>
  <c r="DF47" i="47"/>
  <c r="BD38" i="47"/>
  <c r="N1" i="47"/>
  <c r="CT45" i="47"/>
  <c r="CB42" i="47"/>
  <c r="CH43" i="47"/>
  <c r="BP40" i="47"/>
  <c r="BV41" i="47"/>
  <c r="C314" i="51"/>
  <c r="C329" i="51"/>
  <c r="C313" i="51"/>
  <c r="C321" i="51"/>
  <c r="C328" i="51" s="1"/>
  <c r="C316" i="51"/>
  <c r="C331" i="51"/>
  <c r="C315" i="51"/>
  <c r="M310" i="51"/>
  <c r="C318" i="51"/>
  <c r="C317" i="51"/>
  <c r="C330" i="51"/>
  <c r="C312" i="51"/>
  <c r="C320" i="51"/>
  <c r="C310" i="51"/>
  <c r="L310" i="51"/>
  <c r="C319" i="51"/>
  <c r="G986" i="50"/>
  <c r="G985" i="50"/>
  <c r="G983" i="50"/>
  <c r="G988" i="50"/>
  <c r="I1009" i="50"/>
  <c r="K1009" i="50"/>
  <c r="E1009" i="50"/>
  <c r="J1009" i="50"/>
  <c r="H1009" i="50"/>
  <c r="F1009" i="50"/>
  <c r="D1009" i="50"/>
  <c r="G1003" i="50"/>
  <c r="H1007" i="50"/>
  <c r="F1007" i="50"/>
  <c r="D1007" i="50"/>
  <c r="I1007" i="50"/>
  <c r="K1007" i="50"/>
  <c r="E1007" i="50"/>
  <c r="G1007" i="50" s="1"/>
  <c r="J1007" i="50"/>
  <c r="I1005" i="50"/>
  <c r="D1005" i="50"/>
  <c r="E1006" i="50"/>
  <c r="G1006" i="50" s="1"/>
  <c r="E1005" i="50"/>
  <c r="K1005" i="50"/>
  <c r="J1005" i="50"/>
  <c r="I1006" i="50"/>
  <c r="K1006" i="50"/>
  <c r="D1006" i="50"/>
  <c r="H1005" i="50"/>
  <c r="F1005" i="50"/>
  <c r="G987" i="50"/>
  <c r="K1008" i="50"/>
  <c r="E1008" i="50"/>
  <c r="J1008" i="50"/>
  <c r="H1008" i="50"/>
  <c r="F1008" i="50"/>
  <c r="D1008" i="50"/>
  <c r="I1008" i="50"/>
  <c r="J1010" i="50"/>
  <c r="H1010" i="50"/>
  <c r="F1010" i="50"/>
  <c r="D1010" i="50"/>
  <c r="I1010" i="50"/>
  <c r="K1010" i="50"/>
  <c r="E1010" i="50"/>
  <c r="G1010" i="50" s="1"/>
  <c r="B2" i="47"/>
  <c r="B81" i="42"/>
  <c r="B92" i="42"/>
  <c r="C142" i="50" l="1"/>
  <c r="C146" i="50"/>
  <c r="C145" i="50"/>
  <c r="C144" i="50"/>
  <c r="C147" i="50"/>
  <c r="C143" i="50"/>
  <c r="X118" i="51"/>
  <c r="Y118" i="51"/>
  <c r="V118" i="51"/>
  <c r="AB118" i="51"/>
  <c r="U118" i="51"/>
  <c r="AA118" i="51"/>
  <c r="Z118" i="51"/>
  <c r="W118" i="51"/>
  <c r="T118" i="51"/>
  <c r="S118" i="51"/>
  <c r="V123" i="51"/>
  <c r="Z122" i="51"/>
  <c r="Y122" i="51"/>
  <c r="S124" i="51"/>
  <c r="V122" i="51"/>
  <c r="AB122" i="51"/>
  <c r="X122" i="51"/>
  <c r="U122" i="51"/>
  <c r="AA122" i="51"/>
  <c r="W122" i="51"/>
  <c r="AQ333" i="50"/>
  <c r="AQ321" i="51" s="1"/>
  <c r="X324" i="50"/>
  <c r="X313" i="51" s="1"/>
  <c r="U342" i="50"/>
  <c r="U330" i="51" s="1"/>
  <c r="Y123" i="51"/>
  <c r="AC324" i="50"/>
  <c r="AC313" i="51" s="1"/>
  <c r="AQ324" i="50"/>
  <c r="AQ313" i="51" s="1"/>
  <c r="AH342" i="50"/>
  <c r="AH330" i="51" s="1"/>
  <c r="W124" i="51"/>
  <c r="U123" i="51"/>
  <c r="AH327" i="50"/>
  <c r="AH316" i="51" s="1"/>
  <c r="S123" i="51"/>
  <c r="AE326" i="50"/>
  <c r="AE315" i="51" s="1"/>
  <c r="AM330" i="50"/>
  <c r="AM319" i="51" s="1"/>
  <c r="AO326" i="50"/>
  <c r="AO315" i="51" s="1"/>
  <c r="W326" i="50"/>
  <c r="W315" i="51" s="1"/>
  <c r="AO325" i="50"/>
  <c r="AO314" i="51" s="1"/>
  <c r="U330" i="50"/>
  <c r="U319" i="51" s="1"/>
  <c r="Z330" i="50"/>
  <c r="Z319" i="51" s="1"/>
  <c r="AK326" i="50"/>
  <c r="AK315" i="51" s="1"/>
  <c r="V93" i="51"/>
  <c r="AP325" i="50"/>
  <c r="AP314" i="51" s="1"/>
  <c r="Y326" i="50"/>
  <c r="Y315" i="51" s="1"/>
  <c r="U326" i="50"/>
  <c r="U315" i="51" s="1"/>
  <c r="AJ326" i="50"/>
  <c r="AJ315" i="51" s="1"/>
  <c r="AI330" i="50"/>
  <c r="AI319" i="51" s="1"/>
  <c r="AD330" i="50"/>
  <c r="AD319" i="51" s="1"/>
  <c r="H94" i="50"/>
  <c r="I94" i="50" s="1"/>
  <c r="W93" i="51"/>
  <c r="AJ325" i="50"/>
  <c r="AJ314" i="51" s="1"/>
  <c r="R326" i="50"/>
  <c r="R315" i="51" s="1"/>
  <c r="AB330" i="50"/>
  <c r="AB319" i="51" s="1"/>
  <c r="T93" i="51"/>
  <c r="AQ326" i="50"/>
  <c r="AQ315" i="51" s="1"/>
  <c r="AO321" i="50"/>
  <c r="AO310" i="51" s="1"/>
  <c r="AL325" i="50"/>
  <c r="AL314" i="51" s="1"/>
  <c r="AD326" i="50"/>
  <c r="AD315" i="51" s="1"/>
  <c r="S326" i="50"/>
  <c r="S315" i="51" s="1"/>
  <c r="AQ330" i="50"/>
  <c r="AQ319" i="51" s="1"/>
  <c r="Q330" i="50"/>
  <c r="Q319" i="51" s="1"/>
  <c r="AP326" i="50"/>
  <c r="AP315" i="51" s="1"/>
  <c r="AE330" i="50"/>
  <c r="AE319" i="51" s="1"/>
  <c r="AN330" i="50"/>
  <c r="AN319" i="51" s="1"/>
  <c r="AR326" i="50"/>
  <c r="AR315" i="51" s="1"/>
  <c r="AG330" i="50"/>
  <c r="AG319" i="51" s="1"/>
  <c r="AP330" i="50"/>
  <c r="AP319" i="51" s="1"/>
  <c r="AB326" i="50"/>
  <c r="AB315" i="51" s="1"/>
  <c r="AG326" i="50"/>
  <c r="AG315" i="51" s="1"/>
  <c r="V330" i="50"/>
  <c r="V319" i="51" s="1"/>
  <c r="AI325" i="50"/>
  <c r="AI314" i="51" s="1"/>
  <c r="AN325" i="50"/>
  <c r="AN314" i="51" s="1"/>
  <c r="AQ325" i="50"/>
  <c r="AQ314" i="51" s="1"/>
  <c r="AH330" i="50"/>
  <c r="AH319" i="51" s="1"/>
  <c r="P330" i="50"/>
  <c r="P319" i="51" s="1"/>
  <c r="AJ330" i="50"/>
  <c r="AJ319" i="51" s="1"/>
  <c r="AN326" i="50"/>
  <c r="AN315" i="51" s="1"/>
  <c r="AA330" i="50"/>
  <c r="AA319" i="51" s="1"/>
  <c r="AL330" i="50"/>
  <c r="AL319" i="51" s="1"/>
  <c r="X326" i="50"/>
  <c r="X315" i="51" s="1"/>
  <c r="AL326" i="50"/>
  <c r="AL315" i="51" s="1"/>
  <c r="W330" i="50"/>
  <c r="W319" i="51" s="1"/>
  <c r="AK330" i="50"/>
  <c r="AK319" i="51" s="1"/>
  <c r="T326" i="50"/>
  <c r="T315" i="51" s="1"/>
  <c r="P326" i="50"/>
  <c r="P315" i="51" s="1"/>
  <c r="Y330" i="50"/>
  <c r="Y319" i="51" s="1"/>
  <c r="T330" i="50"/>
  <c r="T319" i="51" s="1"/>
  <c r="R330" i="50"/>
  <c r="R319" i="51" s="1"/>
  <c r="C95" i="50"/>
  <c r="E95" i="50" s="1"/>
  <c r="AA93" i="51"/>
  <c r="AB124" i="51"/>
  <c r="AM325" i="50"/>
  <c r="AM314" i="51" s="1"/>
  <c r="AR325" i="50"/>
  <c r="AR314" i="51" s="1"/>
  <c r="Q326" i="50"/>
  <c r="Q315" i="51" s="1"/>
  <c r="AA326" i="50"/>
  <c r="AA315" i="51" s="1"/>
  <c r="AC330" i="50"/>
  <c r="AC319" i="51" s="1"/>
  <c r="S330" i="50"/>
  <c r="S319" i="51" s="1"/>
  <c r="AF330" i="50"/>
  <c r="AF319" i="51" s="1"/>
  <c r="AC326" i="50"/>
  <c r="AC315" i="51" s="1"/>
  <c r="AF326" i="50"/>
  <c r="AF315" i="51" s="1"/>
  <c r="Z326" i="50"/>
  <c r="Z315" i="51" s="1"/>
  <c r="V326" i="50"/>
  <c r="V315" i="51" s="1"/>
  <c r="AH326" i="50"/>
  <c r="AH315" i="51" s="1"/>
  <c r="X330" i="50"/>
  <c r="X319" i="51" s="1"/>
  <c r="J94" i="50"/>
  <c r="K94" i="50"/>
  <c r="S93" i="51"/>
  <c r="AA124" i="51"/>
  <c r="AB123" i="51"/>
  <c r="Z123" i="51"/>
  <c r="Y124" i="51"/>
  <c r="V124" i="51"/>
  <c r="AI333" i="50"/>
  <c r="AI321" i="51" s="1"/>
  <c r="AB342" i="50"/>
  <c r="AB330" i="51" s="1"/>
  <c r="AL341" i="50"/>
  <c r="AL329" i="51" s="1"/>
  <c r="AJ341" i="50"/>
  <c r="AJ329" i="51" s="1"/>
  <c r="AA342" i="50"/>
  <c r="AA330" i="51" s="1"/>
  <c r="R324" i="50"/>
  <c r="R313" i="51" s="1"/>
  <c r="AI342" i="50"/>
  <c r="AI330" i="51" s="1"/>
  <c r="AR321" i="50"/>
  <c r="AR310" i="51" s="1"/>
  <c r="AK333" i="50"/>
  <c r="AK321" i="51" s="1"/>
  <c r="AP342" i="50"/>
  <c r="AP330" i="51" s="1"/>
  <c r="R331" i="50"/>
  <c r="R320" i="51" s="1"/>
  <c r="AR327" i="50"/>
  <c r="AR316" i="51" s="1"/>
  <c r="AR342" i="50"/>
  <c r="AR330" i="51" s="1"/>
  <c r="AR324" i="50"/>
  <c r="AR313" i="51" s="1"/>
  <c r="Y324" i="50"/>
  <c r="Y313" i="51" s="1"/>
  <c r="AN341" i="50"/>
  <c r="AN329" i="51" s="1"/>
  <c r="C96" i="50"/>
  <c r="U95" i="51" s="1"/>
  <c r="U93" i="51"/>
  <c r="D94" i="50"/>
  <c r="F94" i="50"/>
  <c r="G94" i="50" s="1"/>
  <c r="Z93" i="51"/>
  <c r="AA123" i="51"/>
  <c r="Z124" i="51"/>
  <c r="X123" i="51"/>
  <c r="W123" i="51"/>
  <c r="K298" i="51"/>
  <c r="Z327" i="50"/>
  <c r="Z316" i="51" s="1"/>
  <c r="W327" i="50"/>
  <c r="W316" i="51" s="1"/>
  <c r="AJ324" i="50"/>
  <c r="AJ313" i="51" s="1"/>
  <c r="P324" i="50"/>
  <c r="P313" i="51" s="1"/>
  <c r="AL324" i="50"/>
  <c r="AL313" i="51" s="1"/>
  <c r="AR341" i="50"/>
  <c r="AR329" i="51" s="1"/>
  <c r="X327" i="50"/>
  <c r="X316" i="51" s="1"/>
  <c r="Y342" i="50"/>
  <c r="Y330" i="51" s="1"/>
  <c r="X93" i="51"/>
  <c r="R93" i="51"/>
  <c r="Y93" i="51"/>
  <c r="AB120" i="51"/>
  <c r="AA120" i="51"/>
  <c r="Z120" i="51"/>
  <c r="Y120" i="51"/>
  <c r="X124" i="51"/>
  <c r="U124" i="51"/>
  <c r="AP328" i="50"/>
  <c r="AP317" i="51" s="1"/>
  <c r="AF328" i="50"/>
  <c r="AF317" i="51" s="1"/>
  <c r="W329" i="50"/>
  <c r="W318" i="51" s="1"/>
  <c r="U120" i="51"/>
  <c r="S120" i="51"/>
  <c r="Q329" i="50"/>
  <c r="Q318" i="51" s="1"/>
  <c r="AO342" i="50"/>
  <c r="AO330" i="51" s="1"/>
  <c r="AJ342" i="50"/>
  <c r="AJ330" i="51" s="1"/>
  <c r="X120" i="51"/>
  <c r="W120" i="51"/>
  <c r="V120" i="51"/>
  <c r="AM324" i="50"/>
  <c r="AM313" i="51" s="1"/>
  <c r="AE342" i="50"/>
  <c r="AE330" i="51" s="1"/>
  <c r="AD324" i="50"/>
  <c r="AD313" i="51" s="1"/>
  <c r="AA324" i="50"/>
  <c r="AA313" i="51" s="1"/>
  <c r="W342" i="50"/>
  <c r="W330" i="51" s="1"/>
  <c r="AB324" i="50"/>
  <c r="AB313" i="51" s="1"/>
  <c r="AB331" i="50"/>
  <c r="AB320" i="51" s="1"/>
  <c r="G73" i="50"/>
  <c r="I73" i="50"/>
  <c r="D75" i="50"/>
  <c r="J75" i="50"/>
  <c r="E75" i="50"/>
  <c r="H75" i="50"/>
  <c r="K75" i="50"/>
  <c r="F75" i="50"/>
  <c r="W75" i="51"/>
  <c r="R75" i="51"/>
  <c r="Q75" i="51"/>
  <c r="S75" i="51"/>
  <c r="T75" i="51"/>
  <c r="X75" i="51"/>
  <c r="Z75" i="51"/>
  <c r="Y75" i="51"/>
  <c r="V75" i="51"/>
  <c r="U75" i="51"/>
  <c r="D95" i="50"/>
  <c r="H74" i="51"/>
  <c r="E74" i="51"/>
  <c r="F74" i="51"/>
  <c r="J74" i="51"/>
  <c r="K74" i="51"/>
  <c r="D74" i="51"/>
  <c r="K95" i="51"/>
  <c r="H95" i="51"/>
  <c r="E95" i="51"/>
  <c r="F95" i="51"/>
  <c r="J95" i="51"/>
  <c r="D95" i="51"/>
  <c r="T144" i="51"/>
  <c r="T140" i="51"/>
  <c r="U143" i="51"/>
  <c r="T142" i="51"/>
  <c r="K74" i="50"/>
  <c r="H74" i="50"/>
  <c r="F74" i="50"/>
  <c r="J74" i="50"/>
  <c r="E74" i="50"/>
  <c r="D74" i="50"/>
  <c r="Z74" i="51"/>
  <c r="W74" i="51"/>
  <c r="Y74" i="51"/>
  <c r="X74" i="51"/>
  <c r="S74" i="51"/>
  <c r="U74" i="51"/>
  <c r="T74" i="51"/>
  <c r="V74" i="51"/>
  <c r="Q74" i="51"/>
  <c r="R74" i="51"/>
  <c r="I93" i="51"/>
  <c r="G93" i="51"/>
  <c r="G73" i="51"/>
  <c r="I73" i="51"/>
  <c r="J75" i="51"/>
  <c r="E75" i="51"/>
  <c r="D75" i="51"/>
  <c r="H75" i="51"/>
  <c r="F75" i="51"/>
  <c r="K75" i="51"/>
  <c r="K94" i="51"/>
  <c r="H94" i="51"/>
  <c r="E94" i="51"/>
  <c r="F94" i="51"/>
  <c r="J94" i="51"/>
  <c r="D94" i="51"/>
  <c r="Q324" i="50"/>
  <c r="Q313" i="51" s="1"/>
  <c r="AB116" i="51"/>
  <c r="X116" i="51"/>
  <c r="T116" i="51"/>
  <c r="AA116" i="51"/>
  <c r="W116" i="51"/>
  <c r="S116" i="51"/>
  <c r="Z116" i="51"/>
  <c r="V116" i="51"/>
  <c r="Y116" i="51"/>
  <c r="U116" i="51"/>
  <c r="Z112" i="51"/>
  <c r="V112" i="51"/>
  <c r="Y112" i="51"/>
  <c r="U112" i="51"/>
  <c r="AB112" i="51"/>
  <c r="X112" i="51"/>
  <c r="T112" i="51"/>
  <c r="AA112" i="51"/>
  <c r="W112" i="51"/>
  <c r="S112" i="51"/>
  <c r="AL321" i="50"/>
  <c r="AL310" i="51" s="1"/>
  <c r="AM321" i="50"/>
  <c r="AM310" i="51" s="1"/>
  <c r="AI321" i="50"/>
  <c r="AI310" i="51" s="1"/>
  <c r="AI327" i="50"/>
  <c r="AI316" i="51" s="1"/>
  <c r="X331" i="50"/>
  <c r="X320" i="51" s="1"/>
  <c r="P327" i="50"/>
  <c r="P316" i="51" s="1"/>
  <c r="AK327" i="50"/>
  <c r="AK316" i="51" s="1"/>
  <c r="AL327" i="50"/>
  <c r="AL316" i="51" s="1"/>
  <c r="AN327" i="50"/>
  <c r="AN316" i="51" s="1"/>
  <c r="AF331" i="50"/>
  <c r="AF320" i="51" s="1"/>
  <c r="U327" i="50"/>
  <c r="U316" i="51" s="1"/>
  <c r="V327" i="50"/>
  <c r="V316" i="51" s="1"/>
  <c r="AD327" i="50"/>
  <c r="AD316" i="51" s="1"/>
  <c r="T324" i="50"/>
  <c r="T313" i="51" s="1"/>
  <c r="R327" i="50"/>
  <c r="R316" i="51" s="1"/>
  <c r="AA327" i="50"/>
  <c r="AA316" i="51" s="1"/>
  <c r="AB111" i="51"/>
  <c r="X111" i="51"/>
  <c r="T111" i="51"/>
  <c r="AA111" i="51"/>
  <c r="Z111" i="51"/>
  <c r="V111" i="51"/>
  <c r="Y111" i="51"/>
  <c r="W111" i="51"/>
  <c r="S111" i="51"/>
  <c r="U111" i="51"/>
  <c r="AB109" i="51"/>
  <c r="X109" i="51"/>
  <c r="T109" i="51"/>
  <c r="Z109" i="51"/>
  <c r="V109" i="51"/>
  <c r="AA109" i="51"/>
  <c r="S109" i="51"/>
  <c r="W109" i="51"/>
  <c r="Y109" i="51"/>
  <c r="U109" i="51"/>
  <c r="Z117" i="51"/>
  <c r="V117" i="51"/>
  <c r="Y117" i="51"/>
  <c r="U117" i="51"/>
  <c r="AB117" i="51"/>
  <c r="X117" i="51"/>
  <c r="T117" i="51"/>
  <c r="W117" i="51"/>
  <c r="S117" i="51"/>
  <c r="AA117" i="51"/>
  <c r="AQ321" i="50"/>
  <c r="AQ310" i="51" s="1"/>
  <c r="AK321" i="50"/>
  <c r="AK310" i="51" s="1"/>
  <c r="Y327" i="50"/>
  <c r="Y316" i="51" s="1"/>
  <c r="V331" i="50"/>
  <c r="V320" i="51" s="1"/>
  <c r="AE331" i="50"/>
  <c r="AE320" i="51" s="1"/>
  <c r="P331" i="50"/>
  <c r="P320" i="51" s="1"/>
  <c r="S327" i="50"/>
  <c r="S316" i="51" s="1"/>
  <c r="AE327" i="50"/>
  <c r="AE316" i="51" s="1"/>
  <c r="AJ327" i="50"/>
  <c r="AJ316" i="51" s="1"/>
  <c r="AB327" i="50"/>
  <c r="AB316" i="51" s="1"/>
  <c r="AG327" i="50"/>
  <c r="AG316" i="51" s="1"/>
  <c r="AQ327" i="50"/>
  <c r="AQ316" i="51" s="1"/>
  <c r="Y331" i="50"/>
  <c r="Y320" i="51" s="1"/>
  <c r="U331" i="50"/>
  <c r="U320" i="51" s="1"/>
  <c r="AF327" i="50"/>
  <c r="AF316" i="51" s="1"/>
  <c r="AN321" i="50"/>
  <c r="AN310" i="51" s="1"/>
  <c r="AP321" i="50"/>
  <c r="AP310" i="51" s="1"/>
  <c r="AC327" i="50"/>
  <c r="AC316" i="51" s="1"/>
  <c r="T331" i="50"/>
  <c r="T320" i="51" s="1"/>
  <c r="AQ331" i="50"/>
  <c r="AQ320" i="51" s="1"/>
  <c r="AA331" i="50"/>
  <c r="AA320" i="51" s="1"/>
  <c r="T327" i="50"/>
  <c r="T316" i="51" s="1"/>
  <c r="I310" i="50"/>
  <c r="I309" i="50"/>
  <c r="I299" i="51"/>
  <c r="AJ333" i="50"/>
  <c r="AJ321" i="51" s="1"/>
  <c r="C335" i="50"/>
  <c r="AN335" i="50" s="1"/>
  <c r="AN323" i="51" s="1"/>
  <c r="I298" i="51"/>
  <c r="K299" i="51"/>
  <c r="C338" i="50"/>
  <c r="Q338" i="50" s="1"/>
  <c r="Q326" i="51" s="1"/>
  <c r="C323" i="51"/>
  <c r="E323" i="51" s="1"/>
  <c r="K310" i="50"/>
  <c r="AL333" i="50"/>
  <c r="AL321" i="51" s="1"/>
  <c r="K309" i="50"/>
  <c r="Q327" i="50"/>
  <c r="Q316" i="51" s="1"/>
  <c r="C325" i="51"/>
  <c r="D325" i="51" s="1"/>
  <c r="AK331" i="50"/>
  <c r="AK320" i="51" s="1"/>
  <c r="AP331" i="50"/>
  <c r="AP320" i="51" s="1"/>
  <c r="AO331" i="50"/>
  <c r="AO320" i="51" s="1"/>
  <c r="Q331" i="50"/>
  <c r="Q320" i="51" s="1"/>
  <c r="AH331" i="50"/>
  <c r="AH320" i="51" s="1"/>
  <c r="Z331" i="50"/>
  <c r="Z320" i="51" s="1"/>
  <c r="AL331" i="50"/>
  <c r="AL320" i="51" s="1"/>
  <c r="AJ331" i="50"/>
  <c r="AJ320" i="51" s="1"/>
  <c r="AG331" i="50"/>
  <c r="AG320" i="51" s="1"/>
  <c r="S331" i="50"/>
  <c r="S320" i="51" s="1"/>
  <c r="AD331" i="50"/>
  <c r="AD320" i="51" s="1"/>
  <c r="AC331" i="50"/>
  <c r="AC320" i="51" s="1"/>
  <c r="AN331" i="50"/>
  <c r="AN320" i="51" s="1"/>
  <c r="W331" i="50"/>
  <c r="W320" i="51" s="1"/>
  <c r="AM331" i="50"/>
  <c r="AM320" i="51" s="1"/>
  <c r="X328" i="50"/>
  <c r="X317" i="51" s="1"/>
  <c r="W343" i="50"/>
  <c r="W331" i="51" s="1"/>
  <c r="AN329" i="50"/>
  <c r="AN318" i="51" s="1"/>
  <c r="AO329" i="50"/>
  <c r="AO318" i="51" s="1"/>
  <c r="P329" i="50"/>
  <c r="P318" i="51" s="1"/>
  <c r="V328" i="50"/>
  <c r="V317" i="51" s="1"/>
  <c r="AD343" i="50"/>
  <c r="AD331" i="51" s="1"/>
  <c r="Q343" i="50"/>
  <c r="Q331" i="51" s="1"/>
  <c r="AB323" i="50"/>
  <c r="AB312" i="51" s="1"/>
  <c r="Y323" i="50"/>
  <c r="Y312" i="51" s="1"/>
  <c r="AI329" i="50"/>
  <c r="AI318" i="51" s="1"/>
  <c r="AH329" i="50"/>
  <c r="AH318" i="51" s="1"/>
  <c r="AB329" i="50"/>
  <c r="AB318" i="51" s="1"/>
  <c r="Y343" i="50"/>
  <c r="Y331" i="51" s="1"/>
  <c r="AH343" i="50"/>
  <c r="AH331" i="51" s="1"/>
  <c r="F328" i="51"/>
  <c r="D328" i="51"/>
  <c r="I328" i="51"/>
  <c r="K328" i="51"/>
  <c r="E328" i="51"/>
  <c r="G328" i="51" s="1"/>
  <c r="H328" i="51"/>
  <c r="J328" i="51"/>
  <c r="E318" i="51"/>
  <c r="J318" i="51"/>
  <c r="H318" i="51"/>
  <c r="F318" i="51"/>
  <c r="K318" i="51"/>
  <c r="I318" i="51"/>
  <c r="D318" i="51"/>
  <c r="J115" i="50"/>
  <c r="H115" i="50"/>
  <c r="K115" i="50"/>
  <c r="F115" i="50"/>
  <c r="G115" i="50" s="1"/>
  <c r="J314" i="50"/>
  <c r="H314" i="50"/>
  <c r="F314" i="50"/>
  <c r="D314" i="50"/>
  <c r="I314" i="50"/>
  <c r="K314" i="50"/>
  <c r="E314" i="50"/>
  <c r="G314" i="50" s="1"/>
  <c r="U314" i="50"/>
  <c r="U303" i="51" s="1"/>
  <c r="AH314" i="50"/>
  <c r="AH303" i="51" s="1"/>
  <c r="AO314" i="50"/>
  <c r="AO303" i="51" s="1"/>
  <c r="AM314" i="50"/>
  <c r="AM303" i="51" s="1"/>
  <c r="P314" i="50"/>
  <c r="P303" i="51" s="1"/>
  <c r="Q314" i="50"/>
  <c r="Q303" i="51" s="1"/>
  <c r="AQ314" i="50"/>
  <c r="AQ303" i="51" s="1"/>
  <c r="AC314" i="50"/>
  <c r="AC303" i="51" s="1"/>
  <c r="AA314" i="50"/>
  <c r="AA303" i="51" s="1"/>
  <c r="AE314" i="50"/>
  <c r="AE303" i="51" s="1"/>
  <c r="Z314" i="50"/>
  <c r="Z303" i="51" s="1"/>
  <c r="Y314" i="50"/>
  <c r="Y303" i="51" s="1"/>
  <c r="W314" i="50"/>
  <c r="W303" i="51" s="1"/>
  <c r="AI314" i="50"/>
  <c r="AI303" i="51" s="1"/>
  <c r="AJ314" i="50"/>
  <c r="AJ303" i="51" s="1"/>
  <c r="S314" i="50"/>
  <c r="S303" i="51" s="1"/>
  <c r="T314" i="50"/>
  <c r="T303" i="51" s="1"/>
  <c r="AN314" i="50"/>
  <c r="AN303" i="51" s="1"/>
  <c r="R314" i="50"/>
  <c r="R303" i="51" s="1"/>
  <c r="O314" i="50"/>
  <c r="O303" i="51" s="1"/>
  <c r="AL314" i="50"/>
  <c r="AL303" i="51" s="1"/>
  <c r="AR314" i="50"/>
  <c r="AR303" i="51" s="1"/>
  <c r="AD314" i="50"/>
  <c r="AD303" i="51" s="1"/>
  <c r="AB314" i="50"/>
  <c r="AB303" i="51" s="1"/>
  <c r="AP314" i="50"/>
  <c r="AP303" i="51" s="1"/>
  <c r="AF314" i="50"/>
  <c r="AF303" i="51" s="1"/>
  <c r="AG314" i="50"/>
  <c r="AG303" i="51" s="1"/>
  <c r="X314" i="50"/>
  <c r="X303" i="51" s="1"/>
  <c r="AK314" i="50"/>
  <c r="AK303" i="51" s="1"/>
  <c r="V314" i="50"/>
  <c r="V303" i="51" s="1"/>
  <c r="K315" i="50"/>
  <c r="E315" i="50"/>
  <c r="J315" i="50"/>
  <c r="H315" i="50"/>
  <c r="F315" i="50"/>
  <c r="D315" i="50"/>
  <c r="I315" i="50"/>
  <c r="O315" i="50"/>
  <c r="O304" i="51" s="1"/>
  <c r="S315" i="50"/>
  <c r="S304" i="51" s="1"/>
  <c r="Q315" i="50"/>
  <c r="Q304" i="51" s="1"/>
  <c r="AN315" i="50"/>
  <c r="AN304" i="51" s="1"/>
  <c r="AA315" i="50"/>
  <c r="AA304" i="51" s="1"/>
  <c r="P315" i="50"/>
  <c r="P304" i="51" s="1"/>
  <c r="AE315" i="50"/>
  <c r="AE304" i="51" s="1"/>
  <c r="AI315" i="50"/>
  <c r="AI304" i="51" s="1"/>
  <c r="U315" i="50"/>
  <c r="U304" i="51" s="1"/>
  <c r="Y315" i="50"/>
  <c r="Y304" i="51" s="1"/>
  <c r="Z315" i="50"/>
  <c r="Z304" i="51" s="1"/>
  <c r="AM315" i="50"/>
  <c r="AM304" i="51" s="1"/>
  <c r="X315" i="50"/>
  <c r="X304" i="51" s="1"/>
  <c r="AK315" i="50"/>
  <c r="AK304" i="51" s="1"/>
  <c r="AO315" i="50"/>
  <c r="AO304" i="51" s="1"/>
  <c r="AG315" i="50"/>
  <c r="AG304" i="51" s="1"/>
  <c r="AB315" i="50"/>
  <c r="AB304" i="51" s="1"/>
  <c r="AH315" i="50"/>
  <c r="AH304" i="51" s="1"/>
  <c r="AL315" i="50"/>
  <c r="AL304" i="51" s="1"/>
  <c r="AC315" i="50"/>
  <c r="AC304" i="51" s="1"/>
  <c r="AD315" i="50"/>
  <c r="AD304" i="51" s="1"/>
  <c r="AR315" i="50"/>
  <c r="AR304" i="51" s="1"/>
  <c r="AP315" i="50"/>
  <c r="AP304" i="51" s="1"/>
  <c r="T315" i="50"/>
  <c r="T304" i="51" s="1"/>
  <c r="AQ315" i="50"/>
  <c r="AQ304" i="51" s="1"/>
  <c r="AF315" i="50"/>
  <c r="AF304" i="51" s="1"/>
  <c r="R315" i="50"/>
  <c r="R304" i="51" s="1"/>
  <c r="V315" i="50"/>
  <c r="V304" i="51" s="1"/>
  <c r="W315" i="50"/>
  <c r="W304" i="51" s="1"/>
  <c r="AJ315" i="50"/>
  <c r="AJ304" i="51" s="1"/>
  <c r="E118" i="51"/>
  <c r="F118" i="51"/>
  <c r="K118" i="51"/>
  <c r="J118" i="51"/>
  <c r="H118" i="51"/>
  <c r="H123" i="51"/>
  <c r="J123" i="51"/>
  <c r="D123" i="51"/>
  <c r="F123" i="51"/>
  <c r="E123" i="51"/>
  <c r="K123" i="51"/>
  <c r="K117" i="51"/>
  <c r="H117" i="51"/>
  <c r="F117" i="51"/>
  <c r="J117" i="51"/>
  <c r="D117" i="51"/>
  <c r="E117" i="51"/>
  <c r="K304" i="51"/>
  <c r="E304" i="51"/>
  <c r="J304" i="51"/>
  <c r="H304" i="51"/>
  <c r="I304" i="51"/>
  <c r="D304" i="51"/>
  <c r="F304" i="51"/>
  <c r="AD323" i="50"/>
  <c r="AD312" i="51" s="1"/>
  <c r="E323" i="50"/>
  <c r="J323" i="50"/>
  <c r="H323" i="50"/>
  <c r="F323" i="50"/>
  <c r="D323" i="50"/>
  <c r="K323" i="50"/>
  <c r="I323" i="50"/>
  <c r="AC328" i="50"/>
  <c r="AC317" i="51" s="1"/>
  <c r="J328" i="50"/>
  <c r="H328" i="50"/>
  <c r="F328" i="50"/>
  <c r="D328" i="50"/>
  <c r="I328" i="50"/>
  <c r="K328" i="50"/>
  <c r="E328" i="50"/>
  <c r="G328" i="50" s="1"/>
  <c r="I319" i="51"/>
  <c r="K319" i="51"/>
  <c r="E319" i="51"/>
  <c r="H319" i="51"/>
  <c r="D319" i="51"/>
  <c r="J319" i="51"/>
  <c r="F319" i="51"/>
  <c r="C116" i="50"/>
  <c r="F124" i="50"/>
  <c r="E124" i="50"/>
  <c r="K124" i="50"/>
  <c r="H124" i="50"/>
  <c r="J124" i="50"/>
  <c r="D124" i="50"/>
  <c r="J115" i="51"/>
  <c r="D115" i="51"/>
  <c r="F115" i="51"/>
  <c r="K115" i="51"/>
  <c r="E115" i="51"/>
  <c r="H115" i="51"/>
  <c r="J112" i="51"/>
  <c r="E112" i="51"/>
  <c r="K112" i="51"/>
  <c r="D112" i="51"/>
  <c r="F112" i="51"/>
  <c r="H112" i="51"/>
  <c r="D305" i="51"/>
  <c r="I305" i="51"/>
  <c r="K305" i="51"/>
  <c r="E305" i="51"/>
  <c r="J305" i="51"/>
  <c r="H305" i="51"/>
  <c r="F305" i="51"/>
  <c r="AA323" i="50"/>
  <c r="AA312" i="51" s="1"/>
  <c r="AP329" i="50"/>
  <c r="AP318" i="51" s="1"/>
  <c r="Z343" i="50"/>
  <c r="Z331" i="51" s="1"/>
  <c r="X323" i="50"/>
  <c r="X312" i="51" s="1"/>
  <c r="AC329" i="50"/>
  <c r="AC318" i="51" s="1"/>
  <c r="P343" i="50"/>
  <c r="P331" i="51" s="1"/>
  <c r="AJ328" i="50"/>
  <c r="AJ317" i="51" s="1"/>
  <c r="AH323" i="50"/>
  <c r="AH312" i="51" s="1"/>
  <c r="Y329" i="50"/>
  <c r="Y318" i="51" s="1"/>
  <c r="AE323" i="50"/>
  <c r="AE312" i="51" s="1"/>
  <c r="AM343" i="50"/>
  <c r="AM331" i="51" s="1"/>
  <c r="S329" i="50"/>
  <c r="S318" i="51" s="1"/>
  <c r="AR323" i="50"/>
  <c r="AR312" i="51" s="1"/>
  <c r="AF343" i="50"/>
  <c r="AF331" i="51" s="1"/>
  <c r="AI328" i="50"/>
  <c r="AI317" i="51" s="1"/>
  <c r="AA329" i="50"/>
  <c r="AA318" i="51" s="1"/>
  <c r="U329" i="50"/>
  <c r="U318" i="51" s="1"/>
  <c r="AN343" i="50"/>
  <c r="AN331" i="51" s="1"/>
  <c r="AQ343" i="50"/>
  <c r="AQ331" i="51" s="1"/>
  <c r="W323" i="50"/>
  <c r="W312" i="51" s="1"/>
  <c r="AJ329" i="50"/>
  <c r="AJ318" i="51" s="1"/>
  <c r="AB328" i="50"/>
  <c r="AB317" i="51" s="1"/>
  <c r="AL323" i="50"/>
  <c r="AL312" i="51" s="1"/>
  <c r="AJ343" i="50"/>
  <c r="AJ331" i="51" s="1"/>
  <c r="R329" i="50"/>
  <c r="R318" i="51" s="1"/>
  <c r="AO328" i="50"/>
  <c r="AO317" i="51" s="1"/>
  <c r="V343" i="50"/>
  <c r="V331" i="51" s="1"/>
  <c r="X329" i="50"/>
  <c r="X318" i="51" s="1"/>
  <c r="P328" i="50"/>
  <c r="P317" i="51" s="1"/>
  <c r="AP323" i="50"/>
  <c r="AP312" i="51" s="1"/>
  <c r="AR343" i="50"/>
  <c r="AR331" i="51" s="1"/>
  <c r="U323" i="50"/>
  <c r="U312" i="51" s="1"/>
  <c r="AH324" i="50"/>
  <c r="AH313" i="51" s="1"/>
  <c r="E324" i="50"/>
  <c r="J324" i="50"/>
  <c r="H324" i="50"/>
  <c r="F324" i="50"/>
  <c r="D324" i="50"/>
  <c r="I324" i="50"/>
  <c r="K324" i="50"/>
  <c r="AC342" i="50"/>
  <c r="AC330" i="51" s="1"/>
  <c r="I342" i="50"/>
  <c r="K342" i="50"/>
  <c r="E342" i="50"/>
  <c r="J342" i="50"/>
  <c r="H342" i="50"/>
  <c r="D342" i="50"/>
  <c r="F342" i="50"/>
  <c r="C339" i="50"/>
  <c r="E333" i="50"/>
  <c r="J333" i="50"/>
  <c r="D334" i="50"/>
  <c r="F333" i="50"/>
  <c r="H333" i="50"/>
  <c r="E334" i="50"/>
  <c r="G334" i="50" s="1"/>
  <c r="D333" i="50"/>
  <c r="AM341" i="50"/>
  <c r="AM329" i="51" s="1"/>
  <c r="J341" i="50"/>
  <c r="H341" i="50"/>
  <c r="D341" i="50"/>
  <c r="E341" i="50"/>
  <c r="F341" i="50"/>
  <c r="AC466" i="50"/>
  <c r="AC449" i="51" s="1"/>
  <c r="AS466" i="50"/>
  <c r="AS449" i="51" s="1"/>
  <c r="AE466" i="50"/>
  <c r="AE449" i="51" s="1"/>
  <c r="AU466" i="50"/>
  <c r="AU449" i="51" s="1"/>
  <c r="Z514" i="50"/>
  <c r="Z495" i="51" s="1"/>
  <c r="AH490" i="50"/>
  <c r="AH472" i="51" s="1"/>
  <c r="AT466" i="50"/>
  <c r="AT449" i="51" s="1"/>
  <c r="AM514" i="50"/>
  <c r="AM495" i="51" s="1"/>
  <c r="AA490" i="50"/>
  <c r="AA472" i="51" s="1"/>
  <c r="AQ490" i="50"/>
  <c r="AQ472" i="51" s="1"/>
  <c r="AF514" i="50"/>
  <c r="AF495" i="51" s="1"/>
  <c r="AB490" i="50"/>
  <c r="AB472" i="51" s="1"/>
  <c r="AR490" i="50"/>
  <c r="AR472" i="51" s="1"/>
  <c r="AF466" i="50"/>
  <c r="AF449" i="51" s="1"/>
  <c r="AV514" i="50"/>
  <c r="AV495" i="51" s="1"/>
  <c r="AP466" i="50"/>
  <c r="AP449" i="51" s="1"/>
  <c r="AK514" i="50"/>
  <c r="AK495" i="51" s="1"/>
  <c r="Y490" i="50"/>
  <c r="Y472" i="51" s="1"/>
  <c r="AO490" i="50"/>
  <c r="AO472" i="51" s="1"/>
  <c r="AH514" i="50"/>
  <c r="AH495" i="51" s="1"/>
  <c r="AX490" i="50"/>
  <c r="AX472" i="51" s="1"/>
  <c r="AG466" i="50"/>
  <c r="AG449" i="51" s="1"/>
  <c r="AW466" i="50"/>
  <c r="AW449" i="51" s="1"/>
  <c r="AI466" i="50"/>
  <c r="AI449" i="51" s="1"/>
  <c r="AB466" i="50"/>
  <c r="AB449" i="51" s="1"/>
  <c r="AL514" i="50"/>
  <c r="AL495" i="51" s="1"/>
  <c r="AT490" i="50"/>
  <c r="AT472" i="51" s="1"/>
  <c r="AA514" i="50"/>
  <c r="AA495" i="51" s="1"/>
  <c r="AQ514" i="50"/>
  <c r="AQ495" i="51" s="1"/>
  <c r="AE490" i="50"/>
  <c r="AE472" i="51" s="1"/>
  <c r="AU490" i="50"/>
  <c r="AU472" i="51" s="1"/>
  <c r="AJ514" i="50"/>
  <c r="AJ495" i="51" s="1"/>
  <c r="AF490" i="50"/>
  <c r="AF472" i="51" s="1"/>
  <c r="AD490" i="50"/>
  <c r="AD472" i="51" s="1"/>
  <c r="AN466" i="50"/>
  <c r="AN449" i="51" s="1"/>
  <c r="AV490" i="50"/>
  <c r="AV472" i="51" s="1"/>
  <c r="Y514" i="50"/>
  <c r="Y495" i="51" s="1"/>
  <c r="AO514" i="50"/>
  <c r="AO495" i="51" s="1"/>
  <c r="AC490" i="50"/>
  <c r="AC472" i="51" s="1"/>
  <c r="AS490" i="50"/>
  <c r="AS472" i="51" s="1"/>
  <c r="AP514" i="50"/>
  <c r="AP495" i="51" s="1"/>
  <c r="Y466" i="50"/>
  <c r="Y449" i="51" s="1"/>
  <c r="AA466" i="50"/>
  <c r="AA449" i="51" s="1"/>
  <c r="AR466" i="50"/>
  <c r="AR449" i="51" s="1"/>
  <c r="AL466" i="50"/>
  <c r="AL449" i="51" s="1"/>
  <c r="AY514" i="50"/>
  <c r="AY495" i="51" s="1"/>
  <c r="AB514" i="50"/>
  <c r="AB495" i="51" s="1"/>
  <c r="AN490" i="50"/>
  <c r="AN472" i="51" s="1"/>
  <c r="AN514" i="50"/>
  <c r="AN495" i="51" s="1"/>
  <c r="AG514" i="50"/>
  <c r="AG495" i="51" s="1"/>
  <c r="AK490" i="50"/>
  <c r="AK472" i="51" s="1"/>
  <c r="AL490" i="50"/>
  <c r="AL472" i="51" s="1"/>
  <c r="AK466" i="50"/>
  <c r="AK449" i="51" s="1"/>
  <c r="AM466" i="50"/>
  <c r="AM449" i="51" s="1"/>
  <c r="AT514" i="50"/>
  <c r="AT495" i="51" s="1"/>
  <c r="AE514" i="50"/>
  <c r="AE495" i="51" s="1"/>
  <c r="AI490" i="50"/>
  <c r="AI472" i="51" s="1"/>
  <c r="AR514" i="50"/>
  <c r="AR495" i="51" s="1"/>
  <c r="AP490" i="50"/>
  <c r="AP472" i="51" s="1"/>
  <c r="Z466" i="50"/>
  <c r="Z449" i="51" s="1"/>
  <c r="AS514" i="50"/>
  <c r="AS495" i="51" s="1"/>
  <c r="AW490" i="50"/>
  <c r="AW472" i="51" s="1"/>
  <c r="AB442" i="50"/>
  <c r="AB426" i="51" s="1"/>
  <c r="AR442" i="50"/>
  <c r="AR426" i="51" s="1"/>
  <c r="AK442" i="50"/>
  <c r="AK426" i="51" s="1"/>
  <c r="V442" i="50"/>
  <c r="V426" i="51" s="1"/>
  <c r="AE442" i="50"/>
  <c r="AE426" i="51" s="1"/>
  <c r="AA442" i="50"/>
  <c r="AA426" i="51" s="1"/>
  <c r="AH442" i="50"/>
  <c r="AH426" i="51" s="1"/>
  <c r="AO466" i="50"/>
  <c r="AO449" i="51" s="1"/>
  <c r="AQ466" i="50"/>
  <c r="AQ449" i="51" s="1"/>
  <c r="Z490" i="50"/>
  <c r="Z472" i="51" s="1"/>
  <c r="AI514" i="50"/>
  <c r="AI495" i="51" s="1"/>
  <c r="AM490" i="50"/>
  <c r="AM472" i="51" s="1"/>
  <c r="X490" i="50"/>
  <c r="X472" i="51" s="1"/>
  <c r="X466" i="50"/>
  <c r="X449" i="51" s="1"/>
  <c r="AH466" i="50"/>
  <c r="AH449" i="51" s="1"/>
  <c r="AW514" i="50"/>
  <c r="AW495" i="51" s="1"/>
  <c r="AD514" i="50"/>
  <c r="AD495" i="51" s="1"/>
  <c r="W490" i="50"/>
  <c r="W472" i="51" s="1"/>
  <c r="AF442" i="50"/>
  <c r="AF426" i="51" s="1"/>
  <c r="Y442" i="50"/>
  <c r="Y426" i="51" s="1"/>
  <c r="AO442" i="50"/>
  <c r="AO426" i="51" s="1"/>
  <c r="AD442" i="50"/>
  <c r="AD426" i="51" s="1"/>
  <c r="AM442" i="50"/>
  <c r="AM426" i="51" s="1"/>
  <c r="AQ442" i="50"/>
  <c r="AQ426" i="51" s="1"/>
  <c r="AV442" i="50"/>
  <c r="AV426" i="51" s="1"/>
  <c r="AD418" i="50"/>
  <c r="AD403" i="51" s="1"/>
  <c r="AT418" i="50"/>
  <c r="AT403" i="51" s="1"/>
  <c r="AI418" i="50"/>
  <c r="AI403" i="51" s="1"/>
  <c r="X418" i="50"/>
  <c r="X403" i="51" s="1"/>
  <c r="AN418" i="50"/>
  <c r="AN403" i="51" s="1"/>
  <c r="AC418" i="50"/>
  <c r="AC403" i="51" s="1"/>
  <c r="AS418" i="50"/>
  <c r="AS403" i="51" s="1"/>
  <c r="W466" i="50"/>
  <c r="W449" i="51" s="1"/>
  <c r="AJ466" i="50"/>
  <c r="AJ449" i="51" s="1"/>
  <c r="AD466" i="50"/>
  <c r="AD449" i="51" s="1"/>
  <c r="AU514" i="50"/>
  <c r="AU495" i="51" s="1"/>
  <c r="X514" i="50"/>
  <c r="X495" i="51" s="1"/>
  <c r="AJ490" i="50"/>
  <c r="AJ472" i="51" s="1"/>
  <c r="AV466" i="50"/>
  <c r="AV449" i="51" s="1"/>
  <c r="AC514" i="50"/>
  <c r="AC495" i="51" s="1"/>
  <c r="AG490" i="50"/>
  <c r="AG472" i="51" s="1"/>
  <c r="AX514" i="50"/>
  <c r="AX495" i="51" s="1"/>
  <c r="V466" i="50"/>
  <c r="V449" i="51" s="1"/>
  <c r="AJ442" i="50"/>
  <c r="AJ426" i="51" s="1"/>
  <c r="AC442" i="50"/>
  <c r="AC426" i="51" s="1"/>
  <c r="AS442" i="50"/>
  <c r="AS426" i="51" s="1"/>
  <c r="AL442" i="50"/>
  <c r="AL426" i="51" s="1"/>
  <c r="Z442" i="50"/>
  <c r="Z426" i="51" s="1"/>
  <c r="W442" i="50"/>
  <c r="W426" i="51" s="1"/>
  <c r="AI442" i="50"/>
  <c r="AI426" i="51" s="1"/>
  <c r="AH418" i="50"/>
  <c r="AH403" i="51" s="1"/>
  <c r="W418" i="50"/>
  <c r="W403" i="51" s="1"/>
  <c r="AM418" i="50"/>
  <c r="AM403" i="51" s="1"/>
  <c r="AB418" i="50"/>
  <c r="AB403" i="51" s="1"/>
  <c r="AR418" i="50"/>
  <c r="AR403" i="51" s="1"/>
  <c r="AG418" i="50"/>
  <c r="AG403" i="51" s="1"/>
  <c r="T418" i="50"/>
  <c r="T403" i="51" s="1"/>
  <c r="AN442" i="50"/>
  <c r="AN426" i="51" s="1"/>
  <c r="AP442" i="50"/>
  <c r="AP426" i="51" s="1"/>
  <c r="Z418" i="50"/>
  <c r="Z403" i="51" s="1"/>
  <c r="AE418" i="50"/>
  <c r="AE403" i="51" s="1"/>
  <c r="AJ418" i="50"/>
  <c r="AJ403" i="51" s="1"/>
  <c r="AO418" i="50"/>
  <c r="AO403" i="51" s="1"/>
  <c r="AM408" i="50"/>
  <c r="AM393" i="51" s="1"/>
  <c r="W408" i="50"/>
  <c r="W393" i="51" s="1"/>
  <c r="AI406" i="50"/>
  <c r="AI391" i="51" s="1"/>
  <c r="S406" i="50"/>
  <c r="S391" i="51" s="1"/>
  <c r="AH408" i="50"/>
  <c r="AH393" i="51" s="1"/>
  <c r="AT406" i="50"/>
  <c r="AT391" i="51" s="1"/>
  <c r="AD406" i="50"/>
  <c r="AD391" i="51" s="1"/>
  <c r="AO408" i="50"/>
  <c r="AO393" i="51" s="1"/>
  <c r="Y408" i="50"/>
  <c r="Y393" i="51" s="1"/>
  <c r="AK406" i="50"/>
  <c r="AK391" i="51" s="1"/>
  <c r="U406" i="50"/>
  <c r="U391" i="51" s="1"/>
  <c r="AJ408" i="50"/>
  <c r="AJ393" i="51" s="1"/>
  <c r="T406" i="50"/>
  <c r="T391" i="51" s="1"/>
  <c r="AF406" i="50"/>
  <c r="AF391" i="51" s="1"/>
  <c r="U394" i="50"/>
  <c r="U380" i="51" s="1"/>
  <c r="AF384" i="50"/>
  <c r="AF370" i="51" s="1"/>
  <c r="AR382" i="50"/>
  <c r="AR368" i="51" s="1"/>
  <c r="AB382" i="50"/>
  <c r="AB368" i="51" s="1"/>
  <c r="X394" i="50"/>
  <c r="X380" i="51" s="1"/>
  <c r="AI384" i="50"/>
  <c r="AI370" i="51" s="1"/>
  <c r="S384" i="50"/>
  <c r="S370" i="51" s="1"/>
  <c r="AE382" i="50"/>
  <c r="AE368" i="51" s="1"/>
  <c r="AA394" i="50"/>
  <c r="AA380" i="51" s="1"/>
  <c r="AL384" i="50"/>
  <c r="AL370" i="51" s="1"/>
  <c r="V384" i="50"/>
  <c r="V370" i="51" s="1"/>
  <c r="AH382" i="50"/>
  <c r="AH368" i="51" s="1"/>
  <c r="R382" i="50"/>
  <c r="R368" i="51" s="1"/>
  <c r="AK382" i="50"/>
  <c r="AK368" i="51" s="1"/>
  <c r="AO384" i="50"/>
  <c r="AO370" i="51" s="1"/>
  <c r="Y382" i="50"/>
  <c r="Y368" i="51" s="1"/>
  <c r="AC382" i="50"/>
  <c r="AC368" i="51" s="1"/>
  <c r="AB358" i="50"/>
  <c r="AB345" i="51" s="1"/>
  <c r="AR358" i="50"/>
  <c r="AR345" i="51" s="1"/>
  <c r="AG360" i="50"/>
  <c r="AG347" i="51" s="1"/>
  <c r="U358" i="50"/>
  <c r="U345" i="51" s="1"/>
  <c r="AK358" i="50"/>
  <c r="AK345" i="51" s="1"/>
  <c r="Z360" i="50"/>
  <c r="Z347" i="51" s="1"/>
  <c r="AP360" i="50"/>
  <c r="AP347" i="51" s="1"/>
  <c r="AP358" i="50"/>
  <c r="AP345" i="51" s="1"/>
  <c r="Q358" i="50"/>
  <c r="Q345" i="51" s="1"/>
  <c r="AQ358" i="50"/>
  <c r="AQ345" i="51" s="1"/>
  <c r="V358" i="50"/>
  <c r="V345" i="51" s="1"/>
  <c r="W358" i="50"/>
  <c r="W345" i="51" s="1"/>
  <c r="AD358" i="50"/>
  <c r="AD345" i="51" s="1"/>
  <c r="T360" i="50"/>
  <c r="T347" i="51" s="1"/>
  <c r="M345" i="50"/>
  <c r="C348" i="50"/>
  <c r="Z348" i="50" s="1"/>
  <c r="Z336" i="51" s="1"/>
  <c r="C349" i="50"/>
  <c r="AN349" i="50" s="1"/>
  <c r="AN337" i="51" s="1"/>
  <c r="C350" i="50"/>
  <c r="X350" i="50" s="1"/>
  <c r="X338" i="51" s="1"/>
  <c r="C351" i="50"/>
  <c r="AM351" i="50" s="1"/>
  <c r="AM339" i="51" s="1"/>
  <c r="AG442" i="50"/>
  <c r="AG426" i="51" s="1"/>
  <c r="AU442" i="50"/>
  <c r="AU426" i="51" s="1"/>
  <c r="AL418" i="50"/>
  <c r="AL403" i="51" s="1"/>
  <c r="AQ418" i="50"/>
  <c r="AQ403" i="51" s="1"/>
  <c r="U418" i="50"/>
  <c r="U403" i="51" s="1"/>
  <c r="AI408" i="50"/>
  <c r="AI393" i="51" s="1"/>
  <c r="S408" i="50"/>
  <c r="S393" i="51" s="1"/>
  <c r="AE406" i="50"/>
  <c r="AE391" i="51" s="1"/>
  <c r="AT408" i="50"/>
  <c r="AT393" i="51" s="1"/>
  <c r="AD408" i="50"/>
  <c r="AD393" i="51" s="1"/>
  <c r="AP406" i="50"/>
  <c r="AP391" i="51" s="1"/>
  <c r="Z406" i="50"/>
  <c r="Z391" i="51" s="1"/>
  <c r="AK408" i="50"/>
  <c r="AK393" i="51" s="1"/>
  <c r="U408" i="50"/>
  <c r="U393" i="51" s="1"/>
  <c r="AG406" i="50"/>
  <c r="AG391" i="51" s="1"/>
  <c r="AF408" i="50"/>
  <c r="AF393" i="51" s="1"/>
  <c r="AR408" i="50"/>
  <c r="AR393" i="51" s="1"/>
  <c r="AR406" i="50"/>
  <c r="AR391" i="51" s="1"/>
  <c r="T408" i="50"/>
  <c r="T393" i="51" s="1"/>
  <c r="AR384" i="50"/>
  <c r="AR370" i="51" s="1"/>
  <c r="AB384" i="50"/>
  <c r="AB370" i="51" s="1"/>
  <c r="AN382" i="50"/>
  <c r="AN368" i="51" s="1"/>
  <c r="X382" i="50"/>
  <c r="X368" i="51" s="1"/>
  <c r="T394" i="50"/>
  <c r="T380" i="51" s="1"/>
  <c r="AE384" i="50"/>
  <c r="AE370" i="51" s="1"/>
  <c r="AQ382" i="50"/>
  <c r="AQ368" i="51" s="1"/>
  <c r="AA382" i="50"/>
  <c r="AA368" i="51" s="1"/>
  <c r="W394" i="50"/>
  <c r="W380" i="51" s="1"/>
  <c r="AH384" i="50"/>
  <c r="AH370" i="51" s="1"/>
  <c r="R384" i="50"/>
  <c r="R370" i="51" s="1"/>
  <c r="AD382" i="50"/>
  <c r="AD368" i="51" s="1"/>
  <c r="Z394" i="50"/>
  <c r="Z380" i="51" s="1"/>
  <c r="U382" i="50"/>
  <c r="U368" i="51" s="1"/>
  <c r="Y384" i="50"/>
  <c r="Y370" i="51" s="1"/>
  <c r="AK384" i="50"/>
  <c r="AK370" i="51" s="1"/>
  <c r="AF358" i="50"/>
  <c r="AF345" i="51" s="1"/>
  <c r="U360" i="50"/>
  <c r="U347" i="51" s="1"/>
  <c r="AK360" i="50"/>
  <c r="AK347" i="51" s="1"/>
  <c r="Y358" i="50"/>
  <c r="Y345" i="51" s="1"/>
  <c r="AO358" i="50"/>
  <c r="AO345" i="51" s="1"/>
  <c r="AD360" i="50"/>
  <c r="AD347" i="51" s="1"/>
  <c r="R358" i="50"/>
  <c r="R345" i="51" s="1"/>
  <c r="W360" i="50"/>
  <c r="W347" i="51" s="1"/>
  <c r="S358" i="50"/>
  <c r="S345" i="51" s="1"/>
  <c r="X360" i="50"/>
  <c r="X347" i="51" s="1"/>
  <c r="AL358" i="50"/>
  <c r="AL345" i="51" s="1"/>
  <c r="AM358" i="50"/>
  <c r="AM345" i="51" s="1"/>
  <c r="S360" i="50"/>
  <c r="S347" i="51" s="1"/>
  <c r="AJ360" i="50"/>
  <c r="AJ347" i="51" s="1"/>
  <c r="L345" i="50"/>
  <c r="C352" i="50"/>
  <c r="AP352" i="50" s="1"/>
  <c r="AP340" i="51" s="1"/>
  <c r="C353" i="50"/>
  <c r="AK353" i="50" s="1"/>
  <c r="AK341" i="51" s="1"/>
  <c r="C354" i="50"/>
  <c r="AM354" i="50" s="1"/>
  <c r="AM342" i="51" s="1"/>
  <c r="C355" i="50"/>
  <c r="AQ355" i="50" s="1"/>
  <c r="AQ343" i="51" s="1"/>
  <c r="U442" i="50"/>
  <c r="U426" i="51" s="1"/>
  <c r="AP418" i="50"/>
  <c r="AP403" i="51" s="1"/>
  <c r="AU418" i="50"/>
  <c r="AU403" i="51" s="1"/>
  <c r="Y418" i="50"/>
  <c r="Y403" i="51" s="1"/>
  <c r="AE408" i="50"/>
  <c r="AE393" i="51" s="1"/>
  <c r="AQ406" i="50"/>
  <c r="AQ391" i="51" s="1"/>
  <c r="AA406" i="50"/>
  <c r="AA391" i="51" s="1"/>
  <c r="AP408" i="50"/>
  <c r="AP393" i="51" s="1"/>
  <c r="Z408" i="50"/>
  <c r="Z393" i="51" s="1"/>
  <c r="AL406" i="50"/>
  <c r="AL391" i="51" s="1"/>
  <c r="V406" i="50"/>
  <c r="V391" i="51" s="1"/>
  <c r="AG408" i="50"/>
  <c r="AG393" i="51" s="1"/>
  <c r="AS406" i="50"/>
  <c r="AS391" i="51" s="1"/>
  <c r="AC406" i="50"/>
  <c r="AC391" i="51" s="1"/>
  <c r="AN406" i="50"/>
  <c r="AN391" i="51" s="1"/>
  <c r="AB408" i="50"/>
  <c r="AB393" i="51" s="1"/>
  <c r="AN408" i="50"/>
  <c r="AN393" i="51" s="1"/>
  <c r="AB406" i="50"/>
  <c r="AB391" i="51" s="1"/>
  <c r="AN384" i="50"/>
  <c r="AN370" i="51" s="1"/>
  <c r="X384" i="50"/>
  <c r="X370" i="51" s="1"/>
  <c r="AJ382" i="50"/>
  <c r="AJ368" i="51" s="1"/>
  <c r="T382" i="50"/>
  <c r="T368" i="51" s="1"/>
  <c r="AQ384" i="50"/>
  <c r="AQ370" i="51" s="1"/>
  <c r="AA384" i="50"/>
  <c r="AA370" i="51" s="1"/>
  <c r="AM382" i="50"/>
  <c r="AM368" i="51" s="1"/>
  <c r="W382" i="50"/>
  <c r="W368" i="51" s="1"/>
  <c r="S394" i="50"/>
  <c r="S380" i="51" s="1"/>
  <c r="AD384" i="50"/>
  <c r="AD370" i="51" s="1"/>
  <c r="AP382" i="50"/>
  <c r="AP368" i="51" s="1"/>
  <c r="Z382" i="50"/>
  <c r="Z368" i="51" s="1"/>
  <c r="AS384" i="50"/>
  <c r="AS370" i="51" s="1"/>
  <c r="AO382" i="50"/>
  <c r="AO368" i="51" s="1"/>
  <c r="AG382" i="50"/>
  <c r="AG368" i="51" s="1"/>
  <c r="U384" i="50"/>
  <c r="U370" i="51" s="1"/>
  <c r="T358" i="50"/>
  <c r="T345" i="51" s="1"/>
  <c r="AJ358" i="50"/>
  <c r="AJ345" i="51" s="1"/>
  <c r="Y360" i="50"/>
  <c r="Y347" i="51" s="1"/>
  <c r="AO360" i="50"/>
  <c r="AO347" i="51" s="1"/>
  <c r="AC358" i="50"/>
  <c r="AC345" i="51" s="1"/>
  <c r="R360" i="50"/>
  <c r="R347" i="51" s="1"/>
  <c r="AH360" i="50"/>
  <c r="AH347" i="51" s="1"/>
  <c r="Z358" i="50"/>
  <c r="Z345" i="51" s="1"/>
  <c r="AE360" i="50"/>
  <c r="AE347" i="51" s="1"/>
  <c r="AA358" i="50"/>
  <c r="AA345" i="51" s="1"/>
  <c r="AF360" i="50"/>
  <c r="AF347" i="51" s="1"/>
  <c r="AA360" i="50"/>
  <c r="AA347" i="51" s="1"/>
  <c r="AB360" i="50"/>
  <c r="AB347" i="51" s="1"/>
  <c r="AI360" i="50"/>
  <c r="AI347" i="51" s="1"/>
  <c r="C366" i="50"/>
  <c r="Z366" i="50" s="1"/>
  <c r="Z353" i="51" s="1"/>
  <c r="C367" i="50"/>
  <c r="AE367" i="50" s="1"/>
  <c r="AE354" i="51" s="1"/>
  <c r="X442" i="50"/>
  <c r="X426" i="51" s="1"/>
  <c r="AT442" i="50"/>
  <c r="AT426" i="51" s="1"/>
  <c r="V418" i="50"/>
  <c r="V403" i="51" s="1"/>
  <c r="AA418" i="50"/>
  <c r="AA403" i="51" s="1"/>
  <c r="AF418" i="50"/>
  <c r="AF403" i="51" s="1"/>
  <c r="AK418" i="50"/>
  <c r="AK403" i="51" s="1"/>
  <c r="AQ408" i="50"/>
  <c r="AQ393" i="51" s="1"/>
  <c r="AA408" i="50"/>
  <c r="AA393" i="51" s="1"/>
  <c r="AM406" i="50"/>
  <c r="AM391" i="51" s="1"/>
  <c r="W406" i="50"/>
  <c r="W391" i="51" s="1"/>
  <c r="AL408" i="50"/>
  <c r="AL393" i="51" s="1"/>
  <c r="V408" i="50"/>
  <c r="V393" i="51" s="1"/>
  <c r="AH406" i="50"/>
  <c r="AH391" i="51" s="1"/>
  <c r="AS408" i="50"/>
  <c r="AS393" i="51" s="1"/>
  <c r="AC408" i="50"/>
  <c r="AC393" i="51" s="1"/>
  <c r="AO406" i="50"/>
  <c r="AO391" i="51" s="1"/>
  <c r="Y406" i="50"/>
  <c r="Y391" i="51" s="1"/>
  <c r="X406" i="50"/>
  <c r="X391" i="51" s="1"/>
  <c r="AJ406" i="50"/>
  <c r="AJ391" i="51" s="1"/>
  <c r="X408" i="50"/>
  <c r="X393" i="51" s="1"/>
  <c r="Y394" i="50"/>
  <c r="Y380" i="51" s="1"/>
  <c r="AJ384" i="50"/>
  <c r="AJ370" i="51" s="1"/>
  <c r="T384" i="50"/>
  <c r="T370" i="51" s="1"/>
  <c r="AF382" i="50"/>
  <c r="AF368" i="51" s="1"/>
  <c r="AB394" i="50"/>
  <c r="AB380" i="51" s="1"/>
  <c r="AM384" i="50"/>
  <c r="AM370" i="51" s="1"/>
  <c r="W384" i="50"/>
  <c r="W370" i="51" s="1"/>
  <c r="AI382" i="50"/>
  <c r="AI368" i="51" s="1"/>
  <c r="S382" i="50"/>
  <c r="S368" i="51" s="1"/>
  <c r="AP384" i="50"/>
  <c r="AP370" i="51" s="1"/>
  <c r="Z384" i="50"/>
  <c r="Z370" i="51" s="1"/>
  <c r="AL382" i="50"/>
  <c r="AL368" i="51" s="1"/>
  <c r="V382" i="50"/>
  <c r="V368" i="51" s="1"/>
  <c r="AC384" i="50"/>
  <c r="AC370" i="51" s="1"/>
  <c r="V394" i="50"/>
  <c r="V380" i="51" s="1"/>
  <c r="AG384" i="50"/>
  <c r="AG370" i="51" s="1"/>
  <c r="AS382" i="50"/>
  <c r="AS368" i="51" s="1"/>
  <c r="X358" i="50"/>
  <c r="X345" i="51" s="1"/>
  <c r="AN358" i="50"/>
  <c r="AN345" i="51" s="1"/>
  <c r="AC360" i="50"/>
  <c r="AC347" i="51" s="1"/>
  <c r="Q360" i="50"/>
  <c r="Q347" i="51" s="1"/>
  <c r="AG358" i="50"/>
  <c r="AG345" i="51" s="1"/>
  <c r="V360" i="50"/>
  <c r="V347" i="51" s="1"/>
  <c r="AL360" i="50"/>
  <c r="AL347" i="51" s="1"/>
  <c r="AH358" i="50"/>
  <c r="AH345" i="51" s="1"/>
  <c r="AM360" i="50"/>
  <c r="AM347" i="51" s="1"/>
  <c r="AI358" i="50"/>
  <c r="AI345" i="51" s="1"/>
  <c r="AN360" i="50"/>
  <c r="AN347" i="51" s="1"/>
  <c r="AQ360" i="50"/>
  <c r="AQ347" i="51" s="1"/>
  <c r="AR360" i="50"/>
  <c r="AR347" i="51" s="1"/>
  <c r="AE358" i="50"/>
  <c r="AE345" i="51" s="1"/>
  <c r="C365" i="50"/>
  <c r="AQ365" i="50" s="1"/>
  <c r="AQ352" i="51" s="1"/>
  <c r="C345" i="50"/>
  <c r="AO345" i="50" s="1"/>
  <c r="AO333" i="51" s="1"/>
  <c r="C347" i="50"/>
  <c r="AQ347" i="50" s="1"/>
  <c r="AQ335" i="51" s="1"/>
  <c r="AF352" i="50"/>
  <c r="AF340" i="51" s="1"/>
  <c r="AL351" i="50"/>
  <c r="AL339" i="51" s="1"/>
  <c r="AC354" i="50"/>
  <c r="AC342" i="51" s="1"/>
  <c r="C357" i="50"/>
  <c r="AO357" i="50" s="1"/>
  <c r="AO344" i="51" s="1"/>
  <c r="AM368" i="50"/>
  <c r="AN368" i="50"/>
  <c r="AQ368" i="50"/>
  <c r="AL368" i="50"/>
  <c r="AJ368" i="50"/>
  <c r="AO368" i="50"/>
  <c r="AK368" i="50"/>
  <c r="AR368" i="50"/>
  <c r="AP368" i="50"/>
  <c r="E320" i="51"/>
  <c r="J320" i="51"/>
  <c r="H320" i="51"/>
  <c r="F320" i="51"/>
  <c r="D320" i="51"/>
  <c r="I320" i="51"/>
  <c r="K320" i="51"/>
  <c r="J314" i="51"/>
  <c r="E314" i="51"/>
  <c r="F314" i="51"/>
  <c r="H314" i="51"/>
  <c r="D314" i="51"/>
  <c r="K122" i="50"/>
  <c r="E122" i="50"/>
  <c r="J122" i="50"/>
  <c r="D122" i="50"/>
  <c r="F122" i="50"/>
  <c r="H122" i="50"/>
  <c r="F108" i="51"/>
  <c r="H108" i="51"/>
  <c r="J108" i="51"/>
  <c r="K108" i="51"/>
  <c r="E108" i="51"/>
  <c r="AF329" i="50"/>
  <c r="AF318" i="51" s="1"/>
  <c r="E329" i="50"/>
  <c r="J329" i="50"/>
  <c r="H329" i="50"/>
  <c r="F329" i="50"/>
  <c r="D329" i="50"/>
  <c r="I329" i="50"/>
  <c r="K329" i="50"/>
  <c r="C327" i="51"/>
  <c r="H312" i="51"/>
  <c r="F312" i="51"/>
  <c r="D312" i="51"/>
  <c r="I312" i="51"/>
  <c r="K312" i="51"/>
  <c r="E312" i="51"/>
  <c r="G312" i="51" s="1"/>
  <c r="J312" i="51"/>
  <c r="E118" i="50"/>
  <c r="J118" i="50"/>
  <c r="H118" i="50"/>
  <c r="F118" i="50"/>
  <c r="D118" i="50"/>
  <c r="K118" i="50"/>
  <c r="E313" i="50"/>
  <c r="J313" i="50"/>
  <c r="H313" i="50"/>
  <c r="F313" i="50"/>
  <c r="D313" i="50"/>
  <c r="I313" i="50"/>
  <c r="K313" i="50"/>
  <c r="AD313" i="50"/>
  <c r="AD302" i="51" s="1"/>
  <c r="AH313" i="50"/>
  <c r="AH302" i="51" s="1"/>
  <c r="Y313" i="50"/>
  <c r="Y302" i="51" s="1"/>
  <c r="AL313" i="50"/>
  <c r="AL302" i="51" s="1"/>
  <c r="AF313" i="50"/>
  <c r="AF302" i="51" s="1"/>
  <c r="AM313" i="50"/>
  <c r="AM302" i="51" s="1"/>
  <c r="U313" i="50"/>
  <c r="U302" i="51" s="1"/>
  <c r="W313" i="50"/>
  <c r="W302" i="51" s="1"/>
  <c r="AR313" i="50"/>
  <c r="AR302" i="51" s="1"/>
  <c r="AG313" i="50"/>
  <c r="AG302" i="51" s="1"/>
  <c r="R313" i="50"/>
  <c r="R302" i="51" s="1"/>
  <c r="AQ313" i="50"/>
  <c r="AQ302" i="51" s="1"/>
  <c r="AE313" i="50"/>
  <c r="AE302" i="51" s="1"/>
  <c r="AC313" i="50"/>
  <c r="AC302" i="51" s="1"/>
  <c r="X313" i="50"/>
  <c r="X302" i="51" s="1"/>
  <c r="AI313" i="50"/>
  <c r="AI302" i="51" s="1"/>
  <c r="AJ313" i="50"/>
  <c r="AJ302" i="51" s="1"/>
  <c r="AP313" i="50"/>
  <c r="AP302" i="51" s="1"/>
  <c r="AB313" i="50"/>
  <c r="AB302" i="51" s="1"/>
  <c r="Q313" i="50"/>
  <c r="Q302" i="51" s="1"/>
  <c r="AK313" i="50"/>
  <c r="AK302" i="51" s="1"/>
  <c r="V313" i="50"/>
  <c r="V302" i="51" s="1"/>
  <c r="P313" i="50"/>
  <c r="P302" i="51" s="1"/>
  <c r="AO313" i="50"/>
  <c r="AO302" i="51" s="1"/>
  <c r="S313" i="50"/>
  <c r="S302" i="51" s="1"/>
  <c r="T313" i="50"/>
  <c r="T302" i="51" s="1"/>
  <c r="Z313" i="50"/>
  <c r="Z302" i="51" s="1"/>
  <c r="AN313" i="50"/>
  <c r="AN302" i="51" s="1"/>
  <c r="AA313" i="50"/>
  <c r="AA302" i="51" s="1"/>
  <c r="O313" i="50"/>
  <c r="O302" i="51" s="1"/>
  <c r="K109" i="51"/>
  <c r="E109" i="51"/>
  <c r="J109" i="51"/>
  <c r="H109" i="51"/>
  <c r="F109" i="51"/>
  <c r="D109" i="51"/>
  <c r="K127" i="51"/>
  <c r="D127" i="51"/>
  <c r="J127" i="51"/>
  <c r="F127" i="51"/>
  <c r="E127" i="51"/>
  <c r="H127" i="51"/>
  <c r="G298" i="51"/>
  <c r="F330" i="51"/>
  <c r="D330" i="51"/>
  <c r="I330" i="51"/>
  <c r="K330" i="51"/>
  <c r="E330" i="51"/>
  <c r="G330" i="51" s="1"/>
  <c r="J330" i="51"/>
  <c r="H330" i="51"/>
  <c r="I315" i="51"/>
  <c r="K315" i="51"/>
  <c r="E315" i="51"/>
  <c r="F315" i="51"/>
  <c r="H315" i="51"/>
  <c r="D315" i="51"/>
  <c r="J315" i="51"/>
  <c r="J313" i="51"/>
  <c r="H313" i="51"/>
  <c r="I313" i="51"/>
  <c r="K313" i="51"/>
  <c r="E313" i="51"/>
  <c r="F313" i="51"/>
  <c r="D313" i="51"/>
  <c r="DF46" i="47"/>
  <c r="BV40" i="47"/>
  <c r="CH42" i="47"/>
  <c r="DL47" i="47"/>
  <c r="BP39" i="47"/>
  <c r="CT44" i="47"/>
  <c r="BJ38" i="47"/>
  <c r="CB41" i="47"/>
  <c r="CZ45" i="47"/>
  <c r="O1" i="47"/>
  <c r="CN43" i="47"/>
  <c r="C117" i="50"/>
  <c r="F111" i="50"/>
  <c r="E111" i="50"/>
  <c r="D111" i="50"/>
  <c r="K111" i="50"/>
  <c r="J111" i="50"/>
  <c r="H111" i="50"/>
  <c r="E129" i="50"/>
  <c r="H129" i="50"/>
  <c r="J129" i="50"/>
  <c r="D129" i="50"/>
  <c r="F129" i="50"/>
  <c r="K129" i="50"/>
  <c r="D113" i="50"/>
  <c r="K113" i="50"/>
  <c r="E113" i="50"/>
  <c r="J113" i="50"/>
  <c r="F113" i="50"/>
  <c r="H113" i="50"/>
  <c r="K112" i="50"/>
  <c r="J112" i="50"/>
  <c r="H112" i="50"/>
  <c r="F112" i="50"/>
  <c r="E112" i="50"/>
  <c r="D112" i="50"/>
  <c r="H114" i="50"/>
  <c r="J114" i="50"/>
  <c r="D114" i="50"/>
  <c r="F114" i="50"/>
  <c r="K114" i="50"/>
  <c r="E114" i="50"/>
  <c r="J110" i="50"/>
  <c r="F110" i="50"/>
  <c r="H110" i="50"/>
  <c r="K110" i="50"/>
  <c r="K130" i="50"/>
  <c r="H130" i="50"/>
  <c r="J130" i="50"/>
  <c r="D130" i="50"/>
  <c r="F130" i="50"/>
  <c r="E130" i="50"/>
  <c r="G309" i="50"/>
  <c r="K116" i="51"/>
  <c r="D116" i="51"/>
  <c r="E116" i="51"/>
  <c r="J116" i="51"/>
  <c r="H116" i="51"/>
  <c r="F116" i="51"/>
  <c r="K122" i="51"/>
  <c r="E122" i="51"/>
  <c r="J122" i="51"/>
  <c r="H122" i="51"/>
  <c r="F122" i="51"/>
  <c r="D122" i="51"/>
  <c r="H119" i="51"/>
  <c r="J119" i="51"/>
  <c r="D119" i="51"/>
  <c r="F119" i="51"/>
  <c r="E119" i="51"/>
  <c r="K119" i="51"/>
  <c r="E121" i="51"/>
  <c r="H121" i="51"/>
  <c r="J121" i="51"/>
  <c r="F121" i="51"/>
  <c r="D121" i="51"/>
  <c r="K121" i="51"/>
  <c r="K111" i="51"/>
  <c r="J111" i="51"/>
  <c r="D111" i="51"/>
  <c r="E111" i="51"/>
  <c r="F111" i="51"/>
  <c r="H111" i="51"/>
  <c r="E302" i="51"/>
  <c r="J302" i="51"/>
  <c r="H302" i="51"/>
  <c r="F302" i="51"/>
  <c r="D302" i="51"/>
  <c r="I302" i="51"/>
  <c r="K302" i="51"/>
  <c r="AN333" i="50"/>
  <c r="AN321" i="51" s="1"/>
  <c r="AO333" i="50"/>
  <c r="AO321" i="51" s="1"/>
  <c r="AR333" i="50"/>
  <c r="AR321" i="51" s="1"/>
  <c r="AM333" i="50"/>
  <c r="AM321" i="51" s="1"/>
  <c r="Q323" i="50"/>
  <c r="Q312" i="51" s="1"/>
  <c r="Y328" i="50"/>
  <c r="Y317" i="51" s="1"/>
  <c r="AL343" i="50"/>
  <c r="AL331" i="51" s="1"/>
  <c r="V323" i="50"/>
  <c r="V312" i="51" s="1"/>
  <c r="AK323" i="50"/>
  <c r="AK312" i="51" s="1"/>
  <c r="W324" i="50"/>
  <c r="W313" i="51" s="1"/>
  <c r="AK328" i="50"/>
  <c r="AK317" i="51" s="1"/>
  <c r="AP341" i="50"/>
  <c r="AP329" i="51" s="1"/>
  <c r="Q342" i="50"/>
  <c r="Q330" i="51" s="1"/>
  <c r="AN342" i="50"/>
  <c r="AN330" i="51" s="1"/>
  <c r="AG342" i="50"/>
  <c r="AG330" i="51" s="1"/>
  <c r="AQ341" i="50"/>
  <c r="AQ329" i="51" s="1"/>
  <c r="S342" i="50"/>
  <c r="S330" i="51" s="1"/>
  <c r="T328" i="50"/>
  <c r="T317" i="51" s="1"/>
  <c r="AF324" i="50"/>
  <c r="AF313" i="51" s="1"/>
  <c r="S324" i="50"/>
  <c r="S313" i="51" s="1"/>
  <c r="AA343" i="50"/>
  <c r="AA331" i="51" s="1"/>
  <c r="U328" i="50"/>
  <c r="U317" i="51" s="1"/>
  <c r="AO323" i="50"/>
  <c r="AO312" i="51" s="1"/>
  <c r="AR328" i="50"/>
  <c r="AR317" i="51" s="1"/>
  <c r="R323" i="50"/>
  <c r="R312" i="51" s="1"/>
  <c r="AB343" i="50"/>
  <c r="AB331" i="51" s="1"/>
  <c r="AF323" i="50"/>
  <c r="AF312" i="51" s="1"/>
  <c r="AQ342" i="50"/>
  <c r="AQ330" i="51" s="1"/>
  <c r="AQ323" i="50"/>
  <c r="AQ312" i="51" s="1"/>
  <c r="AD329" i="50"/>
  <c r="AD318" i="51" s="1"/>
  <c r="AI343" i="50"/>
  <c r="AI331" i="51" s="1"/>
  <c r="AE343" i="50"/>
  <c r="AE331" i="51" s="1"/>
  <c r="Z324" i="50"/>
  <c r="Z313" i="51" s="1"/>
  <c r="Z329" i="50"/>
  <c r="Z318" i="51" s="1"/>
  <c r="AJ323" i="50"/>
  <c r="AJ312" i="51" s="1"/>
  <c r="C340" i="50"/>
  <c r="AN328" i="50"/>
  <c r="AN317" i="51" s="1"/>
  <c r="AG323" i="50"/>
  <c r="AG312" i="51" s="1"/>
  <c r="AK342" i="50"/>
  <c r="AK330" i="51" s="1"/>
  <c r="AM342" i="50"/>
  <c r="AM330" i="51" s="1"/>
  <c r="AH328" i="50"/>
  <c r="AH317" i="51" s="1"/>
  <c r="AO343" i="50"/>
  <c r="AO331" i="51" s="1"/>
  <c r="AK324" i="50"/>
  <c r="AK313" i="51" s="1"/>
  <c r="AG329" i="50"/>
  <c r="AG318" i="51" s="1"/>
  <c r="AG324" i="50"/>
  <c r="AG313" i="51" s="1"/>
  <c r="S323" i="50"/>
  <c r="S312" i="51" s="1"/>
  <c r="J331" i="50"/>
  <c r="H331" i="50"/>
  <c r="F331" i="50"/>
  <c r="D331" i="50"/>
  <c r="I331" i="50"/>
  <c r="E331" i="50"/>
  <c r="K331" i="50"/>
  <c r="AP327" i="50"/>
  <c r="AP316" i="51" s="1"/>
  <c r="I327" i="50"/>
  <c r="K327" i="50"/>
  <c r="E327" i="50"/>
  <c r="J327" i="50"/>
  <c r="H327" i="50"/>
  <c r="F327" i="50"/>
  <c r="D327" i="50"/>
  <c r="F321" i="50"/>
  <c r="E322" i="50"/>
  <c r="G322" i="50" s="1"/>
  <c r="E321" i="50"/>
  <c r="D322" i="50"/>
  <c r="H321" i="50"/>
  <c r="J321" i="50"/>
  <c r="D321" i="50"/>
  <c r="B356" i="51"/>
  <c r="B369" i="50"/>
  <c r="C6" i="44"/>
  <c r="B148" i="51"/>
  <c r="B152" i="50"/>
  <c r="C163" i="50" s="1"/>
  <c r="I316" i="51"/>
  <c r="K316" i="51"/>
  <c r="H316" i="51"/>
  <c r="F316" i="51"/>
  <c r="D316" i="51"/>
  <c r="J316" i="51"/>
  <c r="E316" i="51"/>
  <c r="J303" i="51"/>
  <c r="H303" i="51"/>
  <c r="F303" i="51"/>
  <c r="D303" i="51"/>
  <c r="I303" i="51"/>
  <c r="K303" i="51"/>
  <c r="E303" i="51"/>
  <c r="AC343" i="50"/>
  <c r="AC331" i="51" s="1"/>
  <c r="I343" i="50"/>
  <c r="K343" i="50"/>
  <c r="E343" i="50"/>
  <c r="J343" i="50"/>
  <c r="H343" i="50"/>
  <c r="F343" i="50"/>
  <c r="D343" i="50"/>
  <c r="E322" i="51"/>
  <c r="G322" i="51" s="1"/>
  <c r="E321" i="51"/>
  <c r="F321" i="51"/>
  <c r="D321" i="51"/>
  <c r="D322" i="51"/>
  <c r="J321" i="51"/>
  <c r="H321" i="51"/>
  <c r="C151" i="50"/>
  <c r="T151" i="50"/>
  <c r="T147" i="51" s="1"/>
  <c r="T150" i="50"/>
  <c r="T146" i="51" s="1"/>
  <c r="C131" i="50"/>
  <c r="D141" i="50"/>
  <c r="D131" i="50"/>
  <c r="C133" i="50"/>
  <c r="C135" i="50"/>
  <c r="C134" i="50"/>
  <c r="D149" i="50"/>
  <c r="D136" i="50"/>
  <c r="C149" i="50"/>
  <c r="C139" i="50"/>
  <c r="M149" i="50"/>
  <c r="C132" i="50"/>
  <c r="C140" i="50"/>
  <c r="C150" i="50"/>
  <c r="C141" i="50"/>
  <c r="U151" i="50"/>
  <c r="U147" i="51" s="1"/>
  <c r="U150" i="50"/>
  <c r="U146" i="51" s="1"/>
  <c r="L136" i="50"/>
  <c r="V150" i="50"/>
  <c r="V146" i="51" s="1"/>
  <c r="V151" i="50"/>
  <c r="V147" i="51" s="1"/>
  <c r="C136" i="50"/>
  <c r="W150" i="50"/>
  <c r="W146" i="51" s="1"/>
  <c r="W151" i="50"/>
  <c r="W147" i="51" s="1"/>
  <c r="X150" i="50"/>
  <c r="X146" i="51" s="1"/>
  <c r="X151" i="50"/>
  <c r="X147" i="51" s="1"/>
  <c r="Y151" i="50"/>
  <c r="Y147" i="51" s="1"/>
  <c r="Y150" i="50"/>
  <c r="Y146" i="51" s="1"/>
  <c r="Z151" i="50"/>
  <c r="Z147" i="51" s="1"/>
  <c r="Z150" i="50"/>
  <c r="Z146" i="51" s="1"/>
  <c r="AA150" i="50"/>
  <c r="AA146" i="51" s="1"/>
  <c r="AA151" i="50"/>
  <c r="AA147" i="51" s="1"/>
  <c r="AB150" i="50"/>
  <c r="AB146" i="51" s="1"/>
  <c r="AB151" i="50"/>
  <c r="AB147" i="51" s="1"/>
  <c r="AC150" i="50"/>
  <c r="AC146" i="51" s="1"/>
  <c r="AC151" i="50"/>
  <c r="AC147" i="51" s="1"/>
  <c r="C326" i="51"/>
  <c r="H310" i="51"/>
  <c r="F310" i="51"/>
  <c r="D311" i="51"/>
  <c r="E311" i="51"/>
  <c r="G311" i="51" s="1"/>
  <c r="J310" i="51"/>
  <c r="D310" i="51"/>
  <c r="E310" i="51"/>
  <c r="I317" i="51"/>
  <c r="K317" i="51"/>
  <c r="E317" i="51"/>
  <c r="J317" i="51"/>
  <c r="H317" i="51"/>
  <c r="F317" i="51"/>
  <c r="D317" i="51"/>
  <c r="H331" i="51"/>
  <c r="F331" i="51"/>
  <c r="K331" i="51"/>
  <c r="E331" i="51"/>
  <c r="J331" i="51"/>
  <c r="D331" i="51"/>
  <c r="I331" i="51"/>
  <c r="H329" i="51"/>
  <c r="E329" i="51"/>
  <c r="D329" i="51"/>
  <c r="J329" i="51"/>
  <c r="F329" i="51"/>
  <c r="C147" i="51"/>
  <c r="C128" i="51"/>
  <c r="D145" i="51"/>
  <c r="C137" i="51"/>
  <c r="C141" i="51"/>
  <c r="C146" i="51"/>
  <c r="C131" i="51"/>
  <c r="C144" i="51"/>
  <c r="C132" i="51"/>
  <c r="E132" i="51" s="1"/>
  <c r="D133" i="51"/>
  <c r="D128" i="51"/>
  <c r="M145" i="51"/>
  <c r="D138" i="51"/>
  <c r="C136" i="51"/>
  <c r="C140" i="51"/>
  <c r="C139" i="51"/>
  <c r="C143" i="51"/>
  <c r="C142" i="51"/>
  <c r="C145" i="51"/>
  <c r="C130" i="51"/>
  <c r="C129" i="51"/>
  <c r="C138" i="51"/>
  <c r="L133" i="51"/>
  <c r="C133" i="51"/>
  <c r="C134" i="51" s="1"/>
  <c r="J125" i="50"/>
  <c r="H125" i="50"/>
  <c r="F125" i="50"/>
  <c r="D125" i="50"/>
  <c r="E125" i="50"/>
  <c r="K125" i="50"/>
  <c r="E119" i="50"/>
  <c r="H119" i="50"/>
  <c r="J119" i="50"/>
  <c r="D119" i="50"/>
  <c r="F119" i="50"/>
  <c r="K119" i="50"/>
  <c r="J128" i="50"/>
  <c r="K128" i="50"/>
  <c r="F128" i="50"/>
  <c r="E128" i="50"/>
  <c r="H128" i="50"/>
  <c r="D126" i="50"/>
  <c r="K126" i="50"/>
  <c r="E126" i="50"/>
  <c r="J126" i="50"/>
  <c r="H126" i="50"/>
  <c r="F126" i="50"/>
  <c r="F120" i="50"/>
  <c r="E120" i="50"/>
  <c r="K120" i="50"/>
  <c r="H120" i="50"/>
  <c r="J120" i="50"/>
  <c r="I311" i="50"/>
  <c r="H311" i="50"/>
  <c r="D312" i="50"/>
  <c r="E311" i="50"/>
  <c r="D311" i="50"/>
  <c r="K311" i="50"/>
  <c r="K312" i="50"/>
  <c r="J311" i="50"/>
  <c r="I312" i="50"/>
  <c r="E312" i="50"/>
  <c r="G312" i="50" s="1"/>
  <c r="F311" i="50"/>
  <c r="AM311" i="50"/>
  <c r="AM300" i="51" s="1"/>
  <c r="U311" i="50"/>
  <c r="U300" i="51" s="1"/>
  <c r="AH311" i="50"/>
  <c r="AH300" i="51" s="1"/>
  <c r="AB311" i="50"/>
  <c r="AB300" i="51" s="1"/>
  <c r="Y311" i="50"/>
  <c r="Y300" i="51" s="1"/>
  <c r="AF311" i="50"/>
  <c r="AF300" i="51" s="1"/>
  <c r="Z311" i="50"/>
  <c r="Z300" i="51" s="1"/>
  <c r="AD311" i="50"/>
  <c r="AD300" i="51" s="1"/>
  <c r="AC311" i="50"/>
  <c r="AC300" i="51" s="1"/>
  <c r="AG311" i="50"/>
  <c r="AG300" i="51" s="1"/>
  <c r="W311" i="50"/>
  <c r="W300" i="51" s="1"/>
  <c r="AQ311" i="50"/>
  <c r="AQ300" i="51" s="1"/>
  <c r="R311" i="50"/>
  <c r="R300" i="51" s="1"/>
  <c r="AL311" i="50"/>
  <c r="AL300" i="51" s="1"/>
  <c r="X311" i="50"/>
  <c r="X300" i="51" s="1"/>
  <c r="V311" i="50"/>
  <c r="V300" i="51" s="1"/>
  <c r="AJ311" i="50"/>
  <c r="AJ300" i="51" s="1"/>
  <c r="AI311" i="50"/>
  <c r="AI300" i="51" s="1"/>
  <c r="Q311" i="50"/>
  <c r="Q300" i="51" s="1"/>
  <c r="AP311" i="50"/>
  <c r="AP300" i="51" s="1"/>
  <c r="AA311" i="50"/>
  <c r="AA300" i="51" s="1"/>
  <c r="AE311" i="50"/>
  <c r="AE300" i="51" s="1"/>
  <c r="P311" i="50"/>
  <c r="P300" i="51" s="1"/>
  <c r="O311" i="50"/>
  <c r="O300" i="51" s="1"/>
  <c r="AR311" i="50"/>
  <c r="AR300" i="51" s="1"/>
  <c r="AO311" i="50"/>
  <c r="AO300" i="51" s="1"/>
  <c r="T311" i="50"/>
  <c r="T300" i="51" s="1"/>
  <c r="S311" i="50"/>
  <c r="S300" i="51" s="1"/>
  <c r="AN311" i="50"/>
  <c r="AN300" i="51" s="1"/>
  <c r="AK311" i="50"/>
  <c r="AK300" i="51" s="1"/>
  <c r="K316" i="50"/>
  <c r="F316" i="50"/>
  <c r="D316" i="50"/>
  <c r="H316" i="50"/>
  <c r="E316" i="50"/>
  <c r="I316" i="50"/>
  <c r="J316" i="50"/>
  <c r="AR316" i="50"/>
  <c r="AR305" i="51" s="1"/>
  <c r="AC316" i="50"/>
  <c r="AC305" i="51" s="1"/>
  <c r="AA316" i="50"/>
  <c r="AA305" i="51" s="1"/>
  <c r="AM316" i="50"/>
  <c r="AM305" i="51" s="1"/>
  <c r="AN316" i="50"/>
  <c r="AN305" i="51" s="1"/>
  <c r="Q316" i="50"/>
  <c r="Q305" i="51" s="1"/>
  <c r="O316" i="50"/>
  <c r="O305" i="51" s="1"/>
  <c r="AJ316" i="50"/>
  <c r="AJ305" i="51" s="1"/>
  <c r="AK316" i="50"/>
  <c r="AK305" i="51" s="1"/>
  <c r="S316" i="50"/>
  <c r="S305" i="51" s="1"/>
  <c r="Z316" i="50"/>
  <c r="Z305" i="51" s="1"/>
  <c r="AF316" i="50"/>
  <c r="AF305" i="51" s="1"/>
  <c r="AL316" i="50"/>
  <c r="AL305" i="51" s="1"/>
  <c r="W316" i="50"/>
  <c r="W305" i="51" s="1"/>
  <c r="X316" i="50"/>
  <c r="X305" i="51" s="1"/>
  <c r="AH316" i="50"/>
  <c r="AH305" i="51" s="1"/>
  <c r="AQ316" i="50"/>
  <c r="AQ305" i="51" s="1"/>
  <c r="AB316" i="50"/>
  <c r="AB305" i="51" s="1"/>
  <c r="AO316" i="50"/>
  <c r="AO305" i="51" s="1"/>
  <c r="AP316" i="50"/>
  <c r="AP305" i="51" s="1"/>
  <c r="P316" i="50"/>
  <c r="P305" i="51" s="1"/>
  <c r="R316" i="50"/>
  <c r="R305" i="51" s="1"/>
  <c r="AI316" i="50"/>
  <c r="AI305" i="51" s="1"/>
  <c r="AD316" i="50"/>
  <c r="AD305" i="51" s="1"/>
  <c r="T316" i="50"/>
  <c r="T305" i="51" s="1"/>
  <c r="U316" i="50"/>
  <c r="U305" i="51" s="1"/>
  <c r="AG316" i="50"/>
  <c r="AG305" i="51" s="1"/>
  <c r="AE316" i="50"/>
  <c r="AE305" i="51" s="1"/>
  <c r="Y316" i="50"/>
  <c r="Y305" i="51" s="1"/>
  <c r="V316" i="50"/>
  <c r="V305" i="51" s="1"/>
  <c r="C114" i="51"/>
  <c r="F113" i="51"/>
  <c r="H113" i="51"/>
  <c r="K113" i="51"/>
  <c r="E113" i="51"/>
  <c r="J113" i="51"/>
  <c r="K120" i="51"/>
  <c r="H120" i="51"/>
  <c r="E120" i="51"/>
  <c r="F120" i="51"/>
  <c r="J120" i="51"/>
  <c r="D120" i="51"/>
  <c r="E126" i="51"/>
  <c r="F126" i="51"/>
  <c r="D126" i="51"/>
  <c r="J126" i="51"/>
  <c r="K126" i="51"/>
  <c r="H126" i="51"/>
  <c r="E110" i="51"/>
  <c r="J110" i="51"/>
  <c r="K110" i="51"/>
  <c r="F110" i="51"/>
  <c r="H110" i="51"/>
  <c r="D110" i="51"/>
  <c r="K124" i="51"/>
  <c r="D124" i="51"/>
  <c r="F124" i="51"/>
  <c r="H124" i="51"/>
  <c r="E124" i="51"/>
  <c r="J124" i="51"/>
  <c r="E125" i="51"/>
  <c r="F125" i="51"/>
  <c r="H125" i="51"/>
  <c r="J125" i="51"/>
  <c r="K125" i="51"/>
  <c r="E300" i="51"/>
  <c r="D300" i="51"/>
  <c r="J300" i="51"/>
  <c r="K301" i="51"/>
  <c r="D301" i="51"/>
  <c r="F300" i="51"/>
  <c r="E301" i="51"/>
  <c r="G301" i="51" s="1"/>
  <c r="K300" i="51"/>
  <c r="I300" i="51"/>
  <c r="H300" i="51"/>
  <c r="I301" i="51"/>
  <c r="X343" i="50"/>
  <c r="X331" i="51" s="1"/>
  <c r="AL342" i="50"/>
  <c r="AL330" i="51" s="1"/>
  <c r="AG328" i="50"/>
  <c r="AG317" i="51" s="1"/>
  <c r="AF342" i="50"/>
  <c r="AF330" i="51" s="1"/>
  <c r="R328" i="50"/>
  <c r="R317" i="51" s="1"/>
  <c r="V342" i="50"/>
  <c r="V330" i="51" s="1"/>
  <c r="AA328" i="50"/>
  <c r="AA317" i="51" s="1"/>
  <c r="V329" i="50"/>
  <c r="V318" i="51" s="1"/>
  <c r="AE328" i="50"/>
  <c r="AE317" i="51" s="1"/>
  <c r="AC323" i="50"/>
  <c r="AC312" i="51" s="1"/>
  <c r="W328" i="50"/>
  <c r="W317" i="51" s="1"/>
  <c r="AE329" i="50"/>
  <c r="AE318" i="51" s="1"/>
  <c r="C337" i="50"/>
  <c r="AR329" i="50"/>
  <c r="AR318" i="51" s="1"/>
  <c r="U324" i="50"/>
  <c r="U313" i="51" s="1"/>
  <c r="AO341" i="50"/>
  <c r="AO329" i="51" s="1"/>
  <c r="AD342" i="50"/>
  <c r="AD330" i="51" s="1"/>
  <c r="AO324" i="50"/>
  <c r="AO313" i="51" s="1"/>
  <c r="AK329" i="50"/>
  <c r="AK318" i="51" s="1"/>
  <c r="S343" i="50"/>
  <c r="S331" i="51" s="1"/>
  <c r="AP343" i="50"/>
  <c r="AP331" i="51" s="1"/>
  <c r="AP324" i="50"/>
  <c r="AP313" i="51" s="1"/>
  <c r="AQ329" i="50"/>
  <c r="AQ318" i="51" s="1"/>
  <c r="AD328" i="50"/>
  <c r="AD317" i="51" s="1"/>
  <c r="Q328" i="50"/>
  <c r="Q317" i="51" s="1"/>
  <c r="T323" i="50"/>
  <c r="T312" i="51" s="1"/>
  <c r="Z342" i="50"/>
  <c r="Z330" i="51" s="1"/>
  <c r="AL328" i="50"/>
  <c r="AL317" i="51" s="1"/>
  <c r="AI341" i="50"/>
  <c r="AI329" i="51" s="1"/>
  <c r="T342" i="50"/>
  <c r="T330" i="51" s="1"/>
  <c r="R342" i="50"/>
  <c r="R330" i="51" s="1"/>
  <c r="AM329" i="50"/>
  <c r="AM318" i="51" s="1"/>
  <c r="Z323" i="50"/>
  <c r="Z312" i="51" s="1"/>
  <c r="R343" i="50"/>
  <c r="R331" i="51" s="1"/>
  <c r="AI324" i="50"/>
  <c r="AI313" i="51" s="1"/>
  <c r="V324" i="50"/>
  <c r="V313" i="51" s="1"/>
  <c r="Z328" i="50"/>
  <c r="Z317" i="51" s="1"/>
  <c r="AK343" i="50"/>
  <c r="AK331" i="51" s="1"/>
  <c r="P323" i="50"/>
  <c r="P312" i="51" s="1"/>
  <c r="P342" i="50"/>
  <c r="P330" i="51" s="1"/>
  <c r="T343" i="50"/>
  <c r="T331" i="51" s="1"/>
  <c r="AQ328" i="50"/>
  <c r="AQ317" i="51" s="1"/>
  <c r="U343" i="50"/>
  <c r="U331" i="51" s="1"/>
  <c r="AM323" i="50"/>
  <c r="AM312" i="51" s="1"/>
  <c r="AM328" i="50"/>
  <c r="AM317" i="51" s="1"/>
  <c r="AI323" i="50"/>
  <c r="AI312" i="51" s="1"/>
  <c r="AL329" i="50"/>
  <c r="AL318" i="51" s="1"/>
  <c r="AM327" i="50"/>
  <c r="AM316" i="51" s="1"/>
  <c r="AI331" i="50"/>
  <c r="AI320" i="51" s="1"/>
  <c r="AR330" i="50"/>
  <c r="AR319" i="51" s="1"/>
  <c r="D330" i="50"/>
  <c r="I330" i="50"/>
  <c r="K330" i="50"/>
  <c r="E330" i="50"/>
  <c r="J330" i="50"/>
  <c r="H330" i="50"/>
  <c r="F330" i="50"/>
  <c r="AM326" i="50"/>
  <c r="AM315" i="51" s="1"/>
  <c r="D326" i="50"/>
  <c r="I326" i="50"/>
  <c r="K326" i="50"/>
  <c r="E326" i="50"/>
  <c r="J326" i="50"/>
  <c r="H326" i="50"/>
  <c r="F326" i="50"/>
  <c r="AR332" i="50"/>
  <c r="AM332" i="50"/>
  <c r="AI332" i="50"/>
  <c r="AE332" i="50"/>
  <c r="AA332" i="50"/>
  <c r="W332" i="50"/>
  <c r="S332" i="50"/>
  <c r="AP332" i="50"/>
  <c r="AL332" i="50"/>
  <c r="AH332" i="50"/>
  <c r="AD332" i="50"/>
  <c r="Z332" i="50"/>
  <c r="V332" i="50"/>
  <c r="R332" i="50"/>
  <c r="AO332" i="50"/>
  <c r="AK332" i="50"/>
  <c r="AG332" i="50"/>
  <c r="AC332" i="50"/>
  <c r="Y332" i="50"/>
  <c r="U332" i="50"/>
  <c r="Q332" i="50"/>
  <c r="C332" i="50"/>
  <c r="AN332" i="50"/>
  <c r="X332" i="50"/>
  <c r="AJ332" i="50"/>
  <c r="T332" i="50"/>
  <c r="AF332" i="50"/>
  <c r="P332" i="50"/>
  <c r="AQ332" i="50"/>
  <c r="AB332" i="50"/>
  <c r="H325" i="50"/>
  <c r="D325" i="50"/>
  <c r="J325" i="50"/>
  <c r="E325" i="50"/>
  <c r="F325" i="50"/>
  <c r="L333" i="51"/>
  <c r="M333" i="51"/>
  <c r="C337" i="51"/>
  <c r="C343" i="51"/>
  <c r="C335" i="51"/>
  <c r="C336" i="51"/>
  <c r="C353" i="51"/>
  <c r="C339" i="51"/>
  <c r="C333" i="51"/>
  <c r="C354" i="51"/>
  <c r="C340" i="51"/>
  <c r="C342" i="51"/>
  <c r="C341" i="51"/>
  <c r="C352" i="51"/>
  <c r="C338" i="51"/>
  <c r="C344" i="51"/>
  <c r="C348" i="51" s="1"/>
  <c r="AQ355" i="51"/>
  <c r="AO355" i="51"/>
  <c r="AK355" i="51"/>
  <c r="AJ355" i="51"/>
  <c r="AP355" i="51"/>
  <c r="AN355" i="51"/>
  <c r="AM355" i="51"/>
  <c r="AL355" i="51"/>
  <c r="AR355" i="51"/>
  <c r="G1009" i="50"/>
  <c r="G1008" i="50"/>
  <c r="G1005" i="50"/>
  <c r="B3" i="47"/>
  <c r="C2" i="47"/>
  <c r="D2" i="47" s="1"/>
  <c r="B82" i="42"/>
  <c r="B93" i="42"/>
  <c r="AA138" i="51" l="1"/>
  <c r="W138" i="51"/>
  <c r="V138" i="51"/>
  <c r="U138" i="51"/>
  <c r="AB138" i="51"/>
  <c r="Y138" i="51"/>
  <c r="X138" i="51"/>
  <c r="T138" i="51"/>
  <c r="AC138" i="51"/>
  <c r="Z138" i="51"/>
  <c r="U338" i="50"/>
  <c r="U326" i="51" s="1"/>
  <c r="R338" i="50"/>
  <c r="R326" i="51" s="1"/>
  <c r="AL335" i="50"/>
  <c r="AL323" i="51" s="1"/>
  <c r="D336" i="50"/>
  <c r="D335" i="50"/>
  <c r="AH338" i="50"/>
  <c r="AH326" i="51" s="1"/>
  <c r="AP338" i="50"/>
  <c r="AP326" i="51" s="1"/>
  <c r="H338" i="50"/>
  <c r="W351" i="50"/>
  <c r="W339" i="51" s="1"/>
  <c r="AR353" i="50"/>
  <c r="AR341" i="51" s="1"/>
  <c r="Q367" i="50"/>
  <c r="Q354" i="51" s="1"/>
  <c r="J323" i="51"/>
  <c r="K323" i="51" s="1"/>
  <c r="AI367" i="50"/>
  <c r="AI354" i="51" s="1"/>
  <c r="S351" i="50"/>
  <c r="S339" i="51" s="1"/>
  <c r="U351" i="50"/>
  <c r="U339" i="51" s="1"/>
  <c r="S353" i="50"/>
  <c r="S341" i="51" s="1"/>
  <c r="Z140" i="51"/>
  <c r="V140" i="51"/>
  <c r="AC140" i="51"/>
  <c r="Y140" i="51"/>
  <c r="U140" i="51"/>
  <c r="K314" i="51"/>
  <c r="W353" i="50"/>
  <c r="W341" i="51" s="1"/>
  <c r="AC367" i="50"/>
  <c r="AC354" i="51" s="1"/>
  <c r="AH367" i="50"/>
  <c r="AH354" i="51" s="1"/>
  <c r="AB140" i="51"/>
  <c r="X140" i="51"/>
  <c r="F325" i="51"/>
  <c r="AA140" i="51"/>
  <c r="W140" i="51"/>
  <c r="AO350" i="50"/>
  <c r="AO338" i="51" s="1"/>
  <c r="AN355" i="50"/>
  <c r="AN343" i="51" s="1"/>
  <c r="Y143" i="51"/>
  <c r="S350" i="50"/>
  <c r="S338" i="51" s="1"/>
  <c r="R350" i="50"/>
  <c r="R338" i="51" s="1"/>
  <c r="Y94" i="51"/>
  <c r="AP350" i="50"/>
  <c r="AP338" i="51" s="1"/>
  <c r="X95" i="51"/>
  <c r="V94" i="51"/>
  <c r="E325" i="51"/>
  <c r="AN366" i="50"/>
  <c r="AN353" i="51" s="1"/>
  <c r="F95" i="50"/>
  <c r="G95" i="50" s="1"/>
  <c r="AS378" i="51"/>
  <c r="AQ378" i="51"/>
  <c r="AG338" i="50"/>
  <c r="AG326" i="51" s="1"/>
  <c r="S338" i="50"/>
  <c r="S326" i="51" s="1"/>
  <c r="E336" i="50"/>
  <c r="G336" i="50" s="1"/>
  <c r="E335" i="50"/>
  <c r="AO338" i="50"/>
  <c r="AO326" i="51" s="1"/>
  <c r="Z338" i="50"/>
  <c r="Z326" i="51" s="1"/>
  <c r="AD338" i="50"/>
  <c r="AD326" i="51" s="1"/>
  <c r="Y110" i="51"/>
  <c r="V351" i="50"/>
  <c r="V339" i="51" s="1"/>
  <c r="Y353" i="50"/>
  <c r="Y341" i="51" s="1"/>
  <c r="AB351" i="50"/>
  <c r="AB339" i="51" s="1"/>
  <c r="AM353" i="50"/>
  <c r="AM341" i="51" s="1"/>
  <c r="AD351" i="50"/>
  <c r="AD339" i="51" s="1"/>
  <c r="AM365" i="50"/>
  <c r="AM352" i="51" s="1"/>
  <c r="AQ353" i="50"/>
  <c r="AQ341" i="51" s="1"/>
  <c r="AQ367" i="50"/>
  <c r="AQ354" i="51" s="1"/>
  <c r="AC351" i="50"/>
  <c r="AC339" i="51" s="1"/>
  <c r="AN353" i="50"/>
  <c r="AN341" i="51" s="1"/>
  <c r="S367" i="50"/>
  <c r="S354" i="51" s="1"/>
  <c r="E338" i="50"/>
  <c r="AO335" i="50"/>
  <c r="AO323" i="51" s="1"/>
  <c r="V95" i="51"/>
  <c r="R94" i="51"/>
  <c r="AA94" i="51"/>
  <c r="U94" i="51"/>
  <c r="K95" i="50"/>
  <c r="AM338" i="50"/>
  <c r="AM326" i="51" s="1"/>
  <c r="AB338" i="50"/>
  <c r="AB326" i="51" s="1"/>
  <c r="AI335" i="50"/>
  <c r="AI323" i="51" s="1"/>
  <c r="W367" i="50"/>
  <c r="W354" i="51" s="1"/>
  <c r="Q353" i="50"/>
  <c r="Q341" i="51" s="1"/>
  <c r="AR367" i="50"/>
  <c r="AR354" i="51" s="1"/>
  <c r="AQ351" i="50"/>
  <c r="AQ339" i="51" s="1"/>
  <c r="R367" i="50"/>
  <c r="R354" i="51" s="1"/>
  <c r="AP365" i="50"/>
  <c r="AP352" i="51" s="1"/>
  <c r="Q351" i="50"/>
  <c r="Q339" i="51" s="1"/>
  <c r="I338" i="50"/>
  <c r="R95" i="51"/>
  <c r="W94" i="51"/>
  <c r="T94" i="51"/>
  <c r="X94" i="51"/>
  <c r="J95" i="50"/>
  <c r="G303" i="51"/>
  <c r="AI338" i="50"/>
  <c r="AI326" i="51" s="1"/>
  <c r="H335" i="50"/>
  <c r="F335" i="50"/>
  <c r="AC338" i="50"/>
  <c r="AC326" i="51" s="1"/>
  <c r="AF338" i="50"/>
  <c r="AF326" i="51" s="1"/>
  <c r="AK338" i="50"/>
  <c r="AK326" i="51" s="1"/>
  <c r="J335" i="50"/>
  <c r="AE338" i="50"/>
  <c r="AE326" i="51" s="1"/>
  <c r="AI351" i="50"/>
  <c r="AI339" i="51" s="1"/>
  <c r="AA367" i="50"/>
  <c r="AA354" i="51" s="1"/>
  <c r="AO353" i="50"/>
  <c r="AO341" i="51" s="1"/>
  <c r="AI353" i="50"/>
  <c r="AI341" i="51" s="1"/>
  <c r="X367" i="50"/>
  <c r="X354" i="51" s="1"/>
  <c r="AR351" i="50"/>
  <c r="AR339" i="51" s="1"/>
  <c r="Z353" i="50"/>
  <c r="Z341" i="51" s="1"/>
  <c r="AB367" i="50"/>
  <c r="AB354" i="51" s="1"/>
  <c r="AF351" i="50"/>
  <c r="AF339" i="51" s="1"/>
  <c r="AG353" i="50"/>
  <c r="AG341" i="51" s="1"/>
  <c r="T367" i="50"/>
  <c r="T354" i="51" s="1"/>
  <c r="AH351" i="50"/>
  <c r="AH339" i="51" s="1"/>
  <c r="D338" i="50"/>
  <c r="Z95" i="51"/>
  <c r="Z94" i="51"/>
  <c r="S94" i="51"/>
  <c r="H95" i="50"/>
  <c r="I95" i="50" s="1"/>
  <c r="AK335" i="50"/>
  <c r="AK323" i="51" s="1"/>
  <c r="AJ335" i="50"/>
  <c r="AJ323" i="51" s="1"/>
  <c r="AC143" i="51"/>
  <c r="W142" i="51"/>
  <c r="T143" i="51"/>
  <c r="AL378" i="51"/>
  <c r="AK365" i="50"/>
  <c r="AK352" i="51" s="1"/>
  <c r="AL367" i="50"/>
  <c r="AL354" i="51" s="1"/>
  <c r="S348" i="50"/>
  <c r="S336" i="51" s="1"/>
  <c r="Q354" i="50"/>
  <c r="Q342" i="51" s="1"/>
  <c r="AG348" i="50"/>
  <c r="AG336" i="51" s="1"/>
  <c r="F96" i="50"/>
  <c r="Y95" i="51"/>
  <c r="AA95" i="51"/>
  <c r="H96" i="50"/>
  <c r="AB366" i="50"/>
  <c r="AB353" i="51" s="1"/>
  <c r="AO352" i="50"/>
  <c r="AO340" i="51" s="1"/>
  <c r="AK352" i="50"/>
  <c r="AK340" i="51" s="1"/>
  <c r="AJ366" i="50"/>
  <c r="AJ353" i="51" s="1"/>
  <c r="AJ350" i="50"/>
  <c r="AJ338" i="51" s="1"/>
  <c r="AL355" i="50"/>
  <c r="AL343" i="51" s="1"/>
  <c r="X366" i="50"/>
  <c r="X353" i="51" s="1"/>
  <c r="AE350" i="50"/>
  <c r="AE338" i="51" s="1"/>
  <c r="S95" i="51"/>
  <c r="D96" i="50"/>
  <c r="E96" i="50"/>
  <c r="J96" i="50"/>
  <c r="Z142" i="51"/>
  <c r="AA350" i="50"/>
  <c r="AA338" i="51" s="1"/>
  <c r="AP366" i="50"/>
  <c r="AP353" i="51" s="1"/>
  <c r="AG350" i="50"/>
  <c r="AG338" i="51" s="1"/>
  <c r="U350" i="50"/>
  <c r="U338" i="51" s="1"/>
  <c r="AA352" i="50"/>
  <c r="AA340" i="51" s="1"/>
  <c r="W355" i="50"/>
  <c r="W343" i="51" s="1"/>
  <c r="W95" i="51"/>
  <c r="T95" i="51"/>
  <c r="K96" i="50"/>
  <c r="Z143" i="51"/>
  <c r="X143" i="51"/>
  <c r="AM378" i="51"/>
  <c r="AK378" i="51"/>
  <c r="S354" i="50"/>
  <c r="S342" i="51" s="1"/>
  <c r="AL366" i="50"/>
  <c r="AL353" i="51" s="1"/>
  <c r="T354" i="50"/>
  <c r="T342" i="51" s="1"/>
  <c r="AC366" i="50"/>
  <c r="AC353" i="51" s="1"/>
  <c r="AG366" i="50"/>
  <c r="AG353" i="51" s="1"/>
  <c r="AO366" i="50"/>
  <c r="AO353" i="51" s="1"/>
  <c r="AF350" i="50"/>
  <c r="AF338" i="51" s="1"/>
  <c r="Y352" i="50"/>
  <c r="Y340" i="51" s="1"/>
  <c r="T350" i="50"/>
  <c r="T338" i="51" s="1"/>
  <c r="AE354" i="50"/>
  <c r="AE342" i="51" s="1"/>
  <c r="AK348" i="50"/>
  <c r="AK336" i="51" s="1"/>
  <c r="AD352" i="50"/>
  <c r="AD340" i="51" s="1"/>
  <c r="AH350" i="50"/>
  <c r="AH338" i="51" s="1"/>
  <c r="AA143" i="51"/>
  <c r="W143" i="51"/>
  <c r="V143" i="51"/>
  <c r="AR345" i="50"/>
  <c r="AR333" i="51" s="1"/>
  <c r="Y348" i="50"/>
  <c r="Y336" i="51" s="1"/>
  <c r="V354" i="50"/>
  <c r="V342" i="51" s="1"/>
  <c r="AH348" i="50"/>
  <c r="AH336" i="51" s="1"/>
  <c r="AO378" i="51"/>
  <c r="AK345" i="50"/>
  <c r="AK333" i="51" s="1"/>
  <c r="AL345" i="50"/>
  <c r="AL333" i="51" s="1"/>
  <c r="AC350" i="50"/>
  <c r="AC338" i="51" s="1"/>
  <c r="AD348" i="50"/>
  <c r="AD336" i="51" s="1"/>
  <c r="AL350" i="50"/>
  <c r="AL338" i="51" s="1"/>
  <c r="AQ348" i="50"/>
  <c r="AQ336" i="51" s="1"/>
  <c r="AD350" i="50"/>
  <c r="AD338" i="51" s="1"/>
  <c r="Q352" i="50"/>
  <c r="Q340" i="51" s="1"/>
  <c r="AK366" i="50"/>
  <c r="AK353" i="51" s="1"/>
  <c r="V348" i="50"/>
  <c r="V336" i="51" s="1"/>
  <c r="AM352" i="50"/>
  <c r="AM340" i="51" s="1"/>
  <c r="AD366" i="50"/>
  <c r="AD353" i="51" s="1"/>
  <c r="Z350" i="50"/>
  <c r="Z338" i="51" s="1"/>
  <c r="W352" i="50"/>
  <c r="W340" i="51" s="1"/>
  <c r="AA366" i="50"/>
  <c r="AA353" i="51" s="1"/>
  <c r="V350" i="50"/>
  <c r="V338" i="51" s="1"/>
  <c r="AI354" i="50"/>
  <c r="AI342" i="51" s="1"/>
  <c r="H323" i="51"/>
  <c r="I323" i="51" s="1"/>
  <c r="AB143" i="51"/>
  <c r="K325" i="51"/>
  <c r="H325" i="51"/>
  <c r="G315" i="51"/>
  <c r="S352" i="50"/>
  <c r="S340" i="51" s="1"/>
  <c r="S366" i="50"/>
  <c r="S353" i="51" s="1"/>
  <c r="AQ352" i="50"/>
  <c r="AQ340" i="51" s="1"/>
  <c r="AE366" i="50"/>
  <c r="AE353" i="51" s="1"/>
  <c r="AI366" i="50"/>
  <c r="AI353" i="51" s="1"/>
  <c r="AK350" i="50"/>
  <c r="AK338" i="51" s="1"/>
  <c r="Y350" i="50"/>
  <c r="Y338" i="51" s="1"/>
  <c r="R347" i="50"/>
  <c r="R335" i="51" s="1"/>
  <c r="AE352" i="50"/>
  <c r="AE340" i="51" s="1"/>
  <c r="U352" i="50"/>
  <c r="U340" i="51" s="1"/>
  <c r="W366" i="50"/>
  <c r="W353" i="51" s="1"/>
  <c r="Y366" i="50"/>
  <c r="Y353" i="51" s="1"/>
  <c r="W350" i="50"/>
  <c r="W338" i="51" s="1"/>
  <c r="AQ350" i="50"/>
  <c r="AQ338" i="51" s="1"/>
  <c r="T347" i="50"/>
  <c r="T335" i="51" s="1"/>
  <c r="AJ352" i="50"/>
  <c r="AJ340" i="51" s="1"/>
  <c r="AB352" i="50"/>
  <c r="AB340" i="51" s="1"/>
  <c r="R366" i="50"/>
  <c r="R353" i="51" s="1"/>
  <c r="AB350" i="50"/>
  <c r="AB338" i="51" s="1"/>
  <c r="AI352" i="50"/>
  <c r="AI340" i="51" s="1"/>
  <c r="AC144" i="51"/>
  <c r="AB144" i="51"/>
  <c r="AA144" i="51"/>
  <c r="X144" i="51"/>
  <c r="V144" i="51"/>
  <c r="U144" i="51"/>
  <c r="I325" i="51"/>
  <c r="J325" i="51"/>
  <c r="C363" i="50"/>
  <c r="AA363" i="50" s="1"/>
  <c r="AA350" i="51" s="1"/>
  <c r="AR357" i="50"/>
  <c r="AR344" i="51" s="1"/>
  <c r="V366" i="50"/>
  <c r="V353" i="51" s="1"/>
  <c r="AC352" i="50"/>
  <c r="AC340" i="51" s="1"/>
  <c r="T352" i="50"/>
  <c r="T340" i="51" s="1"/>
  <c r="AN352" i="50"/>
  <c r="AN340" i="51" s="1"/>
  <c r="Q350" i="50"/>
  <c r="Q338" i="51" s="1"/>
  <c r="AA347" i="50"/>
  <c r="AA335" i="51" s="1"/>
  <c r="AF366" i="50"/>
  <c r="AF353" i="51" s="1"/>
  <c r="T366" i="50"/>
  <c r="T353" i="51" s="1"/>
  <c r="AM350" i="50"/>
  <c r="AM338" i="51" s="1"/>
  <c r="AI350" i="50"/>
  <c r="AI338" i="51" s="1"/>
  <c r="AN347" i="50"/>
  <c r="AN335" i="51" s="1"/>
  <c r="R352" i="50"/>
  <c r="R340" i="51" s="1"/>
  <c r="Z352" i="50"/>
  <c r="Z340" i="51" s="1"/>
  <c r="AM366" i="50"/>
  <c r="AM353" i="51" s="1"/>
  <c r="AQ366" i="50"/>
  <c r="AQ353" i="51" s="1"/>
  <c r="AN350" i="50"/>
  <c r="AN338" i="51" s="1"/>
  <c r="AI347" i="50"/>
  <c r="AI335" i="51" s="1"/>
  <c r="V352" i="50"/>
  <c r="V340" i="51" s="1"/>
  <c r="AH352" i="50"/>
  <c r="AH340" i="51" s="1"/>
  <c r="AR366" i="50"/>
  <c r="AR353" i="51" s="1"/>
  <c r="AR350" i="50"/>
  <c r="AR338" i="51" s="1"/>
  <c r="AL352" i="50"/>
  <c r="AL340" i="51" s="1"/>
  <c r="AL338" i="50"/>
  <c r="AL326" i="51" s="1"/>
  <c r="AC142" i="51"/>
  <c r="AA142" i="51"/>
  <c r="Z144" i="51"/>
  <c r="Y142" i="51"/>
  <c r="V142" i="51"/>
  <c r="AO349" i="50"/>
  <c r="AO337" i="51" s="1"/>
  <c r="AJ349" i="50"/>
  <c r="AJ337" i="51" s="1"/>
  <c r="AI355" i="50"/>
  <c r="AI343" i="51" s="1"/>
  <c r="AJ347" i="50"/>
  <c r="AJ335" i="51" s="1"/>
  <c r="AB142" i="51"/>
  <c r="Y144" i="51"/>
  <c r="X142" i="51"/>
  <c r="W144" i="51"/>
  <c r="U142" i="51"/>
  <c r="AK357" i="50"/>
  <c r="AK344" i="51" s="1"/>
  <c r="I74" i="50"/>
  <c r="G74" i="50"/>
  <c r="I74" i="51"/>
  <c r="G74" i="51"/>
  <c r="C166" i="50"/>
  <c r="W162" i="51" s="1"/>
  <c r="C168" i="50"/>
  <c r="U164" i="51" s="1"/>
  <c r="C164" i="50"/>
  <c r="V160" i="51" s="1"/>
  <c r="C167" i="50"/>
  <c r="W163" i="51" s="1"/>
  <c r="I75" i="51"/>
  <c r="G75" i="51"/>
  <c r="G95" i="51"/>
  <c r="I95" i="51"/>
  <c r="AO365" i="50"/>
  <c r="AO352" i="51" s="1"/>
  <c r="I94" i="51"/>
  <c r="G94" i="51"/>
  <c r="I75" i="50"/>
  <c r="G75" i="50"/>
  <c r="AB108" i="51"/>
  <c r="Y113" i="51"/>
  <c r="X108" i="51"/>
  <c r="U113" i="51"/>
  <c r="T108" i="51"/>
  <c r="AA132" i="51"/>
  <c r="W132" i="51"/>
  <c r="Z132" i="51"/>
  <c r="V132" i="51"/>
  <c r="AC132" i="51"/>
  <c r="Y132" i="51"/>
  <c r="U132" i="51"/>
  <c r="AB132" i="51"/>
  <c r="T132" i="51"/>
  <c r="X132" i="51"/>
  <c r="AC129" i="51"/>
  <c r="Y129" i="51"/>
  <c r="U129" i="51"/>
  <c r="AB129" i="51"/>
  <c r="X129" i="51"/>
  <c r="T129" i="51"/>
  <c r="AA129" i="51"/>
  <c r="W129" i="51"/>
  <c r="Z129" i="51"/>
  <c r="V129" i="51"/>
  <c r="AA130" i="51"/>
  <c r="W130" i="51"/>
  <c r="Z130" i="51"/>
  <c r="V130" i="51"/>
  <c r="AC130" i="51"/>
  <c r="Y130" i="51"/>
  <c r="U130" i="51"/>
  <c r="AB130" i="51"/>
  <c r="X130" i="51"/>
  <c r="T130" i="51"/>
  <c r="Z115" i="51"/>
  <c r="V115" i="51"/>
  <c r="Y115" i="51"/>
  <c r="U115" i="51"/>
  <c r="AB115" i="51"/>
  <c r="X115" i="51"/>
  <c r="T115" i="51"/>
  <c r="W115" i="51"/>
  <c r="AA115" i="51"/>
  <c r="S115" i="51"/>
  <c r="AN345" i="50"/>
  <c r="AN333" i="51" s="1"/>
  <c r="AJ345" i="50"/>
  <c r="AJ333" i="51" s="1"/>
  <c r="AQ345" i="50"/>
  <c r="AQ333" i="51" s="1"/>
  <c r="AJ354" i="50"/>
  <c r="AJ342" i="51" s="1"/>
  <c r="AO348" i="50"/>
  <c r="AO336" i="51" s="1"/>
  <c r="AH354" i="50"/>
  <c r="AH342" i="51" s="1"/>
  <c r="W354" i="50"/>
  <c r="W342" i="51" s="1"/>
  <c r="AM348" i="50"/>
  <c r="AM336" i="51" s="1"/>
  <c r="AJ348" i="50"/>
  <c r="AJ336" i="51" s="1"/>
  <c r="AL354" i="50"/>
  <c r="AL342" i="51" s="1"/>
  <c r="Q348" i="50"/>
  <c r="Q336" i="51" s="1"/>
  <c r="X348" i="50"/>
  <c r="X336" i="51" s="1"/>
  <c r="U354" i="50"/>
  <c r="U342" i="51" s="1"/>
  <c r="AB354" i="50"/>
  <c r="AB342" i="51" s="1"/>
  <c r="AB348" i="50"/>
  <c r="AB336" i="51" s="1"/>
  <c r="AP348" i="50"/>
  <c r="AP336" i="51" s="1"/>
  <c r="F323" i="51"/>
  <c r="G323" i="51" s="1"/>
  <c r="AB113" i="51"/>
  <c r="X113" i="51"/>
  <c r="T113" i="51"/>
  <c r="AA108" i="51"/>
  <c r="W108" i="51"/>
  <c r="S108" i="51"/>
  <c r="AA137" i="51"/>
  <c r="W137" i="51"/>
  <c r="Z137" i="51"/>
  <c r="V137" i="51"/>
  <c r="AC137" i="51"/>
  <c r="Y137" i="51"/>
  <c r="U137" i="51"/>
  <c r="T137" i="51"/>
  <c r="AB137" i="51"/>
  <c r="X137" i="51"/>
  <c r="AM345" i="50"/>
  <c r="AM333" i="51" s="1"/>
  <c r="AP345" i="50"/>
  <c r="AP333" i="51" s="1"/>
  <c r="X353" i="50"/>
  <c r="X341" i="51" s="1"/>
  <c r="AJ367" i="50"/>
  <c r="AJ354" i="51" s="1"/>
  <c r="AJ351" i="50"/>
  <c r="AJ339" i="51" s="1"/>
  <c r="AP353" i="50"/>
  <c r="AP341" i="51" s="1"/>
  <c r="AM367" i="50"/>
  <c r="AM354" i="51" s="1"/>
  <c r="X351" i="50"/>
  <c r="X339" i="51" s="1"/>
  <c r="AA353" i="50"/>
  <c r="AA341" i="51" s="1"/>
  <c r="AQ354" i="50"/>
  <c r="AQ342" i="51" s="1"/>
  <c r="AN348" i="50"/>
  <c r="AN336" i="51" s="1"/>
  <c r="AG354" i="50"/>
  <c r="AG342" i="51" s="1"/>
  <c r="T353" i="50"/>
  <c r="T341" i="51" s="1"/>
  <c r="AD353" i="50"/>
  <c r="AD341" i="51" s="1"/>
  <c r="V367" i="50"/>
  <c r="V354" i="51" s="1"/>
  <c r="AG367" i="50"/>
  <c r="AG354" i="51" s="1"/>
  <c r="AA354" i="50"/>
  <c r="AA342" i="51" s="1"/>
  <c r="AF354" i="50"/>
  <c r="AF342" i="51" s="1"/>
  <c r="R351" i="50"/>
  <c r="R339" i="51" s="1"/>
  <c r="AG351" i="50"/>
  <c r="AG339" i="51" s="1"/>
  <c r="W348" i="50"/>
  <c r="W336" i="51" s="1"/>
  <c r="R353" i="50"/>
  <c r="R341" i="51" s="1"/>
  <c r="AC353" i="50"/>
  <c r="AC341" i="51" s="1"/>
  <c r="Z367" i="50"/>
  <c r="Z354" i="51" s="1"/>
  <c r="AP354" i="50"/>
  <c r="AP342" i="51" s="1"/>
  <c r="R354" i="50"/>
  <c r="R342" i="51" s="1"/>
  <c r="T351" i="50"/>
  <c r="T339" i="51" s="1"/>
  <c r="AA351" i="50"/>
  <c r="AA339" i="51" s="1"/>
  <c r="AE348" i="50"/>
  <c r="AE336" i="51" s="1"/>
  <c r="AR348" i="50"/>
  <c r="AR336" i="51" s="1"/>
  <c r="AR365" i="50"/>
  <c r="AR352" i="51" s="1"/>
  <c r="AH353" i="50"/>
  <c r="AH341" i="51" s="1"/>
  <c r="AE353" i="50"/>
  <c r="AE341" i="51" s="1"/>
  <c r="AD367" i="50"/>
  <c r="AD354" i="51" s="1"/>
  <c r="AF367" i="50"/>
  <c r="AF354" i="51" s="1"/>
  <c r="AK354" i="50"/>
  <c r="AK342" i="51" s="1"/>
  <c r="Y351" i="50"/>
  <c r="Y339" i="51" s="1"/>
  <c r="AE351" i="50"/>
  <c r="AE339" i="51" s="1"/>
  <c r="R348" i="50"/>
  <c r="R336" i="51" s="1"/>
  <c r="AI348" i="50"/>
  <c r="AI336" i="51" s="1"/>
  <c r="AJ365" i="50"/>
  <c r="AJ352" i="51" s="1"/>
  <c r="K338" i="50"/>
  <c r="AR335" i="50"/>
  <c r="AR323" i="51" s="1"/>
  <c r="D324" i="51"/>
  <c r="E324" i="51"/>
  <c r="G324" i="51" s="1"/>
  <c r="AQ335" i="50"/>
  <c r="AQ323" i="51" s="1"/>
  <c r="AA113" i="51"/>
  <c r="W113" i="51"/>
  <c r="S113" i="51"/>
  <c r="Z108" i="51"/>
  <c r="V108" i="51"/>
  <c r="AC136" i="51"/>
  <c r="Y136" i="51"/>
  <c r="U136" i="51"/>
  <c r="AB136" i="51"/>
  <c r="X136" i="51"/>
  <c r="T136" i="51"/>
  <c r="AA136" i="51"/>
  <c r="W136" i="51"/>
  <c r="Z136" i="51"/>
  <c r="V136" i="51"/>
  <c r="AC131" i="51"/>
  <c r="Y131" i="51"/>
  <c r="U131" i="51"/>
  <c r="AB131" i="51"/>
  <c r="X131" i="51"/>
  <c r="T131" i="51"/>
  <c r="AA131" i="51"/>
  <c r="W131" i="51"/>
  <c r="V131" i="51"/>
  <c r="Z131" i="51"/>
  <c r="U353" i="50"/>
  <c r="U341" i="51" s="1"/>
  <c r="AN367" i="50"/>
  <c r="AN354" i="51" s="1"/>
  <c r="AL348" i="50"/>
  <c r="AL336" i="51" s="1"/>
  <c r="AL353" i="50"/>
  <c r="AL341" i="51" s="1"/>
  <c r="Z354" i="50"/>
  <c r="Z342" i="51" s="1"/>
  <c r="U348" i="50"/>
  <c r="U336" i="51" s="1"/>
  <c r="AD354" i="50"/>
  <c r="AD342" i="51" s="1"/>
  <c r="AP367" i="50"/>
  <c r="AP354" i="51" s="1"/>
  <c r="AP351" i="50"/>
  <c r="AP339" i="51" s="1"/>
  <c r="AJ353" i="50"/>
  <c r="AJ341" i="51" s="1"/>
  <c r="AK367" i="50"/>
  <c r="AK354" i="51" s="1"/>
  <c r="U367" i="50"/>
  <c r="U354" i="51" s="1"/>
  <c r="AR354" i="50"/>
  <c r="AR342" i="51" s="1"/>
  <c r="AO354" i="50"/>
  <c r="AO342" i="51" s="1"/>
  <c r="AK351" i="50"/>
  <c r="AK339" i="51" s="1"/>
  <c r="T348" i="50"/>
  <c r="T336" i="51" s="1"/>
  <c r="AA348" i="50"/>
  <c r="AA336" i="51" s="1"/>
  <c r="AB353" i="50"/>
  <c r="AB341" i="51" s="1"/>
  <c r="AF353" i="50"/>
  <c r="AF341" i="51" s="1"/>
  <c r="Y367" i="50"/>
  <c r="Y354" i="51" s="1"/>
  <c r="AO367" i="50"/>
  <c r="AO354" i="51" s="1"/>
  <c r="X354" i="50"/>
  <c r="X342" i="51" s="1"/>
  <c r="AN354" i="50"/>
  <c r="AN342" i="51" s="1"/>
  <c r="Z351" i="50"/>
  <c r="Z339" i="51" s="1"/>
  <c r="AO351" i="50"/>
  <c r="AO339" i="51" s="1"/>
  <c r="AC348" i="50"/>
  <c r="AC336" i="51" s="1"/>
  <c r="V353" i="50"/>
  <c r="V341" i="51" s="1"/>
  <c r="Y354" i="50"/>
  <c r="Y342" i="51" s="1"/>
  <c r="AN351" i="50"/>
  <c r="AN339" i="51" s="1"/>
  <c r="AF348" i="50"/>
  <c r="AF336" i="51" s="1"/>
  <c r="F338" i="50"/>
  <c r="J338" i="50"/>
  <c r="AP335" i="50"/>
  <c r="AP323" i="51" s="1"/>
  <c r="AB114" i="51"/>
  <c r="X114" i="51"/>
  <c r="T114" i="51"/>
  <c r="AA114" i="51"/>
  <c r="W114" i="51"/>
  <c r="S114" i="51"/>
  <c r="Z114" i="51"/>
  <c r="V114" i="51"/>
  <c r="Y114" i="51"/>
  <c r="U114" i="51"/>
  <c r="G315" i="50"/>
  <c r="D323" i="51"/>
  <c r="AM335" i="50"/>
  <c r="AM323" i="51" s="1"/>
  <c r="Y338" i="50"/>
  <c r="Y326" i="51" s="1"/>
  <c r="Z113" i="51"/>
  <c r="Y108" i="51"/>
  <c r="AA128" i="50"/>
  <c r="AA125" i="51" s="1"/>
  <c r="W128" i="50"/>
  <c r="W125" i="51" s="1"/>
  <c r="S128" i="50"/>
  <c r="S125" i="51" s="1"/>
  <c r="Z128" i="50"/>
  <c r="Z125" i="51" s="1"/>
  <c r="V128" i="50"/>
  <c r="V125" i="51" s="1"/>
  <c r="Y128" i="50"/>
  <c r="Y125" i="51" s="1"/>
  <c r="U128" i="50"/>
  <c r="U125" i="51" s="1"/>
  <c r="AB128" i="50"/>
  <c r="AB125" i="51" s="1"/>
  <c r="X128" i="50"/>
  <c r="X125" i="51" s="1"/>
  <c r="T128" i="50"/>
  <c r="T125" i="51" s="1"/>
  <c r="C361" i="50"/>
  <c r="J361" i="50" s="1"/>
  <c r="AQ357" i="50"/>
  <c r="AQ344" i="51" s="1"/>
  <c r="C364" i="50"/>
  <c r="K364" i="50" s="1"/>
  <c r="AN357" i="50"/>
  <c r="AN344" i="51" s="1"/>
  <c r="W338" i="50"/>
  <c r="W326" i="51" s="1"/>
  <c r="X338" i="50"/>
  <c r="X326" i="51" s="1"/>
  <c r="AN338" i="50"/>
  <c r="AN326" i="51" s="1"/>
  <c r="AJ338" i="50"/>
  <c r="AJ326" i="51" s="1"/>
  <c r="T338" i="50"/>
  <c r="T326" i="51" s="1"/>
  <c r="P338" i="50"/>
  <c r="P326" i="51" s="1"/>
  <c r="AA338" i="50"/>
  <c r="AA326" i="51" s="1"/>
  <c r="V338" i="50"/>
  <c r="V326" i="51" s="1"/>
  <c r="C362" i="50"/>
  <c r="AE362" i="50" s="1"/>
  <c r="AE349" i="51" s="1"/>
  <c r="AL357" i="50"/>
  <c r="AL344" i="51" s="1"/>
  <c r="AJ357" i="50"/>
  <c r="AJ344" i="51" s="1"/>
  <c r="AP357" i="50"/>
  <c r="AP344" i="51" s="1"/>
  <c r="C359" i="50"/>
  <c r="AL359" i="50" s="1"/>
  <c r="AL346" i="51" s="1"/>
  <c r="AM357" i="50"/>
  <c r="AM344" i="51" s="1"/>
  <c r="AQ338" i="50"/>
  <c r="AQ326" i="51" s="1"/>
  <c r="AR338" i="50"/>
  <c r="AR326" i="51" s="1"/>
  <c r="C349" i="51"/>
  <c r="F349" i="51" s="1"/>
  <c r="G320" i="51"/>
  <c r="AL365" i="50"/>
  <c r="AL352" i="51" s="1"/>
  <c r="G323" i="50"/>
  <c r="C135" i="51"/>
  <c r="E135" i="51" s="1"/>
  <c r="I329" i="51"/>
  <c r="G305" i="51"/>
  <c r="K321" i="51"/>
  <c r="I333" i="50"/>
  <c r="K333" i="50"/>
  <c r="I321" i="50"/>
  <c r="I310" i="51"/>
  <c r="K310" i="51"/>
  <c r="AA110" i="51"/>
  <c r="T110" i="51"/>
  <c r="AB110" i="51"/>
  <c r="V110" i="51"/>
  <c r="W110" i="51"/>
  <c r="U110" i="51"/>
  <c r="Z110" i="51"/>
  <c r="X110" i="51"/>
  <c r="S110" i="51"/>
  <c r="V113" i="51"/>
  <c r="G341" i="50"/>
  <c r="K324" i="51"/>
  <c r="I324" i="51"/>
  <c r="I335" i="50"/>
  <c r="I336" i="50"/>
  <c r="K335" i="50"/>
  <c r="K336" i="50"/>
  <c r="G313" i="50"/>
  <c r="K322" i="51"/>
  <c r="I321" i="51"/>
  <c r="C350" i="51"/>
  <c r="I350" i="51" s="1"/>
  <c r="K311" i="51"/>
  <c r="AS392" i="50"/>
  <c r="AO392" i="50"/>
  <c r="AN365" i="50"/>
  <c r="AN352" i="51" s="1"/>
  <c r="C351" i="51"/>
  <c r="E351" i="51" s="1"/>
  <c r="G326" i="50"/>
  <c r="K329" i="51"/>
  <c r="G327" i="50"/>
  <c r="AR392" i="50"/>
  <c r="AP392" i="50"/>
  <c r="K321" i="50"/>
  <c r="G314" i="51"/>
  <c r="K334" i="50"/>
  <c r="G318" i="51"/>
  <c r="K136" i="50"/>
  <c r="E136" i="50"/>
  <c r="J136" i="50"/>
  <c r="F136" i="50"/>
  <c r="H136" i="50"/>
  <c r="K146" i="50"/>
  <c r="J146" i="50"/>
  <c r="H146" i="50"/>
  <c r="F146" i="50"/>
  <c r="E146" i="50"/>
  <c r="D146" i="50"/>
  <c r="I116" i="51"/>
  <c r="G116" i="51"/>
  <c r="K117" i="50"/>
  <c r="J117" i="50"/>
  <c r="H117" i="50"/>
  <c r="F117" i="50"/>
  <c r="D117" i="50"/>
  <c r="E117" i="50"/>
  <c r="G122" i="50"/>
  <c r="I122" i="50"/>
  <c r="I347" i="50"/>
  <c r="K347" i="50"/>
  <c r="E347" i="50"/>
  <c r="J347" i="50"/>
  <c r="H347" i="50"/>
  <c r="F347" i="50"/>
  <c r="D347" i="50"/>
  <c r="K355" i="50"/>
  <c r="E355" i="50"/>
  <c r="J355" i="50"/>
  <c r="H355" i="50"/>
  <c r="F355" i="50"/>
  <c r="D355" i="50"/>
  <c r="I355" i="50"/>
  <c r="I115" i="50"/>
  <c r="B379" i="51"/>
  <c r="B393" i="50"/>
  <c r="C7" i="44"/>
  <c r="B168" i="51"/>
  <c r="B173" i="50"/>
  <c r="I348" i="51"/>
  <c r="K348" i="51"/>
  <c r="E348" i="51"/>
  <c r="J348" i="51"/>
  <c r="H348" i="51"/>
  <c r="F348" i="51"/>
  <c r="D348" i="51"/>
  <c r="I341" i="51"/>
  <c r="K341" i="51"/>
  <c r="E341" i="51"/>
  <c r="D341" i="51"/>
  <c r="J341" i="51"/>
  <c r="F341" i="51"/>
  <c r="H341" i="51"/>
  <c r="J333" i="51"/>
  <c r="D333" i="51"/>
  <c r="F333" i="51"/>
  <c r="E333" i="51"/>
  <c r="H333" i="51"/>
  <c r="E334" i="51"/>
  <c r="G334" i="51" s="1"/>
  <c r="D334" i="51"/>
  <c r="I335" i="51"/>
  <c r="K335" i="51"/>
  <c r="E335" i="51"/>
  <c r="D335" i="51"/>
  <c r="J335" i="51"/>
  <c r="F335" i="51"/>
  <c r="H335" i="51"/>
  <c r="G325" i="50"/>
  <c r="G316" i="50"/>
  <c r="I125" i="50"/>
  <c r="G125" i="50"/>
  <c r="E133" i="51"/>
  <c r="J133" i="51"/>
  <c r="F133" i="51"/>
  <c r="H133" i="51"/>
  <c r="K133" i="51"/>
  <c r="H130" i="51"/>
  <c r="J130" i="51"/>
  <c r="D130" i="51"/>
  <c r="F130" i="51"/>
  <c r="E130" i="51"/>
  <c r="K130" i="51"/>
  <c r="J139" i="51"/>
  <c r="D139" i="51"/>
  <c r="F139" i="51"/>
  <c r="K139" i="51"/>
  <c r="E139" i="51"/>
  <c r="H139" i="51"/>
  <c r="K144" i="51"/>
  <c r="F144" i="51"/>
  <c r="H144" i="51"/>
  <c r="E144" i="51"/>
  <c r="J144" i="51"/>
  <c r="D144" i="51"/>
  <c r="E137" i="51"/>
  <c r="K137" i="51"/>
  <c r="D137" i="51"/>
  <c r="J137" i="51"/>
  <c r="F137" i="51"/>
  <c r="H137" i="51"/>
  <c r="G329" i="51"/>
  <c r="G310" i="51"/>
  <c r="E150" i="50"/>
  <c r="H150" i="50"/>
  <c r="J150" i="50"/>
  <c r="D150" i="50"/>
  <c r="F150" i="50"/>
  <c r="K150" i="50"/>
  <c r="E135" i="50"/>
  <c r="H135" i="50"/>
  <c r="F135" i="50"/>
  <c r="D135" i="50"/>
  <c r="K135" i="50"/>
  <c r="J135" i="50"/>
  <c r="G321" i="51"/>
  <c r="C154" i="50"/>
  <c r="U171" i="50"/>
  <c r="U166" i="51" s="1"/>
  <c r="U172" i="50"/>
  <c r="U167" i="51" s="1"/>
  <c r="C152" i="50"/>
  <c r="C155" i="50"/>
  <c r="D170" i="50"/>
  <c r="C171" i="50"/>
  <c r="C161" i="50"/>
  <c r="C170" i="50"/>
  <c r="D157" i="50"/>
  <c r="C162" i="50"/>
  <c r="C156" i="50"/>
  <c r="C153" i="50"/>
  <c r="D152" i="50"/>
  <c r="M170" i="50"/>
  <c r="C160" i="50"/>
  <c r="D162" i="50"/>
  <c r="C172" i="50"/>
  <c r="V171" i="50"/>
  <c r="V166" i="51" s="1"/>
  <c r="V172" i="50"/>
  <c r="V167" i="51" s="1"/>
  <c r="W172" i="50"/>
  <c r="W167" i="51" s="1"/>
  <c r="W171" i="50"/>
  <c r="W166" i="51" s="1"/>
  <c r="L157" i="50"/>
  <c r="C157" i="50"/>
  <c r="X172" i="50"/>
  <c r="X167" i="51" s="1"/>
  <c r="X171" i="50"/>
  <c r="X166" i="51" s="1"/>
  <c r="Y172" i="50"/>
  <c r="Y167" i="51" s="1"/>
  <c r="Y171" i="50"/>
  <c r="Y166" i="51" s="1"/>
  <c r="Z171" i="50"/>
  <c r="Z166" i="51" s="1"/>
  <c r="Z172" i="50"/>
  <c r="Z167" i="51" s="1"/>
  <c r="AA171" i="50"/>
  <c r="AA166" i="51" s="1"/>
  <c r="AA172" i="50"/>
  <c r="AA167" i="51" s="1"/>
  <c r="AB171" i="50"/>
  <c r="AB166" i="51" s="1"/>
  <c r="AB172" i="50"/>
  <c r="AB167" i="51" s="1"/>
  <c r="AC172" i="50"/>
  <c r="AC167" i="51" s="1"/>
  <c r="AC171" i="50"/>
  <c r="AC166" i="51" s="1"/>
  <c r="AD171" i="50"/>
  <c r="AD166" i="51" s="1"/>
  <c r="AD172" i="50"/>
  <c r="AD167" i="51" s="1"/>
  <c r="I322" i="50"/>
  <c r="I127" i="51"/>
  <c r="G127" i="51"/>
  <c r="AL392" i="50"/>
  <c r="AK392" i="50"/>
  <c r="AL349" i="50"/>
  <c r="AL337" i="51" s="1"/>
  <c r="AN392" i="50"/>
  <c r="AK355" i="50"/>
  <c r="AK343" i="51" s="1"/>
  <c r="AR347" i="50"/>
  <c r="AR335" i="51" s="1"/>
  <c r="F357" i="50"/>
  <c r="H357" i="50"/>
  <c r="E358" i="50"/>
  <c r="G358" i="50" s="1"/>
  <c r="D357" i="50"/>
  <c r="E357" i="50"/>
  <c r="G357" i="50" s="1"/>
  <c r="J357" i="50"/>
  <c r="D358" i="50"/>
  <c r="AM355" i="50"/>
  <c r="AM343" i="51" s="1"/>
  <c r="AG347" i="50"/>
  <c r="AG335" i="51" s="1"/>
  <c r="AD347" i="50"/>
  <c r="AD335" i="51" s="1"/>
  <c r="U355" i="50"/>
  <c r="U343" i="51" s="1"/>
  <c r="Z355" i="50"/>
  <c r="Z343" i="51" s="1"/>
  <c r="AM347" i="50"/>
  <c r="AM335" i="51" s="1"/>
  <c r="Q355" i="50"/>
  <c r="Q343" i="51" s="1"/>
  <c r="AH355" i="50"/>
  <c r="AH343" i="51" s="1"/>
  <c r="U366" i="50"/>
  <c r="U353" i="51" s="1"/>
  <c r="AH366" i="50"/>
  <c r="AH353" i="51" s="1"/>
  <c r="Y347" i="50"/>
  <c r="Y335" i="51" s="1"/>
  <c r="AA355" i="50"/>
  <c r="AA343" i="51" s="1"/>
  <c r="AP355" i="50"/>
  <c r="AP343" i="51" s="1"/>
  <c r="AR352" i="50"/>
  <c r="AR340" i="51" s="1"/>
  <c r="AG352" i="50"/>
  <c r="AG340" i="51" s="1"/>
  <c r="E345" i="50"/>
  <c r="D346" i="50"/>
  <c r="H345" i="50"/>
  <c r="J345" i="50"/>
  <c r="D345" i="50"/>
  <c r="F345" i="50"/>
  <c r="E346" i="50"/>
  <c r="G346" i="50" s="1"/>
  <c r="H354" i="50"/>
  <c r="F354" i="50"/>
  <c r="D354" i="50"/>
  <c r="I354" i="50"/>
  <c r="K354" i="50"/>
  <c r="E354" i="50"/>
  <c r="J354" i="50"/>
  <c r="I348" i="50"/>
  <c r="K348" i="50"/>
  <c r="E348" i="50"/>
  <c r="J348" i="50"/>
  <c r="H348" i="50"/>
  <c r="F348" i="50"/>
  <c r="D348" i="50"/>
  <c r="I341" i="50"/>
  <c r="I334" i="50"/>
  <c r="G342" i="50"/>
  <c r="I115" i="51"/>
  <c r="G115" i="51"/>
  <c r="J116" i="50"/>
  <c r="D116" i="50"/>
  <c r="F116" i="50"/>
  <c r="E116" i="50"/>
  <c r="K116" i="50"/>
  <c r="H116" i="50"/>
  <c r="G319" i="51"/>
  <c r="G304" i="51"/>
  <c r="I123" i="51"/>
  <c r="G123" i="51"/>
  <c r="G124" i="51"/>
  <c r="I124" i="51"/>
  <c r="G126" i="51"/>
  <c r="I126" i="51"/>
  <c r="G120" i="51"/>
  <c r="I120" i="51"/>
  <c r="H114" i="51"/>
  <c r="J114" i="51"/>
  <c r="E114" i="51"/>
  <c r="F114" i="51"/>
  <c r="K114" i="51"/>
  <c r="D114" i="51"/>
  <c r="H129" i="51"/>
  <c r="F129" i="51"/>
  <c r="D129" i="51"/>
  <c r="K129" i="51"/>
  <c r="E129" i="51"/>
  <c r="J129" i="51"/>
  <c r="K141" i="51"/>
  <c r="F141" i="51"/>
  <c r="J141" i="51"/>
  <c r="D141" i="51"/>
  <c r="E141" i="51"/>
  <c r="H141" i="51"/>
  <c r="E326" i="51"/>
  <c r="J326" i="51"/>
  <c r="H326" i="51"/>
  <c r="F326" i="51"/>
  <c r="D326" i="51"/>
  <c r="I326" i="51"/>
  <c r="K326" i="51"/>
  <c r="D147" i="50"/>
  <c r="K147" i="50"/>
  <c r="E147" i="50"/>
  <c r="J147" i="50"/>
  <c r="H147" i="50"/>
  <c r="F147" i="50"/>
  <c r="I121" i="51"/>
  <c r="G121" i="51"/>
  <c r="K327" i="51"/>
  <c r="E327" i="51"/>
  <c r="J327" i="51"/>
  <c r="H327" i="51"/>
  <c r="F327" i="51"/>
  <c r="D327" i="51"/>
  <c r="I327" i="51"/>
  <c r="AK339" i="50"/>
  <c r="AK327" i="51" s="1"/>
  <c r="I339" i="50"/>
  <c r="K339" i="50"/>
  <c r="E339" i="50"/>
  <c r="J339" i="50"/>
  <c r="H339" i="50"/>
  <c r="F339" i="50"/>
  <c r="D339" i="50"/>
  <c r="AJ339" i="50"/>
  <c r="AJ327" i="51" s="1"/>
  <c r="R339" i="50"/>
  <c r="R327" i="51" s="1"/>
  <c r="AN339" i="50"/>
  <c r="AN327" i="51" s="1"/>
  <c r="S339" i="50"/>
  <c r="S327" i="51" s="1"/>
  <c r="AD339" i="50"/>
  <c r="AD327" i="51" s="1"/>
  <c r="AF339" i="50"/>
  <c r="AF327" i="51" s="1"/>
  <c r="Z339" i="50"/>
  <c r="Z327" i="51" s="1"/>
  <c r="P339" i="50"/>
  <c r="P327" i="51" s="1"/>
  <c r="AH339" i="50"/>
  <c r="AH327" i="51" s="1"/>
  <c r="AM339" i="50"/>
  <c r="AM327" i="51" s="1"/>
  <c r="T339" i="50"/>
  <c r="T327" i="51" s="1"/>
  <c r="AQ339" i="50"/>
  <c r="AQ327" i="51" s="1"/>
  <c r="AE339" i="50"/>
  <c r="AE327" i="51" s="1"/>
  <c r="Q339" i="50"/>
  <c r="Q327" i="51" s="1"/>
  <c r="W339" i="50"/>
  <c r="W327" i="51" s="1"/>
  <c r="U339" i="50"/>
  <c r="U327" i="51" s="1"/>
  <c r="AO339" i="50"/>
  <c r="AO327" i="51" s="1"/>
  <c r="V339" i="50"/>
  <c r="V327" i="51" s="1"/>
  <c r="AB339" i="50"/>
  <c r="AB327" i="51" s="1"/>
  <c r="AA339" i="50"/>
  <c r="AA327" i="51" s="1"/>
  <c r="Y339" i="50"/>
  <c r="Y327" i="51" s="1"/>
  <c r="X339" i="50"/>
  <c r="X327" i="51" s="1"/>
  <c r="AI339" i="50"/>
  <c r="AI327" i="51" s="1"/>
  <c r="AP339" i="50"/>
  <c r="AP327" i="51" s="1"/>
  <c r="AC339" i="50"/>
  <c r="AC327" i="51" s="1"/>
  <c r="AL339" i="50"/>
  <c r="AL327" i="51" s="1"/>
  <c r="AR339" i="50"/>
  <c r="AR327" i="51" s="1"/>
  <c r="AG339" i="50"/>
  <c r="AG327" i="51" s="1"/>
  <c r="D345" i="51"/>
  <c r="F344" i="51"/>
  <c r="H344" i="51"/>
  <c r="E345" i="51"/>
  <c r="G345" i="51" s="1"/>
  <c r="D344" i="51"/>
  <c r="J344" i="51"/>
  <c r="E344" i="51"/>
  <c r="I342" i="51"/>
  <c r="K342" i="51"/>
  <c r="E342" i="51"/>
  <c r="J342" i="51"/>
  <c r="H342" i="51"/>
  <c r="D342" i="51"/>
  <c r="F342" i="51"/>
  <c r="D339" i="51"/>
  <c r="E339" i="51"/>
  <c r="J339" i="51"/>
  <c r="H339" i="51"/>
  <c r="F339" i="51"/>
  <c r="I339" i="51"/>
  <c r="K339" i="51"/>
  <c r="D343" i="51"/>
  <c r="I343" i="51"/>
  <c r="K343" i="51"/>
  <c r="F343" i="51"/>
  <c r="E343" i="51"/>
  <c r="H343" i="51"/>
  <c r="J343" i="51"/>
  <c r="I325" i="50"/>
  <c r="G330" i="50"/>
  <c r="G300" i="51"/>
  <c r="I125" i="51"/>
  <c r="G125" i="51"/>
  <c r="G110" i="51"/>
  <c r="I110" i="51"/>
  <c r="G120" i="50"/>
  <c r="I120" i="50"/>
  <c r="G126" i="50"/>
  <c r="I126" i="50"/>
  <c r="G128" i="50"/>
  <c r="I128" i="50"/>
  <c r="K145" i="51"/>
  <c r="H145" i="51"/>
  <c r="E145" i="51"/>
  <c r="J145" i="51"/>
  <c r="F145" i="51"/>
  <c r="K140" i="51"/>
  <c r="E140" i="51"/>
  <c r="H140" i="51"/>
  <c r="F140" i="51"/>
  <c r="D140" i="51"/>
  <c r="J140" i="51"/>
  <c r="K131" i="51"/>
  <c r="D131" i="51"/>
  <c r="F131" i="51"/>
  <c r="J131" i="51"/>
  <c r="E131" i="51"/>
  <c r="H131" i="51"/>
  <c r="G331" i="51"/>
  <c r="G317" i="51"/>
  <c r="I311" i="51"/>
  <c r="C137" i="50"/>
  <c r="E140" i="50"/>
  <c r="H140" i="50"/>
  <c r="J140" i="50"/>
  <c r="D140" i="50"/>
  <c r="F140" i="50"/>
  <c r="K140" i="50"/>
  <c r="D139" i="50"/>
  <c r="K139" i="50"/>
  <c r="E139" i="50"/>
  <c r="J139" i="50"/>
  <c r="H139" i="50"/>
  <c r="F139" i="50"/>
  <c r="K145" i="50"/>
  <c r="H145" i="50"/>
  <c r="J145" i="50"/>
  <c r="D145" i="50"/>
  <c r="E145" i="50"/>
  <c r="F145" i="50"/>
  <c r="I322" i="51"/>
  <c r="C389" i="50"/>
  <c r="AN389" i="50" s="1"/>
  <c r="AN375" i="51" s="1"/>
  <c r="C372" i="50"/>
  <c r="AJ372" i="50" s="1"/>
  <c r="AJ359" i="51" s="1"/>
  <c r="C373" i="50"/>
  <c r="AK373" i="50" s="1"/>
  <c r="AK360" i="51" s="1"/>
  <c r="L369" i="50"/>
  <c r="C376" i="50"/>
  <c r="T376" i="50" s="1"/>
  <c r="T363" i="51" s="1"/>
  <c r="C377" i="50"/>
  <c r="S377" i="50" s="1"/>
  <c r="S364" i="51" s="1"/>
  <c r="M369" i="50"/>
  <c r="C390" i="50"/>
  <c r="AJ390" i="50" s="1"/>
  <c r="AJ376" i="51" s="1"/>
  <c r="C391" i="50"/>
  <c r="AP391" i="50" s="1"/>
  <c r="AP377" i="51" s="1"/>
  <c r="C374" i="50"/>
  <c r="AH374" i="50" s="1"/>
  <c r="AH361" i="51" s="1"/>
  <c r="C375" i="50"/>
  <c r="AS375" i="50" s="1"/>
  <c r="AS362" i="51" s="1"/>
  <c r="C369" i="50"/>
  <c r="AR369" i="50" s="1"/>
  <c r="AR356" i="51" s="1"/>
  <c r="C371" i="50"/>
  <c r="AQ371" i="50" s="1"/>
  <c r="AQ358" i="51" s="1"/>
  <c r="C378" i="50"/>
  <c r="AC378" i="50" s="1"/>
  <c r="AC365" i="51" s="1"/>
  <c r="C379" i="50"/>
  <c r="Y379" i="50" s="1"/>
  <c r="Y366" i="51" s="1"/>
  <c r="C381" i="50"/>
  <c r="AK381" i="50" s="1"/>
  <c r="AK367" i="51" s="1"/>
  <c r="I119" i="51"/>
  <c r="G119" i="51"/>
  <c r="I110" i="50"/>
  <c r="G110" i="50"/>
  <c r="G112" i="50"/>
  <c r="I112" i="50"/>
  <c r="I113" i="50"/>
  <c r="G113" i="50"/>
  <c r="I129" i="50"/>
  <c r="G129" i="50"/>
  <c r="G313" i="51"/>
  <c r="G109" i="51"/>
  <c r="I109" i="51"/>
  <c r="AR349" i="50"/>
  <c r="AR337" i="51" s="1"/>
  <c r="AM349" i="50"/>
  <c r="AM337" i="51" s="1"/>
  <c r="AP349" i="50"/>
  <c r="AP337" i="51" s="1"/>
  <c r="V347" i="50"/>
  <c r="V335" i="51" s="1"/>
  <c r="X355" i="50"/>
  <c r="X343" i="51" s="1"/>
  <c r="U347" i="50"/>
  <c r="U335" i="51" s="1"/>
  <c r="R355" i="50"/>
  <c r="R343" i="51" s="1"/>
  <c r="Q347" i="50"/>
  <c r="Q335" i="51" s="1"/>
  <c r="AL347" i="50"/>
  <c r="AL335" i="51" s="1"/>
  <c r="AB355" i="50"/>
  <c r="AB343" i="51" s="1"/>
  <c r="T355" i="50"/>
  <c r="T343" i="51" s="1"/>
  <c r="X347" i="50"/>
  <c r="X335" i="51" s="1"/>
  <c r="Z347" i="50"/>
  <c r="Z335" i="51" s="1"/>
  <c r="AG355" i="50"/>
  <c r="AG343" i="51" s="1"/>
  <c r="Y355" i="50"/>
  <c r="Y343" i="51" s="1"/>
  <c r="Q366" i="50"/>
  <c r="Q353" i="51" s="1"/>
  <c r="S347" i="50"/>
  <c r="S335" i="51" s="1"/>
  <c r="AC347" i="50"/>
  <c r="AC335" i="51" s="1"/>
  <c r="AO355" i="50"/>
  <c r="AO343" i="51" s="1"/>
  <c r="S355" i="50"/>
  <c r="S343" i="51" s="1"/>
  <c r="X352" i="50"/>
  <c r="X340" i="51" s="1"/>
  <c r="J365" i="50"/>
  <c r="D365" i="50"/>
  <c r="F365" i="50"/>
  <c r="H365" i="50"/>
  <c r="E365" i="50"/>
  <c r="D367" i="50"/>
  <c r="I367" i="50"/>
  <c r="K367" i="50"/>
  <c r="E367" i="50"/>
  <c r="J367" i="50"/>
  <c r="H367" i="50"/>
  <c r="F367" i="50"/>
  <c r="D353" i="50"/>
  <c r="I353" i="50"/>
  <c r="K353" i="50"/>
  <c r="E353" i="50"/>
  <c r="J353" i="50"/>
  <c r="H353" i="50"/>
  <c r="F353" i="50"/>
  <c r="F351" i="50"/>
  <c r="D351" i="50"/>
  <c r="I351" i="50"/>
  <c r="K351" i="50"/>
  <c r="E351" i="50"/>
  <c r="J351" i="50"/>
  <c r="H351" i="50"/>
  <c r="K341" i="50"/>
  <c r="G112" i="51"/>
  <c r="I112" i="51"/>
  <c r="I124" i="50"/>
  <c r="G124" i="50"/>
  <c r="G117" i="51"/>
  <c r="I117" i="51"/>
  <c r="G118" i="51"/>
  <c r="I118" i="51"/>
  <c r="H352" i="51"/>
  <c r="D352" i="51"/>
  <c r="E352" i="51"/>
  <c r="J352" i="51"/>
  <c r="F352" i="51"/>
  <c r="K354" i="51"/>
  <c r="E354" i="51"/>
  <c r="J354" i="51"/>
  <c r="H354" i="51"/>
  <c r="F354" i="51"/>
  <c r="D354" i="51"/>
  <c r="I354" i="51"/>
  <c r="H336" i="51"/>
  <c r="F336" i="51"/>
  <c r="D336" i="51"/>
  <c r="I336" i="51"/>
  <c r="K336" i="51"/>
  <c r="E336" i="51"/>
  <c r="G336" i="51" s="1"/>
  <c r="J336" i="51"/>
  <c r="I113" i="51"/>
  <c r="G113" i="51"/>
  <c r="H143" i="51"/>
  <c r="J143" i="51"/>
  <c r="D143" i="51"/>
  <c r="F143" i="51"/>
  <c r="E143" i="51"/>
  <c r="K143" i="51"/>
  <c r="K132" i="51"/>
  <c r="H132" i="51"/>
  <c r="I132" i="51" s="1"/>
  <c r="F132" i="51"/>
  <c r="G132" i="51" s="1"/>
  <c r="J132" i="51"/>
  <c r="D132" i="51"/>
  <c r="K147" i="51"/>
  <c r="D147" i="51"/>
  <c r="E147" i="51"/>
  <c r="H147" i="51"/>
  <c r="J147" i="51"/>
  <c r="F147" i="51"/>
  <c r="E143" i="50"/>
  <c r="J143" i="50"/>
  <c r="H143" i="50"/>
  <c r="F143" i="50"/>
  <c r="D143" i="50"/>
  <c r="K143" i="50"/>
  <c r="G130" i="50"/>
  <c r="I130" i="50"/>
  <c r="I118" i="50"/>
  <c r="G118" i="50"/>
  <c r="AR356" i="50"/>
  <c r="AN356" i="50"/>
  <c r="AJ356" i="50"/>
  <c r="AF356" i="50"/>
  <c r="AQ356" i="50"/>
  <c r="AM356" i="50"/>
  <c r="AI356" i="50"/>
  <c r="AE356" i="50"/>
  <c r="AA356" i="50"/>
  <c r="W356" i="50"/>
  <c r="S356" i="50"/>
  <c r="AP356" i="50"/>
  <c r="AL356" i="50"/>
  <c r="AH356" i="50"/>
  <c r="AD356" i="50"/>
  <c r="Z356" i="50"/>
  <c r="V356" i="50"/>
  <c r="R356" i="50"/>
  <c r="C356" i="50"/>
  <c r="AO356" i="50"/>
  <c r="AK356" i="50"/>
  <c r="AG356" i="50"/>
  <c r="AC356" i="50"/>
  <c r="Y356" i="50"/>
  <c r="U356" i="50"/>
  <c r="Q356" i="50"/>
  <c r="AB356" i="50"/>
  <c r="X356" i="50"/>
  <c r="T356" i="50"/>
  <c r="D349" i="50"/>
  <c r="J349" i="50"/>
  <c r="E349" i="50"/>
  <c r="F349" i="50"/>
  <c r="H349" i="50"/>
  <c r="C346" i="51"/>
  <c r="I338" i="51"/>
  <c r="K338" i="51"/>
  <c r="E338" i="51"/>
  <c r="D338" i="51"/>
  <c r="J338" i="51"/>
  <c r="F338" i="51"/>
  <c r="H338" i="51"/>
  <c r="H340" i="51"/>
  <c r="F340" i="51"/>
  <c r="K340" i="51"/>
  <c r="E340" i="51"/>
  <c r="J340" i="51"/>
  <c r="I340" i="51"/>
  <c r="D340" i="51"/>
  <c r="J353" i="51"/>
  <c r="H353" i="51"/>
  <c r="F353" i="51"/>
  <c r="D353" i="51"/>
  <c r="I353" i="51"/>
  <c r="K353" i="51"/>
  <c r="E353" i="51"/>
  <c r="G353" i="51" s="1"/>
  <c r="F337" i="51"/>
  <c r="H337" i="51"/>
  <c r="J337" i="51"/>
  <c r="D337" i="51"/>
  <c r="E337" i="51"/>
  <c r="G337" i="51" s="1"/>
  <c r="K325" i="50"/>
  <c r="F337" i="50"/>
  <c r="E337" i="50"/>
  <c r="D337" i="50"/>
  <c r="J337" i="50"/>
  <c r="K337" i="50"/>
  <c r="I337" i="50"/>
  <c r="H337" i="50"/>
  <c r="AJ337" i="50"/>
  <c r="AJ325" i="51" s="1"/>
  <c r="AG337" i="50"/>
  <c r="AG325" i="51" s="1"/>
  <c r="AR337" i="50"/>
  <c r="AR325" i="51" s="1"/>
  <c r="AL337" i="50"/>
  <c r="AL325" i="51" s="1"/>
  <c r="AN337" i="50"/>
  <c r="AN325" i="51" s="1"/>
  <c r="W337" i="50"/>
  <c r="W325" i="51" s="1"/>
  <c r="AO337" i="50"/>
  <c r="AO325" i="51" s="1"/>
  <c r="T337" i="50"/>
  <c r="T325" i="51" s="1"/>
  <c r="R337" i="50"/>
  <c r="R325" i="51" s="1"/>
  <c r="AD337" i="50"/>
  <c r="AD325" i="51" s="1"/>
  <c r="AM337" i="50"/>
  <c r="AM325" i="51" s="1"/>
  <c r="AE337" i="50"/>
  <c r="AE325" i="51" s="1"/>
  <c r="Y337" i="50"/>
  <c r="Y325" i="51" s="1"/>
  <c r="AI337" i="50"/>
  <c r="AI325" i="51" s="1"/>
  <c r="Q337" i="50"/>
  <c r="Q325" i="51" s="1"/>
  <c r="AF337" i="50"/>
  <c r="AF325" i="51" s="1"/>
  <c r="S337" i="50"/>
  <c r="S325" i="51" s="1"/>
  <c r="X337" i="50"/>
  <c r="X325" i="51" s="1"/>
  <c r="AP337" i="50"/>
  <c r="AP325" i="51" s="1"/>
  <c r="AQ337" i="50"/>
  <c r="AQ325" i="51" s="1"/>
  <c r="AA337" i="50"/>
  <c r="AA325" i="51" s="1"/>
  <c r="Z337" i="50"/>
  <c r="Z325" i="51" s="1"/>
  <c r="AK337" i="50"/>
  <c r="AK325" i="51" s="1"/>
  <c r="AB337" i="50"/>
  <c r="AB325" i="51" s="1"/>
  <c r="U337" i="50"/>
  <c r="U325" i="51" s="1"/>
  <c r="P337" i="50"/>
  <c r="P325" i="51" s="1"/>
  <c r="AH337" i="50"/>
  <c r="AH325" i="51" s="1"/>
  <c r="V337" i="50"/>
  <c r="V325" i="51" s="1"/>
  <c r="AC337" i="50"/>
  <c r="AC325" i="51" s="1"/>
  <c r="G311" i="50"/>
  <c r="I119" i="50"/>
  <c r="G119" i="50"/>
  <c r="K134" i="51"/>
  <c r="E134" i="51"/>
  <c r="J134" i="51"/>
  <c r="H134" i="51"/>
  <c r="F134" i="51"/>
  <c r="D134" i="51"/>
  <c r="E138" i="51"/>
  <c r="F138" i="51"/>
  <c r="H138" i="51"/>
  <c r="K138" i="51"/>
  <c r="J138" i="51"/>
  <c r="H142" i="51"/>
  <c r="F142" i="51"/>
  <c r="D142" i="51"/>
  <c r="K142" i="51"/>
  <c r="E142" i="51"/>
  <c r="J142" i="51"/>
  <c r="K136" i="51"/>
  <c r="H136" i="51"/>
  <c r="F136" i="51"/>
  <c r="J136" i="51"/>
  <c r="E136" i="51"/>
  <c r="D136" i="51"/>
  <c r="K146" i="51"/>
  <c r="E146" i="51"/>
  <c r="F146" i="51"/>
  <c r="J146" i="51"/>
  <c r="D146" i="51"/>
  <c r="H146" i="51"/>
  <c r="F128" i="51"/>
  <c r="K128" i="51"/>
  <c r="H128" i="51"/>
  <c r="J128" i="51"/>
  <c r="E128" i="51"/>
  <c r="C138" i="50"/>
  <c r="J141" i="50"/>
  <c r="F141" i="50"/>
  <c r="E141" i="50"/>
  <c r="H141" i="50"/>
  <c r="K141" i="50"/>
  <c r="K132" i="50"/>
  <c r="H132" i="50"/>
  <c r="J132" i="50"/>
  <c r="D132" i="50"/>
  <c r="F132" i="50"/>
  <c r="E132" i="50"/>
  <c r="H149" i="50"/>
  <c r="J149" i="50"/>
  <c r="K149" i="50"/>
  <c r="F149" i="50"/>
  <c r="E149" i="50"/>
  <c r="E134" i="50"/>
  <c r="J134" i="50"/>
  <c r="H134" i="50"/>
  <c r="F134" i="50"/>
  <c r="D134" i="50"/>
  <c r="K134" i="50"/>
  <c r="J133" i="50"/>
  <c r="H133" i="50"/>
  <c r="F133" i="50"/>
  <c r="K133" i="50"/>
  <c r="E133" i="50"/>
  <c r="D133" i="50"/>
  <c r="J131" i="50"/>
  <c r="F131" i="50"/>
  <c r="H131" i="50"/>
  <c r="K131" i="50"/>
  <c r="E131" i="50"/>
  <c r="F151" i="50"/>
  <c r="E151" i="50"/>
  <c r="K151" i="50"/>
  <c r="H151" i="50"/>
  <c r="J151" i="50"/>
  <c r="D151" i="50"/>
  <c r="G343" i="50"/>
  <c r="G316" i="51"/>
  <c r="C167" i="51"/>
  <c r="D158" i="51"/>
  <c r="C164" i="51"/>
  <c r="C161" i="51"/>
  <c r="C151" i="51"/>
  <c r="C159" i="51"/>
  <c r="C152" i="51"/>
  <c r="C157" i="51"/>
  <c r="C166" i="51"/>
  <c r="D165" i="51"/>
  <c r="C156" i="51"/>
  <c r="C160" i="51"/>
  <c r="M165" i="51"/>
  <c r="C163" i="51"/>
  <c r="C165" i="51"/>
  <c r="D153" i="51"/>
  <c r="C149" i="51"/>
  <c r="C148" i="51"/>
  <c r="C150" i="51"/>
  <c r="C158" i="51"/>
  <c r="D148" i="51"/>
  <c r="C162" i="51"/>
  <c r="C153" i="51"/>
  <c r="C155" i="51" s="1"/>
  <c r="L153" i="51"/>
  <c r="C363" i="51"/>
  <c r="C361" i="51"/>
  <c r="C358" i="51"/>
  <c r="C376" i="51"/>
  <c r="C360" i="51"/>
  <c r="C365" i="51"/>
  <c r="C362" i="51"/>
  <c r="M356" i="51"/>
  <c r="C364" i="51"/>
  <c r="C366" i="51"/>
  <c r="C356" i="51"/>
  <c r="C377" i="51"/>
  <c r="L356" i="51"/>
  <c r="C359" i="51"/>
  <c r="C375" i="51"/>
  <c r="AP378" i="51"/>
  <c r="C367" i="51"/>
  <c r="C372" i="51" s="1"/>
  <c r="AN378" i="51"/>
  <c r="AR378" i="51"/>
  <c r="K322" i="50"/>
  <c r="G321" i="50"/>
  <c r="G331" i="50"/>
  <c r="R340" i="50"/>
  <c r="R328" i="51" s="1"/>
  <c r="I340" i="50"/>
  <c r="F340" i="50"/>
  <c r="H340" i="50"/>
  <c r="E340" i="50"/>
  <c r="K340" i="50"/>
  <c r="D340" i="50"/>
  <c r="J340" i="50"/>
  <c r="AF340" i="50"/>
  <c r="AF328" i="51" s="1"/>
  <c r="AK340" i="50"/>
  <c r="AK328" i="51" s="1"/>
  <c r="AO340" i="50"/>
  <c r="AO328" i="51" s="1"/>
  <c r="AB340" i="50"/>
  <c r="AB328" i="51" s="1"/>
  <c r="V340" i="50"/>
  <c r="V328" i="51" s="1"/>
  <c r="AH340" i="50"/>
  <c r="AH328" i="51" s="1"/>
  <c r="AC340" i="50"/>
  <c r="AC328" i="51" s="1"/>
  <c r="T340" i="50"/>
  <c r="T328" i="51" s="1"/>
  <c r="AL340" i="50"/>
  <c r="AL328" i="51" s="1"/>
  <c r="AG340" i="50"/>
  <c r="AG328" i="51" s="1"/>
  <c r="X340" i="50"/>
  <c r="X328" i="51" s="1"/>
  <c r="AD340" i="50"/>
  <c r="AD328" i="51" s="1"/>
  <c r="AA340" i="50"/>
  <c r="AA328" i="51" s="1"/>
  <c r="AI340" i="50"/>
  <c r="AI328" i="51" s="1"/>
  <c r="AE340" i="50"/>
  <c r="AE328" i="51" s="1"/>
  <c r="U340" i="50"/>
  <c r="U328" i="51" s="1"/>
  <c r="Y340" i="50"/>
  <c r="Y328" i="51" s="1"/>
  <c r="W340" i="50"/>
  <c r="W328" i="51" s="1"/>
  <c r="Z340" i="50"/>
  <c r="Z328" i="51" s="1"/>
  <c r="S340" i="50"/>
  <c r="S328" i="51" s="1"/>
  <c r="AJ340" i="50"/>
  <c r="AJ328" i="51" s="1"/>
  <c r="AN340" i="50"/>
  <c r="AN328" i="51" s="1"/>
  <c r="AM340" i="50"/>
  <c r="AM328" i="51" s="1"/>
  <c r="AP340" i="50"/>
  <c r="AP328" i="51" s="1"/>
  <c r="AQ340" i="50"/>
  <c r="AQ328" i="51" s="1"/>
  <c r="AR340" i="50"/>
  <c r="AR328" i="51" s="1"/>
  <c r="P340" i="50"/>
  <c r="P328" i="51" s="1"/>
  <c r="Q340" i="50"/>
  <c r="Q328" i="51" s="1"/>
  <c r="G302" i="51"/>
  <c r="G111" i="51"/>
  <c r="I111" i="51"/>
  <c r="I122" i="51"/>
  <c r="G122" i="51"/>
  <c r="G114" i="50"/>
  <c r="I114" i="50"/>
  <c r="G111" i="50"/>
  <c r="I111" i="50"/>
  <c r="U108" i="51"/>
  <c r="DL46" i="47"/>
  <c r="BV39" i="47"/>
  <c r="CZ44" i="47"/>
  <c r="DR47" i="47"/>
  <c r="BP38" i="47"/>
  <c r="DF45" i="47"/>
  <c r="CN42" i="47"/>
  <c r="CT43" i="47"/>
  <c r="CH41" i="47"/>
  <c r="P1" i="47"/>
  <c r="CB40" i="47"/>
  <c r="G329" i="50"/>
  <c r="G108" i="51"/>
  <c r="I108" i="51"/>
  <c r="I314" i="51"/>
  <c r="AK349" i="50"/>
  <c r="AK337" i="51" s="1"/>
  <c r="AQ349" i="50"/>
  <c r="AQ337" i="51" s="1"/>
  <c r="AQ392" i="50"/>
  <c r="AM392" i="50"/>
  <c r="AF347" i="50"/>
  <c r="AF335" i="51" s="1"/>
  <c r="AE355" i="50"/>
  <c r="AE343" i="51" s="1"/>
  <c r="AB347" i="50"/>
  <c r="AB335" i="51" s="1"/>
  <c r="AH347" i="50"/>
  <c r="AH335" i="51" s="1"/>
  <c r="AO347" i="50"/>
  <c r="AO335" i="51" s="1"/>
  <c r="V355" i="50"/>
  <c r="V343" i="51" s="1"/>
  <c r="AJ355" i="50"/>
  <c r="AJ343" i="51" s="1"/>
  <c r="AP347" i="50"/>
  <c r="AP335" i="51" s="1"/>
  <c r="W347" i="50"/>
  <c r="W335" i="51" s="1"/>
  <c r="AD355" i="50"/>
  <c r="AD343" i="51" s="1"/>
  <c r="AR355" i="50"/>
  <c r="AR343" i="51" s="1"/>
  <c r="AK347" i="50"/>
  <c r="AK335" i="51" s="1"/>
  <c r="AE347" i="50"/>
  <c r="AE335" i="51" s="1"/>
  <c r="AF355" i="50"/>
  <c r="AF343" i="51" s="1"/>
  <c r="AC355" i="50"/>
  <c r="AC343" i="51" s="1"/>
  <c r="F366" i="50"/>
  <c r="D366" i="50"/>
  <c r="I366" i="50"/>
  <c r="K366" i="50"/>
  <c r="E366" i="50"/>
  <c r="J366" i="50"/>
  <c r="H366" i="50"/>
  <c r="F352" i="50"/>
  <c r="D352" i="50"/>
  <c r="I352" i="50"/>
  <c r="K352" i="50"/>
  <c r="E352" i="50"/>
  <c r="G352" i="50" s="1"/>
  <c r="J352" i="50"/>
  <c r="H352" i="50"/>
  <c r="K350" i="50"/>
  <c r="E350" i="50"/>
  <c r="J350" i="50"/>
  <c r="H350" i="50"/>
  <c r="F350" i="50"/>
  <c r="D350" i="50"/>
  <c r="I350" i="50"/>
  <c r="G333" i="50"/>
  <c r="G324" i="50"/>
  <c r="C5" i="47"/>
  <c r="D5" i="47" s="1"/>
  <c r="B83" i="42"/>
  <c r="B94" i="42"/>
  <c r="C185" i="50" l="1"/>
  <c r="C189" i="50"/>
  <c r="C188" i="50"/>
  <c r="C187" i="50"/>
  <c r="C184" i="50"/>
  <c r="AD158" i="51"/>
  <c r="Z158" i="51"/>
  <c r="U158" i="51"/>
  <c r="AA158" i="51"/>
  <c r="X158" i="51"/>
  <c r="AC158" i="51"/>
  <c r="AB158" i="51"/>
  <c r="Y158" i="51"/>
  <c r="W158" i="51"/>
  <c r="V158" i="51"/>
  <c r="J350" i="51"/>
  <c r="I364" i="50"/>
  <c r="G354" i="50"/>
  <c r="G351" i="50"/>
  <c r="K351" i="51"/>
  <c r="U162" i="51"/>
  <c r="AQ363" i="50"/>
  <c r="AQ350" i="51" s="1"/>
  <c r="E363" i="50"/>
  <c r="D361" i="50"/>
  <c r="G325" i="51"/>
  <c r="AK375" i="50"/>
  <c r="AK362" i="51" s="1"/>
  <c r="G96" i="50"/>
  <c r="I363" i="50"/>
  <c r="AT401" i="51"/>
  <c r="D363" i="50"/>
  <c r="AF363" i="50"/>
  <c r="AF350" i="51" s="1"/>
  <c r="AK363" i="50"/>
  <c r="AK350" i="51" s="1"/>
  <c r="AN416" i="50"/>
  <c r="H363" i="50"/>
  <c r="V377" i="50"/>
  <c r="V364" i="51" s="1"/>
  <c r="Z160" i="51"/>
  <c r="S374" i="50"/>
  <c r="S361" i="51" s="1"/>
  <c r="AI390" i="50"/>
  <c r="AI376" i="51" s="1"/>
  <c r="AD377" i="50"/>
  <c r="AD364" i="51" s="1"/>
  <c r="AI377" i="50"/>
  <c r="AI364" i="51" s="1"/>
  <c r="Y163" i="51"/>
  <c r="G335" i="50"/>
  <c r="H364" i="50"/>
  <c r="F351" i="51"/>
  <c r="G351" i="51" s="1"/>
  <c r="AE379" i="50"/>
  <c r="AE366" i="51" s="1"/>
  <c r="AK379" i="50"/>
  <c r="AK366" i="51" s="1"/>
  <c r="AP375" i="50"/>
  <c r="AP362" i="51" s="1"/>
  <c r="AA375" i="50"/>
  <c r="AA362" i="51" s="1"/>
  <c r="AG379" i="50"/>
  <c r="AG366" i="51" s="1"/>
  <c r="H359" i="50"/>
  <c r="AJ377" i="50"/>
  <c r="AJ364" i="51" s="1"/>
  <c r="AD372" i="50"/>
  <c r="AD359" i="51" s="1"/>
  <c r="AH375" i="50"/>
  <c r="AH362" i="51" s="1"/>
  <c r="AR372" i="50"/>
  <c r="AR359" i="51" s="1"/>
  <c r="T361" i="50"/>
  <c r="T348" i="51" s="1"/>
  <c r="G338" i="50"/>
  <c r="G366" i="50"/>
  <c r="K135" i="51"/>
  <c r="F362" i="50"/>
  <c r="K361" i="50"/>
  <c r="H361" i="50"/>
  <c r="AK361" i="50"/>
  <c r="AK348" i="51" s="1"/>
  <c r="D135" i="51"/>
  <c r="AF361" i="50"/>
  <c r="AF348" i="51" s="1"/>
  <c r="AD371" i="50"/>
  <c r="AD358" i="51" s="1"/>
  <c r="E361" i="50"/>
  <c r="F361" i="50"/>
  <c r="K362" i="50"/>
  <c r="I361" i="50"/>
  <c r="AS416" i="50"/>
  <c r="AA160" i="51"/>
  <c r="AS373" i="50"/>
  <c r="AS360" i="51" s="1"/>
  <c r="AJ375" i="50"/>
  <c r="AJ362" i="51" s="1"/>
  <c r="AE375" i="50"/>
  <c r="AE362" i="51" s="1"/>
  <c r="AM373" i="50"/>
  <c r="AM360" i="51" s="1"/>
  <c r="U374" i="50"/>
  <c r="U361" i="51" s="1"/>
  <c r="AO374" i="50"/>
  <c r="AO361" i="51" s="1"/>
  <c r="AM378" i="50"/>
  <c r="AM365" i="51" s="1"/>
  <c r="V372" i="50"/>
  <c r="V359" i="51" s="1"/>
  <c r="AR374" i="50"/>
  <c r="AR361" i="51" s="1"/>
  <c r="W379" i="50"/>
  <c r="W366" i="51" s="1"/>
  <c r="R372" i="50"/>
  <c r="R359" i="51" s="1"/>
  <c r="T374" i="50"/>
  <c r="T361" i="51" s="1"/>
  <c r="R375" i="50"/>
  <c r="R362" i="51" s="1"/>
  <c r="AB379" i="50"/>
  <c r="AB366" i="51" s="1"/>
  <c r="AG374" i="50"/>
  <c r="AG361" i="51" s="1"/>
  <c r="AH379" i="50"/>
  <c r="AH366" i="51" s="1"/>
  <c r="S375" i="50"/>
  <c r="S362" i="51" s="1"/>
  <c r="U377" i="50"/>
  <c r="U364" i="51" s="1"/>
  <c r="AP371" i="50"/>
  <c r="AP358" i="51" s="1"/>
  <c r="AG363" i="50"/>
  <c r="AG350" i="51" s="1"/>
  <c r="V163" i="51"/>
  <c r="I96" i="50"/>
  <c r="AJ371" i="50"/>
  <c r="AJ358" i="51" s="1"/>
  <c r="AM371" i="50"/>
  <c r="AM358" i="51" s="1"/>
  <c r="V390" i="50"/>
  <c r="V376" i="51" s="1"/>
  <c r="AA163" i="51"/>
  <c r="X163" i="51"/>
  <c r="J364" i="50"/>
  <c r="D364" i="50"/>
  <c r="J359" i="50"/>
  <c r="AP373" i="50"/>
  <c r="AP360" i="51" s="1"/>
  <c r="AC391" i="50"/>
  <c r="AC377" i="51" s="1"/>
  <c r="AI379" i="50"/>
  <c r="AI366" i="51" s="1"/>
  <c r="AI375" i="50"/>
  <c r="AI362" i="51" s="1"/>
  <c r="AO371" i="50"/>
  <c r="AO358" i="51" s="1"/>
  <c r="V375" i="50"/>
  <c r="V362" i="51" s="1"/>
  <c r="X379" i="50"/>
  <c r="X366" i="51" s="1"/>
  <c r="V376" i="50"/>
  <c r="V363" i="51" s="1"/>
  <c r="AG391" i="50"/>
  <c r="AG377" i="51" s="1"/>
  <c r="AR376" i="50"/>
  <c r="AR363" i="51" s="1"/>
  <c r="V391" i="50"/>
  <c r="V377" i="51" s="1"/>
  <c r="T375" i="50"/>
  <c r="T362" i="51" s="1"/>
  <c r="T379" i="50"/>
  <c r="T366" i="51" s="1"/>
  <c r="AS389" i="50"/>
  <c r="AS375" i="51" s="1"/>
  <c r="AM376" i="50"/>
  <c r="AM363" i="51" s="1"/>
  <c r="AD376" i="50"/>
  <c r="AD363" i="51" s="1"/>
  <c r="Y376" i="50"/>
  <c r="Y363" i="51" s="1"/>
  <c r="AC164" i="51"/>
  <c r="X162" i="51"/>
  <c r="E364" i="50"/>
  <c r="AB371" i="50"/>
  <c r="AB358" i="51" s="1"/>
  <c r="X376" i="50"/>
  <c r="X363" i="51" s="1"/>
  <c r="AO391" i="50"/>
  <c r="AO377" i="51" s="1"/>
  <c r="AL389" i="50"/>
  <c r="AL375" i="51" s="1"/>
  <c r="F364" i="50"/>
  <c r="AL373" i="50"/>
  <c r="AL360" i="51" s="1"/>
  <c r="AO375" i="50"/>
  <c r="AO362" i="51" s="1"/>
  <c r="U390" i="50"/>
  <c r="U376" i="51" s="1"/>
  <c r="AM379" i="50"/>
  <c r="AM366" i="51" s="1"/>
  <c r="AF379" i="50"/>
  <c r="AF366" i="51" s="1"/>
  <c r="AK389" i="50"/>
  <c r="AK375" i="51" s="1"/>
  <c r="AL375" i="50"/>
  <c r="AL362" i="51" s="1"/>
  <c r="AL379" i="50"/>
  <c r="AL366" i="51" s="1"/>
  <c r="W371" i="50"/>
  <c r="W358" i="51" s="1"/>
  <c r="W375" i="50"/>
  <c r="W362" i="51" s="1"/>
  <c r="S379" i="50"/>
  <c r="S366" i="51" s="1"/>
  <c r="S376" i="50"/>
  <c r="S363" i="51" s="1"/>
  <c r="H349" i="51"/>
  <c r="AC162" i="51"/>
  <c r="Z164" i="51"/>
  <c r="W164" i="51"/>
  <c r="AR416" i="50"/>
  <c r="H362" i="50"/>
  <c r="I362" i="50"/>
  <c r="AN373" i="50"/>
  <c r="AN360" i="51" s="1"/>
  <c r="AQ373" i="50"/>
  <c r="AQ360" i="51" s="1"/>
  <c r="AR371" i="50"/>
  <c r="AR358" i="51" s="1"/>
  <c r="AO379" i="50"/>
  <c r="AO366" i="51" s="1"/>
  <c r="AL371" i="50"/>
  <c r="AL358" i="51" s="1"/>
  <c r="AJ376" i="50"/>
  <c r="AJ363" i="51" s="1"/>
  <c r="AF371" i="50"/>
  <c r="AF358" i="51" s="1"/>
  <c r="Z379" i="50"/>
  <c r="Z366" i="51" s="1"/>
  <c r="AF391" i="50"/>
  <c r="AF377" i="51" s="1"/>
  <c r="AJ379" i="50"/>
  <c r="AJ366" i="51" s="1"/>
  <c r="S391" i="50"/>
  <c r="S377" i="51" s="1"/>
  <c r="AN371" i="50"/>
  <c r="AN358" i="51" s="1"/>
  <c r="AK371" i="50"/>
  <c r="AK358" i="51" s="1"/>
  <c r="AB375" i="50"/>
  <c r="AB362" i="51" s="1"/>
  <c r="AG375" i="50"/>
  <c r="AG362" i="51" s="1"/>
  <c r="R379" i="50"/>
  <c r="R366" i="51" s="1"/>
  <c r="AP379" i="50"/>
  <c r="AP366" i="51" s="1"/>
  <c r="AF376" i="50"/>
  <c r="AF363" i="51" s="1"/>
  <c r="R376" i="50"/>
  <c r="R363" i="51" s="1"/>
  <c r="AI391" i="50"/>
  <c r="AI377" i="51" s="1"/>
  <c r="AQ391" i="50"/>
  <c r="AQ377" i="51" s="1"/>
  <c r="Y371" i="50"/>
  <c r="Y358" i="51" s="1"/>
  <c r="Z371" i="50"/>
  <c r="Z358" i="51" s="1"/>
  <c r="AN375" i="50"/>
  <c r="AN362" i="51" s="1"/>
  <c r="AC375" i="50"/>
  <c r="AC362" i="51" s="1"/>
  <c r="AN379" i="50"/>
  <c r="AN366" i="51" s="1"/>
  <c r="AC379" i="50"/>
  <c r="AC366" i="51" s="1"/>
  <c r="AL376" i="50"/>
  <c r="AL363" i="51" s="1"/>
  <c r="AN376" i="50"/>
  <c r="AN363" i="51" s="1"/>
  <c r="AD391" i="50"/>
  <c r="AD377" i="51" s="1"/>
  <c r="X391" i="50"/>
  <c r="X377" i="51" s="1"/>
  <c r="AR389" i="50"/>
  <c r="AR375" i="51" s="1"/>
  <c r="V371" i="50"/>
  <c r="V358" i="51" s="1"/>
  <c r="Y375" i="50"/>
  <c r="Y362" i="51" s="1"/>
  <c r="AA379" i="50"/>
  <c r="AA366" i="51" s="1"/>
  <c r="AA376" i="50"/>
  <c r="AA363" i="51" s="1"/>
  <c r="U376" i="50"/>
  <c r="U363" i="51" s="1"/>
  <c r="AM389" i="50"/>
  <c r="AM375" i="51" s="1"/>
  <c r="AO416" i="50"/>
  <c r="AL401" i="51"/>
  <c r="X362" i="50"/>
  <c r="X349" i="51" s="1"/>
  <c r="AD163" i="51"/>
  <c r="Z163" i="51"/>
  <c r="V164" i="51"/>
  <c r="U163" i="51"/>
  <c r="AQ416" i="50"/>
  <c r="J362" i="50"/>
  <c r="Z376" i="50"/>
  <c r="Z363" i="51" s="1"/>
  <c r="X371" i="50"/>
  <c r="X358" i="51" s="1"/>
  <c r="AO376" i="50"/>
  <c r="AO363" i="51" s="1"/>
  <c r="Y391" i="50"/>
  <c r="Y377" i="51" s="1"/>
  <c r="AQ376" i="50"/>
  <c r="AQ363" i="51" s="1"/>
  <c r="AA391" i="50"/>
  <c r="AA377" i="51" s="1"/>
  <c r="AS371" i="50"/>
  <c r="AS358" i="51" s="1"/>
  <c r="AP376" i="50"/>
  <c r="AP363" i="51" s="1"/>
  <c r="AK391" i="50"/>
  <c r="AK377" i="51" s="1"/>
  <c r="AS391" i="50"/>
  <c r="AS377" i="51" s="1"/>
  <c r="AI371" i="50"/>
  <c r="AI358" i="51" s="1"/>
  <c r="U371" i="50"/>
  <c r="U358" i="51" s="1"/>
  <c r="AC376" i="50"/>
  <c r="AC363" i="51" s="1"/>
  <c r="AH376" i="50"/>
  <c r="AH363" i="51" s="1"/>
  <c r="R391" i="50"/>
  <c r="R377" i="51" s="1"/>
  <c r="Z391" i="50"/>
  <c r="Z377" i="51" s="1"/>
  <c r="S371" i="50"/>
  <c r="S358" i="51" s="1"/>
  <c r="AA371" i="50"/>
  <c r="AA358" i="51" s="1"/>
  <c r="AS376" i="50"/>
  <c r="AS363" i="51" s="1"/>
  <c r="AF362" i="50"/>
  <c r="AF349" i="51" s="1"/>
  <c r="W362" i="50"/>
  <c r="W349" i="51" s="1"/>
  <c r="AL362" i="50"/>
  <c r="AL349" i="51" s="1"/>
  <c r="AD164" i="51"/>
  <c r="AB164" i="51"/>
  <c r="AA164" i="51"/>
  <c r="X164" i="51"/>
  <c r="D362" i="50"/>
  <c r="E362" i="50"/>
  <c r="AR373" i="50"/>
  <c r="AR360" i="51" s="1"/>
  <c r="AO373" i="50"/>
  <c r="AO360" i="51" s="1"/>
  <c r="AM375" i="50"/>
  <c r="AM362" i="51" s="1"/>
  <c r="U391" i="50"/>
  <c r="U377" i="51" s="1"/>
  <c r="AQ379" i="50"/>
  <c r="AQ366" i="51" s="1"/>
  <c r="W391" i="50"/>
  <c r="W377" i="51" s="1"/>
  <c r="AQ375" i="50"/>
  <c r="AQ362" i="51" s="1"/>
  <c r="AI376" i="50"/>
  <c r="AI363" i="51" s="1"/>
  <c r="T371" i="50"/>
  <c r="T358" i="51" s="1"/>
  <c r="Z375" i="50"/>
  <c r="Z362" i="51" s="1"/>
  <c r="AK376" i="50"/>
  <c r="AK363" i="51" s="1"/>
  <c r="AG371" i="50"/>
  <c r="AG358" i="51" s="1"/>
  <c r="AH371" i="50"/>
  <c r="AH358" i="51" s="1"/>
  <c r="X375" i="50"/>
  <c r="X362" i="51" s="1"/>
  <c r="AF375" i="50"/>
  <c r="AF362" i="51" s="1"/>
  <c r="V379" i="50"/>
  <c r="V366" i="51" s="1"/>
  <c r="AB376" i="50"/>
  <c r="AB363" i="51" s="1"/>
  <c r="AG376" i="50"/>
  <c r="AG363" i="51" s="1"/>
  <c r="AM391" i="50"/>
  <c r="AM377" i="51" s="1"/>
  <c r="AP389" i="50"/>
  <c r="AP375" i="51" s="1"/>
  <c r="AC371" i="50"/>
  <c r="AC358" i="51" s="1"/>
  <c r="AE371" i="50"/>
  <c r="AE358" i="51" s="1"/>
  <c r="AR375" i="50"/>
  <c r="AR362" i="51" s="1"/>
  <c r="AD375" i="50"/>
  <c r="AD362" i="51" s="1"/>
  <c r="AR379" i="50"/>
  <c r="AR366" i="51" s="1"/>
  <c r="AD379" i="50"/>
  <c r="AD366" i="51" s="1"/>
  <c r="AE376" i="50"/>
  <c r="AE363" i="51" s="1"/>
  <c r="T391" i="50"/>
  <c r="T377" i="51" s="1"/>
  <c r="AB391" i="50"/>
  <c r="AB377" i="51" s="1"/>
  <c r="R371" i="50"/>
  <c r="R358" i="51" s="1"/>
  <c r="U375" i="50"/>
  <c r="U362" i="51" s="1"/>
  <c r="U379" i="50"/>
  <c r="U366" i="51" s="1"/>
  <c r="W376" i="50"/>
  <c r="W363" i="51" s="1"/>
  <c r="AN391" i="50"/>
  <c r="AN377" i="51" s="1"/>
  <c r="AP416" i="50"/>
  <c r="AL416" i="50"/>
  <c r="AD362" i="50"/>
  <c r="AD349" i="51" s="1"/>
  <c r="AC163" i="51"/>
  <c r="AB163" i="51"/>
  <c r="Y164" i="51"/>
  <c r="W363" i="50"/>
  <c r="W350" i="51" s="1"/>
  <c r="AJ363" i="50"/>
  <c r="AJ350" i="51" s="1"/>
  <c r="Q363" i="50"/>
  <c r="Q350" i="51" s="1"/>
  <c r="X363" i="50"/>
  <c r="X350" i="51" s="1"/>
  <c r="AP363" i="50"/>
  <c r="AP350" i="51" s="1"/>
  <c r="F363" i="50"/>
  <c r="K363" i="50"/>
  <c r="J135" i="51"/>
  <c r="F135" i="51"/>
  <c r="G135" i="51" s="1"/>
  <c r="D360" i="50"/>
  <c r="S363" i="50"/>
  <c r="S350" i="51" s="1"/>
  <c r="AN369" i="50"/>
  <c r="AN356" i="51" s="1"/>
  <c r="AO369" i="50"/>
  <c r="AO356" i="51" s="1"/>
  <c r="X372" i="50"/>
  <c r="X359" i="51" s="1"/>
  <c r="Y390" i="50"/>
  <c r="Y376" i="51" s="1"/>
  <c r="AI372" i="50"/>
  <c r="AI359" i="51" s="1"/>
  <c r="AG377" i="50"/>
  <c r="AG364" i="51" s="1"/>
  <c r="AM390" i="50"/>
  <c r="AM376" i="51" s="1"/>
  <c r="AB378" i="50"/>
  <c r="AB365" i="51" s="1"/>
  <c r="AL377" i="50"/>
  <c r="AL364" i="51" s="1"/>
  <c r="AE374" i="50"/>
  <c r="AE361" i="51" s="1"/>
  <c r="AH390" i="50"/>
  <c r="AH376" i="51" s="1"/>
  <c r="D350" i="51"/>
  <c r="E350" i="51"/>
  <c r="H351" i="51"/>
  <c r="I351" i="51"/>
  <c r="AM416" i="50"/>
  <c r="AD363" i="50"/>
  <c r="AD350" i="51" s="1"/>
  <c r="AK359" i="50"/>
  <c r="AK346" i="51" s="1"/>
  <c r="AQ359" i="50"/>
  <c r="AQ346" i="51" s="1"/>
  <c r="AR363" i="50"/>
  <c r="AR350" i="51" s="1"/>
  <c r="AC363" i="50"/>
  <c r="AC350" i="51" s="1"/>
  <c r="AI363" i="50"/>
  <c r="AI350" i="51" s="1"/>
  <c r="T363" i="50"/>
  <c r="T350" i="51" s="1"/>
  <c r="AD160" i="51"/>
  <c r="AC160" i="51"/>
  <c r="AB162" i="51"/>
  <c r="AA162" i="51"/>
  <c r="W160" i="51"/>
  <c r="V162" i="51"/>
  <c r="U160" i="51"/>
  <c r="AM363" i="50"/>
  <c r="AM350" i="51" s="1"/>
  <c r="H135" i="51"/>
  <c r="I135" i="51" s="1"/>
  <c r="D359" i="50"/>
  <c r="F359" i="50"/>
  <c r="AB390" i="50"/>
  <c r="AB376" i="51" s="1"/>
  <c r="F350" i="51"/>
  <c r="K350" i="51"/>
  <c r="J351" i="51"/>
  <c r="AE363" i="50"/>
  <c r="AE350" i="51" s="1"/>
  <c r="AM359" i="50"/>
  <c r="AM346" i="51" s="1"/>
  <c r="AO363" i="50"/>
  <c r="AO350" i="51" s="1"/>
  <c r="AL363" i="50"/>
  <c r="AL350" i="51" s="1"/>
  <c r="V363" i="50"/>
  <c r="V350" i="51" s="1"/>
  <c r="U363" i="50"/>
  <c r="U350" i="51" s="1"/>
  <c r="R363" i="50"/>
  <c r="R350" i="51" s="1"/>
  <c r="AB160" i="51"/>
  <c r="Y160" i="51"/>
  <c r="X160" i="51"/>
  <c r="J363" i="50"/>
  <c r="E360" i="50"/>
  <c r="G360" i="50" s="1"/>
  <c r="E359" i="50"/>
  <c r="AN363" i="50"/>
  <c r="AN350" i="51" s="1"/>
  <c r="AM377" i="50"/>
  <c r="AM364" i="51" s="1"/>
  <c r="AC390" i="50"/>
  <c r="AC376" i="51" s="1"/>
  <c r="AG372" i="50"/>
  <c r="AG359" i="51" s="1"/>
  <c r="AJ374" i="50"/>
  <c r="AJ361" i="51" s="1"/>
  <c r="AS390" i="50"/>
  <c r="AS376" i="51" s="1"/>
  <c r="V374" i="50"/>
  <c r="V361" i="51" s="1"/>
  <c r="T372" i="50"/>
  <c r="T359" i="51" s="1"/>
  <c r="R390" i="50"/>
  <c r="R376" i="51" s="1"/>
  <c r="AL372" i="50"/>
  <c r="AL359" i="51" s="1"/>
  <c r="H350" i="51"/>
  <c r="D351" i="51"/>
  <c r="G335" i="51"/>
  <c r="K349" i="51"/>
  <c r="AB363" i="50"/>
  <c r="AB350" i="51" s="1"/>
  <c r="Z363" i="50"/>
  <c r="Z350" i="51" s="1"/>
  <c r="Y363" i="50"/>
  <c r="Y350" i="51" s="1"/>
  <c r="AH363" i="50"/>
  <c r="AH350" i="51" s="1"/>
  <c r="AD162" i="51"/>
  <c r="Z162" i="51"/>
  <c r="Y162" i="51"/>
  <c r="AH378" i="50"/>
  <c r="AH365" i="51" s="1"/>
  <c r="AJ391" i="50"/>
  <c r="AJ377" i="51" s="1"/>
  <c r="G353" i="50"/>
  <c r="AC184" i="51"/>
  <c r="V180" i="51"/>
  <c r="V183" i="51"/>
  <c r="V182" i="51"/>
  <c r="AE391" i="50"/>
  <c r="AE377" i="51" s="1"/>
  <c r="AS381" i="50"/>
  <c r="AS367" i="51" s="1"/>
  <c r="AA133" i="51"/>
  <c r="U128" i="51"/>
  <c r="AR390" i="50"/>
  <c r="AR376" i="51" s="1"/>
  <c r="W133" i="51"/>
  <c r="AC128" i="51"/>
  <c r="AA377" i="50"/>
  <c r="AA364" i="51" s="1"/>
  <c r="AL390" i="50"/>
  <c r="AL376" i="51" s="1"/>
  <c r="Y128" i="51"/>
  <c r="V128" i="51"/>
  <c r="AK369" i="50"/>
  <c r="AK356" i="51" s="1"/>
  <c r="AL369" i="50"/>
  <c r="AL356" i="51" s="1"/>
  <c r="AQ369" i="50"/>
  <c r="AQ356" i="51" s="1"/>
  <c r="AS369" i="50"/>
  <c r="AS356" i="51" s="1"/>
  <c r="AA374" i="50"/>
  <c r="AA361" i="51" s="1"/>
  <c r="S378" i="50"/>
  <c r="S365" i="51" s="1"/>
  <c r="AQ377" i="50"/>
  <c r="AQ364" i="51" s="1"/>
  <c r="AS374" i="50"/>
  <c r="AS361" i="51" s="1"/>
  <c r="U378" i="50"/>
  <c r="U365" i="51" s="1"/>
  <c r="AA390" i="50"/>
  <c r="AA376" i="51" s="1"/>
  <c r="W372" i="50"/>
  <c r="W359" i="51" s="1"/>
  <c r="AO377" i="50"/>
  <c r="AO364" i="51" s="1"/>
  <c r="Y374" i="50"/>
  <c r="Y361" i="51" s="1"/>
  <c r="S372" i="50"/>
  <c r="S359" i="51" s="1"/>
  <c r="AF390" i="50"/>
  <c r="AF376" i="51" s="1"/>
  <c r="AI374" i="50"/>
  <c r="AI361" i="51" s="1"/>
  <c r="AQ374" i="50"/>
  <c r="AQ361" i="51" s="1"/>
  <c r="AF372" i="50"/>
  <c r="AF359" i="51" s="1"/>
  <c r="AJ378" i="50"/>
  <c r="AJ365" i="51" s="1"/>
  <c r="AO378" i="50"/>
  <c r="AO365" i="51" s="1"/>
  <c r="X377" i="50"/>
  <c r="X364" i="51" s="1"/>
  <c r="AQ390" i="50"/>
  <c r="AQ376" i="51" s="1"/>
  <c r="AK390" i="50"/>
  <c r="AK376" i="51" s="1"/>
  <c r="X374" i="50"/>
  <c r="X361" i="51" s="1"/>
  <c r="AF374" i="50"/>
  <c r="AF361" i="51" s="1"/>
  <c r="AA372" i="50"/>
  <c r="AA359" i="51" s="1"/>
  <c r="AG378" i="50"/>
  <c r="AG365" i="51" s="1"/>
  <c r="V378" i="50"/>
  <c r="V365" i="51" s="1"/>
  <c r="AN377" i="50"/>
  <c r="AN364" i="51" s="1"/>
  <c r="Z390" i="50"/>
  <c r="Z376" i="51" s="1"/>
  <c r="T390" i="50"/>
  <c r="T376" i="51" s="1"/>
  <c r="AD374" i="50"/>
  <c r="AD361" i="51" s="1"/>
  <c r="AL374" i="50"/>
  <c r="AL361" i="51" s="1"/>
  <c r="AQ372" i="50"/>
  <c r="AQ359" i="51" s="1"/>
  <c r="AE378" i="50"/>
  <c r="AE365" i="51" s="1"/>
  <c r="AR378" i="50"/>
  <c r="AR365" i="51" s="1"/>
  <c r="AS377" i="50"/>
  <c r="AS364" i="51" s="1"/>
  <c r="W377" i="50"/>
  <c r="W364" i="51" s="1"/>
  <c r="AE390" i="50"/>
  <c r="AE376" i="51" s="1"/>
  <c r="AN390" i="50"/>
  <c r="AN376" i="51" s="1"/>
  <c r="AD149" i="51"/>
  <c r="Z149" i="51"/>
  <c r="V149" i="51"/>
  <c r="AC149" i="51"/>
  <c r="Y149" i="51"/>
  <c r="U149" i="51"/>
  <c r="AB149" i="51"/>
  <c r="X149" i="51"/>
  <c r="AA149" i="51"/>
  <c r="W149" i="51"/>
  <c r="AD151" i="51"/>
  <c r="Z151" i="51"/>
  <c r="V151" i="51"/>
  <c r="AC151" i="51"/>
  <c r="Y151" i="51"/>
  <c r="U151" i="51"/>
  <c r="AB151" i="51"/>
  <c r="X151" i="51"/>
  <c r="W151" i="51"/>
  <c r="AA151" i="51"/>
  <c r="I349" i="51"/>
  <c r="AO359" i="50"/>
  <c r="AO346" i="51" s="1"/>
  <c r="AR359" i="50"/>
  <c r="AR346" i="51" s="1"/>
  <c r="AP359" i="50"/>
  <c r="AP346" i="51" s="1"/>
  <c r="Z133" i="51"/>
  <c r="V133" i="51"/>
  <c r="AB128" i="51"/>
  <c r="X128" i="51"/>
  <c r="T128" i="51"/>
  <c r="AA135" i="51"/>
  <c r="W135" i="51"/>
  <c r="Z135" i="51"/>
  <c r="V135" i="51"/>
  <c r="AC135" i="51"/>
  <c r="Y135" i="51"/>
  <c r="U135" i="51"/>
  <c r="AB135" i="51"/>
  <c r="X135" i="51"/>
  <c r="T135" i="51"/>
  <c r="I349" i="50"/>
  <c r="AA378" i="50"/>
  <c r="AA365" i="51" s="1"/>
  <c r="AK377" i="50"/>
  <c r="AK364" i="51" s="1"/>
  <c r="AS378" i="50"/>
  <c r="AS365" i="51" s="1"/>
  <c r="W374" i="50"/>
  <c r="W361" i="51" s="1"/>
  <c r="Y372" i="50"/>
  <c r="Y359" i="51" s="1"/>
  <c r="T378" i="50"/>
  <c r="T365" i="51" s="1"/>
  <c r="AK374" i="50"/>
  <c r="AK361" i="51" s="1"/>
  <c r="Z374" i="50"/>
  <c r="Z361" i="51" s="1"/>
  <c r="AS372" i="50"/>
  <c r="AS359" i="51" s="1"/>
  <c r="AH372" i="50"/>
  <c r="AH359" i="51" s="1"/>
  <c r="AI378" i="50"/>
  <c r="AI365" i="51" s="1"/>
  <c r="AQ378" i="50"/>
  <c r="AQ365" i="51" s="1"/>
  <c r="AF377" i="50"/>
  <c r="AF364" i="51" s="1"/>
  <c r="R377" i="50"/>
  <c r="R364" i="51" s="1"/>
  <c r="R374" i="50"/>
  <c r="R361" i="51" s="1"/>
  <c r="AP374" i="50"/>
  <c r="AP361" i="51" s="1"/>
  <c r="AB372" i="50"/>
  <c r="AB359" i="51" s="1"/>
  <c r="U372" i="50"/>
  <c r="U359" i="51" s="1"/>
  <c r="X378" i="50"/>
  <c r="X365" i="51" s="1"/>
  <c r="AF378" i="50"/>
  <c r="AF365" i="51" s="1"/>
  <c r="AC377" i="50"/>
  <c r="AC364" i="51" s="1"/>
  <c r="AH377" i="50"/>
  <c r="AH364" i="51" s="1"/>
  <c r="AN374" i="50"/>
  <c r="AN361" i="51" s="1"/>
  <c r="AC374" i="50"/>
  <c r="AC361" i="51" s="1"/>
  <c r="AN372" i="50"/>
  <c r="AN359" i="51" s="1"/>
  <c r="AK372" i="50"/>
  <c r="AK359" i="51" s="1"/>
  <c r="AD378" i="50"/>
  <c r="AD365" i="51" s="1"/>
  <c r="AL378" i="50"/>
  <c r="AL365" i="51" s="1"/>
  <c r="T377" i="50"/>
  <c r="T364" i="51" s="1"/>
  <c r="Y377" i="50"/>
  <c r="Y364" i="51" s="1"/>
  <c r="C159" i="50"/>
  <c r="H159" i="50" s="1"/>
  <c r="AD156" i="51"/>
  <c r="Z156" i="51"/>
  <c r="V156" i="51"/>
  <c r="AC156" i="51"/>
  <c r="Y156" i="51"/>
  <c r="U156" i="51"/>
  <c r="AB156" i="51"/>
  <c r="X156" i="51"/>
  <c r="AA156" i="51"/>
  <c r="W156" i="51"/>
  <c r="AB152" i="51"/>
  <c r="X152" i="51"/>
  <c r="AA152" i="51"/>
  <c r="W152" i="51"/>
  <c r="AD152" i="51"/>
  <c r="Z152" i="51"/>
  <c r="V152" i="51"/>
  <c r="AC152" i="51"/>
  <c r="Y152" i="51"/>
  <c r="U152" i="51"/>
  <c r="AB157" i="51"/>
  <c r="X157" i="51"/>
  <c r="AA157" i="51"/>
  <c r="W157" i="51"/>
  <c r="AD157" i="51"/>
  <c r="Z157" i="51"/>
  <c r="V157" i="51"/>
  <c r="U157" i="51"/>
  <c r="AC157" i="51"/>
  <c r="Y157" i="51"/>
  <c r="E154" i="50"/>
  <c r="AB150" i="51"/>
  <c r="X150" i="51"/>
  <c r="AA150" i="51"/>
  <c r="W150" i="51"/>
  <c r="AD150" i="51"/>
  <c r="Z150" i="51"/>
  <c r="V150" i="51"/>
  <c r="U150" i="51"/>
  <c r="AC150" i="51"/>
  <c r="Y150" i="51"/>
  <c r="J349" i="51"/>
  <c r="D349" i="51"/>
  <c r="AC133" i="51"/>
  <c r="Y133" i="51"/>
  <c r="U133" i="51"/>
  <c r="AA128" i="51"/>
  <c r="W128" i="51"/>
  <c r="AP381" i="50"/>
  <c r="AP367" i="51" s="1"/>
  <c r="AP369" i="50"/>
  <c r="AP356" i="51" s="1"/>
  <c r="AM369" i="50"/>
  <c r="AM356" i="51" s="1"/>
  <c r="S390" i="50"/>
  <c r="S376" i="51" s="1"/>
  <c r="AC372" i="50"/>
  <c r="AC359" i="51" s="1"/>
  <c r="Z377" i="50"/>
  <c r="Z364" i="51" s="1"/>
  <c r="W378" i="50"/>
  <c r="W365" i="51" s="1"/>
  <c r="W390" i="50"/>
  <c r="W376" i="51" s="1"/>
  <c r="Y378" i="50"/>
  <c r="Y365" i="51" s="1"/>
  <c r="AM374" i="50"/>
  <c r="AM361" i="51" s="1"/>
  <c r="AM372" i="50"/>
  <c r="AM359" i="51" s="1"/>
  <c r="AO372" i="50"/>
  <c r="AO359" i="51" s="1"/>
  <c r="AK378" i="50"/>
  <c r="AK365" i="51" s="1"/>
  <c r="Z378" i="50"/>
  <c r="Z365" i="51" s="1"/>
  <c r="AP377" i="50"/>
  <c r="AP364" i="51" s="1"/>
  <c r="AB377" i="50"/>
  <c r="AB364" i="51" s="1"/>
  <c r="AG390" i="50"/>
  <c r="AG376" i="51" s="1"/>
  <c r="AO390" i="50"/>
  <c r="AO376" i="51" s="1"/>
  <c r="AB374" i="50"/>
  <c r="AB361" i="51" s="1"/>
  <c r="Z372" i="50"/>
  <c r="Z359" i="51" s="1"/>
  <c r="AE372" i="50"/>
  <c r="AE359" i="51" s="1"/>
  <c r="R378" i="50"/>
  <c r="R365" i="51" s="1"/>
  <c r="AP378" i="50"/>
  <c r="AP365" i="51" s="1"/>
  <c r="AE377" i="50"/>
  <c r="AE364" i="51" s="1"/>
  <c r="AR377" i="50"/>
  <c r="AR364" i="51" s="1"/>
  <c r="AD390" i="50"/>
  <c r="AD376" i="51" s="1"/>
  <c r="X390" i="50"/>
  <c r="X376" i="51" s="1"/>
  <c r="AP372" i="50"/>
  <c r="AP359" i="51" s="1"/>
  <c r="AN378" i="50"/>
  <c r="AN365" i="51" s="1"/>
  <c r="AP390" i="50"/>
  <c r="AP376" i="51" s="1"/>
  <c r="AC134" i="51"/>
  <c r="Y134" i="51"/>
  <c r="U134" i="51"/>
  <c r="AB134" i="51"/>
  <c r="X134" i="51"/>
  <c r="T134" i="51"/>
  <c r="AA134" i="51"/>
  <c r="W134" i="51"/>
  <c r="Z134" i="51"/>
  <c r="V134" i="51"/>
  <c r="K333" i="51"/>
  <c r="E349" i="51"/>
  <c r="G349" i="51" s="1"/>
  <c r="AN359" i="50"/>
  <c r="AN346" i="51" s="1"/>
  <c r="AJ359" i="50"/>
  <c r="AJ346" i="51" s="1"/>
  <c r="AB133" i="51"/>
  <c r="X133" i="51"/>
  <c r="Z128" i="51"/>
  <c r="Z149" i="50"/>
  <c r="Z145" i="51" s="1"/>
  <c r="V149" i="50"/>
  <c r="V145" i="51" s="1"/>
  <c r="AC149" i="50"/>
  <c r="AC145" i="51" s="1"/>
  <c r="Y149" i="50"/>
  <c r="Y145" i="51" s="1"/>
  <c r="U149" i="50"/>
  <c r="U145" i="51" s="1"/>
  <c r="AB149" i="50"/>
  <c r="AB145" i="51" s="1"/>
  <c r="X149" i="50"/>
  <c r="X145" i="51" s="1"/>
  <c r="T149" i="50"/>
  <c r="T145" i="51" s="1"/>
  <c r="AA149" i="50"/>
  <c r="AA145" i="51" s="1"/>
  <c r="W149" i="50"/>
  <c r="W145" i="51" s="1"/>
  <c r="Z361" i="50"/>
  <c r="Z348" i="51" s="1"/>
  <c r="AH361" i="50"/>
  <c r="AH348" i="51" s="1"/>
  <c r="AE361" i="50"/>
  <c r="AE348" i="51" s="1"/>
  <c r="X361" i="50"/>
  <c r="X348" i="51" s="1"/>
  <c r="R361" i="50"/>
  <c r="R348" i="51" s="1"/>
  <c r="Q361" i="50"/>
  <c r="Q348" i="51" s="1"/>
  <c r="W361" i="50"/>
  <c r="W348" i="51" s="1"/>
  <c r="S361" i="50"/>
  <c r="S348" i="51" s="1"/>
  <c r="AO361" i="50"/>
  <c r="AO348" i="51" s="1"/>
  <c r="AB361" i="50"/>
  <c r="AB348" i="51" s="1"/>
  <c r="AG361" i="50"/>
  <c r="AG348" i="51" s="1"/>
  <c r="AI361" i="50"/>
  <c r="AI348" i="51" s="1"/>
  <c r="AP361" i="50"/>
  <c r="AP348" i="51" s="1"/>
  <c r="Y361" i="50"/>
  <c r="Y348" i="51" s="1"/>
  <c r="AC361" i="50"/>
  <c r="AC348" i="51" s="1"/>
  <c r="AL361" i="50"/>
  <c r="AL348" i="51" s="1"/>
  <c r="V361" i="50"/>
  <c r="V348" i="51" s="1"/>
  <c r="U361" i="50"/>
  <c r="U348" i="51" s="1"/>
  <c r="AD361" i="50"/>
  <c r="AD348" i="51" s="1"/>
  <c r="AM361" i="50"/>
  <c r="AM348" i="51" s="1"/>
  <c r="AQ361" i="50"/>
  <c r="AQ348" i="51" s="1"/>
  <c r="AR361" i="50"/>
  <c r="AR348" i="51" s="1"/>
  <c r="AA361" i="50"/>
  <c r="AA348" i="51" s="1"/>
  <c r="AJ361" i="50"/>
  <c r="AJ348" i="51" s="1"/>
  <c r="AN361" i="50"/>
  <c r="AN348" i="51" s="1"/>
  <c r="C373" i="51"/>
  <c r="J373" i="51" s="1"/>
  <c r="AR381" i="50"/>
  <c r="AR367" i="51" s="1"/>
  <c r="AK362" i="50"/>
  <c r="AK349" i="51" s="1"/>
  <c r="AQ362" i="50"/>
  <c r="AQ349" i="51" s="1"/>
  <c r="AB362" i="50"/>
  <c r="AB349" i="51" s="1"/>
  <c r="AG362" i="50"/>
  <c r="AG349" i="51" s="1"/>
  <c r="AA362" i="50"/>
  <c r="AA349" i="51" s="1"/>
  <c r="AC362" i="50"/>
  <c r="AC349" i="51" s="1"/>
  <c r="Q362" i="50"/>
  <c r="Q349" i="51" s="1"/>
  <c r="AH362" i="50"/>
  <c r="AH349" i="51" s="1"/>
  <c r="Y362" i="50"/>
  <c r="Y349" i="51" s="1"/>
  <c r="V362" i="50"/>
  <c r="V349" i="51" s="1"/>
  <c r="AM362" i="50"/>
  <c r="AM349" i="51" s="1"/>
  <c r="AO362" i="50"/>
  <c r="AO349" i="51" s="1"/>
  <c r="AI362" i="50"/>
  <c r="AI349" i="51" s="1"/>
  <c r="AR362" i="50"/>
  <c r="AR349" i="51" s="1"/>
  <c r="AN362" i="50"/>
  <c r="AN349" i="51" s="1"/>
  <c r="AJ362" i="50"/>
  <c r="AJ349" i="51" s="1"/>
  <c r="AP362" i="50"/>
  <c r="AP349" i="51" s="1"/>
  <c r="Z362" i="50"/>
  <c r="Z349" i="51" s="1"/>
  <c r="U362" i="50"/>
  <c r="U349" i="51" s="1"/>
  <c r="R362" i="50"/>
  <c r="R349" i="51" s="1"/>
  <c r="T362" i="50"/>
  <c r="T349" i="51" s="1"/>
  <c r="S362" i="50"/>
  <c r="S349" i="51" s="1"/>
  <c r="V364" i="50"/>
  <c r="V351" i="51" s="1"/>
  <c r="S364" i="50"/>
  <c r="S351" i="51" s="1"/>
  <c r="AL364" i="50"/>
  <c r="AL351" i="51" s="1"/>
  <c r="X364" i="50"/>
  <c r="X351" i="51" s="1"/>
  <c r="AD364" i="50"/>
  <c r="AD351" i="51" s="1"/>
  <c r="AP364" i="50"/>
  <c r="AP351" i="51" s="1"/>
  <c r="AQ364" i="50"/>
  <c r="AQ351" i="51" s="1"/>
  <c r="AR364" i="50"/>
  <c r="AR351" i="51" s="1"/>
  <c r="AC364" i="50"/>
  <c r="AC351" i="51" s="1"/>
  <c r="AM364" i="50"/>
  <c r="AM351" i="51" s="1"/>
  <c r="T364" i="50"/>
  <c r="T351" i="51" s="1"/>
  <c r="AE364" i="50"/>
  <c r="AE351" i="51" s="1"/>
  <c r="U364" i="50"/>
  <c r="U351" i="51" s="1"/>
  <c r="W364" i="50"/>
  <c r="W351" i="51" s="1"/>
  <c r="Y364" i="50"/>
  <c r="Y351" i="51" s="1"/>
  <c r="AA364" i="50"/>
  <c r="AA351" i="51" s="1"/>
  <c r="Q364" i="50"/>
  <c r="Q351" i="51" s="1"/>
  <c r="R364" i="50"/>
  <c r="R351" i="51" s="1"/>
  <c r="AN364" i="50"/>
  <c r="AN351" i="51" s="1"/>
  <c r="AF364" i="50"/>
  <c r="AF351" i="51" s="1"/>
  <c r="AH364" i="50"/>
  <c r="AH351" i="51" s="1"/>
  <c r="AI364" i="50"/>
  <c r="AI351" i="51" s="1"/>
  <c r="AJ364" i="50"/>
  <c r="AJ351" i="51" s="1"/>
  <c r="Z364" i="50"/>
  <c r="Z351" i="51" s="1"/>
  <c r="AO364" i="50"/>
  <c r="AO351" i="51" s="1"/>
  <c r="AK364" i="50"/>
  <c r="AK351" i="51" s="1"/>
  <c r="AG364" i="50"/>
  <c r="AG351" i="51" s="1"/>
  <c r="AB364" i="50"/>
  <c r="AB351" i="51" s="1"/>
  <c r="K349" i="50"/>
  <c r="AO381" i="50"/>
  <c r="AO367" i="51" s="1"/>
  <c r="AR391" i="50"/>
  <c r="AR377" i="51" s="1"/>
  <c r="I345" i="51"/>
  <c r="G333" i="51"/>
  <c r="C371" i="51"/>
  <c r="D371" i="51" s="1"/>
  <c r="C374" i="51"/>
  <c r="E374" i="51" s="1"/>
  <c r="G341" i="51"/>
  <c r="T133" i="51"/>
  <c r="K365" i="50"/>
  <c r="I352" i="51"/>
  <c r="I365" i="50"/>
  <c r="G327" i="51"/>
  <c r="G340" i="50"/>
  <c r="K344" i="51"/>
  <c r="K358" i="50"/>
  <c r="I357" i="50"/>
  <c r="K345" i="50"/>
  <c r="I345" i="50"/>
  <c r="I359" i="50"/>
  <c r="K359" i="50"/>
  <c r="I360" i="50"/>
  <c r="K360" i="50"/>
  <c r="G337" i="50"/>
  <c r="K357" i="50"/>
  <c r="K346" i="50"/>
  <c r="G347" i="50"/>
  <c r="G350" i="50"/>
  <c r="K337" i="51"/>
  <c r="I337" i="51"/>
  <c r="G340" i="51"/>
  <c r="G338" i="51"/>
  <c r="G354" i="51"/>
  <c r="K334" i="51"/>
  <c r="G355" i="50"/>
  <c r="C385" i="50"/>
  <c r="AM385" i="50" s="1"/>
  <c r="AM371" i="51" s="1"/>
  <c r="G344" i="51"/>
  <c r="G339" i="50"/>
  <c r="AT416" i="50"/>
  <c r="C158" i="50"/>
  <c r="F158" i="50" s="1"/>
  <c r="B402" i="51"/>
  <c r="B417" i="50"/>
  <c r="DR46" i="47"/>
  <c r="CZ43" i="47"/>
  <c r="CT42" i="47"/>
  <c r="DX47" i="47"/>
  <c r="CH40" i="47"/>
  <c r="DL45" i="47"/>
  <c r="CB39" i="47"/>
  <c r="CN41" i="47"/>
  <c r="BV38" i="47"/>
  <c r="Q1" i="47"/>
  <c r="DF44" i="47"/>
  <c r="E367" i="51"/>
  <c r="J367" i="51"/>
  <c r="D368" i="51"/>
  <c r="F367" i="51"/>
  <c r="H367" i="51"/>
  <c r="E368" i="51"/>
  <c r="G368" i="51" s="1"/>
  <c r="D367" i="51"/>
  <c r="I364" i="51"/>
  <c r="K364" i="51"/>
  <c r="E364" i="51"/>
  <c r="J364" i="51"/>
  <c r="H364" i="51"/>
  <c r="D364" i="51"/>
  <c r="F364" i="51"/>
  <c r="H360" i="51"/>
  <c r="J360" i="51"/>
  <c r="E360" i="51"/>
  <c r="F360" i="51"/>
  <c r="D360" i="51"/>
  <c r="I363" i="51"/>
  <c r="K363" i="51"/>
  <c r="E363" i="51"/>
  <c r="J363" i="51"/>
  <c r="H363" i="51"/>
  <c r="F363" i="51"/>
  <c r="D363" i="51"/>
  <c r="F153" i="51"/>
  <c r="H153" i="51"/>
  <c r="K153" i="51"/>
  <c r="E153" i="51"/>
  <c r="J153" i="51"/>
  <c r="H150" i="51"/>
  <c r="J150" i="51"/>
  <c r="D150" i="51"/>
  <c r="F150" i="51"/>
  <c r="E150" i="51"/>
  <c r="K150" i="51"/>
  <c r="J165" i="51"/>
  <c r="H165" i="51"/>
  <c r="F165" i="51"/>
  <c r="E165" i="51"/>
  <c r="K165" i="51"/>
  <c r="K156" i="51"/>
  <c r="H156" i="51"/>
  <c r="F156" i="51"/>
  <c r="E156" i="51"/>
  <c r="D156" i="51"/>
  <c r="J156" i="51"/>
  <c r="F152" i="51"/>
  <c r="E152" i="51"/>
  <c r="K152" i="51"/>
  <c r="H152" i="51"/>
  <c r="J152" i="51"/>
  <c r="D152" i="51"/>
  <c r="K164" i="51"/>
  <c r="D164" i="51"/>
  <c r="J164" i="51"/>
  <c r="H164" i="51"/>
  <c r="E164" i="51"/>
  <c r="F164" i="51"/>
  <c r="D138" i="50"/>
  <c r="H138" i="50"/>
  <c r="J138" i="50"/>
  <c r="F138" i="50"/>
  <c r="K138" i="50"/>
  <c r="E138" i="50"/>
  <c r="I138" i="51"/>
  <c r="G138" i="51"/>
  <c r="G349" i="50"/>
  <c r="I143" i="51"/>
  <c r="G143" i="51"/>
  <c r="G365" i="50"/>
  <c r="C387" i="50"/>
  <c r="AM381" i="50"/>
  <c r="AM367" i="51" s="1"/>
  <c r="C386" i="50"/>
  <c r="C383" i="50"/>
  <c r="C388" i="50"/>
  <c r="AL391" i="50"/>
  <c r="AL377" i="51" s="1"/>
  <c r="AQ389" i="50"/>
  <c r="AQ375" i="51" s="1"/>
  <c r="AO389" i="50"/>
  <c r="AO375" i="51" s="1"/>
  <c r="D370" i="50"/>
  <c r="H369" i="50"/>
  <c r="J369" i="50"/>
  <c r="D369" i="50"/>
  <c r="F369" i="50"/>
  <c r="E370" i="50"/>
  <c r="G370" i="50" s="1"/>
  <c r="E369" i="50"/>
  <c r="F390" i="50"/>
  <c r="D390" i="50"/>
  <c r="I390" i="50"/>
  <c r="K390" i="50"/>
  <c r="E390" i="50"/>
  <c r="G390" i="50" s="1"/>
  <c r="H390" i="50"/>
  <c r="J390" i="50"/>
  <c r="E137" i="50"/>
  <c r="K137" i="50"/>
  <c r="H137" i="50"/>
  <c r="J137" i="50"/>
  <c r="D137" i="50"/>
  <c r="F137" i="50"/>
  <c r="G140" i="51"/>
  <c r="I140" i="51"/>
  <c r="I145" i="51"/>
  <c r="G145" i="51"/>
  <c r="G339" i="51"/>
  <c r="I344" i="51"/>
  <c r="I147" i="50"/>
  <c r="G147" i="50"/>
  <c r="G141" i="51"/>
  <c r="I141" i="51"/>
  <c r="G348" i="50"/>
  <c r="G345" i="50"/>
  <c r="F153" i="50"/>
  <c r="E153" i="50"/>
  <c r="K153" i="50"/>
  <c r="H153" i="50"/>
  <c r="J153" i="50"/>
  <c r="D153" i="50"/>
  <c r="D168" i="50"/>
  <c r="E168" i="50"/>
  <c r="K168" i="50"/>
  <c r="J168" i="50"/>
  <c r="H168" i="50"/>
  <c r="F168" i="50"/>
  <c r="E171" i="50"/>
  <c r="J171" i="50"/>
  <c r="H171" i="50"/>
  <c r="F171" i="50"/>
  <c r="D171" i="50"/>
  <c r="K171" i="50"/>
  <c r="I137" i="51"/>
  <c r="G144" i="51"/>
  <c r="I144" i="51"/>
  <c r="I133" i="51"/>
  <c r="G133" i="51"/>
  <c r="I333" i="51"/>
  <c r="I372" i="51"/>
  <c r="K372" i="51"/>
  <c r="E372" i="51"/>
  <c r="J372" i="51"/>
  <c r="H372" i="51"/>
  <c r="F372" i="51"/>
  <c r="D372" i="51"/>
  <c r="I377" i="51"/>
  <c r="K377" i="51"/>
  <c r="H377" i="51"/>
  <c r="F377" i="51"/>
  <c r="D377" i="51"/>
  <c r="E377" i="51"/>
  <c r="J377" i="51"/>
  <c r="F376" i="51"/>
  <c r="D376" i="51"/>
  <c r="I376" i="51"/>
  <c r="K376" i="51"/>
  <c r="E376" i="51"/>
  <c r="G376" i="51" s="1"/>
  <c r="J376" i="51"/>
  <c r="H376" i="51"/>
  <c r="F155" i="51"/>
  <c r="K155" i="51"/>
  <c r="E155" i="51"/>
  <c r="H155" i="51"/>
  <c r="J155" i="51"/>
  <c r="D155" i="51"/>
  <c r="H162" i="51"/>
  <c r="F162" i="51"/>
  <c r="D162" i="51"/>
  <c r="K162" i="51"/>
  <c r="J162" i="51"/>
  <c r="E162" i="51"/>
  <c r="J148" i="51"/>
  <c r="F148" i="51"/>
  <c r="K148" i="51"/>
  <c r="H148" i="51"/>
  <c r="E148" i="51"/>
  <c r="J163" i="51"/>
  <c r="D163" i="51"/>
  <c r="F163" i="51"/>
  <c r="K163" i="51"/>
  <c r="E163" i="51"/>
  <c r="H163" i="51"/>
  <c r="F159" i="51"/>
  <c r="K159" i="51"/>
  <c r="H159" i="51"/>
  <c r="E159" i="51"/>
  <c r="D159" i="51"/>
  <c r="J159" i="51"/>
  <c r="G131" i="50"/>
  <c r="I131" i="50"/>
  <c r="I134" i="50"/>
  <c r="G134" i="50"/>
  <c r="I128" i="51"/>
  <c r="G128" i="51"/>
  <c r="G136" i="51"/>
  <c r="I136" i="51"/>
  <c r="I134" i="51"/>
  <c r="G134" i="51"/>
  <c r="G352" i="51"/>
  <c r="I379" i="50"/>
  <c r="K379" i="50"/>
  <c r="E379" i="50"/>
  <c r="J379" i="50"/>
  <c r="H379" i="50"/>
  <c r="F379" i="50"/>
  <c r="D379" i="50"/>
  <c r="J375" i="50"/>
  <c r="H375" i="50"/>
  <c r="F375" i="50"/>
  <c r="D375" i="50"/>
  <c r="I375" i="50"/>
  <c r="K375" i="50"/>
  <c r="E375" i="50"/>
  <c r="G375" i="50" s="1"/>
  <c r="AS380" i="50"/>
  <c r="AO380" i="50"/>
  <c r="AK380" i="50"/>
  <c r="AG380" i="50"/>
  <c r="AC380" i="50"/>
  <c r="Y380" i="50"/>
  <c r="U380" i="50"/>
  <c r="AR380" i="50"/>
  <c r="AN380" i="50"/>
  <c r="AJ380" i="50"/>
  <c r="AF380" i="50"/>
  <c r="AB380" i="50"/>
  <c r="X380" i="50"/>
  <c r="T380" i="50"/>
  <c r="C380" i="50"/>
  <c r="AQ380" i="50"/>
  <c r="AM380" i="50"/>
  <c r="AI380" i="50"/>
  <c r="AE380" i="50"/>
  <c r="AA380" i="50"/>
  <c r="W380" i="50"/>
  <c r="S380" i="50"/>
  <c r="AP380" i="50"/>
  <c r="AL380" i="50"/>
  <c r="AH380" i="50"/>
  <c r="AD380" i="50"/>
  <c r="Z380" i="50"/>
  <c r="V380" i="50"/>
  <c r="R380" i="50"/>
  <c r="E373" i="50"/>
  <c r="F373" i="50"/>
  <c r="H373" i="50"/>
  <c r="D373" i="50"/>
  <c r="J373" i="50"/>
  <c r="G145" i="50"/>
  <c r="I145" i="50"/>
  <c r="I139" i="50"/>
  <c r="G139" i="50"/>
  <c r="I140" i="50"/>
  <c r="G140" i="50"/>
  <c r="H160" i="50"/>
  <c r="F160" i="50"/>
  <c r="D160" i="50"/>
  <c r="E160" i="50"/>
  <c r="K160" i="50"/>
  <c r="J160" i="50"/>
  <c r="D156" i="50"/>
  <c r="K156" i="50"/>
  <c r="E156" i="50"/>
  <c r="J156" i="50"/>
  <c r="H156" i="50"/>
  <c r="F156" i="50"/>
  <c r="F162" i="50"/>
  <c r="E162" i="50"/>
  <c r="H162" i="50"/>
  <c r="J162" i="50"/>
  <c r="K162" i="50"/>
  <c r="F167" i="50"/>
  <c r="E167" i="50"/>
  <c r="J167" i="50"/>
  <c r="H167" i="50"/>
  <c r="D167" i="50"/>
  <c r="K167" i="50"/>
  <c r="G137" i="51"/>
  <c r="I139" i="51"/>
  <c r="G139" i="51"/>
  <c r="V192" i="50"/>
  <c r="V186" i="51" s="1"/>
  <c r="V193" i="50"/>
  <c r="V187" i="51" s="1"/>
  <c r="C193" i="50"/>
  <c r="C177" i="50"/>
  <c r="C176" i="50"/>
  <c r="D191" i="50"/>
  <c r="C174" i="50"/>
  <c r="D178" i="50"/>
  <c r="C191" i="50"/>
  <c r="C181" i="50"/>
  <c r="M191" i="50"/>
  <c r="C175" i="50"/>
  <c r="C183" i="50"/>
  <c r="C182" i="50"/>
  <c r="C192" i="50"/>
  <c r="C173" i="50"/>
  <c r="D183" i="50"/>
  <c r="D173" i="50"/>
  <c r="W193" i="50"/>
  <c r="W187" i="51" s="1"/>
  <c r="W192" i="50"/>
  <c r="W186" i="51" s="1"/>
  <c r="X192" i="50"/>
  <c r="X186" i="51" s="1"/>
  <c r="X193" i="50"/>
  <c r="X187" i="51" s="1"/>
  <c r="C178" i="50"/>
  <c r="Y192" i="50"/>
  <c r="Y186" i="51" s="1"/>
  <c r="L178" i="50"/>
  <c r="Y193" i="50"/>
  <c r="Y187" i="51" s="1"/>
  <c r="Z192" i="50"/>
  <c r="Z186" i="51" s="1"/>
  <c r="Z193" i="50"/>
  <c r="Z187" i="51" s="1"/>
  <c r="AA193" i="50"/>
  <c r="AA187" i="51" s="1"/>
  <c r="AA192" i="50"/>
  <c r="AA186" i="51" s="1"/>
  <c r="AB193" i="50"/>
  <c r="AB187" i="51" s="1"/>
  <c r="AB192" i="50"/>
  <c r="AB186" i="51" s="1"/>
  <c r="AC192" i="50"/>
  <c r="AC186" i="51" s="1"/>
  <c r="AC193" i="50"/>
  <c r="AC187" i="51" s="1"/>
  <c r="AD192" i="50"/>
  <c r="AD186" i="51" s="1"/>
  <c r="AD193" i="50"/>
  <c r="AD187" i="51" s="1"/>
  <c r="AE193" i="50"/>
  <c r="AE187" i="51" s="1"/>
  <c r="AE192" i="50"/>
  <c r="AE186" i="51" s="1"/>
  <c r="I146" i="50"/>
  <c r="G146" i="50"/>
  <c r="C369" i="51"/>
  <c r="J375" i="51"/>
  <c r="D375" i="51"/>
  <c r="F375" i="51"/>
  <c r="H375" i="51"/>
  <c r="E375" i="51"/>
  <c r="H356" i="51"/>
  <c r="J356" i="51"/>
  <c r="D356" i="51"/>
  <c r="F356" i="51"/>
  <c r="E357" i="51"/>
  <c r="G357" i="51" s="1"/>
  <c r="D357" i="51"/>
  <c r="E356" i="51"/>
  <c r="K362" i="51"/>
  <c r="E362" i="51"/>
  <c r="J362" i="51"/>
  <c r="H362" i="51"/>
  <c r="F362" i="51"/>
  <c r="D362" i="51"/>
  <c r="I362" i="51"/>
  <c r="J358" i="51"/>
  <c r="H358" i="51"/>
  <c r="F358" i="51"/>
  <c r="D358" i="51"/>
  <c r="I358" i="51"/>
  <c r="E358" i="51"/>
  <c r="K358" i="51"/>
  <c r="C154" i="51"/>
  <c r="H149" i="51"/>
  <c r="F149" i="51"/>
  <c r="D149" i="51"/>
  <c r="K149" i="51"/>
  <c r="J149" i="51"/>
  <c r="E149" i="51"/>
  <c r="E166" i="51"/>
  <c r="J166" i="51"/>
  <c r="K166" i="51"/>
  <c r="D166" i="51"/>
  <c r="F166" i="51"/>
  <c r="H166" i="51"/>
  <c r="K151" i="51"/>
  <c r="D151" i="51"/>
  <c r="F151" i="51"/>
  <c r="J151" i="51"/>
  <c r="H151" i="51"/>
  <c r="E151" i="51"/>
  <c r="D167" i="51"/>
  <c r="H167" i="51"/>
  <c r="F167" i="51"/>
  <c r="K167" i="51"/>
  <c r="J167" i="51"/>
  <c r="E167" i="51"/>
  <c r="I149" i="50"/>
  <c r="G149" i="50"/>
  <c r="I146" i="51"/>
  <c r="G146" i="51"/>
  <c r="D346" i="51"/>
  <c r="J346" i="51"/>
  <c r="E346" i="51"/>
  <c r="F346" i="51"/>
  <c r="D347" i="51"/>
  <c r="H346" i="51"/>
  <c r="E347" i="51"/>
  <c r="G347" i="51" s="1"/>
  <c r="I143" i="50"/>
  <c r="G143" i="50"/>
  <c r="K352" i="51"/>
  <c r="G367" i="50"/>
  <c r="AL381" i="50"/>
  <c r="AL367" i="51" s="1"/>
  <c r="AQ381" i="50"/>
  <c r="AQ367" i="51" s="1"/>
  <c r="AN381" i="50"/>
  <c r="AN367" i="51" s="1"/>
  <c r="AS379" i="50"/>
  <c r="AS366" i="51" s="1"/>
  <c r="AH391" i="50"/>
  <c r="AH377" i="51" s="1"/>
  <c r="D378" i="50"/>
  <c r="I378" i="50"/>
  <c r="K378" i="50"/>
  <c r="E378" i="50"/>
  <c r="J378" i="50"/>
  <c r="F378" i="50"/>
  <c r="H378" i="50"/>
  <c r="H374" i="50"/>
  <c r="F374" i="50"/>
  <c r="D374" i="50"/>
  <c r="I374" i="50"/>
  <c r="K374" i="50"/>
  <c r="E374" i="50"/>
  <c r="G374" i="50" s="1"/>
  <c r="J374" i="50"/>
  <c r="D377" i="50"/>
  <c r="I377" i="50"/>
  <c r="K377" i="50"/>
  <c r="E377" i="50"/>
  <c r="J377" i="50"/>
  <c r="H377" i="50"/>
  <c r="F377" i="50"/>
  <c r="I372" i="50"/>
  <c r="K372" i="50"/>
  <c r="E372" i="50"/>
  <c r="J372" i="50"/>
  <c r="H372" i="50"/>
  <c r="F372" i="50"/>
  <c r="D372" i="50"/>
  <c r="G343" i="51"/>
  <c r="G342" i="51"/>
  <c r="K345" i="51"/>
  <c r="G326" i="51"/>
  <c r="I129" i="51"/>
  <c r="G129" i="51"/>
  <c r="I114" i="51"/>
  <c r="G114" i="51"/>
  <c r="I346" i="50"/>
  <c r="I358" i="50"/>
  <c r="J166" i="50"/>
  <c r="D166" i="50"/>
  <c r="F166" i="50"/>
  <c r="K166" i="50"/>
  <c r="E166" i="50"/>
  <c r="H166" i="50"/>
  <c r="E155" i="50"/>
  <c r="F155" i="50"/>
  <c r="H155" i="50"/>
  <c r="J155" i="50"/>
  <c r="D155" i="50"/>
  <c r="K155" i="50"/>
  <c r="G135" i="50"/>
  <c r="I135" i="50"/>
  <c r="I334" i="51"/>
  <c r="G348" i="51"/>
  <c r="C396" i="50"/>
  <c r="AH396" i="50" s="1"/>
  <c r="AH382" i="51" s="1"/>
  <c r="C397" i="50"/>
  <c r="AN397" i="50" s="1"/>
  <c r="AN383" i="51" s="1"/>
  <c r="C398" i="50"/>
  <c r="Y398" i="50" s="1"/>
  <c r="Y384" i="51" s="1"/>
  <c r="C399" i="50"/>
  <c r="AE399" i="50" s="1"/>
  <c r="AE385" i="51" s="1"/>
  <c r="C413" i="50"/>
  <c r="AO413" i="50" s="1"/>
  <c r="AO398" i="51" s="1"/>
  <c r="C400" i="50"/>
  <c r="AL400" i="50" s="1"/>
  <c r="AL386" i="51" s="1"/>
  <c r="C401" i="50"/>
  <c r="S401" i="50" s="1"/>
  <c r="S387" i="51" s="1"/>
  <c r="C402" i="50"/>
  <c r="AJ402" i="50" s="1"/>
  <c r="AJ388" i="51" s="1"/>
  <c r="C403" i="50"/>
  <c r="AF403" i="50" s="1"/>
  <c r="AF389" i="51" s="1"/>
  <c r="L393" i="50"/>
  <c r="C414" i="50"/>
  <c r="AB414" i="50" s="1"/>
  <c r="AB399" i="51" s="1"/>
  <c r="C415" i="50"/>
  <c r="Z415" i="50" s="1"/>
  <c r="Z400" i="51" s="1"/>
  <c r="M393" i="50"/>
  <c r="C393" i="50"/>
  <c r="AS393" i="50" s="1"/>
  <c r="AS379" i="51" s="1"/>
  <c r="C395" i="50"/>
  <c r="AK395" i="50" s="1"/>
  <c r="AK381" i="51" s="1"/>
  <c r="C405" i="50"/>
  <c r="C410" i="50" s="1"/>
  <c r="AM410" i="50" s="1"/>
  <c r="AM395" i="51" s="1"/>
  <c r="G117" i="50"/>
  <c r="I117" i="50"/>
  <c r="G136" i="50"/>
  <c r="I136" i="50"/>
  <c r="C8" i="44"/>
  <c r="B188" i="51"/>
  <c r="B194" i="50"/>
  <c r="F359" i="51"/>
  <c r="D359" i="51"/>
  <c r="I359" i="51"/>
  <c r="K359" i="51"/>
  <c r="E359" i="51"/>
  <c r="G359" i="51" s="1"/>
  <c r="H359" i="51"/>
  <c r="J359" i="51"/>
  <c r="I366" i="51"/>
  <c r="K366" i="51"/>
  <c r="E366" i="51"/>
  <c r="D366" i="51"/>
  <c r="J366" i="51"/>
  <c r="F366" i="51"/>
  <c r="H366" i="51"/>
  <c r="J365" i="51"/>
  <c r="H365" i="51"/>
  <c r="F365" i="51"/>
  <c r="I365" i="51"/>
  <c r="E365" i="51"/>
  <c r="D365" i="51"/>
  <c r="K365" i="51"/>
  <c r="K361" i="51"/>
  <c r="E361" i="51"/>
  <c r="H361" i="51"/>
  <c r="F361" i="51"/>
  <c r="D361" i="51"/>
  <c r="I361" i="51"/>
  <c r="J361" i="51"/>
  <c r="K158" i="51"/>
  <c r="J158" i="51"/>
  <c r="E158" i="51"/>
  <c r="F158" i="51"/>
  <c r="H158" i="51"/>
  <c r="K160" i="51"/>
  <c r="J160" i="51"/>
  <c r="H160" i="51"/>
  <c r="E160" i="51"/>
  <c r="F160" i="51"/>
  <c r="D160" i="51"/>
  <c r="E157" i="51"/>
  <c r="K157" i="51"/>
  <c r="J157" i="51"/>
  <c r="H157" i="51"/>
  <c r="D157" i="51"/>
  <c r="F157" i="51"/>
  <c r="J161" i="51"/>
  <c r="F161" i="51"/>
  <c r="E161" i="51"/>
  <c r="K161" i="51"/>
  <c r="H161" i="51"/>
  <c r="D161" i="51"/>
  <c r="G151" i="50"/>
  <c r="I151" i="50"/>
  <c r="G133" i="50"/>
  <c r="I133" i="50"/>
  <c r="G132" i="50"/>
  <c r="I132" i="50"/>
  <c r="G141" i="50"/>
  <c r="I141" i="50"/>
  <c r="I142" i="51"/>
  <c r="G142" i="51"/>
  <c r="G147" i="51"/>
  <c r="I147" i="51"/>
  <c r="F381" i="50"/>
  <c r="H381" i="50"/>
  <c r="E382" i="50"/>
  <c r="G382" i="50" s="1"/>
  <c r="D381" i="50"/>
  <c r="E381" i="50"/>
  <c r="G381" i="50" s="1"/>
  <c r="J381" i="50"/>
  <c r="D382" i="50"/>
  <c r="E371" i="50"/>
  <c r="J371" i="50"/>
  <c r="H371" i="50"/>
  <c r="F371" i="50"/>
  <c r="D371" i="50"/>
  <c r="I371" i="50"/>
  <c r="K371" i="50"/>
  <c r="I391" i="50"/>
  <c r="K391" i="50"/>
  <c r="E391" i="50"/>
  <c r="J391" i="50"/>
  <c r="H391" i="50"/>
  <c r="F391" i="50"/>
  <c r="D391" i="50"/>
  <c r="I376" i="50"/>
  <c r="K376" i="50"/>
  <c r="E376" i="50"/>
  <c r="J376" i="50"/>
  <c r="H376" i="50"/>
  <c r="F376" i="50"/>
  <c r="D376" i="50"/>
  <c r="H389" i="50"/>
  <c r="E389" i="50"/>
  <c r="F389" i="50"/>
  <c r="D389" i="50"/>
  <c r="J389" i="50"/>
  <c r="G131" i="51"/>
  <c r="I131" i="51"/>
  <c r="G116" i="50"/>
  <c r="I116" i="50"/>
  <c r="H157" i="50"/>
  <c r="J157" i="50"/>
  <c r="K157" i="50"/>
  <c r="F157" i="50"/>
  <c r="E157" i="50"/>
  <c r="J172" i="50"/>
  <c r="D172" i="50"/>
  <c r="F172" i="50"/>
  <c r="K172" i="50"/>
  <c r="H172" i="50"/>
  <c r="E172" i="50"/>
  <c r="K164" i="50"/>
  <c r="J164" i="50"/>
  <c r="H164" i="50"/>
  <c r="F164" i="50"/>
  <c r="E164" i="50"/>
  <c r="D164" i="50"/>
  <c r="K170" i="50"/>
  <c r="J170" i="50"/>
  <c r="E170" i="50"/>
  <c r="F170" i="50"/>
  <c r="H170" i="50"/>
  <c r="D161" i="50"/>
  <c r="K161" i="50"/>
  <c r="F161" i="50"/>
  <c r="E161" i="50"/>
  <c r="H161" i="50"/>
  <c r="J161" i="50"/>
  <c r="H152" i="50"/>
  <c r="K152" i="50"/>
  <c r="J152" i="50"/>
  <c r="F152" i="50"/>
  <c r="E152" i="50"/>
  <c r="K154" i="50"/>
  <c r="J154" i="50"/>
  <c r="H154" i="50"/>
  <c r="F154" i="50"/>
  <c r="D154" i="50"/>
  <c r="I150" i="50"/>
  <c r="G150" i="50"/>
  <c r="G130" i="51"/>
  <c r="I130" i="51"/>
  <c r="C187" i="51"/>
  <c r="C181" i="51"/>
  <c r="C184" i="51"/>
  <c r="D173" i="51"/>
  <c r="C179" i="51"/>
  <c r="C168" i="51"/>
  <c r="C172" i="51"/>
  <c r="C177" i="51"/>
  <c r="C185" i="51"/>
  <c r="C186" i="51"/>
  <c r="D178" i="51"/>
  <c r="C180" i="51"/>
  <c r="C171" i="51"/>
  <c r="M185" i="51"/>
  <c r="C182" i="51"/>
  <c r="C176" i="51"/>
  <c r="C170" i="51"/>
  <c r="C169" i="51"/>
  <c r="D185" i="51"/>
  <c r="C183" i="51"/>
  <c r="D168" i="51"/>
  <c r="C178" i="51"/>
  <c r="L173" i="51"/>
  <c r="C173" i="51"/>
  <c r="C174" i="51" s="1"/>
  <c r="C386" i="51"/>
  <c r="L379" i="51"/>
  <c r="C388" i="51"/>
  <c r="C381" i="51"/>
  <c r="C399" i="51"/>
  <c r="C383" i="51"/>
  <c r="C385" i="51"/>
  <c r="C379" i="51"/>
  <c r="C387" i="51"/>
  <c r="M379" i="51"/>
  <c r="C389" i="51"/>
  <c r="C382" i="51"/>
  <c r="C398" i="51"/>
  <c r="C384" i="51"/>
  <c r="C400" i="51"/>
  <c r="AP401" i="51"/>
  <c r="AR401" i="51"/>
  <c r="AN401" i="51"/>
  <c r="AM401" i="51"/>
  <c r="AQ401" i="51"/>
  <c r="AO401" i="51"/>
  <c r="C390" i="51"/>
  <c r="C397" i="51" s="1"/>
  <c r="AS401" i="51"/>
  <c r="C8" i="47"/>
  <c r="D8" i="47" s="1"/>
  <c r="B84" i="42"/>
  <c r="B95" i="42"/>
  <c r="C210" i="50" l="1"/>
  <c r="C206" i="50"/>
  <c r="C209" i="50"/>
  <c r="C208" i="50"/>
  <c r="C207" i="50"/>
  <c r="C205" i="50"/>
  <c r="AE178" i="51"/>
  <c r="AD178" i="51"/>
  <c r="AA178" i="51"/>
  <c r="Z178" i="51"/>
  <c r="Y178" i="51"/>
  <c r="X178" i="51"/>
  <c r="AC178" i="51"/>
  <c r="AB178" i="51"/>
  <c r="W178" i="51"/>
  <c r="V178" i="51"/>
  <c r="G363" i="50"/>
  <c r="K373" i="50"/>
  <c r="G154" i="50"/>
  <c r="AB180" i="51"/>
  <c r="AR440" i="50"/>
  <c r="F371" i="51"/>
  <c r="F374" i="51"/>
  <c r="G374" i="51" s="1"/>
  <c r="K374" i="51"/>
  <c r="G362" i="50"/>
  <c r="V400" i="50"/>
  <c r="V386" i="51" s="1"/>
  <c r="G359" i="50"/>
  <c r="G361" i="50"/>
  <c r="AM401" i="50"/>
  <c r="AM387" i="51" s="1"/>
  <c r="AF414" i="50"/>
  <c r="AF399" i="51" s="1"/>
  <c r="AA180" i="51"/>
  <c r="AP396" i="50"/>
  <c r="AP382" i="51" s="1"/>
  <c r="AI403" i="50"/>
  <c r="AI389" i="51" s="1"/>
  <c r="W180" i="51"/>
  <c r="H158" i="50"/>
  <c r="AE183" i="51"/>
  <c r="X183" i="51"/>
  <c r="AH400" i="50"/>
  <c r="AH386" i="51" s="1"/>
  <c r="AD183" i="51"/>
  <c r="Z183" i="51"/>
  <c r="W183" i="51"/>
  <c r="G364" i="50"/>
  <c r="AM393" i="50"/>
  <c r="AM379" i="51" s="1"/>
  <c r="AC183" i="51"/>
  <c r="Y183" i="51"/>
  <c r="AP397" i="50"/>
  <c r="AP383" i="51" s="1"/>
  <c r="AK400" i="50"/>
  <c r="AK386" i="51" s="1"/>
  <c r="AD400" i="50"/>
  <c r="AD386" i="51" s="1"/>
  <c r="AQ400" i="50"/>
  <c r="AQ386" i="51" s="1"/>
  <c r="AL397" i="50"/>
  <c r="AL383" i="51" s="1"/>
  <c r="AL393" i="50"/>
  <c r="AL379" i="51" s="1"/>
  <c r="AF400" i="50"/>
  <c r="AF386" i="51" s="1"/>
  <c r="Y400" i="50"/>
  <c r="Y386" i="51" s="1"/>
  <c r="AT397" i="50"/>
  <c r="AT383" i="51" s="1"/>
  <c r="AM396" i="50"/>
  <c r="AM382" i="51" s="1"/>
  <c r="AM413" i="50"/>
  <c r="AM398" i="51" s="1"/>
  <c r="K159" i="50"/>
  <c r="AS397" i="50"/>
  <c r="AS383" i="51" s="1"/>
  <c r="AO393" i="50"/>
  <c r="AO379" i="51" s="1"/>
  <c r="AG400" i="50"/>
  <c r="AG386" i="51" s="1"/>
  <c r="X400" i="50"/>
  <c r="X386" i="51" s="1"/>
  <c r="T400" i="50"/>
  <c r="T386" i="51" s="1"/>
  <c r="AN400" i="50"/>
  <c r="AN386" i="51" s="1"/>
  <c r="E373" i="51"/>
  <c r="H374" i="51"/>
  <c r="I374" i="51"/>
  <c r="AE396" i="50"/>
  <c r="AE382" i="51" s="1"/>
  <c r="AC403" i="50"/>
  <c r="AC389" i="51" s="1"/>
  <c r="Z403" i="50"/>
  <c r="Z389" i="51" s="1"/>
  <c r="J374" i="51"/>
  <c r="D374" i="51"/>
  <c r="Y395" i="50"/>
  <c r="Y381" i="51" s="1"/>
  <c r="V396" i="50"/>
  <c r="V382" i="51" s="1"/>
  <c r="AL414" i="50"/>
  <c r="AL399" i="51" s="1"/>
  <c r="AC180" i="51"/>
  <c r="Z180" i="51"/>
  <c r="X180" i="51"/>
  <c r="AD403" i="50"/>
  <c r="AD389" i="51" s="1"/>
  <c r="AL413" i="50"/>
  <c r="AL398" i="51" s="1"/>
  <c r="AJ396" i="50"/>
  <c r="AJ382" i="51" s="1"/>
  <c r="AL403" i="50"/>
  <c r="AL389" i="51" s="1"/>
  <c r="AT413" i="50"/>
  <c r="AT398" i="51" s="1"/>
  <c r="AA184" i="51"/>
  <c r="AQ403" i="50"/>
  <c r="AQ389" i="51" s="1"/>
  <c r="E385" i="50"/>
  <c r="T403" i="50"/>
  <c r="T389" i="51" s="1"/>
  <c r="AB396" i="50"/>
  <c r="AB382" i="51" s="1"/>
  <c r="AG403" i="50"/>
  <c r="AG389" i="51" s="1"/>
  <c r="AQ396" i="50"/>
  <c r="AQ382" i="51" s="1"/>
  <c r="S403" i="50"/>
  <c r="S389" i="51" s="1"/>
  <c r="W396" i="50"/>
  <c r="W382" i="51" s="1"/>
  <c r="AP403" i="50"/>
  <c r="AP389" i="51" s="1"/>
  <c r="AL396" i="50"/>
  <c r="AL382" i="51" s="1"/>
  <c r="AO403" i="50"/>
  <c r="AO389" i="51" s="1"/>
  <c r="AD396" i="50"/>
  <c r="AD382" i="51" s="1"/>
  <c r="AT396" i="50"/>
  <c r="AT382" i="51" s="1"/>
  <c r="S396" i="50"/>
  <c r="S382" i="51" s="1"/>
  <c r="F385" i="50"/>
  <c r="AA396" i="50"/>
  <c r="AA382" i="51" s="1"/>
  <c r="W402" i="50"/>
  <c r="W388" i="51" s="1"/>
  <c r="AP413" i="50"/>
  <c r="AP398" i="51" s="1"/>
  <c r="T396" i="50"/>
  <c r="T382" i="51" s="1"/>
  <c r="AJ399" i="50"/>
  <c r="AJ385" i="51" s="1"/>
  <c r="X403" i="50"/>
  <c r="X389" i="51" s="1"/>
  <c r="AI396" i="50"/>
  <c r="AI382" i="51" s="1"/>
  <c r="AR403" i="50"/>
  <c r="AR389" i="51" s="1"/>
  <c r="F159" i="50"/>
  <c r="E158" i="50"/>
  <c r="K373" i="51"/>
  <c r="D159" i="50"/>
  <c r="E159" i="50"/>
  <c r="I159" i="50" s="1"/>
  <c r="AG402" i="50"/>
  <c r="AG388" i="51" s="1"/>
  <c r="T402" i="50"/>
  <c r="T388" i="51" s="1"/>
  <c r="K158" i="50"/>
  <c r="D373" i="51"/>
  <c r="J159" i="50"/>
  <c r="AD182" i="51"/>
  <c r="AC182" i="51"/>
  <c r="Z182" i="51"/>
  <c r="W182" i="51"/>
  <c r="AR397" i="50"/>
  <c r="AR383" i="51" s="1"/>
  <c r="AM397" i="50"/>
  <c r="AM383" i="51" s="1"/>
  <c r="AC395" i="50"/>
  <c r="AC381" i="51" s="1"/>
  <c r="Z400" i="50"/>
  <c r="Z386" i="51" s="1"/>
  <c r="V395" i="50"/>
  <c r="V381" i="51" s="1"/>
  <c r="AT400" i="50"/>
  <c r="AT386" i="51" s="1"/>
  <c r="S400" i="50"/>
  <c r="S386" i="51" s="1"/>
  <c r="E371" i="51"/>
  <c r="F373" i="51"/>
  <c r="AE180" i="51"/>
  <c r="AD180" i="51"/>
  <c r="AB183" i="51"/>
  <c r="AA183" i="51"/>
  <c r="Y180" i="51"/>
  <c r="X182" i="51"/>
  <c r="G350" i="51"/>
  <c r="I154" i="50"/>
  <c r="K385" i="50"/>
  <c r="AR402" i="50"/>
  <c r="AR388" i="51" s="1"/>
  <c r="V415" i="50"/>
  <c r="V400" i="51" s="1"/>
  <c r="AJ385" i="50"/>
  <c r="AJ371" i="51" s="1"/>
  <c r="AF385" i="50"/>
  <c r="AF371" i="51" s="1"/>
  <c r="AB184" i="51"/>
  <c r="Y184" i="51"/>
  <c r="W184" i="51"/>
  <c r="AU440" i="50"/>
  <c r="H385" i="50"/>
  <c r="I385" i="50"/>
  <c r="AP414" i="50"/>
  <c r="AP399" i="51" s="1"/>
  <c r="AI398" i="50"/>
  <c r="AI384" i="51" s="1"/>
  <c r="AF415" i="50"/>
  <c r="AF400" i="51" s="1"/>
  <c r="AC398" i="50"/>
  <c r="AC384" i="51" s="1"/>
  <c r="AN415" i="50"/>
  <c r="AN400" i="51" s="1"/>
  <c r="AB415" i="50"/>
  <c r="AB400" i="51" s="1"/>
  <c r="S385" i="50"/>
  <c r="S371" i="51" s="1"/>
  <c r="AS440" i="50"/>
  <c r="AP440" i="50"/>
  <c r="AE182" i="51"/>
  <c r="AA182" i="51"/>
  <c r="Z184" i="51"/>
  <c r="X184" i="51"/>
  <c r="V184" i="51"/>
  <c r="AM440" i="50"/>
  <c r="J385" i="50"/>
  <c r="D385" i="50"/>
  <c r="AC402" i="50"/>
  <c r="AC388" i="51" s="1"/>
  <c r="AB401" i="50"/>
  <c r="AB387" i="51" s="1"/>
  <c r="AI415" i="50"/>
  <c r="AI400" i="51" s="1"/>
  <c r="AO399" i="50"/>
  <c r="AO385" i="51" s="1"/>
  <c r="AF402" i="50"/>
  <c r="AF388" i="51" s="1"/>
  <c r="AI399" i="50"/>
  <c r="AI385" i="51" s="1"/>
  <c r="Z402" i="50"/>
  <c r="Z388" i="51" s="1"/>
  <c r="AN402" i="50"/>
  <c r="AN388" i="51" s="1"/>
  <c r="AO440" i="50"/>
  <c r="AQ440" i="50"/>
  <c r="AB385" i="50"/>
  <c r="AB371" i="51" s="1"/>
  <c r="AN440" i="50"/>
  <c r="AE184" i="51"/>
  <c r="AD184" i="51"/>
  <c r="AB182" i="51"/>
  <c r="Y182" i="51"/>
  <c r="AA202" i="51"/>
  <c r="W204" i="51"/>
  <c r="W203" i="51"/>
  <c r="W200" i="51"/>
  <c r="X200" i="51"/>
  <c r="X203" i="51"/>
  <c r="Y200" i="51"/>
  <c r="Y203" i="51"/>
  <c r="Z200" i="51"/>
  <c r="Z203" i="51"/>
  <c r="AA200" i="51"/>
  <c r="AA203" i="51"/>
  <c r="AA204" i="51"/>
  <c r="AB200" i="51"/>
  <c r="AB203" i="51"/>
  <c r="AC204" i="51"/>
  <c r="AC200" i="51"/>
  <c r="AC203" i="51"/>
  <c r="AD200" i="51"/>
  <c r="AD203" i="51"/>
  <c r="AE203" i="51"/>
  <c r="AE200" i="51"/>
  <c r="AE204" i="51"/>
  <c r="AF200" i="51"/>
  <c r="AF203" i="51"/>
  <c r="AF396" i="50"/>
  <c r="AF382" i="51" s="1"/>
  <c r="Z396" i="50"/>
  <c r="Z382" i="51" s="1"/>
  <c r="AN398" i="50"/>
  <c r="AN384" i="51" s="1"/>
  <c r="AC396" i="50"/>
  <c r="AC382" i="51" s="1"/>
  <c r="AM403" i="50"/>
  <c r="AM389" i="51" s="1"/>
  <c r="AI401" i="50"/>
  <c r="AI387" i="51" s="1"/>
  <c r="X395" i="50"/>
  <c r="X381" i="51" s="1"/>
  <c r="AR396" i="50"/>
  <c r="AR382" i="51" s="1"/>
  <c r="AS396" i="50"/>
  <c r="AS382" i="51" s="1"/>
  <c r="AJ398" i="50"/>
  <c r="AJ384" i="51" s="1"/>
  <c r="AH403" i="50"/>
  <c r="AH389" i="51" s="1"/>
  <c r="AS403" i="50"/>
  <c r="AS389" i="51" s="1"/>
  <c r="AR413" i="50"/>
  <c r="AR398" i="51" s="1"/>
  <c r="AN396" i="50"/>
  <c r="AN382" i="51" s="1"/>
  <c r="AO396" i="50"/>
  <c r="AO382" i="51" s="1"/>
  <c r="AD398" i="50"/>
  <c r="AD384" i="51" s="1"/>
  <c r="V403" i="50"/>
  <c r="V389" i="51" s="1"/>
  <c r="AB403" i="50"/>
  <c r="AB389" i="51" s="1"/>
  <c r="AN413" i="50"/>
  <c r="AN398" i="51" s="1"/>
  <c r="AK396" i="50"/>
  <c r="AK382" i="51" s="1"/>
  <c r="AJ401" i="50"/>
  <c r="AJ387" i="51" s="1"/>
  <c r="AT403" i="50"/>
  <c r="AT389" i="51" s="1"/>
  <c r="AN403" i="50"/>
  <c r="AN389" i="51" s="1"/>
  <c r="AS413" i="50"/>
  <c r="AS398" i="51" s="1"/>
  <c r="K360" i="51"/>
  <c r="AQ398" i="50"/>
  <c r="AQ384" i="51" s="1"/>
  <c r="AO401" i="50"/>
  <c r="AO387" i="51" s="1"/>
  <c r="U403" i="50"/>
  <c r="U389" i="51" s="1"/>
  <c r="AA403" i="50"/>
  <c r="AA389" i="51" s="1"/>
  <c r="AQ414" i="50"/>
  <c r="AQ399" i="51" s="1"/>
  <c r="Z395" i="50"/>
  <c r="Z381" i="51" s="1"/>
  <c r="W403" i="50"/>
  <c r="W389" i="51" s="1"/>
  <c r="X396" i="50"/>
  <c r="X382" i="51" s="1"/>
  <c r="Y396" i="50"/>
  <c r="Y382" i="51" s="1"/>
  <c r="AA401" i="50"/>
  <c r="AA387" i="51" s="1"/>
  <c r="V414" i="50"/>
  <c r="V399" i="51" s="1"/>
  <c r="AJ403" i="50"/>
  <c r="AJ389" i="51" s="1"/>
  <c r="AK403" i="50"/>
  <c r="AK389" i="51" s="1"/>
  <c r="W395" i="50"/>
  <c r="W381" i="51" s="1"/>
  <c r="U396" i="50"/>
  <c r="U382" i="51" s="1"/>
  <c r="AG401" i="50"/>
  <c r="AG387" i="51" s="1"/>
  <c r="Y403" i="50"/>
  <c r="Y389" i="51" s="1"/>
  <c r="AQ413" i="50"/>
  <c r="AQ398" i="51" s="1"/>
  <c r="AG396" i="50"/>
  <c r="AG382" i="51" s="1"/>
  <c r="AE403" i="50"/>
  <c r="AE389" i="51" s="1"/>
  <c r="I360" i="51"/>
  <c r="G379" i="50"/>
  <c r="C179" i="50"/>
  <c r="K179" i="50" s="1"/>
  <c r="AE171" i="51"/>
  <c r="AA171" i="51"/>
  <c r="W171" i="51"/>
  <c r="AD171" i="51"/>
  <c r="Z171" i="51"/>
  <c r="V171" i="51"/>
  <c r="AC171" i="51"/>
  <c r="Y171" i="51"/>
  <c r="AB171" i="51"/>
  <c r="X171" i="51"/>
  <c r="AA148" i="51"/>
  <c r="W148" i="51"/>
  <c r="AA153" i="51"/>
  <c r="W153" i="51"/>
  <c r="AA395" i="50"/>
  <c r="AA381" i="51" s="1"/>
  <c r="V398" i="50"/>
  <c r="V384" i="51" s="1"/>
  <c r="AD395" i="50"/>
  <c r="AD381" i="51" s="1"/>
  <c r="AO398" i="50"/>
  <c r="AO384" i="51" s="1"/>
  <c r="S398" i="50"/>
  <c r="S384" i="51" s="1"/>
  <c r="U398" i="50"/>
  <c r="U384" i="51" s="1"/>
  <c r="AP395" i="50"/>
  <c r="AP381" i="51" s="1"/>
  <c r="AT401" i="50"/>
  <c r="AT387" i="51" s="1"/>
  <c r="AC401" i="50"/>
  <c r="AC387" i="51" s="1"/>
  <c r="AK398" i="50"/>
  <c r="AK384" i="51" s="1"/>
  <c r="X414" i="50"/>
  <c r="X399" i="51" s="1"/>
  <c r="AN395" i="50"/>
  <c r="AN381" i="51" s="1"/>
  <c r="AO395" i="50"/>
  <c r="AO381" i="51" s="1"/>
  <c r="AE401" i="50"/>
  <c r="AE387" i="51" s="1"/>
  <c r="AK401" i="50"/>
  <c r="AK387" i="51" s="1"/>
  <c r="AE398" i="50"/>
  <c r="AE384" i="51" s="1"/>
  <c r="AF398" i="50"/>
  <c r="AF384" i="51" s="1"/>
  <c r="Y414" i="50"/>
  <c r="Y399" i="51" s="1"/>
  <c r="AN414" i="50"/>
  <c r="AN399" i="51" s="1"/>
  <c r="AL395" i="50"/>
  <c r="AL381" i="51" s="1"/>
  <c r="X401" i="50"/>
  <c r="X387" i="51" s="1"/>
  <c r="AO414" i="50"/>
  <c r="AO399" i="51" s="1"/>
  <c r="AP385" i="50"/>
  <c r="AP371" i="51" s="1"/>
  <c r="AC170" i="51"/>
  <c r="Y170" i="51"/>
  <c r="AB170" i="51"/>
  <c r="X170" i="51"/>
  <c r="AE170" i="51"/>
  <c r="AA170" i="51"/>
  <c r="W170" i="51"/>
  <c r="Z170" i="51"/>
  <c r="AD170" i="51"/>
  <c r="V170" i="51"/>
  <c r="AC172" i="51"/>
  <c r="Y172" i="51"/>
  <c r="AB172" i="51"/>
  <c r="X172" i="51"/>
  <c r="AE172" i="51"/>
  <c r="AA172" i="51"/>
  <c r="W172" i="51"/>
  <c r="AD172" i="51"/>
  <c r="Z172" i="51"/>
  <c r="V172" i="51"/>
  <c r="W385" i="50"/>
  <c r="W371" i="51" s="1"/>
  <c r="AK385" i="50"/>
  <c r="AK371" i="51" s="1"/>
  <c r="AL385" i="50"/>
  <c r="AL371" i="51" s="1"/>
  <c r="AD154" i="51"/>
  <c r="Z154" i="51"/>
  <c r="V154" i="51"/>
  <c r="AC154" i="51"/>
  <c r="Y154" i="51"/>
  <c r="U154" i="51"/>
  <c r="AB154" i="51"/>
  <c r="X154" i="51"/>
  <c r="AA154" i="51"/>
  <c r="W154" i="51"/>
  <c r="AD148" i="51"/>
  <c r="Z148" i="51"/>
  <c r="V148" i="51"/>
  <c r="AD153" i="51"/>
  <c r="Z153" i="51"/>
  <c r="V153" i="51"/>
  <c r="AO397" i="50"/>
  <c r="AO383" i="51" s="1"/>
  <c r="AP393" i="50"/>
  <c r="AP379" i="51" s="1"/>
  <c r="AN393" i="50"/>
  <c r="AN379" i="51" s="1"/>
  <c r="AQ397" i="50"/>
  <c r="AQ383" i="51" s="1"/>
  <c r="AB395" i="50"/>
  <c r="AB381" i="51" s="1"/>
  <c r="AE400" i="50"/>
  <c r="AE386" i="51" s="1"/>
  <c r="W398" i="50"/>
  <c r="W384" i="51" s="1"/>
  <c r="AD401" i="50"/>
  <c r="AD387" i="51" s="1"/>
  <c r="AK414" i="50"/>
  <c r="AK399" i="51" s="1"/>
  <c r="AE395" i="50"/>
  <c r="AE381" i="51" s="1"/>
  <c r="AA400" i="50"/>
  <c r="AA386" i="51" s="1"/>
  <c r="T398" i="50"/>
  <c r="T384" i="51" s="1"/>
  <c r="AM400" i="50"/>
  <c r="AM386" i="51" s="1"/>
  <c r="AI414" i="50"/>
  <c r="AI399" i="51" s="1"/>
  <c r="AQ395" i="50"/>
  <c r="AQ381" i="51" s="1"/>
  <c r="AR395" i="50"/>
  <c r="AR381" i="51" s="1"/>
  <c r="AS400" i="50"/>
  <c r="AS386" i="51" s="1"/>
  <c r="AB400" i="50"/>
  <c r="AB386" i="51" s="1"/>
  <c r="AR401" i="50"/>
  <c r="AR387" i="51" s="1"/>
  <c r="AL398" i="50"/>
  <c r="AL384" i="51" s="1"/>
  <c r="AM398" i="50"/>
  <c r="AM384" i="51" s="1"/>
  <c r="AS414" i="50"/>
  <c r="AS399" i="51" s="1"/>
  <c r="W414" i="50"/>
  <c r="W399" i="51" s="1"/>
  <c r="AT393" i="50"/>
  <c r="AT379" i="51" s="1"/>
  <c r="S395" i="50"/>
  <c r="S381" i="51" s="1"/>
  <c r="W400" i="50"/>
  <c r="W386" i="51" s="1"/>
  <c r="AO400" i="50"/>
  <c r="AO386" i="51" s="1"/>
  <c r="T401" i="50"/>
  <c r="T387" i="51" s="1"/>
  <c r="AQ401" i="50"/>
  <c r="AQ387" i="51" s="1"/>
  <c r="Z398" i="50"/>
  <c r="Z384" i="51" s="1"/>
  <c r="AA398" i="50"/>
  <c r="AA384" i="51" s="1"/>
  <c r="AG414" i="50"/>
  <c r="AG399" i="51" s="1"/>
  <c r="AM414" i="50"/>
  <c r="AM399" i="51" s="1"/>
  <c r="AG395" i="50"/>
  <c r="AG381" i="51" s="1"/>
  <c r="AJ400" i="50"/>
  <c r="AJ386" i="51" s="1"/>
  <c r="Z401" i="50"/>
  <c r="Z387" i="51" s="1"/>
  <c r="AP398" i="50"/>
  <c r="AP384" i="51" s="1"/>
  <c r="U414" i="50"/>
  <c r="U399" i="51" s="1"/>
  <c r="R385" i="50"/>
  <c r="R371" i="51" s="1"/>
  <c r="AE169" i="51"/>
  <c r="AA169" i="51"/>
  <c r="W169" i="51"/>
  <c r="AD169" i="51"/>
  <c r="Z169" i="51"/>
  <c r="V169" i="51"/>
  <c r="AC169" i="51"/>
  <c r="Y169" i="51"/>
  <c r="AB169" i="51"/>
  <c r="X169" i="51"/>
  <c r="D158" i="50"/>
  <c r="AE385" i="50"/>
  <c r="AE371" i="51" s="1"/>
  <c r="I369" i="50"/>
  <c r="AC385" i="50"/>
  <c r="AC371" i="51" s="1"/>
  <c r="AR385" i="50"/>
  <c r="AR371" i="51" s="1"/>
  <c r="H373" i="51"/>
  <c r="I373" i="51"/>
  <c r="Y148" i="51"/>
  <c r="U148" i="51"/>
  <c r="AC153" i="51"/>
  <c r="Y153" i="51"/>
  <c r="U153" i="51"/>
  <c r="AQ393" i="50"/>
  <c r="AQ379" i="51" s="1"/>
  <c r="AR393" i="50"/>
  <c r="AR379" i="51" s="1"/>
  <c r="AP401" i="50"/>
  <c r="AP387" i="51" s="1"/>
  <c r="AC414" i="50"/>
  <c r="AC399" i="51" s="1"/>
  <c r="AN401" i="50"/>
  <c r="AN387" i="51" s="1"/>
  <c r="AR414" i="50"/>
  <c r="AR399" i="51" s="1"/>
  <c r="AF395" i="50"/>
  <c r="AF381" i="51" s="1"/>
  <c r="AI400" i="50"/>
  <c r="AI386" i="51" s="1"/>
  <c r="AJ414" i="50"/>
  <c r="AJ399" i="51" s="1"/>
  <c r="Y401" i="50"/>
  <c r="Y387" i="51" s="1"/>
  <c r="AS395" i="50"/>
  <c r="AS381" i="51" s="1"/>
  <c r="AT395" i="50"/>
  <c r="AT381" i="51" s="1"/>
  <c r="AC400" i="50"/>
  <c r="AC386" i="51" s="1"/>
  <c r="AL401" i="50"/>
  <c r="AL387" i="51" s="1"/>
  <c r="AF401" i="50"/>
  <c r="AF387" i="51" s="1"/>
  <c r="AG398" i="50"/>
  <c r="AG384" i="51" s="1"/>
  <c r="AH398" i="50"/>
  <c r="AH384" i="51" s="1"/>
  <c r="AH414" i="50"/>
  <c r="AH399" i="51" s="1"/>
  <c r="AD414" i="50"/>
  <c r="AD399" i="51" s="1"/>
  <c r="T395" i="50"/>
  <c r="T381" i="51" s="1"/>
  <c r="U395" i="50"/>
  <c r="U381" i="51" s="1"/>
  <c r="AP400" i="50"/>
  <c r="AP386" i="51" s="1"/>
  <c r="AR400" i="50"/>
  <c r="AR386" i="51" s="1"/>
  <c r="AH401" i="50"/>
  <c r="AH387" i="51" s="1"/>
  <c r="AS401" i="50"/>
  <c r="AS387" i="51" s="1"/>
  <c r="AB398" i="50"/>
  <c r="AB384" i="51" s="1"/>
  <c r="AE414" i="50"/>
  <c r="AE399" i="51" s="1"/>
  <c r="AT414" i="50"/>
  <c r="AT399" i="51" s="1"/>
  <c r="AM395" i="50"/>
  <c r="AM381" i="51" s="1"/>
  <c r="U400" i="50"/>
  <c r="U386" i="51" s="1"/>
  <c r="V401" i="50"/>
  <c r="V387" i="51" s="1"/>
  <c r="AR398" i="50"/>
  <c r="AR384" i="51" s="1"/>
  <c r="AO385" i="50"/>
  <c r="AO371" i="51" s="1"/>
  <c r="X385" i="50"/>
  <c r="X371" i="51" s="1"/>
  <c r="AC177" i="51"/>
  <c r="Y177" i="51"/>
  <c r="AB177" i="51"/>
  <c r="X177" i="51"/>
  <c r="AE177" i="51"/>
  <c r="AA177" i="51"/>
  <c r="W177" i="51"/>
  <c r="Z177" i="51"/>
  <c r="V177" i="51"/>
  <c r="AD177" i="51"/>
  <c r="AE176" i="51"/>
  <c r="AA176" i="51"/>
  <c r="W176" i="51"/>
  <c r="AD176" i="51"/>
  <c r="Z176" i="51"/>
  <c r="V176" i="51"/>
  <c r="AC176" i="51"/>
  <c r="Y176" i="51"/>
  <c r="X176" i="51"/>
  <c r="AB176" i="51"/>
  <c r="J158" i="50"/>
  <c r="AH385" i="50"/>
  <c r="AH371" i="51" s="1"/>
  <c r="U385" i="50"/>
  <c r="U371" i="51" s="1"/>
  <c r="AB148" i="51"/>
  <c r="AB153" i="51"/>
  <c r="AB155" i="51"/>
  <c r="X155" i="51"/>
  <c r="AA155" i="51"/>
  <c r="W155" i="51"/>
  <c r="AD155" i="51"/>
  <c r="Z155" i="51"/>
  <c r="V155" i="51"/>
  <c r="AC155" i="51"/>
  <c r="Y155" i="51"/>
  <c r="U155" i="51"/>
  <c r="AC170" i="50"/>
  <c r="AC165" i="51" s="1"/>
  <c r="Y170" i="50"/>
  <c r="Y165" i="51" s="1"/>
  <c r="U170" i="50"/>
  <c r="U165" i="51" s="1"/>
  <c r="AB170" i="50"/>
  <c r="AB165" i="51" s="1"/>
  <c r="X170" i="50"/>
  <c r="X165" i="51" s="1"/>
  <c r="AA170" i="50"/>
  <c r="AA165" i="51" s="1"/>
  <c r="W170" i="50"/>
  <c r="W165" i="51" s="1"/>
  <c r="AD170" i="50"/>
  <c r="AD165" i="51" s="1"/>
  <c r="Z170" i="50"/>
  <c r="Z165" i="51" s="1"/>
  <c r="V170" i="50"/>
  <c r="V165" i="51" s="1"/>
  <c r="AT399" i="50"/>
  <c r="AT385" i="51" s="1"/>
  <c r="AG415" i="50"/>
  <c r="AG400" i="51" s="1"/>
  <c r="AP399" i="50"/>
  <c r="AP385" i="51" s="1"/>
  <c r="T415" i="50"/>
  <c r="T400" i="51" s="1"/>
  <c r="S399" i="50"/>
  <c r="S385" i="51" s="1"/>
  <c r="T399" i="50"/>
  <c r="T385" i="51" s="1"/>
  <c r="X415" i="50"/>
  <c r="X400" i="51" s="1"/>
  <c r="AJ415" i="50"/>
  <c r="AJ400" i="51" s="1"/>
  <c r="AM402" i="50"/>
  <c r="AM388" i="51" s="1"/>
  <c r="AK399" i="50"/>
  <c r="AK385" i="51" s="1"/>
  <c r="AL399" i="50"/>
  <c r="AL385" i="51" s="1"/>
  <c r="AC415" i="50"/>
  <c r="AC400" i="51" s="1"/>
  <c r="AM415" i="50"/>
  <c r="AM400" i="51" s="1"/>
  <c r="AT402" i="50"/>
  <c r="AT388" i="51" s="1"/>
  <c r="X402" i="50"/>
  <c r="X388" i="51" s="1"/>
  <c r="Z399" i="50"/>
  <c r="Z385" i="51" s="1"/>
  <c r="AA415" i="50"/>
  <c r="AA400" i="51" s="1"/>
  <c r="AB402" i="50"/>
  <c r="AB388" i="51" s="1"/>
  <c r="K371" i="51"/>
  <c r="H371" i="51"/>
  <c r="Y410" i="50"/>
  <c r="Y395" i="51" s="1"/>
  <c r="AR399" i="50"/>
  <c r="AR385" i="51" s="1"/>
  <c r="AP415" i="50"/>
  <c r="AP400" i="51" s="1"/>
  <c r="X399" i="50"/>
  <c r="X385" i="51" s="1"/>
  <c r="AR415" i="50"/>
  <c r="AR400" i="51" s="1"/>
  <c r="AO415" i="50"/>
  <c r="AO400" i="51" s="1"/>
  <c r="AQ399" i="50"/>
  <c r="AQ385" i="51" s="1"/>
  <c r="AI402" i="50"/>
  <c r="AI388" i="51" s="1"/>
  <c r="U399" i="50"/>
  <c r="U385" i="51" s="1"/>
  <c r="V399" i="50"/>
  <c r="V385" i="51" s="1"/>
  <c r="W415" i="50"/>
  <c r="W400" i="51" s="1"/>
  <c r="AD402" i="50"/>
  <c r="AD388" i="51" s="1"/>
  <c r="AO402" i="50"/>
  <c r="AO388" i="51" s="1"/>
  <c r="AM399" i="50"/>
  <c r="AM385" i="51" s="1"/>
  <c r="AK415" i="50"/>
  <c r="AK400" i="51" s="1"/>
  <c r="AT415" i="50"/>
  <c r="AT400" i="51" s="1"/>
  <c r="V402" i="50"/>
  <c r="V388" i="51" s="1"/>
  <c r="AE402" i="50"/>
  <c r="AE388" i="51" s="1"/>
  <c r="AF399" i="50"/>
  <c r="AF385" i="51" s="1"/>
  <c r="AS415" i="50"/>
  <c r="AS400" i="51" s="1"/>
  <c r="AQ402" i="50"/>
  <c r="AQ388" i="51" s="1"/>
  <c r="I371" i="51"/>
  <c r="J371" i="51"/>
  <c r="AS399" i="50"/>
  <c r="AS385" i="51" s="1"/>
  <c r="AH402" i="50"/>
  <c r="AH388" i="51" s="1"/>
  <c r="AA402" i="50"/>
  <c r="AA388" i="51" s="1"/>
  <c r="Y399" i="50"/>
  <c r="Y385" i="51" s="1"/>
  <c r="AQ415" i="50"/>
  <c r="AQ400" i="51" s="1"/>
  <c r="Y402" i="50"/>
  <c r="Y388" i="51" s="1"/>
  <c r="W399" i="50"/>
  <c r="W385" i="51" s="1"/>
  <c r="AN399" i="50"/>
  <c r="AN385" i="51" s="1"/>
  <c r="U415" i="50"/>
  <c r="U400" i="51" s="1"/>
  <c r="AD415" i="50"/>
  <c r="AD400" i="51" s="1"/>
  <c r="S402" i="50"/>
  <c r="S388" i="51" s="1"/>
  <c r="AS402" i="50"/>
  <c r="AS388" i="51" s="1"/>
  <c r="AG399" i="50"/>
  <c r="AG385" i="51" s="1"/>
  <c r="AH399" i="50"/>
  <c r="AH385" i="51" s="1"/>
  <c r="AL415" i="50"/>
  <c r="AL400" i="51" s="1"/>
  <c r="AH415" i="50"/>
  <c r="AH400" i="51" s="1"/>
  <c r="U402" i="50"/>
  <c r="U388" i="51" s="1"/>
  <c r="AA399" i="50"/>
  <c r="AA385" i="51" s="1"/>
  <c r="Y415" i="50"/>
  <c r="Y400" i="51" s="1"/>
  <c r="AL402" i="50"/>
  <c r="AL388" i="51" s="1"/>
  <c r="I357" i="51"/>
  <c r="I373" i="50"/>
  <c r="I370" i="50"/>
  <c r="C396" i="51"/>
  <c r="I396" i="51" s="1"/>
  <c r="AF410" i="50"/>
  <c r="AF395" i="51" s="1"/>
  <c r="AR410" i="50"/>
  <c r="AR395" i="51" s="1"/>
  <c r="K381" i="50"/>
  <c r="AE410" i="50"/>
  <c r="AE395" i="51" s="1"/>
  <c r="I368" i="51"/>
  <c r="I367" i="51"/>
  <c r="AJ410" i="50"/>
  <c r="AJ395" i="51" s="1"/>
  <c r="K368" i="51"/>
  <c r="K389" i="50"/>
  <c r="I381" i="50"/>
  <c r="AC410" i="50"/>
  <c r="AC395" i="51" s="1"/>
  <c r="AM405" i="50"/>
  <c r="AM390" i="51" s="1"/>
  <c r="AR405" i="50"/>
  <c r="AR390" i="51" s="1"/>
  <c r="S410" i="50"/>
  <c r="S395" i="51" s="1"/>
  <c r="AG410" i="50"/>
  <c r="AG395" i="51" s="1"/>
  <c r="AN410" i="50"/>
  <c r="AN395" i="51" s="1"/>
  <c r="AN405" i="50"/>
  <c r="AN390" i="51" s="1"/>
  <c r="AO405" i="50"/>
  <c r="AO390" i="51" s="1"/>
  <c r="AH395" i="50"/>
  <c r="AH381" i="51" s="1"/>
  <c r="AI395" i="50"/>
  <c r="AI381" i="51" s="1"/>
  <c r="W401" i="50"/>
  <c r="W387" i="51" s="1"/>
  <c r="AS398" i="50"/>
  <c r="AS384" i="51" s="1"/>
  <c r="AT398" i="50"/>
  <c r="AT384" i="51" s="1"/>
  <c r="AB399" i="50"/>
  <c r="AB385" i="51" s="1"/>
  <c r="AC399" i="50"/>
  <c r="AC385" i="51" s="1"/>
  <c r="Z414" i="50"/>
  <c r="Z399" i="51" s="1"/>
  <c r="S415" i="50"/>
  <c r="S400" i="51" s="1"/>
  <c r="AE415" i="50"/>
  <c r="AE400" i="51" s="1"/>
  <c r="AK402" i="50"/>
  <c r="AK388" i="51" s="1"/>
  <c r="K357" i="51"/>
  <c r="K367" i="51"/>
  <c r="K382" i="50"/>
  <c r="W410" i="50"/>
  <c r="W395" i="51" s="1"/>
  <c r="AA410" i="50"/>
  <c r="AA395" i="51" s="1"/>
  <c r="AP410" i="50"/>
  <c r="AP395" i="51" s="1"/>
  <c r="AJ395" i="50"/>
  <c r="AJ381" i="51" s="1"/>
  <c r="U401" i="50"/>
  <c r="U387" i="51" s="1"/>
  <c r="X398" i="50"/>
  <c r="X384" i="51" s="1"/>
  <c r="AD399" i="50"/>
  <c r="AD385" i="51" s="1"/>
  <c r="AP402" i="50"/>
  <c r="AP388" i="51" s="1"/>
  <c r="AG385" i="50"/>
  <c r="AG371" i="51" s="1"/>
  <c r="AA385" i="50"/>
  <c r="AA371" i="51" s="1"/>
  <c r="AI385" i="50"/>
  <c r="AI371" i="51" s="1"/>
  <c r="Y385" i="50"/>
  <c r="Y371" i="51" s="1"/>
  <c r="Z385" i="50"/>
  <c r="Z371" i="51" s="1"/>
  <c r="AQ385" i="50"/>
  <c r="AQ371" i="51" s="1"/>
  <c r="AN385" i="50"/>
  <c r="AN371" i="51" s="1"/>
  <c r="V385" i="50"/>
  <c r="V371" i="51" s="1"/>
  <c r="AD385" i="50"/>
  <c r="AD371" i="51" s="1"/>
  <c r="T385" i="50"/>
  <c r="T371" i="51" s="1"/>
  <c r="AS385" i="50"/>
  <c r="AS371" i="51" s="1"/>
  <c r="C395" i="51"/>
  <c r="J395" i="51" s="1"/>
  <c r="C392" i="51"/>
  <c r="K392" i="51" s="1"/>
  <c r="G363" i="51"/>
  <c r="X153" i="51"/>
  <c r="G375" i="51"/>
  <c r="I346" i="51"/>
  <c r="K346" i="51"/>
  <c r="K347" i="51"/>
  <c r="I347" i="51"/>
  <c r="G369" i="50"/>
  <c r="G378" i="50"/>
  <c r="G346" i="51"/>
  <c r="G373" i="50"/>
  <c r="G377" i="50"/>
  <c r="G362" i="51"/>
  <c r="G356" i="51"/>
  <c r="G372" i="51"/>
  <c r="C175" i="51"/>
  <c r="F175" i="51" s="1"/>
  <c r="B425" i="51"/>
  <c r="B441" i="50"/>
  <c r="J397" i="51"/>
  <c r="H397" i="51"/>
  <c r="F397" i="51"/>
  <c r="D397" i="51"/>
  <c r="I397" i="51"/>
  <c r="K397" i="51"/>
  <c r="E397" i="51"/>
  <c r="G397" i="51" s="1"/>
  <c r="I382" i="51"/>
  <c r="K382" i="51"/>
  <c r="E382" i="51"/>
  <c r="F382" i="51"/>
  <c r="H382" i="51"/>
  <c r="J382" i="51"/>
  <c r="D382" i="51"/>
  <c r="E379" i="51"/>
  <c r="J379" i="51"/>
  <c r="D379" i="51"/>
  <c r="F379" i="51"/>
  <c r="E380" i="51"/>
  <c r="G380" i="51" s="1"/>
  <c r="D380" i="51"/>
  <c r="H379" i="51"/>
  <c r="I381" i="51"/>
  <c r="K381" i="51"/>
  <c r="E381" i="51"/>
  <c r="J381" i="51"/>
  <c r="H381" i="51"/>
  <c r="F381" i="51"/>
  <c r="D381" i="51"/>
  <c r="D174" i="51"/>
  <c r="K174" i="51"/>
  <c r="E174" i="51"/>
  <c r="J174" i="51"/>
  <c r="H174" i="51"/>
  <c r="F174" i="51"/>
  <c r="K178" i="51"/>
  <c r="J178" i="51"/>
  <c r="E178" i="51"/>
  <c r="H178" i="51"/>
  <c r="F178" i="51"/>
  <c r="E169" i="51"/>
  <c r="J169" i="51"/>
  <c r="D169" i="51"/>
  <c r="K169" i="51"/>
  <c r="F169" i="51"/>
  <c r="H169" i="51"/>
  <c r="K186" i="51"/>
  <c r="D186" i="51"/>
  <c r="E186" i="51"/>
  <c r="J186" i="51"/>
  <c r="F186" i="51"/>
  <c r="H186" i="51"/>
  <c r="K168" i="51"/>
  <c r="F168" i="51"/>
  <c r="J168" i="51"/>
  <c r="H168" i="51"/>
  <c r="E168" i="51"/>
  <c r="K181" i="51"/>
  <c r="E181" i="51"/>
  <c r="H181" i="51"/>
  <c r="D181" i="51"/>
  <c r="F181" i="51"/>
  <c r="J181" i="51"/>
  <c r="I161" i="50"/>
  <c r="G161" i="50"/>
  <c r="G157" i="50"/>
  <c r="I157" i="50"/>
  <c r="G376" i="50"/>
  <c r="G371" i="50"/>
  <c r="G160" i="51"/>
  <c r="I160" i="51"/>
  <c r="W196" i="51"/>
  <c r="W197" i="51"/>
  <c r="W194" i="51"/>
  <c r="W195" i="51"/>
  <c r="W192" i="51"/>
  <c r="W214" i="50"/>
  <c r="W207" i="51" s="1"/>
  <c r="W191" i="51"/>
  <c r="W213" i="50"/>
  <c r="W206" i="51" s="1"/>
  <c r="W190" i="51"/>
  <c r="W189" i="51"/>
  <c r="C214" i="50"/>
  <c r="C198" i="50"/>
  <c r="C202" i="50"/>
  <c r="M212" i="50"/>
  <c r="C195" i="50"/>
  <c r="D199" i="50"/>
  <c r="C212" i="50"/>
  <c r="C204" i="50"/>
  <c r="C203" i="50"/>
  <c r="C213" i="50"/>
  <c r="D194" i="50"/>
  <c r="C194" i="50"/>
  <c r="D204" i="50"/>
  <c r="C197" i="50"/>
  <c r="D212" i="50"/>
  <c r="C196" i="50"/>
  <c r="X214" i="50"/>
  <c r="X207" i="51" s="1"/>
  <c r="X189" i="51"/>
  <c r="X213" i="50"/>
  <c r="X206" i="51" s="1"/>
  <c r="X190" i="51"/>
  <c r="X197" i="51"/>
  <c r="X196" i="51"/>
  <c r="X195" i="51"/>
  <c r="X194" i="51"/>
  <c r="X191" i="51"/>
  <c r="X192" i="51"/>
  <c r="Y214" i="50"/>
  <c r="Y207" i="51" s="1"/>
  <c r="Y191" i="51"/>
  <c r="Y196" i="51"/>
  <c r="Y212" i="50"/>
  <c r="Y197" i="51"/>
  <c r="Y189" i="51"/>
  <c r="Y194" i="51"/>
  <c r="X212" i="50"/>
  <c r="W212" i="50"/>
  <c r="Y195" i="51"/>
  <c r="Y192" i="51"/>
  <c r="Y213" i="50"/>
  <c r="Y206" i="51" s="1"/>
  <c r="Y190" i="51"/>
  <c r="Z196" i="51"/>
  <c r="Z194" i="51"/>
  <c r="Z214" i="50"/>
  <c r="Z207" i="51" s="1"/>
  <c r="Z191" i="51"/>
  <c r="Z192" i="51"/>
  <c r="Z212" i="50"/>
  <c r="Z197" i="51"/>
  <c r="Z189" i="51"/>
  <c r="Z213" i="50"/>
  <c r="Z206" i="51" s="1"/>
  <c r="Z190" i="51"/>
  <c r="Z195" i="51"/>
  <c r="C199" i="50"/>
  <c r="C201" i="50" s="1"/>
  <c r="L199" i="50"/>
  <c r="AA194" i="51"/>
  <c r="AA214" i="50"/>
  <c r="AA207" i="51" s="1"/>
  <c r="AA191" i="51"/>
  <c r="AA192" i="51"/>
  <c r="AA212" i="50"/>
  <c r="AA197" i="51"/>
  <c r="AA189" i="51"/>
  <c r="AA213" i="50"/>
  <c r="AA206" i="51" s="1"/>
  <c r="AA190" i="51"/>
  <c r="AA195" i="51"/>
  <c r="AA196" i="51"/>
  <c r="AB195" i="51"/>
  <c r="AB192" i="51"/>
  <c r="AB213" i="50"/>
  <c r="AB206" i="51" s="1"/>
  <c r="AB190" i="51"/>
  <c r="AB214" i="50"/>
  <c r="AB207" i="51" s="1"/>
  <c r="AB191" i="51"/>
  <c r="AB196" i="51"/>
  <c r="AB212" i="50"/>
  <c r="AB197" i="51"/>
  <c r="AB189" i="51"/>
  <c r="AB194" i="51"/>
  <c r="AC195" i="51"/>
  <c r="AC192" i="51"/>
  <c r="AC213" i="50"/>
  <c r="AC206" i="51" s="1"/>
  <c r="AC190" i="51"/>
  <c r="AC214" i="50"/>
  <c r="AC207" i="51" s="1"/>
  <c r="AC191" i="51"/>
  <c r="AC196" i="51"/>
  <c r="AC212" i="50"/>
  <c r="AC197" i="51"/>
  <c r="AC189" i="51"/>
  <c r="AC194" i="51"/>
  <c r="AD194" i="51"/>
  <c r="AD192" i="51"/>
  <c r="AD212" i="50"/>
  <c r="AD197" i="51"/>
  <c r="AD189" i="51"/>
  <c r="AD213" i="50"/>
  <c r="AD206" i="51" s="1"/>
  <c r="AD190" i="51"/>
  <c r="AD195" i="51"/>
  <c r="AD196" i="51"/>
  <c r="AD214" i="50"/>
  <c r="AD207" i="51" s="1"/>
  <c r="AD191" i="51"/>
  <c r="AE194" i="51"/>
  <c r="AE214" i="50"/>
  <c r="AE207" i="51" s="1"/>
  <c r="AE191" i="51"/>
  <c r="AE192" i="51"/>
  <c r="AE212" i="50"/>
  <c r="AE197" i="51"/>
  <c r="AE189" i="51"/>
  <c r="AE213" i="50"/>
  <c r="AE206" i="51" s="1"/>
  <c r="AE190" i="51"/>
  <c r="AE195" i="51"/>
  <c r="AE196" i="51"/>
  <c r="AF195" i="51"/>
  <c r="AF213" i="50"/>
  <c r="AF206" i="51" s="1"/>
  <c r="AF190" i="51"/>
  <c r="AF214" i="50"/>
  <c r="AF207" i="51" s="1"/>
  <c r="AF191" i="51"/>
  <c r="AF196" i="51"/>
  <c r="AF192" i="51"/>
  <c r="AF212" i="50"/>
  <c r="AF197" i="51"/>
  <c r="AF189" i="51"/>
  <c r="AF194" i="51"/>
  <c r="I410" i="50"/>
  <c r="K410" i="50"/>
  <c r="J410" i="50"/>
  <c r="H410" i="50"/>
  <c r="E410" i="50"/>
  <c r="F410" i="50"/>
  <c r="D410" i="50"/>
  <c r="J405" i="50"/>
  <c r="D406" i="50"/>
  <c r="F405" i="50"/>
  <c r="H405" i="50"/>
  <c r="E406" i="50"/>
  <c r="G406" i="50" s="1"/>
  <c r="D405" i="50"/>
  <c r="E405" i="50"/>
  <c r="G405" i="50" s="1"/>
  <c r="D395" i="50"/>
  <c r="I395" i="50"/>
  <c r="K395" i="50"/>
  <c r="E395" i="50"/>
  <c r="J395" i="50"/>
  <c r="H395" i="50"/>
  <c r="F395" i="50"/>
  <c r="E414" i="50"/>
  <c r="J414" i="50"/>
  <c r="H414" i="50"/>
  <c r="F414" i="50"/>
  <c r="D414" i="50"/>
  <c r="I414" i="50"/>
  <c r="K414" i="50"/>
  <c r="H401" i="50"/>
  <c r="F401" i="50"/>
  <c r="D401" i="50"/>
  <c r="I401" i="50"/>
  <c r="K401" i="50"/>
  <c r="J401" i="50"/>
  <c r="E401" i="50"/>
  <c r="H398" i="50"/>
  <c r="F398" i="50"/>
  <c r="D398" i="50"/>
  <c r="I398" i="50"/>
  <c r="K398" i="50"/>
  <c r="E398" i="50"/>
  <c r="J398" i="50"/>
  <c r="I155" i="50"/>
  <c r="G155" i="50"/>
  <c r="G372" i="50"/>
  <c r="I375" i="51"/>
  <c r="H189" i="50"/>
  <c r="F189" i="50"/>
  <c r="D189" i="50"/>
  <c r="E189" i="50"/>
  <c r="K189" i="50"/>
  <c r="J189" i="50"/>
  <c r="E187" i="50"/>
  <c r="H187" i="50"/>
  <c r="J187" i="50"/>
  <c r="D187" i="50"/>
  <c r="F187" i="50"/>
  <c r="K187" i="50"/>
  <c r="D182" i="50"/>
  <c r="K182" i="50"/>
  <c r="E182" i="50"/>
  <c r="J182" i="50"/>
  <c r="H182" i="50"/>
  <c r="F182" i="50"/>
  <c r="J181" i="50"/>
  <c r="H181" i="50"/>
  <c r="F181" i="50"/>
  <c r="D181" i="50"/>
  <c r="E181" i="50"/>
  <c r="K181" i="50"/>
  <c r="F193" i="50"/>
  <c r="K193" i="50"/>
  <c r="E193" i="50"/>
  <c r="H193" i="50"/>
  <c r="J193" i="50"/>
  <c r="D193" i="50"/>
  <c r="J188" i="50"/>
  <c r="D188" i="50"/>
  <c r="F188" i="50"/>
  <c r="E188" i="50"/>
  <c r="K188" i="50"/>
  <c r="H188" i="50"/>
  <c r="I162" i="50"/>
  <c r="G162" i="50"/>
  <c r="I156" i="50"/>
  <c r="G156" i="50"/>
  <c r="I159" i="51"/>
  <c r="G159" i="51"/>
  <c r="I155" i="51"/>
  <c r="G155" i="51"/>
  <c r="G171" i="50"/>
  <c r="I171" i="50"/>
  <c r="G137" i="50"/>
  <c r="I137" i="50"/>
  <c r="K384" i="50"/>
  <c r="D384" i="50"/>
  <c r="H383" i="50"/>
  <c r="E384" i="50"/>
  <c r="G384" i="50" s="1"/>
  <c r="I383" i="50"/>
  <c r="D383" i="50"/>
  <c r="J383" i="50"/>
  <c r="E383" i="50"/>
  <c r="K383" i="50"/>
  <c r="F383" i="50"/>
  <c r="I384" i="50"/>
  <c r="X383" i="50"/>
  <c r="X369" i="51" s="1"/>
  <c r="S383" i="50"/>
  <c r="S369" i="51" s="1"/>
  <c r="AQ383" i="50"/>
  <c r="AQ369" i="51" s="1"/>
  <c r="AD383" i="50"/>
  <c r="AD369" i="51" s="1"/>
  <c r="AJ383" i="50"/>
  <c r="AJ369" i="51" s="1"/>
  <c r="AE383" i="50"/>
  <c r="AE369" i="51" s="1"/>
  <c r="R383" i="50"/>
  <c r="R369" i="51" s="1"/>
  <c r="V383" i="50"/>
  <c r="V369" i="51" s="1"/>
  <c r="AR383" i="50"/>
  <c r="AR369" i="51" s="1"/>
  <c r="AG383" i="50"/>
  <c r="AG369" i="51" s="1"/>
  <c r="AB383" i="50"/>
  <c r="AB369" i="51" s="1"/>
  <c r="AH383" i="50"/>
  <c r="AH369" i="51" s="1"/>
  <c r="AN383" i="50"/>
  <c r="AN369" i="51" s="1"/>
  <c r="AI383" i="50"/>
  <c r="AI369" i="51" s="1"/>
  <c r="AM383" i="50"/>
  <c r="AM369" i="51" s="1"/>
  <c r="Z383" i="50"/>
  <c r="Z369" i="51" s="1"/>
  <c r="W383" i="50"/>
  <c r="W369" i="51" s="1"/>
  <c r="U383" i="50"/>
  <c r="U369" i="51" s="1"/>
  <c r="AF383" i="50"/>
  <c r="AF369" i="51" s="1"/>
  <c r="AL383" i="50"/>
  <c r="AL369" i="51" s="1"/>
  <c r="Y383" i="50"/>
  <c r="Y369" i="51" s="1"/>
  <c r="AS383" i="50"/>
  <c r="AS369" i="51" s="1"/>
  <c r="AK383" i="50"/>
  <c r="AK369" i="51" s="1"/>
  <c r="AC383" i="50"/>
  <c r="AC369" i="51" s="1"/>
  <c r="AA383" i="50"/>
  <c r="AA369" i="51" s="1"/>
  <c r="AO383" i="50"/>
  <c r="AO369" i="51" s="1"/>
  <c r="T383" i="50"/>
  <c r="T369" i="51" s="1"/>
  <c r="AP383" i="50"/>
  <c r="AP369" i="51" s="1"/>
  <c r="G138" i="50"/>
  <c r="I138" i="50"/>
  <c r="I152" i="51"/>
  <c r="G152" i="51"/>
  <c r="G156" i="51"/>
  <c r="I156" i="51"/>
  <c r="I153" i="51"/>
  <c r="G153" i="51"/>
  <c r="DX46" i="47"/>
  <c r="CH39" i="47"/>
  <c r="DF43" i="47"/>
  <c r="ED47" i="47"/>
  <c r="R1" i="47"/>
  <c r="DR45" i="47"/>
  <c r="CZ42" i="47"/>
  <c r="DL44" i="47"/>
  <c r="CB38" i="47"/>
  <c r="CN40" i="47"/>
  <c r="CT41" i="47"/>
  <c r="C410" i="51"/>
  <c r="L402" i="51"/>
  <c r="C411" i="51"/>
  <c r="C421" i="51"/>
  <c r="C404" i="51"/>
  <c r="M402" i="51"/>
  <c r="C423" i="51"/>
  <c r="C406" i="51"/>
  <c r="C402" i="51"/>
  <c r="C412" i="51"/>
  <c r="C405" i="51"/>
  <c r="C422" i="51"/>
  <c r="C408" i="51"/>
  <c r="C407" i="51"/>
  <c r="C409" i="51"/>
  <c r="AU424" i="51"/>
  <c r="AM424" i="51"/>
  <c r="AQ424" i="51"/>
  <c r="AR424" i="51"/>
  <c r="AN424" i="51"/>
  <c r="AS424" i="51"/>
  <c r="AO424" i="51"/>
  <c r="C413" i="51"/>
  <c r="C418" i="51" s="1"/>
  <c r="AT424" i="51"/>
  <c r="AP424" i="51"/>
  <c r="I400" i="51"/>
  <c r="K400" i="51"/>
  <c r="E400" i="51"/>
  <c r="J400" i="51"/>
  <c r="F400" i="51"/>
  <c r="H400" i="51"/>
  <c r="D400" i="51"/>
  <c r="K389" i="51"/>
  <c r="E389" i="51"/>
  <c r="F389" i="51"/>
  <c r="D389" i="51"/>
  <c r="I389" i="51"/>
  <c r="H389" i="51"/>
  <c r="J389" i="51"/>
  <c r="I385" i="51"/>
  <c r="K385" i="51"/>
  <c r="E385" i="51"/>
  <c r="F385" i="51"/>
  <c r="H385" i="51"/>
  <c r="J385" i="51"/>
  <c r="D385" i="51"/>
  <c r="K388" i="51"/>
  <c r="E388" i="51"/>
  <c r="J388" i="51"/>
  <c r="F388" i="51"/>
  <c r="I388" i="51"/>
  <c r="H388" i="51"/>
  <c r="D388" i="51"/>
  <c r="J170" i="51"/>
  <c r="D170" i="51"/>
  <c r="F170" i="51"/>
  <c r="K170" i="51"/>
  <c r="E170" i="51"/>
  <c r="H170" i="51"/>
  <c r="K171" i="51"/>
  <c r="F171" i="51"/>
  <c r="H171" i="51"/>
  <c r="J171" i="51"/>
  <c r="E171" i="51"/>
  <c r="D171" i="51"/>
  <c r="K185" i="51"/>
  <c r="H185" i="51"/>
  <c r="F185" i="51"/>
  <c r="J185" i="51"/>
  <c r="E185" i="51"/>
  <c r="H179" i="51"/>
  <c r="J179" i="51"/>
  <c r="D179" i="51"/>
  <c r="K179" i="51"/>
  <c r="F179" i="51"/>
  <c r="E179" i="51"/>
  <c r="H187" i="51"/>
  <c r="F187" i="51"/>
  <c r="E187" i="51"/>
  <c r="J187" i="51"/>
  <c r="D187" i="51"/>
  <c r="K187" i="51"/>
  <c r="I152" i="50"/>
  <c r="G152" i="50"/>
  <c r="I161" i="51"/>
  <c r="G161" i="51"/>
  <c r="G157" i="51"/>
  <c r="I157" i="51"/>
  <c r="J393" i="50"/>
  <c r="D393" i="50"/>
  <c r="F393" i="50"/>
  <c r="E394" i="50"/>
  <c r="G394" i="50" s="1"/>
  <c r="E393" i="50"/>
  <c r="D394" i="50"/>
  <c r="H393" i="50"/>
  <c r="E400" i="50"/>
  <c r="J400" i="50"/>
  <c r="H400" i="50"/>
  <c r="F400" i="50"/>
  <c r="D400" i="50"/>
  <c r="I400" i="50"/>
  <c r="K400" i="50"/>
  <c r="AT404" i="50"/>
  <c r="AP404" i="50"/>
  <c r="AL404" i="50"/>
  <c r="AH404" i="50"/>
  <c r="AD404" i="50"/>
  <c r="Z404" i="50"/>
  <c r="V404" i="50"/>
  <c r="AS404" i="50"/>
  <c r="AO404" i="50"/>
  <c r="AK404" i="50"/>
  <c r="AG404" i="50"/>
  <c r="AC404" i="50"/>
  <c r="Y404" i="50"/>
  <c r="U404" i="50"/>
  <c r="AR404" i="50"/>
  <c r="AN404" i="50"/>
  <c r="AJ404" i="50"/>
  <c r="AF404" i="50"/>
  <c r="AB404" i="50"/>
  <c r="X404" i="50"/>
  <c r="T404" i="50"/>
  <c r="AQ404" i="50"/>
  <c r="AM404" i="50"/>
  <c r="AI404" i="50"/>
  <c r="AE404" i="50"/>
  <c r="AA404" i="50"/>
  <c r="W404" i="50"/>
  <c r="S404" i="50"/>
  <c r="C404" i="50"/>
  <c r="E397" i="50"/>
  <c r="F397" i="50"/>
  <c r="H397" i="50"/>
  <c r="D397" i="50"/>
  <c r="J397" i="50"/>
  <c r="G167" i="51"/>
  <c r="I167" i="51"/>
  <c r="H154" i="51"/>
  <c r="F154" i="51"/>
  <c r="D154" i="51"/>
  <c r="K154" i="51"/>
  <c r="E154" i="51"/>
  <c r="J154" i="51"/>
  <c r="H178" i="50"/>
  <c r="J178" i="50"/>
  <c r="K178" i="50"/>
  <c r="F178" i="50"/>
  <c r="E178" i="50"/>
  <c r="F183" i="50"/>
  <c r="E183" i="50"/>
  <c r="J183" i="50"/>
  <c r="H183" i="50"/>
  <c r="K183" i="50"/>
  <c r="K191" i="50"/>
  <c r="J191" i="50"/>
  <c r="E191" i="50"/>
  <c r="H191" i="50"/>
  <c r="F191" i="50"/>
  <c r="J176" i="50"/>
  <c r="H176" i="50"/>
  <c r="F176" i="50"/>
  <c r="D176" i="50"/>
  <c r="E176" i="50"/>
  <c r="K176" i="50"/>
  <c r="I160" i="50"/>
  <c r="G160" i="50"/>
  <c r="I163" i="51"/>
  <c r="G163" i="51"/>
  <c r="G168" i="50"/>
  <c r="I168" i="50"/>
  <c r="G153" i="50"/>
  <c r="I153" i="50"/>
  <c r="E386" i="50"/>
  <c r="J386" i="50"/>
  <c r="H386" i="50"/>
  <c r="F386" i="50"/>
  <c r="D386" i="50"/>
  <c r="I386" i="50"/>
  <c r="K386" i="50"/>
  <c r="U386" i="50"/>
  <c r="U372" i="51" s="1"/>
  <c r="AI386" i="50"/>
  <c r="AI372" i="51" s="1"/>
  <c r="AL386" i="50"/>
  <c r="AL372" i="51" s="1"/>
  <c r="S386" i="50"/>
  <c r="S372" i="51" s="1"/>
  <c r="V386" i="50"/>
  <c r="V372" i="51" s="1"/>
  <c r="AB386" i="50"/>
  <c r="AB372" i="51" s="1"/>
  <c r="W386" i="50"/>
  <c r="W372" i="51" s="1"/>
  <c r="AF386" i="50"/>
  <c r="AF372" i="51" s="1"/>
  <c r="AA386" i="50"/>
  <c r="AA372" i="51" s="1"/>
  <c r="Y386" i="50"/>
  <c r="Y372" i="51" s="1"/>
  <c r="T386" i="50"/>
  <c r="T372" i="51" s="1"/>
  <c r="AR386" i="50"/>
  <c r="AR372" i="51" s="1"/>
  <c r="AM386" i="50"/>
  <c r="AM372" i="51" s="1"/>
  <c r="AK386" i="50"/>
  <c r="AK372" i="51" s="1"/>
  <c r="AO386" i="50"/>
  <c r="AO372" i="51" s="1"/>
  <c r="AJ386" i="50"/>
  <c r="AJ372" i="51" s="1"/>
  <c r="AP386" i="50"/>
  <c r="AP372" i="51" s="1"/>
  <c r="R386" i="50"/>
  <c r="R372" i="51" s="1"/>
  <c r="Z386" i="50"/>
  <c r="Z372" i="51" s="1"/>
  <c r="AC386" i="50"/>
  <c r="AC372" i="51" s="1"/>
  <c r="AQ386" i="50"/>
  <c r="AQ372" i="51" s="1"/>
  <c r="AE386" i="50"/>
  <c r="AE372" i="51" s="1"/>
  <c r="AH386" i="50"/>
  <c r="AH372" i="51" s="1"/>
  <c r="AN386" i="50"/>
  <c r="AN372" i="51" s="1"/>
  <c r="AS386" i="50"/>
  <c r="AS372" i="51" s="1"/>
  <c r="X386" i="50"/>
  <c r="X372" i="51" s="1"/>
  <c r="AD386" i="50"/>
  <c r="AD372" i="51" s="1"/>
  <c r="AG386" i="50"/>
  <c r="AG372" i="51" s="1"/>
  <c r="G165" i="51"/>
  <c r="I165" i="51"/>
  <c r="B208" i="51"/>
  <c r="B215" i="50"/>
  <c r="E391" i="51"/>
  <c r="G391" i="51" s="1"/>
  <c r="D390" i="51"/>
  <c r="E390" i="51"/>
  <c r="J390" i="51"/>
  <c r="D391" i="51"/>
  <c r="F390" i="51"/>
  <c r="H390" i="51"/>
  <c r="D384" i="51"/>
  <c r="I384" i="51"/>
  <c r="J384" i="51"/>
  <c r="H384" i="51"/>
  <c r="F384" i="51"/>
  <c r="K384" i="51"/>
  <c r="E384" i="51"/>
  <c r="H383" i="51"/>
  <c r="D383" i="51"/>
  <c r="E383" i="51"/>
  <c r="J383" i="51"/>
  <c r="F383" i="51"/>
  <c r="E173" i="51"/>
  <c r="J173" i="51"/>
  <c r="F173" i="51"/>
  <c r="H173" i="51"/>
  <c r="K173" i="51"/>
  <c r="F183" i="51"/>
  <c r="K183" i="51"/>
  <c r="H183" i="51"/>
  <c r="E183" i="51"/>
  <c r="D183" i="51"/>
  <c r="J183" i="51"/>
  <c r="K176" i="51"/>
  <c r="H176" i="51"/>
  <c r="F176" i="51"/>
  <c r="J176" i="51"/>
  <c r="E176" i="51"/>
  <c r="D176" i="51"/>
  <c r="K180" i="51"/>
  <c r="H180" i="51"/>
  <c r="F180" i="51"/>
  <c r="J180" i="51"/>
  <c r="D180" i="51"/>
  <c r="E180" i="51"/>
  <c r="E177" i="51"/>
  <c r="J177" i="51"/>
  <c r="F177" i="51"/>
  <c r="H177" i="51"/>
  <c r="D177" i="51"/>
  <c r="K177" i="51"/>
  <c r="I170" i="50"/>
  <c r="G170" i="50"/>
  <c r="I164" i="50"/>
  <c r="G164" i="50"/>
  <c r="I389" i="50"/>
  <c r="G389" i="50"/>
  <c r="G158" i="51"/>
  <c r="I158" i="51"/>
  <c r="G361" i="51"/>
  <c r="G365" i="51"/>
  <c r="C207" i="51"/>
  <c r="D188" i="51"/>
  <c r="C197" i="51"/>
  <c r="C206" i="51"/>
  <c r="D205" i="51"/>
  <c r="C192" i="51"/>
  <c r="C190" i="51"/>
  <c r="C200" i="51"/>
  <c r="C201" i="51"/>
  <c r="C191" i="51"/>
  <c r="D198" i="51"/>
  <c r="M205" i="51"/>
  <c r="C205" i="51"/>
  <c r="D193" i="51"/>
  <c r="C188" i="51"/>
  <c r="C203" i="51"/>
  <c r="C199" i="51"/>
  <c r="C198" i="51"/>
  <c r="C204" i="51"/>
  <c r="C202" i="51"/>
  <c r="C196" i="51"/>
  <c r="C189" i="51"/>
  <c r="C193" i="51"/>
  <c r="C195" i="51" s="1"/>
  <c r="L193" i="51"/>
  <c r="Z410" i="50"/>
  <c r="Z395" i="51" s="1"/>
  <c r="X410" i="50"/>
  <c r="X395" i="51" s="1"/>
  <c r="AO410" i="50"/>
  <c r="AO395" i="51" s="1"/>
  <c r="AQ410" i="50"/>
  <c r="AQ395" i="51" s="1"/>
  <c r="V410" i="50"/>
  <c r="V395" i="51" s="1"/>
  <c r="AK410" i="50"/>
  <c r="AK395" i="51" s="1"/>
  <c r="AT410" i="50"/>
  <c r="AT395" i="51" s="1"/>
  <c r="C407" i="50"/>
  <c r="AL405" i="50"/>
  <c r="AL390" i="51" s="1"/>
  <c r="AT405" i="50"/>
  <c r="AT390" i="51" s="1"/>
  <c r="AS405" i="50"/>
  <c r="AS390" i="51" s="1"/>
  <c r="T414" i="50"/>
  <c r="T399" i="51" s="1"/>
  <c r="AA414" i="50"/>
  <c r="AA399" i="51" s="1"/>
  <c r="F403" i="50"/>
  <c r="D403" i="50"/>
  <c r="I403" i="50"/>
  <c r="K403" i="50"/>
  <c r="E403" i="50"/>
  <c r="G403" i="50" s="1"/>
  <c r="J403" i="50"/>
  <c r="H403" i="50"/>
  <c r="H413" i="50"/>
  <c r="J413" i="50"/>
  <c r="E413" i="50"/>
  <c r="D413" i="50"/>
  <c r="F413" i="50"/>
  <c r="J396" i="50"/>
  <c r="H396" i="50"/>
  <c r="F396" i="50"/>
  <c r="D396" i="50"/>
  <c r="I396" i="50"/>
  <c r="K396" i="50"/>
  <c r="E396" i="50"/>
  <c r="I166" i="50"/>
  <c r="G166" i="50"/>
  <c r="I166" i="51"/>
  <c r="G166" i="51"/>
  <c r="K356" i="51"/>
  <c r="K369" i="51"/>
  <c r="F369" i="51"/>
  <c r="I370" i="51"/>
  <c r="K370" i="51"/>
  <c r="D370" i="51"/>
  <c r="H369" i="51"/>
  <c r="E370" i="51"/>
  <c r="G370" i="51" s="1"/>
  <c r="I369" i="51"/>
  <c r="D369" i="51"/>
  <c r="J369" i="51"/>
  <c r="E369" i="51"/>
  <c r="J185" i="50"/>
  <c r="H185" i="50"/>
  <c r="F185" i="50"/>
  <c r="D185" i="50"/>
  <c r="E185" i="50"/>
  <c r="K185" i="50"/>
  <c r="E175" i="50"/>
  <c r="K175" i="50"/>
  <c r="H175" i="50"/>
  <c r="J175" i="50"/>
  <c r="D175" i="50"/>
  <c r="F175" i="50"/>
  <c r="I148" i="51"/>
  <c r="G148" i="51"/>
  <c r="K369" i="50"/>
  <c r="G150" i="51"/>
  <c r="I150" i="51"/>
  <c r="G364" i="51"/>
  <c r="AJ432" i="50"/>
  <c r="AJ416" i="51" s="1"/>
  <c r="T432" i="50"/>
  <c r="T416" i="51" s="1"/>
  <c r="AF430" i="50"/>
  <c r="AF414" i="51" s="1"/>
  <c r="AU432" i="50"/>
  <c r="AU416" i="51" s="1"/>
  <c r="AE432" i="50"/>
  <c r="AE416" i="51" s="1"/>
  <c r="AQ430" i="50"/>
  <c r="AQ414" i="51" s="1"/>
  <c r="AA430" i="50"/>
  <c r="AA414" i="51" s="1"/>
  <c r="AL432" i="50"/>
  <c r="AL416" i="51" s="1"/>
  <c r="V432" i="50"/>
  <c r="V416" i="51" s="1"/>
  <c r="AH430" i="50"/>
  <c r="AH414" i="51" s="1"/>
  <c r="AS432" i="50"/>
  <c r="AS416" i="51" s="1"/>
  <c r="AC432" i="50"/>
  <c r="AC416" i="51" s="1"/>
  <c r="AO430" i="50"/>
  <c r="AO414" i="51" s="1"/>
  <c r="Y430" i="50"/>
  <c r="Y414" i="51" s="1"/>
  <c r="AF432" i="50"/>
  <c r="AF416" i="51" s="1"/>
  <c r="AR430" i="50"/>
  <c r="AR414" i="51" s="1"/>
  <c r="AB430" i="50"/>
  <c r="AB414" i="51" s="1"/>
  <c r="AQ432" i="50"/>
  <c r="AQ416" i="51" s="1"/>
  <c r="AA432" i="50"/>
  <c r="AA416" i="51" s="1"/>
  <c r="AM430" i="50"/>
  <c r="AM414" i="51" s="1"/>
  <c r="W430" i="50"/>
  <c r="W414" i="51" s="1"/>
  <c r="AH432" i="50"/>
  <c r="AH416" i="51" s="1"/>
  <c r="AT430" i="50"/>
  <c r="AT414" i="51" s="1"/>
  <c r="AD430" i="50"/>
  <c r="AD414" i="51" s="1"/>
  <c r="AO432" i="50"/>
  <c r="AO416" i="51" s="1"/>
  <c r="Y432" i="50"/>
  <c r="Y416" i="51" s="1"/>
  <c r="AK430" i="50"/>
  <c r="AK414" i="51" s="1"/>
  <c r="U430" i="50"/>
  <c r="U414" i="51" s="1"/>
  <c r="AN432" i="50"/>
  <c r="AN416" i="51" s="1"/>
  <c r="AJ430" i="50"/>
  <c r="AJ414" i="51" s="1"/>
  <c r="AI432" i="50"/>
  <c r="AI416" i="51" s="1"/>
  <c r="AE430" i="50"/>
  <c r="AE414" i="51" s="1"/>
  <c r="Z432" i="50"/>
  <c r="Z416" i="51" s="1"/>
  <c r="V430" i="50"/>
  <c r="V414" i="51" s="1"/>
  <c r="AS430" i="50"/>
  <c r="AS414" i="51" s="1"/>
  <c r="M417" i="50"/>
  <c r="C420" i="50"/>
  <c r="AL420" i="50" s="1"/>
  <c r="AL405" i="51" s="1"/>
  <c r="C421" i="50"/>
  <c r="AT421" i="50" s="1"/>
  <c r="AT406" i="51" s="1"/>
  <c r="AB432" i="50"/>
  <c r="AB416" i="51" s="1"/>
  <c r="X430" i="50"/>
  <c r="X414" i="51" s="1"/>
  <c r="W432" i="50"/>
  <c r="W416" i="51" s="1"/>
  <c r="AT432" i="50"/>
  <c r="AT416" i="51" s="1"/>
  <c r="AP430" i="50"/>
  <c r="AP414" i="51" s="1"/>
  <c r="AK432" i="50"/>
  <c r="AK416" i="51" s="1"/>
  <c r="AG430" i="50"/>
  <c r="AG414" i="51" s="1"/>
  <c r="L417" i="50"/>
  <c r="C424" i="50"/>
  <c r="AD424" i="50" s="1"/>
  <c r="AD409" i="51" s="1"/>
  <c r="C425" i="50"/>
  <c r="AU425" i="50" s="1"/>
  <c r="AU410" i="51" s="1"/>
  <c r="X432" i="50"/>
  <c r="X416" i="51" s="1"/>
  <c r="T430" i="50"/>
  <c r="T414" i="51" s="1"/>
  <c r="AU430" i="50"/>
  <c r="AU414" i="51" s="1"/>
  <c r="AP432" i="50"/>
  <c r="AP416" i="51" s="1"/>
  <c r="AL430" i="50"/>
  <c r="AL414" i="51" s="1"/>
  <c r="AG432" i="50"/>
  <c r="AG416" i="51" s="1"/>
  <c r="AC430" i="50"/>
  <c r="AC414" i="51" s="1"/>
  <c r="C438" i="50"/>
  <c r="T438" i="50" s="1"/>
  <c r="T422" i="51" s="1"/>
  <c r="C439" i="50"/>
  <c r="Z439" i="50" s="1"/>
  <c r="Z423" i="51" s="1"/>
  <c r="C422" i="50"/>
  <c r="AF422" i="50" s="1"/>
  <c r="AF407" i="51" s="1"/>
  <c r="C423" i="50"/>
  <c r="AC423" i="50" s="1"/>
  <c r="AC408" i="51" s="1"/>
  <c r="AR432" i="50"/>
  <c r="AR416" i="51" s="1"/>
  <c r="AN430" i="50"/>
  <c r="AN414" i="51" s="1"/>
  <c r="AM432" i="50"/>
  <c r="AM416" i="51" s="1"/>
  <c r="AI430" i="50"/>
  <c r="AI414" i="51" s="1"/>
  <c r="AD432" i="50"/>
  <c r="AD416" i="51" s="1"/>
  <c r="Z430" i="50"/>
  <c r="Z414" i="51" s="1"/>
  <c r="U432" i="50"/>
  <c r="U416" i="51" s="1"/>
  <c r="C437" i="50"/>
  <c r="AP437" i="50" s="1"/>
  <c r="AP421" i="51" s="1"/>
  <c r="C417" i="50"/>
  <c r="AU417" i="50" s="1"/>
  <c r="AU402" i="51" s="1"/>
  <c r="C419" i="50"/>
  <c r="AH419" i="50" s="1"/>
  <c r="AH404" i="51" s="1"/>
  <c r="C426" i="50"/>
  <c r="AN426" i="50" s="1"/>
  <c r="AN411" i="51" s="1"/>
  <c r="C427" i="50"/>
  <c r="U427" i="50" s="1"/>
  <c r="U412" i="51" s="1"/>
  <c r="C429" i="50"/>
  <c r="AO429" i="50" s="1"/>
  <c r="AO413" i="51" s="1"/>
  <c r="C394" i="51"/>
  <c r="F398" i="51"/>
  <c r="H398" i="51"/>
  <c r="J398" i="51"/>
  <c r="D398" i="51"/>
  <c r="E398" i="51"/>
  <c r="G398" i="51" s="1"/>
  <c r="D387" i="51"/>
  <c r="I387" i="51"/>
  <c r="K387" i="51"/>
  <c r="E387" i="51"/>
  <c r="J387" i="51"/>
  <c r="F387" i="51"/>
  <c r="H387" i="51"/>
  <c r="F399" i="51"/>
  <c r="D399" i="51"/>
  <c r="E399" i="51"/>
  <c r="J399" i="51"/>
  <c r="H399" i="51"/>
  <c r="K399" i="51"/>
  <c r="I399" i="51"/>
  <c r="I386" i="51"/>
  <c r="K386" i="51"/>
  <c r="J386" i="51"/>
  <c r="H386" i="51"/>
  <c r="F386" i="51"/>
  <c r="D386" i="51"/>
  <c r="E386" i="51"/>
  <c r="E182" i="51"/>
  <c r="J182" i="51"/>
  <c r="D182" i="51"/>
  <c r="K182" i="51"/>
  <c r="H182" i="51"/>
  <c r="F182" i="51"/>
  <c r="K172" i="51"/>
  <c r="H172" i="51"/>
  <c r="D172" i="51"/>
  <c r="F172" i="51"/>
  <c r="E172" i="51"/>
  <c r="J172" i="51"/>
  <c r="K184" i="51"/>
  <c r="E184" i="51"/>
  <c r="D184" i="51"/>
  <c r="J184" i="51"/>
  <c r="H184" i="51"/>
  <c r="F184" i="51"/>
  <c r="G172" i="50"/>
  <c r="I172" i="50"/>
  <c r="G391" i="50"/>
  <c r="I382" i="50"/>
  <c r="G366" i="51"/>
  <c r="U410" i="50"/>
  <c r="U395" i="51" s="1"/>
  <c r="AS410" i="50"/>
  <c r="AS395" i="51" s="1"/>
  <c r="AB410" i="50"/>
  <c r="AB395" i="51" s="1"/>
  <c r="AD410" i="50"/>
  <c r="AD395" i="51" s="1"/>
  <c r="AI410" i="50"/>
  <c r="AI395" i="51" s="1"/>
  <c r="T410" i="50"/>
  <c r="T395" i="51" s="1"/>
  <c r="AL410" i="50"/>
  <c r="AL395" i="51" s="1"/>
  <c r="AH410" i="50"/>
  <c r="AH395" i="51" s="1"/>
  <c r="C412" i="50"/>
  <c r="C411" i="50"/>
  <c r="AP405" i="50"/>
  <c r="AP390" i="51" s="1"/>
  <c r="C409" i="50"/>
  <c r="AQ405" i="50"/>
  <c r="AQ390" i="51" s="1"/>
  <c r="S414" i="50"/>
  <c r="S399" i="51" s="1"/>
  <c r="H415" i="50"/>
  <c r="F415" i="50"/>
  <c r="D415" i="50"/>
  <c r="I415" i="50"/>
  <c r="K415" i="50"/>
  <c r="E415" i="50"/>
  <c r="J415" i="50"/>
  <c r="J402" i="50"/>
  <c r="H402" i="50"/>
  <c r="F402" i="50"/>
  <c r="D402" i="50"/>
  <c r="I402" i="50"/>
  <c r="K402" i="50"/>
  <c r="E402" i="50"/>
  <c r="K399" i="50"/>
  <c r="E399" i="50"/>
  <c r="J399" i="50"/>
  <c r="H399" i="50"/>
  <c r="F399" i="50"/>
  <c r="D399" i="50"/>
  <c r="I399" i="50"/>
  <c r="X148" i="51"/>
  <c r="G151" i="51"/>
  <c r="I151" i="51"/>
  <c r="I149" i="51"/>
  <c r="G149" i="51"/>
  <c r="G358" i="51"/>
  <c r="I356" i="51"/>
  <c r="K375" i="51"/>
  <c r="C180" i="50"/>
  <c r="H173" i="50"/>
  <c r="K173" i="50"/>
  <c r="J173" i="50"/>
  <c r="F173" i="50"/>
  <c r="E173" i="50"/>
  <c r="E192" i="50"/>
  <c r="J192" i="50"/>
  <c r="H192" i="50"/>
  <c r="F192" i="50"/>
  <c r="D192" i="50"/>
  <c r="K192" i="50"/>
  <c r="J174" i="50"/>
  <c r="D174" i="50"/>
  <c r="F174" i="50"/>
  <c r="K174" i="50"/>
  <c r="E174" i="50"/>
  <c r="H174" i="50"/>
  <c r="H177" i="50"/>
  <c r="F177" i="50"/>
  <c r="D177" i="50"/>
  <c r="K177" i="50"/>
  <c r="E177" i="50"/>
  <c r="J177" i="50"/>
  <c r="G167" i="50"/>
  <c r="I167" i="50"/>
  <c r="G162" i="51"/>
  <c r="I162" i="51"/>
  <c r="G377" i="51"/>
  <c r="K370" i="50"/>
  <c r="H388" i="50"/>
  <c r="F388" i="50"/>
  <c r="D388" i="50"/>
  <c r="I388" i="50"/>
  <c r="K388" i="50"/>
  <c r="E388" i="50"/>
  <c r="J388" i="50"/>
  <c r="R388" i="50"/>
  <c r="R374" i="51" s="1"/>
  <c r="X388" i="50"/>
  <c r="X374" i="51" s="1"/>
  <c r="AG388" i="50"/>
  <c r="AG374" i="51" s="1"/>
  <c r="AM388" i="50"/>
  <c r="AM374" i="51" s="1"/>
  <c r="AC388" i="50"/>
  <c r="AC374" i="51" s="1"/>
  <c r="AJ388" i="50"/>
  <c r="AJ374" i="51" s="1"/>
  <c r="AP388" i="50"/>
  <c r="AP374" i="51" s="1"/>
  <c r="AD388" i="50"/>
  <c r="AD374" i="51" s="1"/>
  <c r="V388" i="50"/>
  <c r="V374" i="51" s="1"/>
  <c r="AS388" i="50"/>
  <c r="AS374" i="51" s="1"/>
  <c r="U388" i="50"/>
  <c r="U374" i="51" s="1"/>
  <c r="AA388" i="50"/>
  <c r="AA374" i="51" s="1"/>
  <c r="AH388" i="50"/>
  <c r="AH374" i="51" s="1"/>
  <c r="AN388" i="50"/>
  <c r="AN374" i="51" s="1"/>
  <c r="AB388" i="50"/>
  <c r="AB374" i="51" s="1"/>
  <c r="AK388" i="50"/>
  <c r="AK374" i="51" s="1"/>
  <c r="AQ388" i="50"/>
  <c r="AQ374" i="51" s="1"/>
  <c r="S388" i="50"/>
  <c r="S374" i="51" s="1"/>
  <c r="Y388" i="50"/>
  <c r="Y374" i="51" s="1"/>
  <c r="AE388" i="50"/>
  <c r="AE374" i="51" s="1"/>
  <c r="AL388" i="50"/>
  <c r="AL374" i="51" s="1"/>
  <c r="T388" i="50"/>
  <c r="T374" i="51" s="1"/>
  <c r="Z388" i="50"/>
  <c r="Z374" i="51" s="1"/>
  <c r="AI388" i="50"/>
  <c r="AI374" i="51" s="1"/>
  <c r="AO388" i="50"/>
  <c r="AO374" i="51" s="1"/>
  <c r="AF388" i="50"/>
  <c r="AF374" i="51" s="1"/>
  <c r="W388" i="50"/>
  <c r="W374" i="51" s="1"/>
  <c r="AR388" i="50"/>
  <c r="AR374" i="51" s="1"/>
  <c r="D387" i="50"/>
  <c r="I387" i="50"/>
  <c r="K387" i="50"/>
  <c r="E387" i="50"/>
  <c r="J387" i="50"/>
  <c r="H387" i="50"/>
  <c r="F387" i="50"/>
  <c r="AL387" i="50"/>
  <c r="AL373" i="51" s="1"/>
  <c r="AG387" i="50"/>
  <c r="AG373" i="51" s="1"/>
  <c r="Y387" i="50"/>
  <c r="Y373" i="51" s="1"/>
  <c r="AR387" i="50"/>
  <c r="AR373" i="51" s="1"/>
  <c r="AJ387" i="50"/>
  <c r="AJ373" i="51" s="1"/>
  <c r="S387" i="50"/>
  <c r="S373" i="51" s="1"/>
  <c r="AA387" i="50"/>
  <c r="AA373" i="51" s="1"/>
  <c r="R387" i="50"/>
  <c r="R373" i="51" s="1"/>
  <c r="Z387" i="50"/>
  <c r="Z373" i="51" s="1"/>
  <c r="AS387" i="50"/>
  <c r="AS373" i="51" s="1"/>
  <c r="AK387" i="50"/>
  <c r="AK373" i="51" s="1"/>
  <c r="AF387" i="50"/>
  <c r="AF373" i="51" s="1"/>
  <c r="X387" i="50"/>
  <c r="X373" i="51" s="1"/>
  <c r="AM387" i="50"/>
  <c r="AM373" i="51" s="1"/>
  <c r="AP387" i="50"/>
  <c r="AP373" i="51" s="1"/>
  <c r="AH387" i="50"/>
  <c r="AH373" i="51" s="1"/>
  <c r="AC387" i="50"/>
  <c r="AC373" i="51" s="1"/>
  <c r="U387" i="50"/>
  <c r="U373" i="51" s="1"/>
  <c r="AN387" i="50"/>
  <c r="AN373" i="51" s="1"/>
  <c r="W387" i="50"/>
  <c r="W373" i="51" s="1"/>
  <c r="AE387" i="50"/>
  <c r="AE373" i="51" s="1"/>
  <c r="AD387" i="50"/>
  <c r="AD373" i="51" s="1"/>
  <c r="V387" i="50"/>
  <c r="V373" i="51" s="1"/>
  <c r="AO387" i="50"/>
  <c r="AO373" i="51" s="1"/>
  <c r="T387" i="50"/>
  <c r="T373" i="51" s="1"/>
  <c r="AB387" i="50"/>
  <c r="AB373" i="51" s="1"/>
  <c r="AQ387" i="50"/>
  <c r="AQ373" i="51" s="1"/>
  <c r="AI387" i="50"/>
  <c r="AI373" i="51" s="1"/>
  <c r="G164" i="51"/>
  <c r="I164" i="51"/>
  <c r="G360" i="51"/>
  <c r="G367" i="51"/>
  <c r="AT440" i="50"/>
  <c r="C11" i="47"/>
  <c r="D11" i="47" s="1"/>
  <c r="C9" i="44"/>
  <c r="B85" i="42"/>
  <c r="B96" i="42"/>
  <c r="C231" i="50" l="1"/>
  <c r="C230" i="50"/>
  <c r="C229" i="50"/>
  <c r="C227" i="50"/>
  <c r="C226" i="50"/>
  <c r="C228" i="50"/>
  <c r="Z202" i="51"/>
  <c r="X202" i="51"/>
  <c r="W198" i="51"/>
  <c r="AF198" i="51"/>
  <c r="AE202" i="51"/>
  <c r="AC202" i="51"/>
  <c r="Z204" i="51"/>
  <c r="Y202" i="51"/>
  <c r="W202" i="51"/>
  <c r="AB198" i="51"/>
  <c r="Y198" i="51"/>
  <c r="Y204" i="51"/>
  <c r="AE198" i="51"/>
  <c r="AD198" i="51"/>
  <c r="AC198" i="51"/>
  <c r="AA198" i="51"/>
  <c r="X198" i="51"/>
  <c r="AB204" i="51"/>
  <c r="X204" i="51"/>
  <c r="Z198" i="51"/>
  <c r="AF204" i="51"/>
  <c r="AF202" i="51"/>
  <c r="AD202" i="51"/>
  <c r="AD204" i="51"/>
  <c r="AB202" i="51"/>
  <c r="G396" i="50"/>
  <c r="G415" i="50"/>
  <c r="G402" i="50"/>
  <c r="D395" i="51"/>
  <c r="F395" i="51"/>
  <c r="E395" i="51"/>
  <c r="G371" i="51"/>
  <c r="G373" i="51"/>
  <c r="AH422" i="50"/>
  <c r="AH407" i="51" s="1"/>
  <c r="AT426" i="50"/>
  <c r="AT411" i="51" s="1"/>
  <c r="K395" i="51"/>
  <c r="H395" i="51"/>
  <c r="AN421" i="50"/>
  <c r="AN406" i="51" s="1"/>
  <c r="X422" i="50"/>
  <c r="X407" i="51" s="1"/>
  <c r="I395" i="51"/>
  <c r="W426" i="50"/>
  <c r="W411" i="51" s="1"/>
  <c r="AO422" i="50"/>
  <c r="AO407" i="51" s="1"/>
  <c r="AM422" i="50"/>
  <c r="AM407" i="51" s="1"/>
  <c r="AB422" i="50"/>
  <c r="AB407" i="51" s="1"/>
  <c r="AP439" i="50"/>
  <c r="AP423" i="51" s="1"/>
  <c r="Y419" i="50"/>
  <c r="Y404" i="51" s="1"/>
  <c r="AJ419" i="50"/>
  <c r="AJ404" i="51" s="1"/>
  <c r="AA427" i="50"/>
  <c r="AA412" i="51" s="1"/>
  <c r="AT424" i="50"/>
  <c r="AT409" i="51" s="1"/>
  <c r="AC424" i="50"/>
  <c r="AC409" i="51" s="1"/>
  <c r="V424" i="50"/>
  <c r="V409" i="51" s="1"/>
  <c r="X423" i="50"/>
  <c r="X408" i="51" s="1"/>
  <c r="G398" i="50"/>
  <c r="AR420" i="50"/>
  <c r="AR405" i="51" s="1"/>
  <c r="AI420" i="50"/>
  <c r="AI405" i="51" s="1"/>
  <c r="W420" i="50"/>
  <c r="W405" i="51" s="1"/>
  <c r="AU420" i="50"/>
  <c r="AU405" i="51" s="1"/>
  <c r="AS420" i="50"/>
  <c r="AS405" i="51" s="1"/>
  <c r="I158" i="50"/>
  <c r="U439" i="50"/>
  <c r="U423" i="51" s="1"/>
  <c r="AM420" i="50"/>
  <c r="AM405" i="51" s="1"/>
  <c r="K175" i="51"/>
  <c r="Y427" i="50"/>
  <c r="Y412" i="51" s="1"/>
  <c r="AM421" i="50"/>
  <c r="AM406" i="51" s="1"/>
  <c r="AD426" i="50"/>
  <c r="AD411" i="51" s="1"/>
  <c r="T422" i="50"/>
  <c r="T407" i="51" s="1"/>
  <c r="AQ421" i="50"/>
  <c r="AQ406" i="51" s="1"/>
  <c r="W439" i="50"/>
  <c r="W423" i="51" s="1"/>
  <c r="AG426" i="50"/>
  <c r="AG411" i="51" s="1"/>
  <c r="AS422" i="50"/>
  <c r="AS407" i="51" s="1"/>
  <c r="AG420" i="50"/>
  <c r="AG405" i="51" s="1"/>
  <c r="AN422" i="50"/>
  <c r="AN407" i="51" s="1"/>
  <c r="AS426" i="50"/>
  <c r="AS411" i="51" s="1"/>
  <c r="AA422" i="50"/>
  <c r="AA407" i="51" s="1"/>
  <c r="AG422" i="50"/>
  <c r="AG407" i="51" s="1"/>
  <c r="V426" i="50"/>
  <c r="V411" i="51" s="1"/>
  <c r="W422" i="50"/>
  <c r="W407" i="51" s="1"/>
  <c r="V422" i="50"/>
  <c r="V407" i="51" s="1"/>
  <c r="I392" i="51"/>
  <c r="AH426" i="50"/>
  <c r="AH411" i="51" s="1"/>
  <c r="AO421" i="50"/>
  <c r="AO406" i="51" s="1"/>
  <c r="AE426" i="50"/>
  <c r="AE411" i="51" s="1"/>
  <c r="AA426" i="50"/>
  <c r="AA411" i="51" s="1"/>
  <c r="AI422" i="50"/>
  <c r="AI407" i="51" s="1"/>
  <c r="AM426" i="50"/>
  <c r="AM411" i="51" s="1"/>
  <c r="AP421" i="50"/>
  <c r="AP406" i="51" s="1"/>
  <c r="AP422" i="50"/>
  <c r="AP407" i="51" s="1"/>
  <c r="AE419" i="50"/>
  <c r="AE404" i="51" s="1"/>
  <c r="U420" i="50"/>
  <c r="U405" i="51" s="1"/>
  <c r="T439" i="50"/>
  <c r="T423" i="51" s="1"/>
  <c r="AB420" i="50"/>
  <c r="AB405" i="51" s="1"/>
  <c r="AE422" i="50"/>
  <c r="AE407" i="51" s="1"/>
  <c r="Z426" i="50"/>
  <c r="Z411" i="51" s="1"/>
  <c r="AJ422" i="50"/>
  <c r="AJ407" i="51" s="1"/>
  <c r="AP426" i="50"/>
  <c r="AP411" i="51" s="1"/>
  <c r="AA439" i="50"/>
  <c r="AA423" i="51" s="1"/>
  <c r="Y422" i="50"/>
  <c r="Y407" i="51" s="1"/>
  <c r="K393" i="51"/>
  <c r="AL427" i="50"/>
  <c r="AL412" i="51" s="1"/>
  <c r="AC427" i="50"/>
  <c r="AC412" i="51" s="1"/>
  <c r="AO423" i="50"/>
  <c r="AO408" i="51" s="1"/>
  <c r="AP424" i="50"/>
  <c r="AP409" i="51" s="1"/>
  <c r="U423" i="50"/>
  <c r="U408" i="51" s="1"/>
  <c r="V427" i="50"/>
  <c r="V412" i="51" s="1"/>
  <c r="AR424" i="50"/>
  <c r="AR409" i="51" s="1"/>
  <c r="D175" i="51"/>
  <c r="AT423" i="50"/>
  <c r="AT408" i="51" s="1"/>
  <c r="AM427" i="50"/>
  <c r="AM412" i="51" s="1"/>
  <c r="AB424" i="50"/>
  <c r="AB409" i="51" s="1"/>
  <c r="T423" i="50"/>
  <c r="T408" i="51" s="1"/>
  <c r="W427" i="50"/>
  <c r="W412" i="51" s="1"/>
  <c r="AR437" i="50"/>
  <c r="AR421" i="51" s="1"/>
  <c r="J175" i="51"/>
  <c r="AK427" i="50"/>
  <c r="AK412" i="51" s="1"/>
  <c r="AG427" i="50"/>
  <c r="AG412" i="51" s="1"/>
  <c r="Y424" i="50"/>
  <c r="Y409" i="51" s="1"/>
  <c r="AU427" i="50"/>
  <c r="AU412" i="51" s="1"/>
  <c r="AE423" i="50"/>
  <c r="AE408" i="51" s="1"/>
  <c r="AN437" i="50"/>
  <c r="AN421" i="51" s="1"/>
  <c r="E175" i="51"/>
  <c r="G175" i="51" s="1"/>
  <c r="H175" i="51"/>
  <c r="AB439" i="50"/>
  <c r="AB423" i="51" s="1"/>
  <c r="AO420" i="50"/>
  <c r="AO405" i="51" s="1"/>
  <c r="Y420" i="50"/>
  <c r="Y405" i="51" s="1"/>
  <c r="X439" i="50"/>
  <c r="X423" i="51" s="1"/>
  <c r="AD419" i="50"/>
  <c r="AD404" i="51" s="1"/>
  <c r="AA420" i="50"/>
  <c r="AA405" i="51" s="1"/>
  <c r="AA423" i="50"/>
  <c r="AA408" i="51" s="1"/>
  <c r="Y423" i="50"/>
  <c r="Y408" i="51" s="1"/>
  <c r="AC420" i="50"/>
  <c r="AC405" i="51" s="1"/>
  <c r="AS437" i="50"/>
  <c r="AS421" i="51" s="1"/>
  <c r="AP423" i="50"/>
  <c r="AP408" i="51" s="1"/>
  <c r="AT427" i="50"/>
  <c r="AT412" i="51" s="1"/>
  <c r="AL424" i="50"/>
  <c r="AL409" i="51" s="1"/>
  <c r="AM437" i="50"/>
  <c r="AM421" i="51" s="1"/>
  <c r="AO427" i="50"/>
  <c r="AO412" i="51" s="1"/>
  <c r="AR439" i="50"/>
  <c r="AR423" i="51" s="1"/>
  <c r="G159" i="50"/>
  <c r="F179" i="50"/>
  <c r="G158" i="50"/>
  <c r="AA419" i="50"/>
  <c r="AA404" i="51" s="1"/>
  <c r="AE420" i="50"/>
  <c r="AE405" i="51" s="1"/>
  <c r="AR419" i="50"/>
  <c r="AR404" i="51" s="1"/>
  <c r="AO439" i="50"/>
  <c r="AO423" i="51" s="1"/>
  <c r="AS424" i="50"/>
  <c r="AS409" i="51" s="1"/>
  <c r="AJ423" i="50"/>
  <c r="AJ408" i="51" s="1"/>
  <c r="AQ420" i="50"/>
  <c r="AQ405" i="51" s="1"/>
  <c r="AB427" i="50"/>
  <c r="AB412" i="51" s="1"/>
  <c r="Z424" i="50"/>
  <c r="Z409" i="51" s="1"/>
  <c r="AQ437" i="50"/>
  <c r="AQ421" i="51" s="1"/>
  <c r="AM424" i="50"/>
  <c r="AM409" i="51" s="1"/>
  <c r="AU423" i="50"/>
  <c r="AU408" i="51" s="1"/>
  <c r="AO437" i="50"/>
  <c r="AO421" i="51" s="1"/>
  <c r="W424" i="50"/>
  <c r="W409" i="51" s="1"/>
  <c r="X427" i="50"/>
  <c r="X412" i="51" s="1"/>
  <c r="U424" i="50"/>
  <c r="U409" i="51" s="1"/>
  <c r="AT437" i="50"/>
  <c r="AT421" i="51" s="1"/>
  <c r="J396" i="51"/>
  <c r="G385" i="50"/>
  <c r="AS417" i="50"/>
  <c r="AS402" i="51" s="1"/>
  <c r="AI438" i="50"/>
  <c r="AI422" i="51" s="1"/>
  <c r="Y425" i="50"/>
  <c r="Y410" i="51" s="1"/>
  <c r="Y438" i="50"/>
  <c r="Y422" i="51" s="1"/>
  <c r="AT417" i="50"/>
  <c r="AT402" i="51" s="1"/>
  <c r="AJ424" i="50"/>
  <c r="AJ409" i="51" s="1"/>
  <c r="V423" i="50"/>
  <c r="V408" i="51" s="1"/>
  <c r="AN427" i="50"/>
  <c r="AN412" i="51" s="1"/>
  <c r="AK423" i="50"/>
  <c r="AK408" i="51" s="1"/>
  <c r="AI427" i="50"/>
  <c r="AI412" i="51" s="1"/>
  <c r="AH438" i="50"/>
  <c r="AH422" i="51" s="1"/>
  <c r="AK424" i="50"/>
  <c r="AK409" i="51" s="1"/>
  <c r="AM423" i="50"/>
  <c r="AM408" i="51" s="1"/>
  <c r="AL423" i="50"/>
  <c r="AL408" i="51" s="1"/>
  <c r="AH423" i="50"/>
  <c r="AH408" i="51" s="1"/>
  <c r="AD427" i="50"/>
  <c r="AD412" i="51" s="1"/>
  <c r="AI424" i="50"/>
  <c r="AI409" i="51" s="1"/>
  <c r="X424" i="50"/>
  <c r="X409" i="51" s="1"/>
  <c r="AB423" i="50"/>
  <c r="AB408" i="51" s="1"/>
  <c r="AN423" i="50"/>
  <c r="AN408" i="51" s="1"/>
  <c r="Z427" i="50"/>
  <c r="Z412" i="51" s="1"/>
  <c r="AQ427" i="50"/>
  <c r="AQ412" i="51" s="1"/>
  <c r="AO424" i="50"/>
  <c r="AO409" i="51" s="1"/>
  <c r="AR423" i="50"/>
  <c r="AR408" i="51" s="1"/>
  <c r="AD423" i="50"/>
  <c r="AD408" i="51" s="1"/>
  <c r="AP427" i="50"/>
  <c r="AP412" i="51" s="1"/>
  <c r="T427" i="50"/>
  <c r="T412" i="51" s="1"/>
  <c r="T424" i="50"/>
  <c r="T409" i="51" s="1"/>
  <c r="AQ423" i="50"/>
  <c r="AQ408" i="51" s="1"/>
  <c r="AU437" i="50"/>
  <c r="AU421" i="51" s="1"/>
  <c r="D396" i="51"/>
  <c r="G388" i="50"/>
  <c r="AH425" i="50"/>
  <c r="AH410" i="51" s="1"/>
  <c r="AA424" i="50"/>
  <c r="AA409" i="51" s="1"/>
  <c r="AS423" i="50"/>
  <c r="AS408" i="51" s="1"/>
  <c r="AH427" i="50"/>
  <c r="AH412" i="51" s="1"/>
  <c r="AJ427" i="50"/>
  <c r="AJ412" i="51" s="1"/>
  <c r="AG424" i="50"/>
  <c r="AG409" i="51" s="1"/>
  <c r="Z423" i="50"/>
  <c r="Z408" i="51" s="1"/>
  <c r="AE427" i="50"/>
  <c r="AE412" i="51" s="1"/>
  <c r="AF427" i="50"/>
  <c r="AF412" i="51" s="1"/>
  <c r="AH424" i="50"/>
  <c r="AH409" i="51" s="1"/>
  <c r="AG438" i="50"/>
  <c r="AG422" i="51" s="1"/>
  <c r="W423" i="50"/>
  <c r="W408" i="51" s="1"/>
  <c r="AF423" i="50"/>
  <c r="AF408" i="51" s="1"/>
  <c r="AR427" i="50"/>
  <c r="AR412" i="51" s="1"/>
  <c r="AS427" i="50"/>
  <c r="AS412" i="51" s="1"/>
  <c r="AN424" i="50"/>
  <c r="AN409" i="51" s="1"/>
  <c r="AE424" i="50"/>
  <c r="AE409" i="51" s="1"/>
  <c r="AQ424" i="50"/>
  <c r="AQ409" i="51" s="1"/>
  <c r="AG423" i="50"/>
  <c r="AG408" i="51" s="1"/>
  <c r="AF424" i="50"/>
  <c r="AF409" i="51" s="1"/>
  <c r="K394" i="50"/>
  <c r="AP417" i="50"/>
  <c r="AP402" i="51" s="1"/>
  <c r="AR417" i="50"/>
  <c r="AR402" i="51" s="1"/>
  <c r="AS421" i="50"/>
  <c r="AS406" i="51" s="1"/>
  <c r="AO417" i="50"/>
  <c r="AO402" i="51" s="1"/>
  <c r="AU421" i="50"/>
  <c r="AU406" i="51" s="1"/>
  <c r="AG425" i="50"/>
  <c r="AG410" i="51" s="1"/>
  <c r="AB426" i="50"/>
  <c r="AB411" i="51" s="1"/>
  <c r="AJ425" i="50"/>
  <c r="AJ410" i="51" s="1"/>
  <c r="AU422" i="50"/>
  <c r="AU407" i="51" s="1"/>
  <c r="AT425" i="50"/>
  <c r="AT410" i="51" s="1"/>
  <c r="AJ438" i="50"/>
  <c r="AJ422" i="51" s="1"/>
  <c r="U422" i="50"/>
  <c r="U407" i="51" s="1"/>
  <c r="AA425" i="50"/>
  <c r="AA410" i="51" s="1"/>
  <c r="AU426" i="50"/>
  <c r="AU411" i="51" s="1"/>
  <c r="Y426" i="50"/>
  <c r="Y411" i="51" s="1"/>
  <c r="X425" i="50"/>
  <c r="X410" i="51" s="1"/>
  <c r="AD438" i="50"/>
  <c r="AD422" i="51" s="1"/>
  <c r="AT422" i="50"/>
  <c r="AT407" i="51" s="1"/>
  <c r="T426" i="50"/>
  <c r="T411" i="51" s="1"/>
  <c r="U426" i="50"/>
  <c r="U411" i="51" s="1"/>
  <c r="AO425" i="50"/>
  <c r="AO410" i="51" s="1"/>
  <c r="AQ438" i="50"/>
  <c r="AQ422" i="51" s="1"/>
  <c r="AC422" i="50"/>
  <c r="AC407" i="51" s="1"/>
  <c r="AL426" i="50"/>
  <c r="AL411" i="51" s="1"/>
  <c r="U438" i="50"/>
  <c r="U422" i="51" s="1"/>
  <c r="E396" i="51"/>
  <c r="F396" i="51"/>
  <c r="E179" i="50"/>
  <c r="J179" i="50"/>
  <c r="E393" i="51"/>
  <c r="G393" i="51" s="1"/>
  <c r="W425" i="50"/>
  <c r="W410" i="51" s="1"/>
  <c r="AK438" i="50"/>
  <c r="AK422" i="51" s="1"/>
  <c r="AM438" i="50"/>
  <c r="AM422" i="51" s="1"/>
  <c r="AF425" i="50"/>
  <c r="AF410" i="51" s="1"/>
  <c r="AP425" i="50"/>
  <c r="AP410" i="51" s="1"/>
  <c r="U425" i="50"/>
  <c r="U410" i="51" s="1"/>
  <c r="AF438" i="50"/>
  <c r="AF422" i="51" s="1"/>
  <c r="AL425" i="50"/>
  <c r="AL410" i="51" s="1"/>
  <c r="AD425" i="50"/>
  <c r="AD410" i="51" s="1"/>
  <c r="AO438" i="50"/>
  <c r="AO422" i="51" s="1"/>
  <c r="K396" i="51"/>
  <c r="H396" i="51"/>
  <c r="D179" i="50"/>
  <c r="H179" i="50"/>
  <c r="AQ417" i="50"/>
  <c r="AQ402" i="51" s="1"/>
  <c r="AN417" i="50"/>
  <c r="AN402" i="51" s="1"/>
  <c r="AM417" i="50"/>
  <c r="AM402" i="51" s="1"/>
  <c r="AR421" i="50"/>
  <c r="AR406" i="51" s="1"/>
  <c r="AF426" i="50"/>
  <c r="AF411" i="51" s="1"/>
  <c r="AL438" i="50"/>
  <c r="AL422" i="51" s="1"/>
  <c r="AQ422" i="50"/>
  <c r="AQ407" i="51" s="1"/>
  <c r="AN438" i="50"/>
  <c r="AN422" i="51" s="1"/>
  <c r="AL422" i="50"/>
  <c r="AL407" i="51" s="1"/>
  <c r="AC426" i="50"/>
  <c r="AC411" i="51" s="1"/>
  <c r="AD422" i="50"/>
  <c r="AD407" i="51" s="1"/>
  <c r="AQ426" i="50"/>
  <c r="AQ411" i="51" s="1"/>
  <c r="AR426" i="50"/>
  <c r="AR411" i="51" s="1"/>
  <c r="AR425" i="50"/>
  <c r="AR410" i="51" s="1"/>
  <c r="AE438" i="50"/>
  <c r="AE422" i="51" s="1"/>
  <c r="AK422" i="50"/>
  <c r="AK407" i="51" s="1"/>
  <c r="X426" i="50"/>
  <c r="X411" i="51" s="1"/>
  <c r="AO426" i="50"/>
  <c r="AO411" i="51" s="1"/>
  <c r="AK425" i="50"/>
  <c r="AK410" i="51" s="1"/>
  <c r="Z438" i="50"/>
  <c r="Z422" i="51" s="1"/>
  <c r="Z422" i="50"/>
  <c r="Z407" i="51" s="1"/>
  <c r="AM425" i="50"/>
  <c r="AM410" i="51" s="1"/>
  <c r="AB425" i="50"/>
  <c r="AB410" i="51" s="1"/>
  <c r="E392" i="51"/>
  <c r="I393" i="51"/>
  <c r="Y224" i="51"/>
  <c r="X222" i="51"/>
  <c r="X224" i="51"/>
  <c r="X220" i="51"/>
  <c r="X223" i="51"/>
  <c r="Y223" i="51"/>
  <c r="Y220" i="51"/>
  <c r="Z223" i="51"/>
  <c r="Z222" i="51"/>
  <c r="Z220" i="51"/>
  <c r="AA220" i="51"/>
  <c r="AA223" i="51"/>
  <c r="AB224" i="51"/>
  <c r="AB223" i="51"/>
  <c r="AB220" i="51"/>
  <c r="AC223" i="51"/>
  <c r="AC220" i="51"/>
  <c r="AD224" i="51"/>
  <c r="AD223" i="51"/>
  <c r="AD220" i="51"/>
  <c r="AE220" i="51"/>
  <c r="AE224" i="51"/>
  <c r="AE223" i="51"/>
  <c r="AF222" i="51"/>
  <c r="AF220" i="51"/>
  <c r="AF223" i="51"/>
  <c r="AF224" i="51"/>
  <c r="AG223" i="51"/>
  <c r="AG220" i="51"/>
  <c r="AG224" i="51"/>
  <c r="AI426" i="50"/>
  <c r="AI411" i="51" s="1"/>
  <c r="AF419" i="50"/>
  <c r="AF404" i="51" s="1"/>
  <c r="W419" i="50"/>
  <c r="W404" i="51" s="1"/>
  <c r="V439" i="50"/>
  <c r="V423" i="51" s="1"/>
  <c r="AM419" i="50"/>
  <c r="AM404" i="51" s="1"/>
  <c r="AQ425" i="50"/>
  <c r="AQ410" i="51" s="1"/>
  <c r="AA438" i="50"/>
  <c r="AA422" i="51" s="1"/>
  <c r="AL439" i="50"/>
  <c r="AL423" i="51" s="1"/>
  <c r="AE425" i="50"/>
  <c r="AE410" i="51" s="1"/>
  <c r="AN425" i="50"/>
  <c r="AN410" i="51" s="1"/>
  <c r="AR438" i="50"/>
  <c r="AR422" i="51" s="1"/>
  <c r="AS438" i="50"/>
  <c r="AS422" i="51" s="1"/>
  <c r="T420" i="50"/>
  <c r="T405" i="51" s="1"/>
  <c r="Z425" i="50"/>
  <c r="Z410" i="51" s="1"/>
  <c r="V438" i="50"/>
  <c r="V422" i="51" s="1"/>
  <c r="I383" i="51"/>
  <c r="J392" i="51"/>
  <c r="H392" i="51"/>
  <c r="F392" i="51"/>
  <c r="AG419" i="50"/>
  <c r="AG404" i="51" s="1"/>
  <c r="AQ419" i="50"/>
  <c r="AQ404" i="51" s="1"/>
  <c r="V425" i="50"/>
  <c r="V410" i="51" s="1"/>
  <c r="AB438" i="50"/>
  <c r="AB422" i="51" s="1"/>
  <c r="AC438" i="50"/>
  <c r="AC422" i="51" s="1"/>
  <c r="AN420" i="50"/>
  <c r="AN405" i="51" s="1"/>
  <c r="AS425" i="50"/>
  <c r="AS410" i="51" s="1"/>
  <c r="AT438" i="50"/>
  <c r="AT422" i="51" s="1"/>
  <c r="AU438" i="50"/>
  <c r="AU422" i="51" s="1"/>
  <c r="AL419" i="50"/>
  <c r="AL404" i="51" s="1"/>
  <c r="AP420" i="50"/>
  <c r="AP405" i="51" s="1"/>
  <c r="AQ439" i="50"/>
  <c r="AQ423" i="51" s="1"/>
  <c r="D392" i="51"/>
  <c r="D393" i="51"/>
  <c r="AJ426" i="50"/>
  <c r="AJ411" i="51" s="1"/>
  <c r="AK426" i="50"/>
  <c r="AK411" i="51" s="1"/>
  <c r="AC425" i="50"/>
  <c r="AC410" i="51" s="1"/>
  <c r="W438" i="50"/>
  <c r="W422" i="51" s="1"/>
  <c r="X438" i="50"/>
  <c r="X422" i="51" s="1"/>
  <c r="K390" i="51"/>
  <c r="K397" i="50"/>
  <c r="I406" i="50"/>
  <c r="K379" i="51"/>
  <c r="AE168" i="51"/>
  <c r="AA168" i="51"/>
  <c r="W168" i="51"/>
  <c r="AD173" i="51"/>
  <c r="Z173" i="51"/>
  <c r="V173" i="51"/>
  <c r="AU429" i="50"/>
  <c r="AU413" i="51" s="1"/>
  <c r="AD168" i="51"/>
  <c r="Z168" i="51"/>
  <c r="V168" i="51"/>
  <c r="AC173" i="51"/>
  <c r="Y173" i="51"/>
  <c r="AE174" i="51"/>
  <c r="AA174" i="51"/>
  <c r="W174" i="51"/>
  <c r="AD174" i="51"/>
  <c r="Z174" i="51"/>
  <c r="V174" i="51"/>
  <c r="AC174" i="51"/>
  <c r="Y174" i="51"/>
  <c r="X174" i="51"/>
  <c r="AB174" i="51"/>
  <c r="AC175" i="51"/>
  <c r="Y175" i="51"/>
  <c r="AB175" i="51"/>
  <c r="X175" i="51"/>
  <c r="AE175" i="51"/>
  <c r="AA175" i="51"/>
  <c r="W175" i="51"/>
  <c r="Z175" i="51"/>
  <c r="V175" i="51"/>
  <c r="AD175" i="51"/>
  <c r="C436" i="50"/>
  <c r="W436" i="50" s="1"/>
  <c r="W420" i="51" s="1"/>
  <c r="T425" i="50"/>
  <c r="T410" i="51" s="1"/>
  <c r="AP438" i="50"/>
  <c r="AP422" i="51" s="1"/>
  <c r="K383" i="51"/>
  <c r="AC168" i="51"/>
  <c r="Y168" i="51"/>
  <c r="AB173" i="51"/>
  <c r="X173" i="51"/>
  <c r="AB168" i="51"/>
  <c r="AE173" i="51"/>
  <c r="AA173" i="51"/>
  <c r="AB191" i="50"/>
  <c r="AB185" i="51" s="1"/>
  <c r="X191" i="50"/>
  <c r="X185" i="51" s="1"/>
  <c r="AE191" i="50"/>
  <c r="AE185" i="51" s="1"/>
  <c r="AA191" i="50"/>
  <c r="AA185" i="51" s="1"/>
  <c r="W191" i="50"/>
  <c r="W185" i="51" s="1"/>
  <c r="AD191" i="50"/>
  <c r="AD185" i="51" s="1"/>
  <c r="Z191" i="50"/>
  <c r="Z185" i="51" s="1"/>
  <c r="V191" i="50"/>
  <c r="V185" i="51" s="1"/>
  <c r="AC191" i="50"/>
  <c r="AC185" i="51" s="1"/>
  <c r="Y191" i="50"/>
  <c r="Y185" i="51" s="1"/>
  <c r="C435" i="50"/>
  <c r="Z435" i="50" s="1"/>
  <c r="Z419" i="51" s="1"/>
  <c r="AP429" i="50"/>
  <c r="AP413" i="51" s="1"/>
  <c r="C431" i="50"/>
  <c r="AU431" i="50" s="1"/>
  <c r="AU415" i="51" s="1"/>
  <c r="AT429" i="50"/>
  <c r="AT413" i="51" s="1"/>
  <c r="K406" i="50"/>
  <c r="I380" i="51"/>
  <c r="G381" i="51"/>
  <c r="AQ429" i="50"/>
  <c r="AQ413" i="51" s="1"/>
  <c r="AM429" i="50"/>
  <c r="AM413" i="51" s="1"/>
  <c r="C433" i="50"/>
  <c r="H433" i="50" s="1"/>
  <c r="I390" i="51"/>
  <c r="C434" i="50"/>
  <c r="V434" i="50" s="1"/>
  <c r="V418" i="51" s="1"/>
  <c r="AR429" i="50"/>
  <c r="AR413" i="51" s="1"/>
  <c r="AS429" i="50"/>
  <c r="AS413" i="51" s="1"/>
  <c r="K405" i="50"/>
  <c r="G387" i="51"/>
  <c r="K398" i="51"/>
  <c r="I397" i="50"/>
  <c r="K380" i="51"/>
  <c r="G399" i="50"/>
  <c r="I398" i="51"/>
  <c r="I379" i="51"/>
  <c r="G388" i="51"/>
  <c r="G400" i="51"/>
  <c r="G400" i="50"/>
  <c r="G393" i="50"/>
  <c r="W173" i="51"/>
  <c r="G383" i="50"/>
  <c r="G379" i="51"/>
  <c r="G386" i="50"/>
  <c r="G410" i="50"/>
  <c r="G386" i="51"/>
  <c r="G384" i="51"/>
  <c r="C417" i="51"/>
  <c r="F417" i="51" s="1"/>
  <c r="C194" i="51"/>
  <c r="F194" i="51" s="1"/>
  <c r="C200" i="50"/>
  <c r="H200" i="50" s="1"/>
  <c r="E418" i="51"/>
  <c r="F418" i="51"/>
  <c r="H418" i="51"/>
  <c r="J418" i="51"/>
  <c r="D418" i="51"/>
  <c r="I418" i="51"/>
  <c r="K418" i="51"/>
  <c r="I177" i="50"/>
  <c r="G177" i="50"/>
  <c r="I192" i="50"/>
  <c r="G192" i="50"/>
  <c r="H411" i="50"/>
  <c r="F411" i="50"/>
  <c r="D411" i="50"/>
  <c r="I411" i="50"/>
  <c r="K411" i="50"/>
  <c r="E411" i="50"/>
  <c r="J411" i="50"/>
  <c r="AE411" i="50"/>
  <c r="AE396" i="51" s="1"/>
  <c r="Y411" i="50"/>
  <c r="Y396" i="51" s="1"/>
  <c r="AF411" i="50"/>
  <c r="AF396" i="51" s="1"/>
  <c r="U411" i="50"/>
  <c r="U396" i="51" s="1"/>
  <c r="S411" i="50"/>
  <c r="S396" i="51" s="1"/>
  <c r="AP411" i="50"/>
  <c r="AP396" i="51" s="1"/>
  <c r="AT411" i="50"/>
  <c r="AT396" i="51" s="1"/>
  <c r="AA411" i="50"/>
  <c r="AA396" i="51" s="1"/>
  <c r="X411" i="50"/>
  <c r="X396" i="51" s="1"/>
  <c r="AD411" i="50"/>
  <c r="AD396" i="51" s="1"/>
  <c r="V411" i="50"/>
  <c r="V396" i="51" s="1"/>
  <c r="T411" i="50"/>
  <c r="T396" i="51" s="1"/>
  <c r="AO411" i="50"/>
  <c r="AO396" i="51" s="1"/>
  <c r="AM411" i="50"/>
  <c r="AM396" i="51" s="1"/>
  <c r="AN411" i="50"/>
  <c r="AN396" i="51" s="1"/>
  <c r="AB411" i="50"/>
  <c r="AB396" i="51" s="1"/>
  <c r="AI411" i="50"/>
  <c r="AI396" i="51" s="1"/>
  <c r="W411" i="50"/>
  <c r="W396" i="51" s="1"/>
  <c r="AQ411" i="50"/>
  <c r="AQ396" i="51" s="1"/>
  <c r="AG411" i="50"/>
  <c r="AG396" i="51" s="1"/>
  <c r="AS411" i="50"/>
  <c r="AS396" i="51" s="1"/>
  <c r="AL411" i="50"/>
  <c r="AL396" i="51" s="1"/>
  <c r="Z411" i="50"/>
  <c r="Z396" i="51" s="1"/>
  <c r="AJ411" i="50"/>
  <c r="AJ396" i="51" s="1"/>
  <c r="AC411" i="50"/>
  <c r="AC396" i="51" s="1"/>
  <c r="AR411" i="50"/>
  <c r="AR396" i="51" s="1"/>
  <c r="AH411" i="50"/>
  <c r="AH396" i="51" s="1"/>
  <c r="AK411" i="50"/>
  <c r="AK396" i="51" s="1"/>
  <c r="G184" i="51"/>
  <c r="I184" i="51"/>
  <c r="F429" i="50"/>
  <c r="H429" i="50"/>
  <c r="E429" i="50"/>
  <c r="D429" i="50"/>
  <c r="J429" i="50"/>
  <c r="D430" i="50"/>
  <c r="E430" i="50"/>
  <c r="G430" i="50" s="1"/>
  <c r="AU419" i="50"/>
  <c r="AU404" i="51" s="1"/>
  <c r="AS419" i="50"/>
  <c r="AS404" i="51" s="1"/>
  <c r="AB419" i="50"/>
  <c r="AB404" i="51" s="1"/>
  <c r="AM439" i="50"/>
  <c r="AM423" i="51" s="1"/>
  <c r="AN439" i="50"/>
  <c r="AN423" i="51" s="1"/>
  <c r="AN419" i="50"/>
  <c r="AN404" i="51" s="1"/>
  <c r="AI419" i="50"/>
  <c r="AI404" i="51" s="1"/>
  <c r="V420" i="50"/>
  <c r="V405" i="51" s="1"/>
  <c r="AJ420" i="50"/>
  <c r="AJ405" i="51" s="1"/>
  <c r="AC439" i="50"/>
  <c r="AC423" i="51" s="1"/>
  <c r="AP419" i="50"/>
  <c r="AP404" i="51" s="1"/>
  <c r="AT420" i="50"/>
  <c r="AT405" i="51" s="1"/>
  <c r="AS439" i="50"/>
  <c r="AS423" i="51" s="1"/>
  <c r="F417" i="50"/>
  <c r="E418" i="50"/>
  <c r="G418" i="50" s="1"/>
  <c r="E417" i="50"/>
  <c r="D418" i="50"/>
  <c r="H417" i="50"/>
  <c r="J417" i="50"/>
  <c r="K418" i="50" s="1"/>
  <c r="D417" i="50"/>
  <c r="E438" i="50"/>
  <c r="J438" i="50"/>
  <c r="H438" i="50"/>
  <c r="F438" i="50"/>
  <c r="D438" i="50"/>
  <c r="I438" i="50"/>
  <c r="K438" i="50"/>
  <c r="AI425" i="50"/>
  <c r="AI410" i="51" s="1"/>
  <c r="D425" i="50"/>
  <c r="I425" i="50"/>
  <c r="K425" i="50"/>
  <c r="E425" i="50"/>
  <c r="J425" i="50"/>
  <c r="H425" i="50"/>
  <c r="F425" i="50"/>
  <c r="K193" i="51"/>
  <c r="E193" i="51"/>
  <c r="J193" i="51"/>
  <c r="F193" i="51"/>
  <c r="H193" i="51"/>
  <c r="K204" i="51"/>
  <c r="D204" i="51"/>
  <c r="F204" i="51"/>
  <c r="J204" i="51"/>
  <c r="E204" i="51"/>
  <c r="H204" i="51"/>
  <c r="F188" i="51"/>
  <c r="J188" i="51"/>
  <c r="H188" i="51"/>
  <c r="K188" i="51"/>
  <c r="E188" i="51"/>
  <c r="F190" i="51"/>
  <c r="K190" i="51"/>
  <c r="H190" i="51"/>
  <c r="J190" i="51"/>
  <c r="D190" i="51"/>
  <c r="E190" i="51"/>
  <c r="K197" i="51"/>
  <c r="F197" i="51"/>
  <c r="E197" i="51"/>
  <c r="D197" i="51"/>
  <c r="J197" i="51"/>
  <c r="H197" i="51"/>
  <c r="G180" i="51"/>
  <c r="I180" i="51"/>
  <c r="I391" i="51"/>
  <c r="I394" i="50"/>
  <c r="I179" i="51"/>
  <c r="G179" i="51"/>
  <c r="G171" i="51"/>
  <c r="I171" i="51"/>
  <c r="G385" i="51"/>
  <c r="G389" i="51"/>
  <c r="I422" i="51"/>
  <c r="K422" i="51"/>
  <c r="E422" i="51"/>
  <c r="J422" i="51"/>
  <c r="H422" i="51"/>
  <c r="D422" i="51"/>
  <c r="F422" i="51"/>
  <c r="F406" i="51"/>
  <c r="E406" i="51"/>
  <c r="D406" i="51"/>
  <c r="J406" i="51"/>
  <c r="H406" i="51"/>
  <c r="F421" i="51"/>
  <c r="E421" i="51"/>
  <c r="J421" i="51"/>
  <c r="H421" i="51"/>
  <c r="D421" i="51"/>
  <c r="G193" i="50"/>
  <c r="I193" i="50"/>
  <c r="G181" i="50"/>
  <c r="I181" i="50"/>
  <c r="I182" i="50"/>
  <c r="G182" i="50"/>
  <c r="I187" i="50"/>
  <c r="G187" i="50"/>
  <c r="G401" i="50"/>
  <c r="I405" i="50"/>
  <c r="J196" i="50"/>
  <c r="D196" i="50"/>
  <c r="F196" i="50"/>
  <c r="E196" i="50"/>
  <c r="K196" i="50"/>
  <c r="H196" i="50"/>
  <c r="K194" i="50"/>
  <c r="AC188" i="51" s="1"/>
  <c r="J194" i="50"/>
  <c r="F194" i="50"/>
  <c r="H194" i="50"/>
  <c r="E194" i="50"/>
  <c r="H213" i="50"/>
  <c r="F213" i="50"/>
  <c r="D213" i="50"/>
  <c r="K213" i="50"/>
  <c r="E213" i="50"/>
  <c r="J213" i="50"/>
  <c r="H212" i="50"/>
  <c r="K212" i="50"/>
  <c r="AF205" i="51" s="1"/>
  <c r="J212" i="50"/>
  <c r="E212" i="50"/>
  <c r="F212" i="50"/>
  <c r="H214" i="50"/>
  <c r="J214" i="50"/>
  <c r="D214" i="50"/>
  <c r="F214" i="50"/>
  <c r="E214" i="50"/>
  <c r="K214" i="50"/>
  <c r="E209" i="50"/>
  <c r="K209" i="50"/>
  <c r="H209" i="50"/>
  <c r="J209" i="50"/>
  <c r="D209" i="50"/>
  <c r="F209" i="50"/>
  <c r="I174" i="51"/>
  <c r="G174" i="51"/>
  <c r="AP447" i="51"/>
  <c r="AR447" i="51"/>
  <c r="C433" i="51"/>
  <c r="AS447" i="51"/>
  <c r="AN447" i="51"/>
  <c r="C444" i="51"/>
  <c r="C446" i="51"/>
  <c r="AV447" i="51"/>
  <c r="C425" i="51"/>
  <c r="C431" i="51"/>
  <c r="AO447" i="51"/>
  <c r="C428" i="51"/>
  <c r="C430" i="51"/>
  <c r="C435" i="51"/>
  <c r="C432" i="51"/>
  <c r="AT447" i="51"/>
  <c r="C429" i="51"/>
  <c r="C434" i="51"/>
  <c r="AU447" i="51"/>
  <c r="L425" i="51"/>
  <c r="C436" i="51"/>
  <c r="C442" i="51" s="1"/>
  <c r="AQ447" i="51"/>
  <c r="C427" i="51"/>
  <c r="M425" i="51"/>
  <c r="C445" i="51"/>
  <c r="B448" i="51"/>
  <c r="B465" i="50"/>
  <c r="B228" i="51"/>
  <c r="B236" i="50"/>
  <c r="G173" i="50"/>
  <c r="I173" i="50"/>
  <c r="H412" i="50"/>
  <c r="F412" i="50"/>
  <c r="K412" i="50"/>
  <c r="E412" i="50"/>
  <c r="D412" i="50"/>
  <c r="J412" i="50"/>
  <c r="I412" i="50"/>
  <c r="V412" i="50"/>
  <c r="V397" i="51" s="1"/>
  <c r="U412" i="50"/>
  <c r="U397" i="51" s="1"/>
  <c r="AD412" i="50"/>
  <c r="AD397" i="51" s="1"/>
  <c r="S412" i="50"/>
  <c r="S397" i="51" s="1"/>
  <c r="Y412" i="50"/>
  <c r="Y397" i="51" s="1"/>
  <c r="AM412" i="50"/>
  <c r="AM397" i="51" s="1"/>
  <c r="AA412" i="50"/>
  <c r="AA397" i="51" s="1"/>
  <c r="AP412" i="50"/>
  <c r="AP397" i="51" s="1"/>
  <c r="AH412" i="50"/>
  <c r="AH397" i="51" s="1"/>
  <c r="T412" i="50"/>
  <c r="T397" i="51" s="1"/>
  <c r="AR412" i="50"/>
  <c r="AR397" i="51" s="1"/>
  <c r="AN412" i="50"/>
  <c r="AN397" i="51" s="1"/>
  <c r="AS412" i="50"/>
  <c r="AS397" i="51" s="1"/>
  <c r="AF412" i="50"/>
  <c r="AF397" i="51" s="1"/>
  <c r="W412" i="50"/>
  <c r="W397" i="51" s="1"/>
  <c r="AT412" i="50"/>
  <c r="AT397" i="51" s="1"/>
  <c r="AB412" i="50"/>
  <c r="AB397" i="51" s="1"/>
  <c r="AQ412" i="50"/>
  <c r="AQ397" i="51" s="1"/>
  <c r="AJ412" i="50"/>
  <c r="AJ397" i="51" s="1"/>
  <c r="AL412" i="50"/>
  <c r="AL397" i="51" s="1"/>
  <c r="AK412" i="50"/>
  <c r="AK397" i="51" s="1"/>
  <c r="X412" i="50"/>
  <c r="X397" i="51" s="1"/>
  <c r="AC412" i="50"/>
  <c r="AC397" i="51" s="1"/>
  <c r="AI412" i="50"/>
  <c r="AI397" i="51" s="1"/>
  <c r="Z412" i="50"/>
  <c r="Z397" i="51" s="1"/>
  <c r="AG412" i="50"/>
  <c r="AG397" i="51" s="1"/>
  <c r="AO412" i="50"/>
  <c r="AO397" i="51" s="1"/>
  <c r="AE412" i="50"/>
  <c r="AE397" i="51" s="1"/>
  <c r="G182" i="51"/>
  <c r="I182" i="51"/>
  <c r="G399" i="51"/>
  <c r="AN429" i="50"/>
  <c r="AN413" i="51" s="1"/>
  <c r="AT419" i="50"/>
  <c r="AT404" i="51" s="1"/>
  <c r="T419" i="50"/>
  <c r="T404" i="51" s="1"/>
  <c r="AH439" i="50"/>
  <c r="AH423" i="51" s="1"/>
  <c r="AI439" i="50"/>
  <c r="AI423" i="51" s="1"/>
  <c r="V419" i="50"/>
  <c r="V404" i="51" s="1"/>
  <c r="Z420" i="50"/>
  <c r="Z405" i="51" s="1"/>
  <c r="AD439" i="50"/>
  <c r="AD423" i="51" s="1"/>
  <c r="AE439" i="50"/>
  <c r="AE423" i="51" s="1"/>
  <c r="X419" i="50"/>
  <c r="X404" i="51" s="1"/>
  <c r="AO419" i="50"/>
  <c r="AO404" i="51" s="1"/>
  <c r="X420" i="50"/>
  <c r="X405" i="51" s="1"/>
  <c r="AH420" i="50"/>
  <c r="AH405" i="51" s="1"/>
  <c r="AF420" i="50"/>
  <c r="AF405" i="51" s="1"/>
  <c r="AT439" i="50"/>
  <c r="AT423" i="51" s="1"/>
  <c r="AU439" i="50"/>
  <c r="AU423" i="51" s="1"/>
  <c r="J427" i="50"/>
  <c r="H427" i="50"/>
  <c r="F427" i="50"/>
  <c r="D427" i="50"/>
  <c r="I427" i="50"/>
  <c r="K427" i="50"/>
  <c r="E427" i="50"/>
  <c r="G427" i="50" s="1"/>
  <c r="E437" i="50"/>
  <c r="J437" i="50"/>
  <c r="H437" i="50"/>
  <c r="F437" i="50"/>
  <c r="D437" i="50"/>
  <c r="AI423" i="50"/>
  <c r="AI408" i="51" s="1"/>
  <c r="I423" i="50"/>
  <c r="K423" i="50"/>
  <c r="E423" i="50"/>
  <c r="J423" i="50"/>
  <c r="H423" i="50"/>
  <c r="F423" i="50"/>
  <c r="D423" i="50"/>
  <c r="AU424" i="50"/>
  <c r="AU409" i="51" s="1"/>
  <c r="J424" i="50"/>
  <c r="H424" i="50"/>
  <c r="F424" i="50"/>
  <c r="D424" i="50"/>
  <c r="I424" i="50"/>
  <c r="K424" i="50"/>
  <c r="E424" i="50"/>
  <c r="G175" i="50"/>
  <c r="I175" i="50"/>
  <c r="G369" i="51"/>
  <c r="J407" i="50"/>
  <c r="E407" i="50"/>
  <c r="I408" i="50"/>
  <c r="K408" i="50"/>
  <c r="D408" i="50"/>
  <c r="H407" i="50"/>
  <c r="F407" i="50"/>
  <c r="E408" i="50"/>
  <c r="G408" i="50" s="1"/>
  <c r="I407" i="50"/>
  <c r="D407" i="50"/>
  <c r="K407" i="50"/>
  <c r="X407" i="50"/>
  <c r="X392" i="51" s="1"/>
  <c r="AC407" i="50"/>
  <c r="AC392" i="51" s="1"/>
  <c r="Z407" i="50"/>
  <c r="Z392" i="51" s="1"/>
  <c r="AG407" i="50"/>
  <c r="AG392" i="51" s="1"/>
  <c r="AF407" i="50"/>
  <c r="AF392" i="51" s="1"/>
  <c r="AE407" i="50"/>
  <c r="AE392" i="51" s="1"/>
  <c r="V407" i="50"/>
  <c r="V392" i="51" s="1"/>
  <c r="U407" i="50"/>
  <c r="U392" i="51" s="1"/>
  <c r="S407" i="50"/>
  <c r="S392" i="51" s="1"/>
  <c r="Y407" i="50"/>
  <c r="Y392" i="51" s="1"/>
  <c r="AM407" i="50"/>
  <c r="AM392" i="51" s="1"/>
  <c r="AA407" i="50"/>
  <c r="AA392" i="51" s="1"/>
  <c r="AP407" i="50"/>
  <c r="AP392" i="51" s="1"/>
  <c r="AH407" i="50"/>
  <c r="AH392" i="51" s="1"/>
  <c r="AD407" i="50"/>
  <c r="AD392" i="51" s="1"/>
  <c r="T407" i="50"/>
  <c r="T392" i="51" s="1"/>
  <c r="AR407" i="50"/>
  <c r="AR392" i="51" s="1"/>
  <c r="AN407" i="50"/>
  <c r="AN392" i="51" s="1"/>
  <c r="AS407" i="50"/>
  <c r="AS392" i="51" s="1"/>
  <c r="AJ407" i="50"/>
  <c r="AJ392" i="51" s="1"/>
  <c r="W407" i="50"/>
  <c r="W392" i="51" s="1"/>
  <c r="AT407" i="50"/>
  <c r="AT392" i="51" s="1"/>
  <c r="AB407" i="50"/>
  <c r="AB392" i="51" s="1"/>
  <c r="AQ407" i="50"/>
  <c r="AQ392" i="51" s="1"/>
  <c r="AI407" i="50"/>
  <c r="AI392" i="51" s="1"/>
  <c r="AL407" i="50"/>
  <c r="AL392" i="51" s="1"/>
  <c r="AK407" i="50"/>
  <c r="AK392" i="51" s="1"/>
  <c r="AO407" i="50"/>
  <c r="AO392" i="51" s="1"/>
  <c r="E195" i="51"/>
  <c r="H195" i="51"/>
  <c r="J195" i="51"/>
  <c r="D195" i="51"/>
  <c r="F195" i="51"/>
  <c r="K195" i="51"/>
  <c r="E189" i="51"/>
  <c r="J189" i="51"/>
  <c r="H189" i="51"/>
  <c r="F189" i="51"/>
  <c r="D189" i="51"/>
  <c r="K189" i="51"/>
  <c r="H198" i="51"/>
  <c r="J198" i="51"/>
  <c r="E198" i="51"/>
  <c r="F198" i="51"/>
  <c r="K198" i="51"/>
  <c r="K191" i="51"/>
  <c r="F191" i="51"/>
  <c r="H191" i="51"/>
  <c r="J191" i="51"/>
  <c r="E191" i="51"/>
  <c r="D191" i="51"/>
  <c r="E192" i="51"/>
  <c r="K192" i="51"/>
  <c r="D192" i="51"/>
  <c r="F192" i="51"/>
  <c r="H192" i="51"/>
  <c r="J192" i="51"/>
  <c r="G390" i="51"/>
  <c r="C227" i="51"/>
  <c r="C216" i="51"/>
  <c r="C220" i="51"/>
  <c r="C223" i="51"/>
  <c r="D208" i="51"/>
  <c r="C212" i="51"/>
  <c r="C208" i="51"/>
  <c r="D213" i="51"/>
  <c r="M225" i="51"/>
  <c r="C221" i="51"/>
  <c r="C225" i="51"/>
  <c r="D225" i="51"/>
  <c r="C217" i="51"/>
  <c r="C219" i="51"/>
  <c r="C226" i="51"/>
  <c r="C224" i="51"/>
  <c r="C218" i="51"/>
  <c r="C211" i="51"/>
  <c r="C209" i="51"/>
  <c r="C222" i="51"/>
  <c r="D218" i="51"/>
  <c r="C210" i="51"/>
  <c r="C213" i="51"/>
  <c r="C215" i="51" s="1"/>
  <c r="L213" i="51"/>
  <c r="G191" i="50"/>
  <c r="I191" i="50"/>
  <c r="X168" i="51"/>
  <c r="G187" i="51"/>
  <c r="I187" i="51"/>
  <c r="E413" i="51"/>
  <c r="F413" i="51"/>
  <c r="D414" i="51"/>
  <c r="J413" i="51"/>
  <c r="H413" i="51"/>
  <c r="E414" i="51"/>
  <c r="G414" i="51" s="1"/>
  <c r="D413" i="51"/>
  <c r="I409" i="51"/>
  <c r="D409" i="51"/>
  <c r="E409" i="51"/>
  <c r="J409" i="51"/>
  <c r="K409" i="51"/>
  <c r="F409" i="51"/>
  <c r="H409" i="51"/>
  <c r="D405" i="51"/>
  <c r="I405" i="51"/>
  <c r="K405" i="51"/>
  <c r="E405" i="51"/>
  <c r="J405" i="51"/>
  <c r="F405" i="51"/>
  <c r="H405" i="51"/>
  <c r="D423" i="51"/>
  <c r="I423" i="51"/>
  <c r="K423" i="51"/>
  <c r="E423" i="51"/>
  <c r="H423" i="51"/>
  <c r="J423" i="51"/>
  <c r="F423" i="51"/>
  <c r="E411" i="51"/>
  <c r="F411" i="51"/>
  <c r="D411" i="51"/>
  <c r="I411" i="51"/>
  <c r="J411" i="51"/>
  <c r="H411" i="51"/>
  <c r="K411" i="51"/>
  <c r="G188" i="50"/>
  <c r="I188" i="50"/>
  <c r="G414" i="50"/>
  <c r="G395" i="50"/>
  <c r="AE188" i="51"/>
  <c r="F201" i="50"/>
  <c r="E201" i="50"/>
  <c r="K201" i="50"/>
  <c r="H201" i="50"/>
  <c r="J201" i="50"/>
  <c r="D201" i="50"/>
  <c r="AA205" i="51"/>
  <c r="W205" i="51"/>
  <c r="X205" i="51"/>
  <c r="Y188" i="51"/>
  <c r="E208" i="50"/>
  <c r="H208" i="50"/>
  <c r="J208" i="50"/>
  <c r="D208" i="50"/>
  <c r="F208" i="50"/>
  <c r="K208" i="50"/>
  <c r="K203" i="50"/>
  <c r="E203" i="50"/>
  <c r="J203" i="50"/>
  <c r="H203" i="50"/>
  <c r="F203" i="50"/>
  <c r="D203" i="50"/>
  <c r="D202" i="50"/>
  <c r="E202" i="50"/>
  <c r="K202" i="50"/>
  <c r="J202" i="50"/>
  <c r="H202" i="50"/>
  <c r="F202" i="50"/>
  <c r="I181" i="51"/>
  <c r="G181" i="51"/>
  <c r="G382" i="51"/>
  <c r="G387" i="50"/>
  <c r="I174" i="50"/>
  <c r="G174" i="50"/>
  <c r="F180" i="50"/>
  <c r="K180" i="50"/>
  <c r="H180" i="50"/>
  <c r="E180" i="50"/>
  <c r="J180" i="50"/>
  <c r="D180" i="50"/>
  <c r="J409" i="50"/>
  <c r="H409" i="50"/>
  <c r="D409" i="50"/>
  <c r="I409" i="50"/>
  <c r="F409" i="50"/>
  <c r="K409" i="50"/>
  <c r="E409" i="50"/>
  <c r="AL409" i="50"/>
  <c r="AL394" i="51" s="1"/>
  <c r="AI409" i="50"/>
  <c r="AI394" i="51" s="1"/>
  <c r="W409" i="50"/>
  <c r="W394" i="51" s="1"/>
  <c r="AB409" i="50"/>
  <c r="AB394" i="51" s="1"/>
  <c r="U409" i="50"/>
  <c r="U394" i="51" s="1"/>
  <c r="X409" i="50"/>
  <c r="X394" i="51" s="1"/>
  <c r="AT409" i="50"/>
  <c r="AT394" i="51" s="1"/>
  <c r="AE409" i="50"/>
  <c r="AE394" i="51" s="1"/>
  <c r="AQ409" i="50"/>
  <c r="AQ394" i="51" s="1"/>
  <c r="AJ409" i="50"/>
  <c r="AJ394" i="51" s="1"/>
  <c r="V409" i="50"/>
  <c r="V394" i="51" s="1"/>
  <c r="Z409" i="50"/>
  <c r="Z394" i="51" s="1"/>
  <c r="AO409" i="50"/>
  <c r="AO394" i="51" s="1"/>
  <c r="AS409" i="50"/>
  <c r="AS394" i="51" s="1"/>
  <c r="AM409" i="50"/>
  <c r="AM394" i="51" s="1"/>
  <c r="AG409" i="50"/>
  <c r="AG394" i="51" s="1"/>
  <c r="AR409" i="50"/>
  <c r="AR394" i="51" s="1"/>
  <c r="AK409" i="50"/>
  <c r="AK394" i="51" s="1"/>
  <c r="AF409" i="50"/>
  <c r="AF394" i="51" s="1"/>
  <c r="AH409" i="50"/>
  <c r="AH394" i="51" s="1"/>
  <c r="S409" i="50"/>
  <c r="S394" i="51" s="1"/>
  <c r="AN409" i="50"/>
  <c r="AN394" i="51" s="1"/>
  <c r="Y409" i="50"/>
  <c r="Y394" i="51" s="1"/>
  <c r="AP409" i="50"/>
  <c r="AP394" i="51" s="1"/>
  <c r="AC409" i="50"/>
  <c r="AC394" i="51" s="1"/>
  <c r="AD409" i="50"/>
  <c r="AD394" i="51" s="1"/>
  <c r="AA409" i="50"/>
  <c r="AA394" i="51" s="1"/>
  <c r="T409" i="50"/>
  <c r="T394" i="51" s="1"/>
  <c r="J394" i="51"/>
  <c r="H394" i="51"/>
  <c r="F394" i="51"/>
  <c r="D394" i="51"/>
  <c r="I394" i="51"/>
  <c r="K394" i="51"/>
  <c r="E394" i="51"/>
  <c r="G394" i="51" s="1"/>
  <c r="AK419" i="50"/>
  <c r="AK404" i="51" s="1"/>
  <c r="AJ439" i="50"/>
  <c r="AJ423" i="51" s="1"/>
  <c r="AK439" i="50"/>
  <c r="AK423" i="51" s="1"/>
  <c r="Z419" i="50"/>
  <c r="Z404" i="51" s="1"/>
  <c r="AD420" i="50"/>
  <c r="AD405" i="51" s="1"/>
  <c r="U419" i="50"/>
  <c r="U404" i="51" s="1"/>
  <c r="AF439" i="50"/>
  <c r="AF423" i="51" s="1"/>
  <c r="AG439" i="50"/>
  <c r="AG423" i="51" s="1"/>
  <c r="Y439" i="50"/>
  <c r="Y423" i="51" s="1"/>
  <c r="J426" i="50"/>
  <c r="H426" i="50"/>
  <c r="F426" i="50"/>
  <c r="D426" i="50"/>
  <c r="I426" i="50"/>
  <c r="K426" i="50"/>
  <c r="E426" i="50"/>
  <c r="AR422" i="50"/>
  <c r="AR407" i="51" s="1"/>
  <c r="J422" i="50"/>
  <c r="H422" i="50"/>
  <c r="F422" i="50"/>
  <c r="D422" i="50"/>
  <c r="I422" i="50"/>
  <c r="E422" i="50"/>
  <c r="K422" i="50"/>
  <c r="AU428" i="50"/>
  <c r="AQ428" i="50"/>
  <c r="AM428" i="50"/>
  <c r="AI428" i="50"/>
  <c r="AE428" i="50"/>
  <c r="AA428" i="50"/>
  <c r="W428" i="50"/>
  <c r="AT428" i="50"/>
  <c r="AP428" i="50"/>
  <c r="AL428" i="50"/>
  <c r="AH428" i="50"/>
  <c r="AD428" i="50"/>
  <c r="Z428" i="50"/>
  <c r="V428" i="50"/>
  <c r="AS428" i="50"/>
  <c r="AO428" i="50"/>
  <c r="AK428" i="50"/>
  <c r="AG428" i="50"/>
  <c r="AC428" i="50"/>
  <c r="Y428" i="50"/>
  <c r="U428" i="50"/>
  <c r="AR428" i="50"/>
  <c r="AN428" i="50"/>
  <c r="AJ428" i="50"/>
  <c r="AF428" i="50"/>
  <c r="AB428" i="50"/>
  <c r="X428" i="50"/>
  <c r="T428" i="50"/>
  <c r="C428" i="50"/>
  <c r="J421" i="50"/>
  <c r="E421" i="50"/>
  <c r="F421" i="50"/>
  <c r="H421" i="50"/>
  <c r="D421" i="50"/>
  <c r="I413" i="50"/>
  <c r="G413" i="50"/>
  <c r="H194" i="51"/>
  <c r="K196" i="51"/>
  <c r="F196" i="51"/>
  <c r="E196" i="51"/>
  <c r="D196" i="51"/>
  <c r="J196" i="51"/>
  <c r="H196" i="51"/>
  <c r="H199" i="51"/>
  <c r="J199" i="51"/>
  <c r="D199" i="51"/>
  <c r="E199" i="51"/>
  <c r="K199" i="51"/>
  <c r="F199" i="51"/>
  <c r="F205" i="51"/>
  <c r="H205" i="51"/>
  <c r="E205" i="51"/>
  <c r="J205" i="51"/>
  <c r="K205" i="51"/>
  <c r="E201" i="51"/>
  <c r="D201" i="51"/>
  <c r="J201" i="51"/>
  <c r="F201" i="51"/>
  <c r="K201" i="51"/>
  <c r="H201" i="51"/>
  <c r="H207" i="51"/>
  <c r="F207" i="51"/>
  <c r="E207" i="51"/>
  <c r="J207" i="51"/>
  <c r="D207" i="51"/>
  <c r="K207" i="51"/>
  <c r="I183" i="51"/>
  <c r="G183" i="51"/>
  <c r="I173" i="51"/>
  <c r="G173" i="51"/>
  <c r="G176" i="50"/>
  <c r="I176" i="50"/>
  <c r="I178" i="50"/>
  <c r="G178" i="50"/>
  <c r="G154" i="51"/>
  <c r="I154" i="51"/>
  <c r="G397" i="50"/>
  <c r="I393" i="50"/>
  <c r="I185" i="51"/>
  <c r="G185" i="51"/>
  <c r="G170" i="51"/>
  <c r="I170" i="51"/>
  <c r="C420" i="51"/>
  <c r="C415" i="51"/>
  <c r="F407" i="51"/>
  <c r="D407" i="51"/>
  <c r="I407" i="51"/>
  <c r="K407" i="51"/>
  <c r="J407" i="51"/>
  <c r="E407" i="51"/>
  <c r="H407" i="51"/>
  <c r="H412" i="51"/>
  <c r="I412" i="51"/>
  <c r="D412" i="51"/>
  <c r="J412" i="51"/>
  <c r="E412" i="51"/>
  <c r="F412" i="51"/>
  <c r="K412" i="51"/>
  <c r="ED46" i="47"/>
  <c r="CT40" i="47"/>
  <c r="DX45" i="47"/>
  <c r="DR44" i="47"/>
  <c r="CN39" i="47"/>
  <c r="DF42" i="47"/>
  <c r="DL43" i="47"/>
  <c r="CH38" i="47"/>
  <c r="CZ41" i="47"/>
  <c r="S1" i="47"/>
  <c r="EJ47" i="47"/>
  <c r="AF188" i="51"/>
  <c r="AD205" i="51"/>
  <c r="AA188" i="51"/>
  <c r="E199" i="50"/>
  <c r="J199" i="50"/>
  <c r="K199" i="50"/>
  <c r="AF193" i="51" s="1"/>
  <c r="H199" i="50"/>
  <c r="F199" i="50"/>
  <c r="Z205" i="51"/>
  <c r="Y205" i="51"/>
  <c r="K197" i="50"/>
  <c r="J197" i="50"/>
  <c r="E197" i="50"/>
  <c r="H197" i="50"/>
  <c r="D197" i="50"/>
  <c r="F197" i="50"/>
  <c r="D210" i="50"/>
  <c r="E210" i="50"/>
  <c r="K210" i="50"/>
  <c r="J210" i="50"/>
  <c r="H210" i="50"/>
  <c r="F210" i="50"/>
  <c r="E204" i="50"/>
  <c r="H204" i="50"/>
  <c r="J204" i="50"/>
  <c r="K204" i="50"/>
  <c r="F204" i="50"/>
  <c r="J195" i="50"/>
  <c r="D195" i="50"/>
  <c r="F195" i="50"/>
  <c r="K195" i="50"/>
  <c r="E195" i="50"/>
  <c r="H195" i="50"/>
  <c r="I178" i="51"/>
  <c r="G178" i="51"/>
  <c r="AR464" i="50"/>
  <c r="AS464" i="50"/>
  <c r="AR456" i="50"/>
  <c r="AR439" i="51" s="1"/>
  <c r="AB456" i="50"/>
  <c r="AB439" i="51" s="1"/>
  <c r="AJ454" i="50"/>
  <c r="AJ437" i="51" s="1"/>
  <c r="AI456" i="50"/>
  <c r="AI439" i="51" s="1"/>
  <c r="AQ454" i="50"/>
  <c r="AQ437" i="51" s="1"/>
  <c r="AA454" i="50"/>
  <c r="AA437" i="51" s="1"/>
  <c r="AP456" i="50"/>
  <c r="AP439" i="51" s="1"/>
  <c r="Z456" i="50"/>
  <c r="Z439" i="51" s="1"/>
  <c r="AH454" i="50"/>
  <c r="AH437" i="51" s="1"/>
  <c r="AN464" i="50"/>
  <c r="AT464" i="50"/>
  <c r="AO464" i="50"/>
  <c r="AN456" i="50"/>
  <c r="AN439" i="51" s="1"/>
  <c r="X456" i="50"/>
  <c r="X439" i="51" s="1"/>
  <c r="AV454" i="50"/>
  <c r="AV437" i="51" s="1"/>
  <c r="AF454" i="50"/>
  <c r="AF437" i="51" s="1"/>
  <c r="AU456" i="50"/>
  <c r="AU439" i="51" s="1"/>
  <c r="AE456" i="50"/>
  <c r="AE439" i="51" s="1"/>
  <c r="AM454" i="50"/>
  <c r="AM437" i="51" s="1"/>
  <c r="W454" i="50"/>
  <c r="W437" i="51" s="1"/>
  <c r="AL456" i="50"/>
  <c r="AL439" i="51" s="1"/>
  <c r="V456" i="50"/>
  <c r="V439" i="51" s="1"/>
  <c r="AT454" i="50"/>
  <c r="AT437" i="51" s="1"/>
  <c r="AD454" i="50"/>
  <c r="AD437" i="51" s="1"/>
  <c r="AS456" i="50"/>
  <c r="AS439" i="51" s="1"/>
  <c r="AC456" i="50"/>
  <c r="AC439" i="51" s="1"/>
  <c r="AK454" i="50"/>
  <c r="AK437" i="51" s="1"/>
  <c r="U454" i="50"/>
  <c r="U437" i="51" s="1"/>
  <c r="AU464" i="50"/>
  <c r="AP464" i="50"/>
  <c r="AJ456" i="50"/>
  <c r="AJ439" i="51" s="1"/>
  <c r="AR454" i="50"/>
  <c r="AR437" i="51" s="1"/>
  <c r="AB454" i="50"/>
  <c r="AB437" i="51" s="1"/>
  <c r="AQ456" i="50"/>
  <c r="AQ439" i="51" s="1"/>
  <c r="AA456" i="50"/>
  <c r="AA439" i="51" s="1"/>
  <c r="AI454" i="50"/>
  <c r="AI437" i="51" s="1"/>
  <c r="AH456" i="50"/>
  <c r="AH439" i="51" s="1"/>
  <c r="AP454" i="50"/>
  <c r="AP437" i="51" s="1"/>
  <c r="Z454" i="50"/>
  <c r="Z437" i="51" s="1"/>
  <c r="AO456" i="50"/>
  <c r="AO439" i="51" s="1"/>
  <c r="Y456" i="50"/>
  <c r="Y439" i="51" s="1"/>
  <c r="AG454" i="50"/>
  <c r="AG437" i="51" s="1"/>
  <c r="AV464" i="50"/>
  <c r="AL451" i="50"/>
  <c r="AL435" i="51" s="1"/>
  <c r="AK456" i="50"/>
  <c r="AK439" i="51" s="1"/>
  <c r="AC454" i="50"/>
  <c r="AC437" i="51" s="1"/>
  <c r="AH444" i="50"/>
  <c r="AH428" i="51" s="1"/>
  <c r="AS444" i="50"/>
  <c r="AS428" i="51" s="1"/>
  <c r="W444" i="50"/>
  <c r="W428" i="51" s="1"/>
  <c r="C444" i="50"/>
  <c r="C445" i="50"/>
  <c r="C446" i="50"/>
  <c r="AB446" i="50" s="1"/>
  <c r="AB430" i="51" s="1"/>
  <c r="C463" i="50"/>
  <c r="AV463" i="50" s="1"/>
  <c r="AV446" i="51" s="1"/>
  <c r="C451" i="50"/>
  <c r="X451" i="50"/>
  <c r="X435" i="51" s="1"/>
  <c r="AU454" i="50"/>
  <c r="AU437" i="51" s="1"/>
  <c r="AT456" i="50"/>
  <c r="AT439" i="51" s="1"/>
  <c r="AL454" i="50"/>
  <c r="AL437" i="51" s="1"/>
  <c r="AD463" i="50"/>
  <c r="AD446" i="51" s="1"/>
  <c r="AH451" i="50"/>
  <c r="AH435" i="51" s="1"/>
  <c r="AG456" i="50"/>
  <c r="AG439" i="51" s="1"/>
  <c r="Y454" i="50"/>
  <c r="Y437" i="51" s="1"/>
  <c r="Y451" i="50"/>
  <c r="Y435" i="51" s="1"/>
  <c r="AT448" i="50"/>
  <c r="AT432" i="51" s="1"/>
  <c r="AD444" i="50"/>
  <c r="AD428" i="51" s="1"/>
  <c r="AC449" i="50"/>
  <c r="AC433" i="51" s="1"/>
  <c r="AS445" i="50"/>
  <c r="AS429" i="51" s="1"/>
  <c r="AO444" i="50"/>
  <c r="AO428" i="51" s="1"/>
  <c r="AJ449" i="50"/>
  <c r="AJ433" i="51" s="1"/>
  <c r="AJ444" i="50"/>
  <c r="AJ428" i="51" s="1"/>
  <c r="X446" i="50"/>
  <c r="X430" i="51" s="1"/>
  <c r="W448" i="50"/>
  <c r="W432" i="51" s="1"/>
  <c r="AI449" i="50"/>
  <c r="AI433" i="51" s="1"/>
  <c r="C448" i="50"/>
  <c r="C449" i="50"/>
  <c r="AP449" i="50" s="1"/>
  <c r="AP433" i="51" s="1"/>
  <c r="C450" i="50"/>
  <c r="AO450" i="50" s="1"/>
  <c r="AO434" i="51" s="1"/>
  <c r="C462" i="50"/>
  <c r="AQ464" i="50"/>
  <c r="AV456" i="50"/>
  <c r="AV439" i="51" s="1"/>
  <c r="AN454" i="50"/>
  <c r="AN437" i="51" s="1"/>
  <c r="AF463" i="50"/>
  <c r="AF446" i="51" s="1"/>
  <c r="AM456" i="50"/>
  <c r="AM439" i="51" s="1"/>
  <c r="AE454" i="50"/>
  <c r="AE437" i="51" s="1"/>
  <c r="W463" i="50"/>
  <c r="W446" i="51" s="1"/>
  <c r="AD456" i="50"/>
  <c r="AD439" i="51" s="1"/>
  <c r="V454" i="50"/>
  <c r="V437" i="51" s="1"/>
  <c r="AP462" i="50"/>
  <c r="AP445" i="51" s="1"/>
  <c r="V451" i="50"/>
  <c r="V435" i="51" s="1"/>
  <c r="U456" i="50"/>
  <c r="U439" i="51" s="1"/>
  <c r="AS454" i="50"/>
  <c r="AS437" i="51" s="1"/>
  <c r="AK463" i="50"/>
  <c r="AK446" i="51" s="1"/>
  <c r="AG462" i="50"/>
  <c r="AG445" i="51" s="1"/>
  <c r="AS451" i="50"/>
  <c r="AS435" i="51" s="1"/>
  <c r="AL449" i="50"/>
  <c r="AL433" i="51" s="1"/>
  <c r="AH448" i="50"/>
  <c r="AH432" i="51" s="1"/>
  <c r="Z446" i="50"/>
  <c r="Z430" i="51" s="1"/>
  <c r="U450" i="50"/>
  <c r="U434" i="51" s="1"/>
  <c r="AS448" i="50"/>
  <c r="AS432" i="51" s="1"/>
  <c r="AK446" i="50"/>
  <c r="AK430" i="51" s="1"/>
  <c r="AC444" i="50"/>
  <c r="AC428" i="51" s="1"/>
  <c r="AN448" i="50"/>
  <c r="AN432" i="51" s="1"/>
  <c r="AE449" i="50"/>
  <c r="AE433" i="51" s="1"/>
  <c r="AV445" i="50"/>
  <c r="AV429" i="51" s="1"/>
  <c r="W449" i="50"/>
  <c r="W433" i="51" s="1"/>
  <c r="X444" i="50"/>
  <c r="X428" i="51" s="1"/>
  <c r="AM446" i="50"/>
  <c r="AM430" i="51" s="1"/>
  <c r="AQ446" i="50"/>
  <c r="AQ430" i="51" s="1"/>
  <c r="AI444" i="50"/>
  <c r="AI428" i="51" s="1"/>
  <c r="AE446" i="50"/>
  <c r="AE430" i="51" s="1"/>
  <c r="M441" i="50"/>
  <c r="C453" i="50"/>
  <c r="C457" i="50" s="1"/>
  <c r="AS457" i="50" s="1"/>
  <c r="AS440" i="51" s="1"/>
  <c r="C461" i="50"/>
  <c r="AF456" i="50"/>
  <c r="AF439" i="51" s="1"/>
  <c r="X454" i="50"/>
  <c r="X437" i="51" s="1"/>
  <c r="W456" i="50"/>
  <c r="W439" i="51" s="1"/>
  <c r="AI462" i="50"/>
  <c r="AI445" i="51" s="1"/>
  <c r="AU451" i="50"/>
  <c r="AU435" i="51" s="1"/>
  <c r="Z462" i="50"/>
  <c r="Z445" i="51" s="1"/>
  <c r="AT450" i="50"/>
  <c r="AT434" i="51" s="1"/>
  <c r="AO454" i="50"/>
  <c r="AO437" i="51" s="1"/>
  <c r="AG463" i="50"/>
  <c r="AG446" i="51" s="1"/>
  <c r="AC462" i="50"/>
  <c r="AC445" i="51" s="1"/>
  <c r="AO451" i="50"/>
  <c r="AO435" i="51" s="1"/>
  <c r="AH449" i="50"/>
  <c r="AH433" i="51" s="1"/>
  <c r="AD448" i="50"/>
  <c r="AD432" i="51" s="1"/>
  <c r="V446" i="50"/>
  <c r="V430" i="51" s="1"/>
  <c r="AT444" i="50"/>
  <c r="AT428" i="51" s="1"/>
  <c r="AV449" i="50"/>
  <c r="AV433" i="51" s="1"/>
  <c r="AS449" i="50"/>
  <c r="AS433" i="51" s="1"/>
  <c r="AO448" i="50"/>
  <c r="AO432" i="51" s="1"/>
  <c r="AG446" i="50"/>
  <c r="AG430" i="51" s="1"/>
  <c r="Y444" i="50"/>
  <c r="Y428" i="51" s="1"/>
  <c r="AR450" i="50"/>
  <c r="AR434" i="51" s="1"/>
  <c r="AF448" i="50"/>
  <c r="AF432" i="51" s="1"/>
  <c r="AQ448" i="50"/>
  <c r="AQ432" i="51" s="1"/>
  <c r="AN445" i="50"/>
  <c r="AN429" i="51" s="1"/>
  <c r="AI448" i="50"/>
  <c r="AI432" i="51" s="1"/>
  <c r="W446" i="50"/>
  <c r="W430" i="51" s="1"/>
  <c r="AE450" i="50"/>
  <c r="AE434" i="51" s="1"/>
  <c r="AI446" i="50"/>
  <c r="AI430" i="51" s="1"/>
  <c r="AA444" i="50"/>
  <c r="AA428" i="51" s="1"/>
  <c r="AM449" i="50"/>
  <c r="AM433" i="51" s="1"/>
  <c r="AQ445" i="50"/>
  <c r="AQ429" i="51" s="1"/>
  <c r="L441" i="50"/>
  <c r="C441" i="50"/>
  <c r="C443" i="50"/>
  <c r="AD443" i="50" s="1"/>
  <c r="AD427" i="51" s="1"/>
  <c r="C447" i="50"/>
  <c r="AR447" i="50" s="1"/>
  <c r="AR431" i="51" s="1"/>
  <c r="G172" i="51"/>
  <c r="I172" i="51"/>
  <c r="AC419" i="50"/>
  <c r="AC404" i="51" s="1"/>
  <c r="D419" i="50"/>
  <c r="I419" i="50"/>
  <c r="K419" i="50"/>
  <c r="E419" i="50"/>
  <c r="J419" i="50"/>
  <c r="H419" i="50"/>
  <c r="F419" i="50"/>
  <c r="H439" i="50"/>
  <c r="F439" i="50"/>
  <c r="D439" i="50"/>
  <c r="I439" i="50"/>
  <c r="K439" i="50"/>
  <c r="J439" i="50"/>
  <c r="E439" i="50"/>
  <c r="AK420" i="50"/>
  <c r="AK405" i="51" s="1"/>
  <c r="J420" i="50"/>
  <c r="H420" i="50"/>
  <c r="F420" i="50"/>
  <c r="D420" i="50"/>
  <c r="I420" i="50"/>
  <c r="K420" i="50"/>
  <c r="E420" i="50"/>
  <c r="G185" i="50"/>
  <c r="I185" i="50"/>
  <c r="K413" i="50"/>
  <c r="E202" i="51"/>
  <c r="J202" i="51"/>
  <c r="H202" i="51"/>
  <c r="F202" i="51"/>
  <c r="D202" i="51"/>
  <c r="K202" i="51"/>
  <c r="H203" i="51"/>
  <c r="J203" i="51"/>
  <c r="D203" i="51"/>
  <c r="K203" i="51"/>
  <c r="F203" i="51"/>
  <c r="E203" i="51"/>
  <c r="K200" i="51"/>
  <c r="H200" i="51"/>
  <c r="F200" i="51"/>
  <c r="D200" i="51"/>
  <c r="J200" i="51"/>
  <c r="E200" i="51"/>
  <c r="J206" i="51"/>
  <c r="E206" i="51"/>
  <c r="K206" i="51"/>
  <c r="F206" i="51"/>
  <c r="D206" i="51"/>
  <c r="H206" i="51"/>
  <c r="G177" i="51"/>
  <c r="I177" i="51"/>
  <c r="G176" i="51"/>
  <c r="I176" i="51"/>
  <c r="G383" i="51"/>
  <c r="K391" i="51"/>
  <c r="X214" i="51"/>
  <c r="X235" i="50"/>
  <c r="X227" i="51" s="1"/>
  <c r="X211" i="51"/>
  <c r="X212" i="51"/>
  <c r="X209" i="51"/>
  <c r="X234" i="50"/>
  <c r="X226" i="51" s="1"/>
  <c r="X210" i="51"/>
  <c r="X217" i="51"/>
  <c r="X216" i="51"/>
  <c r="X215" i="51"/>
  <c r="C216" i="50"/>
  <c r="C219" i="50"/>
  <c r="C234" i="50"/>
  <c r="M233" i="50"/>
  <c r="C225" i="50"/>
  <c r="D220" i="50"/>
  <c r="D215" i="50"/>
  <c r="C217" i="50"/>
  <c r="C233" i="50"/>
  <c r="D233" i="50"/>
  <c r="C224" i="50"/>
  <c r="C218" i="50"/>
  <c r="C235" i="50"/>
  <c r="C215" i="50"/>
  <c r="D225" i="50"/>
  <c r="C223" i="50"/>
  <c r="Y217" i="51"/>
  <c r="Y215" i="51"/>
  <c r="Y216" i="51"/>
  <c r="Y235" i="50"/>
  <c r="Y227" i="51" s="1"/>
  <c r="Y211" i="51"/>
  <c r="Y214" i="51"/>
  <c r="Y209" i="51"/>
  <c r="Y212" i="51"/>
  <c r="Y210" i="51"/>
  <c r="Y234" i="50"/>
  <c r="Y226" i="51" s="1"/>
  <c r="Z215" i="51"/>
  <c r="Z212" i="51"/>
  <c r="X233" i="50"/>
  <c r="Z234" i="50"/>
  <c r="Z226" i="51" s="1"/>
  <c r="Z210" i="51"/>
  <c r="Z235" i="50"/>
  <c r="Z227" i="51" s="1"/>
  <c r="Z211" i="51"/>
  <c r="Z216" i="51"/>
  <c r="Z233" i="50"/>
  <c r="Z217" i="51"/>
  <c r="Z209" i="51"/>
  <c r="Z214" i="51"/>
  <c r="AA212" i="51"/>
  <c r="AA233" i="50"/>
  <c r="AA217" i="51"/>
  <c r="AA209" i="51"/>
  <c r="AA234" i="50"/>
  <c r="AA226" i="51" s="1"/>
  <c r="AA210" i="51"/>
  <c r="AA215" i="51"/>
  <c r="AA216" i="51"/>
  <c r="AA214" i="51"/>
  <c r="AA235" i="50"/>
  <c r="AA227" i="51" s="1"/>
  <c r="AA211" i="51"/>
  <c r="AB234" i="50"/>
  <c r="AB226" i="51" s="1"/>
  <c r="AB210" i="51"/>
  <c r="AB215" i="51"/>
  <c r="C220" i="50"/>
  <c r="C221" i="50" s="1"/>
  <c r="AB216" i="51"/>
  <c r="AB214" i="51"/>
  <c r="AB235" i="50"/>
  <c r="AB227" i="51" s="1"/>
  <c r="AB211" i="51"/>
  <c r="AB212" i="51"/>
  <c r="AB233" i="50"/>
  <c r="AB217" i="51"/>
  <c r="AB209" i="51"/>
  <c r="L220" i="50"/>
  <c r="AC235" i="50"/>
  <c r="AC227" i="51" s="1"/>
  <c r="AC211" i="51"/>
  <c r="AC216" i="51"/>
  <c r="AC233" i="50"/>
  <c r="AC217" i="51"/>
  <c r="AC209" i="51"/>
  <c r="AC214" i="51"/>
  <c r="AC215" i="51"/>
  <c r="AC212" i="51"/>
  <c r="AC234" i="50"/>
  <c r="AC226" i="51" s="1"/>
  <c r="AC210" i="51"/>
  <c r="AD235" i="50"/>
  <c r="AD227" i="51" s="1"/>
  <c r="AD211" i="51"/>
  <c r="AD216" i="51"/>
  <c r="AD233" i="50"/>
  <c r="AD217" i="51"/>
  <c r="AD209" i="51"/>
  <c r="AD214" i="51"/>
  <c r="AD215" i="51"/>
  <c r="AD212" i="51"/>
  <c r="AD234" i="50"/>
  <c r="AD226" i="51" s="1"/>
  <c r="AD210" i="51"/>
  <c r="AE234" i="50"/>
  <c r="AE226" i="51" s="1"/>
  <c r="AE210" i="51"/>
  <c r="AE216" i="51"/>
  <c r="AE214" i="51"/>
  <c r="AE235" i="50"/>
  <c r="AE227" i="51" s="1"/>
  <c r="AE211" i="51"/>
  <c r="AE212" i="51"/>
  <c r="AE233" i="50"/>
  <c r="AE217" i="51"/>
  <c r="AE209" i="51"/>
  <c r="AE215" i="51"/>
  <c r="AF234" i="50"/>
  <c r="AF226" i="51" s="1"/>
  <c r="AF210" i="51"/>
  <c r="AF215" i="51"/>
  <c r="AF216" i="51"/>
  <c r="AF214" i="51"/>
  <c r="AF235" i="50"/>
  <c r="AF227" i="51" s="1"/>
  <c r="AF211" i="51"/>
  <c r="AF212" i="51"/>
  <c r="AF233" i="50"/>
  <c r="AF217" i="51"/>
  <c r="AF209" i="51"/>
  <c r="AG235" i="50"/>
  <c r="AG227" i="51" s="1"/>
  <c r="AG211" i="51"/>
  <c r="AG233" i="50"/>
  <c r="AG217" i="51"/>
  <c r="AG209" i="51"/>
  <c r="AG214" i="51"/>
  <c r="AG215" i="51"/>
  <c r="AG212" i="51"/>
  <c r="AG234" i="50"/>
  <c r="AG226" i="51" s="1"/>
  <c r="AG210" i="51"/>
  <c r="AG216" i="51"/>
  <c r="Y233" i="50"/>
  <c r="G183" i="50"/>
  <c r="I183" i="50"/>
  <c r="K393" i="50"/>
  <c r="C419" i="51"/>
  <c r="J408" i="51"/>
  <c r="K408" i="51"/>
  <c r="H408" i="51"/>
  <c r="E408" i="51"/>
  <c r="D408" i="51"/>
  <c r="F408" i="51"/>
  <c r="I408" i="51"/>
  <c r="D403" i="51"/>
  <c r="H402" i="51"/>
  <c r="J402" i="51"/>
  <c r="D402" i="51"/>
  <c r="F402" i="51"/>
  <c r="E403" i="51"/>
  <c r="G403" i="51" s="1"/>
  <c r="E402" i="51"/>
  <c r="D404" i="51"/>
  <c r="E404" i="51"/>
  <c r="J404" i="51"/>
  <c r="H404" i="51"/>
  <c r="F404" i="51"/>
  <c r="I404" i="51"/>
  <c r="K404" i="51"/>
  <c r="H410" i="51"/>
  <c r="I410" i="51"/>
  <c r="J410" i="51"/>
  <c r="K410" i="51"/>
  <c r="F410" i="51"/>
  <c r="D410" i="51"/>
  <c r="E410" i="51"/>
  <c r="G189" i="50"/>
  <c r="I189" i="50"/>
  <c r="AE205" i="51"/>
  <c r="AD188" i="51"/>
  <c r="AC205" i="51"/>
  <c r="AB205" i="51"/>
  <c r="D206" i="50"/>
  <c r="E206" i="50"/>
  <c r="K206" i="50"/>
  <c r="J206" i="50"/>
  <c r="H206" i="50"/>
  <c r="F206" i="50"/>
  <c r="K198" i="50"/>
  <c r="E198" i="50"/>
  <c r="J198" i="50"/>
  <c r="H198" i="50"/>
  <c r="F198" i="50"/>
  <c r="D198" i="50"/>
  <c r="G168" i="51"/>
  <c r="I168" i="51"/>
  <c r="I186" i="51"/>
  <c r="G186" i="51"/>
  <c r="I169" i="51"/>
  <c r="G169" i="51"/>
  <c r="C14" i="47"/>
  <c r="D14" i="47" s="1"/>
  <c r="C10" i="44"/>
  <c r="B86" i="42"/>
  <c r="B97" i="42"/>
  <c r="C252" i="50" l="1"/>
  <c r="C251" i="50"/>
  <c r="C250" i="50"/>
  <c r="C248" i="50"/>
  <c r="C249" i="50"/>
  <c r="C247" i="50"/>
  <c r="AC222" i="51"/>
  <c r="AE218" i="51"/>
  <c r="AC218" i="51"/>
  <c r="X218" i="51"/>
  <c r="C211" i="50"/>
  <c r="B3" i="44"/>
  <c r="E3" i="44" s="1"/>
  <c r="Y218" i="51"/>
  <c r="AG218" i="51"/>
  <c r="AF218" i="51"/>
  <c r="AA218" i="51"/>
  <c r="AG222" i="51"/>
  <c r="AD222" i="51"/>
  <c r="AB222" i="51"/>
  <c r="Y222" i="51"/>
  <c r="AB218" i="51"/>
  <c r="C232" i="50"/>
  <c r="AD218" i="51"/>
  <c r="Z218" i="51"/>
  <c r="AE222" i="51"/>
  <c r="AC224" i="51"/>
  <c r="AA224" i="51"/>
  <c r="AA222" i="51"/>
  <c r="Z224" i="51"/>
  <c r="G395" i="51"/>
  <c r="I433" i="50"/>
  <c r="I436" i="50"/>
  <c r="AK436" i="50"/>
  <c r="AK420" i="51" s="1"/>
  <c r="Z436" i="50"/>
  <c r="Z420" i="51" s="1"/>
  <c r="J435" i="50"/>
  <c r="G424" i="50"/>
  <c r="G420" i="50"/>
  <c r="AD435" i="50"/>
  <c r="AD419" i="51" s="1"/>
  <c r="G426" i="50"/>
  <c r="AO435" i="50"/>
  <c r="AO419" i="51" s="1"/>
  <c r="AU435" i="50"/>
  <c r="AU419" i="51" s="1"/>
  <c r="AR431" i="50"/>
  <c r="AR415" i="51" s="1"/>
  <c r="I175" i="51"/>
  <c r="K432" i="50"/>
  <c r="K431" i="50"/>
  <c r="K194" i="51"/>
  <c r="J194" i="51"/>
  <c r="D194" i="51"/>
  <c r="E194" i="51"/>
  <c r="G194" i="51" s="1"/>
  <c r="G179" i="50"/>
  <c r="AS434" i="50"/>
  <c r="AS418" i="51" s="1"/>
  <c r="H434" i="50"/>
  <c r="D433" i="50"/>
  <c r="AP436" i="50"/>
  <c r="AP420" i="51" s="1"/>
  <c r="D436" i="50"/>
  <c r="H436" i="50"/>
  <c r="J433" i="50"/>
  <c r="AS431" i="50"/>
  <c r="AS415" i="51" s="1"/>
  <c r="AU436" i="50"/>
  <c r="AU420" i="51" s="1"/>
  <c r="J436" i="50"/>
  <c r="E433" i="50"/>
  <c r="AQ436" i="50"/>
  <c r="AQ420" i="51" s="1"/>
  <c r="AI433" i="50"/>
  <c r="AI417" i="51" s="1"/>
  <c r="I431" i="50"/>
  <c r="AI435" i="50"/>
  <c r="AI419" i="51" s="1"/>
  <c r="AG431" i="50"/>
  <c r="AG415" i="51" s="1"/>
  <c r="AM431" i="50"/>
  <c r="AM415" i="51" s="1"/>
  <c r="AC435" i="50"/>
  <c r="AC419" i="51" s="1"/>
  <c r="X435" i="50"/>
  <c r="X419" i="51" s="1"/>
  <c r="F200" i="50"/>
  <c r="D435" i="50"/>
  <c r="E435" i="50"/>
  <c r="AH435" i="50"/>
  <c r="AH419" i="51" s="1"/>
  <c r="AP435" i="50"/>
  <c r="AP419" i="51" s="1"/>
  <c r="E200" i="50"/>
  <c r="I200" i="50" s="1"/>
  <c r="I179" i="50"/>
  <c r="F435" i="50"/>
  <c r="K435" i="50"/>
  <c r="E436" i="50"/>
  <c r="F433" i="50"/>
  <c r="K433" i="50"/>
  <c r="AE435" i="50"/>
  <c r="AE419" i="51" s="1"/>
  <c r="AJ435" i="50"/>
  <c r="AJ419" i="51" s="1"/>
  <c r="U435" i="50"/>
  <c r="U419" i="51" s="1"/>
  <c r="H417" i="51"/>
  <c r="AD436" i="50"/>
  <c r="AD420" i="51" s="1"/>
  <c r="AJ436" i="50"/>
  <c r="AJ420" i="51" s="1"/>
  <c r="AO436" i="50"/>
  <c r="AO420" i="51" s="1"/>
  <c r="K402" i="51"/>
  <c r="AF435" i="50"/>
  <c r="AF419" i="51" s="1"/>
  <c r="AK435" i="50"/>
  <c r="AK419" i="51" s="1"/>
  <c r="K417" i="51"/>
  <c r="H435" i="50"/>
  <c r="I435" i="50"/>
  <c r="F436" i="50"/>
  <c r="K436" i="50"/>
  <c r="AE436" i="50"/>
  <c r="AE420" i="51" s="1"/>
  <c r="T436" i="50"/>
  <c r="T420" i="51" s="1"/>
  <c r="T435" i="50"/>
  <c r="T419" i="51" s="1"/>
  <c r="Y435" i="50"/>
  <c r="Y419" i="51" s="1"/>
  <c r="AI436" i="50"/>
  <c r="AI420" i="51" s="1"/>
  <c r="X436" i="50"/>
  <c r="X420" i="51" s="1"/>
  <c r="Y436" i="50"/>
  <c r="Y420" i="51" s="1"/>
  <c r="AB435" i="50"/>
  <c r="AB419" i="51" s="1"/>
  <c r="AA436" i="50"/>
  <c r="AA420" i="51" s="1"/>
  <c r="AG435" i="50"/>
  <c r="AG419" i="51" s="1"/>
  <c r="W435" i="50"/>
  <c r="W419" i="51" s="1"/>
  <c r="AT435" i="50"/>
  <c r="AT419" i="51" s="1"/>
  <c r="AA435" i="50"/>
  <c r="AA419" i="51" s="1"/>
  <c r="AS435" i="50"/>
  <c r="AS419" i="51" s="1"/>
  <c r="AN435" i="50"/>
  <c r="AN419" i="51" s="1"/>
  <c r="V435" i="50"/>
  <c r="V419" i="51" s="1"/>
  <c r="G392" i="51"/>
  <c r="E431" i="50"/>
  <c r="E432" i="50"/>
  <c r="G432" i="50" s="1"/>
  <c r="AD431" i="50"/>
  <c r="AD415" i="51" s="1"/>
  <c r="AN431" i="50"/>
  <c r="AN415" i="51" s="1"/>
  <c r="AQ431" i="50"/>
  <c r="AQ415" i="51" s="1"/>
  <c r="AB431" i="50"/>
  <c r="AB415" i="51" s="1"/>
  <c r="I418" i="50"/>
  <c r="J434" i="50"/>
  <c r="Z431" i="50"/>
  <c r="Z415" i="51" s="1"/>
  <c r="G396" i="51"/>
  <c r="I432" i="50"/>
  <c r="J431" i="50"/>
  <c r="H431" i="50"/>
  <c r="AH431" i="50"/>
  <c r="AH415" i="51" s="1"/>
  <c r="X431" i="50"/>
  <c r="X415" i="51" s="1"/>
  <c r="AC431" i="50"/>
  <c r="AC415" i="51" s="1"/>
  <c r="AP434" i="50"/>
  <c r="AP418" i="51" s="1"/>
  <c r="W431" i="50"/>
  <c r="W415" i="51" s="1"/>
  <c r="AA431" i="50"/>
  <c r="AA415" i="51" s="1"/>
  <c r="K434" i="50"/>
  <c r="G411" i="50"/>
  <c r="F431" i="50"/>
  <c r="D431" i="50"/>
  <c r="D432" i="50"/>
  <c r="AT431" i="50"/>
  <c r="AT415" i="51" s="1"/>
  <c r="AO434" i="50"/>
  <c r="AO418" i="51" s="1"/>
  <c r="V431" i="50"/>
  <c r="V415" i="51" s="1"/>
  <c r="I434" i="50"/>
  <c r="U431" i="50"/>
  <c r="U415" i="51" s="1"/>
  <c r="AU434" i="50"/>
  <c r="AU418" i="51" s="1"/>
  <c r="AP431" i="50"/>
  <c r="AP415" i="51" s="1"/>
  <c r="Z242" i="51"/>
  <c r="Z244" i="51"/>
  <c r="Z240" i="51"/>
  <c r="AE243" i="51"/>
  <c r="Y243" i="51"/>
  <c r="Y242" i="51"/>
  <c r="AA240" i="51"/>
  <c r="AB243" i="51"/>
  <c r="AB242" i="51"/>
  <c r="AB240" i="51"/>
  <c r="AC242" i="51"/>
  <c r="AC244" i="51"/>
  <c r="AD244" i="51"/>
  <c r="AD242" i="51"/>
  <c r="AD243" i="51"/>
  <c r="AE242" i="51"/>
  <c r="AF242" i="51"/>
  <c r="AF240" i="51"/>
  <c r="AG240" i="51"/>
  <c r="AG242" i="51"/>
  <c r="AH244" i="51"/>
  <c r="AH242" i="51"/>
  <c r="AH240" i="51"/>
  <c r="I417" i="51"/>
  <c r="J417" i="51"/>
  <c r="D200" i="50"/>
  <c r="J200" i="50"/>
  <c r="D417" i="51"/>
  <c r="E417" i="51"/>
  <c r="G417" i="51" s="1"/>
  <c r="AQ435" i="50"/>
  <c r="AQ419" i="51" s="1"/>
  <c r="C85" i="50"/>
  <c r="C106" i="50"/>
  <c r="C127" i="50"/>
  <c r="C148" i="50"/>
  <c r="C165" i="50"/>
  <c r="C186" i="50" s="1"/>
  <c r="C169" i="50"/>
  <c r="C190" i="50"/>
  <c r="K200" i="50"/>
  <c r="AL435" i="50"/>
  <c r="AL419" i="51" s="1"/>
  <c r="AR435" i="50"/>
  <c r="AR419" i="51" s="1"/>
  <c r="AM435" i="50"/>
  <c r="AM419" i="51" s="1"/>
  <c r="K429" i="50"/>
  <c r="D434" i="50"/>
  <c r="AC436" i="50"/>
  <c r="AC420" i="51" s="1"/>
  <c r="AL431" i="50"/>
  <c r="AL415" i="51" s="1"/>
  <c r="T431" i="50"/>
  <c r="T415" i="51" s="1"/>
  <c r="Y431" i="50"/>
  <c r="Y415" i="51" s="1"/>
  <c r="AT434" i="50"/>
  <c r="AT418" i="51" s="1"/>
  <c r="AK431" i="50"/>
  <c r="AK415" i="51" s="1"/>
  <c r="AL436" i="50"/>
  <c r="AL420" i="51" s="1"/>
  <c r="AE431" i="50"/>
  <c r="AE415" i="51" s="1"/>
  <c r="K421" i="51"/>
  <c r="G417" i="50"/>
  <c r="E434" i="50"/>
  <c r="F434" i="50"/>
  <c r="AF431" i="50"/>
  <c r="AF415" i="51" s="1"/>
  <c r="I429" i="50"/>
  <c r="I413" i="51"/>
  <c r="AF436" i="50"/>
  <c r="AF420" i="51" s="1"/>
  <c r="AG436" i="50"/>
  <c r="AG420" i="51" s="1"/>
  <c r="K413" i="51"/>
  <c r="I406" i="51"/>
  <c r="AB436" i="50"/>
  <c r="AB420" i="51" s="1"/>
  <c r="V436" i="50"/>
  <c r="V420" i="51" s="1"/>
  <c r="AT436" i="50"/>
  <c r="AT420" i="51" s="1"/>
  <c r="AS436" i="50"/>
  <c r="AS420" i="51" s="1"/>
  <c r="K406" i="51"/>
  <c r="AH436" i="50"/>
  <c r="AH420" i="51" s="1"/>
  <c r="AM436" i="50"/>
  <c r="AM420" i="51" s="1"/>
  <c r="AR436" i="50"/>
  <c r="AR420" i="51" s="1"/>
  <c r="I402" i="51"/>
  <c r="K437" i="50"/>
  <c r="AN436" i="50"/>
  <c r="AN420" i="51" s="1"/>
  <c r="U436" i="50"/>
  <c r="U420" i="51" s="1"/>
  <c r="AI431" i="50"/>
  <c r="AI415" i="51" s="1"/>
  <c r="AJ431" i="50"/>
  <c r="AJ415" i="51" s="1"/>
  <c r="AO431" i="50"/>
  <c r="AO415" i="51" s="1"/>
  <c r="K421" i="50"/>
  <c r="I421" i="51"/>
  <c r="G425" i="50"/>
  <c r="I421" i="50"/>
  <c r="C455" i="50"/>
  <c r="AR455" i="50" s="1"/>
  <c r="AR438" i="51" s="1"/>
  <c r="X434" i="50"/>
  <c r="X418" i="51" s="1"/>
  <c r="U434" i="50"/>
  <c r="U418" i="51" s="1"/>
  <c r="Y434" i="50"/>
  <c r="Y418" i="51" s="1"/>
  <c r="AC434" i="50"/>
  <c r="AC418" i="51" s="1"/>
  <c r="AK434" i="50"/>
  <c r="AK418" i="51" s="1"/>
  <c r="AJ434" i="50"/>
  <c r="AJ418" i="51" s="1"/>
  <c r="T434" i="50"/>
  <c r="T418" i="51" s="1"/>
  <c r="AR434" i="50"/>
  <c r="AR418" i="51" s="1"/>
  <c r="AB434" i="50"/>
  <c r="AB418" i="51" s="1"/>
  <c r="AA434" i="50"/>
  <c r="AA418" i="51" s="1"/>
  <c r="AI434" i="50"/>
  <c r="AI418" i="51" s="1"/>
  <c r="AH434" i="50"/>
  <c r="AH418" i="51" s="1"/>
  <c r="W434" i="50"/>
  <c r="W418" i="51" s="1"/>
  <c r="Z434" i="50"/>
  <c r="Z418" i="51" s="1"/>
  <c r="AG434" i="50"/>
  <c r="AG418" i="51" s="1"/>
  <c r="AF434" i="50"/>
  <c r="AF418" i="51" s="1"/>
  <c r="AN434" i="50"/>
  <c r="AN418" i="51" s="1"/>
  <c r="AM434" i="50"/>
  <c r="AM418" i="51" s="1"/>
  <c r="AQ434" i="50"/>
  <c r="AQ418" i="51" s="1"/>
  <c r="AE434" i="50"/>
  <c r="AE418" i="51" s="1"/>
  <c r="AD434" i="50"/>
  <c r="AD418" i="51" s="1"/>
  <c r="AL434" i="50"/>
  <c r="AL418" i="51" s="1"/>
  <c r="AJ433" i="50"/>
  <c r="AJ417" i="51" s="1"/>
  <c r="AL433" i="50"/>
  <c r="AL417" i="51" s="1"/>
  <c r="AO433" i="50"/>
  <c r="AO417" i="51" s="1"/>
  <c r="AU433" i="50"/>
  <c r="AU417" i="51" s="1"/>
  <c r="AT433" i="50"/>
  <c r="AT417" i="51" s="1"/>
  <c r="AE433" i="50"/>
  <c r="AE417" i="51" s="1"/>
  <c r="AD433" i="50"/>
  <c r="AD417" i="51" s="1"/>
  <c r="AH433" i="50"/>
  <c r="AH417" i="51" s="1"/>
  <c r="X433" i="50"/>
  <c r="X417" i="51" s="1"/>
  <c r="W433" i="50"/>
  <c r="W417" i="51" s="1"/>
  <c r="AS433" i="50"/>
  <c r="AS417" i="51" s="1"/>
  <c r="AR433" i="50"/>
  <c r="AR417" i="51" s="1"/>
  <c r="AC433" i="50"/>
  <c r="AC417" i="51" s="1"/>
  <c r="AB433" i="50"/>
  <c r="AB417" i="51" s="1"/>
  <c r="AM433" i="50"/>
  <c r="AM417" i="51" s="1"/>
  <c r="V433" i="50"/>
  <c r="V417" i="51" s="1"/>
  <c r="U433" i="50"/>
  <c r="U417" i="51" s="1"/>
  <c r="AQ433" i="50"/>
  <c r="AQ417" i="51" s="1"/>
  <c r="Z433" i="50"/>
  <c r="Z417" i="51" s="1"/>
  <c r="AA433" i="50"/>
  <c r="AA417" i="51" s="1"/>
  <c r="AN433" i="50"/>
  <c r="AN417" i="51" s="1"/>
  <c r="AK433" i="50"/>
  <c r="AK417" i="51" s="1"/>
  <c r="T433" i="50"/>
  <c r="T417" i="51" s="1"/>
  <c r="AP433" i="50"/>
  <c r="AP417" i="51" s="1"/>
  <c r="Y433" i="50"/>
  <c r="Y417" i="51" s="1"/>
  <c r="AG433" i="50"/>
  <c r="AG417" i="51" s="1"/>
  <c r="AF433" i="50"/>
  <c r="AF417" i="51" s="1"/>
  <c r="I414" i="51"/>
  <c r="I430" i="50"/>
  <c r="AU457" i="50"/>
  <c r="AU440" i="51" s="1"/>
  <c r="AJ457" i="50"/>
  <c r="AJ440" i="51" s="1"/>
  <c r="AA457" i="50"/>
  <c r="AA440" i="51" s="1"/>
  <c r="AT457" i="50"/>
  <c r="AT440" i="51" s="1"/>
  <c r="AN457" i="50"/>
  <c r="AN440" i="51" s="1"/>
  <c r="AE457" i="50"/>
  <c r="AE440" i="51" s="1"/>
  <c r="AV457" i="50"/>
  <c r="AV440" i="51" s="1"/>
  <c r="AM457" i="50"/>
  <c r="AM440" i="51" s="1"/>
  <c r="X457" i="50"/>
  <c r="X440" i="51" s="1"/>
  <c r="AO457" i="50"/>
  <c r="AO440" i="51" s="1"/>
  <c r="AF457" i="50"/>
  <c r="AF440" i="51" s="1"/>
  <c r="W457" i="50"/>
  <c r="W440" i="51" s="1"/>
  <c r="AQ457" i="50"/>
  <c r="AQ440" i="51" s="1"/>
  <c r="AH457" i="50"/>
  <c r="AH440" i="51" s="1"/>
  <c r="Y457" i="50"/>
  <c r="Y440" i="51" s="1"/>
  <c r="AJ443" i="50"/>
  <c r="AJ427" i="51" s="1"/>
  <c r="Z447" i="50"/>
  <c r="Z431" i="51" s="1"/>
  <c r="AS455" i="50"/>
  <c r="AS438" i="51" s="1"/>
  <c r="C459" i="50"/>
  <c r="D459" i="50" s="1"/>
  <c r="AP453" i="50"/>
  <c r="AP436" i="51" s="1"/>
  <c r="AT453" i="50"/>
  <c r="AT436" i="51" s="1"/>
  <c r="AR453" i="50"/>
  <c r="AR436" i="51" s="1"/>
  <c r="AV453" i="50"/>
  <c r="AV436" i="51" s="1"/>
  <c r="AU453" i="50"/>
  <c r="AU436" i="51" s="1"/>
  <c r="AN453" i="50"/>
  <c r="AN436" i="51" s="1"/>
  <c r="AQ450" i="50"/>
  <c r="AQ434" i="51" s="1"/>
  <c r="Y443" i="50"/>
  <c r="Y427" i="51" s="1"/>
  <c r="AO447" i="50"/>
  <c r="AO431" i="51" s="1"/>
  <c r="AB450" i="50"/>
  <c r="AB434" i="51" s="1"/>
  <c r="AP450" i="50"/>
  <c r="AP434" i="51" s="1"/>
  <c r="AK448" i="50"/>
  <c r="AK432" i="51" s="1"/>
  <c r="AA448" i="50"/>
  <c r="AA432" i="51" s="1"/>
  <c r="AP448" i="50"/>
  <c r="AP432" i="51" s="1"/>
  <c r="U448" i="50"/>
  <c r="U432" i="51" s="1"/>
  <c r="AE448" i="50"/>
  <c r="AE432" i="51" s="1"/>
  <c r="Z448" i="50"/>
  <c r="Z432" i="51" s="1"/>
  <c r="X448" i="50"/>
  <c r="X432" i="51" s="1"/>
  <c r="AJ448" i="50"/>
  <c r="AJ432" i="51" s="1"/>
  <c r="AL448" i="50"/>
  <c r="AL432" i="51" s="1"/>
  <c r="AV448" i="50"/>
  <c r="AV432" i="51" s="1"/>
  <c r="W443" i="50"/>
  <c r="W427" i="51" s="1"/>
  <c r="AU448" i="50"/>
  <c r="AU432" i="51" s="1"/>
  <c r="AR446" i="50"/>
  <c r="AR430" i="51" s="1"/>
  <c r="AK443" i="50"/>
  <c r="AK427" i="51" s="1"/>
  <c r="Y448" i="50"/>
  <c r="Y432" i="51" s="1"/>
  <c r="AL446" i="50"/>
  <c r="AL430" i="51" s="1"/>
  <c r="AC455" i="50"/>
  <c r="AC438" i="51" s="1"/>
  <c r="AT451" i="50"/>
  <c r="AT435" i="51" s="1"/>
  <c r="AK451" i="50"/>
  <c r="AK435" i="51" s="1"/>
  <c r="AB451" i="50"/>
  <c r="AB435" i="51" s="1"/>
  <c r="AV451" i="50"/>
  <c r="AV435" i="51" s="1"/>
  <c r="AM451" i="50"/>
  <c r="AM435" i="51" s="1"/>
  <c r="AD451" i="50"/>
  <c r="AD435" i="51" s="1"/>
  <c r="U451" i="50"/>
  <c r="U435" i="51" s="1"/>
  <c r="AQ451" i="50"/>
  <c r="AQ435" i="51" s="1"/>
  <c r="AF451" i="50"/>
  <c r="AF435" i="51" s="1"/>
  <c r="W451" i="50"/>
  <c r="W435" i="51" s="1"/>
  <c r="AP451" i="50"/>
  <c r="AP435" i="51" s="1"/>
  <c r="AJ451" i="50"/>
  <c r="AJ435" i="51" s="1"/>
  <c r="AA451" i="50"/>
  <c r="AA435" i="51" s="1"/>
  <c r="AR451" i="50"/>
  <c r="AR435" i="51" s="1"/>
  <c r="AI451" i="50"/>
  <c r="AI435" i="51" s="1"/>
  <c r="Z451" i="50"/>
  <c r="Z435" i="51" s="1"/>
  <c r="AP444" i="50"/>
  <c r="AP428" i="51" s="1"/>
  <c r="U444" i="50"/>
  <c r="U428" i="51" s="1"/>
  <c r="Z444" i="50"/>
  <c r="Z428" i="51" s="1"/>
  <c r="AK444" i="50"/>
  <c r="AK428" i="51" s="1"/>
  <c r="AB444" i="50"/>
  <c r="AB428" i="51" s="1"/>
  <c r="AN444" i="50"/>
  <c r="AN428" i="51" s="1"/>
  <c r="V444" i="50"/>
  <c r="V428" i="51" s="1"/>
  <c r="AE443" i="50"/>
  <c r="AE427" i="51" s="1"/>
  <c r="W450" i="50"/>
  <c r="W434" i="51" s="1"/>
  <c r="X447" i="50"/>
  <c r="X431" i="51" s="1"/>
  <c r="AO443" i="50"/>
  <c r="AO427" i="51" s="1"/>
  <c r="AC448" i="50"/>
  <c r="AC432" i="51" s="1"/>
  <c r="AP446" i="50"/>
  <c r="AP430" i="51" s="1"/>
  <c r="AC451" i="50"/>
  <c r="AC435" i="51" s="1"/>
  <c r="AG455" i="50"/>
  <c r="AG438" i="51" s="1"/>
  <c r="AE451" i="50"/>
  <c r="AE435" i="51" s="1"/>
  <c r="AI455" i="50"/>
  <c r="AI438" i="51" s="1"/>
  <c r="AM444" i="50"/>
  <c r="AM428" i="51" s="1"/>
  <c r="AN446" i="50"/>
  <c r="AN430" i="51" s="1"/>
  <c r="AU445" i="50"/>
  <c r="AU429" i="51" s="1"/>
  <c r="AU444" i="50"/>
  <c r="AU428" i="51" s="1"/>
  <c r="AV446" i="50"/>
  <c r="AV430" i="51" s="1"/>
  <c r="AS443" i="50"/>
  <c r="AS427" i="51" s="1"/>
  <c r="AO446" i="50"/>
  <c r="AO430" i="51" s="1"/>
  <c r="AK449" i="50"/>
  <c r="AK433" i="51" s="1"/>
  <c r="V448" i="50"/>
  <c r="V432" i="51" s="1"/>
  <c r="AG451" i="50"/>
  <c r="AG435" i="51" s="1"/>
  <c r="AS453" i="50"/>
  <c r="AS436" i="51" s="1"/>
  <c r="AD457" i="50"/>
  <c r="AD440" i="51" s="1"/>
  <c r="V447" i="50"/>
  <c r="V431" i="51" s="1"/>
  <c r="AF447" i="50"/>
  <c r="AF431" i="51" s="1"/>
  <c r="AQ447" i="50"/>
  <c r="AQ431" i="51" s="1"/>
  <c r="AI447" i="50"/>
  <c r="AI431" i="51" s="1"/>
  <c r="AG447" i="50"/>
  <c r="AG431" i="51" s="1"/>
  <c r="AE447" i="50"/>
  <c r="AE431" i="51" s="1"/>
  <c r="AU447" i="50"/>
  <c r="AU431" i="51" s="1"/>
  <c r="AL447" i="50"/>
  <c r="AL431" i="51" s="1"/>
  <c r="AS447" i="50"/>
  <c r="AS431" i="51" s="1"/>
  <c r="AP443" i="50"/>
  <c r="AP427" i="51" s="1"/>
  <c r="AB457" i="50"/>
  <c r="AB440" i="51" s="1"/>
  <c r="AQ441" i="50"/>
  <c r="AQ425" i="51" s="1"/>
  <c r="AD447" i="50"/>
  <c r="AD431" i="51" s="1"/>
  <c r="AI457" i="50"/>
  <c r="AI440" i="51" s="1"/>
  <c r="AQ462" i="50"/>
  <c r="AQ445" i="51" s="1"/>
  <c r="AH462" i="50"/>
  <c r="AH445" i="51" s="1"/>
  <c r="Y462" i="50"/>
  <c r="Y445" i="51" s="1"/>
  <c r="AU462" i="50"/>
  <c r="AU445" i="51" s="1"/>
  <c r="AL462" i="50"/>
  <c r="AL445" i="51" s="1"/>
  <c r="AJ462" i="50"/>
  <c r="AJ445" i="51" s="1"/>
  <c r="AA462" i="50"/>
  <c r="AA445" i="51" s="1"/>
  <c r="AT462" i="50"/>
  <c r="AT445" i="51" s="1"/>
  <c r="AN462" i="50"/>
  <c r="AN445" i="51" s="1"/>
  <c r="AE462" i="50"/>
  <c r="AE445" i="51" s="1"/>
  <c r="V462" i="50"/>
  <c r="V445" i="51" s="1"/>
  <c r="AV462" i="50"/>
  <c r="AV445" i="51" s="1"/>
  <c r="AM462" i="50"/>
  <c r="AM445" i="51" s="1"/>
  <c r="AD462" i="50"/>
  <c r="AD445" i="51" s="1"/>
  <c r="U462" i="50"/>
  <c r="U445" i="51" s="1"/>
  <c r="X462" i="50"/>
  <c r="X445" i="51" s="1"/>
  <c r="AO462" i="50"/>
  <c r="AO445" i="51" s="1"/>
  <c r="AF462" i="50"/>
  <c r="AF445" i="51" s="1"/>
  <c r="W462" i="50"/>
  <c r="W445" i="51" s="1"/>
  <c r="AI443" i="50"/>
  <c r="AI427" i="51" s="1"/>
  <c r="AB447" i="50"/>
  <c r="AB431" i="51" s="1"/>
  <c r="Z443" i="50"/>
  <c r="Z427" i="51" s="1"/>
  <c r="AP447" i="50"/>
  <c r="AP431" i="51" s="1"/>
  <c r="AC457" i="50"/>
  <c r="AC440" i="51" s="1"/>
  <c r="AS462" i="50"/>
  <c r="AS445" i="51" s="1"/>
  <c r="AB455" i="50"/>
  <c r="AB438" i="51" s="1"/>
  <c r="AR463" i="50"/>
  <c r="AR446" i="51" s="1"/>
  <c r="AI463" i="50"/>
  <c r="AI446" i="51" s="1"/>
  <c r="Z463" i="50"/>
  <c r="Z446" i="51" s="1"/>
  <c r="X463" i="50"/>
  <c r="X446" i="51" s="1"/>
  <c r="AQ463" i="50"/>
  <c r="AQ446" i="51" s="1"/>
  <c r="AH463" i="50"/>
  <c r="AH446" i="51" s="1"/>
  <c r="AB463" i="50"/>
  <c r="AB446" i="51" s="1"/>
  <c r="AS463" i="50"/>
  <c r="AS446" i="51" s="1"/>
  <c r="AJ463" i="50"/>
  <c r="AJ446" i="51" s="1"/>
  <c r="AA463" i="50"/>
  <c r="AA446" i="51" s="1"/>
  <c r="AU463" i="50"/>
  <c r="AU446" i="51" s="1"/>
  <c r="AL463" i="50"/>
  <c r="AL446" i="51" s="1"/>
  <c r="AC463" i="50"/>
  <c r="AC446" i="51" s="1"/>
  <c r="AP463" i="50"/>
  <c r="AP446" i="51" s="1"/>
  <c r="AN463" i="50"/>
  <c r="AN446" i="51" s="1"/>
  <c r="AE463" i="50"/>
  <c r="AE446" i="51" s="1"/>
  <c r="V463" i="50"/>
  <c r="V446" i="51" s="1"/>
  <c r="AO463" i="50"/>
  <c r="AO446" i="51" s="1"/>
  <c r="AF446" i="50"/>
  <c r="AF430" i="51" s="1"/>
  <c r="AJ447" i="50"/>
  <c r="AJ431" i="51" s="1"/>
  <c r="AG449" i="50"/>
  <c r="AG433" i="51" s="1"/>
  <c r="AT447" i="50"/>
  <c r="AT431" i="51" s="1"/>
  <c r="AG457" i="50"/>
  <c r="AG440" i="51" s="1"/>
  <c r="U463" i="50"/>
  <c r="U446" i="51" s="1"/>
  <c r="AN451" i="50"/>
  <c r="AN435" i="51" s="1"/>
  <c r="AU446" i="50"/>
  <c r="AU430" i="51" s="1"/>
  <c r="W447" i="50"/>
  <c r="W431" i="51" s="1"/>
  <c r="AA447" i="50"/>
  <c r="AA431" i="51" s="1"/>
  <c r="AA450" i="50"/>
  <c r="AA434" i="51" s="1"/>
  <c r="X450" i="50"/>
  <c r="X434" i="51" s="1"/>
  <c r="AG444" i="50"/>
  <c r="AG428" i="51" s="1"/>
  <c r="AC447" i="50"/>
  <c r="AC431" i="51" s="1"/>
  <c r="AU441" i="50"/>
  <c r="AU425" i="51" s="1"/>
  <c r="AP445" i="50"/>
  <c r="AP429" i="51" s="1"/>
  <c r="Z449" i="50"/>
  <c r="Z433" i="51" s="1"/>
  <c r="U457" i="50"/>
  <c r="U440" i="51" s="1"/>
  <c r="K403" i="51"/>
  <c r="X443" i="50"/>
  <c r="X427" i="51" s="1"/>
  <c r="AU443" i="50"/>
  <c r="AU427" i="51" s="1"/>
  <c r="AG443" i="50"/>
  <c r="AG427" i="51" s="1"/>
  <c r="AL443" i="50"/>
  <c r="AL427" i="51" s="1"/>
  <c r="V443" i="50"/>
  <c r="V427" i="51" s="1"/>
  <c r="AA443" i="50"/>
  <c r="AA427" i="51" s="1"/>
  <c r="AC443" i="50"/>
  <c r="AC427" i="51" s="1"/>
  <c r="AB443" i="50"/>
  <c r="AB427" i="51" s="1"/>
  <c r="AF443" i="50"/>
  <c r="AF427" i="51" s="1"/>
  <c r="AN447" i="50"/>
  <c r="AN431" i="51" s="1"/>
  <c r="V457" i="50"/>
  <c r="V440" i="51" s="1"/>
  <c r="AT443" i="50"/>
  <c r="AT427" i="51" s="1"/>
  <c r="AR457" i="50"/>
  <c r="AR440" i="51" s="1"/>
  <c r="AV450" i="50"/>
  <c r="AV434" i="51" s="1"/>
  <c r="AF450" i="50"/>
  <c r="AF434" i="51" s="1"/>
  <c r="AU450" i="50"/>
  <c r="AU434" i="51" s="1"/>
  <c r="AN450" i="50"/>
  <c r="AN434" i="51" s="1"/>
  <c r="AC450" i="50"/>
  <c r="AC434" i="51" s="1"/>
  <c r="AH450" i="50"/>
  <c r="AH434" i="51" s="1"/>
  <c r="AI450" i="50"/>
  <c r="AI434" i="51" s="1"/>
  <c r="AS450" i="50"/>
  <c r="AS434" i="51" s="1"/>
  <c r="AJ450" i="50"/>
  <c r="AJ434" i="51" s="1"/>
  <c r="Y450" i="50"/>
  <c r="Y434" i="51" s="1"/>
  <c r="AG450" i="50"/>
  <c r="AG434" i="51" s="1"/>
  <c r="AC446" i="50"/>
  <c r="AC430" i="51" s="1"/>
  <c r="AH446" i="50"/>
  <c r="AH430" i="51" s="1"/>
  <c r="AJ446" i="50"/>
  <c r="AJ430" i="51" s="1"/>
  <c r="AA446" i="50"/>
  <c r="AA430" i="51" s="1"/>
  <c r="AS446" i="50"/>
  <c r="AS430" i="51" s="1"/>
  <c r="AD446" i="50"/>
  <c r="AD430" i="51" s="1"/>
  <c r="AM450" i="50"/>
  <c r="AM434" i="51" s="1"/>
  <c r="AM448" i="50"/>
  <c r="AM432" i="51" s="1"/>
  <c r="AR449" i="50"/>
  <c r="AR433" i="51" s="1"/>
  <c r="U446" i="50"/>
  <c r="U430" i="51" s="1"/>
  <c r="AK450" i="50"/>
  <c r="AK434" i="51" s="1"/>
  <c r="V449" i="50"/>
  <c r="V433" i="51" s="1"/>
  <c r="AT463" i="50"/>
  <c r="AT446" i="51" s="1"/>
  <c r="AM443" i="50"/>
  <c r="AM427" i="51" s="1"/>
  <c r="AA449" i="50"/>
  <c r="AA433" i="51" s="1"/>
  <c r="AS441" i="50"/>
  <c r="AS425" i="51" s="1"/>
  <c r="AM447" i="50"/>
  <c r="AM431" i="51" s="1"/>
  <c r="AG448" i="50"/>
  <c r="AG432" i="51" s="1"/>
  <c r="AB448" i="50"/>
  <c r="AB432" i="51" s="1"/>
  <c r="AH443" i="50"/>
  <c r="AH427" i="51" s="1"/>
  <c r="AT446" i="50"/>
  <c r="AT430" i="51" s="1"/>
  <c r="AK457" i="50"/>
  <c r="AK440" i="51" s="1"/>
  <c r="AK462" i="50"/>
  <c r="AK445" i="51" s="1"/>
  <c r="X455" i="50"/>
  <c r="X438" i="51" s="1"/>
  <c r="AO455" i="50"/>
  <c r="AO438" i="51" s="1"/>
  <c r="AF455" i="50"/>
  <c r="AF438" i="51" s="1"/>
  <c r="W455" i="50"/>
  <c r="W438" i="51" s="1"/>
  <c r="AQ455" i="50"/>
  <c r="AQ438" i="51" s="1"/>
  <c r="AH455" i="50"/>
  <c r="AH438" i="51" s="1"/>
  <c r="Y455" i="50"/>
  <c r="Y438" i="51" s="1"/>
  <c r="AU455" i="50"/>
  <c r="AU438" i="51" s="1"/>
  <c r="AL455" i="50"/>
  <c r="AL438" i="51" s="1"/>
  <c r="AJ455" i="50"/>
  <c r="AJ438" i="51" s="1"/>
  <c r="AA455" i="50"/>
  <c r="AA438" i="51" s="1"/>
  <c r="AT455" i="50"/>
  <c r="AT438" i="51" s="1"/>
  <c r="AK455" i="50"/>
  <c r="AK438" i="51" s="1"/>
  <c r="AN455" i="50"/>
  <c r="AN438" i="51" s="1"/>
  <c r="AE455" i="50"/>
  <c r="AE438" i="51" s="1"/>
  <c r="V455" i="50"/>
  <c r="V438" i="51" s="1"/>
  <c r="AV455" i="50"/>
  <c r="AV438" i="51" s="1"/>
  <c r="AM455" i="50"/>
  <c r="AM438" i="51" s="1"/>
  <c r="AD455" i="50"/>
  <c r="AD438" i="51" s="1"/>
  <c r="U455" i="50"/>
  <c r="U438" i="51" s="1"/>
  <c r="AV441" i="50"/>
  <c r="AV425" i="51" s="1"/>
  <c r="AO441" i="50"/>
  <c r="AO425" i="51" s="1"/>
  <c r="AR441" i="50"/>
  <c r="AR425" i="51" s="1"/>
  <c r="AT441" i="50"/>
  <c r="AT425" i="51" s="1"/>
  <c r="U443" i="50"/>
  <c r="U427" i="51" s="1"/>
  <c r="AK447" i="50"/>
  <c r="AK431" i="51" s="1"/>
  <c r="AL450" i="50"/>
  <c r="AL434" i="51" s="1"/>
  <c r="AP455" i="50"/>
  <c r="AP438" i="51" s="1"/>
  <c r="AQ453" i="50"/>
  <c r="AQ436" i="51" s="1"/>
  <c r="AR462" i="50"/>
  <c r="AR445" i="51" s="1"/>
  <c r="AN461" i="50"/>
  <c r="AN444" i="51" s="1"/>
  <c r="AS461" i="50"/>
  <c r="AS444" i="51" s="1"/>
  <c r="AQ461" i="50"/>
  <c r="AQ444" i="51" s="1"/>
  <c r="AR461" i="50"/>
  <c r="AR444" i="51" s="1"/>
  <c r="AU461" i="50"/>
  <c r="AU444" i="51" s="1"/>
  <c r="AT461" i="50"/>
  <c r="AT444" i="51" s="1"/>
  <c r="AO461" i="50"/>
  <c r="AO444" i="51" s="1"/>
  <c r="AP461" i="50"/>
  <c r="AP444" i="51" s="1"/>
  <c r="AV461" i="50"/>
  <c r="AV444" i="51" s="1"/>
  <c r="AR443" i="50"/>
  <c r="AR427" i="51" s="1"/>
  <c r="AN443" i="50"/>
  <c r="AN427" i="51" s="1"/>
  <c r="AV447" i="50"/>
  <c r="AV431" i="51" s="1"/>
  <c r="AO453" i="50"/>
  <c r="AO436" i="51" s="1"/>
  <c r="Z457" i="50"/>
  <c r="Z440" i="51" s="1"/>
  <c r="AD449" i="50"/>
  <c r="AD433" i="51" s="1"/>
  <c r="AQ449" i="50"/>
  <c r="AQ433" i="51" s="1"/>
  <c r="AB449" i="50"/>
  <c r="AB433" i="51" s="1"/>
  <c r="AN449" i="50"/>
  <c r="AN433" i="51" s="1"/>
  <c r="AO449" i="50"/>
  <c r="AO433" i="51" s="1"/>
  <c r="AT449" i="50"/>
  <c r="AT433" i="51" s="1"/>
  <c r="Y449" i="50"/>
  <c r="Y433" i="51" s="1"/>
  <c r="AQ443" i="50"/>
  <c r="AQ427" i="51" s="1"/>
  <c r="U447" i="50"/>
  <c r="U431" i="51" s="1"/>
  <c r="AR448" i="50"/>
  <c r="AR432" i="51" s="1"/>
  <c r="V450" i="50"/>
  <c r="V434" i="51" s="1"/>
  <c r="AL457" i="50"/>
  <c r="AL440" i="51" s="1"/>
  <c r="AM463" i="50"/>
  <c r="AM446" i="51" s="1"/>
  <c r="AO445" i="50"/>
  <c r="AO429" i="51" s="1"/>
  <c r="AT445" i="50"/>
  <c r="AT429" i="51" s="1"/>
  <c r="AR445" i="50"/>
  <c r="AR429" i="51" s="1"/>
  <c r="AE444" i="50"/>
  <c r="AE428" i="51" s="1"/>
  <c r="AR444" i="50"/>
  <c r="AR428" i="51" s="1"/>
  <c r="Y447" i="50"/>
  <c r="Y431" i="51" s="1"/>
  <c r="X449" i="50"/>
  <c r="X433" i="51" s="1"/>
  <c r="Z450" i="50"/>
  <c r="Z434" i="51" s="1"/>
  <c r="AP457" i="50"/>
  <c r="AP440" i="51" s="1"/>
  <c r="Z455" i="50"/>
  <c r="Z438" i="51" s="1"/>
  <c r="AB462" i="50"/>
  <c r="AB445" i="51" s="1"/>
  <c r="AF444" i="50"/>
  <c r="AF428" i="51" s="1"/>
  <c r="AQ444" i="50"/>
  <c r="AQ428" i="51" s="1"/>
  <c r="AN441" i="50"/>
  <c r="AN425" i="51" s="1"/>
  <c r="AV444" i="50"/>
  <c r="AV428" i="51" s="1"/>
  <c r="AV443" i="50"/>
  <c r="AV427" i="51" s="1"/>
  <c r="AU449" i="50"/>
  <c r="AU433" i="51" s="1"/>
  <c r="AP441" i="50"/>
  <c r="AP425" i="51" s="1"/>
  <c r="Y446" i="50"/>
  <c r="Y430" i="51" s="1"/>
  <c r="U449" i="50"/>
  <c r="U433" i="51" s="1"/>
  <c r="AF449" i="50"/>
  <c r="AF433" i="51" s="1"/>
  <c r="AL444" i="50"/>
  <c r="AL428" i="51" s="1"/>
  <c r="AH447" i="50"/>
  <c r="AH431" i="51" s="1"/>
  <c r="AD450" i="50"/>
  <c r="AD434" i="51" s="1"/>
  <c r="Y463" i="50"/>
  <c r="Y446" i="51" s="1"/>
  <c r="K414" i="51"/>
  <c r="K417" i="50"/>
  <c r="C458" i="50"/>
  <c r="F458" i="50" s="1"/>
  <c r="G408" i="51"/>
  <c r="C460" i="50"/>
  <c r="E460" i="50" s="1"/>
  <c r="W193" i="51"/>
  <c r="AC193" i="51"/>
  <c r="AD193" i="51"/>
  <c r="Y193" i="51"/>
  <c r="AA193" i="51"/>
  <c r="Z193" i="51"/>
  <c r="AE193" i="51"/>
  <c r="X193" i="51"/>
  <c r="AB193" i="51"/>
  <c r="G409" i="50"/>
  <c r="G410" i="51"/>
  <c r="G404" i="51"/>
  <c r="G407" i="51"/>
  <c r="G409" i="51"/>
  <c r="G423" i="50"/>
  <c r="G437" i="50"/>
  <c r="G429" i="50"/>
  <c r="C214" i="51"/>
  <c r="D214" i="51" s="1"/>
  <c r="AB188" i="51"/>
  <c r="C222" i="50"/>
  <c r="H222" i="50" s="1"/>
  <c r="X188" i="51"/>
  <c r="K419" i="51"/>
  <c r="E419" i="51"/>
  <c r="J419" i="51"/>
  <c r="H419" i="51"/>
  <c r="F419" i="51"/>
  <c r="D419" i="51"/>
  <c r="I419" i="51"/>
  <c r="F215" i="50"/>
  <c r="H215" i="50"/>
  <c r="K215" i="50"/>
  <c r="X208" i="51" s="1"/>
  <c r="J215" i="50"/>
  <c r="E215" i="50"/>
  <c r="J218" i="50"/>
  <c r="H218" i="50"/>
  <c r="F218" i="50"/>
  <c r="D218" i="50"/>
  <c r="E218" i="50"/>
  <c r="K218" i="50"/>
  <c r="E233" i="50"/>
  <c r="K233" i="50"/>
  <c r="AA225" i="51" s="1"/>
  <c r="H233" i="50"/>
  <c r="J233" i="50"/>
  <c r="F233" i="50"/>
  <c r="H225" i="50"/>
  <c r="J225" i="50"/>
  <c r="K225" i="50"/>
  <c r="F225" i="50"/>
  <c r="E225" i="50"/>
  <c r="K228" i="50"/>
  <c r="E228" i="50"/>
  <c r="J228" i="50"/>
  <c r="H228" i="50"/>
  <c r="F228" i="50"/>
  <c r="D228" i="50"/>
  <c r="I202" i="51"/>
  <c r="G202" i="51"/>
  <c r="G419" i="50"/>
  <c r="H443" i="50"/>
  <c r="F443" i="50"/>
  <c r="D443" i="50"/>
  <c r="I443" i="50"/>
  <c r="K443" i="50"/>
  <c r="E443" i="50"/>
  <c r="G443" i="50" s="1"/>
  <c r="J443" i="50"/>
  <c r="K450" i="50"/>
  <c r="E450" i="50"/>
  <c r="J450" i="50"/>
  <c r="H450" i="50"/>
  <c r="F450" i="50"/>
  <c r="D450" i="50"/>
  <c r="I450" i="50"/>
  <c r="H446" i="50"/>
  <c r="F446" i="50"/>
  <c r="D446" i="50"/>
  <c r="I446" i="50"/>
  <c r="K446" i="50"/>
  <c r="E446" i="50"/>
  <c r="G446" i="50" s="1"/>
  <c r="J446" i="50"/>
  <c r="G195" i="50"/>
  <c r="I195" i="50"/>
  <c r="I205" i="51"/>
  <c r="G205" i="51"/>
  <c r="G196" i="51"/>
  <c r="I196" i="51"/>
  <c r="G421" i="50"/>
  <c r="G422" i="50"/>
  <c r="E215" i="51"/>
  <c r="H215" i="51"/>
  <c r="J215" i="51"/>
  <c r="D215" i="51"/>
  <c r="F215" i="51"/>
  <c r="K215" i="51"/>
  <c r="H218" i="51"/>
  <c r="K218" i="51"/>
  <c r="J218" i="51"/>
  <c r="E218" i="51"/>
  <c r="F218" i="51"/>
  <c r="E217" i="51"/>
  <c r="J217" i="51"/>
  <c r="F217" i="51"/>
  <c r="K217" i="51"/>
  <c r="D217" i="51"/>
  <c r="H217" i="51"/>
  <c r="H227" i="51"/>
  <c r="F227" i="51"/>
  <c r="E227" i="51"/>
  <c r="J227" i="51"/>
  <c r="D227" i="51"/>
  <c r="K227" i="51"/>
  <c r="I198" i="51"/>
  <c r="G198" i="51"/>
  <c r="I189" i="51"/>
  <c r="G189" i="51"/>
  <c r="G407" i="50"/>
  <c r="C247" i="51"/>
  <c r="C228" i="51"/>
  <c r="C244" i="51"/>
  <c r="C245" i="51"/>
  <c r="D233" i="51"/>
  <c r="C239" i="51"/>
  <c r="C236" i="51"/>
  <c r="C237" i="51"/>
  <c r="D238" i="51"/>
  <c r="C240" i="51"/>
  <c r="C241" i="51"/>
  <c r="C231" i="51"/>
  <c r="C229" i="51"/>
  <c r="D228" i="51"/>
  <c r="C246" i="51"/>
  <c r="C230" i="51"/>
  <c r="C238" i="51"/>
  <c r="C232" i="51"/>
  <c r="M245" i="51"/>
  <c r="D245" i="51"/>
  <c r="C243" i="51"/>
  <c r="C242" i="51"/>
  <c r="L233" i="51"/>
  <c r="C233" i="51"/>
  <c r="C234" i="51" s="1"/>
  <c r="K442" i="51"/>
  <c r="D442" i="51"/>
  <c r="J442" i="51"/>
  <c r="I442" i="51"/>
  <c r="H442" i="51"/>
  <c r="E442" i="51"/>
  <c r="F442" i="51"/>
  <c r="J445" i="51"/>
  <c r="K445" i="51"/>
  <c r="F445" i="51"/>
  <c r="I445" i="51"/>
  <c r="D445" i="51"/>
  <c r="E445" i="51"/>
  <c r="H445" i="51"/>
  <c r="C440" i="51"/>
  <c r="H436" i="51"/>
  <c r="E436" i="51"/>
  <c r="D436" i="51"/>
  <c r="F436" i="51"/>
  <c r="D437" i="51"/>
  <c r="J436" i="51"/>
  <c r="E437" i="51"/>
  <c r="G437" i="51" s="1"/>
  <c r="D434" i="51"/>
  <c r="I434" i="51"/>
  <c r="K434" i="51"/>
  <c r="H434" i="51"/>
  <c r="J434" i="51"/>
  <c r="E434" i="51"/>
  <c r="F434" i="51"/>
  <c r="J432" i="51"/>
  <c r="H432" i="51"/>
  <c r="F432" i="51"/>
  <c r="D432" i="51"/>
  <c r="I432" i="51"/>
  <c r="K432" i="51"/>
  <c r="E432" i="51"/>
  <c r="G432" i="51" s="1"/>
  <c r="H431" i="51"/>
  <c r="F431" i="51"/>
  <c r="D431" i="51"/>
  <c r="I431" i="51"/>
  <c r="K431" i="51"/>
  <c r="J431" i="51"/>
  <c r="E431" i="51"/>
  <c r="G213" i="50"/>
  <c r="I213" i="50"/>
  <c r="G196" i="50"/>
  <c r="I196" i="50"/>
  <c r="G422" i="51"/>
  <c r="I190" i="51"/>
  <c r="G190" i="51"/>
  <c r="G204" i="51"/>
  <c r="I204" i="51"/>
  <c r="I193" i="51"/>
  <c r="G193" i="51"/>
  <c r="K430" i="50"/>
  <c r="B471" i="51"/>
  <c r="B489" i="50"/>
  <c r="AG208" i="51"/>
  <c r="AF225" i="51"/>
  <c r="AE208" i="51"/>
  <c r="AD208" i="51"/>
  <c r="AC208" i="51"/>
  <c r="H220" i="50"/>
  <c r="J220" i="50"/>
  <c r="K220" i="50"/>
  <c r="AC213" i="51" s="1"/>
  <c r="F220" i="50"/>
  <c r="E220" i="50"/>
  <c r="E231" i="50"/>
  <c r="H231" i="50"/>
  <c r="J231" i="50"/>
  <c r="D231" i="50"/>
  <c r="F231" i="50"/>
  <c r="K231" i="50"/>
  <c r="H224" i="50"/>
  <c r="F224" i="50"/>
  <c r="D224" i="50"/>
  <c r="K224" i="50"/>
  <c r="E224" i="50"/>
  <c r="J224" i="50"/>
  <c r="K217" i="50"/>
  <c r="H217" i="50"/>
  <c r="J217" i="50"/>
  <c r="D217" i="50"/>
  <c r="F217" i="50"/>
  <c r="E217" i="50"/>
  <c r="D219" i="50"/>
  <c r="K219" i="50"/>
  <c r="H219" i="50"/>
  <c r="J219" i="50"/>
  <c r="F219" i="50"/>
  <c r="E219" i="50"/>
  <c r="G206" i="51"/>
  <c r="I206" i="51"/>
  <c r="I203" i="51"/>
  <c r="G203" i="51"/>
  <c r="D441" i="50"/>
  <c r="D442" i="50"/>
  <c r="J441" i="50"/>
  <c r="K442" i="50" s="1"/>
  <c r="E441" i="50"/>
  <c r="I441" i="50" s="1"/>
  <c r="E442" i="50"/>
  <c r="G442" i="50" s="1"/>
  <c r="F441" i="50"/>
  <c r="H441" i="50"/>
  <c r="I442" i="50" s="1"/>
  <c r="E461" i="50"/>
  <c r="J461" i="50"/>
  <c r="H461" i="50"/>
  <c r="F461" i="50"/>
  <c r="D461" i="50"/>
  <c r="I461" i="50"/>
  <c r="K461" i="50"/>
  <c r="E449" i="50"/>
  <c r="J449" i="50"/>
  <c r="H449" i="50"/>
  <c r="F449" i="50"/>
  <c r="D449" i="50"/>
  <c r="I449" i="50"/>
  <c r="K449" i="50"/>
  <c r="AV452" i="50"/>
  <c r="AR452" i="50"/>
  <c r="AN452" i="50"/>
  <c r="AJ452" i="50"/>
  <c r="AF452" i="50"/>
  <c r="AB452" i="50"/>
  <c r="X452" i="50"/>
  <c r="AU452" i="50"/>
  <c r="AQ452" i="50"/>
  <c r="AM452" i="50"/>
  <c r="AI452" i="50"/>
  <c r="AE452" i="50"/>
  <c r="AA452" i="50"/>
  <c r="W452" i="50"/>
  <c r="AT452" i="50"/>
  <c r="AP452" i="50"/>
  <c r="AL452" i="50"/>
  <c r="AH452" i="50"/>
  <c r="AD452" i="50"/>
  <c r="Z452" i="50"/>
  <c r="V452" i="50"/>
  <c r="C452" i="50"/>
  <c r="AS452" i="50"/>
  <c r="AO452" i="50"/>
  <c r="AK452" i="50"/>
  <c r="AG452" i="50"/>
  <c r="AC452" i="50"/>
  <c r="Y452" i="50"/>
  <c r="U452" i="50"/>
  <c r="H445" i="50"/>
  <c r="F445" i="50"/>
  <c r="D445" i="50"/>
  <c r="I445" i="50"/>
  <c r="E445" i="50"/>
  <c r="J445" i="50"/>
  <c r="K445" i="50" s="1"/>
  <c r="I204" i="50"/>
  <c r="G204" i="50"/>
  <c r="I210" i="50"/>
  <c r="G210" i="50"/>
  <c r="I199" i="50"/>
  <c r="G199" i="50"/>
  <c r="I207" i="51"/>
  <c r="G207" i="51"/>
  <c r="I201" i="51"/>
  <c r="G201" i="51"/>
  <c r="I199" i="51"/>
  <c r="G199" i="51"/>
  <c r="G202" i="50"/>
  <c r="I202" i="50"/>
  <c r="I201" i="50"/>
  <c r="G201" i="50"/>
  <c r="G405" i="51"/>
  <c r="D222" i="51"/>
  <c r="K222" i="51"/>
  <c r="E222" i="51"/>
  <c r="J222" i="51"/>
  <c r="H222" i="51"/>
  <c r="F222" i="51"/>
  <c r="K224" i="51"/>
  <c r="J224" i="51"/>
  <c r="F224" i="51"/>
  <c r="H224" i="51"/>
  <c r="D224" i="51"/>
  <c r="E224" i="51"/>
  <c r="H223" i="51"/>
  <c r="J223" i="51"/>
  <c r="D223" i="51"/>
  <c r="E223" i="51"/>
  <c r="K223" i="51"/>
  <c r="F223" i="51"/>
  <c r="G191" i="51"/>
  <c r="I191" i="51"/>
  <c r="F2" i="44"/>
  <c r="G2" i="44" s="1"/>
  <c r="C441" i="51"/>
  <c r="E429" i="51"/>
  <c r="K429" i="51" s="1"/>
  <c r="J429" i="51"/>
  <c r="H429" i="51"/>
  <c r="I429" i="51" s="1"/>
  <c r="F429" i="51"/>
  <c r="D429" i="51"/>
  <c r="H435" i="51"/>
  <c r="F435" i="51"/>
  <c r="D435" i="51"/>
  <c r="I435" i="51"/>
  <c r="K435" i="51"/>
  <c r="E435" i="51"/>
  <c r="J435" i="51"/>
  <c r="F446" i="51"/>
  <c r="E446" i="51"/>
  <c r="J446" i="51"/>
  <c r="K446" i="51"/>
  <c r="H446" i="51"/>
  <c r="I446" i="51"/>
  <c r="D446" i="51"/>
  <c r="I214" i="50"/>
  <c r="G214" i="50"/>
  <c r="I194" i="50"/>
  <c r="G194" i="50"/>
  <c r="W188" i="51"/>
  <c r="G197" i="51"/>
  <c r="I197" i="51"/>
  <c r="I417" i="50"/>
  <c r="B248" i="51"/>
  <c r="B257" i="50"/>
  <c r="G198" i="50"/>
  <c r="I198" i="50"/>
  <c r="I206" i="50"/>
  <c r="G206" i="50"/>
  <c r="I403" i="51"/>
  <c r="G402" i="51"/>
  <c r="Y225" i="51"/>
  <c r="AE225" i="51"/>
  <c r="AB208" i="51"/>
  <c r="AA208" i="51"/>
  <c r="H223" i="50"/>
  <c r="F223" i="50"/>
  <c r="D223" i="50"/>
  <c r="E223" i="50"/>
  <c r="J223" i="50"/>
  <c r="K223" i="50"/>
  <c r="H235" i="50"/>
  <c r="F235" i="50"/>
  <c r="D235" i="50"/>
  <c r="E235" i="50"/>
  <c r="K235" i="50"/>
  <c r="J235" i="50"/>
  <c r="K229" i="50"/>
  <c r="D229" i="50"/>
  <c r="F229" i="50"/>
  <c r="H229" i="50"/>
  <c r="E229" i="50"/>
  <c r="J229" i="50"/>
  <c r="K234" i="50"/>
  <c r="H234" i="50"/>
  <c r="J234" i="50"/>
  <c r="D234" i="50"/>
  <c r="F234" i="50"/>
  <c r="E234" i="50"/>
  <c r="H216" i="50"/>
  <c r="J216" i="50"/>
  <c r="D216" i="50"/>
  <c r="E216" i="50"/>
  <c r="K216" i="50"/>
  <c r="F216" i="50"/>
  <c r="G439" i="50"/>
  <c r="J457" i="50"/>
  <c r="K457" i="50"/>
  <c r="D457" i="50"/>
  <c r="I457" i="50"/>
  <c r="F457" i="50"/>
  <c r="E457" i="50"/>
  <c r="H457" i="50"/>
  <c r="D454" i="50"/>
  <c r="E454" i="50"/>
  <c r="G454" i="50" s="1"/>
  <c r="H453" i="50"/>
  <c r="J453" i="50"/>
  <c r="D453" i="50"/>
  <c r="F453" i="50"/>
  <c r="E453" i="50"/>
  <c r="F448" i="50"/>
  <c r="D448" i="50"/>
  <c r="I448" i="50"/>
  <c r="K448" i="50"/>
  <c r="E448" i="50"/>
  <c r="J448" i="50"/>
  <c r="H448" i="50"/>
  <c r="J451" i="50"/>
  <c r="H451" i="50"/>
  <c r="F451" i="50"/>
  <c r="D451" i="50"/>
  <c r="I451" i="50"/>
  <c r="K451" i="50"/>
  <c r="E451" i="50"/>
  <c r="G451" i="50" s="1"/>
  <c r="I444" i="50"/>
  <c r="K444" i="50"/>
  <c r="E444" i="50"/>
  <c r="J444" i="50"/>
  <c r="H444" i="50"/>
  <c r="F444" i="50"/>
  <c r="D444" i="50"/>
  <c r="G197" i="50"/>
  <c r="I197" i="50"/>
  <c r="EJ46" i="47"/>
  <c r="CT39" i="47"/>
  <c r="T1" i="47"/>
  <c r="EP47" i="47"/>
  <c r="DR43" i="47"/>
  <c r="ED45" i="47"/>
  <c r="DL42" i="47"/>
  <c r="DX44" i="47"/>
  <c r="DF41" i="47"/>
  <c r="CN38" i="47"/>
  <c r="CZ40" i="47"/>
  <c r="G412" i="51"/>
  <c r="J415" i="51"/>
  <c r="E415" i="51"/>
  <c r="K415" i="51"/>
  <c r="F415" i="51"/>
  <c r="I416" i="51"/>
  <c r="K416" i="51"/>
  <c r="D416" i="51"/>
  <c r="H415" i="51"/>
  <c r="E416" i="51"/>
  <c r="G416" i="51" s="1"/>
  <c r="I415" i="51"/>
  <c r="D415" i="51"/>
  <c r="I208" i="50"/>
  <c r="G208" i="50"/>
  <c r="G411" i="51"/>
  <c r="G423" i="51"/>
  <c r="G413" i="51"/>
  <c r="F213" i="51"/>
  <c r="H213" i="51"/>
  <c r="K213" i="51"/>
  <c r="E213" i="51"/>
  <c r="J213" i="51"/>
  <c r="D209" i="51"/>
  <c r="K209" i="51"/>
  <c r="E209" i="51"/>
  <c r="J209" i="51"/>
  <c r="H209" i="51"/>
  <c r="F209" i="51"/>
  <c r="K226" i="51"/>
  <c r="E226" i="51"/>
  <c r="F226" i="51"/>
  <c r="J226" i="51"/>
  <c r="D226" i="51"/>
  <c r="H226" i="51"/>
  <c r="K225" i="51"/>
  <c r="E225" i="51"/>
  <c r="J225" i="51"/>
  <c r="H225" i="51"/>
  <c r="F225" i="51"/>
  <c r="J208" i="51"/>
  <c r="F208" i="51"/>
  <c r="K208" i="51"/>
  <c r="H208" i="51"/>
  <c r="E208" i="51"/>
  <c r="K220" i="51"/>
  <c r="F220" i="51"/>
  <c r="E220" i="51"/>
  <c r="J220" i="51"/>
  <c r="H220" i="51"/>
  <c r="D220" i="51"/>
  <c r="I195" i="51"/>
  <c r="G195" i="51"/>
  <c r="I437" i="50"/>
  <c r="G412" i="50"/>
  <c r="C255" i="50"/>
  <c r="Y232" i="51"/>
  <c r="Y237" i="51"/>
  <c r="Y255" i="50"/>
  <c r="Y246" i="51" s="1"/>
  <c r="Y230" i="51"/>
  <c r="Y235" i="51"/>
  <c r="Y236" i="51"/>
  <c r="Y256" i="50"/>
  <c r="Y247" i="51" s="1"/>
  <c r="Y231" i="51"/>
  <c r="Y234" i="51"/>
  <c r="Y229" i="51"/>
  <c r="C245" i="50"/>
  <c r="D236" i="50"/>
  <c r="C238" i="50"/>
  <c r="C256" i="50"/>
  <c r="C236" i="50"/>
  <c r="D246" i="50"/>
  <c r="C239" i="50"/>
  <c r="D254" i="50"/>
  <c r="C237" i="50"/>
  <c r="C240" i="50"/>
  <c r="C244" i="50"/>
  <c r="M254" i="50"/>
  <c r="C246" i="50"/>
  <c r="C253" i="50" s="1"/>
  <c r="D241" i="50"/>
  <c r="C254" i="50"/>
  <c r="Z256" i="50"/>
  <c r="Z247" i="51" s="1"/>
  <c r="Z231" i="51"/>
  <c r="Z229" i="51"/>
  <c r="Z234" i="51"/>
  <c r="Z237" i="51"/>
  <c r="Z232" i="51"/>
  <c r="Z235" i="51"/>
  <c r="Z255" i="50"/>
  <c r="Z246" i="51" s="1"/>
  <c r="Z230" i="51"/>
  <c r="Z236" i="51"/>
  <c r="Z254" i="50"/>
  <c r="AA256" i="50"/>
  <c r="AA247" i="51" s="1"/>
  <c r="AA231" i="51"/>
  <c r="AA236" i="51"/>
  <c r="Y254" i="50"/>
  <c r="AA254" i="50"/>
  <c r="AA237" i="51"/>
  <c r="AA229" i="51"/>
  <c r="AA234" i="51"/>
  <c r="AA235" i="51"/>
  <c r="AA232" i="51"/>
  <c r="AA255" i="50"/>
  <c r="AA246" i="51" s="1"/>
  <c r="AA230" i="51"/>
  <c r="AB236" i="51"/>
  <c r="AB234" i="51"/>
  <c r="AB256" i="50"/>
  <c r="AB247" i="51" s="1"/>
  <c r="AB231" i="51"/>
  <c r="AB232" i="51"/>
  <c r="AB254" i="50"/>
  <c r="AB237" i="51"/>
  <c r="AB229" i="51"/>
  <c r="AB255" i="50"/>
  <c r="AB246" i="51" s="1"/>
  <c r="AB230" i="51"/>
  <c r="AB235" i="51"/>
  <c r="AC234" i="51"/>
  <c r="AC256" i="50"/>
  <c r="AC247" i="51" s="1"/>
  <c r="AC231" i="51"/>
  <c r="AC232" i="51"/>
  <c r="AC254" i="50"/>
  <c r="AC237" i="51"/>
  <c r="AC229" i="51"/>
  <c r="AC255" i="50"/>
  <c r="AC246" i="51" s="1"/>
  <c r="AC230" i="51"/>
  <c r="AC235" i="51"/>
  <c r="AC236" i="51"/>
  <c r="L241" i="50"/>
  <c r="C241" i="50"/>
  <c r="C243" i="50" s="1"/>
  <c r="AD235" i="51"/>
  <c r="AD232" i="51"/>
  <c r="AD255" i="50"/>
  <c r="AD246" i="51" s="1"/>
  <c r="AD230" i="51"/>
  <c r="AD256" i="50"/>
  <c r="AD247" i="51" s="1"/>
  <c r="AD231" i="51"/>
  <c r="AD236" i="51"/>
  <c r="AD254" i="50"/>
  <c r="AD237" i="51"/>
  <c r="AD229" i="51"/>
  <c r="AD234" i="51"/>
  <c r="AE235" i="51"/>
  <c r="AE232" i="51"/>
  <c r="AE255" i="50"/>
  <c r="AE246" i="51" s="1"/>
  <c r="AE230" i="51"/>
  <c r="AE256" i="50"/>
  <c r="AE247" i="51" s="1"/>
  <c r="AE231" i="51"/>
  <c r="AE236" i="51"/>
  <c r="AE254" i="50"/>
  <c r="AE237" i="51"/>
  <c r="AE229" i="51"/>
  <c r="AE234" i="51"/>
  <c r="AF234" i="51"/>
  <c r="AF232" i="51"/>
  <c r="AF254" i="50"/>
  <c r="AF237" i="51"/>
  <c r="AF229" i="51"/>
  <c r="AF256" i="50"/>
  <c r="AF247" i="51" s="1"/>
  <c r="AF255" i="50"/>
  <c r="AF246" i="51" s="1"/>
  <c r="AF230" i="51"/>
  <c r="AF235" i="51"/>
  <c r="AF231" i="51"/>
  <c r="AF236" i="51"/>
  <c r="AG234" i="51"/>
  <c r="AG256" i="50"/>
  <c r="AG247" i="51" s="1"/>
  <c r="AG231" i="51"/>
  <c r="AG232" i="51"/>
  <c r="AG254" i="50"/>
  <c r="AG237" i="51"/>
  <c r="AG229" i="51"/>
  <c r="AG255" i="50"/>
  <c r="AG246" i="51" s="1"/>
  <c r="AG230" i="51"/>
  <c r="AG235" i="51"/>
  <c r="AG236" i="51"/>
  <c r="AH235" i="51"/>
  <c r="AH255" i="50"/>
  <c r="AH246" i="51" s="1"/>
  <c r="AH230" i="51"/>
  <c r="AH256" i="50"/>
  <c r="AH247" i="51" s="1"/>
  <c r="AH231" i="51"/>
  <c r="AH236" i="51"/>
  <c r="AH254" i="50"/>
  <c r="AH237" i="51"/>
  <c r="AH229" i="51"/>
  <c r="AH234" i="51"/>
  <c r="AH232" i="51"/>
  <c r="AJ480" i="50"/>
  <c r="AJ462" i="51" s="1"/>
  <c r="AR478" i="50"/>
  <c r="AR460" i="51" s="1"/>
  <c r="AB478" i="50"/>
  <c r="AB460" i="51" s="1"/>
  <c r="AT480" i="50"/>
  <c r="AT462" i="51" s="1"/>
  <c r="AD480" i="50"/>
  <c r="AD462" i="51" s="1"/>
  <c r="AL478" i="50"/>
  <c r="AL460" i="51" s="1"/>
  <c r="V478" i="50"/>
  <c r="V460" i="51" s="1"/>
  <c r="AS478" i="50"/>
  <c r="AS460" i="51" s="1"/>
  <c r="AA480" i="50"/>
  <c r="AA462" i="51" s="1"/>
  <c r="AW480" i="50"/>
  <c r="AW462" i="51" s="1"/>
  <c r="AO478" i="50"/>
  <c r="AO460" i="51" s="1"/>
  <c r="AE480" i="50"/>
  <c r="AE462" i="51" s="1"/>
  <c r="W478" i="50"/>
  <c r="W460" i="51" s="1"/>
  <c r="AV480" i="50"/>
  <c r="AV462" i="51" s="1"/>
  <c r="AF480" i="50"/>
  <c r="AF462" i="51" s="1"/>
  <c r="AN478" i="50"/>
  <c r="AN460" i="51" s="1"/>
  <c r="X478" i="50"/>
  <c r="X460" i="51" s="1"/>
  <c r="AP480" i="50"/>
  <c r="AP462" i="51" s="1"/>
  <c r="Z480" i="50"/>
  <c r="Z462" i="51" s="1"/>
  <c r="AH478" i="50"/>
  <c r="AH460" i="51" s="1"/>
  <c r="AS480" i="50"/>
  <c r="AS462" i="51" s="1"/>
  <c r="AK478" i="50"/>
  <c r="AK460" i="51" s="1"/>
  <c r="AQ478" i="50"/>
  <c r="AQ460" i="51" s="1"/>
  <c r="AO480" i="50"/>
  <c r="AO462" i="51" s="1"/>
  <c r="AG478" i="50"/>
  <c r="AG460" i="51" s="1"/>
  <c r="W480" i="50"/>
  <c r="W462" i="51" s="1"/>
  <c r="AU478" i="50"/>
  <c r="AU460" i="51" s="1"/>
  <c r="AR480" i="50"/>
  <c r="AR462" i="51" s="1"/>
  <c r="AB480" i="50"/>
  <c r="AB462" i="51" s="1"/>
  <c r="AJ478" i="50"/>
  <c r="AJ460" i="51" s="1"/>
  <c r="AL480" i="50"/>
  <c r="AL462" i="51" s="1"/>
  <c r="V480" i="50"/>
  <c r="V462" i="51" s="1"/>
  <c r="AT478" i="50"/>
  <c r="AT460" i="51" s="1"/>
  <c r="AD478" i="50"/>
  <c r="AD460" i="51" s="1"/>
  <c r="AK480" i="50"/>
  <c r="AK462" i="51" s="1"/>
  <c r="AC478" i="50"/>
  <c r="AC460" i="51" s="1"/>
  <c r="AQ480" i="50"/>
  <c r="AQ462" i="51" s="1"/>
  <c r="AI478" i="50"/>
  <c r="AI460" i="51" s="1"/>
  <c r="AG480" i="50"/>
  <c r="AG462" i="51" s="1"/>
  <c r="Y478" i="50"/>
  <c r="Y460" i="51" s="1"/>
  <c r="AU480" i="50"/>
  <c r="AU462" i="51" s="1"/>
  <c r="AM478" i="50"/>
  <c r="AM460" i="51" s="1"/>
  <c r="AN480" i="50"/>
  <c r="AN462" i="51" s="1"/>
  <c r="X480" i="50"/>
  <c r="X462" i="51" s="1"/>
  <c r="AV478" i="50"/>
  <c r="AV460" i="51" s="1"/>
  <c r="AF478" i="50"/>
  <c r="AF460" i="51" s="1"/>
  <c r="AH480" i="50"/>
  <c r="AH462" i="51" s="1"/>
  <c r="AP478" i="50"/>
  <c r="AP460" i="51" s="1"/>
  <c r="Z478" i="50"/>
  <c r="Z460" i="51" s="1"/>
  <c r="AC480" i="50"/>
  <c r="AC462" i="51" s="1"/>
  <c r="AI480" i="50"/>
  <c r="AI462" i="51" s="1"/>
  <c r="AA478" i="50"/>
  <c r="AA460" i="51" s="1"/>
  <c r="Y480" i="50"/>
  <c r="Y462" i="51" s="1"/>
  <c r="AW478" i="50"/>
  <c r="AW460" i="51" s="1"/>
  <c r="AM480" i="50"/>
  <c r="AM462" i="51" s="1"/>
  <c r="AE478" i="50"/>
  <c r="AE460" i="51" s="1"/>
  <c r="AQ488" i="50"/>
  <c r="AU488" i="50"/>
  <c r="AW488" i="50"/>
  <c r="AV488" i="50"/>
  <c r="AT488" i="50"/>
  <c r="AS488" i="50"/>
  <c r="AR488" i="50"/>
  <c r="AP488" i="50"/>
  <c r="AO488" i="50"/>
  <c r="M465" i="50"/>
  <c r="C477" i="50"/>
  <c r="AQ477" i="50" s="1"/>
  <c r="AQ459" i="51" s="1"/>
  <c r="C487" i="50"/>
  <c r="AD487" i="50" s="1"/>
  <c r="AD469" i="51" s="1"/>
  <c r="C471" i="50"/>
  <c r="C465" i="50"/>
  <c r="C486" i="50"/>
  <c r="C467" i="50"/>
  <c r="C470" i="50"/>
  <c r="C475" i="50"/>
  <c r="C468" i="50"/>
  <c r="C469" i="50"/>
  <c r="C474" i="50"/>
  <c r="L465" i="50"/>
  <c r="C485" i="50"/>
  <c r="C472" i="50"/>
  <c r="C473" i="50"/>
  <c r="C443" i="51"/>
  <c r="I428" i="51"/>
  <c r="K428" i="51"/>
  <c r="E428" i="51"/>
  <c r="J428" i="51"/>
  <c r="F428" i="51"/>
  <c r="H428" i="51"/>
  <c r="D428" i="51"/>
  <c r="J425" i="51"/>
  <c r="E425" i="51"/>
  <c r="I425" i="51" s="1"/>
  <c r="E426" i="51"/>
  <c r="G426" i="51" s="1"/>
  <c r="F425" i="51"/>
  <c r="H425" i="51"/>
  <c r="D425" i="51"/>
  <c r="K425" i="51"/>
  <c r="I426" i="51"/>
  <c r="D426" i="51"/>
  <c r="Z188" i="51"/>
  <c r="G406" i="51"/>
  <c r="G188" i="51"/>
  <c r="I188" i="51"/>
  <c r="G438" i="50"/>
  <c r="AG225" i="51"/>
  <c r="AF208" i="51"/>
  <c r="E221" i="50"/>
  <c r="H221" i="50"/>
  <c r="J221" i="50"/>
  <c r="D221" i="50"/>
  <c r="F221" i="50"/>
  <c r="K221" i="50"/>
  <c r="Z225" i="51"/>
  <c r="Y208" i="51"/>
  <c r="X225" i="51"/>
  <c r="J226" i="50"/>
  <c r="D226" i="50"/>
  <c r="F226" i="50"/>
  <c r="E226" i="50"/>
  <c r="K226" i="50"/>
  <c r="H226" i="50"/>
  <c r="J227" i="50"/>
  <c r="H227" i="50"/>
  <c r="F227" i="50"/>
  <c r="D227" i="50"/>
  <c r="E227" i="50"/>
  <c r="K227" i="50"/>
  <c r="H230" i="50"/>
  <c r="F230" i="50"/>
  <c r="D230" i="50"/>
  <c r="J230" i="50"/>
  <c r="E230" i="50"/>
  <c r="K230" i="50"/>
  <c r="G200" i="51"/>
  <c r="I200" i="51"/>
  <c r="K447" i="50"/>
  <c r="E447" i="50"/>
  <c r="J447" i="50"/>
  <c r="H447" i="50"/>
  <c r="F447" i="50"/>
  <c r="D447" i="50"/>
  <c r="I447" i="50"/>
  <c r="H462" i="50"/>
  <c r="F462" i="50"/>
  <c r="D462" i="50"/>
  <c r="I462" i="50"/>
  <c r="K462" i="50"/>
  <c r="E462" i="50"/>
  <c r="J462" i="50"/>
  <c r="H463" i="50"/>
  <c r="F463" i="50"/>
  <c r="D463" i="50"/>
  <c r="I463" i="50"/>
  <c r="K463" i="50"/>
  <c r="E463" i="50"/>
  <c r="J463" i="50"/>
  <c r="F420" i="51"/>
  <c r="D420" i="51"/>
  <c r="I420" i="51"/>
  <c r="K420" i="51"/>
  <c r="E420" i="51"/>
  <c r="G420" i="51" s="1"/>
  <c r="J420" i="51"/>
  <c r="H420" i="51"/>
  <c r="G180" i="50"/>
  <c r="I180" i="50"/>
  <c r="I203" i="50"/>
  <c r="G203" i="50"/>
  <c r="H210" i="51"/>
  <c r="J210" i="51"/>
  <c r="D210" i="51"/>
  <c r="K210" i="51"/>
  <c r="F210" i="51"/>
  <c r="E210" i="51"/>
  <c r="K211" i="51"/>
  <c r="H211" i="51"/>
  <c r="E211" i="51"/>
  <c r="F211" i="51"/>
  <c r="D211" i="51"/>
  <c r="J211" i="51"/>
  <c r="J219" i="51"/>
  <c r="D219" i="51"/>
  <c r="F219" i="51"/>
  <c r="K219" i="51"/>
  <c r="E219" i="51"/>
  <c r="H219" i="51"/>
  <c r="K221" i="51"/>
  <c r="F221" i="51"/>
  <c r="H221" i="51"/>
  <c r="E221" i="51"/>
  <c r="J221" i="51"/>
  <c r="D221" i="51"/>
  <c r="D212" i="51"/>
  <c r="F212" i="51"/>
  <c r="J212" i="51"/>
  <c r="H212" i="51"/>
  <c r="E212" i="51"/>
  <c r="K212" i="51"/>
  <c r="K216" i="51"/>
  <c r="F216" i="51"/>
  <c r="H216" i="51"/>
  <c r="D216" i="51"/>
  <c r="J216" i="51"/>
  <c r="E216" i="51"/>
  <c r="I192" i="51"/>
  <c r="G192" i="51"/>
  <c r="AW470" i="51"/>
  <c r="AT470" i="51"/>
  <c r="C457" i="51"/>
  <c r="C453" i="51"/>
  <c r="C455" i="51"/>
  <c r="C459" i="51"/>
  <c r="C465" i="51" s="1"/>
  <c r="M448" i="51"/>
  <c r="C448" i="51"/>
  <c r="AP470" i="51"/>
  <c r="C451" i="51"/>
  <c r="C458" i="51"/>
  <c r="AR470" i="51"/>
  <c r="AQ470" i="51"/>
  <c r="C456" i="51"/>
  <c r="L448" i="51"/>
  <c r="AO470" i="51"/>
  <c r="C450" i="51"/>
  <c r="C469" i="51"/>
  <c r="C468" i="51"/>
  <c r="C467" i="51"/>
  <c r="C454" i="51"/>
  <c r="AV470" i="51"/>
  <c r="AU470" i="51"/>
  <c r="C452" i="51"/>
  <c r="AS470" i="51"/>
  <c r="C438" i="51"/>
  <c r="J427" i="51"/>
  <c r="D427" i="51"/>
  <c r="I427" i="51"/>
  <c r="K427" i="51"/>
  <c r="E427" i="51"/>
  <c r="H427" i="51"/>
  <c r="F427" i="51"/>
  <c r="E430" i="51"/>
  <c r="J430" i="51"/>
  <c r="H430" i="51"/>
  <c r="F430" i="51"/>
  <c r="D430" i="51"/>
  <c r="I430" i="51"/>
  <c r="K430" i="51"/>
  <c r="F444" i="51"/>
  <c r="D444" i="51"/>
  <c r="H444" i="51"/>
  <c r="J444" i="51"/>
  <c r="E444" i="51"/>
  <c r="I444" i="51" s="1"/>
  <c r="E433" i="51"/>
  <c r="J433" i="51"/>
  <c r="H433" i="51"/>
  <c r="I433" i="51"/>
  <c r="D433" i="51"/>
  <c r="K433" i="51"/>
  <c r="F433" i="51"/>
  <c r="G209" i="50"/>
  <c r="I209" i="50"/>
  <c r="I212" i="50"/>
  <c r="G212" i="50"/>
  <c r="G421" i="51"/>
  <c r="G418" i="51"/>
  <c r="C16" i="47"/>
  <c r="C17" i="47"/>
  <c r="D17" i="47" s="1"/>
  <c r="C11" i="44"/>
  <c r="B98" i="42"/>
  <c r="G448" i="50" l="1"/>
  <c r="C273" i="50"/>
  <c r="C272" i="50"/>
  <c r="C271" i="50"/>
  <c r="C269" i="50"/>
  <c r="C268" i="50"/>
  <c r="C270" i="50"/>
  <c r="AD219" i="51"/>
  <c r="AF219" i="51"/>
  <c r="AA219" i="51"/>
  <c r="X219" i="51"/>
  <c r="Z219" i="51"/>
  <c r="AH243" i="51"/>
  <c r="AF243" i="51"/>
  <c r="AE244" i="51"/>
  <c r="AC243" i="51"/>
  <c r="Z243" i="51"/>
  <c r="Y244" i="51"/>
  <c r="AG243" i="51"/>
  <c r="AA243" i="51"/>
  <c r="AG244" i="51"/>
  <c r="AF244" i="51"/>
  <c r="AC240" i="51"/>
  <c r="AB244" i="51"/>
  <c r="AA244" i="51"/>
  <c r="Y240" i="51"/>
  <c r="AG238" i="51"/>
  <c r="AB238" i="51"/>
  <c r="Y238" i="51"/>
  <c r="AE240" i="51"/>
  <c r="AD240" i="51"/>
  <c r="AA242" i="51"/>
  <c r="AE238" i="51"/>
  <c r="AD238" i="51"/>
  <c r="AC238" i="51"/>
  <c r="AA238" i="51"/>
  <c r="Z238" i="51"/>
  <c r="F207" i="50"/>
  <c r="E207" i="50"/>
  <c r="K207" i="50"/>
  <c r="J207" i="50"/>
  <c r="D207" i="50"/>
  <c r="H207" i="50"/>
  <c r="AH238" i="51"/>
  <c r="AF238" i="51"/>
  <c r="F205" i="50"/>
  <c r="E205" i="50"/>
  <c r="H205" i="50"/>
  <c r="J205" i="50"/>
  <c r="K205" i="50"/>
  <c r="D205" i="50"/>
  <c r="Y221" i="51"/>
  <c r="AB221" i="51"/>
  <c r="AC221" i="51"/>
  <c r="AF221" i="51"/>
  <c r="AG221" i="51"/>
  <c r="X221" i="51"/>
  <c r="Z221" i="51"/>
  <c r="AA221" i="51"/>
  <c r="AE221" i="51"/>
  <c r="AD221" i="51"/>
  <c r="J459" i="50"/>
  <c r="E459" i="50"/>
  <c r="I459" i="50"/>
  <c r="K459" i="50"/>
  <c r="J214" i="51"/>
  <c r="G435" i="51"/>
  <c r="I194" i="51"/>
  <c r="F214" i="51"/>
  <c r="K214" i="51"/>
  <c r="E214" i="51"/>
  <c r="H214" i="51"/>
  <c r="G463" i="50"/>
  <c r="F459" i="50"/>
  <c r="H459" i="50"/>
  <c r="G436" i="50"/>
  <c r="I456" i="50"/>
  <c r="G435" i="50"/>
  <c r="D460" i="50"/>
  <c r="G433" i="50"/>
  <c r="G462" i="50"/>
  <c r="G431" i="50"/>
  <c r="J455" i="50"/>
  <c r="J460" i="50"/>
  <c r="D456" i="50"/>
  <c r="G200" i="50"/>
  <c r="K222" i="50"/>
  <c r="J458" i="50"/>
  <c r="F222" i="50"/>
  <c r="I455" i="50"/>
  <c r="E456" i="50"/>
  <c r="G456" i="50" s="1"/>
  <c r="K460" i="50"/>
  <c r="I458" i="50"/>
  <c r="D222" i="50"/>
  <c r="E222" i="50"/>
  <c r="H455" i="50"/>
  <c r="E455" i="50"/>
  <c r="K455" i="50"/>
  <c r="H460" i="50"/>
  <c r="I460" i="50"/>
  <c r="E458" i="50"/>
  <c r="G458" i="50" s="1"/>
  <c r="J222" i="50"/>
  <c r="G434" i="50"/>
  <c r="D455" i="50"/>
  <c r="F455" i="50"/>
  <c r="K456" i="50"/>
  <c r="F460" i="50"/>
  <c r="G460" i="50" s="1"/>
  <c r="I217" i="51"/>
  <c r="AD264" i="51"/>
  <c r="Z260" i="51"/>
  <c r="AC263" i="51"/>
  <c r="Z262" i="51"/>
  <c r="Z263" i="51"/>
  <c r="AA264" i="51"/>
  <c r="AA263" i="51"/>
  <c r="AC262" i="51"/>
  <c r="AD262" i="51"/>
  <c r="AE263" i="51"/>
  <c r="AE264" i="51"/>
  <c r="AE262" i="51"/>
  <c r="AF260" i="51"/>
  <c r="AG264" i="51"/>
  <c r="AG260" i="51"/>
  <c r="AH262" i="51"/>
  <c r="AH260" i="51"/>
  <c r="AH264" i="51"/>
  <c r="AI263" i="51"/>
  <c r="AI262" i="51"/>
  <c r="F184" i="50"/>
  <c r="D184" i="50"/>
  <c r="E184" i="50"/>
  <c r="W179" i="51" s="1"/>
  <c r="K184" i="50"/>
  <c r="J184" i="50"/>
  <c r="H184" i="50"/>
  <c r="AA139" i="51"/>
  <c r="AB139" i="51"/>
  <c r="W139" i="51"/>
  <c r="Y139" i="51"/>
  <c r="T139" i="51"/>
  <c r="U139" i="51"/>
  <c r="X139" i="51"/>
  <c r="Z139" i="51"/>
  <c r="AC139" i="51"/>
  <c r="E142" i="50"/>
  <c r="F142" i="50"/>
  <c r="K142" i="50"/>
  <c r="V139" i="51" s="1"/>
  <c r="J142" i="50"/>
  <c r="D142" i="50"/>
  <c r="H142" i="50"/>
  <c r="U99" i="51"/>
  <c r="X99" i="51"/>
  <c r="Y99" i="51"/>
  <c r="Z99" i="51"/>
  <c r="V99" i="51"/>
  <c r="AA99" i="51"/>
  <c r="R99" i="51"/>
  <c r="S99" i="51"/>
  <c r="T99" i="51"/>
  <c r="W99" i="51"/>
  <c r="H100" i="50"/>
  <c r="K100" i="50"/>
  <c r="F100" i="50"/>
  <c r="J100" i="50"/>
  <c r="E100" i="50"/>
  <c r="D100" i="50"/>
  <c r="Y81" i="51"/>
  <c r="Q81" i="51"/>
  <c r="R81" i="51"/>
  <c r="X81" i="51"/>
  <c r="Z81" i="51"/>
  <c r="S81" i="51"/>
  <c r="T81" i="51"/>
  <c r="V81" i="51"/>
  <c r="W81" i="51"/>
  <c r="U81" i="51"/>
  <c r="H81" i="50"/>
  <c r="K81" i="50"/>
  <c r="J81" i="50"/>
  <c r="D81" i="50"/>
  <c r="E81" i="50"/>
  <c r="F81" i="50"/>
  <c r="K163" i="50"/>
  <c r="F163" i="50"/>
  <c r="H163" i="50"/>
  <c r="J163" i="50"/>
  <c r="E163" i="50"/>
  <c r="D163" i="50"/>
  <c r="S121" i="51"/>
  <c r="U121" i="51"/>
  <c r="Z121" i="51"/>
  <c r="T121" i="51"/>
  <c r="V121" i="51"/>
  <c r="Y121" i="51"/>
  <c r="AA121" i="51"/>
  <c r="AB121" i="51"/>
  <c r="W121" i="51"/>
  <c r="D123" i="50"/>
  <c r="H123" i="50"/>
  <c r="F123" i="50"/>
  <c r="K123" i="50"/>
  <c r="J123" i="50"/>
  <c r="E123" i="50"/>
  <c r="S101" i="51"/>
  <c r="T101" i="51"/>
  <c r="V101" i="51"/>
  <c r="W101" i="51"/>
  <c r="X101" i="51"/>
  <c r="Z101" i="51"/>
  <c r="U101" i="51"/>
  <c r="AA101" i="51"/>
  <c r="Y101" i="51"/>
  <c r="E102" i="50"/>
  <c r="F102" i="50"/>
  <c r="H102" i="50"/>
  <c r="K102" i="50"/>
  <c r="J102" i="50"/>
  <c r="D102" i="50"/>
  <c r="D186" i="50"/>
  <c r="K186" i="50"/>
  <c r="H186" i="50"/>
  <c r="E186" i="50"/>
  <c r="F186" i="50"/>
  <c r="J186" i="50"/>
  <c r="Y181" i="51"/>
  <c r="AE181" i="51"/>
  <c r="AC181" i="51"/>
  <c r="AD181" i="51"/>
  <c r="AB181" i="51"/>
  <c r="AC141" i="51"/>
  <c r="Y141" i="51"/>
  <c r="AA141" i="51"/>
  <c r="T141" i="51"/>
  <c r="U141" i="51"/>
  <c r="W141" i="51"/>
  <c r="V141" i="51"/>
  <c r="Z141" i="51"/>
  <c r="AB141" i="51"/>
  <c r="K144" i="50"/>
  <c r="J144" i="50"/>
  <c r="E144" i="50"/>
  <c r="D144" i="50"/>
  <c r="H144" i="50"/>
  <c r="F144" i="50"/>
  <c r="V119" i="51"/>
  <c r="Y119" i="51"/>
  <c r="Z119" i="51"/>
  <c r="AA119" i="51"/>
  <c r="AB119" i="51"/>
  <c r="S119" i="51"/>
  <c r="X119" i="51"/>
  <c r="T119" i="51"/>
  <c r="U119" i="51"/>
  <c r="K121" i="50"/>
  <c r="F121" i="50"/>
  <c r="D121" i="50"/>
  <c r="H121" i="50"/>
  <c r="E121" i="50"/>
  <c r="J121" i="50"/>
  <c r="F165" i="50"/>
  <c r="E165" i="50"/>
  <c r="D165" i="50"/>
  <c r="J165" i="50"/>
  <c r="K165" i="50"/>
  <c r="H165" i="50"/>
  <c r="R79" i="51"/>
  <c r="S79" i="51"/>
  <c r="T79" i="51"/>
  <c r="V79" i="51"/>
  <c r="W79" i="51"/>
  <c r="X79" i="51"/>
  <c r="Q79" i="51"/>
  <c r="U79" i="51"/>
  <c r="Y79" i="51"/>
  <c r="Z79" i="51"/>
  <c r="K79" i="50"/>
  <c r="D79" i="50"/>
  <c r="J79" i="50"/>
  <c r="E79" i="50"/>
  <c r="H79" i="50"/>
  <c r="F79" i="50"/>
  <c r="G427" i="51"/>
  <c r="G445" i="50"/>
  <c r="C482" i="50"/>
  <c r="H482" i="50" s="1"/>
  <c r="K437" i="51"/>
  <c r="I437" i="51"/>
  <c r="K453" i="50"/>
  <c r="K436" i="51"/>
  <c r="K444" i="51"/>
  <c r="K426" i="51"/>
  <c r="W472" i="50"/>
  <c r="W455" i="51" s="1"/>
  <c r="AE472" i="50"/>
  <c r="AE455" i="51" s="1"/>
  <c r="AJ472" i="50"/>
  <c r="AJ455" i="51" s="1"/>
  <c r="AT472" i="50"/>
  <c r="AT455" i="51" s="1"/>
  <c r="AN472" i="50"/>
  <c r="AN455" i="51" s="1"/>
  <c r="AI472" i="50"/>
  <c r="AI455" i="51" s="1"/>
  <c r="AD472" i="50"/>
  <c r="AD455" i="51" s="1"/>
  <c r="X472" i="50"/>
  <c r="X455" i="51" s="1"/>
  <c r="AH472" i="50"/>
  <c r="AH455" i="51" s="1"/>
  <c r="Y472" i="50"/>
  <c r="Y455" i="51" s="1"/>
  <c r="AV472" i="50"/>
  <c r="AV455" i="51" s="1"/>
  <c r="AB472" i="50"/>
  <c r="AB455" i="51" s="1"/>
  <c r="AL472" i="50"/>
  <c r="AL455" i="51" s="1"/>
  <c r="AG472" i="50"/>
  <c r="AG455" i="51" s="1"/>
  <c r="AF472" i="50"/>
  <c r="AF455" i="51" s="1"/>
  <c r="AP472" i="50"/>
  <c r="AP455" i="51" s="1"/>
  <c r="AO472" i="50"/>
  <c r="AO455" i="51" s="1"/>
  <c r="V472" i="50"/>
  <c r="V455" i="51" s="1"/>
  <c r="AC472" i="50"/>
  <c r="AC455" i="51" s="1"/>
  <c r="AA472" i="50"/>
  <c r="AA455" i="51" s="1"/>
  <c r="Z472" i="50"/>
  <c r="Z455" i="51" s="1"/>
  <c r="AK472" i="50"/>
  <c r="AK455" i="51" s="1"/>
  <c r="AM472" i="50"/>
  <c r="AM455" i="51" s="1"/>
  <c r="AW472" i="50"/>
  <c r="AW455" i="51" s="1"/>
  <c r="AS472" i="50"/>
  <c r="AS455" i="51" s="1"/>
  <c r="AU472" i="50"/>
  <c r="AU455" i="51" s="1"/>
  <c r="AR472" i="50"/>
  <c r="AR455" i="51" s="1"/>
  <c r="AQ472" i="50"/>
  <c r="AQ455" i="51" s="1"/>
  <c r="AK475" i="50"/>
  <c r="AK458" i="51" s="1"/>
  <c r="AF475" i="50"/>
  <c r="AF458" i="51" s="1"/>
  <c r="AP475" i="50"/>
  <c r="AP458" i="51" s="1"/>
  <c r="AJ475" i="50"/>
  <c r="AJ458" i="51" s="1"/>
  <c r="AT475" i="50"/>
  <c r="AT458" i="51" s="1"/>
  <c r="AG475" i="50"/>
  <c r="AG458" i="51" s="1"/>
  <c r="Z475" i="50"/>
  <c r="Z458" i="51" s="1"/>
  <c r="AD475" i="50"/>
  <c r="AD458" i="51" s="1"/>
  <c r="AQ475" i="50"/>
  <c r="AQ458" i="51" s="1"/>
  <c r="AU475" i="50"/>
  <c r="AU458" i="51" s="1"/>
  <c r="AV475" i="50"/>
  <c r="AV458" i="51" s="1"/>
  <c r="AC475" i="50"/>
  <c r="AC458" i="51" s="1"/>
  <c r="AB475" i="50"/>
  <c r="AB458" i="51" s="1"/>
  <c r="AL475" i="50"/>
  <c r="AL458" i="51" s="1"/>
  <c r="AI475" i="50"/>
  <c r="AI458" i="51" s="1"/>
  <c r="Y475" i="50"/>
  <c r="Y458" i="51" s="1"/>
  <c r="V475" i="50"/>
  <c r="V458" i="51" s="1"/>
  <c r="AA475" i="50"/>
  <c r="AA458" i="51" s="1"/>
  <c r="AS475" i="50"/>
  <c r="AS458" i="51" s="1"/>
  <c r="W475" i="50"/>
  <c r="W458" i="51" s="1"/>
  <c r="AE475" i="50"/>
  <c r="AE458" i="51" s="1"/>
  <c r="AN475" i="50"/>
  <c r="AN458" i="51" s="1"/>
  <c r="AO475" i="50"/>
  <c r="AO458" i="51" s="1"/>
  <c r="AM475" i="50"/>
  <c r="AM458" i="51" s="1"/>
  <c r="AR475" i="50"/>
  <c r="AR458" i="51" s="1"/>
  <c r="AW475" i="50"/>
  <c r="AW458" i="51" s="1"/>
  <c r="X475" i="50"/>
  <c r="X458" i="51" s="1"/>
  <c r="AH475" i="50"/>
  <c r="AH458" i="51" s="1"/>
  <c r="AS485" i="50"/>
  <c r="AS467" i="51" s="1"/>
  <c r="AR485" i="50"/>
  <c r="AR467" i="51" s="1"/>
  <c r="AW485" i="50"/>
  <c r="AW467" i="51" s="1"/>
  <c r="AT485" i="50"/>
  <c r="AT467" i="51" s="1"/>
  <c r="AP485" i="50"/>
  <c r="AP467" i="51" s="1"/>
  <c r="AQ485" i="50"/>
  <c r="AQ467" i="51" s="1"/>
  <c r="AV485" i="50"/>
  <c r="AV467" i="51" s="1"/>
  <c r="AU485" i="50"/>
  <c r="AU467" i="51" s="1"/>
  <c r="AO485" i="50"/>
  <c r="AO467" i="51" s="1"/>
  <c r="AW470" i="50"/>
  <c r="AW453" i="51" s="1"/>
  <c r="AA470" i="50"/>
  <c r="AA453" i="51" s="1"/>
  <c r="AR470" i="50"/>
  <c r="AR453" i="51" s="1"/>
  <c r="AV470" i="50"/>
  <c r="AV453" i="51" s="1"/>
  <c r="AS470" i="50"/>
  <c r="AS453" i="51" s="1"/>
  <c r="AB470" i="50"/>
  <c r="AB453" i="51" s="1"/>
  <c r="AL470" i="50"/>
  <c r="AL453" i="51" s="1"/>
  <c r="AF470" i="50"/>
  <c r="AF453" i="51" s="1"/>
  <c r="AP470" i="50"/>
  <c r="AP453" i="51" s="1"/>
  <c r="V470" i="50"/>
  <c r="V453" i="51" s="1"/>
  <c r="Z470" i="50"/>
  <c r="Z453" i="51" s="1"/>
  <c r="W470" i="50"/>
  <c r="W453" i="51" s="1"/>
  <c r="AO470" i="50"/>
  <c r="AO453" i="51" s="1"/>
  <c r="AN470" i="50"/>
  <c r="AN453" i="51" s="1"/>
  <c r="AC470" i="50"/>
  <c r="AC453" i="51" s="1"/>
  <c r="AD470" i="50"/>
  <c r="AD453" i="51" s="1"/>
  <c r="AE470" i="50"/>
  <c r="AE453" i="51" s="1"/>
  <c r="AK470" i="50"/>
  <c r="AK453" i="51" s="1"/>
  <c r="X470" i="50"/>
  <c r="X453" i="51" s="1"/>
  <c r="AH470" i="50"/>
  <c r="AH453" i="51" s="1"/>
  <c r="AM470" i="50"/>
  <c r="AM453" i="51" s="1"/>
  <c r="AI470" i="50"/>
  <c r="AI453" i="51" s="1"/>
  <c r="AQ470" i="50"/>
  <c r="AQ453" i="51" s="1"/>
  <c r="Y470" i="50"/>
  <c r="Y453" i="51" s="1"/>
  <c r="AU470" i="50"/>
  <c r="AU453" i="51" s="1"/>
  <c r="AG470" i="50"/>
  <c r="AG453" i="51" s="1"/>
  <c r="AJ470" i="50"/>
  <c r="AJ453" i="51" s="1"/>
  <c r="AT470" i="50"/>
  <c r="AT453" i="51" s="1"/>
  <c r="AJ471" i="50"/>
  <c r="AJ454" i="51" s="1"/>
  <c r="AT471" i="50"/>
  <c r="AT454" i="51" s="1"/>
  <c r="AW471" i="50"/>
  <c r="AW454" i="51" s="1"/>
  <c r="Z471" i="50"/>
  <c r="Z454" i="51" s="1"/>
  <c r="AD471" i="50"/>
  <c r="AD454" i="51" s="1"/>
  <c r="AA471" i="50"/>
  <c r="AA454" i="51" s="1"/>
  <c r="AV471" i="50"/>
  <c r="AV454" i="51" s="1"/>
  <c r="AS471" i="50"/>
  <c r="AS454" i="51" s="1"/>
  <c r="AE471" i="50"/>
  <c r="AE454" i="51" s="1"/>
  <c r="AF471" i="50"/>
  <c r="AF454" i="51" s="1"/>
  <c r="AP471" i="50"/>
  <c r="AP454" i="51" s="1"/>
  <c r="AO471" i="50"/>
  <c r="AO454" i="51" s="1"/>
  <c r="V471" i="50"/>
  <c r="V454" i="51" s="1"/>
  <c r="AQ471" i="50"/>
  <c r="AQ454" i="51" s="1"/>
  <c r="AM471" i="50"/>
  <c r="AM454" i="51" s="1"/>
  <c r="AU471" i="50"/>
  <c r="AU454" i="51" s="1"/>
  <c r="AN471" i="50"/>
  <c r="AN454" i="51" s="1"/>
  <c r="AC471" i="50"/>
  <c r="AC454" i="51" s="1"/>
  <c r="AR471" i="50"/>
  <c r="AR454" i="51" s="1"/>
  <c r="AK471" i="50"/>
  <c r="AK454" i="51" s="1"/>
  <c r="X471" i="50"/>
  <c r="X454" i="51" s="1"/>
  <c r="AH471" i="50"/>
  <c r="AH454" i="51" s="1"/>
  <c r="Y471" i="50"/>
  <c r="Y454" i="51" s="1"/>
  <c r="W471" i="50"/>
  <c r="W454" i="51" s="1"/>
  <c r="AB471" i="50"/>
  <c r="AB454" i="51" s="1"/>
  <c r="AL471" i="50"/>
  <c r="AL454" i="51" s="1"/>
  <c r="AG471" i="50"/>
  <c r="AG454" i="51" s="1"/>
  <c r="AI471" i="50"/>
  <c r="AI454" i="51" s="1"/>
  <c r="G428" i="51"/>
  <c r="V482" i="50"/>
  <c r="V464" i="51" s="1"/>
  <c r="Y482" i="50"/>
  <c r="Y464" i="51" s="1"/>
  <c r="AA482" i="50"/>
  <c r="AA464" i="51" s="1"/>
  <c r="AI482" i="50"/>
  <c r="AI464" i="51" s="1"/>
  <c r="AN482" i="50"/>
  <c r="AN464" i="51" s="1"/>
  <c r="AR482" i="50"/>
  <c r="AR464" i="51" s="1"/>
  <c r="AM482" i="50"/>
  <c r="AM464" i="51" s="1"/>
  <c r="X482" i="50"/>
  <c r="X464" i="51" s="1"/>
  <c r="AH482" i="50"/>
  <c r="AH464" i="51" s="1"/>
  <c r="AW482" i="50"/>
  <c r="AW464" i="51" s="1"/>
  <c r="AB482" i="50"/>
  <c r="AB464" i="51" s="1"/>
  <c r="AL482" i="50"/>
  <c r="AL464" i="51" s="1"/>
  <c r="AC482" i="50"/>
  <c r="AC464" i="51" s="1"/>
  <c r="AF482" i="50"/>
  <c r="AF464" i="51" s="1"/>
  <c r="AP482" i="50"/>
  <c r="AP464" i="51" s="1"/>
  <c r="AK482" i="50"/>
  <c r="AK464" i="51" s="1"/>
  <c r="AJ482" i="50"/>
  <c r="AJ464" i="51" s="1"/>
  <c r="AT482" i="50"/>
  <c r="AT464" i="51" s="1"/>
  <c r="AS482" i="50"/>
  <c r="AS464" i="51" s="1"/>
  <c r="W482" i="50"/>
  <c r="W464" i="51" s="1"/>
  <c r="Z482" i="50"/>
  <c r="Z464" i="51" s="1"/>
  <c r="AG482" i="50"/>
  <c r="AG464" i="51" s="1"/>
  <c r="AE482" i="50"/>
  <c r="AE464" i="51" s="1"/>
  <c r="AD482" i="50"/>
  <c r="AD464" i="51" s="1"/>
  <c r="AO482" i="50"/>
  <c r="AO464" i="51" s="1"/>
  <c r="AQ482" i="50"/>
  <c r="AQ464" i="51" s="1"/>
  <c r="AV482" i="50"/>
  <c r="AV464" i="51" s="1"/>
  <c r="AU482" i="50"/>
  <c r="AU464" i="51" s="1"/>
  <c r="AS469" i="50"/>
  <c r="AS452" i="51" s="1"/>
  <c r="AO469" i="50"/>
  <c r="AO452" i="51" s="1"/>
  <c r="AQ469" i="50"/>
  <c r="AQ452" i="51" s="1"/>
  <c r="AR469" i="50"/>
  <c r="AR452" i="51" s="1"/>
  <c r="AU469" i="50"/>
  <c r="AU452" i="51" s="1"/>
  <c r="AV469" i="50"/>
  <c r="AV452" i="51" s="1"/>
  <c r="AP469" i="50"/>
  <c r="AP452" i="51" s="1"/>
  <c r="AT469" i="50"/>
  <c r="AT452" i="51" s="1"/>
  <c r="AW469" i="50"/>
  <c r="AW452" i="51" s="1"/>
  <c r="AD467" i="50"/>
  <c r="AD450" i="51" s="1"/>
  <c r="AG467" i="50"/>
  <c r="AG450" i="51" s="1"/>
  <c r="AI467" i="50"/>
  <c r="AI450" i="51" s="1"/>
  <c r="AQ467" i="50"/>
  <c r="AQ450" i="51" s="1"/>
  <c r="AV467" i="50"/>
  <c r="AV450" i="51" s="1"/>
  <c r="AU467" i="50"/>
  <c r="AU450" i="51" s="1"/>
  <c r="AF467" i="50"/>
  <c r="AF450" i="51" s="1"/>
  <c r="AP467" i="50"/>
  <c r="AP450" i="51" s="1"/>
  <c r="AC467" i="50"/>
  <c r="AC450" i="51" s="1"/>
  <c r="AJ467" i="50"/>
  <c r="AJ450" i="51" s="1"/>
  <c r="AT467" i="50"/>
  <c r="AT450" i="51" s="1"/>
  <c r="AK467" i="50"/>
  <c r="AK450" i="51" s="1"/>
  <c r="Z467" i="50"/>
  <c r="Z450" i="51" s="1"/>
  <c r="Y467" i="50"/>
  <c r="Y450" i="51" s="1"/>
  <c r="AA467" i="50"/>
  <c r="AA450" i="51" s="1"/>
  <c r="AN467" i="50"/>
  <c r="AN450" i="51" s="1"/>
  <c r="AS467" i="50"/>
  <c r="AS450" i="51" s="1"/>
  <c r="W467" i="50"/>
  <c r="W450" i="51" s="1"/>
  <c r="AR467" i="50"/>
  <c r="AR450" i="51" s="1"/>
  <c r="AE467" i="50"/>
  <c r="AE450" i="51" s="1"/>
  <c r="X467" i="50"/>
  <c r="X450" i="51" s="1"/>
  <c r="AH467" i="50"/>
  <c r="AH450" i="51" s="1"/>
  <c r="AO467" i="50"/>
  <c r="AO450" i="51" s="1"/>
  <c r="AM467" i="50"/>
  <c r="AM450" i="51" s="1"/>
  <c r="AB467" i="50"/>
  <c r="AB450" i="51" s="1"/>
  <c r="AL467" i="50"/>
  <c r="AL450" i="51" s="1"/>
  <c r="AW467" i="50"/>
  <c r="AW450" i="51" s="1"/>
  <c r="V467" i="50"/>
  <c r="V450" i="51" s="1"/>
  <c r="AR473" i="50"/>
  <c r="AR456" i="51" s="1"/>
  <c r="AI473" i="50"/>
  <c r="AI456" i="51" s="1"/>
  <c r="X473" i="50"/>
  <c r="X456" i="51" s="1"/>
  <c r="AH473" i="50"/>
  <c r="AH456" i="51" s="1"/>
  <c r="AB473" i="50"/>
  <c r="AB456" i="51" s="1"/>
  <c r="AL473" i="50"/>
  <c r="AL456" i="51" s="1"/>
  <c r="AM473" i="50"/>
  <c r="AM456" i="51" s="1"/>
  <c r="V473" i="50"/>
  <c r="V456" i="51" s="1"/>
  <c r="AC473" i="50"/>
  <c r="AC456" i="51" s="1"/>
  <c r="Y473" i="50"/>
  <c r="Y456" i="51" s="1"/>
  <c r="AN473" i="50"/>
  <c r="AN456" i="51" s="1"/>
  <c r="AD473" i="50"/>
  <c r="AD456" i="51" s="1"/>
  <c r="AS473" i="50"/>
  <c r="AS456" i="51" s="1"/>
  <c r="W473" i="50"/>
  <c r="W456" i="51" s="1"/>
  <c r="AG473" i="50"/>
  <c r="AG456" i="51" s="1"/>
  <c r="AE473" i="50"/>
  <c r="AE456" i="51" s="1"/>
  <c r="AO473" i="50"/>
  <c r="AO456" i="51" s="1"/>
  <c r="AV473" i="50"/>
  <c r="AV456" i="51" s="1"/>
  <c r="AQ473" i="50"/>
  <c r="AQ456" i="51" s="1"/>
  <c r="AA473" i="50"/>
  <c r="AA456" i="51" s="1"/>
  <c r="AW473" i="50"/>
  <c r="AW456" i="51" s="1"/>
  <c r="AF473" i="50"/>
  <c r="AF456" i="51" s="1"/>
  <c r="AP473" i="50"/>
  <c r="AP456" i="51" s="1"/>
  <c r="AU473" i="50"/>
  <c r="AU456" i="51" s="1"/>
  <c r="AJ473" i="50"/>
  <c r="AJ456" i="51" s="1"/>
  <c r="AT473" i="50"/>
  <c r="AT456" i="51" s="1"/>
  <c r="Z473" i="50"/>
  <c r="Z456" i="51" s="1"/>
  <c r="AK473" i="50"/>
  <c r="AK456" i="51" s="1"/>
  <c r="AU468" i="50"/>
  <c r="AU451" i="51" s="1"/>
  <c r="AJ468" i="50"/>
  <c r="AJ451" i="51" s="1"/>
  <c r="AT468" i="50"/>
  <c r="AT451" i="51" s="1"/>
  <c r="AN468" i="50"/>
  <c r="AN451" i="51" s="1"/>
  <c r="AD468" i="50"/>
  <c r="AD451" i="51" s="1"/>
  <c r="X468" i="50"/>
  <c r="X451" i="51" s="1"/>
  <c r="AH468" i="50"/>
  <c r="AH451" i="51" s="1"/>
  <c r="AO468" i="50"/>
  <c r="AO451" i="51" s="1"/>
  <c r="AK468" i="50"/>
  <c r="AK451" i="51" s="1"/>
  <c r="AG468" i="50"/>
  <c r="AG451" i="51" s="1"/>
  <c r="AM468" i="50"/>
  <c r="AM451" i="51" s="1"/>
  <c r="AF468" i="50"/>
  <c r="AF451" i="51" s="1"/>
  <c r="AP468" i="50"/>
  <c r="AP451" i="51" s="1"/>
  <c r="AI468" i="50"/>
  <c r="AI451" i="51" s="1"/>
  <c r="V468" i="50"/>
  <c r="V451" i="51" s="1"/>
  <c r="AS468" i="50"/>
  <c r="AS451" i="51" s="1"/>
  <c r="AQ468" i="50"/>
  <c r="AQ451" i="51" s="1"/>
  <c r="Z468" i="50"/>
  <c r="Z451" i="51" s="1"/>
  <c r="Y468" i="50"/>
  <c r="Y451" i="51" s="1"/>
  <c r="AR468" i="50"/>
  <c r="AR451" i="51" s="1"/>
  <c r="W468" i="50"/>
  <c r="W451" i="51" s="1"/>
  <c r="AC468" i="50"/>
  <c r="AC451" i="51" s="1"/>
  <c r="AV468" i="50"/>
  <c r="AV451" i="51" s="1"/>
  <c r="AE468" i="50"/>
  <c r="AE451" i="51" s="1"/>
  <c r="AB468" i="50"/>
  <c r="AB451" i="51" s="1"/>
  <c r="AL468" i="50"/>
  <c r="AL451" i="51" s="1"/>
  <c r="AW468" i="50"/>
  <c r="AW451" i="51" s="1"/>
  <c r="AA468" i="50"/>
  <c r="AA451" i="51" s="1"/>
  <c r="Z474" i="50"/>
  <c r="Z457" i="51" s="1"/>
  <c r="AQ474" i="50"/>
  <c r="AQ457" i="51" s="1"/>
  <c r="Y474" i="50"/>
  <c r="Y457" i="51" s="1"/>
  <c r="AG474" i="50"/>
  <c r="AG457" i="51" s="1"/>
  <c r="AR474" i="50"/>
  <c r="AR457" i="51" s="1"/>
  <c r="AV474" i="50"/>
  <c r="AV457" i="51" s="1"/>
  <c r="AC474" i="50"/>
  <c r="AC457" i="51" s="1"/>
  <c r="AB474" i="50"/>
  <c r="AB457" i="51" s="1"/>
  <c r="AL474" i="50"/>
  <c r="AL457" i="51" s="1"/>
  <c r="AE474" i="50"/>
  <c r="AE457" i="51" s="1"/>
  <c r="AF474" i="50"/>
  <c r="AF457" i="51" s="1"/>
  <c r="AP474" i="50"/>
  <c r="AP457" i="51" s="1"/>
  <c r="AM474" i="50"/>
  <c r="AM457" i="51" s="1"/>
  <c r="V474" i="50"/>
  <c r="V457" i="51" s="1"/>
  <c r="AO486" i="50"/>
  <c r="AO468" i="51" s="1"/>
  <c r="AJ486" i="50"/>
  <c r="AJ468" i="51" s="1"/>
  <c r="AT486" i="50"/>
  <c r="AT468" i="51" s="1"/>
  <c r="AC486" i="50"/>
  <c r="AC468" i="51" s="1"/>
  <c r="AN486" i="50"/>
  <c r="AN468" i="51" s="1"/>
  <c r="AK486" i="50"/>
  <c r="AK468" i="51" s="1"/>
  <c r="AD486" i="50"/>
  <c r="AD468" i="51" s="1"/>
  <c r="X486" i="50"/>
  <c r="X468" i="51" s="1"/>
  <c r="AH486" i="50"/>
  <c r="AH468" i="51" s="1"/>
  <c r="AU486" i="50"/>
  <c r="AU468" i="51" s="1"/>
  <c r="AG486" i="50"/>
  <c r="AG468" i="51" s="1"/>
  <c r="AK474" i="50"/>
  <c r="AK457" i="51" s="1"/>
  <c r="AU465" i="50"/>
  <c r="AU448" i="51" s="1"/>
  <c r="AA487" i="50"/>
  <c r="AA469" i="51" s="1"/>
  <c r="AL486" i="50"/>
  <c r="AL468" i="51" s="1"/>
  <c r="AB486" i="50"/>
  <c r="AB468" i="51" s="1"/>
  <c r="AA474" i="50"/>
  <c r="AA457" i="51" s="1"/>
  <c r="AS465" i="50"/>
  <c r="AS448" i="51" s="1"/>
  <c r="Y487" i="50"/>
  <c r="Y469" i="51" s="1"/>
  <c r="AW474" i="50"/>
  <c r="AW457" i="51" s="1"/>
  <c r="Y486" i="50"/>
  <c r="Y468" i="51" s="1"/>
  <c r="AV486" i="50"/>
  <c r="AV468" i="51" s="1"/>
  <c r="AQ486" i="50"/>
  <c r="AQ468" i="51" s="1"/>
  <c r="AV465" i="50"/>
  <c r="AV448" i="51" s="1"/>
  <c r="AP465" i="50"/>
  <c r="AP448" i="51" s="1"/>
  <c r="AQ465" i="50"/>
  <c r="AQ448" i="51" s="1"/>
  <c r="AR465" i="50"/>
  <c r="AR448" i="51" s="1"/>
  <c r="AB487" i="50"/>
  <c r="AB469" i="51" s="1"/>
  <c r="AL487" i="50"/>
  <c r="AL469" i="51" s="1"/>
  <c r="AO487" i="50"/>
  <c r="AO469" i="51" s="1"/>
  <c r="AQ487" i="50"/>
  <c r="AQ469" i="51" s="1"/>
  <c r="V487" i="50"/>
  <c r="V469" i="51" s="1"/>
  <c r="AN487" i="50"/>
  <c r="AN469" i="51" s="1"/>
  <c r="AK487" i="50"/>
  <c r="AK469" i="51" s="1"/>
  <c r="AR487" i="50"/>
  <c r="AR469" i="51" s="1"/>
  <c r="AS487" i="50"/>
  <c r="AS469" i="51" s="1"/>
  <c r="W487" i="50"/>
  <c r="W469" i="51" s="1"/>
  <c r="X487" i="50"/>
  <c r="X469" i="51" s="1"/>
  <c r="AH487" i="50"/>
  <c r="AH469" i="51" s="1"/>
  <c r="AS486" i="50"/>
  <c r="AS468" i="51" s="1"/>
  <c r="AO474" i="50"/>
  <c r="AO457" i="51" s="1"/>
  <c r="AT465" i="50"/>
  <c r="AT448" i="51" s="1"/>
  <c r="Z487" i="50"/>
  <c r="Z469" i="51" s="1"/>
  <c r="AR486" i="50"/>
  <c r="AR468" i="51" s="1"/>
  <c r="AI486" i="50"/>
  <c r="AI468" i="51" s="1"/>
  <c r="W474" i="50"/>
  <c r="W457" i="51" s="1"/>
  <c r="AW465" i="50"/>
  <c r="AW448" i="51" s="1"/>
  <c r="AC487" i="50"/>
  <c r="AC469" i="51" s="1"/>
  <c r="AH474" i="50"/>
  <c r="AH457" i="51" s="1"/>
  <c r="AP477" i="50"/>
  <c r="AP459" i="51" s="1"/>
  <c r="AT487" i="50"/>
  <c r="AT469" i="51" s="1"/>
  <c r="X474" i="50"/>
  <c r="X457" i="51" s="1"/>
  <c r="AJ487" i="50"/>
  <c r="AJ469" i="51" s="1"/>
  <c r="AU487" i="50"/>
  <c r="AU469" i="51" s="1"/>
  <c r="AG487" i="50"/>
  <c r="AG469" i="51" s="1"/>
  <c r="C479" i="50"/>
  <c r="F479" i="50" s="1"/>
  <c r="AU477" i="50"/>
  <c r="AU459" i="51" s="1"/>
  <c r="AT477" i="50"/>
  <c r="AT459" i="51" s="1"/>
  <c r="AO477" i="50"/>
  <c r="AO459" i="51" s="1"/>
  <c r="AA486" i="50"/>
  <c r="AA468" i="51" s="1"/>
  <c r="AS477" i="50"/>
  <c r="AS459" i="51" s="1"/>
  <c r="AW487" i="50"/>
  <c r="AW469" i="51" s="1"/>
  <c r="AO465" i="50"/>
  <c r="AO448" i="51" s="1"/>
  <c r="AW486" i="50"/>
  <c r="AW468" i="51" s="1"/>
  <c r="AD474" i="50"/>
  <c r="AD457" i="51" s="1"/>
  <c r="AP487" i="50"/>
  <c r="AP469" i="51" s="1"/>
  <c r="AF487" i="50"/>
  <c r="AF469" i="51" s="1"/>
  <c r="AM487" i="50"/>
  <c r="AM469" i="51" s="1"/>
  <c r="AE486" i="50"/>
  <c r="AE468" i="51" s="1"/>
  <c r="Z486" i="50"/>
  <c r="Z468" i="51" s="1"/>
  <c r="AN474" i="50"/>
  <c r="AN457" i="51" s="1"/>
  <c r="AV477" i="50"/>
  <c r="AV459" i="51" s="1"/>
  <c r="AM486" i="50"/>
  <c r="AM468" i="51" s="1"/>
  <c r="AE487" i="50"/>
  <c r="AE469" i="51" s="1"/>
  <c r="AU474" i="50"/>
  <c r="AU457" i="51" s="1"/>
  <c r="W486" i="50"/>
  <c r="W468" i="51" s="1"/>
  <c r="AW477" i="50"/>
  <c r="AW459" i="51" s="1"/>
  <c r="AT474" i="50"/>
  <c r="AT457" i="51" s="1"/>
  <c r="V486" i="50"/>
  <c r="V468" i="51" s="1"/>
  <c r="AJ474" i="50"/>
  <c r="AJ457" i="51" s="1"/>
  <c r="AR477" i="50"/>
  <c r="AR459" i="51" s="1"/>
  <c r="AV487" i="50"/>
  <c r="AV469" i="51" s="1"/>
  <c r="AS474" i="50"/>
  <c r="AS457" i="51" s="1"/>
  <c r="AI487" i="50"/>
  <c r="AI469" i="51" s="1"/>
  <c r="AP486" i="50"/>
  <c r="AP468" i="51" s="1"/>
  <c r="AF486" i="50"/>
  <c r="AF468" i="51" s="1"/>
  <c r="AI474" i="50"/>
  <c r="AI457" i="51" s="1"/>
  <c r="K441" i="50"/>
  <c r="I454" i="50"/>
  <c r="I453" i="50"/>
  <c r="G446" i="51"/>
  <c r="I436" i="51"/>
  <c r="AJ460" i="50"/>
  <c r="AJ443" i="51" s="1"/>
  <c r="AA460" i="50"/>
  <c r="AA443" i="51" s="1"/>
  <c r="AR460" i="50"/>
  <c r="AR443" i="51" s="1"/>
  <c r="AI460" i="50"/>
  <c r="AI443" i="51" s="1"/>
  <c r="Z460" i="50"/>
  <c r="Z443" i="51" s="1"/>
  <c r="AT460" i="50"/>
  <c r="AT443" i="51" s="1"/>
  <c r="AK460" i="50"/>
  <c r="AK443" i="51" s="1"/>
  <c r="AB460" i="50"/>
  <c r="AB443" i="51" s="1"/>
  <c r="AV460" i="50"/>
  <c r="AV443" i="51" s="1"/>
  <c r="AM460" i="50"/>
  <c r="AM443" i="51" s="1"/>
  <c r="AD460" i="50"/>
  <c r="AD443" i="51" s="1"/>
  <c r="U460" i="50"/>
  <c r="U443" i="51" s="1"/>
  <c r="AQ460" i="50"/>
  <c r="AQ443" i="51" s="1"/>
  <c r="AH460" i="50"/>
  <c r="AH443" i="51" s="1"/>
  <c r="AF460" i="50"/>
  <c r="AF443" i="51" s="1"/>
  <c r="W460" i="50"/>
  <c r="W443" i="51" s="1"/>
  <c r="AP460" i="50"/>
  <c r="AP443" i="51" s="1"/>
  <c r="AG460" i="50"/>
  <c r="AG443" i="51" s="1"/>
  <c r="AN460" i="50"/>
  <c r="AN443" i="51" s="1"/>
  <c r="X460" i="50"/>
  <c r="X443" i="51" s="1"/>
  <c r="Y460" i="50"/>
  <c r="Y443" i="51" s="1"/>
  <c r="AU460" i="50"/>
  <c r="AU443" i="51" s="1"/>
  <c r="AE460" i="50"/>
  <c r="AE443" i="51" s="1"/>
  <c r="AL460" i="50"/>
  <c r="AL443" i="51" s="1"/>
  <c r="V460" i="50"/>
  <c r="V443" i="51" s="1"/>
  <c r="AS460" i="50"/>
  <c r="AS443" i="51" s="1"/>
  <c r="AO460" i="50"/>
  <c r="AO443" i="51" s="1"/>
  <c r="AC460" i="50"/>
  <c r="AC443" i="51" s="1"/>
  <c r="K458" i="50"/>
  <c r="AB458" i="50"/>
  <c r="AB441" i="51" s="1"/>
  <c r="AS458" i="50"/>
  <c r="AS441" i="51" s="1"/>
  <c r="AJ458" i="50"/>
  <c r="AJ441" i="51" s="1"/>
  <c r="AA458" i="50"/>
  <c r="AA441" i="51" s="1"/>
  <c r="AU458" i="50"/>
  <c r="AU441" i="51" s="1"/>
  <c r="AL458" i="50"/>
  <c r="AL441" i="51" s="1"/>
  <c r="AC458" i="50"/>
  <c r="AC441" i="51" s="1"/>
  <c r="AN458" i="50"/>
  <c r="AN441" i="51" s="1"/>
  <c r="AE458" i="50"/>
  <c r="AE441" i="51" s="1"/>
  <c r="V458" i="50"/>
  <c r="V441" i="51" s="1"/>
  <c r="AR458" i="50"/>
  <c r="AR441" i="51" s="1"/>
  <c r="AI458" i="50"/>
  <c r="AI441" i="51" s="1"/>
  <c r="X458" i="50"/>
  <c r="X441" i="51" s="1"/>
  <c r="AQ458" i="50"/>
  <c r="AQ441" i="51" s="1"/>
  <c r="AH458" i="50"/>
  <c r="AH441" i="51" s="1"/>
  <c r="Y458" i="50"/>
  <c r="Y441" i="51" s="1"/>
  <c r="AO458" i="50"/>
  <c r="AO441" i="51" s="1"/>
  <c r="Z458" i="50"/>
  <c r="Z441" i="51" s="1"/>
  <c r="AV458" i="50"/>
  <c r="AV441" i="51" s="1"/>
  <c r="AK458" i="50"/>
  <c r="AK441" i="51" s="1"/>
  <c r="AF458" i="50"/>
  <c r="AF441" i="51" s="1"/>
  <c r="AG458" i="50"/>
  <c r="AG441" i="51" s="1"/>
  <c r="U458" i="50"/>
  <c r="U441" i="51" s="1"/>
  <c r="AM458" i="50"/>
  <c r="AM441" i="51" s="1"/>
  <c r="W458" i="50"/>
  <c r="W441" i="51" s="1"/>
  <c r="AT458" i="50"/>
  <c r="AT441" i="51" s="1"/>
  <c r="AP458" i="50"/>
  <c r="AP441" i="51" s="1"/>
  <c r="AD458" i="50"/>
  <c r="AD441" i="51" s="1"/>
  <c r="K454" i="50"/>
  <c r="AT459" i="50"/>
  <c r="AT442" i="51" s="1"/>
  <c r="AR459" i="50"/>
  <c r="AR442" i="51" s="1"/>
  <c r="AI459" i="50"/>
  <c r="AI442" i="51" s="1"/>
  <c r="Z459" i="50"/>
  <c r="Z442" i="51" s="1"/>
  <c r="AV459" i="50"/>
  <c r="AV442" i="51" s="1"/>
  <c r="AM459" i="50"/>
  <c r="AM442" i="51" s="1"/>
  <c r="AB459" i="50"/>
  <c r="AB442" i="51" s="1"/>
  <c r="AU459" i="50"/>
  <c r="AU442" i="51" s="1"/>
  <c r="AL459" i="50"/>
  <c r="AL442" i="51" s="1"/>
  <c r="AF459" i="50"/>
  <c r="AF442" i="51" s="1"/>
  <c r="W459" i="50"/>
  <c r="W442" i="51" s="1"/>
  <c r="AN459" i="50"/>
  <c r="AN442" i="51" s="1"/>
  <c r="AE459" i="50"/>
  <c r="AE442" i="51" s="1"/>
  <c r="V459" i="50"/>
  <c r="V442" i="51" s="1"/>
  <c r="AP459" i="50"/>
  <c r="AP442" i="51" s="1"/>
  <c r="AG459" i="50"/>
  <c r="AG442" i="51" s="1"/>
  <c r="X459" i="50"/>
  <c r="X442" i="51" s="1"/>
  <c r="AO459" i="50"/>
  <c r="AO442" i="51" s="1"/>
  <c r="AK459" i="50"/>
  <c r="AK442" i="51" s="1"/>
  <c r="Y459" i="50"/>
  <c r="Y442" i="51" s="1"/>
  <c r="AQ459" i="50"/>
  <c r="AQ442" i="51" s="1"/>
  <c r="AJ459" i="50"/>
  <c r="AJ442" i="51" s="1"/>
  <c r="U459" i="50"/>
  <c r="U442" i="51" s="1"/>
  <c r="AS459" i="50"/>
  <c r="AS442" i="51" s="1"/>
  <c r="AH459" i="50"/>
  <c r="AH442" i="51" s="1"/>
  <c r="AA459" i="50"/>
  <c r="AA442" i="51" s="1"/>
  <c r="AC459" i="50"/>
  <c r="AC442" i="51" s="1"/>
  <c r="AD459" i="50"/>
  <c r="AD442" i="51" s="1"/>
  <c r="G449" i="50"/>
  <c r="G445" i="51"/>
  <c r="D458" i="50"/>
  <c r="H458" i="50"/>
  <c r="AE213" i="51"/>
  <c r="X213" i="51"/>
  <c r="AD213" i="51"/>
  <c r="AF213" i="51"/>
  <c r="AG213" i="51"/>
  <c r="AA213" i="51"/>
  <c r="Y213" i="51"/>
  <c r="AB213" i="51"/>
  <c r="Z213" i="51"/>
  <c r="G415" i="51"/>
  <c r="G453" i="50"/>
  <c r="G425" i="51"/>
  <c r="G447" i="50"/>
  <c r="G442" i="51"/>
  <c r="G430" i="51"/>
  <c r="G441" i="50"/>
  <c r="G429" i="51"/>
  <c r="G217" i="51"/>
  <c r="K243" i="50"/>
  <c r="E243" i="50"/>
  <c r="J243" i="50"/>
  <c r="H243" i="50"/>
  <c r="F243" i="50"/>
  <c r="D243" i="50"/>
  <c r="K234" i="51"/>
  <c r="E234" i="51"/>
  <c r="J234" i="51"/>
  <c r="H234" i="51"/>
  <c r="F234" i="51"/>
  <c r="D234" i="51"/>
  <c r="E439" i="51"/>
  <c r="G439" i="51" s="1"/>
  <c r="H438" i="51"/>
  <c r="D439" i="51"/>
  <c r="J438" i="51"/>
  <c r="I439" i="51"/>
  <c r="I438" i="51"/>
  <c r="D438" i="51"/>
  <c r="K438" i="51"/>
  <c r="E438" i="51"/>
  <c r="K439" i="51"/>
  <c r="F438" i="51"/>
  <c r="D459" i="51"/>
  <c r="H459" i="51"/>
  <c r="F459" i="51"/>
  <c r="J459" i="51"/>
  <c r="D460" i="51"/>
  <c r="E460" i="51"/>
  <c r="G460" i="51" s="1"/>
  <c r="E459" i="51"/>
  <c r="K459" i="51" s="1"/>
  <c r="E475" i="50"/>
  <c r="J475" i="50"/>
  <c r="H475" i="50"/>
  <c r="F475" i="50"/>
  <c r="D475" i="50"/>
  <c r="I475" i="50"/>
  <c r="K475" i="50"/>
  <c r="B494" i="51"/>
  <c r="B513" i="50"/>
  <c r="G444" i="51"/>
  <c r="C466" i="51"/>
  <c r="K450" i="51"/>
  <c r="H450" i="51"/>
  <c r="F450" i="51"/>
  <c r="I450" i="51"/>
  <c r="E450" i="51"/>
  <c r="D450" i="51"/>
  <c r="J450" i="51"/>
  <c r="F451" i="51"/>
  <c r="D451" i="51"/>
  <c r="J451" i="51"/>
  <c r="E451" i="51"/>
  <c r="K451" i="51"/>
  <c r="I451" i="51"/>
  <c r="H451" i="51"/>
  <c r="I212" i="51"/>
  <c r="G212" i="51"/>
  <c r="I219" i="51"/>
  <c r="G219" i="51"/>
  <c r="I211" i="51"/>
  <c r="G211" i="51"/>
  <c r="J473" i="50"/>
  <c r="H473" i="50"/>
  <c r="F473" i="50"/>
  <c r="D473" i="50"/>
  <c r="I473" i="50"/>
  <c r="K473" i="50"/>
  <c r="E473" i="50"/>
  <c r="G473" i="50" s="1"/>
  <c r="I468" i="50"/>
  <c r="K468" i="50"/>
  <c r="E468" i="50"/>
  <c r="J468" i="50"/>
  <c r="H468" i="50"/>
  <c r="F468" i="50"/>
  <c r="D468" i="50"/>
  <c r="J470" i="50"/>
  <c r="H470" i="50"/>
  <c r="F470" i="50"/>
  <c r="D470" i="50"/>
  <c r="K470" i="50"/>
  <c r="I470" i="50"/>
  <c r="E470" i="50"/>
  <c r="G470" i="50" s="1"/>
  <c r="I471" i="50"/>
  <c r="K471" i="50"/>
  <c r="E471" i="50"/>
  <c r="J471" i="50"/>
  <c r="H471" i="50"/>
  <c r="D471" i="50"/>
  <c r="F471" i="50"/>
  <c r="C483" i="50"/>
  <c r="E477" i="50"/>
  <c r="D478" i="50"/>
  <c r="J477" i="50"/>
  <c r="H477" i="50"/>
  <c r="F477" i="50"/>
  <c r="E478" i="50"/>
  <c r="G478" i="50" s="1"/>
  <c r="D477" i="50"/>
  <c r="H251" i="50"/>
  <c r="F251" i="50"/>
  <c r="D251" i="50"/>
  <c r="J251" i="50"/>
  <c r="E251" i="50"/>
  <c r="K251" i="50"/>
  <c r="E240" i="50"/>
  <c r="K240" i="50"/>
  <c r="H240" i="50"/>
  <c r="J240" i="50"/>
  <c r="D240" i="50"/>
  <c r="F240" i="50"/>
  <c r="F239" i="50"/>
  <c r="K239" i="50"/>
  <c r="E239" i="50"/>
  <c r="H239" i="50"/>
  <c r="J239" i="50"/>
  <c r="D239" i="50"/>
  <c r="D238" i="50"/>
  <c r="K238" i="50"/>
  <c r="E238" i="50"/>
  <c r="J238" i="50"/>
  <c r="H238" i="50"/>
  <c r="F238" i="50"/>
  <c r="D250" i="50"/>
  <c r="E250" i="50"/>
  <c r="K250" i="50"/>
  <c r="J250" i="50"/>
  <c r="H250" i="50"/>
  <c r="F250" i="50"/>
  <c r="I209" i="51"/>
  <c r="G209" i="51"/>
  <c r="I213" i="51"/>
  <c r="G213" i="51"/>
  <c r="G457" i="50"/>
  <c r="G235" i="50"/>
  <c r="I235" i="50"/>
  <c r="Y219" i="51"/>
  <c r="C250" i="51"/>
  <c r="E250" i="51" s="1"/>
  <c r="C252" i="51"/>
  <c r="D248" i="51"/>
  <c r="C251" i="51"/>
  <c r="C248" i="51"/>
  <c r="C262" i="51"/>
  <c r="C259" i="51"/>
  <c r="C260" i="51"/>
  <c r="C261" i="51"/>
  <c r="D253" i="51"/>
  <c r="C258" i="51"/>
  <c r="M265" i="51"/>
  <c r="C256" i="51"/>
  <c r="D258" i="51"/>
  <c r="C249" i="51"/>
  <c r="C253" i="51"/>
  <c r="C255" i="51" s="1"/>
  <c r="D265" i="51"/>
  <c r="C266" i="51"/>
  <c r="C257" i="51"/>
  <c r="C267" i="51"/>
  <c r="C263" i="51"/>
  <c r="C264" i="51"/>
  <c r="C265" i="51"/>
  <c r="L253" i="51"/>
  <c r="F3" i="44"/>
  <c r="G3" i="44" s="1"/>
  <c r="E4" i="44"/>
  <c r="G222" i="51"/>
  <c r="I222" i="51"/>
  <c r="G461" i="50"/>
  <c r="I219" i="50"/>
  <c r="G219" i="50"/>
  <c r="AG219" i="51"/>
  <c r="AU493" i="51"/>
  <c r="C490" i="51"/>
  <c r="AV493" i="51"/>
  <c r="C482" i="51"/>
  <c r="C484" i="51" s="1"/>
  <c r="C481" i="51"/>
  <c r="L471" i="51"/>
  <c r="C474" i="51"/>
  <c r="C473" i="51"/>
  <c r="M471" i="51"/>
  <c r="C478" i="51"/>
  <c r="C477" i="51"/>
  <c r="AR493" i="51"/>
  <c r="AW493" i="51"/>
  <c r="AS493" i="51"/>
  <c r="C491" i="51"/>
  <c r="C479" i="51"/>
  <c r="AX493" i="51"/>
  <c r="C480" i="51"/>
  <c r="C492" i="51"/>
  <c r="AP493" i="51"/>
  <c r="C471" i="51"/>
  <c r="AQ493" i="51"/>
  <c r="C475" i="51"/>
  <c r="AT493" i="51"/>
  <c r="C476" i="51"/>
  <c r="G431" i="51"/>
  <c r="E440" i="51"/>
  <c r="F440" i="51"/>
  <c r="D440" i="51"/>
  <c r="H440" i="51"/>
  <c r="K440" i="51"/>
  <c r="I440" i="51"/>
  <c r="J440" i="51"/>
  <c r="J243" i="51"/>
  <c r="D243" i="51"/>
  <c r="F243" i="51"/>
  <c r="K243" i="51"/>
  <c r="E243" i="51"/>
  <c r="H243" i="51"/>
  <c r="J238" i="51"/>
  <c r="E238" i="51"/>
  <c r="F238" i="51"/>
  <c r="H238" i="51"/>
  <c r="K238" i="51"/>
  <c r="D229" i="51"/>
  <c r="K229" i="51"/>
  <c r="J229" i="51"/>
  <c r="F229" i="51"/>
  <c r="E229" i="51"/>
  <c r="H229" i="51"/>
  <c r="E247" i="51"/>
  <c r="J247" i="51"/>
  <c r="K247" i="51"/>
  <c r="F247" i="51"/>
  <c r="H247" i="51"/>
  <c r="D247" i="51"/>
  <c r="I215" i="51"/>
  <c r="G215" i="51"/>
  <c r="Z208" i="51"/>
  <c r="AB219" i="51"/>
  <c r="AC225" i="51"/>
  <c r="I454" i="51"/>
  <c r="H454" i="51"/>
  <c r="E454" i="51"/>
  <c r="F454" i="51"/>
  <c r="K454" i="51"/>
  <c r="D454" i="51"/>
  <c r="J454" i="51"/>
  <c r="K467" i="50"/>
  <c r="E467" i="50"/>
  <c r="J467" i="50"/>
  <c r="H467" i="50"/>
  <c r="F467" i="50"/>
  <c r="D467" i="50"/>
  <c r="I467" i="50"/>
  <c r="I224" i="50"/>
  <c r="G224" i="50"/>
  <c r="AC219" i="51"/>
  <c r="J233" i="51"/>
  <c r="E233" i="51"/>
  <c r="F233" i="51"/>
  <c r="H233" i="51"/>
  <c r="K233" i="51"/>
  <c r="E230" i="51"/>
  <c r="H230" i="51"/>
  <c r="J230" i="51"/>
  <c r="D230" i="51"/>
  <c r="F230" i="51"/>
  <c r="K230" i="51"/>
  <c r="K231" i="51"/>
  <c r="D231" i="51"/>
  <c r="F231" i="51"/>
  <c r="E231" i="51"/>
  <c r="J231" i="51"/>
  <c r="H231" i="51"/>
  <c r="E237" i="51"/>
  <c r="D237" i="51"/>
  <c r="F237" i="51"/>
  <c r="K237" i="51"/>
  <c r="J237" i="51"/>
  <c r="H237" i="51"/>
  <c r="E245" i="51"/>
  <c r="J245" i="51"/>
  <c r="F245" i="51"/>
  <c r="K245" i="51"/>
  <c r="H245" i="51"/>
  <c r="I227" i="51"/>
  <c r="G227" i="51"/>
  <c r="G450" i="50"/>
  <c r="I228" i="50"/>
  <c r="G228" i="50"/>
  <c r="I218" i="50"/>
  <c r="G218" i="50"/>
  <c r="AB225" i="51"/>
  <c r="AD225" i="51"/>
  <c r="G419" i="51"/>
  <c r="F465" i="51"/>
  <c r="H465" i="51"/>
  <c r="E465" i="51"/>
  <c r="J465" i="51"/>
  <c r="K465" i="51"/>
  <c r="D465" i="51"/>
  <c r="I465" i="51"/>
  <c r="I456" i="51"/>
  <c r="D456" i="51"/>
  <c r="E456" i="51"/>
  <c r="J456" i="51"/>
  <c r="K456" i="51"/>
  <c r="H456" i="51"/>
  <c r="F456" i="51"/>
  <c r="G216" i="51"/>
  <c r="I216" i="51"/>
  <c r="I472" i="50"/>
  <c r="K472" i="50"/>
  <c r="E472" i="50"/>
  <c r="J472" i="50"/>
  <c r="H472" i="50"/>
  <c r="F472" i="50"/>
  <c r="D472" i="50"/>
  <c r="K254" i="50"/>
  <c r="AH245" i="51" s="1"/>
  <c r="H254" i="50"/>
  <c r="J254" i="50"/>
  <c r="F254" i="50"/>
  <c r="E254" i="50"/>
  <c r="E255" i="50"/>
  <c r="K255" i="50"/>
  <c r="H255" i="50"/>
  <c r="J255" i="50"/>
  <c r="D255" i="50"/>
  <c r="F255" i="50"/>
  <c r="I225" i="51"/>
  <c r="G225" i="51"/>
  <c r="EP46" i="47"/>
  <c r="DF40" i="47"/>
  <c r="DL41" i="47"/>
  <c r="EJ45" i="47"/>
  <c r="U1" i="47"/>
  <c r="ED44" i="47"/>
  <c r="CT38" i="47"/>
  <c r="DR42" i="47"/>
  <c r="EV47" i="47"/>
  <c r="CZ39" i="47"/>
  <c r="DX43" i="47"/>
  <c r="G229" i="50"/>
  <c r="I229" i="50"/>
  <c r="J441" i="51"/>
  <c r="E441" i="51"/>
  <c r="F441" i="51"/>
  <c r="K441" i="51"/>
  <c r="H441" i="51"/>
  <c r="I441" i="51"/>
  <c r="D441" i="51"/>
  <c r="C464" i="51"/>
  <c r="F455" i="51"/>
  <c r="H455" i="51"/>
  <c r="K455" i="51"/>
  <c r="D455" i="51"/>
  <c r="J455" i="51"/>
  <c r="I455" i="51"/>
  <c r="E455" i="51"/>
  <c r="F457" i="51"/>
  <c r="J457" i="51"/>
  <c r="I457" i="51"/>
  <c r="K457" i="51"/>
  <c r="E457" i="51"/>
  <c r="G457" i="51" s="1"/>
  <c r="H457" i="51"/>
  <c r="D457" i="51"/>
  <c r="I226" i="50"/>
  <c r="G226" i="50"/>
  <c r="I221" i="50"/>
  <c r="G221" i="50"/>
  <c r="C481" i="50"/>
  <c r="F485" i="50"/>
  <c r="D485" i="50"/>
  <c r="E485" i="50"/>
  <c r="J485" i="50"/>
  <c r="H485" i="50"/>
  <c r="J474" i="50"/>
  <c r="H474" i="50"/>
  <c r="F474" i="50"/>
  <c r="D474" i="50"/>
  <c r="I474" i="50"/>
  <c r="K474" i="50"/>
  <c r="E474" i="50"/>
  <c r="G474" i="50" s="1"/>
  <c r="D486" i="50"/>
  <c r="I486" i="50"/>
  <c r="K486" i="50"/>
  <c r="E486" i="50"/>
  <c r="J486" i="50"/>
  <c r="H486" i="50"/>
  <c r="F486" i="50"/>
  <c r="AF245" i="51"/>
  <c r="H244" i="50"/>
  <c r="J244" i="50"/>
  <c r="D244" i="50"/>
  <c r="F244" i="50"/>
  <c r="K244" i="50"/>
  <c r="E244" i="50"/>
  <c r="E247" i="50"/>
  <c r="J247" i="50"/>
  <c r="H247" i="50"/>
  <c r="F247" i="50"/>
  <c r="D247" i="50"/>
  <c r="K247" i="50"/>
  <c r="H236" i="50"/>
  <c r="K236" i="50"/>
  <c r="AF228" i="51" s="1"/>
  <c r="J236" i="50"/>
  <c r="F236" i="50"/>
  <c r="E236" i="50"/>
  <c r="G220" i="51"/>
  <c r="I220" i="51"/>
  <c r="I216" i="50"/>
  <c r="G216" i="50"/>
  <c r="G234" i="50"/>
  <c r="I234" i="50"/>
  <c r="I223" i="50"/>
  <c r="G223" i="50"/>
  <c r="C276" i="50"/>
  <c r="Z256" i="51"/>
  <c r="Z277" i="50"/>
  <c r="Z267" i="51" s="1"/>
  <c r="Z251" i="51"/>
  <c r="Z254" i="51"/>
  <c r="Z275" i="50"/>
  <c r="Z257" i="51"/>
  <c r="Z249" i="51"/>
  <c r="Z252" i="51"/>
  <c r="Z255" i="51"/>
  <c r="Z276" i="50"/>
  <c r="Z266" i="51" s="1"/>
  <c r="Z250" i="51"/>
  <c r="Z253" i="51"/>
  <c r="D257" i="50"/>
  <c r="C259" i="50"/>
  <c r="C267" i="50"/>
  <c r="C274" i="50" s="1"/>
  <c r="C257" i="50"/>
  <c r="C266" i="50"/>
  <c r="C260" i="50"/>
  <c r="D275" i="50"/>
  <c r="C261" i="50"/>
  <c r="D267" i="50"/>
  <c r="C265" i="50"/>
  <c r="M275" i="50"/>
  <c r="C258" i="50"/>
  <c r="C277" i="50"/>
  <c r="D262" i="50"/>
  <c r="C262" i="50"/>
  <c r="C263" i="50" s="1"/>
  <c r="L262" i="50"/>
  <c r="C275" i="50"/>
  <c r="AA255" i="51"/>
  <c r="AA253" i="51"/>
  <c r="AA276" i="50"/>
  <c r="AA266" i="51" s="1"/>
  <c r="AA250" i="51"/>
  <c r="AA277" i="50"/>
  <c r="AA267" i="51" s="1"/>
  <c r="AA251" i="51"/>
  <c r="AA256" i="51"/>
  <c r="AA275" i="50"/>
  <c r="AA257" i="51"/>
  <c r="AA249" i="51"/>
  <c r="AA254" i="51"/>
  <c r="AA252" i="51"/>
  <c r="AB255" i="51"/>
  <c r="AB252" i="51"/>
  <c r="AB253" i="51"/>
  <c r="AB276" i="50"/>
  <c r="AB266" i="51" s="1"/>
  <c r="AB250" i="51"/>
  <c r="AB277" i="50"/>
  <c r="AB267" i="51" s="1"/>
  <c r="AB251" i="51"/>
  <c r="AB256" i="51"/>
  <c r="AB275" i="50"/>
  <c r="AB257" i="51"/>
  <c r="AB249" i="51"/>
  <c r="AB254" i="51"/>
  <c r="AC252" i="51"/>
  <c r="AC275" i="50"/>
  <c r="AC257" i="51"/>
  <c r="AC249" i="51"/>
  <c r="AC276" i="50"/>
  <c r="AC266" i="51" s="1"/>
  <c r="AC250" i="51"/>
  <c r="AC255" i="51"/>
  <c r="AC256" i="51"/>
  <c r="AC253" i="51"/>
  <c r="AC254" i="51"/>
  <c r="AC277" i="50"/>
  <c r="AC267" i="51" s="1"/>
  <c r="AC251" i="51"/>
  <c r="AD276" i="50"/>
  <c r="AD266" i="51" s="1"/>
  <c r="AD250" i="51"/>
  <c r="AD255" i="51"/>
  <c r="AD256" i="51"/>
  <c r="AD253" i="51"/>
  <c r="AD254" i="51"/>
  <c r="AD277" i="50"/>
  <c r="AD267" i="51" s="1"/>
  <c r="AD251" i="51"/>
  <c r="AD252" i="51"/>
  <c r="AD275" i="50"/>
  <c r="AD257" i="51"/>
  <c r="AD249" i="51"/>
  <c r="AE277" i="50"/>
  <c r="AE267" i="51" s="1"/>
  <c r="AE251" i="51"/>
  <c r="AE256" i="51"/>
  <c r="AE275" i="50"/>
  <c r="AE257" i="51"/>
  <c r="AE249" i="51"/>
  <c r="AE254" i="51"/>
  <c r="AE255" i="51"/>
  <c r="AE252" i="51"/>
  <c r="AE253" i="51"/>
  <c r="AE276" i="50"/>
  <c r="AE266" i="51" s="1"/>
  <c r="AE250" i="51"/>
  <c r="AF277" i="50"/>
  <c r="AF267" i="51" s="1"/>
  <c r="AF251" i="51"/>
  <c r="AF256" i="51"/>
  <c r="AF275" i="50"/>
  <c r="AF257" i="51"/>
  <c r="AF249" i="51"/>
  <c r="AF254" i="51"/>
  <c r="AF255" i="51"/>
  <c r="AF252" i="51"/>
  <c r="AF253" i="51"/>
  <c r="AF276" i="50"/>
  <c r="AF266" i="51" s="1"/>
  <c r="AF250" i="51"/>
  <c r="AG276" i="50"/>
  <c r="AG266" i="51" s="1"/>
  <c r="AG250" i="51"/>
  <c r="AG256" i="51"/>
  <c r="AG253" i="51"/>
  <c r="AG254" i="51"/>
  <c r="AG277" i="50"/>
  <c r="AG267" i="51" s="1"/>
  <c r="AG251" i="51"/>
  <c r="AG255" i="51"/>
  <c r="AG252" i="51"/>
  <c r="AG275" i="50"/>
  <c r="AG257" i="51"/>
  <c r="AG249" i="51"/>
  <c r="AH276" i="50"/>
  <c r="AH266" i="51" s="1"/>
  <c r="AH250" i="51"/>
  <c r="AH255" i="51"/>
  <c r="AH256" i="51"/>
  <c r="AH253" i="51"/>
  <c r="AH254" i="51"/>
  <c r="AH277" i="50"/>
  <c r="AH267" i="51" s="1"/>
  <c r="AH251" i="51"/>
  <c r="AH252" i="51"/>
  <c r="AH275" i="50"/>
  <c r="AH257" i="51"/>
  <c r="AH249" i="51"/>
  <c r="AI277" i="50"/>
  <c r="AI267" i="51" s="1"/>
  <c r="AI251" i="51"/>
  <c r="AI275" i="50"/>
  <c r="AI257" i="51"/>
  <c r="AI249" i="51"/>
  <c r="AI254" i="51"/>
  <c r="AI255" i="51"/>
  <c r="AI252" i="51"/>
  <c r="AI253" i="51"/>
  <c r="AI276" i="50"/>
  <c r="AI250" i="51"/>
  <c r="AI256" i="51"/>
  <c r="G217" i="50"/>
  <c r="I217" i="50"/>
  <c r="E246" i="51"/>
  <c r="F246" i="51"/>
  <c r="H246" i="51"/>
  <c r="K246" i="51"/>
  <c r="J246" i="51"/>
  <c r="D246" i="51"/>
  <c r="J241" i="51"/>
  <c r="H241" i="51"/>
  <c r="F241" i="51"/>
  <c r="K241" i="51"/>
  <c r="E241" i="51"/>
  <c r="D241" i="51"/>
  <c r="K236" i="51"/>
  <c r="D236" i="51"/>
  <c r="J236" i="51"/>
  <c r="F236" i="51"/>
  <c r="E236" i="51"/>
  <c r="H236" i="51"/>
  <c r="K244" i="51"/>
  <c r="E244" i="51"/>
  <c r="D244" i="51"/>
  <c r="J244" i="51"/>
  <c r="F244" i="51"/>
  <c r="H244" i="51"/>
  <c r="I215" i="50"/>
  <c r="G215" i="50"/>
  <c r="F468" i="51"/>
  <c r="E468" i="51"/>
  <c r="D468" i="51"/>
  <c r="K468" i="51"/>
  <c r="J468" i="51"/>
  <c r="H468" i="51"/>
  <c r="I468" i="51"/>
  <c r="E453" i="51"/>
  <c r="F453" i="51"/>
  <c r="D453" i="51"/>
  <c r="K453" i="51"/>
  <c r="J453" i="51"/>
  <c r="I453" i="51"/>
  <c r="H453" i="51"/>
  <c r="I230" i="50"/>
  <c r="G230" i="50"/>
  <c r="AE219" i="51"/>
  <c r="Z228" i="51"/>
  <c r="J241" i="50"/>
  <c r="F241" i="50"/>
  <c r="H241" i="50"/>
  <c r="E241" i="50"/>
  <c r="K241" i="50"/>
  <c r="AH233" i="51" s="1"/>
  <c r="J237" i="50"/>
  <c r="H237" i="50"/>
  <c r="F237" i="50"/>
  <c r="D237" i="50"/>
  <c r="E237" i="50"/>
  <c r="K237" i="50"/>
  <c r="H252" i="50"/>
  <c r="J252" i="50"/>
  <c r="D252" i="50"/>
  <c r="F252" i="50"/>
  <c r="K252" i="50"/>
  <c r="E252" i="50"/>
  <c r="E248" i="50"/>
  <c r="H248" i="50"/>
  <c r="K248" i="50"/>
  <c r="J248" i="50"/>
  <c r="F248" i="50"/>
  <c r="D248" i="50"/>
  <c r="G208" i="51"/>
  <c r="I208" i="51"/>
  <c r="G433" i="51"/>
  <c r="C463" i="51"/>
  <c r="E452" i="51"/>
  <c r="I452" i="51" s="1"/>
  <c r="F452" i="51"/>
  <c r="D452" i="51"/>
  <c r="J452" i="51"/>
  <c r="H452" i="51"/>
  <c r="H467" i="51"/>
  <c r="I467" i="51" s="1"/>
  <c r="E467" i="51"/>
  <c r="D467" i="51"/>
  <c r="F467" i="51"/>
  <c r="K467" i="51"/>
  <c r="J467" i="51"/>
  <c r="E469" i="51"/>
  <c r="J469" i="51"/>
  <c r="H469" i="51"/>
  <c r="F469" i="51"/>
  <c r="K469" i="51"/>
  <c r="I469" i="51"/>
  <c r="D469" i="51"/>
  <c r="C461" i="51"/>
  <c r="F458" i="51"/>
  <c r="I458" i="51"/>
  <c r="D458" i="51"/>
  <c r="K458" i="51"/>
  <c r="J458" i="51"/>
  <c r="E458" i="51"/>
  <c r="H458" i="51"/>
  <c r="J448" i="51"/>
  <c r="D449" i="51"/>
  <c r="K448" i="51"/>
  <c r="F448" i="51"/>
  <c r="E449" i="51"/>
  <c r="G449" i="51" s="1"/>
  <c r="H448" i="51"/>
  <c r="I448" i="51" s="1"/>
  <c r="D448" i="51"/>
  <c r="E448" i="51"/>
  <c r="G448" i="51" s="1"/>
  <c r="G221" i="51"/>
  <c r="I221" i="51"/>
  <c r="I210" i="51"/>
  <c r="G210" i="51"/>
  <c r="G227" i="50"/>
  <c r="I227" i="50"/>
  <c r="J443" i="51"/>
  <c r="I443" i="51"/>
  <c r="F443" i="51"/>
  <c r="H443" i="51"/>
  <c r="E443" i="51"/>
  <c r="D443" i="51"/>
  <c r="K443" i="51"/>
  <c r="C484" i="50"/>
  <c r="AW476" i="50"/>
  <c r="AS476" i="50"/>
  <c r="AO476" i="50"/>
  <c r="AK476" i="50"/>
  <c r="AG476" i="50"/>
  <c r="AC476" i="50"/>
  <c r="Y476" i="50"/>
  <c r="AV476" i="50"/>
  <c r="AR476" i="50"/>
  <c r="AN476" i="50"/>
  <c r="AJ476" i="50"/>
  <c r="AF476" i="50"/>
  <c r="AB476" i="50"/>
  <c r="X476" i="50"/>
  <c r="C476" i="50"/>
  <c r="AU476" i="50"/>
  <c r="AQ476" i="50"/>
  <c r="AM476" i="50"/>
  <c r="AI476" i="50"/>
  <c r="AE476" i="50"/>
  <c r="AA476" i="50"/>
  <c r="W476" i="50"/>
  <c r="AT476" i="50"/>
  <c r="AP476" i="50"/>
  <c r="AL476" i="50"/>
  <c r="AH476" i="50"/>
  <c r="AD476" i="50"/>
  <c r="Z476" i="50"/>
  <c r="V476" i="50"/>
  <c r="K469" i="50"/>
  <c r="E469" i="50"/>
  <c r="J469" i="50"/>
  <c r="H469" i="50"/>
  <c r="I469" i="50" s="1"/>
  <c r="F469" i="50"/>
  <c r="D469" i="50"/>
  <c r="I465" i="50"/>
  <c r="J465" i="50"/>
  <c r="E465" i="50"/>
  <c r="E466" i="50"/>
  <c r="G466" i="50" s="1"/>
  <c r="F465" i="50"/>
  <c r="H465" i="50"/>
  <c r="K465" i="50"/>
  <c r="I466" i="50"/>
  <c r="D465" i="50"/>
  <c r="D466" i="50"/>
  <c r="D487" i="50"/>
  <c r="I487" i="50"/>
  <c r="K487" i="50"/>
  <c r="E487" i="50"/>
  <c r="J487" i="50"/>
  <c r="H487" i="50"/>
  <c r="F487" i="50"/>
  <c r="AG245" i="51"/>
  <c r="C242" i="50"/>
  <c r="K246" i="50"/>
  <c r="J246" i="50"/>
  <c r="F246" i="50"/>
  <c r="H246" i="50"/>
  <c r="E246" i="50"/>
  <c r="F249" i="50"/>
  <c r="E249" i="50"/>
  <c r="K249" i="50"/>
  <c r="H249" i="50"/>
  <c r="J249" i="50"/>
  <c r="D249" i="50"/>
  <c r="H256" i="50"/>
  <c r="F256" i="50"/>
  <c r="D256" i="50"/>
  <c r="E256" i="50"/>
  <c r="K256" i="50"/>
  <c r="J256" i="50"/>
  <c r="J245" i="50"/>
  <c r="D245" i="50"/>
  <c r="F245" i="50"/>
  <c r="E245" i="50"/>
  <c r="K245" i="50"/>
  <c r="H245" i="50"/>
  <c r="G226" i="51"/>
  <c r="I226" i="51"/>
  <c r="G444" i="50"/>
  <c r="I223" i="51"/>
  <c r="G223" i="51"/>
  <c r="I224" i="51"/>
  <c r="G224" i="51"/>
  <c r="I231" i="50"/>
  <c r="G231" i="50"/>
  <c r="I220" i="50"/>
  <c r="G220" i="50"/>
  <c r="AO504" i="50"/>
  <c r="AO485" i="51" s="1"/>
  <c r="Y504" i="50"/>
  <c r="Y485" i="51" s="1"/>
  <c r="AW502" i="50"/>
  <c r="AW483" i="51" s="1"/>
  <c r="AG502" i="50"/>
  <c r="AG483" i="51" s="1"/>
  <c r="AW512" i="50"/>
  <c r="AJ504" i="50"/>
  <c r="AJ485" i="51" s="1"/>
  <c r="AR502" i="50"/>
  <c r="AR483" i="51" s="1"/>
  <c r="AB502" i="50"/>
  <c r="AB483" i="51" s="1"/>
  <c r="AV512" i="50"/>
  <c r="AM504" i="50"/>
  <c r="AM485" i="51" s="1"/>
  <c r="W504" i="50"/>
  <c r="W485" i="51" s="1"/>
  <c r="AU502" i="50"/>
  <c r="AU483" i="51" s="1"/>
  <c r="AE502" i="50"/>
  <c r="AE483" i="51" s="1"/>
  <c r="AT504" i="50"/>
  <c r="AT485" i="51" s="1"/>
  <c r="AD504" i="50"/>
  <c r="AD485" i="51" s="1"/>
  <c r="AL502" i="50"/>
  <c r="AL483" i="51" s="1"/>
  <c r="AS504" i="50"/>
  <c r="AS485" i="51" s="1"/>
  <c r="AC504" i="50"/>
  <c r="AC485" i="51" s="1"/>
  <c r="AK502" i="50"/>
  <c r="AK483" i="51" s="1"/>
  <c r="AN504" i="50"/>
  <c r="AN485" i="51" s="1"/>
  <c r="X504" i="50"/>
  <c r="X485" i="51" s="1"/>
  <c r="AV502" i="50"/>
  <c r="AV483" i="51" s="1"/>
  <c r="AF502" i="50"/>
  <c r="AF483" i="51" s="1"/>
  <c r="AQ504" i="50"/>
  <c r="AQ485" i="51" s="1"/>
  <c r="AA504" i="50"/>
  <c r="AA485" i="51" s="1"/>
  <c r="AI502" i="50"/>
  <c r="AI483" i="51" s="1"/>
  <c r="AX504" i="50"/>
  <c r="AX485" i="51" s="1"/>
  <c r="AH504" i="50"/>
  <c r="AH485" i="51" s="1"/>
  <c r="AP502" i="50"/>
  <c r="AP483" i="51" s="1"/>
  <c r="Z502" i="50"/>
  <c r="Z483" i="51" s="1"/>
  <c r="AK504" i="50"/>
  <c r="AK485" i="51" s="1"/>
  <c r="AC502" i="50"/>
  <c r="AC483" i="51" s="1"/>
  <c r="AF504" i="50"/>
  <c r="AF485" i="51" s="1"/>
  <c r="X502" i="50"/>
  <c r="X483" i="51" s="1"/>
  <c r="AR512" i="50"/>
  <c r="AI504" i="50"/>
  <c r="AI485" i="51" s="1"/>
  <c r="AA502" i="50"/>
  <c r="AA483" i="51" s="1"/>
  <c r="AU512" i="50"/>
  <c r="Z504" i="50"/>
  <c r="Z485" i="51" s="1"/>
  <c r="AX502" i="50"/>
  <c r="AX483" i="51" s="1"/>
  <c r="AS512" i="50"/>
  <c r="AG504" i="50"/>
  <c r="AG485" i="51" s="1"/>
  <c r="Y502" i="50"/>
  <c r="Y483" i="51" s="1"/>
  <c r="AB504" i="50"/>
  <c r="AB485" i="51" s="1"/>
  <c r="AE504" i="50"/>
  <c r="AE485" i="51" s="1"/>
  <c r="W502" i="50"/>
  <c r="W483" i="51" s="1"/>
  <c r="AQ512" i="50"/>
  <c r="AT502" i="50"/>
  <c r="AT483" i="51" s="1"/>
  <c r="AX512" i="50"/>
  <c r="AS502" i="50"/>
  <c r="AS483" i="51" s="1"/>
  <c r="AV504" i="50"/>
  <c r="AV485" i="51" s="1"/>
  <c r="AN502" i="50"/>
  <c r="AN483" i="51" s="1"/>
  <c r="AQ502" i="50"/>
  <c r="AQ483" i="51" s="1"/>
  <c r="AP504" i="50"/>
  <c r="AP485" i="51" s="1"/>
  <c r="AH502" i="50"/>
  <c r="AH483" i="51" s="1"/>
  <c r="AT512" i="50"/>
  <c r="AW504" i="50"/>
  <c r="AW485" i="51" s="1"/>
  <c r="AO502" i="50"/>
  <c r="AO483" i="51" s="1"/>
  <c r="AR504" i="50"/>
  <c r="AR485" i="51" s="1"/>
  <c r="AJ502" i="50"/>
  <c r="AJ483" i="51" s="1"/>
  <c r="AU504" i="50"/>
  <c r="AU485" i="51" s="1"/>
  <c r="AM502" i="50"/>
  <c r="AM483" i="51" s="1"/>
  <c r="AA511" i="50"/>
  <c r="AA492" i="51" s="1"/>
  <c r="AL504" i="50"/>
  <c r="AL485" i="51" s="1"/>
  <c r="AD502" i="50"/>
  <c r="AD483" i="51" s="1"/>
  <c r="Z499" i="50"/>
  <c r="Z481" i="51" s="1"/>
  <c r="AT496" i="50"/>
  <c r="AT478" i="51" s="1"/>
  <c r="AD496" i="50"/>
  <c r="AD478" i="51" s="1"/>
  <c r="AP512" i="50"/>
  <c r="M489" i="50"/>
  <c r="C495" i="50"/>
  <c r="AG495" i="50" s="1"/>
  <c r="AG477" i="51" s="1"/>
  <c r="C496" i="50"/>
  <c r="C511" i="50"/>
  <c r="AT511" i="50" s="1"/>
  <c r="AT492" i="51" s="1"/>
  <c r="C498" i="50"/>
  <c r="AS498" i="50" s="1"/>
  <c r="AS480" i="51" s="1"/>
  <c r="L489" i="50"/>
  <c r="C499" i="50"/>
  <c r="C501" i="50"/>
  <c r="AT501" i="50" s="1"/>
  <c r="AT482" i="51" s="1"/>
  <c r="C491" i="50"/>
  <c r="AR491" i="50" s="1"/>
  <c r="AR473" i="51" s="1"/>
  <c r="C509" i="50"/>
  <c r="C489" i="50"/>
  <c r="C510" i="50"/>
  <c r="AR510" i="50" s="1"/>
  <c r="AR491" i="51" s="1"/>
  <c r="C493" i="50"/>
  <c r="C492" i="50"/>
  <c r="AP492" i="50" s="1"/>
  <c r="AP474" i="51" s="1"/>
  <c r="C497" i="50"/>
  <c r="C494" i="50"/>
  <c r="AT494" i="50" s="1"/>
  <c r="AT476" i="51" s="1"/>
  <c r="G434" i="51"/>
  <c r="G436" i="51"/>
  <c r="C235" i="51"/>
  <c r="D242" i="51"/>
  <c r="K242" i="51"/>
  <c r="J242" i="51"/>
  <c r="F242" i="51"/>
  <c r="E242" i="51"/>
  <c r="H242" i="51"/>
  <c r="K232" i="51"/>
  <c r="J232" i="51"/>
  <c r="H232" i="51"/>
  <c r="E232" i="51"/>
  <c r="F232" i="51"/>
  <c r="D232" i="51"/>
  <c r="K240" i="51"/>
  <c r="D240" i="51"/>
  <c r="H240" i="51"/>
  <c r="F240" i="51"/>
  <c r="J240" i="51"/>
  <c r="E240" i="51"/>
  <c r="J239" i="51"/>
  <c r="D239" i="51"/>
  <c r="E239" i="51"/>
  <c r="H239" i="51"/>
  <c r="F239" i="51"/>
  <c r="K239" i="51"/>
  <c r="F228" i="51"/>
  <c r="J228" i="51"/>
  <c r="K228" i="51"/>
  <c r="H228" i="51"/>
  <c r="E228" i="51"/>
  <c r="G218" i="51"/>
  <c r="I218" i="51"/>
  <c r="G225" i="50"/>
  <c r="I225" i="50"/>
  <c r="I233" i="50"/>
  <c r="G233" i="50"/>
  <c r="C19" i="47"/>
  <c r="C20" i="47"/>
  <c r="D20" i="47" s="1"/>
  <c r="AA181" i="51" l="1"/>
  <c r="W181" i="51"/>
  <c r="Z179" i="51"/>
  <c r="V181" i="51"/>
  <c r="Z181" i="51"/>
  <c r="X181" i="51"/>
  <c r="AD179" i="51"/>
  <c r="V179" i="51"/>
  <c r="Y199" i="51"/>
  <c r="Z199" i="51"/>
  <c r="AH239" i="51"/>
  <c r="AG241" i="51"/>
  <c r="AE241" i="51"/>
  <c r="AC239" i="51"/>
  <c r="Z239" i="51"/>
  <c r="Y241" i="51"/>
  <c r="AA239" i="51"/>
  <c r="AG239" i="51"/>
  <c r="AC241" i="51"/>
  <c r="AA241" i="51"/>
  <c r="Y239" i="51"/>
  <c r="AD241" i="51"/>
  <c r="AB241" i="51"/>
  <c r="AF239" i="51"/>
  <c r="AD201" i="51"/>
  <c r="AC201" i="51"/>
  <c r="AF199" i="51"/>
  <c r="X201" i="51"/>
  <c r="AA199" i="51"/>
  <c r="X199" i="51"/>
  <c r="Z201" i="51"/>
  <c r="AA201" i="51"/>
  <c r="AE199" i="51"/>
  <c r="AF201" i="51"/>
  <c r="AB201" i="51"/>
  <c r="AC199" i="51"/>
  <c r="AE201" i="51"/>
  <c r="Y201" i="51"/>
  <c r="W201" i="51"/>
  <c r="AD199" i="51"/>
  <c r="AB199" i="51"/>
  <c r="W199" i="51"/>
  <c r="AE179" i="51"/>
  <c r="AA179" i="51"/>
  <c r="AC179" i="51"/>
  <c r="Y179" i="51"/>
  <c r="AB179" i="51"/>
  <c r="X179" i="51"/>
  <c r="AB161" i="51"/>
  <c r="U161" i="51"/>
  <c r="AB159" i="51"/>
  <c r="Z161" i="51"/>
  <c r="AA161" i="51"/>
  <c r="Y161" i="51"/>
  <c r="AD159" i="51"/>
  <c r="X161" i="51"/>
  <c r="W161" i="51"/>
  <c r="U159" i="51"/>
  <c r="Y159" i="51"/>
  <c r="AA159" i="51"/>
  <c r="AF264" i="51"/>
  <c r="AC264" i="51"/>
  <c r="AD161" i="51"/>
  <c r="V161" i="51"/>
  <c r="X159" i="51"/>
  <c r="Z159" i="51"/>
  <c r="AI264" i="51"/>
  <c r="AB264" i="51"/>
  <c r="Z264" i="51"/>
  <c r="AE239" i="51"/>
  <c r="AC161" i="51"/>
  <c r="AC159" i="51"/>
  <c r="V159" i="51"/>
  <c r="W159" i="51"/>
  <c r="Z258" i="51"/>
  <c r="G205" i="50"/>
  <c r="I205" i="50"/>
  <c r="AC245" i="51"/>
  <c r="AG258" i="51"/>
  <c r="AD258" i="51"/>
  <c r="AA258" i="51"/>
  <c r="AI260" i="51"/>
  <c r="AG262" i="51"/>
  <c r="AE260" i="51"/>
  <c r="AD263" i="51"/>
  <c r="AC260" i="51"/>
  <c r="AB262" i="51"/>
  <c r="AA260" i="51"/>
  <c r="AI248" i="51"/>
  <c r="AG248" i="51"/>
  <c r="AB258" i="51"/>
  <c r="Z265" i="51"/>
  <c r="AG263" i="51"/>
  <c r="AB263" i="51"/>
  <c r="AF258" i="51"/>
  <c r="Y228" i="51"/>
  <c r="AA245" i="51"/>
  <c r="AE245" i="51"/>
  <c r="AI258" i="51"/>
  <c r="AH258" i="51"/>
  <c r="AE258" i="51"/>
  <c r="AC258" i="51"/>
  <c r="AH263" i="51"/>
  <c r="AF263" i="51"/>
  <c r="AF262" i="51"/>
  <c r="AD260" i="51"/>
  <c r="AB260" i="51"/>
  <c r="AA262" i="51"/>
  <c r="G207" i="50"/>
  <c r="I207" i="50"/>
  <c r="G459" i="50"/>
  <c r="I214" i="51"/>
  <c r="G222" i="50"/>
  <c r="G214" i="51"/>
  <c r="I222" i="50"/>
  <c r="K479" i="50"/>
  <c r="X141" i="51"/>
  <c r="C9" i="41" s="1"/>
  <c r="D479" i="50"/>
  <c r="I482" i="50"/>
  <c r="D480" i="50"/>
  <c r="J482" i="50"/>
  <c r="W119" i="51"/>
  <c r="G455" i="50"/>
  <c r="C503" i="50"/>
  <c r="AE503" i="50" s="1"/>
  <c r="AE484" i="51" s="1"/>
  <c r="I479" i="50"/>
  <c r="K480" i="50"/>
  <c r="E479" i="50"/>
  <c r="G479" i="50" s="1"/>
  <c r="D482" i="50"/>
  <c r="E482" i="50"/>
  <c r="R101" i="51"/>
  <c r="X121" i="51"/>
  <c r="E480" i="50"/>
  <c r="G480" i="50" s="1"/>
  <c r="I480" i="50"/>
  <c r="J479" i="50"/>
  <c r="F482" i="50"/>
  <c r="H479" i="50"/>
  <c r="K482" i="50"/>
  <c r="G165" i="50"/>
  <c r="I165" i="50"/>
  <c r="I186" i="50"/>
  <c r="G186" i="50"/>
  <c r="G123" i="50"/>
  <c r="I123" i="50"/>
  <c r="C6" i="41"/>
  <c r="I121" i="50"/>
  <c r="G121" i="50"/>
  <c r="G102" i="50"/>
  <c r="I102" i="50"/>
  <c r="I163" i="50"/>
  <c r="G163" i="50"/>
  <c r="G184" i="50"/>
  <c r="I184" i="50"/>
  <c r="G468" i="50"/>
  <c r="G79" i="50"/>
  <c r="I79" i="50"/>
  <c r="I144" i="50"/>
  <c r="G144" i="50"/>
  <c r="G81" i="50"/>
  <c r="I81" i="50"/>
  <c r="G100" i="50"/>
  <c r="I100" i="50"/>
  <c r="I142" i="50"/>
  <c r="G142" i="50"/>
  <c r="C486" i="51"/>
  <c r="E486" i="51" s="1"/>
  <c r="C488" i="51"/>
  <c r="H488" i="51" s="1"/>
  <c r="G485" i="50"/>
  <c r="G467" i="50"/>
  <c r="G451" i="51"/>
  <c r="G443" i="51"/>
  <c r="C489" i="51"/>
  <c r="F489" i="51" s="1"/>
  <c r="K477" i="50"/>
  <c r="I477" i="50"/>
  <c r="I459" i="51"/>
  <c r="I460" i="51"/>
  <c r="AG497" i="50"/>
  <c r="AG479" i="51" s="1"/>
  <c r="AB497" i="50"/>
  <c r="AB479" i="51" s="1"/>
  <c r="AK497" i="50"/>
  <c r="AK479" i="51" s="1"/>
  <c r="AF497" i="50"/>
  <c r="AF479" i="51" s="1"/>
  <c r="AS497" i="50"/>
  <c r="AS479" i="51" s="1"/>
  <c r="AU497" i="50"/>
  <c r="AU479" i="51" s="1"/>
  <c r="AE497" i="50"/>
  <c r="AE479" i="51" s="1"/>
  <c r="AI497" i="50"/>
  <c r="AI479" i="51" s="1"/>
  <c r="AW497" i="50"/>
  <c r="AW479" i="51" s="1"/>
  <c r="AR497" i="50"/>
  <c r="AR479" i="51" s="1"/>
  <c r="AV497" i="50"/>
  <c r="AV479" i="51" s="1"/>
  <c r="AR489" i="50"/>
  <c r="AR471" i="51" s="1"/>
  <c r="AW489" i="50"/>
  <c r="AW471" i="51" s="1"/>
  <c r="AV489" i="50"/>
  <c r="AV471" i="51" s="1"/>
  <c r="AO499" i="50"/>
  <c r="AO481" i="51" s="1"/>
  <c r="AJ499" i="50"/>
  <c r="AJ481" i="51" s="1"/>
  <c r="AS499" i="50"/>
  <c r="AS481" i="51" s="1"/>
  <c r="AN499" i="50"/>
  <c r="AN481" i="51" s="1"/>
  <c r="AV499" i="50"/>
  <c r="AV481" i="51" s="1"/>
  <c r="Y499" i="50"/>
  <c r="Y481" i="51" s="1"/>
  <c r="AC499" i="50"/>
  <c r="AC481" i="51" s="1"/>
  <c r="X499" i="50"/>
  <c r="X481" i="51" s="1"/>
  <c r="AM499" i="50"/>
  <c r="AM481" i="51" s="1"/>
  <c r="AQ499" i="50"/>
  <c r="AQ481" i="51" s="1"/>
  <c r="W499" i="50"/>
  <c r="W481" i="51" s="1"/>
  <c r="AA499" i="50"/>
  <c r="AA481" i="51" s="1"/>
  <c r="W496" i="50"/>
  <c r="W478" i="51" s="1"/>
  <c r="AA496" i="50"/>
  <c r="AA478" i="51" s="1"/>
  <c r="AS496" i="50"/>
  <c r="AS478" i="51" s="1"/>
  <c r="AN496" i="50"/>
  <c r="AN478" i="51" s="1"/>
  <c r="AW496" i="50"/>
  <c r="AW478" i="51" s="1"/>
  <c r="AR496" i="50"/>
  <c r="AR478" i="51" s="1"/>
  <c r="AC496" i="50"/>
  <c r="AC478" i="51" s="1"/>
  <c r="X496" i="50"/>
  <c r="X478" i="51" s="1"/>
  <c r="AG496" i="50"/>
  <c r="AG478" i="51" s="1"/>
  <c r="AB496" i="50"/>
  <c r="AB478" i="51" s="1"/>
  <c r="AQ496" i="50"/>
  <c r="AQ478" i="51" s="1"/>
  <c r="AU496" i="50"/>
  <c r="AU478" i="51" s="1"/>
  <c r="Y496" i="50"/>
  <c r="Y478" i="51" s="1"/>
  <c r="Z491" i="50"/>
  <c r="Z473" i="51" s="1"/>
  <c r="AP495" i="50"/>
  <c r="AP477" i="51" s="1"/>
  <c r="AX497" i="50"/>
  <c r="AX479" i="51" s="1"/>
  <c r="AQ491" i="50"/>
  <c r="AQ473" i="51" s="1"/>
  <c r="AA498" i="50"/>
  <c r="AA480" i="51" s="1"/>
  <c r="AQ503" i="50"/>
  <c r="AQ484" i="51" s="1"/>
  <c r="AS511" i="50"/>
  <c r="AS492" i="51" s="1"/>
  <c r="AN494" i="50"/>
  <c r="AN476" i="51" s="1"/>
  <c r="AB499" i="50"/>
  <c r="AB481" i="51" s="1"/>
  <c r="Y497" i="50"/>
  <c r="Y479" i="51" s="1"/>
  <c r="AK492" i="50"/>
  <c r="AK474" i="51" s="1"/>
  <c r="AH492" i="50"/>
  <c r="AH474" i="51" s="1"/>
  <c r="AP494" i="50"/>
  <c r="AP476" i="51" s="1"/>
  <c r="AX496" i="50"/>
  <c r="AX478" i="51" s="1"/>
  <c r="AD499" i="50"/>
  <c r="AD481" i="51" s="1"/>
  <c r="AL503" i="50"/>
  <c r="AL484" i="51" s="1"/>
  <c r="AI511" i="50"/>
  <c r="AI492" i="51" s="1"/>
  <c r="AU495" i="50"/>
  <c r="AU477" i="51" s="1"/>
  <c r="AJ492" i="50"/>
  <c r="AJ474" i="51" s="1"/>
  <c r="X497" i="50"/>
  <c r="X479" i="51" s="1"/>
  <c r="AS494" i="50"/>
  <c r="AS476" i="51" s="1"/>
  <c r="AK499" i="50"/>
  <c r="AK481" i="51" s="1"/>
  <c r="AX511" i="50"/>
  <c r="AX492" i="51" s="1"/>
  <c r="AF510" i="50"/>
  <c r="AF491" i="51" s="1"/>
  <c r="AH491" i="50"/>
  <c r="AH473" i="51" s="1"/>
  <c r="AP493" i="50"/>
  <c r="AP475" i="51" s="1"/>
  <c r="AX495" i="50"/>
  <c r="AX477" i="51" s="1"/>
  <c r="AD498" i="50"/>
  <c r="AD480" i="51" s="1"/>
  <c r="AP501" i="50"/>
  <c r="AP482" i="51" s="1"/>
  <c r="AQ498" i="50"/>
  <c r="AQ480" i="51" s="1"/>
  <c r="AB495" i="50"/>
  <c r="AB477" i="51" s="1"/>
  <c r="AR499" i="50"/>
  <c r="AR481" i="51" s="1"/>
  <c r="AG491" i="50"/>
  <c r="AG473" i="51" s="1"/>
  <c r="AO497" i="50"/>
  <c r="AO479" i="51" s="1"/>
  <c r="AC503" i="50"/>
  <c r="AC484" i="51" s="1"/>
  <c r="AS510" i="50"/>
  <c r="AS491" i="51" s="1"/>
  <c r="Z510" i="50"/>
  <c r="Z491" i="51" s="1"/>
  <c r="AW492" i="50"/>
  <c r="AW474" i="51" s="1"/>
  <c r="AX494" i="50"/>
  <c r="AX476" i="51" s="1"/>
  <c r="AD497" i="50"/>
  <c r="AD479" i="51" s="1"/>
  <c r="AL499" i="50"/>
  <c r="AL481" i="51" s="1"/>
  <c r="AI496" i="50"/>
  <c r="AI478" i="51" s="1"/>
  <c r="AA494" i="50"/>
  <c r="AA476" i="51" s="1"/>
  <c r="AR498" i="50"/>
  <c r="AR480" i="51" s="1"/>
  <c r="AN492" i="50"/>
  <c r="AN474" i="51" s="1"/>
  <c r="AI492" i="50"/>
  <c r="AI474" i="51" s="1"/>
  <c r="AR492" i="50"/>
  <c r="AR474" i="51" s="1"/>
  <c r="AQ492" i="50"/>
  <c r="AQ474" i="51" s="1"/>
  <c r="X492" i="50"/>
  <c r="X474" i="51" s="1"/>
  <c r="AE492" i="50"/>
  <c r="AE474" i="51" s="1"/>
  <c r="AB492" i="50"/>
  <c r="AB474" i="51" s="1"/>
  <c r="AM492" i="50"/>
  <c r="AM474" i="51" s="1"/>
  <c r="AG492" i="50"/>
  <c r="AG474" i="51" s="1"/>
  <c r="AU509" i="50"/>
  <c r="AU490" i="51" s="1"/>
  <c r="AQ509" i="50"/>
  <c r="AQ490" i="51" s="1"/>
  <c r="AT509" i="50"/>
  <c r="AT490" i="51" s="1"/>
  <c r="AS509" i="50"/>
  <c r="AS490" i="51" s="1"/>
  <c r="AW509" i="50"/>
  <c r="AW490" i="51" s="1"/>
  <c r="AX509" i="50"/>
  <c r="AX490" i="51" s="1"/>
  <c r="AP509" i="50"/>
  <c r="AP490" i="51" s="1"/>
  <c r="Y495" i="50"/>
  <c r="Y477" i="51" s="1"/>
  <c r="X495" i="50"/>
  <c r="X477" i="51" s="1"/>
  <c r="AF495" i="50"/>
  <c r="AF477" i="51" s="1"/>
  <c r="AI495" i="50"/>
  <c r="AI477" i="51" s="1"/>
  <c r="AM495" i="50"/>
  <c r="AM477" i="51" s="1"/>
  <c r="W495" i="50"/>
  <c r="W477" i="51" s="1"/>
  <c r="AK495" i="50"/>
  <c r="AK477" i="51" s="1"/>
  <c r="AJ495" i="50"/>
  <c r="AJ477" i="51" s="1"/>
  <c r="AO495" i="50"/>
  <c r="AO477" i="51" s="1"/>
  <c r="AN495" i="50"/>
  <c r="AN477" i="51" s="1"/>
  <c r="AC491" i="50"/>
  <c r="AC473" i="51" s="1"/>
  <c r="AP491" i="50"/>
  <c r="AP473" i="51" s="1"/>
  <c r="AX493" i="50"/>
  <c r="AX475" i="51" s="1"/>
  <c r="AL498" i="50"/>
  <c r="AL480" i="51" s="1"/>
  <c r="AE494" i="50"/>
  <c r="AE476" i="51" s="1"/>
  <c r="AE499" i="50"/>
  <c r="AE481" i="51" s="1"/>
  <c r="AB491" i="50"/>
  <c r="AB473" i="51" s="1"/>
  <c r="AR495" i="50"/>
  <c r="AR477" i="51" s="1"/>
  <c r="AO492" i="50"/>
  <c r="AO474" i="51" s="1"/>
  <c r="AC498" i="50"/>
  <c r="AC480" i="51" s="1"/>
  <c r="AS503" i="50"/>
  <c r="AS484" i="51" s="1"/>
  <c r="AW511" i="50"/>
  <c r="AW492" i="51" s="1"/>
  <c r="AP510" i="50"/>
  <c r="AP491" i="51" s="1"/>
  <c r="AX492" i="50"/>
  <c r="AX474" i="51" s="1"/>
  <c r="AD495" i="50"/>
  <c r="AD477" i="51" s="1"/>
  <c r="AL497" i="50"/>
  <c r="AL479" i="51" s="1"/>
  <c r="AT499" i="50"/>
  <c r="AT481" i="51" s="1"/>
  <c r="AU489" i="50"/>
  <c r="AU471" i="51" s="1"/>
  <c r="AA497" i="50"/>
  <c r="AA479" i="51" s="1"/>
  <c r="AB498" i="50"/>
  <c r="AB480" i="51" s="1"/>
  <c r="AR503" i="50"/>
  <c r="AR484" i="51" s="1"/>
  <c r="AU511" i="50"/>
  <c r="AU492" i="51" s="1"/>
  <c r="AW495" i="50"/>
  <c r="AW477" i="51" s="1"/>
  <c r="AJ511" i="50"/>
  <c r="AJ492" i="51" s="1"/>
  <c r="AS491" i="50"/>
  <c r="AS473" i="51" s="1"/>
  <c r="AT489" i="50"/>
  <c r="AT471" i="51" s="1"/>
  <c r="AX491" i="50"/>
  <c r="AX473" i="51" s="1"/>
  <c r="AD494" i="50"/>
  <c r="AD476" i="51" s="1"/>
  <c r="AL496" i="50"/>
  <c r="AL478" i="51" s="1"/>
  <c r="AT498" i="50"/>
  <c r="AT480" i="51" s="1"/>
  <c r="W510" i="50"/>
  <c r="W491" i="51" s="1"/>
  <c r="AA495" i="50"/>
  <c r="AA477" i="51" s="1"/>
  <c r="AU499" i="50"/>
  <c r="AU481" i="51" s="1"/>
  <c r="AU491" i="50"/>
  <c r="AU473" i="51" s="1"/>
  <c r="AF496" i="50"/>
  <c r="AF478" i="51" s="1"/>
  <c r="AV501" i="50"/>
  <c r="AV482" i="51" s="1"/>
  <c r="AW493" i="50"/>
  <c r="AW475" i="51" s="1"/>
  <c r="AD511" i="50"/>
  <c r="AD492" i="51" s="1"/>
  <c r="AS489" i="50"/>
  <c r="AS471" i="51" s="1"/>
  <c r="AC494" i="50"/>
  <c r="AC476" i="51" s="1"/>
  <c r="AL495" i="50"/>
  <c r="AL477" i="51" s="1"/>
  <c r="AT497" i="50"/>
  <c r="AT479" i="51" s="1"/>
  <c r="AQ497" i="50"/>
  <c r="AQ479" i="51" s="1"/>
  <c r="AW510" i="50"/>
  <c r="AW491" i="51" s="1"/>
  <c r="AB494" i="50"/>
  <c r="AB476" i="51" s="1"/>
  <c r="AQ510" i="50"/>
  <c r="AQ491" i="51" s="1"/>
  <c r="AO496" i="50"/>
  <c r="AO478" i="51" s="1"/>
  <c r="AP503" i="50"/>
  <c r="AP484" i="51" s="1"/>
  <c r="Y503" i="50"/>
  <c r="Y484" i="51" s="1"/>
  <c r="AT503" i="50"/>
  <c r="AT484" i="51" s="1"/>
  <c r="AG503" i="50"/>
  <c r="AG484" i="51" s="1"/>
  <c r="AI503" i="50"/>
  <c r="AI484" i="51" s="1"/>
  <c r="Z503" i="50"/>
  <c r="Z484" i="51" s="1"/>
  <c r="AM503" i="50"/>
  <c r="AM484" i="51" s="1"/>
  <c r="AD503" i="50"/>
  <c r="AD484" i="51" s="1"/>
  <c r="AV503" i="50"/>
  <c r="AV484" i="51" s="1"/>
  <c r="W503" i="50"/>
  <c r="W484" i="51" s="1"/>
  <c r="AK503" i="50"/>
  <c r="AK484" i="51" s="1"/>
  <c r="AF503" i="50"/>
  <c r="AF484" i="51" s="1"/>
  <c r="AO503" i="50"/>
  <c r="AO484" i="51" s="1"/>
  <c r="AJ503" i="50"/>
  <c r="AJ484" i="51" s="1"/>
  <c r="AR493" i="50"/>
  <c r="AR475" i="51" s="1"/>
  <c r="AV493" i="50"/>
  <c r="AV475" i="51" s="1"/>
  <c r="AQ493" i="50"/>
  <c r="AQ475" i="51" s="1"/>
  <c r="Y491" i="50"/>
  <c r="Y473" i="51" s="1"/>
  <c r="AO491" i="50"/>
  <c r="AO473" i="51" s="1"/>
  <c r="AA491" i="50"/>
  <c r="AA473" i="51" s="1"/>
  <c r="AI491" i="50"/>
  <c r="AI473" i="51" s="1"/>
  <c r="AJ491" i="50"/>
  <c r="AJ473" i="51" s="1"/>
  <c r="AE491" i="50"/>
  <c r="AE473" i="51" s="1"/>
  <c r="AN491" i="50"/>
  <c r="AN473" i="51" s="1"/>
  <c r="AM491" i="50"/>
  <c r="AM473" i="51" s="1"/>
  <c r="AW491" i="50"/>
  <c r="AW473" i="51" s="1"/>
  <c r="X491" i="50"/>
  <c r="X473" i="51" s="1"/>
  <c r="AI498" i="50"/>
  <c r="AI480" i="51" s="1"/>
  <c r="AM498" i="50"/>
  <c r="AM480" i="51" s="1"/>
  <c r="AV498" i="50"/>
  <c r="AV480" i="51" s="1"/>
  <c r="W498" i="50"/>
  <c r="W480" i="51" s="1"/>
  <c r="AK498" i="50"/>
  <c r="AK480" i="51" s="1"/>
  <c r="AF498" i="50"/>
  <c r="AF480" i="51" s="1"/>
  <c r="AO498" i="50"/>
  <c r="AO480" i="51" s="1"/>
  <c r="AJ498" i="50"/>
  <c r="AJ480" i="51" s="1"/>
  <c r="Y498" i="50"/>
  <c r="Y480" i="51" s="1"/>
  <c r="AC492" i="50"/>
  <c r="AC474" i="51" s="1"/>
  <c r="AD492" i="50"/>
  <c r="AD474" i="51" s="1"/>
  <c r="AL494" i="50"/>
  <c r="AL476" i="51" s="1"/>
  <c r="AH503" i="50"/>
  <c r="AH484" i="51" s="1"/>
  <c r="AQ495" i="50"/>
  <c r="AQ477" i="51" s="1"/>
  <c r="AU492" i="50"/>
  <c r="AU474" i="51" s="1"/>
  <c r="AF492" i="50"/>
  <c r="AF474" i="51" s="1"/>
  <c r="AV496" i="50"/>
  <c r="AV478" i="51" s="1"/>
  <c r="AO494" i="50"/>
  <c r="AO476" i="51" s="1"/>
  <c r="AG499" i="50"/>
  <c r="AG481" i="51" s="1"/>
  <c r="AB510" i="50"/>
  <c r="AB491" i="51" s="1"/>
  <c r="AD491" i="50"/>
  <c r="AD473" i="51" s="1"/>
  <c r="AT495" i="50"/>
  <c r="AT477" i="51" s="1"/>
  <c r="Z498" i="50"/>
  <c r="Z480" i="51" s="1"/>
  <c r="W492" i="50"/>
  <c r="W474" i="51" s="1"/>
  <c r="AE498" i="50"/>
  <c r="AE480" i="51" s="1"/>
  <c r="AU503" i="50"/>
  <c r="AU484" i="51" s="1"/>
  <c r="AR509" i="50"/>
  <c r="AR490" i="51" s="1"/>
  <c r="AR494" i="50"/>
  <c r="AR476" i="51" s="1"/>
  <c r="AF499" i="50"/>
  <c r="AF481" i="51" s="1"/>
  <c r="AC497" i="50"/>
  <c r="AC479" i="51" s="1"/>
  <c r="AS492" i="50"/>
  <c r="AS474" i="51" s="1"/>
  <c r="AL492" i="50"/>
  <c r="AL474" i="51" s="1"/>
  <c r="Z497" i="50"/>
  <c r="Z479" i="51" s="1"/>
  <c r="AH499" i="50"/>
  <c r="AH481" i="51" s="1"/>
  <c r="AX503" i="50"/>
  <c r="AX484" i="51" s="1"/>
  <c r="AE496" i="50"/>
  <c r="AE478" i="51" s="1"/>
  <c r="AU493" i="50"/>
  <c r="AU475" i="51" s="1"/>
  <c r="AV492" i="50"/>
  <c r="AV474" i="51" s="1"/>
  <c r="AJ497" i="50"/>
  <c r="AJ479" i="51" s="1"/>
  <c r="X503" i="50"/>
  <c r="X484" i="51" s="1"/>
  <c r="AI510" i="50"/>
  <c r="AI491" i="51" s="1"/>
  <c r="AC495" i="50"/>
  <c r="AC477" i="51" s="1"/>
  <c r="AW499" i="50"/>
  <c r="AW481" i="51" s="1"/>
  <c r="AL491" i="50"/>
  <c r="AL473" i="51" s="1"/>
  <c r="AT493" i="50"/>
  <c r="AT475" i="51" s="1"/>
  <c r="Z496" i="50"/>
  <c r="Z478" i="51" s="1"/>
  <c r="AH498" i="50"/>
  <c r="AH480" i="51" s="1"/>
  <c r="AU498" i="50"/>
  <c r="AU480" i="51" s="1"/>
  <c r="AQ489" i="50"/>
  <c r="AQ471" i="51" s="1"/>
  <c r="AJ496" i="50"/>
  <c r="AJ478" i="51" s="1"/>
  <c r="AB503" i="50"/>
  <c r="AB484" i="51" s="1"/>
  <c r="AW498" i="50"/>
  <c r="AW480" i="51" s="1"/>
  <c r="AW494" i="50"/>
  <c r="AW476" i="51" s="1"/>
  <c r="AV494" i="50"/>
  <c r="AV476" i="51" s="1"/>
  <c r="AG494" i="50"/>
  <c r="AG476" i="51" s="1"/>
  <c r="AF494" i="50"/>
  <c r="AF476" i="51" s="1"/>
  <c r="AK494" i="50"/>
  <c r="AK476" i="51" s="1"/>
  <c r="AJ494" i="50"/>
  <c r="AJ476" i="51" s="1"/>
  <c r="AU494" i="50"/>
  <c r="AU476" i="51" s="1"/>
  <c r="AI494" i="50"/>
  <c r="AI476" i="51" s="1"/>
  <c r="AQ494" i="50"/>
  <c r="AQ476" i="51" s="1"/>
  <c r="W494" i="50"/>
  <c r="W476" i="51" s="1"/>
  <c r="AJ510" i="50"/>
  <c r="AJ491" i="51" s="1"/>
  <c r="AC510" i="50"/>
  <c r="AC491" i="51" s="1"/>
  <c r="AN510" i="50"/>
  <c r="AN491" i="51" s="1"/>
  <c r="AK510" i="50"/>
  <c r="AK491" i="51" s="1"/>
  <c r="AA510" i="50"/>
  <c r="AA491" i="51" s="1"/>
  <c r="AD510" i="50"/>
  <c r="AD491" i="51" s="1"/>
  <c r="AM510" i="50"/>
  <c r="AM491" i="51" s="1"/>
  <c r="X510" i="50"/>
  <c r="X491" i="51" s="1"/>
  <c r="AU510" i="50"/>
  <c r="AU491" i="51" s="1"/>
  <c r="AX510" i="50"/>
  <c r="AX491" i="51" s="1"/>
  <c r="Y510" i="50"/>
  <c r="Y491" i="51" s="1"/>
  <c r="AG510" i="50"/>
  <c r="AG491" i="51" s="1"/>
  <c r="AH510" i="50"/>
  <c r="AH491" i="51" s="1"/>
  <c r="AL510" i="50"/>
  <c r="AL491" i="51" s="1"/>
  <c r="C507" i="50"/>
  <c r="D507" i="50" s="1"/>
  <c r="AQ501" i="50"/>
  <c r="AQ482" i="51" s="1"/>
  <c r="AU501" i="50"/>
  <c r="AU482" i="51" s="1"/>
  <c r="AS501" i="50"/>
  <c r="AS482" i="51" s="1"/>
  <c r="AW501" i="50"/>
  <c r="AW482" i="51" s="1"/>
  <c r="AR501" i="50"/>
  <c r="AR482" i="51" s="1"/>
  <c r="AX501" i="50"/>
  <c r="AX482" i="51" s="1"/>
  <c r="AQ511" i="50"/>
  <c r="AQ492" i="51" s="1"/>
  <c r="Y511" i="50"/>
  <c r="Y492" i="51" s="1"/>
  <c r="AL511" i="50"/>
  <c r="AL492" i="51" s="1"/>
  <c r="AC511" i="50"/>
  <c r="AC492" i="51" s="1"/>
  <c r="AP511" i="50"/>
  <c r="AP492" i="51" s="1"/>
  <c r="AK511" i="50"/>
  <c r="AK492" i="51" s="1"/>
  <c r="AN511" i="50"/>
  <c r="AN492" i="51" s="1"/>
  <c r="AR511" i="50"/>
  <c r="AR492" i="51" s="1"/>
  <c r="Z511" i="50"/>
  <c r="Z492" i="51" s="1"/>
  <c r="X511" i="50"/>
  <c r="X492" i="51" s="1"/>
  <c r="AG511" i="50"/>
  <c r="AG492" i="51" s="1"/>
  <c r="W511" i="50"/>
  <c r="W492" i="51" s="1"/>
  <c r="AB511" i="50"/>
  <c r="AB492" i="51" s="1"/>
  <c r="AO511" i="50"/>
  <c r="AO492" i="51" s="1"/>
  <c r="AE511" i="50"/>
  <c r="AE492" i="51" s="1"/>
  <c r="AH511" i="50"/>
  <c r="AH492" i="51" s="1"/>
  <c r="AT492" i="50"/>
  <c r="AT474" i="51" s="1"/>
  <c r="Z495" i="50"/>
  <c r="Z477" i="51" s="1"/>
  <c r="AH497" i="50"/>
  <c r="AH479" i="51" s="1"/>
  <c r="AP499" i="50"/>
  <c r="AP481" i="51" s="1"/>
  <c r="W497" i="50"/>
  <c r="W479" i="51" s="1"/>
  <c r="AM496" i="50"/>
  <c r="AM478" i="51" s="1"/>
  <c r="X498" i="50"/>
  <c r="X480" i="51" s="1"/>
  <c r="AN503" i="50"/>
  <c r="AN484" i="51" s="1"/>
  <c r="AM511" i="50"/>
  <c r="AM492" i="51" s="1"/>
  <c r="AS495" i="50"/>
  <c r="AS477" i="51" s="1"/>
  <c r="AF511" i="50"/>
  <c r="AF492" i="51" s="1"/>
  <c r="AK491" i="50"/>
  <c r="AK473" i="51" s="1"/>
  <c r="AP489" i="50"/>
  <c r="AP471" i="51" s="1"/>
  <c r="AT491" i="50"/>
  <c r="AT473" i="51" s="1"/>
  <c r="Z494" i="50"/>
  <c r="Z476" i="51" s="1"/>
  <c r="AH496" i="50"/>
  <c r="AH478" i="51" s="1"/>
  <c r="AP498" i="50"/>
  <c r="AP480" i="51" s="1"/>
  <c r="AM494" i="50"/>
  <c r="AM476" i="51" s="1"/>
  <c r="AI499" i="50"/>
  <c r="AI481" i="51" s="1"/>
  <c r="W491" i="50"/>
  <c r="W473" i="51" s="1"/>
  <c r="AF491" i="50"/>
  <c r="AF473" i="51" s="1"/>
  <c r="AV495" i="50"/>
  <c r="AV477" i="51" s="1"/>
  <c r="AG498" i="50"/>
  <c r="AG480" i="51" s="1"/>
  <c r="AW503" i="50"/>
  <c r="AW484" i="51" s="1"/>
  <c r="AV509" i="50"/>
  <c r="AV490" i="51" s="1"/>
  <c r="AT510" i="50"/>
  <c r="AT491" i="51" s="1"/>
  <c r="AS493" i="50"/>
  <c r="AS475" i="51" s="1"/>
  <c r="AH495" i="50"/>
  <c r="AH477" i="51" s="1"/>
  <c r="AP497" i="50"/>
  <c r="AP479" i="51" s="1"/>
  <c r="AX499" i="50"/>
  <c r="AX481" i="51" s="1"/>
  <c r="AM497" i="50"/>
  <c r="AM479" i="51" s="1"/>
  <c r="AA503" i="50"/>
  <c r="AA484" i="51" s="1"/>
  <c r="AO510" i="50"/>
  <c r="AO491" i="51" s="1"/>
  <c r="X494" i="50"/>
  <c r="X476" i="51" s="1"/>
  <c r="AN498" i="50"/>
  <c r="AN480" i="51" s="1"/>
  <c r="AK496" i="50"/>
  <c r="AK478" i="51" s="1"/>
  <c r="AV511" i="50"/>
  <c r="AV492" i="51" s="1"/>
  <c r="Y492" i="50"/>
  <c r="Y474" i="51" s="1"/>
  <c r="AX489" i="50"/>
  <c r="AX471" i="51" s="1"/>
  <c r="Z492" i="50"/>
  <c r="Z474" i="51" s="1"/>
  <c r="AH494" i="50"/>
  <c r="AH476" i="51" s="1"/>
  <c r="AP496" i="50"/>
  <c r="AP478" i="51" s="1"/>
  <c r="AX498" i="50"/>
  <c r="AX480" i="51" s="1"/>
  <c r="AE510" i="50"/>
  <c r="AE491" i="51" s="1"/>
  <c r="AE495" i="50"/>
  <c r="AE477" i="51" s="1"/>
  <c r="AA492" i="50"/>
  <c r="AA474" i="51" s="1"/>
  <c r="AV491" i="50"/>
  <c r="AV473" i="51" s="1"/>
  <c r="AN497" i="50"/>
  <c r="AN479" i="51" s="1"/>
  <c r="Y494" i="50"/>
  <c r="Y476" i="51" s="1"/>
  <c r="AV510" i="50"/>
  <c r="AV491" i="51" s="1"/>
  <c r="K449" i="51"/>
  <c r="I478" i="50"/>
  <c r="K466" i="50"/>
  <c r="I449" i="51"/>
  <c r="AF479" i="50"/>
  <c r="AF461" i="51" s="1"/>
  <c r="AP479" i="50"/>
  <c r="AP461" i="51" s="1"/>
  <c r="W479" i="50"/>
  <c r="W461" i="51" s="1"/>
  <c r="V479" i="50"/>
  <c r="V461" i="51" s="1"/>
  <c r="AO479" i="50"/>
  <c r="AO461" i="51" s="1"/>
  <c r="Z479" i="50"/>
  <c r="Z461" i="51" s="1"/>
  <c r="AW479" i="50"/>
  <c r="AW461" i="51" s="1"/>
  <c r="AA479" i="50"/>
  <c r="AA461" i="51" s="1"/>
  <c r="AS479" i="50"/>
  <c r="AS461" i="51" s="1"/>
  <c r="AR479" i="50"/>
  <c r="AR461" i="51" s="1"/>
  <c r="AU479" i="50"/>
  <c r="AU461" i="51" s="1"/>
  <c r="AV479" i="50"/>
  <c r="AV461" i="51" s="1"/>
  <c r="AB479" i="50"/>
  <c r="AB461" i="51" s="1"/>
  <c r="AL479" i="50"/>
  <c r="AL461" i="51" s="1"/>
  <c r="AG479" i="50"/>
  <c r="AG461" i="51" s="1"/>
  <c r="AC479" i="50"/>
  <c r="AC461" i="51" s="1"/>
  <c r="AJ479" i="50"/>
  <c r="AJ461" i="51" s="1"/>
  <c r="AT479" i="50"/>
  <c r="AT461" i="51" s="1"/>
  <c r="AE479" i="50"/>
  <c r="AE461" i="51" s="1"/>
  <c r="AK479" i="50"/>
  <c r="AK461" i="51" s="1"/>
  <c r="AN479" i="50"/>
  <c r="AN461" i="51" s="1"/>
  <c r="AM479" i="50"/>
  <c r="AM461" i="51" s="1"/>
  <c r="AD479" i="50"/>
  <c r="AD461" i="51" s="1"/>
  <c r="AI479" i="50"/>
  <c r="AI461" i="51" s="1"/>
  <c r="X479" i="50"/>
  <c r="X461" i="51" s="1"/>
  <c r="AH479" i="50"/>
  <c r="AH461" i="51" s="1"/>
  <c r="AQ479" i="50"/>
  <c r="AQ461" i="51" s="1"/>
  <c r="Y479" i="50"/>
  <c r="Y461" i="51" s="1"/>
  <c r="K452" i="51"/>
  <c r="K485" i="50"/>
  <c r="AN481" i="50"/>
  <c r="AN463" i="51" s="1"/>
  <c r="Y481" i="50"/>
  <c r="Y463" i="51" s="1"/>
  <c r="AD481" i="50"/>
  <c r="AD463" i="51" s="1"/>
  <c r="X481" i="50"/>
  <c r="X463" i="51" s="1"/>
  <c r="AH481" i="50"/>
  <c r="AH463" i="51" s="1"/>
  <c r="AE481" i="50"/>
  <c r="AE463" i="51" s="1"/>
  <c r="AW481" i="50"/>
  <c r="AW463" i="51" s="1"/>
  <c r="AI481" i="50"/>
  <c r="AI463" i="51" s="1"/>
  <c r="AJ481" i="50"/>
  <c r="AJ463" i="51" s="1"/>
  <c r="AT481" i="50"/>
  <c r="AT463" i="51" s="1"/>
  <c r="AS481" i="50"/>
  <c r="AS463" i="51" s="1"/>
  <c r="Z481" i="50"/>
  <c r="Z463" i="51" s="1"/>
  <c r="AU481" i="50"/>
  <c r="AU463" i="51" s="1"/>
  <c r="AQ481" i="50"/>
  <c r="AQ463" i="51" s="1"/>
  <c r="AR481" i="50"/>
  <c r="AR463" i="51" s="1"/>
  <c r="AG481" i="50"/>
  <c r="AG463" i="51" s="1"/>
  <c r="AV481" i="50"/>
  <c r="AV463" i="51" s="1"/>
  <c r="AO481" i="50"/>
  <c r="AO463" i="51" s="1"/>
  <c r="AB481" i="50"/>
  <c r="AB463" i="51" s="1"/>
  <c r="AL481" i="50"/>
  <c r="AL463" i="51" s="1"/>
  <c r="AC481" i="50"/>
  <c r="AC463" i="51" s="1"/>
  <c r="W481" i="50"/>
  <c r="W463" i="51" s="1"/>
  <c r="AA481" i="50"/>
  <c r="AA463" i="51" s="1"/>
  <c r="AF481" i="50"/>
  <c r="AF463" i="51" s="1"/>
  <c r="AP481" i="50"/>
  <c r="AP463" i="51" s="1"/>
  <c r="AK481" i="50"/>
  <c r="AK463" i="51" s="1"/>
  <c r="V481" i="50"/>
  <c r="V463" i="51" s="1"/>
  <c r="AM481" i="50"/>
  <c r="AM463" i="51" s="1"/>
  <c r="AV483" i="50"/>
  <c r="AV465" i="51" s="1"/>
  <c r="AM483" i="50"/>
  <c r="AM465" i="51" s="1"/>
  <c r="AB483" i="50"/>
  <c r="AB465" i="51" s="1"/>
  <c r="AL483" i="50"/>
  <c r="AL465" i="51" s="1"/>
  <c r="AF483" i="50"/>
  <c r="AF465" i="51" s="1"/>
  <c r="AP483" i="50"/>
  <c r="AP465" i="51" s="1"/>
  <c r="AQ483" i="50"/>
  <c r="AQ465" i="51" s="1"/>
  <c r="V483" i="50"/>
  <c r="V465" i="51" s="1"/>
  <c r="Y483" i="50"/>
  <c r="Y465" i="51" s="1"/>
  <c r="Z483" i="50"/>
  <c r="Z465" i="51" s="1"/>
  <c r="AG483" i="50"/>
  <c r="AG465" i="51" s="1"/>
  <c r="AC483" i="50"/>
  <c r="AC465" i="51" s="1"/>
  <c r="AR483" i="50"/>
  <c r="AR465" i="51" s="1"/>
  <c r="X483" i="50"/>
  <c r="X465" i="51" s="1"/>
  <c r="AH483" i="50"/>
  <c r="AH465" i="51" s="1"/>
  <c r="AW483" i="50"/>
  <c r="AW465" i="51" s="1"/>
  <c r="AA483" i="50"/>
  <c r="AA465" i="51" s="1"/>
  <c r="AK483" i="50"/>
  <c r="AK465" i="51" s="1"/>
  <c r="AI483" i="50"/>
  <c r="AI465" i="51" s="1"/>
  <c r="AS483" i="50"/>
  <c r="AS465" i="51" s="1"/>
  <c r="AU483" i="50"/>
  <c r="AU465" i="51" s="1"/>
  <c r="AE483" i="50"/>
  <c r="AE465" i="51" s="1"/>
  <c r="AJ483" i="50"/>
  <c r="AJ465" i="51" s="1"/>
  <c r="AT483" i="50"/>
  <c r="AT465" i="51" s="1"/>
  <c r="AN483" i="50"/>
  <c r="AN465" i="51" s="1"/>
  <c r="W483" i="50"/>
  <c r="W465" i="51" s="1"/>
  <c r="AD483" i="50"/>
  <c r="AD465" i="51" s="1"/>
  <c r="AO483" i="50"/>
  <c r="AO465" i="51" s="1"/>
  <c r="K460" i="51"/>
  <c r="G465" i="50"/>
  <c r="AD484" i="50"/>
  <c r="AD466" i="51" s="1"/>
  <c r="AU484" i="50"/>
  <c r="AU466" i="51" s="1"/>
  <c r="AC484" i="50"/>
  <c r="AC466" i="51" s="1"/>
  <c r="AK484" i="50"/>
  <c r="AK466" i="51" s="1"/>
  <c r="AV484" i="50"/>
  <c r="AV466" i="51" s="1"/>
  <c r="AG484" i="50"/>
  <c r="AG466" i="51" s="1"/>
  <c r="AF484" i="50"/>
  <c r="AF466" i="51" s="1"/>
  <c r="AP484" i="50"/>
  <c r="AP466" i="51" s="1"/>
  <c r="AI484" i="50"/>
  <c r="AI466" i="51" s="1"/>
  <c r="AJ484" i="50"/>
  <c r="AJ466" i="51" s="1"/>
  <c r="AT484" i="50"/>
  <c r="AT466" i="51" s="1"/>
  <c r="AQ484" i="50"/>
  <c r="AQ466" i="51" s="1"/>
  <c r="Z484" i="50"/>
  <c r="Z466" i="51" s="1"/>
  <c r="AM484" i="50"/>
  <c r="AM466" i="51" s="1"/>
  <c r="AW484" i="50"/>
  <c r="AW466" i="51" s="1"/>
  <c r="AN484" i="50"/>
  <c r="AN466" i="51" s="1"/>
  <c r="AR484" i="50"/>
  <c r="AR466" i="51" s="1"/>
  <c r="X484" i="50"/>
  <c r="X466" i="51" s="1"/>
  <c r="AH484" i="50"/>
  <c r="AH466" i="51" s="1"/>
  <c r="AB484" i="50"/>
  <c r="AB466" i="51" s="1"/>
  <c r="AL484" i="50"/>
  <c r="AL466" i="51" s="1"/>
  <c r="AA484" i="50"/>
  <c r="AA466" i="51" s="1"/>
  <c r="AS484" i="50"/>
  <c r="AS466" i="51" s="1"/>
  <c r="W484" i="50"/>
  <c r="W466" i="51" s="1"/>
  <c r="Y484" i="50"/>
  <c r="Y466" i="51" s="1"/>
  <c r="V484" i="50"/>
  <c r="V466" i="51" s="1"/>
  <c r="AE484" i="50"/>
  <c r="AE466" i="51" s="1"/>
  <c r="AO484" i="50"/>
  <c r="AO466" i="51" s="1"/>
  <c r="I485" i="50"/>
  <c r="K478" i="50"/>
  <c r="AC233" i="51"/>
  <c r="AB233" i="51"/>
  <c r="AD233" i="51"/>
  <c r="AF233" i="51"/>
  <c r="Y233" i="51"/>
  <c r="AE233" i="51"/>
  <c r="Z233" i="51"/>
  <c r="AG233" i="51"/>
  <c r="AA233" i="51"/>
  <c r="G487" i="50"/>
  <c r="G475" i="50"/>
  <c r="G459" i="51"/>
  <c r="G477" i="50"/>
  <c r="G452" i="51"/>
  <c r="G472" i="50"/>
  <c r="G454" i="51"/>
  <c r="G440" i="51"/>
  <c r="G469" i="51"/>
  <c r="G453" i="51"/>
  <c r="C13" i="41"/>
  <c r="C254" i="51"/>
  <c r="E254" i="51" s="1"/>
  <c r="AB239" i="51"/>
  <c r="AD239" i="51"/>
  <c r="C508" i="50"/>
  <c r="H492" i="50"/>
  <c r="F492" i="50"/>
  <c r="D492" i="50"/>
  <c r="K492" i="50"/>
  <c r="J492" i="50"/>
  <c r="I492" i="50"/>
  <c r="E492" i="50"/>
  <c r="F509" i="50"/>
  <c r="D509" i="50"/>
  <c r="E509" i="50"/>
  <c r="J509" i="50"/>
  <c r="H509" i="50"/>
  <c r="I495" i="50"/>
  <c r="K495" i="50"/>
  <c r="E495" i="50"/>
  <c r="J495" i="50"/>
  <c r="H495" i="50"/>
  <c r="F495" i="50"/>
  <c r="D495" i="50"/>
  <c r="I256" i="50"/>
  <c r="G256" i="50"/>
  <c r="G249" i="50"/>
  <c r="I249" i="50"/>
  <c r="J242" i="50"/>
  <c r="H242" i="50"/>
  <c r="F242" i="50"/>
  <c r="D242" i="50"/>
  <c r="E242" i="50"/>
  <c r="K242" i="50"/>
  <c r="G469" i="50"/>
  <c r="I461" i="51"/>
  <c r="K462" i="51"/>
  <c r="E462" i="51"/>
  <c r="G462" i="51" s="1"/>
  <c r="E461" i="51"/>
  <c r="F461" i="51"/>
  <c r="J461" i="51"/>
  <c r="K461" i="51"/>
  <c r="H461" i="51"/>
  <c r="I462" i="51"/>
  <c r="D462" i="51"/>
  <c r="D461" i="51"/>
  <c r="G467" i="51"/>
  <c r="G248" i="50"/>
  <c r="I248" i="50"/>
  <c r="I237" i="50"/>
  <c r="G237" i="50"/>
  <c r="G241" i="50"/>
  <c r="I241" i="50"/>
  <c r="G241" i="51"/>
  <c r="I241" i="51"/>
  <c r="D271" i="50"/>
  <c r="E271" i="50"/>
  <c r="K271" i="50"/>
  <c r="J271" i="50"/>
  <c r="H271" i="50"/>
  <c r="F271" i="50"/>
  <c r="K266" i="50"/>
  <c r="H266" i="50"/>
  <c r="J266" i="50"/>
  <c r="D266" i="50"/>
  <c r="F266" i="50"/>
  <c r="E266" i="50"/>
  <c r="J273" i="50"/>
  <c r="D273" i="50"/>
  <c r="F273" i="50"/>
  <c r="K273" i="50"/>
  <c r="H273" i="50"/>
  <c r="E273" i="50"/>
  <c r="G236" i="50"/>
  <c r="I236" i="50"/>
  <c r="AB245" i="51"/>
  <c r="J481" i="50"/>
  <c r="H481" i="50"/>
  <c r="F481" i="50"/>
  <c r="D481" i="50"/>
  <c r="I481" i="50"/>
  <c r="K481" i="50"/>
  <c r="E481" i="50"/>
  <c r="G481" i="50" s="1"/>
  <c r="G455" i="51"/>
  <c r="G441" i="51"/>
  <c r="Z245" i="51"/>
  <c r="G465" i="51"/>
  <c r="G237" i="51"/>
  <c r="I237" i="51"/>
  <c r="G230" i="51"/>
  <c r="I230" i="51"/>
  <c r="G233" i="51"/>
  <c r="I233" i="51"/>
  <c r="AF241" i="51"/>
  <c r="I243" i="51"/>
  <c r="G243" i="51"/>
  <c r="D479" i="51"/>
  <c r="F479" i="51"/>
  <c r="K479" i="51"/>
  <c r="E479" i="51"/>
  <c r="H479" i="51"/>
  <c r="J479" i="51"/>
  <c r="I479" i="51"/>
  <c r="J474" i="51"/>
  <c r="K474" i="51"/>
  <c r="F474" i="51"/>
  <c r="D474" i="51"/>
  <c r="E474" i="51"/>
  <c r="I474" i="51"/>
  <c r="H474" i="51"/>
  <c r="D255" i="51"/>
  <c r="E255" i="51"/>
  <c r="K255" i="51"/>
  <c r="J255" i="51"/>
  <c r="H255" i="51"/>
  <c r="F255" i="51"/>
  <c r="K263" i="51"/>
  <c r="J263" i="51"/>
  <c r="H263" i="51"/>
  <c r="D263" i="51"/>
  <c r="F263" i="51"/>
  <c r="E263" i="51"/>
  <c r="E256" i="51"/>
  <c r="J256" i="51"/>
  <c r="H256" i="51"/>
  <c r="F256" i="51"/>
  <c r="D256" i="51"/>
  <c r="K256" i="51"/>
  <c r="H261" i="51"/>
  <c r="J261" i="51"/>
  <c r="D261" i="51"/>
  <c r="F261" i="51"/>
  <c r="K261" i="51"/>
  <c r="E261" i="51"/>
  <c r="K248" i="51"/>
  <c r="H248" i="51"/>
  <c r="F248" i="51"/>
  <c r="E248" i="51"/>
  <c r="J248" i="51"/>
  <c r="D250" i="51"/>
  <c r="H250" i="51"/>
  <c r="I250" i="51" s="1"/>
  <c r="J250" i="51"/>
  <c r="F250" i="51"/>
  <c r="G250" i="51" s="1"/>
  <c r="K250" i="51"/>
  <c r="Y245" i="51"/>
  <c r="AD245" i="51"/>
  <c r="AH241" i="51"/>
  <c r="G471" i="50"/>
  <c r="G450" i="51"/>
  <c r="G438" i="51"/>
  <c r="I234" i="51"/>
  <c r="G234" i="51"/>
  <c r="I240" i="51"/>
  <c r="G240" i="51"/>
  <c r="G232" i="51"/>
  <c r="I232" i="51"/>
  <c r="AX500" i="50"/>
  <c r="AT500" i="50"/>
  <c r="AP500" i="50"/>
  <c r="AL500" i="50"/>
  <c r="AH500" i="50"/>
  <c r="AD500" i="50"/>
  <c r="Z500" i="50"/>
  <c r="AW500" i="50"/>
  <c r="AS500" i="50"/>
  <c r="AO500" i="50"/>
  <c r="AK500" i="50"/>
  <c r="AG500" i="50"/>
  <c r="AC500" i="50"/>
  <c r="Y500" i="50"/>
  <c r="AV500" i="50"/>
  <c r="AR500" i="50"/>
  <c r="AN500" i="50"/>
  <c r="AJ500" i="50"/>
  <c r="AF500" i="50"/>
  <c r="AB500" i="50"/>
  <c r="X500" i="50"/>
  <c r="AU500" i="50"/>
  <c r="AQ500" i="50"/>
  <c r="AM500" i="50"/>
  <c r="AI500" i="50"/>
  <c r="AE500" i="50"/>
  <c r="AA500" i="50"/>
  <c r="W500" i="50"/>
  <c r="C500" i="50"/>
  <c r="E493" i="50"/>
  <c r="K493" i="50" s="1"/>
  <c r="J493" i="50"/>
  <c r="H493" i="50"/>
  <c r="F493" i="50"/>
  <c r="D493" i="50"/>
  <c r="I493" i="50"/>
  <c r="D491" i="50"/>
  <c r="I491" i="50"/>
  <c r="K491" i="50"/>
  <c r="E491" i="50"/>
  <c r="J491" i="50"/>
  <c r="F491" i="50"/>
  <c r="H491" i="50"/>
  <c r="I498" i="50"/>
  <c r="K498" i="50"/>
  <c r="E498" i="50"/>
  <c r="J498" i="50"/>
  <c r="H498" i="50"/>
  <c r="F498" i="50"/>
  <c r="D498" i="50"/>
  <c r="I252" i="50"/>
  <c r="G252" i="50"/>
  <c r="C264" i="50"/>
  <c r="J262" i="50"/>
  <c r="F262" i="50"/>
  <c r="H262" i="50"/>
  <c r="E262" i="50"/>
  <c r="K262" i="50"/>
  <c r="H277" i="50"/>
  <c r="F277" i="50"/>
  <c r="D277" i="50"/>
  <c r="E277" i="50"/>
  <c r="K277" i="50"/>
  <c r="J277" i="50"/>
  <c r="H265" i="50"/>
  <c r="J265" i="50"/>
  <c r="D265" i="50"/>
  <c r="F265" i="50"/>
  <c r="K265" i="50"/>
  <c r="E265" i="50"/>
  <c r="D268" i="50"/>
  <c r="K268" i="50"/>
  <c r="E268" i="50"/>
  <c r="J268" i="50"/>
  <c r="H268" i="50"/>
  <c r="F268" i="50"/>
  <c r="F257" i="50"/>
  <c r="E257" i="50"/>
  <c r="K257" i="50"/>
  <c r="AF248" i="51" s="1"/>
  <c r="H257" i="50"/>
  <c r="J257" i="50"/>
  <c r="AH228" i="51"/>
  <c r="AC228" i="51"/>
  <c r="G456" i="51"/>
  <c r="AG228" i="51"/>
  <c r="G229" i="51"/>
  <c r="I229" i="51"/>
  <c r="G238" i="51"/>
  <c r="I238" i="51"/>
  <c r="E485" i="51"/>
  <c r="G485" i="51" s="1"/>
  <c r="I484" i="51"/>
  <c r="I485" i="51"/>
  <c r="J484" i="51"/>
  <c r="E484" i="51"/>
  <c r="D484" i="51"/>
  <c r="F484" i="51"/>
  <c r="K484" i="51"/>
  <c r="K485" i="51"/>
  <c r="D485" i="51"/>
  <c r="H484" i="51"/>
  <c r="J471" i="51"/>
  <c r="H471" i="51"/>
  <c r="K471" i="51"/>
  <c r="D471" i="51"/>
  <c r="E471" i="51"/>
  <c r="D472" i="51"/>
  <c r="I471" i="51"/>
  <c r="E472" i="51"/>
  <c r="G472" i="51" s="1"/>
  <c r="F471" i="51"/>
  <c r="I472" i="51"/>
  <c r="E480" i="51"/>
  <c r="K480" i="51"/>
  <c r="D480" i="51"/>
  <c r="J480" i="51"/>
  <c r="I480" i="51"/>
  <c r="F480" i="51"/>
  <c r="H480" i="51"/>
  <c r="J478" i="51"/>
  <c r="F478" i="51"/>
  <c r="E478" i="51"/>
  <c r="D478" i="51"/>
  <c r="K478" i="51"/>
  <c r="I478" i="51"/>
  <c r="H478" i="51"/>
  <c r="C487" i="51"/>
  <c r="E483" i="51"/>
  <c r="G483" i="51" s="1"/>
  <c r="D482" i="51"/>
  <c r="E482" i="51"/>
  <c r="I482" i="51" s="1"/>
  <c r="J482" i="51"/>
  <c r="K483" i="51" s="1"/>
  <c r="H482" i="51"/>
  <c r="D483" i="51"/>
  <c r="F482" i="51"/>
  <c r="F4" i="44"/>
  <c r="G4" i="44" s="1"/>
  <c r="E5" i="44"/>
  <c r="J267" i="51"/>
  <c r="D267" i="51"/>
  <c r="F267" i="51"/>
  <c r="E267" i="51"/>
  <c r="K267" i="51"/>
  <c r="H267" i="51"/>
  <c r="F253" i="51"/>
  <c r="E253" i="51"/>
  <c r="K253" i="51"/>
  <c r="H253" i="51"/>
  <c r="J253" i="51"/>
  <c r="H260" i="51"/>
  <c r="F260" i="51"/>
  <c r="D260" i="51"/>
  <c r="K260" i="51"/>
  <c r="E260" i="51"/>
  <c r="J260" i="51"/>
  <c r="K251" i="51"/>
  <c r="E251" i="51"/>
  <c r="D251" i="51"/>
  <c r="J251" i="51"/>
  <c r="F251" i="51"/>
  <c r="H251" i="51"/>
  <c r="G239" i="50"/>
  <c r="I239" i="50"/>
  <c r="G240" i="50"/>
  <c r="I240" i="50"/>
  <c r="H466" i="51"/>
  <c r="K466" i="51"/>
  <c r="D466" i="51"/>
  <c r="E466" i="51"/>
  <c r="F466" i="51"/>
  <c r="J466" i="51"/>
  <c r="I466" i="51"/>
  <c r="C503" i="51"/>
  <c r="C494" i="51"/>
  <c r="C499" i="51"/>
  <c r="C514" i="51"/>
  <c r="M494" i="51"/>
  <c r="C496" i="51"/>
  <c r="C505" i="51"/>
  <c r="C507" i="51" s="1"/>
  <c r="C513" i="51"/>
  <c r="L494" i="51"/>
  <c r="C515" i="51"/>
  <c r="C501" i="51"/>
  <c r="C504" i="51"/>
  <c r="C497" i="51"/>
  <c r="C500" i="51"/>
  <c r="C502" i="51"/>
  <c r="C498" i="51"/>
  <c r="I228" i="51"/>
  <c r="G228" i="51"/>
  <c r="I239" i="51"/>
  <c r="G239" i="51"/>
  <c r="I242" i="51"/>
  <c r="G242" i="51"/>
  <c r="J494" i="50"/>
  <c r="H494" i="50"/>
  <c r="F494" i="50"/>
  <c r="D494" i="50"/>
  <c r="I494" i="50"/>
  <c r="E494" i="50"/>
  <c r="K494" i="50"/>
  <c r="E510" i="50"/>
  <c r="J510" i="50"/>
  <c r="H510" i="50"/>
  <c r="F510" i="50"/>
  <c r="D510" i="50"/>
  <c r="K510" i="50"/>
  <c r="I510" i="50"/>
  <c r="C506" i="50"/>
  <c r="D501" i="50"/>
  <c r="F501" i="50"/>
  <c r="E501" i="50"/>
  <c r="K501" i="50" s="1"/>
  <c r="D502" i="50"/>
  <c r="E502" i="50"/>
  <c r="G502" i="50" s="1"/>
  <c r="H501" i="50"/>
  <c r="J501" i="50"/>
  <c r="H511" i="50"/>
  <c r="F511" i="50"/>
  <c r="D511" i="50"/>
  <c r="I511" i="50"/>
  <c r="K511" i="50"/>
  <c r="E511" i="50"/>
  <c r="J511" i="50"/>
  <c r="G245" i="50"/>
  <c r="I245" i="50"/>
  <c r="I246" i="50"/>
  <c r="G246" i="50"/>
  <c r="G458" i="51"/>
  <c r="E463" i="51"/>
  <c r="D463" i="51"/>
  <c r="H463" i="51"/>
  <c r="I463" i="51"/>
  <c r="F463" i="51"/>
  <c r="K463" i="51"/>
  <c r="J463" i="51"/>
  <c r="G468" i="51"/>
  <c r="G236" i="51"/>
  <c r="I236" i="51"/>
  <c r="I246" i="51"/>
  <c r="G246" i="51"/>
  <c r="F269" i="50"/>
  <c r="K269" i="50"/>
  <c r="E269" i="50"/>
  <c r="H269" i="50"/>
  <c r="J269" i="50"/>
  <c r="D269" i="50"/>
  <c r="J258" i="50"/>
  <c r="H258" i="50"/>
  <c r="F258" i="50"/>
  <c r="D258" i="50"/>
  <c r="E258" i="50"/>
  <c r="K258" i="50"/>
  <c r="K267" i="50"/>
  <c r="J267" i="50"/>
  <c r="F267" i="50"/>
  <c r="H267" i="50"/>
  <c r="E267" i="50"/>
  <c r="J276" i="50"/>
  <c r="D276" i="50"/>
  <c r="F276" i="50"/>
  <c r="E276" i="50"/>
  <c r="K276" i="50"/>
  <c r="H276" i="50"/>
  <c r="I247" i="50"/>
  <c r="G247" i="50"/>
  <c r="AA228" i="51"/>
  <c r="G486" i="50"/>
  <c r="EV46" i="47"/>
  <c r="DF39" i="47"/>
  <c r="DR41" i="47"/>
  <c r="FB47" i="47"/>
  <c r="V1" i="47"/>
  <c r="EP45" i="47"/>
  <c r="EJ44" i="47"/>
  <c r="ED43" i="47"/>
  <c r="CZ38" i="47"/>
  <c r="DL40" i="47"/>
  <c r="DX42" i="47"/>
  <c r="I255" i="50"/>
  <c r="G255" i="50"/>
  <c r="AD228" i="51"/>
  <c r="G245" i="51"/>
  <c r="I245" i="51"/>
  <c r="H475" i="51"/>
  <c r="E475" i="51"/>
  <c r="I475" i="51" s="1"/>
  <c r="F475" i="51"/>
  <c r="D475" i="51"/>
  <c r="J475" i="51"/>
  <c r="K475" i="51" s="1"/>
  <c r="E491" i="51"/>
  <c r="K491" i="51"/>
  <c r="D491" i="51"/>
  <c r="F491" i="51"/>
  <c r="I491" i="51"/>
  <c r="H491" i="51"/>
  <c r="J491" i="51"/>
  <c r="J473" i="51"/>
  <c r="E473" i="51"/>
  <c r="F473" i="51"/>
  <c r="I473" i="51"/>
  <c r="K473" i="51"/>
  <c r="H473" i="51"/>
  <c r="D473" i="51"/>
  <c r="F265" i="51"/>
  <c r="H265" i="51"/>
  <c r="J265" i="51"/>
  <c r="K265" i="51"/>
  <c r="E265" i="51"/>
  <c r="E257" i="51"/>
  <c r="H257" i="51"/>
  <c r="D257" i="51"/>
  <c r="K257" i="51"/>
  <c r="J257" i="51"/>
  <c r="F257" i="51"/>
  <c r="K249" i="51"/>
  <c r="H249" i="51"/>
  <c r="F249" i="51"/>
  <c r="D249" i="51"/>
  <c r="J249" i="51"/>
  <c r="E249" i="51"/>
  <c r="K258" i="51"/>
  <c r="H258" i="51"/>
  <c r="F258" i="51"/>
  <c r="E258" i="51"/>
  <c r="J258" i="51"/>
  <c r="K259" i="51"/>
  <c r="H259" i="51"/>
  <c r="F259" i="51"/>
  <c r="D259" i="51"/>
  <c r="E259" i="51"/>
  <c r="J259" i="51"/>
  <c r="G250" i="50"/>
  <c r="I250" i="50"/>
  <c r="AB228" i="51"/>
  <c r="AE228" i="51"/>
  <c r="Z241" i="51"/>
  <c r="G243" i="50"/>
  <c r="I243" i="50"/>
  <c r="F235" i="51"/>
  <c r="K235" i="51"/>
  <c r="E235" i="51"/>
  <c r="H235" i="51"/>
  <c r="J235" i="51"/>
  <c r="D235" i="51"/>
  <c r="C505" i="50"/>
  <c r="D497" i="50"/>
  <c r="I497" i="50"/>
  <c r="K497" i="50"/>
  <c r="E497" i="50"/>
  <c r="H497" i="50"/>
  <c r="J497" i="50"/>
  <c r="F497" i="50"/>
  <c r="H489" i="50"/>
  <c r="K489" i="50"/>
  <c r="I490" i="50"/>
  <c r="D489" i="50"/>
  <c r="D490" i="50"/>
  <c r="I489" i="50"/>
  <c r="K490" i="50"/>
  <c r="J489" i="50"/>
  <c r="E489" i="50"/>
  <c r="E490" i="50"/>
  <c r="G490" i="50" s="1"/>
  <c r="F489" i="50"/>
  <c r="F499" i="50"/>
  <c r="D499" i="50"/>
  <c r="I499" i="50"/>
  <c r="K499" i="50"/>
  <c r="E499" i="50"/>
  <c r="G499" i="50" s="1"/>
  <c r="J499" i="50"/>
  <c r="H499" i="50"/>
  <c r="E496" i="50"/>
  <c r="J496" i="50"/>
  <c r="H496" i="50"/>
  <c r="F496" i="50"/>
  <c r="D496" i="50"/>
  <c r="K496" i="50"/>
  <c r="I496" i="50"/>
  <c r="F484" i="50"/>
  <c r="D484" i="50"/>
  <c r="I484" i="50"/>
  <c r="K484" i="50"/>
  <c r="E484" i="50"/>
  <c r="J484" i="50"/>
  <c r="H484" i="50"/>
  <c r="I244" i="51"/>
  <c r="G244" i="51"/>
  <c r="AI266" i="51"/>
  <c r="K263" i="50"/>
  <c r="E263" i="50"/>
  <c r="H263" i="50"/>
  <c r="D263" i="50"/>
  <c r="J263" i="50"/>
  <c r="F263" i="50"/>
  <c r="G263" i="50" s="1"/>
  <c r="J275" i="50"/>
  <c r="F275" i="50"/>
  <c r="E275" i="50"/>
  <c r="K275" i="50"/>
  <c r="AF265" i="51" s="1"/>
  <c r="H275" i="50"/>
  <c r="K270" i="50"/>
  <c r="H270" i="50"/>
  <c r="J270" i="50"/>
  <c r="D270" i="50"/>
  <c r="F270" i="50"/>
  <c r="E270" i="50"/>
  <c r="K272" i="50"/>
  <c r="E272" i="50"/>
  <c r="J272" i="50"/>
  <c r="D272" i="50"/>
  <c r="F272" i="50"/>
  <c r="H272" i="50"/>
  <c r="J261" i="50"/>
  <c r="D261" i="50"/>
  <c r="F261" i="50"/>
  <c r="E261" i="50"/>
  <c r="K261" i="50"/>
  <c r="H261" i="50"/>
  <c r="F260" i="50"/>
  <c r="K260" i="50"/>
  <c r="E260" i="50"/>
  <c r="H260" i="50"/>
  <c r="D260" i="50"/>
  <c r="J260" i="50"/>
  <c r="E259" i="50"/>
  <c r="J259" i="50"/>
  <c r="H259" i="50"/>
  <c r="F259" i="50"/>
  <c r="D259" i="50"/>
  <c r="K259" i="50"/>
  <c r="G244" i="50"/>
  <c r="I244" i="50"/>
  <c r="D464" i="51"/>
  <c r="E464" i="51"/>
  <c r="K464" i="51"/>
  <c r="F464" i="51"/>
  <c r="H464" i="51"/>
  <c r="I464" i="51"/>
  <c r="J464" i="51"/>
  <c r="G254" i="50"/>
  <c r="I254" i="50"/>
  <c r="G231" i="51"/>
  <c r="I231" i="51"/>
  <c r="I247" i="51"/>
  <c r="G247" i="51"/>
  <c r="F476" i="51"/>
  <c r="D476" i="51"/>
  <c r="I476" i="51"/>
  <c r="J476" i="51"/>
  <c r="H476" i="51"/>
  <c r="E476" i="51"/>
  <c r="K476" i="51"/>
  <c r="D492" i="51"/>
  <c r="I492" i="51"/>
  <c r="K492" i="51"/>
  <c r="F492" i="51"/>
  <c r="E492" i="51"/>
  <c r="H492" i="51"/>
  <c r="J492" i="51"/>
  <c r="I477" i="51"/>
  <c r="F477" i="51"/>
  <c r="H477" i="51"/>
  <c r="K477" i="51"/>
  <c r="E477" i="51"/>
  <c r="D477" i="51"/>
  <c r="J477" i="51"/>
  <c r="E481" i="51"/>
  <c r="H481" i="51"/>
  <c r="F481" i="51"/>
  <c r="D481" i="51"/>
  <c r="I481" i="51"/>
  <c r="K481" i="51"/>
  <c r="J481" i="51"/>
  <c r="H490" i="51"/>
  <c r="J490" i="51"/>
  <c r="I490" i="51"/>
  <c r="F490" i="51"/>
  <c r="E490" i="51"/>
  <c r="K490" i="51" s="1"/>
  <c r="D490" i="51"/>
  <c r="E264" i="51"/>
  <c r="J264" i="51"/>
  <c r="D264" i="51"/>
  <c r="K264" i="51"/>
  <c r="H264" i="51"/>
  <c r="F264" i="51"/>
  <c r="J266" i="51"/>
  <c r="D266" i="51"/>
  <c r="F266" i="51"/>
  <c r="K266" i="51"/>
  <c r="E266" i="51"/>
  <c r="H266" i="51"/>
  <c r="K262" i="51"/>
  <c r="H262" i="51"/>
  <c r="J262" i="51"/>
  <c r="D262" i="51"/>
  <c r="F262" i="51"/>
  <c r="E262" i="51"/>
  <c r="K252" i="51"/>
  <c r="D252" i="51"/>
  <c r="J252" i="51"/>
  <c r="H252" i="51"/>
  <c r="E252" i="51"/>
  <c r="F252" i="51"/>
  <c r="I238" i="50"/>
  <c r="G238" i="50"/>
  <c r="G251" i="50"/>
  <c r="I251" i="50"/>
  <c r="K483" i="50"/>
  <c r="E483" i="50"/>
  <c r="J483" i="50"/>
  <c r="D483" i="50"/>
  <c r="F483" i="50"/>
  <c r="I483" i="50"/>
  <c r="H483" i="50"/>
  <c r="AE528" i="50"/>
  <c r="AE508" i="51" s="1"/>
  <c r="AU526" i="50"/>
  <c r="AU506" i="51" s="1"/>
  <c r="AP528" i="50"/>
  <c r="AP508" i="51" s="1"/>
  <c r="Z528" i="50"/>
  <c r="Z508" i="51" s="1"/>
  <c r="AX526" i="50"/>
  <c r="AX506" i="51" s="1"/>
  <c r="AH526" i="50"/>
  <c r="AH506" i="51" s="1"/>
  <c r="AO528" i="50"/>
  <c r="AO508" i="51" s="1"/>
  <c r="Y526" i="50"/>
  <c r="Y506" i="51" s="1"/>
  <c r="AC528" i="50"/>
  <c r="AC508" i="51" s="1"/>
  <c r="AC526" i="50"/>
  <c r="AC506" i="51" s="1"/>
  <c r="AJ528" i="50"/>
  <c r="AJ508" i="51" s="1"/>
  <c r="AR526" i="50"/>
  <c r="AR506" i="51" s="1"/>
  <c r="AB526" i="50"/>
  <c r="AB506" i="51" s="1"/>
  <c r="AA528" i="50"/>
  <c r="AA508" i="51" s="1"/>
  <c r="AE526" i="50"/>
  <c r="AE506" i="51" s="1"/>
  <c r="AY528" i="50"/>
  <c r="AY508" i="51" s="1"/>
  <c r="AI526" i="50"/>
  <c r="AI506" i="51" s="1"/>
  <c r="AL528" i="50"/>
  <c r="AL508" i="51" s="1"/>
  <c r="AT526" i="50"/>
  <c r="AT506" i="51" s="1"/>
  <c r="AD526" i="50"/>
  <c r="AD506" i="51" s="1"/>
  <c r="AK528" i="50"/>
  <c r="AK508" i="51" s="1"/>
  <c r="AO526" i="50"/>
  <c r="AO506" i="51" s="1"/>
  <c r="AV528" i="50"/>
  <c r="AV508" i="51" s="1"/>
  <c r="AF528" i="50"/>
  <c r="AF508" i="51" s="1"/>
  <c r="AN526" i="50"/>
  <c r="AN506" i="51" s="1"/>
  <c r="X526" i="50"/>
  <c r="X506" i="51" s="1"/>
  <c r="AU528" i="50"/>
  <c r="AU508" i="51" s="1"/>
  <c r="AA526" i="50"/>
  <c r="AA506" i="51" s="1"/>
  <c r="AX528" i="50"/>
  <c r="AX508" i="51" s="1"/>
  <c r="AH528" i="50"/>
  <c r="AH508" i="51" s="1"/>
  <c r="AP526" i="50"/>
  <c r="AP506" i="51" s="1"/>
  <c r="Z526" i="50"/>
  <c r="Z506" i="51" s="1"/>
  <c r="Y528" i="50"/>
  <c r="Y508" i="51" s="1"/>
  <c r="AW526" i="50"/>
  <c r="AW506" i="51" s="1"/>
  <c r="AS528" i="50"/>
  <c r="AS508" i="51" s="1"/>
  <c r="AK526" i="50"/>
  <c r="AK506" i="51" s="1"/>
  <c r="AR528" i="50"/>
  <c r="AR508" i="51" s="1"/>
  <c r="AB528" i="50"/>
  <c r="AB508" i="51" s="1"/>
  <c r="AJ526" i="50"/>
  <c r="AJ506" i="51" s="1"/>
  <c r="AQ528" i="50"/>
  <c r="AQ508" i="51" s="1"/>
  <c r="AQ526" i="50"/>
  <c r="AQ506" i="51" s="1"/>
  <c r="AY526" i="50"/>
  <c r="AY506" i="51" s="1"/>
  <c r="AG526" i="50"/>
  <c r="AG506" i="51" s="1"/>
  <c r="AV526" i="50"/>
  <c r="AV506" i="51" s="1"/>
  <c r="AM526" i="50"/>
  <c r="AM506" i="51" s="1"/>
  <c r="AT528" i="50"/>
  <c r="AT508" i="51" s="1"/>
  <c r="AL526" i="50"/>
  <c r="AL506" i="51" s="1"/>
  <c r="AS526" i="50"/>
  <c r="AS506" i="51" s="1"/>
  <c r="AN528" i="50"/>
  <c r="AN508" i="51" s="1"/>
  <c r="AF526" i="50"/>
  <c r="AF506" i="51" s="1"/>
  <c r="AD528" i="50"/>
  <c r="AD508" i="51" s="1"/>
  <c r="AG528" i="50"/>
  <c r="AG508" i="51" s="1"/>
  <c r="X528" i="50"/>
  <c r="X508" i="51" s="1"/>
  <c r="AI528" i="50"/>
  <c r="AI508" i="51" s="1"/>
  <c r="AM528" i="50"/>
  <c r="AM508" i="51" s="1"/>
  <c r="AW528" i="50"/>
  <c r="AW508" i="51" s="1"/>
  <c r="C523" i="50"/>
  <c r="AP523" i="50" s="1"/>
  <c r="AP504" i="51" s="1"/>
  <c r="C516" i="50"/>
  <c r="AT516" i="50" s="1"/>
  <c r="AT497" i="51" s="1"/>
  <c r="C535" i="50"/>
  <c r="AC535" i="50" s="1"/>
  <c r="AC515" i="51" s="1"/>
  <c r="C533" i="50"/>
  <c r="C520" i="50"/>
  <c r="AQ520" i="50" s="1"/>
  <c r="AQ501" i="51" s="1"/>
  <c r="C515" i="50"/>
  <c r="AE515" i="50" s="1"/>
  <c r="AE496" i="51" s="1"/>
  <c r="C518" i="50"/>
  <c r="AG518" i="50" s="1"/>
  <c r="AG499" i="51" s="1"/>
  <c r="L513" i="50"/>
  <c r="C525" i="50"/>
  <c r="C530" i="50" s="1"/>
  <c r="AG530" i="50" s="1"/>
  <c r="AG510" i="51" s="1"/>
  <c r="C517" i="50"/>
  <c r="C522" i="50"/>
  <c r="AT522" i="50" s="1"/>
  <c r="AT503" i="51" s="1"/>
  <c r="M513" i="50"/>
  <c r="C519" i="50"/>
  <c r="Z519" i="50" s="1"/>
  <c r="Z500" i="51" s="1"/>
  <c r="C513" i="50"/>
  <c r="C534" i="50"/>
  <c r="AT534" i="50" s="1"/>
  <c r="AT514" i="51" s="1"/>
  <c r="C521" i="50"/>
  <c r="AH521" i="50" s="1"/>
  <c r="AH502" i="51" s="1"/>
  <c r="C22" i="47"/>
  <c r="C23" i="47"/>
  <c r="D23" i="47" s="1"/>
  <c r="C12" i="41" l="1"/>
  <c r="C11" i="41"/>
  <c r="AH248" i="51"/>
  <c r="AE265" i="51"/>
  <c r="AA248" i="51"/>
  <c r="AD248" i="51"/>
  <c r="AA265" i="51"/>
  <c r="AC248" i="51"/>
  <c r="AG265" i="51"/>
  <c r="AI265" i="51"/>
  <c r="AB265" i="51"/>
  <c r="AB248" i="51"/>
  <c r="AE248" i="51"/>
  <c r="AB261" i="51"/>
  <c r="AC261" i="51"/>
  <c r="AE261" i="51"/>
  <c r="AG261" i="51"/>
  <c r="AH259" i="51"/>
  <c r="AI261" i="51"/>
  <c r="AA261" i="51"/>
  <c r="AC259" i="51"/>
  <c r="AG259" i="51"/>
  <c r="Z261" i="51"/>
  <c r="AB259" i="51"/>
  <c r="AE259" i="51"/>
  <c r="AF261" i="51"/>
  <c r="AH261" i="51"/>
  <c r="AI259" i="51"/>
  <c r="AA259" i="51"/>
  <c r="AD261" i="51"/>
  <c r="AD259" i="51"/>
  <c r="AF259" i="51"/>
  <c r="AC265" i="51"/>
  <c r="AD265" i="51"/>
  <c r="Z248" i="51"/>
  <c r="AH265" i="51"/>
  <c r="K489" i="51"/>
  <c r="G511" i="50"/>
  <c r="H489" i="51"/>
  <c r="D489" i="51"/>
  <c r="J489" i="51"/>
  <c r="E489" i="51"/>
  <c r="I489" i="51"/>
  <c r="C532" i="50"/>
  <c r="AX532" i="50" s="1"/>
  <c r="AX512" i="51" s="1"/>
  <c r="E488" i="51"/>
  <c r="I504" i="50"/>
  <c r="G484" i="50"/>
  <c r="I486" i="51"/>
  <c r="G482" i="50"/>
  <c r="I503" i="50"/>
  <c r="E504" i="50"/>
  <c r="G504" i="50" s="1"/>
  <c r="F503" i="50"/>
  <c r="D486" i="51"/>
  <c r="K486" i="51"/>
  <c r="H503" i="50"/>
  <c r="E503" i="50"/>
  <c r="G503" i="50" s="1"/>
  <c r="H486" i="51"/>
  <c r="J486" i="51"/>
  <c r="K504" i="50"/>
  <c r="J503" i="50"/>
  <c r="E507" i="50"/>
  <c r="F254" i="51"/>
  <c r="G254" i="51" s="1"/>
  <c r="F486" i="51"/>
  <c r="G486" i="51" s="1"/>
  <c r="D503" i="50"/>
  <c r="D504" i="50"/>
  <c r="K503" i="50"/>
  <c r="C8" i="41"/>
  <c r="K507" i="50"/>
  <c r="I507" i="50"/>
  <c r="C7" i="41"/>
  <c r="I488" i="51"/>
  <c r="K488" i="51"/>
  <c r="F488" i="51"/>
  <c r="J507" i="50"/>
  <c r="F507" i="50"/>
  <c r="G507" i="50" s="1"/>
  <c r="D488" i="51"/>
  <c r="J488" i="51"/>
  <c r="G489" i="51"/>
  <c r="H507" i="50"/>
  <c r="H254" i="51"/>
  <c r="I254" i="51" s="1"/>
  <c r="J254" i="51"/>
  <c r="K254" i="51"/>
  <c r="D254" i="51"/>
  <c r="G509" i="50"/>
  <c r="G492" i="50"/>
  <c r="I501" i="50"/>
  <c r="K502" i="50"/>
  <c r="I483" i="51"/>
  <c r="AQ518" i="50"/>
  <c r="AQ499" i="51" s="1"/>
  <c r="X515" i="50"/>
  <c r="X496" i="51" s="1"/>
  <c r="AF535" i="50"/>
  <c r="AF515" i="51" s="1"/>
  <c r="AG532" i="50"/>
  <c r="AG512" i="51" s="1"/>
  <c r="AT519" i="50"/>
  <c r="AT500" i="51" s="1"/>
  <c r="AE522" i="50"/>
  <c r="AE503" i="51" s="1"/>
  <c r="AM515" i="50"/>
  <c r="AM496" i="51" s="1"/>
  <c r="AQ534" i="50"/>
  <c r="AQ514" i="51" s="1"/>
  <c r="AJ522" i="50"/>
  <c r="AJ503" i="51" s="1"/>
  <c r="AN532" i="50"/>
  <c r="AN512" i="51" s="1"/>
  <c r="Z518" i="50"/>
  <c r="Z499" i="51" s="1"/>
  <c r="AY517" i="50"/>
  <c r="AY498" i="51" s="1"/>
  <c r="AY533" i="50"/>
  <c r="AY513" i="51" s="1"/>
  <c r="AR520" i="50"/>
  <c r="AR501" i="51" s="1"/>
  <c r="AV530" i="50"/>
  <c r="AV510" i="51" s="1"/>
  <c r="AC521" i="50"/>
  <c r="AC502" i="51" s="1"/>
  <c r="AH516" i="50"/>
  <c r="AH497" i="51" s="1"/>
  <c r="AU535" i="50"/>
  <c r="AU515" i="51" s="1"/>
  <c r="X519" i="50"/>
  <c r="X500" i="51" s="1"/>
  <c r="AK520" i="50"/>
  <c r="AK501" i="51" s="1"/>
  <c r="AK518" i="50"/>
  <c r="AK499" i="51" s="1"/>
  <c r="AT523" i="50"/>
  <c r="AT504" i="51" s="1"/>
  <c r="AX534" i="50"/>
  <c r="AX514" i="51" s="1"/>
  <c r="AU516" i="50"/>
  <c r="AU497" i="51" s="1"/>
  <c r="AM520" i="50"/>
  <c r="AM501" i="51" s="1"/>
  <c r="AQ525" i="50"/>
  <c r="AQ505" i="51" s="1"/>
  <c r="AA530" i="50"/>
  <c r="AA510" i="51" s="1"/>
  <c r="AY535" i="50"/>
  <c r="AY515" i="51" s="1"/>
  <c r="AF516" i="50"/>
  <c r="AF497" i="51" s="1"/>
  <c r="AN518" i="50"/>
  <c r="AN499" i="51" s="1"/>
  <c r="AV520" i="50"/>
  <c r="AV501" i="51" s="1"/>
  <c r="AB523" i="50"/>
  <c r="AB504" i="51" s="1"/>
  <c r="AF534" i="50"/>
  <c r="AF514" i="51" s="1"/>
  <c r="Y519" i="50"/>
  <c r="Y500" i="51" s="1"/>
  <c r="AT533" i="50"/>
  <c r="AT513" i="51" s="1"/>
  <c r="AS517" i="50"/>
  <c r="AS498" i="51" s="1"/>
  <c r="AK521" i="50"/>
  <c r="AK502" i="51" s="1"/>
  <c r="AL516" i="50"/>
  <c r="AL497" i="51" s="1"/>
  <c r="AT518" i="50"/>
  <c r="AT499" i="51" s="1"/>
  <c r="Z521" i="50"/>
  <c r="Z502" i="51" s="1"/>
  <c r="AH523" i="50"/>
  <c r="AH504" i="51" s="1"/>
  <c r="AL534" i="50"/>
  <c r="AL514" i="51" s="1"/>
  <c r="AU513" i="50"/>
  <c r="AU494" i="51" s="1"/>
  <c r="AU519" i="50"/>
  <c r="AU500" i="51" s="1"/>
  <c r="AU530" i="50"/>
  <c r="AU510" i="51" s="1"/>
  <c r="AX533" i="50"/>
  <c r="AX513" i="51" s="1"/>
  <c r="AA518" i="50"/>
  <c r="AA499" i="51" s="1"/>
  <c r="AU521" i="50"/>
  <c r="AU502" i="51" s="1"/>
  <c r="AR513" i="50"/>
  <c r="AR494" i="51" s="1"/>
  <c r="AF519" i="50"/>
  <c r="AF500" i="51" s="1"/>
  <c r="AN521" i="50"/>
  <c r="AN502" i="51" s="1"/>
  <c r="AV523" i="50"/>
  <c r="AV504" i="51" s="1"/>
  <c r="X535" i="50"/>
  <c r="X515" i="51" s="1"/>
  <c r="AS515" i="50"/>
  <c r="AS496" i="51" s="1"/>
  <c r="Y521" i="50"/>
  <c r="Y502" i="51" s="1"/>
  <c r="AS518" i="50"/>
  <c r="AS499" i="51" s="1"/>
  <c r="AO522" i="50"/>
  <c r="AO503" i="51" s="1"/>
  <c r="AK532" i="50"/>
  <c r="AK512" i="51" s="1"/>
  <c r="AX513" i="50"/>
  <c r="AX494" i="51" s="1"/>
  <c r="AL519" i="50"/>
  <c r="AL500" i="51" s="1"/>
  <c r="AT521" i="50"/>
  <c r="AT502" i="51" s="1"/>
  <c r="AD535" i="50"/>
  <c r="AD515" i="51" s="1"/>
  <c r="AU515" i="50"/>
  <c r="AU496" i="51" s="1"/>
  <c r="AQ521" i="50"/>
  <c r="AQ502" i="51" s="1"/>
  <c r="AA532" i="50"/>
  <c r="AA512" i="51" s="1"/>
  <c r="AS533" i="50"/>
  <c r="AS513" i="51" s="1"/>
  <c r="AI518" i="50"/>
  <c r="AI499" i="51" s="1"/>
  <c r="AA522" i="50"/>
  <c r="AA503" i="51" s="1"/>
  <c r="AV513" i="50"/>
  <c r="AV494" i="51" s="1"/>
  <c r="AJ519" i="50"/>
  <c r="AJ500" i="51" s="1"/>
  <c r="AR521" i="50"/>
  <c r="AR502" i="51" s="1"/>
  <c r="AB535" i="50"/>
  <c r="AB515" i="51" s="1"/>
  <c r="AW515" i="50"/>
  <c r="AW496" i="51" s="1"/>
  <c r="AG521" i="50"/>
  <c r="AG502" i="51" s="1"/>
  <c r="AS513" i="50"/>
  <c r="AS494" i="51" s="1"/>
  <c r="AC519" i="50"/>
  <c r="AC500" i="51" s="1"/>
  <c r="AW522" i="50"/>
  <c r="AW503" i="51" s="1"/>
  <c r="AW532" i="50"/>
  <c r="AW512" i="51" s="1"/>
  <c r="Z515" i="50"/>
  <c r="Z496" i="51" s="1"/>
  <c r="AP519" i="50"/>
  <c r="AP500" i="51" s="1"/>
  <c r="AX521" i="50"/>
  <c r="AX502" i="51" s="1"/>
  <c r="Z532" i="50"/>
  <c r="Z512" i="51" s="1"/>
  <c r="AH535" i="50"/>
  <c r="AH515" i="51" s="1"/>
  <c r="AI516" i="50"/>
  <c r="AI497" i="51" s="1"/>
  <c r="AY521" i="50"/>
  <c r="AY502" i="51" s="1"/>
  <c r="AI532" i="50"/>
  <c r="AI512" i="51" s="1"/>
  <c r="G483" i="50"/>
  <c r="G481" i="51"/>
  <c r="G492" i="51"/>
  <c r="K482" i="51"/>
  <c r="K472" i="51"/>
  <c r="C529" i="50"/>
  <c r="H529" i="50" s="1"/>
  <c r="AI522" i="50"/>
  <c r="AI503" i="51" s="1"/>
  <c r="AG516" i="50"/>
  <c r="AG497" i="51" s="1"/>
  <c r="AC515" i="50"/>
  <c r="AC496" i="51" s="1"/>
  <c r="Y534" i="50"/>
  <c r="Y514" i="51" s="1"/>
  <c r="Z522" i="50"/>
  <c r="Z503" i="51" s="1"/>
  <c r="AD532" i="50"/>
  <c r="AD512" i="51" s="1"/>
  <c r="AM519" i="50"/>
  <c r="AM500" i="51" s="1"/>
  <c r="AN515" i="50"/>
  <c r="AN496" i="51" s="1"/>
  <c r="AR525" i="50"/>
  <c r="AR505" i="51" s="1"/>
  <c r="AV535" i="50"/>
  <c r="AV515" i="51" s="1"/>
  <c r="AS534" i="50"/>
  <c r="AS514" i="51" s="1"/>
  <c r="Y530" i="50"/>
  <c r="Y510" i="51" s="1"/>
  <c r="AH520" i="50"/>
  <c r="AH501" i="51" s="1"/>
  <c r="AL530" i="50"/>
  <c r="AL510" i="51" s="1"/>
  <c r="AM523" i="50"/>
  <c r="AM504" i="51" s="1"/>
  <c r="AM516" i="50"/>
  <c r="AM497" i="51" s="1"/>
  <c r="AQ535" i="50"/>
  <c r="AQ515" i="51" s="1"/>
  <c r="X523" i="50"/>
  <c r="X504" i="51" s="1"/>
  <c r="AB534" i="50"/>
  <c r="AB514" i="51" s="1"/>
  <c r="AP518" i="50"/>
  <c r="AP499" i="51" s="1"/>
  <c r="AI519" i="50"/>
  <c r="AI500" i="51" s="1"/>
  <c r="AY530" i="50"/>
  <c r="AY510" i="51" s="1"/>
  <c r="AF521" i="50"/>
  <c r="AF502" i="51" s="1"/>
  <c r="Y522" i="50"/>
  <c r="Y503" i="51" s="1"/>
  <c r="AX516" i="50"/>
  <c r="AX497" i="51" s="1"/>
  <c r="AI515" i="50"/>
  <c r="AI496" i="51" s="1"/>
  <c r="AU517" i="50"/>
  <c r="AU498" i="51" s="1"/>
  <c r="AM521" i="50"/>
  <c r="AM502" i="51" s="1"/>
  <c r="AV516" i="50"/>
  <c r="AV497" i="51" s="1"/>
  <c r="AB519" i="50"/>
  <c r="AB500" i="51" s="1"/>
  <c r="AJ521" i="50"/>
  <c r="AJ502" i="51" s="1"/>
  <c r="AR523" i="50"/>
  <c r="AR504" i="51" s="1"/>
  <c r="AV534" i="50"/>
  <c r="AV514" i="51" s="1"/>
  <c r="AK515" i="50"/>
  <c r="AK496" i="51" s="1"/>
  <c r="AS520" i="50"/>
  <c r="AS501" i="51" s="1"/>
  <c r="AO518" i="50"/>
  <c r="AO499" i="51" s="1"/>
  <c r="AG522" i="50"/>
  <c r="AG503" i="51" s="1"/>
  <c r="AC532" i="50"/>
  <c r="AC512" i="51" s="1"/>
  <c r="AT513" i="50"/>
  <c r="AT494" i="51" s="1"/>
  <c r="AH519" i="50"/>
  <c r="AH500" i="51" s="1"/>
  <c r="AP521" i="50"/>
  <c r="AP502" i="51" s="1"/>
  <c r="AX523" i="50"/>
  <c r="AX504" i="51" s="1"/>
  <c r="Z535" i="50"/>
  <c r="Z515" i="51" s="1"/>
  <c r="AQ515" i="50"/>
  <c r="AQ496" i="51" s="1"/>
  <c r="AA521" i="50"/>
  <c r="AA502" i="51" s="1"/>
  <c r="AW533" i="50"/>
  <c r="AW513" i="51" s="1"/>
  <c r="AQ513" i="50"/>
  <c r="AQ494" i="51" s="1"/>
  <c r="AA519" i="50"/>
  <c r="AA500" i="51" s="1"/>
  <c r="AY522" i="50"/>
  <c r="AY503" i="51" s="1"/>
  <c r="AY532" i="50"/>
  <c r="AY512" i="51" s="1"/>
  <c r="AF515" i="50"/>
  <c r="AF496" i="51" s="1"/>
  <c r="AV519" i="50"/>
  <c r="AV500" i="51" s="1"/>
  <c r="AB522" i="50"/>
  <c r="AB503" i="51" s="1"/>
  <c r="X530" i="50"/>
  <c r="X510" i="51" s="1"/>
  <c r="AF532" i="50"/>
  <c r="AF512" i="51" s="1"/>
  <c r="AN535" i="50"/>
  <c r="AN515" i="51" s="1"/>
  <c r="AS516" i="50"/>
  <c r="AS497" i="51" s="1"/>
  <c r="AK522" i="50"/>
  <c r="AK503" i="51" s="1"/>
  <c r="AS532" i="50"/>
  <c r="AS512" i="51" s="1"/>
  <c r="AO515" i="50"/>
  <c r="AO496" i="51" s="1"/>
  <c r="AO519" i="50"/>
  <c r="AO500" i="51" s="1"/>
  <c r="AK523" i="50"/>
  <c r="AK504" i="51" s="1"/>
  <c r="AK534" i="50"/>
  <c r="AK514" i="51" s="1"/>
  <c r="AL515" i="50"/>
  <c r="AL496" i="51" s="1"/>
  <c r="AT517" i="50"/>
  <c r="AT498" i="51" s="1"/>
  <c r="Z520" i="50"/>
  <c r="Z501" i="51" s="1"/>
  <c r="AH522" i="50"/>
  <c r="AH503" i="51" s="1"/>
  <c r="AD530" i="50"/>
  <c r="AD510" i="51" s="1"/>
  <c r="AL532" i="50"/>
  <c r="AL512" i="51" s="1"/>
  <c r="AT535" i="50"/>
  <c r="AT515" i="51" s="1"/>
  <c r="AU522" i="50"/>
  <c r="AU503" i="51" s="1"/>
  <c r="AA534" i="50"/>
  <c r="AA514" i="51" s="1"/>
  <c r="AY513" i="50"/>
  <c r="AY494" i="51" s="1"/>
  <c r="AE519" i="50"/>
  <c r="AE500" i="51" s="1"/>
  <c r="AE523" i="50"/>
  <c r="AE504" i="51" s="1"/>
  <c r="AI534" i="50"/>
  <c r="AI514" i="51" s="1"/>
  <c r="AJ515" i="50"/>
  <c r="AJ496" i="51" s="1"/>
  <c r="AR517" i="50"/>
  <c r="AR498" i="51" s="1"/>
  <c r="X520" i="50"/>
  <c r="X501" i="51" s="1"/>
  <c r="AF522" i="50"/>
  <c r="AF503" i="51" s="1"/>
  <c r="AB530" i="50"/>
  <c r="AB510" i="51" s="1"/>
  <c r="AJ532" i="50"/>
  <c r="AJ512" i="51" s="1"/>
  <c r="AR535" i="50"/>
  <c r="AR515" i="51" s="1"/>
  <c r="AS522" i="50"/>
  <c r="AS503" i="51" s="1"/>
  <c r="AG534" i="50"/>
  <c r="AG514" i="51" s="1"/>
  <c r="Y516" i="50"/>
  <c r="Y497" i="51" s="1"/>
  <c r="AW519" i="50"/>
  <c r="AW500" i="51" s="1"/>
  <c r="AW523" i="50"/>
  <c r="AW504" i="51" s="1"/>
  <c r="AO534" i="50"/>
  <c r="AO514" i="51" s="1"/>
  <c r="AP515" i="50"/>
  <c r="AP496" i="51" s="1"/>
  <c r="AX517" i="50"/>
  <c r="AX498" i="51" s="1"/>
  <c r="AD520" i="50"/>
  <c r="AD501" i="51" s="1"/>
  <c r="AL522" i="50"/>
  <c r="AL503" i="51" s="1"/>
  <c r="AT525" i="50"/>
  <c r="AT505" i="51" s="1"/>
  <c r="AH530" i="50"/>
  <c r="AH510" i="51" s="1"/>
  <c r="AP532" i="50"/>
  <c r="AP512" i="51" s="1"/>
  <c r="AX535" i="50"/>
  <c r="AX515" i="51" s="1"/>
  <c r="AQ517" i="50"/>
  <c r="AQ498" i="51" s="1"/>
  <c r="AA523" i="50"/>
  <c r="AA504" i="51" s="1"/>
  <c r="AE534" i="50"/>
  <c r="AE514" i="51" s="1"/>
  <c r="AT508" i="50"/>
  <c r="AT489" i="51" s="1"/>
  <c r="AU508" i="50"/>
  <c r="AU489" i="51" s="1"/>
  <c r="AX508" i="50"/>
  <c r="AX489" i="51" s="1"/>
  <c r="AV508" i="50"/>
  <c r="AV489" i="51" s="1"/>
  <c r="AD508" i="50"/>
  <c r="AD489" i="51" s="1"/>
  <c r="Y508" i="50"/>
  <c r="Y489" i="51" s="1"/>
  <c r="AH508" i="50"/>
  <c r="AH489" i="51" s="1"/>
  <c r="AG508" i="50"/>
  <c r="AG489" i="51" s="1"/>
  <c r="W508" i="50"/>
  <c r="W489" i="51" s="1"/>
  <c r="AF508" i="50"/>
  <c r="AF489" i="51" s="1"/>
  <c r="AI508" i="50"/>
  <c r="AI489" i="51" s="1"/>
  <c r="AJ508" i="50"/>
  <c r="AJ489" i="51" s="1"/>
  <c r="AQ508" i="50"/>
  <c r="AQ489" i="51" s="1"/>
  <c r="AC508" i="50"/>
  <c r="AC489" i="51" s="1"/>
  <c r="AR508" i="50"/>
  <c r="AR489" i="51" s="1"/>
  <c r="AB508" i="50"/>
  <c r="AB489" i="51" s="1"/>
  <c r="AA508" i="50"/>
  <c r="AA489" i="51" s="1"/>
  <c r="AK508" i="50"/>
  <c r="AK489" i="51" s="1"/>
  <c r="AP508" i="50"/>
  <c r="AP489" i="51" s="1"/>
  <c r="AW508" i="50"/>
  <c r="AW489" i="51" s="1"/>
  <c r="AE508" i="50"/>
  <c r="AE489" i="51" s="1"/>
  <c r="Z508" i="50"/>
  <c r="Z489" i="51" s="1"/>
  <c r="AN508" i="50"/>
  <c r="AN489" i="51" s="1"/>
  <c r="AS508" i="50"/>
  <c r="AS489" i="51" s="1"/>
  <c r="X508" i="50"/>
  <c r="X489" i="51" s="1"/>
  <c r="AM508" i="50"/>
  <c r="AM489" i="51" s="1"/>
  <c r="AL508" i="50"/>
  <c r="AL489" i="51" s="1"/>
  <c r="AO508" i="50"/>
  <c r="AO489" i="51" s="1"/>
  <c r="AN519" i="50"/>
  <c r="AN500" i="51" s="1"/>
  <c r="AO521" i="50"/>
  <c r="AO502" i="51" s="1"/>
  <c r="AG519" i="50"/>
  <c r="AG500" i="51" s="1"/>
  <c r="AD515" i="50"/>
  <c r="AD496" i="51" s="1"/>
  <c r="AL535" i="50"/>
  <c r="AL515" i="51" s="1"/>
  <c r="AM532" i="50"/>
  <c r="AM512" i="51" s="1"/>
  <c r="AI523" i="50"/>
  <c r="AI504" i="51" s="1"/>
  <c r="AV517" i="50"/>
  <c r="AV498" i="51" s="1"/>
  <c r="AC516" i="50"/>
  <c r="AC497" i="51" s="1"/>
  <c r="AW534" i="50"/>
  <c r="AW514" i="51" s="1"/>
  <c r="AP522" i="50"/>
  <c r="AP503" i="51" s="1"/>
  <c r="AT532" i="50"/>
  <c r="AT512" i="51" s="1"/>
  <c r="AE520" i="50"/>
  <c r="AE501" i="51" s="1"/>
  <c r="AB516" i="50"/>
  <c r="AB497" i="51" s="1"/>
  <c r="AW535" i="50"/>
  <c r="AW515" i="51" s="1"/>
  <c r="AX520" i="50"/>
  <c r="AX501" i="51" s="1"/>
  <c r="AY525" i="50"/>
  <c r="AY505" i="51" s="1"/>
  <c r="AN523" i="50"/>
  <c r="AN504" i="51" s="1"/>
  <c r="AR534" i="50"/>
  <c r="AR514" i="51" s="1"/>
  <c r="AO530" i="50"/>
  <c r="AO510" i="51" s="1"/>
  <c r="AD519" i="50"/>
  <c r="AD500" i="51" s="1"/>
  <c r="AU520" i="50"/>
  <c r="AU501" i="51" s="1"/>
  <c r="AU518" i="50"/>
  <c r="AU499" i="51" s="1"/>
  <c r="AQ522" i="50"/>
  <c r="AQ503" i="51" s="1"/>
  <c r="AU532" i="50"/>
  <c r="AU512" i="51" s="1"/>
  <c r="AB515" i="50"/>
  <c r="AB496" i="51" s="1"/>
  <c r="AR519" i="50"/>
  <c r="AR500" i="51" s="1"/>
  <c r="X522" i="50"/>
  <c r="X503" i="51" s="1"/>
  <c r="AB532" i="50"/>
  <c r="AB512" i="51" s="1"/>
  <c r="AJ535" i="50"/>
  <c r="AJ515" i="51" s="1"/>
  <c r="AK516" i="50"/>
  <c r="AK497" i="51" s="1"/>
  <c r="AC522" i="50"/>
  <c r="AC503" i="51" s="1"/>
  <c r="AO532" i="50"/>
  <c r="AO512" i="51" s="1"/>
  <c r="AG515" i="50"/>
  <c r="AG496" i="51" s="1"/>
  <c r="AK519" i="50"/>
  <c r="AK500" i="51" s="1"/>
  <c r="AC523" i="50"/>
  <c r="AC504" i="51" s="1"/>
  <c r="AC534" i="50"/>
  <c r="AC514" i="51" s="1"/>
  <c r="AH515" i="50"/>
  <c r="AH496" i="51" s="1"/>
  <c r="AX519" i="50"/>
  <c r="AX500" i="51" s="1"/>
  <c r="AD522" i="50"/>
  <c r="AD503" i="51" s="1"/>
  <c r="Z530" i="50"/>
  <c r="Z510" i="51" s="1"/>
  <c r="AH532" i="50"/>
  <c r="AH512" i="51" s="1"/>
  <c r="AP535" i="50"/>
  <c r="AP515" i="51" s="1"/>
  <c r="AY516" i="50"/>
  <c r="AY497" i="51" s="1"/>
  <c r="AM522" i="50"/>
  <c r="AM503" i="51" s="1"/>
  <c r="AQ532" i="50"/>
  <c r="AQ512" i="51" s="1"/>
  <c r="AA516" i="50"/>
  <c r="AA497" i="51" s="1"/>
  <c r="AY519" i="50"/>
  <c r="AY500" i="51" s="1"/>
  <c r="AU523" i="50"/>
  <c r="AU504" i="51" s="1"/>
  <c r="AA535" i="50"/>
  <c r="AA515" i="51" s="1"/>
  <c r="AV515" i="50"/>
  <c r="AV496" i="51" s="1"/>
  <c r="AB518" i="50"/>
  <c r="AB499" i="51" s="1"/>
  <c r="AJ520" i="50"/>
  <c r="AJ501" i="51" s="1"/>
  <c r="AR522" i="50"/>
  <c r="AR503" i="51" s="1"/>
  <c r="AN530" i="50"/>
  <c r="AN510" i="51" s="1"/>
  <c r="AV532" i="50"/>
  <c r="AV512" i="51" s="1"/>
  <c r="AW517" i="50"/>
  <c r="AW498" i="51" s="1"/>
  <c r="AS523" i="50"/>
  <c r="AS504" i="51" s="1"/>
  <c r="AG535" i="50"/>
  <c r="AG515" i="51" s="1"/>
  <c r="AW516" i="50"/>
  <c r="AW497" i="51" s="1"/>
  <c r="AO520" i="50"/>
  <c r="AO501" i="51" s="1"/>
  <c r="AS525" i="50"/>
  <c r="AS505" i="51" s="1"/>
  <c r="AS530" i="50"/>
  <c r="AS510" i="51" s="1"/>
  <c r="AK535" i="50"/>
  <c r="AK515" i="51" s="1"/>
  <c r="Z516" i="50"/>
  <c r="Z497" i="51" s="1"/>
  <c r="AH518" i="50"/>
  <c r="AH499" i="51" s="1"/>
  <c r="AP520" i="50"/>
  <c r="AP501" i="51" s="1"/>
  <c r="AX522" i="50"/>
  <c r="AX503" i="51" s="1"/>
  <c r="AT530" i="50"/>
  <c r="AT510" i="51" s="1"/>
  <c r="Z534" i="50"/>
  <c r="Z514" i="51" s="1"/>
  <c r="AM518" i="50"/>
  <c r="AM499" i="51" s="1"/>
  <c r="AE535" i="50"/>
  <c r="AE515" i="51" s="1"/>
  <c r="AQ533" i="50"/>
  <c r="AQ513" i="51" s="1"/>
  <c r="AE516" i="50"/>
  <c r="AE497" i="51" s="1"/>
  <c r="AA520" i="50"/>
  <c r="AA501" i="51" s="1"/>
  <c r="AI535" i="50"/>
  <c r="AI515" i="51" s="1"/>
  <c r="X516" i="50"/>
  <c r="X497" i="51" s="1"/>
  <c r="AF518" i="50"/>
  <c r="AF499" i="51" s="1"/>
  <c r="AN520" i="50"/>
  <c r="AN501" i="51" s="1"/>
  <c r="AV522" i="50"/>
  <c r="AV503" i="51" s="1"/>
  <c r="AR530" i="50"/>
  <c r="AR510" i="51" s="1"/>
  <c r="X534" i="50"/>
  <c r="X514" i="51" s="1"/>
  <c r="Y518" i="50"/>
  <c r="Y499" i="51" s="1"/>
  <c r="AO535" i="50"/>
  <c r="AO515" i="51" s="1"/>
  <c r="AW520" i="50"/>
  <c r="AW501" i="51" s="1"/>
  <c r="AW530" i="50"/>
  <c r="AW510" i="51" s="1"/>
  <c r="AS535" i="50"/>
  <c r="AS515" i="51" s="1"/>
  <c r="AD516" i="50"/>
  <c r="AD497" i="51" s="1"/>
  <c r="AL518" i="50"/>
  <c r="AL499" i="51" s="1"/>
  <c r="AT520" i="50"/>
  <c r="AT501" i="51" s="1"/>
  <c r="Z523" i="50"/>
  <c r="Z504" i="51" s="1"/>
  <c r="AX530" i="50"/>
  <c r="AX510" i="51" s="1"/>
  <c r="AD534" i="50"/>
  <c r="AD514" i="51" s="1"/>
  <c r="AY518" i="50"/>
  <c r="AY499" i="51" s="1"/>
  <c r="AE530" i="50"/>
  <c r="AE510" i="51" s="1"/>
  <c r="AM535" i="50"/>
  <c r="AM515" i="51" s="1"/>
  <c r="I502" i="50"/>
  <c r="K509" i="50"/>
  <c r="AE532" i="50"/>
  <c r="AE512" i="51" s="1"/>
  <c r="AV521" i="50"/>
  <c r="AV502" i="51" s="1"/>
  <c r="X532" i="50"/>
  <c r="X512" i="51" s="1"/>
  <c r="Y523" i="50"/>
  <c r="Y504" i="51" s="1"/>
  <c r="AQ516" i="50"/>
  <c r="AQ497" i="51" s="1"/>
  <c r="AB520" i="50"/>
  <c r="AB501" i="51" s="1"/>
  <c r="AF530" i="50"/>
  <c r="AF510" i="51" s="1"/>
  <c r="AG523" i="50"/>
  <c r="AG504" i="51" s="1"/>
  <c r="AC520" i="50"/>
  <c r="AC501" i="51" s="1"/>
  <c r="AT515" i="50"/>
  <c r="AT496" i="51" s="1"/>
  <c r="AX525" i="50"/>
  <c r="AX505" i="51" s="1"/>
  <c r="AM534" i="50"/>
  <c r="AM514" i="51" s="1"/>
  <c r="AJ518" i="50"/>
  <c r="AJ499" i="51" s="1"/>
  <c r="AW518" i="50"/>
  <c r="AW499" i="51" s="1"/>
  <c r="AD523" i="50"/>
  <c r="AD504" i="51" s="1"/>
  <c r="AH534" i="50"/>
  <c r="AH514" i="51" s="1"/>
  <c r="AM530" i="50"/>
  <c r="AM510" i="51" s="1"/>
  <c r="AI521" i="50"/>
  <c r="AI502" i="51" s="1"/>
  <c r="AR516" i="50"/>
  <c r="AR497" i="51" s="1"/>
  <c r="Y515" i="50"/>
  <c r="Y496" i="51" s="1"/>
  <c r="Y532" i="50"/>
  <c r="Y512" i="51" s="1"/>
  <c r="AL521" i="50"/>
  <c r="AL502" i="51" s="1"/>
  <c r="AY515" i="50"/>
  <c r="AY496" i="51" s="1"/>
  <c r="AQ519" i="50"/>
  <c r="AQ500" i="51" s="1"/>
  <c r="AQ523" i="50"/>
  <c r="AQ504" i="51" s="1"/>
  <c r="AY534" i="50"/>
  <c r="AY514" i="51" s="1"/>
  <c r="AR515" i="50"/>
  <c r="AR496" i="51" s="1"/>
  <c r="X518" i="50"/>
  <c r="X499" i="51" s="1"/>
  <c r="AF520" i="50"/>
  <c r="AF501" i="51" s="1"/>
  <c r="AN522" i="50"/>
  <c r="AN503" i="51" s="1"/>
  <c r="AV525" i="50"/>
  <c r="AV505" i="51" s="1"/>
  <c r="AJ530" i="50"/>
  <c r="AJ510" i="51" s="1"/>
  <c r="AR532" i="50"/>
  <c r="AR512" i="51" s="1"/>
  <c r="AV533" i="50"/>
  <c r="AV513" i="51" s="1"/>
  <c r="AO523" i="50"/>
  <c r="AO504" i="51" s="1"/>
  <c r="Y535" i="50"/>
  <c r="Y515" i="51" s="1"/>
  <c r="AO516" i="50"/>
  <c r="AO497" i="51" s="1"/>
  <c r="AG520" i="50"/>
  <c r="AG501" i="51" s="1"/>
  <c r="AK530" i="50"/>
  <c r="AK510" i="51" s="1"/>
  <c r="AX515" i="50"/>
  <c r="AX496" i="51" s="1"/>
  <c r="AD518" i="50"/>
  <c r="AD499" i="51" s="1"/>
  <c r="AL520" i="50"/>
  <c r="AL501" i="51" s="1"/>
  <c r="AP530" i="50"/>
  <c r="AP510" i="51" s="1"/>
  <c r="AR533" i="50"/>
  <c r="AR513" i="51" s="1"/>
  <c r="AE518" i="50"/>
  <c r="AE499" i="51" s="1"/>
  <c r="AY523" i="50"/>
  <c r="AY504" i="51" s="1"/>
  <c r="AU534" i="50"/>
  <c r="AU514" i="51" s="1"/>
  <c r="AU533" i="50"/>
  <c r="AU513" i="51" s="1"/>
  <c r="AY520" i="50"/>
  <c r="AY501" i="51" s="1"/>
  <c r="AU525" i="50"/>
  <c r="AU505" i="51" s="1"/>
  <c r="AI530" i="50"/>
  <c r="AI510" i="51" s="1"/>
  <c r="AJ516" i="50"/>
  <c r="AJ497" i="51" s="1"/>
  <c r="AR518" i="50"/>
  <c r="AR499" i="51" s="1"/>
  <c r="X521" i="50"/>
  <c r="X502" i="51" s="1"/>
  <c r="AF523" i="50"/>
  <c r="AF504" i="51" s="1"/>
  <c r="AJ534" i="50"/>
  <c r="AJ514" i="51" s="1"/>
  <c r="AS519" i="50"/>
  <c r="AS500" i="51" s="1"/>
  <c r="AW525" i="50"/>
  <c r="AW505" i="51" s="1"/>
  <c r="AC530" i="50"/>
  <c r="AC510" i="51" s="1"/>
  <c r="AC518" i="50"/>
  <c r="AC499" i="51" s="1"/>
  <c r="AS521" i="50"/>
  <c r="AS502" i="51" s="1"/>
  <c r="AP516" i="50"/>
  <c r="AP497" i="51" s="1"/>
  <c r="AX518" i="50"/>
  <c r="AX499" i="51" s="1"/>
  <c r="AD521" i="50"/>
  <c r="AD502" i="51" s="1"/>
  <c r="AL523" i="50"/>
  <c r="AL504" i="51" s="1"/>
  <c r="AP534" i="50"/>
  <c r="AP514" i="51" s="1"/>
  <c r="AA515" i="50"/>
  <c r="AA496" i="51" s="1"/>
  <c r="AI520" i="50"/>
  <c r="AI501" i="51" s="1"/>
  <c r="AE521" i="50"/>
  <c r="AE502" i="51" s="1"/>
  <c r="AQ530" i="50"/>
  <c r="AQ510" i="51" s="1"/>
  <c r="AN516" i="50"/>
  <c r="AN497" i="51" s="1"/>
  <c r="AV518" i="50"/>
  <c r="AV499" i="51" s="1"/>
  <c r="AB521" i="50"/>
  <c r="AB502" i="51" s="1"/>
  <c r="AJ523" i="50"/>
  <c r="AJ504" i="51" s="1"/>
  <c r="AN534" i="50"/>
  <c r="AN514" i="51" s="1"/>
  <c r="AW513" i="50"/>
  <c r="AW494" i="51" s="1"/>
  <c r="Y520" i="50"/>
  <c r="Y501" i="51" s="1"/>
  <c r="AW521" i="50"/>
  <c r="AW502" i="51" s="1"/>
  <c r="AC505" i="50"/>
  <c r="AC486" i="51" s="1"/>
  <c r="X505" i="50"/>
  <c r="X486" i="51" s="1"/>
  <c r="AG505" i="50"/>
  <c r="AG486" i="51" s="1"/>
  <c r="AB505" i="50"/>
  <c r="AB486" i="51" s="1"/>
  <c r="AJ505" i="50"/>
  <c r="AJ486" i="51" s="1"/>
  <c r="AX505" i="50"/>
  <c r="AX486" i="51" s="1"/>
  <c r="AQ505" i="50"/>
  <c r="AQ486" i="51" s="1"/>
  <c r="AH505" i="50"/>
  <c r="AH486" i="51" s="1"/>
  <c r="AW505" i="50"/>
  <c r="AW486" i="51" s="1"/>
  <c r="AL505" i="50"/>
  <c r="AL486" i="51" s="1"/>
  <c r="AA505" i="50"/>
  <c r="AA486" i="51" s="1"/>
  <c r="AE505" i="50"/>
  <c r="AE486" i="51" s="1"/>
  <c r="AS505" i="50"/>
  <c r="AS486" i="51" s="1"/>
  <c r="AN505" i="50"/>
  <c r="AN486" i="51" s="1"/>
  <c r="AR505" i="50"/>
  <c r="AR486" i="51" s="1"/>
  <c r="AT505" i="50"/>
  <c r="AT486" i="51" s="1"/>
  <c r="AM505" i="50"/>
  <c r="AM486" i="51" s="1"/>
  <c r="Z505" i="50"/>
  <c r="Z486" i="51" s="1"/>
  <c r="W505" i="50"/>
  <c r="W486" i="51" s="1"/>
  <c r="AO505" i="50"/>
  <c r="AO486" i="51" s="1"/>
  <c r="AK505" i="50"/>
  <c r="AK486" i="51" s="1"/>
  <c r="AU505" i="50"/>
  <c r="AU486" i="51" s="1"/>
  <c r="AD505" i="50"/>
  <c r="AD486" i="51" s="1"/>
  <c r="AI505" i="50"/>
  <c r="AI486" i="51" s="1"/>
  <c r="AV505" i="50"/>
  <c r="AV486" i="51" s="1"/>
  <c r="AF505" i="50"/>
  <c r="AF486" i="51" s="1"/>
  <c r="Y505" i="50"/>
  <c r="Y486" i="51" s="1"/>
  <c r="AP505" i="50"/>
  <c r="AP486" i="51" s="1"/>
  <c r="G488" i="51"/>
  <c r="AL506" i="50"/>
  <c r="AL487" i="51" s="1"/>
  <c r="AS506" i="50"/>
  <c r="AS487" i="51" s="1"/>
  <c r="AA506" i="50"/>
  <c r="AA487" i="51" s="1"/>
  <c r="AP506" i="50"/>
  <c r="AP487" i="51" s="1"/>
  <c r="AI506" i="50"/>
  <c r="AI487" i="51" s="1"/>
  <c r="AN506" i="50"/>
  <c r="AN487" i="51" s="1"/>
  <c r="AR506" i="50"/>
  <c r="AR487" i="51" s="1"/>
  <c r="Z506" i="50"/>
  <c r="Z487" i="51" s="1"/>
  <c r="AJ506" i="50"/>
  <c r="AJ487" i="51" s="1"/>
  <c r="X506" i="50"/>
  <c r="X487" i="51" s="1"/>
  <c r="AW506" i="50"/>
  <c r="AW487" i="51" s="1"/>
  <c r="AM506" i="50"/>
  <c r="AM487" i="51" s="1"/>
  <c r="AB506" i="50"/>
  <c r="AB487" i="51" s="1"/>
  <c r="AU506" i="50"/>
  <c r="AU487" i="51" s="1"/>
  <c r="Y506" i="50"/>
  <c r="Y487" i="51" s="1"/>
  <c r="AF506" i="50"/>
  <c r="AF487" i="51" s="1"/>
  <c r="AE506" i="50"/>
  <c r="AE487" i="51" s="1"/>
  <c r="AG506" i="50"/>
  <c r="AG487" i="51" s="1"/>
  <c r="AT506" i="50"/>
  <c r="AT487" i="51" s="1"/>
  <c r="AD506" i="50"/>
  <c r="AD487" i="51" s="1"/>
  <c r="AC506" i="50"/>
  <c r="AC487" i="51" s="1"/>
  <c r="AO506" i="50"/>
  <c r="AO487" i="51" s="1"/>
  <c r="W506" i="50"/>
  <c r="W487" i="51" s="1"/>
  <c r="AX506" i="50"/>
  <c r="AX487" i="51" s="1"/>
  <c r="AQ506" i="50"/>
  <c r="AQ487" i="51" s="1"/>
  <c r="AH506" i="50"/>
  <c r="AH487" i="51" s="1"/>
  <c r="AK506" i="50"/>
  <c r="AK487" i="51" s="1"/>
  <c r="AV506" i="50"/>
  <c r="AV487" i="51" s="1"/>
  <c r="C511" i="51"/>
  <c r="D511" i="51" s="1"/>
  <c r="G461" i="51"/>
  <c r="I509" i="50"/>
  <c r="AB507" i="50"/>
  <c r="AB488" i="51" s="1"/>
  <c r="AF507" i="50"/>
  <c r="AF488" i="51" s="1"/>
  <c r="Y507" i="50"/>
  <c r="Y488" i="51" s="1"/>
  <c r="AN507" i="50"/>
  <c r="AN488" i="51" s="1"/>
  <c r="AQ507" i="50"/>
  <c r="AQ488" i="51" s="1"/>
  <c r="AP507" i="50"/>
  <c r="AP488" i="51" s="1"/>
  <c r="AT507" i="50"/>
  <c r="AT488" i="51" s="1"/>
  <c r="AC507" i="50"/>
  <c r="AC488" i="51" s="1"/>
  <c r="AR507" i="50"/>
  <c r="AR488" i="51" s="1"/>
  <c r="Z507" i="50"/>
  <c r="Z488" i="51" s="1"/>
  <c r="AW507" i="50"/>
  <c r="AW488" i="51" s="1"/>
  <c r="AE507" i="50"/>
  <c r="AE488" i="51" s="1"/>
  <c r="AV507" i="50"/>
  <c r="AV488" i="51" s="1"/>
  <c r="AD507" i="50"/>
  <c r="AD488" i="51" s="1"/>
  <c r="AM507" i="50"/>
  <c r="AM488" i="51" s="1"/>
  <c r="AS507" i="50"/>
  <c r="AS488" i="51" s="1"/>
  <c r="AX507" i="50"/>
  <c r="AX488" i="51" s="1"/>
  <c r="AK507" i="50"/>
  <c r="AK488" i="51" s="1"/>
  <c r="AH507" i="50"/>
  <c r="AH488" i="51" s="1"/>
  <c r="W507" i="50"/>
  <c r="W488" i="51" s="1"/>
  <c r="AG507" i="50"/>
  <c r="AG488" i="51" s="1"/>
  <c r="X507" i="50"/>
  <c r="X488" i="51" s="1"/>
  <c r="AA507" i="50"/>
  <c r="AA488" i="51" s="1"/>
  <c r="AL507" i="50"/>
  <c r="AL488" i="51" s="1"/>
  <c r="AU507" i="50"/>
  <c r="AU488" i="51" s="1"/>
  <c r="AI507" i="50"/>
  <c r="AI488" i="51" s="1"/>
  <c r="AO507" i="50"/>
  <c r="AO488" i="51" s="1"/>
  <c r="AJ507" i="50"/>
  <c r="AJ488" i="51" s="1"/>
  <c r="C527" i="50"/>
  <c r="H527" i="50" s="1"/>
  <c r="G478" i="51"/>
  <c r="G497" i="50"/>
  <c r="C510" i="51"/>
  <c r="F510" i="51" s="1"/>
  <c r="G489" i="50"/>
  <c r="G491" i="50"/>
  <c r="G474" i="51"/>
  <c r="G479" i="51"/>
  <c r="G494" i="50"/>
  <c r="G466" i="51"/>
  <c r="C14" i="41"/>
  <c r="I263" i="50"/>
  <c r="F507" i="51"/>
  <c r="K507" i="51"/>
  <c r="E508" i="51"/>
  <c r="G508" i="51" s="1"/>
  <c r="H507" i="51"/>
  <c r="E507" i="51"/>
  <c r="G507" i="51" s="1"/>
  <c r="J507" i="51"/>
  <c r="D507" i="51"/>
  <c r="D508" i="51"/>
  <c r="I507" i="51"/>
  <c r="K508" i="51"/>
  <c r="I508" i="51"/>
  <c r="I534" i="50"/>
  <c r="K534" i="50"/>
  <c r="E534" i="50"/>
  <c r="J534" i="50"/>
  <c r="H534" i="50"/>
  <c r="F534" i="50"/>
  <c r="D534" i="50"/>
  <c r="K522" i="50"/>
  <c r="E522" i="50"/>
  <c r="J522" i="50"/>
  <c r="H522" i="50"/>
  <c r="F522" i="50"/>
  <c r="D522" i="50"/>
  <c r="I522" i="50"/>
  <c r="K518" i="50"/>
  <c r="E518" i="50"/>
  <c r="J518" i="50"/>
  <c r="H518" i="50"/>
  <c r="F518" i="50"/>
  <c r="I518" i="50"/>
  <c r="D518" i="50"/>
  <c r="H535" i="50"/>
  <c r="F535" i="50"/>
  <c r="D535" i="50"/>
  <c r="I535" i="50"/>
  <c r="K535" i="50"/>
  <c r="E535" i="50"/>
  <c r="J535" i="50"/>
  <c r="G252" i="51"/>
  <c r="I252" i="51"/>
  <c r="G266" i="51"/>
  <c r="I266" i="51"/>
  <c r="I259" i="50"/>
  <c r="G259" i="50"/>
  <c r="I260" i="50"/>
  <c r="G260" i="50"/>
  <c r="G259" i="51"/>
  <c r="I259" i="51"/>
  <c r="G473" i="51"/>
  <c r="G491" i="51"/>
  <c r="G276" i="50"/>
  <c r="I276" i="50"/>
  <c r="G267" i="50"/>
  <c r="I267" i="50"/>
  <c r="G463" i="51"/>
  <c r="C512" i="51"/>
  <c r="D500" i="51"/>
  <c r="F500" i="51"/>
  <c r="K500" i="51"/>
  <c r="E500" i="51"/>
  <c r="H500" i="51"/>
  <c r="J500" i="51"/>
  <c r="I500" i="51"/>
  <c r="J515" i="51"/>
  <c r="K515" i="51"/>
  <c r="F515" i="51"/>
  <c r="H515" i="51"/>
  <c r="I515" i="51"/>
  <c r="D515" i="51"/>
  <c r="E515" i="51"/>
  <c r="G515" i="51" s="1"/>
  <c r="K496" i="51"/>
  <c r="I496" i="51"/>
  <c r="H496" i="51"/>
  <c r="E496" i="51"/>
  <c r="D496" i="51"/>
  <c r="J496" i="51"/>
  <c r="F496" i="51"/>
  <c r="D495" i="51"/>
  <c r="E494" i="51"/>
  <c r="I494" i="51" s="1"/>
  <c r="E495" i="51"/>
  <c r="G495" i="51" s="1"/>
  <c r="J494" i="51"/>
  <c r="K494" i="51" s="1"/>
  <c r="H494" i="51"/>
  <c r="F494" i="51"/>
  <c r="D494" i="51"/>
  <c r="G251" i="51"/>
  <c r="I251" i="51"/>
  <c r="F5" i="44"/>
  <c r="G5" i="44" s="1"/>
  <c r="E6" i="44"/>
  <c r="G482" i="51"/>
  <c r="I268" i="50"/>
  <c r="G268" i="50"/>
  <c r="G262" i="50"/>
  <c r="I262" i="50"/>
  <c r="E264" i="50"/>
  <c r="J264" i="50"/>
  <c r="H264" i="50"/>
  <c r="F264" i="50"/>
  <c r="D264" i="50"/>
  <c r="K264" i="50"/>
  <c r="G493" i="50"/>
  <c r="I266" i="50"/>
  <c r="G266" i="50"/>
  <c r="I514" i="50"/>
  <c r="D513" i="50"/>
  <c r="D514" i="50"/>
  <c r="K514" i="50"/>
  <c r="J513" i="50"/>
  <c r="E513" i="50"/>
  <c r="I513" i="50" s="1"/>
  <c r="E514" i="50"/>
  <c r="G514" i="50" s="1"/>
  <c r="F513" i="50"/>
  <c r="H513" i="50"/>
  <c r="K513" i="50"/>
  <c r="AY524" i="50"/>
  <c r="AU524" i="50"/>
  <c r="AQ524" i="50"/>
  <c r="AM524" i="50"/>
  <c r="AI524" i="50"/>
  <c r="AE524" i="50"/>
  <c r="AA524" i="50"/>
  <c r="AX524" i="50"/>
  <c r="AT524" i="50"/>
  <c r="AP524" i="50"/>
  <c r="AL524" i="50"/>
  <c r="AH524" i="50"/>
  <c r="AD524" i="50"/>
  <c r="Z524" i="50"/>
  <c r="AW524" i="50"/>
  <c r="AS524" i="50"/>
  <c r="AO524" i="50"/>
  <c r="AK524" i="50"/>
  <c r="AG524" i="50"/>
  <c r="AC524" i="50"/>
  <c r="Y524" i="50"/>
  <c r="AV524" i="50"/>
  <c r="AR524" i="50"/>
  <c r="AN524" i="50"/>
  <c r="AJ524" i="50"/>
  <c r="AF524" i="50"/>
  <c r="AB524" i="50"/>
  <c r="X524" i="50"/>
  <c r="C524" i="50"/>
  <c r="H517" i="50"/>
  <c r="F517" i="50"/>
  <c r="D517" i="50"/>
  <c r="K517" i="50"/>
  <c r="J517" i="50"/>
  <c r="E517" i="50"/>
  <c r="I517" i="50" s="1"/>
  <c r="D515" i="50"/>
  <c r="I515" i="50"/>
  <c r="K515" i="50"/>
  <c r="E515" i="50"/>
  <c r="J515" i="50"/>
  <c r="H515" i="50"/>
  <c r="F515" i="50"/>
  <c r="E516" i="50"/>
  <c r="J516" i="50"/>
  <c r="H516" i="50"/>
  <c r="F516" i="50"/>
  <c r="D516" i="50"/>
  <c r="K516" i="50"/>
  <c r="I516" i="50"/>
  <c r="G262" i="51"/>
  <c r="I262" i="51"/>
  <c r="G477" i="51"/>
  <c r="I261" i="50"/>
  <c r="G261" i="50"/>
  <c r="G272" i="50"/>
  <c r="I272" i="50"/>
  <c r="G496" i="50"/>
  <c r="I257" i="51"/>
  <c r="G257" i="51"/>
  <c r="G258" i="50"/>
  <c r="I258" i="50"/>
  <c r="I269" i="50"/>
  <c r="G269" i="50"/>
  <c r="G510" i="50"/>
  <c r="F497" i="51"/>
  <c r="D497" i="51"/>
  <c r="I497" i="51"/>
  <c r="J497" i="51"/>
  <c r="H497" i="51"/>
  <c r="E497" i="51"/>
  <c r="K497" i="51"/>
  <c r="J503" i="51"/>
  <c r="F503" i="51"/>
  <c r="H503" i="51"/>
  <c r="D503" i="51"/>
  <c r="I503" i="51"/>
  <c r="K503" i="51"/>
  <c r="E503" i="51"/>
  <c r="D487" i="51"/>
  <c r="K487" i="51"/>
  <c r="I487" i="51"/>
  <c r="E487" i="51"/>
  <c r="J487" i="51"/>
  <c r="H487" i="51"/>
  <c r="F487" i="51"/>
  <c r="G471" i="51"/>
  <c r="G484" i="51"/>
  <c r="G498" i="50"/>
  <c r="G255" i="51"/>
  <c r="I255" i="51"/>
  <c r="I242" i="50"/>
  <c r="G242" i="50"/>
  <c r="E532" i="50"/>
  <c r="D532" i="50"/>
  <c r="J519" i="50"/>
  <c r="H519" i="50"/>
  <c r="F519" i="50"/>
  <c r="D519" i="50"/>
  <c r="I519" i="50"/>
  <c r="K519" i="50"/>
  <c r="E519" i="50"/>
  <c r="G519" i="50" s="1"/>
  <c r="C531" i="50"/>
  <c r="D526" i="50"/>
  <c r="E526" i="50"/>
  <c r="G526" i="50" s="1"/>
  <c r="H525" i="50"/>
  <c r="I526" i="50" s="1"/>
  <c r="J525" i="50"/>
  <c r="D525" i="50"/>
  <c r="F525" i="50"/>
  <c r="E525" i="50"/>
  <c r="K525" i="50" s="1"/>
  <c r="E520" i="50"/>
  <c r="J520" i="50"/>
  <c r="H520" i="50"/>
  <c r="F520" i="50"/>
  <c r="D520" i="50"/>
  <c r="I520" i="50"/>
  <c r="K520" i="50"/>
  <c r="J523" i="50"/>
  <c r="H523" i="50"/>
  <c r="F523" i="50"/>
  <c r="D523" i="50"/>
  <c r="I523" i="50"/>
  <c r="K523" i="50"/>
  <c r="E523" i="50"/>
  <c r="I264" i="51"/>
  <c r="G264" i="51"/>
  <c r="G490" i="51"/>
  <c r="G476" i="51"/>
  <c r="G464" i="51"/>
  <c r="G258" i="51"/>
  <c r="I258" i="51"/>
  <c r="I249" i="51"/>
  <c r="G249" i="51"/>
  <c r="I265" i="51"/>
  <c r="G265" i="51"/>
  <c r="G475" i="51"/>
  <c r="FB46" i="47"/>
  <c r="DR40" i="47"/>
  <c r="W1" i="47"/>
  <c r="FH47" i="47"/>
  <c r="DL39" i="47"/>
  <c r="DX41" i="47"/>
  <c r="EP44" i="47"/>
  <c r="DF38" i="47"/>
  <c r="EV45" i="47"/>
  <c r="EJ43" i="47"/>
  <c r="ED42" i="47"/>
  <c r="G501" i="50"/>
  <c r="H506" i="50"/>
  <c r="F506" i="50"/>
  <c r="D506" i="50"/>
  <c r="I506" i="50"/>
  <c r="K506" i="50"/>
  <c r="E506" i="50"/>
  <c r="J506" i="50"/>
  <c r="J498" i="51"/>
  <c r="D498" i="51"/>
  <c r="F498" i="51"/>
  <c r="E498" i="51"/>
  <c r="K498" i="51" s="1"/>
  <c r="H498" i="51"/>
  <c r="J504" i="51"/>
  <c r="K504" i="51"/>
  <c r="F504" i="51"/>
  <c r="E504" i="51"/>
  <c r="H504" i="51"/>
  <c r="I504" i="51"/>
  <c r="D504" i="51"/>
  <c r="J513" i="51"/>
  <c r="H513" i="51"/>
  <c r="E513" i="51"/>
  <c r="K513" i="51" s="1"/>
  <c r="D513" i="51"/>
  <c r="F513" i="51"/>
  <c r="E514" i="51"/>
  <c r="D514" i="51"/>
  <c r="J514" i="51"/>
  <c r="I514" i="51"/>
  <c r="F514" i="51"/>
  <c r="H514" i="51"/>
  <c r="K514" i="51"/>
  <c r="I256" i="51"/>
  <c r="G256" i="51"/>
  <c r="G273" i="50"/>
  <c r="I273" i="50"/>
  <c r="G271" i="50"/>
  <c r="I271" i="50"/>
  <c r="G495" i="50"/>
  <c r="I530" i="50"/>
  <c r="K530" i="50"/>
  <c r="E530" i="50"/>
  <c r="J530" i="50"/>
  <c r="H530" i="50"/>
  <c r="F530" i="50"/>
  <c r="D530" i="50"/>
  <c r="D521" i="50"/>
  <c r="I521" i="50"/>
  <c r="K521" i="50"/>
  <c r="E521" i="50"/>
  <c r="J521" i="50"/>
  <c r="H521" i="50"/>
  <c r="F521" i="50"/>
  <c r="E533" i="50"/>
  <c r="I533" i="50" s="1"/>
  <c r="J533" i="50"/>
  <c r="H533" i="50"/>
  <c r="F533" i="50"/>
  <c r="D533" i="50"/>
  <c r="K533" i="50"/>
  <c r="G270" i="50"/>
  <c r="I270" i="50"/>
  <c r="G275" i="50"/>
  <c r="I275" i="50"/>
  <c r="I505" i="50"/>
  <c r="K505" i="50"/>
  <c r="E505" i="50"/>
  <c r="J505" i="50"/>
  <c r="H505" i="50"/>
  <c r="F505" i="50"/>
  <c r="D505" i="50"/>
  <c r="I235" i="51"/>
  <c r="G235" i="51"/>
  <c r="E502" i="51"/>
  <c r="J502" i="51"/>
  <c r="H502" i="51"/>
  <c r="F502" i="51"/>
  <c r="D502" i="51"/>
  <c r="I502" i="51"/>
  <c r="K502" i="51"/>
  <c r="J501" i="51"/>
  <c r="I501" i="51"/>
  <c r="F501" i="51"/>
  <c r="H501" i="51"/>
  <c r="E501" i="51"/>
  <c r="K501" i="51"/>
  <c r="D501" i="51"/>
  <c r="C509" i="51"/>
  <c r="J505" i="51"/>
  <c r="K506" i="51" s="1"/>
  <c r="H505" i="51"/>
  <c r="E505" i="51"/>
  <c r="I505" i="51" s="1"/>
  <c r="F505" i="51"/>
  <c r="D505" i="51"/>
  <c r="E506" i="51"/>
  <c r="G506" i="51" s="1"/>
  <c r="D506" i="51"/>
  <c r="I506" i="51"/>
  <c r="J499" i="51"/>
  <c r="H499" i="51"/>
  <c r="F499" i="51"/>
  <c r="D499" i="51"/>
  <c r="I499" i="51"/>
  <c r="K499" i="51"/>
  <c r="E499" i="51"/>
  <c r="I260" i="51"/>
  <c r="G260" i="51"/>
  <c r="G253" i="51"/>
  <c r="I253" i="51"/>
  <c r="G267" i="51"/>
  <c r="I267" i="51"/>
  <c r="G480" i="51"/>
  <c r="G257" i="50"/>
  <c r="I257" i="50"/>
  <c r="I265" i="50"/>
  <c r="G265" i="50"/>
  <c r="G277" i="50"/>
  <c r="I277" i="50"/>
  <c r="G248" i="51"/>
  <c r="I248" i="51"/>
  <c r="G261" i="51"/>
  <c r="I261" i="51"/>
  <c r="I263" i="51"/>
  <c r="G263" i="51"/>
  <c r="J508" i="50"/>
  <c r="H508" i="50"/>
  <c r="F508" i="50"/>
  <c r="D508" i="50"/>
  <c r="I508" i="50"/>
  <c r="K508" i="50"/>
  <c r="E508" i="50"/>
  <c r="C26" i="47"/>
  <c r="D26" i="47" s="1"/>
  <c r="C25" i="47"/>
  <c r="H532" i="50" l="1"/>
  <c r="I532" i="50"/>
  <c r="G508" i="50"/>
  <c r="G506" i="50"/>
  <c r="F532" i="50"/>
  <c r="K532" i="50"/>
  <c r="J532" i="50"/>
  <c r="Z259" i="51"/>
  <c r="I529" i="50"/>
  <c r="J529" i="50"/>
  <c r="I527" i="50"/>
  <c r="D528" i="50"/>
  <c r="K510" i="51"/>
  <c r="E510" i="51"/>
  <c r="G510" i="51" s="1"/>
  <c r="F527" i="50"/>
  <c r="E529" i="50"/>
  <c r="F529" i="50"/>
  <c r="D529" i="50"/>
  <c r="I510" i="51"/>
  <c r="E527" i="50"/>
  <c r="K529" i="50"/>
  <c r="G523" i="50"/>
  <c r="K511" i="51"/>
  <c r="I511" i="51"/>
  <c r="G535" i="50"/>
  <c r="H510" i="51"/>
  <c r="J510" i="51"/>
  <c r="I528" i="50"/>
  <c r="D527" i="50"/>
  <c r="K528" i="50"/>
  <c r="D510" i="51"/>
  <c r="K527" i="50"/>
  <c r="E528" i="50"/>
  <c r="G528" i="50" s="1"/>
  <c r="E511" i="51"/>
  <c r="G499" i="51"/>
  <c r="J511" i="51"/>
  <c r="H511" i="51"/>
  <c r="F511" i="51"/>
  <c r="G500" i="51"/>
  <c r="K526" i="50"/>
  <c r="J527" i="50"/>
  <c r="I525" i="50"/>
  <c r="AK527" i="50"/>
  <c r="AK507" i="51" s="1"/>
  <c r="AC527" i="50"/>
  <c r="AC507" i="51" s="1"/>
  <c r="AP527" i="50"/>
  <c r="AP507" i="51" s="1"/>
  <c r="AG527" i="50"/>
  <c r="AG507" i="51" s="1"/>
  <c r="AT527" i="50"/>
  <c r="AT507" i="51" s="1"/>
  <c r="AO527" i="50"/>
  <c r="AO507" i="51" s="1"/>
  <c r="AN527" i="50"/>
  <c r="AN507" i="51" s="1"/>
  <c r="AQ527" i="50"/>
  <c r="AQ507" i="51" s="1"/>
  <c r="AS527" i="50"/>
  <c r="AS507" i="51" s="1"/>
  <c r="AM527" i="50"/>
  <c r="AM507" i="51" s="1"/>
  <c r="AV527" i="50"/>
  <c r="AV507" i="51" s="1"/>
  <c r="AX527" i="50"/>
  <c r="AX507" i="51" s="1"/>
  <c r="AW527" i="50"/>
  <c r="AW507" i="51" s="1"/>
  <c r="AR527" i="50"/>
  <c r="AR507" i="51" s="1"/>
  <c r="AY527" i="50"/>
  <c r="AY507" i="51" s="1"/>
  <c r="AI527" i="50"/>
  <c r="AI507" i="51" s="1"/>
  <c r="AD527" i="50"/>
  <c r="AD507" i="51" s="1"/>
  <c r="X527" i="50"/>
  <c r="X507" i="51" s="1"/>
  <c r="Z527" i="50"/>
  <c r="Z507" i="51" s="1"/>
  <c r="AJ527" i="50"/>
  <c r="AJ507" i="51" s="1"/>
  <c r="AL527" i="50"/>
  <c r="AL507" i="51" s="1"/>
  <c r="Y527" i="50"/>
  <c r="Y507" i="51" s="1"/>
  <c r="AF527" i="50"/>
  <c r="AF507" i="51" s="1"/>
  <c r="AE527" i="50"/>
  <c r="AE507" i="51" s="1"/>
  <c r="AU527" i="50"/>
  <c r="AU507" i="51" s="1"/>
  <c r="AH527" i="50"/>
  <c r="AH507" i="51" s="1"/>
  <c r="AB527" i="50"/>
  <c r="AB507" i="51" s="1"/>
  <c r="AA527" i="50"/>
  <c r="AA507" i="51" s="1"/>
  <c r="I513" i="51"/>
  <c r="I498" i="51"/>
  <c r="G520" i="50"/>
  <c r="AE531" i="50"/>
  <c r="AE511" i="51" s="1"/>
  <c r="AL531" i="50"/>
  <c r="AL511" i="51" s="1"/>
  <c r="AS531" i="50"/>
  <c r="AS511" i="51" s="1"/>
  <c r="AF531" i="50"/>
  <c r="AF511" i="51" s="1"/>
  <c r="AA531" i="50"/>
  <c r="AA511" i="51" s="1"/>
  <c r="AH531" i="50"/>
  <c r="AH511" i="51" s="1"/>
  <c r="AO531" i="50"/>
  <c r="AO511" i="51" s="1"/>
  <c r="AB531" i="50"/>
  <c r="AB511" i="51" s="1"/>
  <c r="AP531" i="50"/>
  <c r="AP511" i="51" s="1"/>
  <c r="Z531" i="50"/>
  <c r="Z511" i="51" s="1"/>
  <c r="AC531" i="50"/>
  <c r="AC511" i="51" s="1"/>
  <c r="AU531" i="50"/>
  <c r="AU511" i="51" s="1"/>
  <c r="AT531" i="50"/>
  <c r="AT511" i="51" s="1"/>
  <c r="Y531" i="50"/>
  <c r="Y511" i="51" s="1"/>
  <c r="AN531" i="50"/>
  <c r="AN511" i="51" s="1"/>
  <c r="AI531" i="50"/>
  <c r="AI511" i="51" s="1"/>
  <c r="AJ531" i="50"/>
  <c r="AJ511" i="51" s="1"/>
  <c r="AW531" i="50"/>
  <c r="AW511" i="51" s="1"/>
  <c r="AV531" i="50"/>
  <c r="AV511" i="51" s="1"/>
  <c r="AY531" i="50"/>
  <c r="AY511" i="51" s="1"/>
  <c r="AX531" i="50"/>
  <c r="AX511" i="51" s="1"/>
  <c r="AK531" i="50"/>
  <c r="AK511" i="51" s="1"/>
  <c r="AR531" i="50"/>
  <c r="AR511" i="51" s="1"/>
  <c r="AQ531" i="50"/>
  <c r="AQ511" i="51" s="1"/>
  <c r="AD531" i="50"/>
  <c r="AD511" i="51" s="1"/>
  <c r="AG531" i="50"/>
  <c r="AG511" i="51" s="1"/>
  <c r="X531" i="50"/>
  <c r="X511" i="51" s="1"/>
  <c r="AM531" i="50"/>
  <c r="AM511" i="51" s="1"/>
  <c r="G532" i="50"/>
  <c r="I495" i="51"/>
  <c r="K495" i="51"/>
  <c r="AD529" i="50"/>
  <c r="AD509" i="51" s="1"/>
  <c r="X529" i="50"/>
  <c r="X509" i="51" s="1"/>
  <c r="Z529" i="50"/>
  <c r="Z509" i="51" s="1"/>
  <c r="AQ529" i="50"/>
  <c r="AQ509" i="51" s="1"/>
  <c r="AK529" i="50"/>
  <c r="AK509" i="51" s="1"/>
  <c r="AE529" i="50"/>
  <c r="AE509" i="51" s="1"/>
  <c r="AY529" i="50"/>
  <c r="AY509" i="51" s="1"/>
  <c r="AG529" i="50"/>
  <c r="AG509" i="51" s="1"/>
  <c r="AA529" i="50"/>
  <c r="AA509" i="51" s="1"/>
  <c r="Y529" i="50"/>
  <c r="Y509" i="51" s="1"/>
  <c r="AV529" i="50"/>
  <c r="AV509" i="51" s="1"/>
  <c r="AH529" i="50"/>
  <c r="AH509" i="51" s="1"/>
  <c r="AM529" i="50"/>
  <c r="AM509" i="51" s="1"/>
  <c r="AR529" i="50"/>
  <c r="AR509" i="51" s="1"/>
  <c r="AI529" i="50"/>
  <c r="AI509" i="51" s="1"/>
  <c r="AO529" i="50"/>
  <c r="AO509" i="51" s="1"/>
  <c r="AC529" i="50"/>
  <c r="AC509" i="51" s="1"/>
  <c r="AL529" i="50"/>
  <c r="AL509" i="51" s="1"/>
  <c r="AF529" i="50"/>
  <c r="AF509" i="51" s="1"/>
  <c r="AS529" i="50"/>
  <c r="AS509" i="51" s="1"/>
  <c r="AT529" i="50"/>
  <c r="AT509" i="51" s="1"/>
  <c r="AN529" i="50"/>
  <c r="AN509" i="51" s="1"/>
  <c r="AP529" i="50"/>
  <c r="AP509" i="51" s="1"/>
  <c r="AJ529" i="50"/>
  <c r="AJ509" i="51" s="1"/>
  <c r="AW529" i="50"/>
  <c r="AW509" i="51" s="1"/>
  <c r="AB529" i="50"/>
  <c r="AB509" i="51" s="1"/>
  <c r="AU529" i="50"/>
  <c r="AU509" i="51" s="1"/>
  <c r="AX529" i="50"/>
  <c r="AX509" i="51" s="1"/>
  <c r="K505" i="51"/>
  <c r="G518" i="50"/>
  <c r="G513" i="51"/>
  <c r="G504" i="51"/>
  <c r="G494" i="51"/>
  <c r="G502" i="51"/>
  <c r="G505" i="50"/>
  <c r="G525" i="50"/>
  <c r="G516" i="50"/>
  <c r="G515" i="50"/>
  <c r="G517" i="50"/>
  <c r="G513" i="50"/>
  <c r="I264" i="50"/>
  <c r="G264" i="50"/>
  <c r="G496" i="51"/>
  <c r="G534" i="50"/>
  <c r="G501" i="51"/>
  <c r="G505" i="51"/>
  <c r="F509" i="51"/>
  <c r="I509" i="51"/>
  <c r="H509" i="51"/>
  <c r="E509" i="51"/>
  <c r="J509" i="51"/>
  <c r="D509" i="51"/>
  <c r="K509" i="51"/>
  <c r="G533" i="50"/>
  <c r="G521" i="50"/>
  <c r="G530" i="50"/>
  <c r="G514" i="51"/>
  <c r="G498" i="51"/>
  <c r="G487" i="51"/>
  <c r="G503" i="51"/>
  <c r="G497" i="51"/>
  <c r="E7" i="44"/>
  <c r="F6" i="44"/>
  <c r="G6" i="44" s="1"/>
  <c r="E512" i="51"/>
  <c r="F512" i="51"/>
  <c r="H512" i="51"/>
  <c r="K512" i="51"/>
  <c r="D512" i="51"/>
  <c r="J512" i="51"/>
  <c r="I512" i="51"/>
  <c r="G522" i="50"/>
  <c r="FH46" i="47"/>
  <c r="DX40" i="47"/>
  <c r="ED41" i="47"/>
  <c r="FN47" i="47"/>
  <c r="DR39" i="47"/>
  <c r="EP43" i="47"/>
  <c r="FB45" i="47"/>
  <c r="DL38" i="47"/>
  <c r="X1" i="47"/>
  <c r="Y1" i="47" s="1"/>
  <c r="Z1" i="47" s="1"/>
  <c r="AA1" i="47" s="1"/>
  <c r="AB1" i="47" s="1"/>
  <c r="AC1" i="47" s="1"/>
  <c r="AD1" i="47" s="1"/>
  <c r="AE1" i="47" s="1"/>
  <c r="AF1" i="47" s="1"/>
  <c r="EJ42" i="47"/>
  <c r="EV44" i="47"/>
  <c r="J531" i="50"/>
  <c r="H531" i="50"/>
  <c r="F531" i="50"/>
  <c r="D531" i="50"/>
  <c r="I531" i="50"/>
  <c r="K531" i="50"/>
  <c r="E531" i="50"/>
  <c r="C29" i="47"/>
  <c r="D29" i="47" s="1"/>
  <c r="C28" i="47"/>
  <c r="C15" i="41" l="1"/>
  <c r="G511" i="51"/>
  <c r="G527" i="50"/>
  <c r="G531" i="50"/>
  <c r="G529" i="50"/>
  <c r="G509" i="51"/>
  <c r="G512" i="51"/>
  <c r="E8" i="44"/>
  <c r="F7" i="44"/>
  <c r="G7" i="44" s="1"/>
  <c r="C31" i="47"/>
  <c r="F8" i="44" l="1"/>
  <c r="G8" i="44" s="1"/>
  <c r="E9" i="44"/>
  <c r="F9" i="44" l="1"/>
  <c r="G9" i="44" s="1"/>
  <c r="E10" i="44"/>
  <c r="E11" i="44" l="1"/>
  <c r="F11" i="44" s="1"/>
  <c r="G11" i="44" s="1"/>
  <c r="F10" i="44"/>
  <c r="G10" i="44" s="1"/>
  <c r="B5" i="44" l="1"/>
  <c r="G5" i="37" l="1"/>
  <c r="H5" i="37"/>
  <c r="I5" i="37"/>
  <c r="J5" i="37"/>
  <c r="K5" i="37"/>
  <c r="L5" i="37"/>
  <c r="M5" i="37"/>
  <c r="N5" i="37"/>
  <c r="O5" i="37"/>
  <c r="P5" i="37"/>
  <c r="G6" i="37"/>
  <c r="H6" i="37"/>
  <c r="I6" i="37"/>
  <c r="J6" i="37"/>
  <c r="K6" i="37"/>
  <c r="L6" i="37"/>
  <c r="M6" i="37"/>
  <c r="N6" i="37"/>
  <c r="O6" i="37"/>
  <c r="P6" i="37"/>
  <c r="G7" i="37"/>
  <c r="H7" i="37"/>
  <c r="I7" i="37"/>
  <c r="J7" i="37"/>
  <c r="K7" i="37"/>
  <c r="L7" i="37"/>
  <c r="M7" i="37"/>
  <c r="N7" i="37"/>
  <c r="O7" i="37"/>
  <c r="P7" i="37"/>
  <c r="G8" i="37"/>
  <c r="H8" i="37"/>
  <c r="I8" i="37"/>
  <c r="J8" i="37"/>
  <c r="K8" i="37"/>
  <c r="L8" i="37"/>
  <c r="M8" i="37"/>
  <c r="N8" i="37"/>
  <c r="O8" i="37"/>
  <c r="P8" i="37"/>
  <c r="G9" i="37"/>
  <c r="H9" i="37"/>
  <c r="I9" i="37"/>
  <c r="J9" i="37"/>
  <c r="K9" i="37"/>
  <c r="L9" i="37"/>
  <c r="M9" i="37"/>
  <c r="N9" i="37"/>
  <c r="O9" i="37"/>
  <c r="P9" i="37"/>
  <c r="G10" i="37"/>
  <c r="H10" i="37"/>
  <c r="I10" i="37"/>
  <c r="J10" i="37"/>
  <c r="K10" i="37"/>
  <c r="L10" i="37"/>
  <c r="M10" i="37"/>
  <c r="N10" i="37"/>
  <c r="O10" i="37"/>
  <c r="P10" i="37"/>
  <c r="G11" i="37"/>
  <c r="H11" i="37"/>
  <c r="I11" i="37"/>
  <c r="J11" i="37"/>
  <c r="K11" i="37"/>
  <c r="L11" i="37"/>
  <c r="M11" i="37"/>
  <c r="N11" i="37"/>
  <c r="O11" i="37"/>
  <c r="P11" i="37"/>
  <c r="G12" i="37"/>
  <c r="H12" i="37"/>
  <c r="I12" i="37"/>
  <c r="J12" i="37"/>
  <c r="K12" i="37"/>
  <c r="L12" i="37"/>
  <c r="M12" i="37"/>
  <c r="N12" i="37"/>
  <c r="O12" i="37"/>
  <c r="P12" i="37"/>
  <c r="G13" i="37"/>
  <c r="H13" i="37"/>
  <c r="I13" i="37"/>
  <c r="J13" i="37"/>
  <c r="K13" i="37"/>
  <c r="L13" i="37"/>
  <c r="M13" i="37"/>
  <c r="N13" i="37"/>
  <c r="O13" i="37"/>
  <c r="P13" i="37"/>
  <c r="G14" i="37"/>
  <c r="H14" i="37"/>
  <c r="I14" i="37"/>
  <c r="J14" i="37"/>
  <c r="K14" i="37"/>
  <c r="L14" i="37"/>
  <c r="M14" i="37"/>
  <c r="N14" i="37"/>
  <c r="O14" i="37"/>
  <c r="P14" i="37"/>
  <c r="G15" i="37"/>
  <c r="H15" i="37"/>
  <c r="I15" i="37"/>
  <c r="J15" i="37"/>
  <c r="K15" i="37"/>
  <c r="L15" i="37"/>
  <c r="M15" i="37"/>
  <c r="N15" i="37"/>
  <c r="O15" i="37"/>
  <c r="P15" i="37"/>
  <c r="G16" i="37"/>
  <c r="H16" i="37"/>
  <c r="I16" i="37"/>
  <c r="J16" i="37"/>
  <c r="K16" i="37"/>
  <c r="L16" i="37"/>
  <c r="M16" i="37"/>
  <c r="N16" i="37"/>
  <c r="O16" i="37"/>
  <c r="P16" i="37"/>
  <c r="G17" i="37"/>
  <c r="H17" i="37"/>
  <c r="I17" i="37"/>
  <c r="J17" i="37"/>
  <c r="K17" i="37"/>
  <c r="L17" i="37"/>
  <c r="M17" i="37"/>
  <c r="N17" i="37"/>
  <c r="O17" i="37"/>
  <c r="P17" i="37"/>
  <c r="G18" i="37"/>
  <c r="H18" i="37"/>
  <c r="I18" i="37"/>
  <c r="J18" i="37"/>
  <c r="K18" i="37"/>
  <c r="L18" i="37"/>
  <c r="M18" i="37"/>
  <c r="N18" i="37"/>
  <c r="O18" i="37"/>
  <c r="P18" i="37"/>
  <c r="G19" i="37"/>
  <c r="H19" i="37"/>
  <c r="I19" i="37"/>
  <c r="J19" i="37"/>
  <c r="K19" i="37"/>
  <c r="L19" i="37"/>
  <c r="M19" i="37"/>
  <c r="N19" i="37"/>
  <c r="O19" i="37"/>
  <c r="P19" i="37"/>
  <c r="G20" i="37"/>
  <c r="H20" i="37"/>
  <c r="I20" i="37"/>
  <c r="J20" i="37"/>
  <c r="K20" i="37"/>
  <c r="L20" i="37"/>
  <c r="M20" i="37"/>
  <c r="N20" i="37"/>
  <c r="O20" i="37"/>
  <c r="P20" i="37"/>
  <c r="G21" i="37"/>
  <c r="H21" i="37"/>
  <c r="I21" i="37"/>
  <c r="J21" i="37"/>
  <c r="K21" i="37"/>
  <c r="L21" i="37"/>
  <c r="M21" i="37"/>
  <c r="N21" i="37"/>
  <c r="O21" i="37"/>
  <c r="P21" i="37"/>
  <c r="G22" i="37"/>
  <c r="H22" i="37"/>
  <c r="I22" i="37"/>
  <c r="J22" i="37"/>
  <c r="K22" i="37"/>
  <c r="L22" i="37"/>
  <c r="M22" i="37"/>
  <c r="N22" i="37"/>
  <c r="O22" i="37"/>
  <c r="P22" i="37"/>
  <c r="G23" i="37"/>
  <c r="H23" i="37"/>
  <c r="I23" i="37"/>
  <c r="J23" i="37"/>
  <c r="K23" i="37"/>
  <c r="L23" i="37"/>
  <c r="M23" i="37"/>
  <c r="N23" i="37"/>
  <c r="O23" i="37"/>
  <c r="P23" i="37"/>
  <c r="G24" i="37"/>
  <c r="H24" i="37"/>
  <c r="I24" i="37"/>
  <c r="J24" i="37"/>
  <c r="K24" i="37"/>
  <c r="L24" i="37"/>
  <c r="M24" i="37"/>
  <c r="N24" i="37"/>
  <c r="O24" i="37"/>
  <c r="P24" i="37"/>
  <c r="G25" i="37"/>
  <c r="H25" i="37"/>
  <c r="I25" i="37"/>
  <c r="J25" i="37"/>
  <c r="K25" i="37"/>
  <c r="L25" i="37"/>
  <c r="M25" i="37"/>
  <c r="N25" i="37"/>
  <c r="O25" i="37"/>
  <c r="P25" i="37"/>
  <c r="G26" i="37"/>
  <c r="H26" i="37"/>
  <c r="I26" i="37"/>
  <c r="J26" i="37"/>
  <c r="K26" i="37"/>
  <c r="L26" i="37"/>
  <c r="M26" i="37"/>
  <c r="N26" i="37"/>
  <c r="O26" i="37"/>
  <c r="P26" i="37"/>
  <c r="G27" i="37"/>
  <c r="H27" i="37"/>
  <c r="I27" i="37"/>
  <c r="J27" i="37"/>
  <c r="K27" i="37"/>
  <c r="L27" i="37"/>
  <c r="M27" i="37"/>
  <c r="N27" i="37"/>
  <c r="O27" i="37"/>
  <c r="P27" i="37"/>
  <c r="G28" i="37"/>
  <c r="H28" i="37"/>
  <c r="I28" i="37"/>
  <c r="J28" i="37"/>
  <c r="K28" i="37"/>
  <c r="L28" i="37"/>
  <c r="M28" i="37"/>
  <c r="N28" i="37"/>
  <c r="O28" i="37"/>
  <c r="P28" i="37"/>
  <c r="G29" i="37"/>
  <c r="H29" i="37"/>
  <c r="I29" i="37"/>
  <c r="J29" i="37"/>
  <c r="K29" i="37"/>
  <c r="L29" i="37"/>
  <c r="M29" i="37"/>
  <c r="N29" i="37"/>
  <c r="O29" i="37"/>
  <c r="P29" i="37"/>
  <c r="G30" i="37"/>
  <c r="H30" i="37"/>
  <c r="I30" i="37"/>
  <c r="J30" i="37"/>
  <c r="K30" i="37"/>
  <c r="L30" i="37"/>
  <c r="M30" i="37"/>
  <c r="N30" i="37"/>
  <c r="O30" i="37"/>
  <c r="P30" i="37"/>
  <c r="G31" i="37"/>
  <c r="H31" i="37"/>
  <c r="I31" i="37"/>
  <c r="J31" i="37"/>
  <c r="K31" i="37"/>
  <c r="L31" i="37"/>
  <c r="M31" i="37"/>
  <c r="N31" i="37"/>
  <c r="O31" i="37"/>
  <c r="P31" i="37"/>
  <c r="G32" i="37"/>
  <c r="H32" i="37"/>
  <c r="I32" i="37"/>
  <c r="J32" i="37"/>
  <c r="K32" i="37"/>
  <c r="L32" i="37"/>
  <c r="M32" i="37"/>
  <c r="N32" i="37"/>
  <c r="O32" i="37"/>
  <c r="P32" i="37"/>
  <c r="G33" i="37"/>
  <c r="H33" i="37"/>
  <c r="I33" i="37"/>
  <c r="J33" i="37"/>
  <c r="K33" i="37"/>
  <c r="L33" i="37"/>
  <c r="M33" i="37"/>
  <c r="N33" i="37"/>
  <c r="O33" i="37"/>
  <c r="P33" i="37"/>
  <c r="G34" i="37"/>
  <c r="H34" i="37"/>
  <c r="I34" i="37"/>
  <c r="J34" i="37"/>
  <c r="K34" i="37"/>
  <c r="L34" i="37"/>
  <c r="M34" i="37"/>
  <c r="N34" i="37"/>
  <c r="O34" i="37"/>
  <c r="P34" i="37"/>
  <c r="G35" i="37"/>
  <c r="H35" i="37"/>
  <c r="I35" i="37"/>
  <c r="J35" i="37"/>
  <c r="K35" i="37"/>
  <c r="L35" i="37"/>
  <c r="M35" i="37"/>
  <c r="N35" i="37"/>
  <c r="O35" i="37"/>
  <c r="P35" i="37"/>
  <c r="G36" i="37"/>
  <c r="H36" i="37"/>
  <c r="I36" i="37"/>
  <c r="J36" i="37"/>
  <c r="K36" i="37"/>
  <c r="L36" i="37"/>
  <c r="M36" i="37"/>
  <c r="N36" i="37"/>
  <c r="O36" i="37"/>
  <c r="P36" i="37"/>
  <c r="G37" i="37"/>
  <c r="H37" i="37"/>
  <c r="I37" i="37"/>
  <c r="J37" i="37"/>
  <c r="K37" i="37"/>
  <c r="L37" i="37"/>
  <c r="M37" i="37"/>
  <c r="N37" i="37"/>
  <c r="O37" i="37"/>
  <c r="P37" i="37"/>
  <c r="G38" i="37"/>
  <c r="H38" i="37"/>
  <c r="I38" i="37"/>
  <c r="J38" i="37"/>
  <c r="K38" i="37"/>
  <c r="L38" i="37"/>
  <c r="M38" i="37"/>
  <c r="N38" i="37"/>
  <c r="O38" i="37"/>
  <c r="P38" i="37"/>
  <c r="G39" i="37"/>
  <c r="H39" i="37"/>
  <c r="I39" i="37"/>
  <c r="J39" i="37"/>
  <c r="K39" i="37"/>
  <c r="L39" i="37"/>
  <c r="M39" i="37"/>
  <c r="N39" i="37"/>
  <c r="O39" i="37"/>
  <c r="P39" i="37"/>
  <c r="G40" i="37"/>
  <c r="H40" i="37"/>
  <c r="I40" i="37"/>
  <c r="J40" i="37"/>
  <c r="K40" i="37"/>
  <c r="L40" i="37"/>
  <c r="M40" i="37"/>
  <c r="N40" i="37"/>
  <c r="O40" i="37"/>
  <c r="P40" i="37"/>
  <c r="G41" i="37"/>
  <c r="H41" i="37"/>
  <c r="I41" i="37"/>
  <c r="J41" i="37"/>
  <c r="K41" i="37"/>
  <c r="L41" i="37"/>
  <c r="M41" i="37"/>
  <c r="N41" i="37"/>
  <c r="O41" i="37"/>
  <c r="P41" i="37"/>
  <c r="G42" i="37"/>
  <c r="H42" i="37"/>
  <c r="I42" i="37"/>
  <c r="J42" i="37"/>
  <c r="K42" i="37"/>
  <c r="L42" i="37"/>
  <c r="M42" i="37"/>
  <c r="N42" i="37"/>
  <c r="O42" i="37"/>
  <c r="P42" i="37"/>
  <c r="G43" i="37"/>
  <c r="H43" i="37"/>
  <c r="I43" i="37"/>
  <c r="J43" i="37"/>
  <c r="K43" i="37"/>
  <c r="L43" i="37"/>
  <c r="M43" i="37"/>
  <c r="N43" i="37"/>
  <c r="O43" i="37"/>
  <c r="P43" i="37"/>
  <c r="G44" i="37"/>
  <c r="H44" i="37"/>
  <c r="I44" i="37"/>
  <c r="J44" i="37"/>
  <c r="K44" i="37"/>
  <c r="L44" i="37"/>
  <c r="M44" i="37"/>
  <c r="N44" i="37"/>
  <c r="O44" i="37"/>
  <c r="P44" i="37"/>
  <c r="G45" i="37"/>
  <c r="H45" i="37"/>
  <c r="I45" i="37"/>
  <c r="J45" i="37"/>
  <c r="K45" i="37"/>
  <c r="L45" i="37"/>
  <c r="M45" i="37"/>
  <c r="N45" i="37"/>
  <c r="O45" i="37"/>
  <c r="P45" i="37"/>
  <c r="G46" i="37"/>
  <c r="H46" i="37"/>
  <c r="I46" i="37"/>
  <c r="J46" i="37"/>
  <c r="K46" i="37"/>
  <c r="L46" i="37"/>
  <c r="M46" i="37"/>
  <c r="N46" i="37"/>
  <c r="O46" i="37"/>
  <c r="P46" i="37"/>
  <c r="G47" i="37"/>
  <c r="H47" i="37"/>
  <c r="I47" i="37"/>
  <c r="J47" i="37"/>
  <c r="K47" i="37"/>
  <c r="L47" i="37"/>
  <c r="M47" i="37"/>
  <c r="N47" i="37"/>
  <c r="O47" i="37"/>
  <c r="P47" i="37"/>
  <c r="G48" i="37"/>
  <c r="H48" i="37"/>
  <c r="I48" i="37"/>
  <c r="J48" i="37"/>
  <c r="K48" i="37"/>
  <c r="L48" i="37"/>
  <c r="M48" i="37"/>
  <c r="N48" i="37"/>
  <c r="O48" i="37"/>
  <c r="P48" i="37"/>
  <c r="G49" i="37"/>
  <c r="H49" i="37"/>
  <c r="I49" i="37"/>
  <c r="J49" i="37"/>
  <c r="K49" i="37"/>
  <c r="L49" i="37"/>
  <c r="M49" i="37"/>
  <c r="N49" i="37"/>
  <c r="O49" i="37"/>
  <c r="P49" i="37"/>
  <c r="G50" i="37"/>
  <c r="H50" i="37"/>
  <c r="I50" i="37"/>
  <c r="J50" i="37"/>
  <c r="K50" i="37"/>
  <c r="L50" i="37"/>
  <c r="M50" i="37"/>
  <c r="N50" i="37"/>
  <c r="O50" i="37"/>
  <c r="P50" i="37"/>
  <c r="G51" i="37"/>
  <c r="H51" i="37"/>
  <c r="I51" i="37"/>
  <c r="J51" i="37"/>
  <c r="K51" i="37"/>
  <c r="L51" i="37"/>
  <c r="M51" i="37"/>
  <c r="N51" i="37"/>
  <c r="O51" i="37"/>
  <c r="P51" i="37"/>
  <c r="G52" i="37"/>
  <c r="H52" i="37"/>
  <c r="I52" i="37"/>
  <c r="J52" i="37"/>
  <c r="K52" i="37"/>
  <c r="L52" i="37"/>
  <c r="M52" i="37"/>
  <c r="N52" i="37"/>
  <c r="O52" i="37"/>
  <c r="P52" i="37"/>
  <c r="G53" i="37"/>
  <c r="H53" i="37"/>
  <c r="I53" i="37"/>
  <c r="J53" i="37"/>
  <c r="K53" i="37"/>
  <c r="L53" i="37"/>
  <c r="M53" i="37"/>
  <c r="N53" i="37"/>
  <c r="O53" i="37"/>
  <c r="P53" i="37"/>
  <c r="G54" i="37"/>
  <c r="H54" i="37"/>
  <c r="I54" i="37"/>
  <c r="J54" i="37"/>
  <c r="K54" i="37"/>
  <c r="L54" i="37"/>
  <c r="M54" i="37"/>
  <c r="N54" i="37"/>
  <c r="O54" i="37"/>
  <c r="P54" i="37"/>
  <c r="G55" i="37"/>
  <c r="H55" i="37"/>
  <c r="I55" i="37"/>
  <c r="J55" i="37"/>
  <c r="K55" i="37"/>
  <c r="L55" i="37"/>
  <c r="M55" i="37"/>
  <c r="N55" i="37"/>
  <c r="O55" i="37"/>
  <c r="P55" i="37"/>
  <c r="G56" i="37"/>
  <c r="H56" i="37"/>
  <c r="I56" i="37"/>
  <c r="J56" i="37"/>
  <c r="K56" i="37"/>
  <c r="L56" i="37"/>
  <c r="M56" i="37"/>
  <c r="N56" i="37"/>
  <c r="O56" i="37"/>
  <c r="P56" i="37"/>
  <c r="G57" i="37"/>
  <c r="H57" i="37"/>
  <c r="I57" i="37"/>
  <c r="J57" i="37"/>
  <c r="K57" i="37"/>
  <c r="L57" i="37"/>
  <c r="M57" i="37"/>
  <c r="N57" i="37"/>
  <c r="O57" i="37"/>
  <c r="P57" i="37"/>
  <c r="G58" i="37"/>
  <c r="H58" i="37"/>
  <c r="I58" i="37"/>
  <c r="J58" i="37"/>
  <c r="K58" i="37"/>
  <c r="L58" i="37"/>
  <c r="M58" i="37"/>
  <c r="N58" i="37"/>
  <c r="O58" i="37"/>
  <c r="P58" i="37"/>
  <c r="G59" i="37"/>
  <c r="H59" i="37"/>
  <c r="I59" i="37"/>
  <c r="J59" i="37"/>
  <c r="K59" i="37"/>
  <c r="L59" i="37"/>
  <c r="M59" i="37"/>
  <c r="N59" i="37"/>
  <c r="O59" i="37"/>
  <c r="P59" i="37"/>
  <c r="G60" i="37"/>
  <c r="H60" i="37"/>
  <c r="I60" i="37"/>
  <c r="J60" i="37"/>
  <c r="K60" i="37"/>
  <c r="L60" i="37"/>
  <c r="M60" i="37"/>
  <c r="N60" i="37"/>
  <c r="O60" i="37"/>
  <c r="P60" i="37"/>
  <c r="G61" i="37"/>
  <c r="H61" i="37"/>
  <c r="I61" i="37"/>
  <c r="J61" i="37"/>
  <c r="K61" i="37"/>
  <c r="L61" i="37"/>
  <c r="M61" i="37"/>
  <c r="N61" i="37"/>
  <c r="O61" i="37"/>
  <c r="P61" i="37"/>
  <c r="G62" i="37"/>
  <c r="H62" i="37"/>
  <c r="I62" i="37"/>
  <c r="J62" i="37"/>
  <c r="K62" i="37"/>
  <c r="L62" i="37"/>
  <c r="M62" i="37"/>
  <c r="N62" i="37"/>
  <c r="O62" i="37"/>
  <c r="P62" i="37"/>
  <c r="G63" i="37"/>
  <c r="H63" i="37"/>
  <c r="I63" i="37"/>
  <c r="J63" i="37"/>
  <c r="K63" i="37"/>
  <c r="L63" i="37"/>
  <c r="M63" i="37"/>
  <c r="N63" i="37"/>
  <c r="O63" i="37"/>
  <c r="P63" i="37"/>
  <c r="G64" i="37"/>
  <c r="H64" i="37"/>
  <c r="I64" i="37"/>
  <c r="J64" i="37"/>
  <c r="K64" i="37"/>
  <c r="L64" i="37"/>
  <c r="M64" i="37"/>
  <c r="N64" i="37"/>
  <c r="O64" i="37"/>
  <c r="P64" i="37"/>
  <c r="G65" i="37"/>
  <c r="H65" i="37"/>
  <c r="I65" i="37"/>
  <c r="J65" i="37"/>
  <c r="K65" i="37"/>
  <c r="L65" i="37"/>
  <c r="M65" i="37"/>
  <c r="N65" i="37"/>
  <c r="O65" i="37"/>
  <c r="P65" i="37"/>
  <c r="G66" i="37"/>
  <c r="H66" i="37"/>
  <c r="I66" i="37"/>
  <c r="J66" i="37"/>
  <c r="K66" i="37"/>
  <c r="L66" i="37"/>
  <c r="M66" i="37"/>
  <c r="N66" i="37"/>
  <c r="O66" i="37"/>
  <c r="P66" i="37"/>
  <c r="G67" i="37"/>
  <c r="H67" i="37"/>
  <c r="I67" i="37"/>
  <c r="J67" i="37"/>
  <c r="K67" i="37"/>
  <c r="L67" i="37"/>
  <c r="M67" i="37"/>
  <c r="N67" i="37"/>
  <c r="O67" i="37"/>
  <c r="P67" i="37"/>
  <c r="G68" i="37"/>
  <c r="H68" i="37"/>
  <c r="I68" i="37"/>
  <c r="J68" i="37"/>
  <c r="K68" i="37"/>
  <c r="L68" i="37"/>
  <c r="M68" i="37"/>
  <c r="N68" i="37"/>
  <c r="O68" i="37"/>
  <c r="P68" i="37"/>
  <c r="G69" i="37"/>
  <c r="H69" i="37"/>
  <c r="I69" i="37"/>
  <c r="J69" i="37"/>
  <c r="K69" i="37"/>
  <c r="L69" i="37"/>
  <c r="M69" i="37"/>
  <c r="N69" i="37"/>
  <c r="O69" i="37"/>
  <c r="P69" i="37"/>
  <c r="G70" i="37"/>
  <c r="H70" i="37"/>
  <c r="I70" i="37"/>
  <c r="J70" i="37"/>
  <c r="K70" i="37"/>
  <c r="L70" i="37"/>
  <c r="M70" i="37"/>
  <c r="N70" i="37"/>
  <c r="O70" i="37"/>
  <c r="P70" i="37"/>
  <c r="G71" i="37"/>
  <c r="H71" i="37"/>
  <c r="I71" i="37"/>
  <c r="J71" i="37"/>
  <c r="K71" i="37"/>
  <c r="L71" i="37"/>
  <c r="M71" i="37"/>
  <c r="N71" i="37"/>
  <c r="O71" i="37"/>
  <c r="P71" i="37"/>
  <c r="G72" i="37"/>
  <c r="H72" i="37"/>
  <c r="I72" i="37"/>
  <c r="J72" i="37"/>
  <c r="K72" i="37"/>
  <c r="L72" i="37"/>
  <c r="M72" i="37"/>
  <c r="N72" i="37"/>
  <c r="O72" i="37"/>
  <c r="P72" i="37"/>
  <c r="G73" i="37"/>
  <c r="H73" i="37"/>
  <c r="I73" i="37"/>
  <c r="J73" i="37"/>
  <c r="K73" i="37"/>
  <c r="L73" i="37"/>
  <c r="M73" i="37"/>
  <c r="N73" i="37"/>
  <c r="O73" i="37"/>
  <c r="P73" i="37"/>
  <c r="G74" i="37"/>
  <c r="H74" i="37"/>
  <c r="I74" i="37"/>
  <c r="J74" i="37"/>
  <c r="K74" i="37"/>
  <c r="L74" i="37"/>
  <c r="M74" i="37"/>
  <c r="N74" i="37"/>
  <c r="O74" i="37"/>
  <c r="P74" i="37"/>
  <c r="G75" i="37"/>
  <c r="H75" i="37"/>
  <c r="I75" i="37"/>
  <c r="J75" i="37"/>
  <c r="K75" i="37"/>
  <c r="L75" i="37"/>
  <c r="M75" i="37"/>
  <c r="N75" i="37"/>
  <c r="O75" i="37"/>
  <c r="P75" i="37"/>
  <c r="G76" i="37"/>
  <c r="H76" i="37"/>
  <c r="I76" i="37"/>
  <c r="J76" i="37"/>
  <c r="K76" i="37"/>
  <c r="L76" i="37"/>
  <c r="M76" i="37"/>
  <c r="N76" i="37"/>
  <c r="O76" i="37"/>
  <c r="P76" i="37"/>
  <c r="G77" i="37"/>
  <c r="H77" i="37"/>
  <c r="I77" i="37"/>
  <c r="J77" i="37"/>
  <c r="K77" i="37"/>
  <c r="L77" i="37"/>
  <c r="M77" i="37"/>
  <c r="N77" i="37"/>
  <c r="O77" i="37"/>
  <c r="P77" i="37"/>
  <c r="G78" i="37"/>
  <c r="H78" i="37"/>
  <c r="I78" i="37"/>
  <c r="J78" i="37"/>
  <c r="K78" i="37"/>
  <c r="L78" i="37"/>
  <c r="M78" i="37"/>
  <c r="N78" i="37"/>
  <c r="O78" i="37"/>
  <c r="P78" i="37"/>
  <c r="G79" i="37"/>
  <c r="H79" i="37"/>
  <c r="I79" i="37"/>
  <c r="J79" i="37"/>
  <c r="K79" i="37"/>
  <c r="L79" i="37"/>
  <c r="M79" i="37"/>
  <c r="N79" i="37"/>
  <c r="O79" i="37"/>
  <c r="P79" i="37"/>
  <c r="G80" i="37"/>
  <c r="H80" i="37"/>
  <c r="I80" i="37"/>
  <c r="J80" i="37"/>
  <c r="K80" i="37"/>
  <c r="L80" i="37"/>
  <c r="M80" i="37"/>
  <c r="N80" i="37"/>
  <c r="O80" i="37"/>
  <c r="P80" i="37"/>
  <c r="G81" i="37"/>
  <c r="H81" i="37"/>
  <c r="I81" i="37"/>
  <c r="J81" i="37"/>
  <c r="K81" i="37"/>
  <c r="L81" i="37"/>
  <c r="M81" i="37"/>
  <c r="N81" i="37"/>
  <c r="O81" i="37"/>
  <c r="P81" i="37"/>
  <c r="G82" i="37"/>
  <c r="H82" i="37"/>
  <c r="I82" i="37"/>
  <c r="J82" i="37"/>
  <c r="K82" i="37"/>
  <c r="L82" i="37"/>
  <c r="M82" i="37"/>
  <c r="N82" i="37"/>
  <c r="O82" i="37"/>
  <c r="P82" i="37"/>
  <c r="G83" i="37"/>
  <c r="H83" i="37"/>
  <c r="I83" i="37"/>
  <c r="J83" i="37"/>
  <c r="K83" i="37"/>
  <c r="L83" i="37"/>
  <c r="M83" i="37"/>
  <c r="N83" i="37"/>
  <c r="O83" i="37"/>
  <c r="P83" i="37"/>
  <c r="G84" i="37"/>
  <c r="H84" i="37"/>
  <c r="I84" i="37"/>
  <c r="J84" i="37"/>
  <c r="K84" i="37"/>
  <c r="L84" i="37"/>
  <c r="M84" i="37"/>
  <c r="N84" i="37"/>
  <c r="O84" i="37"/>
  <c r="P84" i="37"/>
  <c r="G85" i="37"/>
  <c r="H85" i="37"/>
  <c r="I85" i="37"/>
  <c r="J85" i="37"/>
  <c r="K85" i="37"/>
  <c r="L85" i="37"/>
  <c r="M85" i="37"/>
  <c r="N85" i="37"/>
  <c r="O85" i="37"/>
  <c r="P85" i="37"/>
  <c r="G86" i="37"/>
  <c r="H86" i="37"/>
  <c r="I86" i="37"/>
  <c r="J86" i="37"/>
  <c r="K86" i="37"/>
  <c r="L86" i="37"/>
  <c r="M86" i="37"/>
  <c r="N86" i="37"/>
  <c r="O86" i="37"/>
  <c r="P86" i="37"/>
  <c r="G87" i="37"/>
  <c r="H87" i="37"/>
  <c r="I87" i="37"/>
  <c r="J87" i="37"/>
  <c r="K87" i="37"/>
  <c r="L87" i="37"/>
  <c r="M87" i="37"/>
  <c r="N87" i="37"/>
  <c r="O87" i="37"/>
  <c r="P87" i="37"/>
  <c r="G88" i="37"/>
  <c r="H88" i="37"/>
  <c r="I88" i="37"/>
  <c r="J88" i="37"/>
  <c r="K88" i="37"/>
  <c r="L88" i="37"/>
  <c r="M88" i="37"/>
  <c r="N88" i="37"/>
  <c r="O88" i="37"/>
  <c r="P88" i="37"/>
  <c r="G89" i="37"/>
  <c r="H89" i="37"/>
  <c r="I89" i="37"/>
  <c r="J89" i="37"/>
  <c r="K89" i="37"/>
  <c r="L89" i="37"/>
  <c r="M89" i="37"/>
  <c r="N89" i="37"/>
  <c r="O89" i="37"/>
  <c r="P89" i="37"/>
  <c r="G90" i="37"/>
  <c r="H90" i="37"/>
  <c r="I90" i="37"/>
  <c r="J90" i="37"/>
  <c r="K90" i="37"/>
  <c r="L90" i="37"/>
  <c r="M90" i="37"/>
  <c r="N90" i="37"/>
  <c r="O90" i="37"/>
  <c r="P90" i="37"/>
  <c r="G91" i="37"/>
  <c r="H91" i="37"/>
  <c r="I91" i="37"/>
  <c r="J91" i="37"/>
  <c r="K91" i="37"/>
  <c r="L91" i="37"/>
  <c r="M91" i="37"/>
  <c r="N91" i="37"/>
  <c r="O91" i="37"/>
  <c r="P91" i="37"/>
  <c r="G92" i="37"/>
  <c r="H92" i="37"/>
  <c r="I92" i="37"/>
  <c r="J92" i="37"/>
  <c r="K92" i="37"/>
  <c r="L92" i="37"/>
  <c r="M92" i="37"/>
  <c r="N92" i="37"/>
  <c r="O92" i="37"/>
  <c r="P92" i="37"/>
  <c r="G93" i="37"/>
  <c r="H93" i="37"/>
  <c r="I93" i="37"/>
  <c r="J93" i="37"/>
  <c r="K93" i="37"/>
  <c r="L93" i="37"/>
  <c r="M93" i="37"/>
  <c r="N93" i="37"/>
  <c r="O93" i="37"/>
  <c r="P93" i="37"/>
  <c r="G94" i="37"/>
  <c r="H94" i="37"/>
  <c r="I94" i="37"/>
  <c r="J94" i="37"/>
  <c r="K94" i="37"/>
  <c r="L94" i="37"/>
  <c r="M94" i="37"/>
  <c r="N94" i="37"/>
  <c r="O94" i="37"/>
  <c r="P94" i="37"/>
  <c r="G95" i="37"/>
  <c r="H95" i="37"/>
  <c r="I95" i="37"/>
  <c r="J95" i="37"/>
  <c r="K95" i="37"/>
  <c r="L95" i="37"/>
  <c r="M95" i="37"/>
  <c r="N95" i="37"/>
  <c r="O95" i="37"/>
  <c r="P95" i="37"/>
  <c r="G96" i="37"/>
  <c r="H96" i="37"/>
  <c r="I96" i="37"/>
  <c r="J96" i="37"/>
  <c r="K96" i="37"/>
  <c r="L96" i="37"/>
  <c r="M96" i="37"/>
  <c r="N96" i="37"/>
  <c r="O96" i="37"/>
  <c r="P96" i="37"/>
  <c r="G97" i="37"/>
  <c r="H97" i="37"/>
  <c r="I97" i="37"/>
  <c r="J97" i="37"/>
  <c r="K97" i="37"/>
  <c r="L97" i="37"/>
  <c r="M97" i="37"/>
  <c r="N97" i="37"/>
  <c r="O97" i="37"/>
  <c r="P97" i="37"/>
  <c r="G98" i="37"/>
  <c r="H98" i="37"/>
  <c r="I98" i="37"/>
  <c r="J98" i="37"/>
  <c r="K98" i="37"/>
  <c r="L98" i="37"/>
  <c r="M98" i="37"/>
  <c r="N98" i="37"/>
  <c r="O98" i="37"/>
  <c r="P98" i="37"/>
  <c r="G99" i="37"/>
  <c r="H99" i="37"/>
  <c r="I99" i="37"/>
  <c r="J99" i="37"/>
  <c r="K99" i="37"/>
  <c r="L99" i="37"/>
  <c r="M99" i="37"/>
  <c r="N99" i="37"/>
  <c r="O99" i="37"/>
  <c r="P99" i="37"/>
  <c r="G100" i="37"/>
  <c r="H100" i="37"/>
  <c r="I100" i="37"/>
  <c r="J100" i="37"/>
  <c r="K100" i="37"/>
  <c r="L100" i="37"/>
  <c r="M100" i="37"/>
  <c r="N100" i="37"/>
  <c r="O100" i="37"/>
  <c r="P100" i="37"/>
  <c r="G101" i="37"/>
  <c r="H101" i="37"/>
  <c r="I101" i="37"/>
  <c r="J101" i="37"/>
  <c r="K101" i="37"/>
  <c r="L101" i="37"/>
  <c r="M101" i="37"/>
  <c r="N101" i="37"/>
  <c r="O101" i="37"/>
  <c r="P101" i="37"/>
  <c r="G102" i="37"/>
  <c r="H102" i="37"/>
  <c r="I102" i="37"/>
  <c r="J102" i="37"/>
  <c r="K102" i="37"/>
  <c r="L102" i="37"/>
  <c r="M102" i="37"/>
  <c r="N102" i="37"/>
  <c r="O102" i="37"/>
  <c r="P102" i="37"/>
  <c r="G103" i="37"/>
  <c r="H103" i="37"/>
  <c r="I103" i="37"/>
  <c r="J103" i="37"/>
  <c r="K103" i="37"/>
  <c r="L103" i="37"/>
  <c r="M103" i="37"/>
  <c r="N103" i="37"/>
  <c r="O103" i="37"/>
  <c r="P103" i="37"/>
  <c r="G104" i="37"/>
  <c r="H104" i="37"/>
  <c r="I104" i="37"/>
  <c r="J104" i="37"/>
  <c r="K104" i="37"/>
  <c r="L104" i="37"/>
  <c r="M104" i="37"/>
  <c r="N104" i="37"/>
  <c r="O104" i="37"/>
  <c r="P104" i="37"/>
  <c r="G105" i="37"/>
  <c r="H105" i="37"/>
  <c r="I105" i="37"/>
  <c r="J105" i="37"/>
  <c r="K105" i="37"/>
  <c r="L105" i="37"/>
  <c r="M105" i="37"/>
  <c r="N105" i="37"/>
  <c r="O105" i="37"/>
  <c r="P105" i="37"/>
  <c r="G106" i="37"/>
  <c r="H106" i="37"/>
  <c r="I106" i="37"/>
  <c r="J106" i="37"/>
  <c r="K106" i="37"/>
  <c r="L106" i="37"/>
  <c r="M106" i="37"/>
  <c r="N106" i="37"/>
  <c r="O106" i="37"/>
  <c r="P106" i="37"/>
  <c r="G107" i="37"/>
  <c r="H107" i="37"/>
  <c r="I107" i="37"/>
  <c r="J107" i="37"/>
  <c r="K107" i="37"/>
  <c r="L107" i="37"/>
  <c r="M107" i="37"/>
  <c r="N107" i="37"/>
  <c r="O107" i="37"/>
  <c r="P107" i="37"/>
  <c r="G108" i="37"/>
  <c r="H108" i="37"/>
  <c r="I108" i="37"/>
  <c r="J108" i="37"/>
  <c r="K108" i="37"/>
  <c r="L108" i="37"/>
  <c r="M108" i="37"/>
  <c r="N108" i="37"/>
  <c r="O108" i="37"/>
  <c r="P108" i="37"/>
  <c r="G109" i="37"/>
  <c r="H109" i="37"/>
  <c r="I109" i="37"/>
  <c r="J109" i="37"/>
  <c r="K109" i="37"/>
  <c r="L109" i="37"/>
  <c r="M109" i="37"/>
  <c r="N109" i="37"/>
  <c r="O109" i="37"/>
  <c r="P109" i="37"/>
  <c r="G110" i="37"/>
  <c r="H110" i="37"/>
  <c r="I110" i="37"/>
  <c r="J110" i="37"/>
  <c r="K110" i="37"/>
  <c r="L110" i="37"/>
  <c r="M110" i="37"/>
  <c r="N110" i="37"/>
  <c r="O110" i="37"/>
  <c r="P110" i="37"/>
  <c r="G111" i="37"/>
  <c r="H111" i="37"/>
  <c r="I111" i="37"/>
  <c r="J111" i="37"/>
  <c r="K111" i="37"/>
  <c r="L111" i="37"/>
  <c r="M111" i="37"/>
  <c r="N111" i="37"/>
  <c r="O111" i="37"/>
  <c r="P111" i="37"/>
  <c r="G112" i="37"/>
  <c r="H112" i="37"/>
  <c r="I112" i="37"/>
  <c r="J112" i="37"/>
  <c r="K112" i="37"/>
  <c r="L112" i="37"/>
  <c r="M112" i="37"/>
  <c r="N112" i="37"/>
  <c r="O112" i="37"/>
  <c r="P112" i="37"/>
  <c r="G113" i="37"/>
  <c r="H113" i="37"/>
  <c r="I113" i="37"/>
  <c r="J113" i="37"/>
  <c r="K113" i="37"/>
  <c r="L113" i="37"/>
  <c r="M113" i="37"/>
  <c r="N113" i="37"/>
  <c r="O113" i="37"/>
  <c r="P113" i="37"/>
  <c r="G114" i="37"/>
  <c r="H114" i="37"/>
  <c r="I114" i="37"/>
  <c r="J114" i="37"/>
  <c r="K114" i="37"/>
  <c r="L114" i="37"/>
  <c r="M114" i="37"/>
  <c r="N114" i="37"/>
  <c r="O114" i="37"/>
  <c r="P114" i="37"/>
  <c r="G115" i="37"/>
  <c r="H115" i="37"/>
  <c r="I115" i="37"/>
  <c r="J115" i="37"/>
  <c r="K115" i="37"/>
  <c r="L115" i="37"/>
  <c r="M115" i="37"/>
  <c r="N115" i="37"/>
  <c r="O115" i="37"/>
  <c r="P115" i="37"/>
  <c r="G116" i="37"/>
  <c r="H116" i="37"/>
  <c r="I116" i="37"/>
  <c r="J116" i="37"/>
  <c r="K116" i="37"/>
  <c r="L116" i="37"/>
  <c r="M116" i="37"/>
  <c r="N116" i="37"/>
  <c r="O116" i="37"/>
  <c r="P116" i="37"/>
  <c r="G117" i="37"/>
  <c r="H117" i="37"/>
  <c r="I117" i="37"/>
  <c r="J117" i="37"/>
  <c r="K117" i="37"/>
  <c r="L117" i="37"/>
  <c r="M117" i="37"/>
  <c r="N117" i="37"/>
  <c r="O117" i="37"/>
  <c r="P117" i="37"/>
  <c r="G118" i="37"/>
  <c r="H118" i="37"/>
  <c r="I118" i="37"/>
  <c r="J118" i="37"/>
  <c r="K118" i="37"/>
  <c r="L118" i="37"/>
  <c r="M118" i="37"/>
  <c r="N118" i="37"/>
  <c r="O118" i="37"/>
  <c r="P118" i="37"/>
  <c r="G119" i="37"/>
  <c r="H119" i="37"/>
  <c r="I119" i="37"/>
  <c r="J119" i="37"/>
  <c r="K119" i="37"/>
  <c r="L119" i="37"/>
  <c r="M119" i="37"/>
  <c r="N119" i="37"/>
  <c r="O119" i="37"/>
  <c r="P119" i="37"/>
  <c r="G120" i="37"/>
  <c r="H120" i="37"/>
  <c r="I120" i="37"/>
  <c r="J120" i="37"/>
  <c r="K120" i="37"/>
  <c r="L120" i="37"/>
  <c r="M120" i="37"/>
  <c r="N120" i="37"/>
  <c r="O120" i="37"/>
  <c r="P120" i="37"/>
  <c r="G121" i="37"/>
  <c r="H121" i="37"/>
  <c r="I121" i="37"/>
  <c r="J121" i="37"/>
  <c r="K121" i="37"/>
  <c r="L121" i="37"/>
  <c r="M121" i="37"/>
  <c r="N121" i="37"/>
  <c r="O121" i="37"/>
  <c r="P121" i="37"/>
  <c r="G122" i="37"/>
  <c r="H122" i="37"/>
  <c r="I122" i="37"/>
  <c r="J122" i="37"/>
  <c r="K122" i="37"/>
  <c r="L122" i="37"/>
  <c r="M122" i="37"/>
  <c r="N122" i="37"/>
  <c r="O122" i="37"/>
  <c r="P122" i="37"/>
  <c r="G123" i="37"/>
  <c r="H123" i="37"/>
  <c r="I123" i="37"/>
  <c r="J123" i="37"/>
  <c r="K123" i="37"/>
  <c r="L123" i="37"/>
  <c r="M123" i="37"/>
  <c r="N123" i="37"/>
  <c r="O123" i="37"/>
  <c r="P123" i="37"/>
  <c r="G124" i="37"/>
  <c r="H124" i="37"/>
  <c r="I124" i="37"/>
  <c r="J124" i="37"/>
  <c r="K124" i="37"/>
  <c r="L124" i="37"/>
  <c r="M124" i="37"/>
  <c r="N124" i="37"/>
  <c r="O124" i="37"/>
  <c r="P124" i="37"/>
  <c r="G125" i="37"/>
  <c r="H125" i="37"/>
  <c r="I125" i="37"/>
  <c r="J125" i="37"/>
  <c r="K125" i="37"/>
  <c r="L125" i="37"/>
  <c r="M125" i="37"/>
  <c r="N125" i="37"/>
  <c r="O125" i="37"/>
  <c r="P125" i="37"/>
  <c r="G126" i="37"/>
  <c r="H126" i="37"/>
  <c r="I126" i="37"/>
  <c r="J126" i="37"/>
  <c r="K126" i="37"/>
  <c r="L126" i="37"/>
  <c r="M126" i="37"/>
  <c r="N126" i="37"/>
  <c r="O126" i="37"/>
  <c r="P126" i="37"/>
  <c r="G127" i="37"/>
  <c r="H127" i="37"/>
  <c r="I127" i="37"/>
  <c r="J127" i="37"/>
  <c r="K127" i="37"/>
  <c r="L127" i="37"/>
  <c r="M127" i="37"/>
  <c r="N127" i="37"/>
  <c r="O127" i="37"/>
  <c r="P127" i="37"/>
  <c r="G128" i="37"/>
  <c r="H128" i="37"/>
  <c r="I128" i="37"/>
  <c r="J128" i="37"/>
  <c r="K128" i="37"/>
  <c r="L128" i="37"/>
  <c r="M128" i="37"/>
  <c r="N128" i="37"/>
  <c r="O128" i="37"/>
  <c r="P128" i="37"/>
  <c r="G129" i="37"/>
  <c r="H129" i="37"/>
  <c r="I129" i="37"/>
  <c r="J129" i="37"/>
  <c r="K129" i="37"/>
  <c r="L129" i="37"/>
  <c r="M129" i="37"/>
  <c r="N129" i="37"/>
  <c r="O129" i="37"/>
  <c r="P129" i="37"/>
  <c r="G130" i="37"/>
  <c r="H130" i="37"/>
  <c r="I130" i="37"/>
  <c r="J130" i="37"/>
  <c r="K130" i="37"/>
  <c r="L130" i="37"/>
  <c r="M130" i="37"/>
  <c r="N130" i="37"/>
  <c r="O130" i="37"/>
  <c r="P130" i="37"/>
  <c r="G131" i="37"/>
  <c r="H131" i="37"/>
  <c r="I131" i="37"/>
  <c r="J131" i="37"/>
  <c r="K131" i="37"/>
  <c r="L131" i="37"/>
  <c r="M131" i="37"/>
  <c r="N131" i="37"/>
  <c r="O131" i="37"/>
  <c r="P131" i="37"/>
  <c r="G132" i="37"/>
  <c r="H132" i="37"/>
  <c r="I132" i="37"/>
  <c r="J132" i="37"/>
  <c r="K132" i="37"/>
  <c r="L132" i="37"/>
  <c r="M132" i="37"/>
  <c r="N132" i="37"/>
  <c r="O132" i="37"/>
  <c r="P132" i="37"/>
  <c r="G133" i="37"/>
  <c r="H133" i="37"/>
  <c r="I133" i="37"/>
  <c r="J133" i="37"/>
  <c r="K133" i="37"/>
  <c r="L133" i="37"/>
  <c r="M133" i="37"/>
  <c r="N133" i="37"/>
  <c r="O133" i="37"/>
  <c r="P133" i="37"/>
  <c r="G134" i="37"/>
  <c r="H134" i="37"/>
  <c r="I134" i="37"/>
  <c r="J134" i="37"/>
  <c r="K134" i="37"/>
  <c r="L134" i="37"/>
  <c r="M134" i="37"/>
  <c r="N134" i="37"/>
  <c r="O134" i="37"/>
  <c r="P134" i="37"/>
  <c r="G135" i="37"/>
  <c r="H135" i="37"/>
  <c r="I135" i="37"/>
  <c r="J135" i="37"/>
  <c r="K135" i="37"/>
  <c r="L135" i="37"/>
  <c r="M135" i="37"/>
  <c r="N135" i="37"/>
  <c r="O135" i="37"/>
  <c r="P135" i="37"/>
  <c r="G136" i="37"/>
  <c r="H136" i="37"/>
  <c r="I136" i="37"/>
  <c r="J136" i="37"/>
  <c r="K136" i="37"/>
  <c r="L136" i="37"/>
  <c r="M136" i="37"/>
  <c r="N136" i="37"/>
  <c r="O136" i="37"/>
  <c r="P136" i="37"/>
  <c r="G137" i="37"/>
  <c r="H137" i="37"/>
  <c r="I137" i="37"/>
  <c r="J137" i="37"/>
  <c r="K137" i="37"/>
  <c r="L137" i="37"/>
  <c r="M137" i="37"/>
  <c r="N137" i="37"/>
  <c r="O137" i="37"/>
  <c r="P137" i="37"/>
  <c r="G138" i="37"/>
  <c r="H138" i="37"/>
  <c r="I138" i="37"/>
  <c r="J138" i="37"/>
  <c r="K138" i="37"/>
  <c r="L138" i="37"/>
  <c r="M138" i="37"/>
  <c r="N138" i="37"/>
  <c r="O138" i="37"/>
  <c r="P138" i="37"/>
  <c r="G139" i="37"/>
  <c r="H139" i="37"/>
  <c r="I139" i="37"/>
  <c r="J139" i="37"/>
  <c r="K139" i="37"/>
  <c r="L139" i="37"/>
  <c r="M139" i="37"/>
  <c r="N139" i="37"/>
  <c r="O139" i="37"/>
  <c r="P139" i="37"/>
  <c r="G140" i="37"/>
  <c r="H140" i="37"/>
  <c r="I140" i="37"/>
  <c r="J140" i="37"/>
  <c r="K140" i="37"/>
  <c r="L140" i="37"/>
  <c r="M140" i="37"/>
  <c r="N140" i="37"/>
  <c r="O140" i="37"/>
  <c r="P140" i="37"/>
  <c r="G141" i="37"/>
  <c r="H141" i="37"/>
  <c r="I141" i="37"/>
  <c r="J141" i="37"/>
  <c r="K141" i="37"/>
  <c r="L141" i="37"/>
  <c r="M141" i="37"/>
  <c r="N141" i="37"/>
  <c r="O141" i="37"/>
  <c r="P141" i="37"/>
  <c r="G142" i="37"/>
  <c r="H142" i="37"/>
  <c r="I142" i="37"/>
  <c r="J142" i="37"/>
  <c r="K142" i="37"/>
  <c r="L142" i="37"/>
  <c r="M142" i="37"/>
  <c r="N142" i="37"/>
  <c r="O142" i="37"/>
  <c r="P142" i="37"/>
  <c r="G143" i="37"/>
  <c r="H143" i="37"/>
  <c r="I143" i="37"/>
  <c r="J143" i="37"/>
  <c r="K143" i="37"/>
  <c r="L143" i="37"/>
  <c r="M143" i="37"/>
  <c r="N143" i="37"/>
  <c r="O143" i="37"/>
  <c r="P143" i="37"/>
  <c r="G144" i="37"/>
  <c r="H144" i="37"/>
  <c r="I144" i="37"/>
  <c r="J144" i="37"/>
  <c r="K144" i="37"/>
  <c r="L144" i="37"/>
  <c r="M144" i="37"/>
  <c r="N144" i="37"/>
  <c r="O144" i="37"/>
  <c r="P144" i="37"/>
  <c r="G145" i="37"/>
  <c r="H145" i="37"/>
  <c r="I145" i="37"/>
  <c r="J145" i="37"/>
  <c r="K145" i="37"/>
  <c r="L145" i="37"/>
  <c r="M145" i="37"/>
  <c r="N145" i="37"/>
  <c r="O145" i="37"/>
  <c r="P145" i="37"/>
  <c r="G146" i="37"/>
  <c r="H146" i="37"/>
  <c r="I146" i="37"/>
  <c r="J146" i="37"/>
  <c r="K146" i="37"/>
  <c r="L146" i="37"/>
  <c r="M146" i="37"/>
  <c r="N146" i="37"/>
  <c r="O146" i="37"/>
  <c r="P146" i="37"/>
  <c r="G147" i="37"/>
  <c r="H147" i="37"/>
  <c r="I147" i="37"/>
  <c r="J147" i="37"/>
  <c r="K147" i="37"/>
  <c r="L147" i="37"/>
  <c r="M147" i="37"/>
  <c r="N147" i="37"/>
  <c r="O147" i="37"/>
  <c r="P147" i="37"/>
  <c r="G148" i="37"/>
  <c r="H148" i="37"/>
  <c r="I148" i="37"/>
  <c r="J148" i="37"/>
  <c r="K148" i="37"/>
  <c r="L148" i="37"/>
  <c r="M148" i="37"/>
  <c r="N148" i="37"/>
  <c r="O148" i="37"/>
  <c r="P148" i="37"/>
  <c r="G149" i="37"/>
  <c r="H149" i="37"/>
  <c r="I149" i="37"/>
  <c r="J149" i="37"/>
  <c r="K149" i="37"/>
  <c r="L149" i="37"/>
  <c r="M149" i="37"/>
  <c r="N149" i="37"/>
  <c r="O149" i="37"/>
  <c r="P149" i="37"/>
  <c r="G150" i="37"/>
  <c r="H150" i="37"/>
  <c r="I150" i="37"/>
  <c r="J150" i="37"/>
  <c r="K150" i="37"/>
  <c r="L150" i="37"/>
  <c r="M150" i="37"/>
  <c r="N150" i="37"/>
  <c r="O150" i="37"/>
  <c r="P150" i="37"/>
  <c r="G151" i="37"/>
  <c r="H151" i="37"/>
  <c r="I151" i="37"/>
  <c r="J151" i="37"/>
  <c r="K151" i="37"/>
  <c r="L151" i="37"/>
  <c r="M151" i="37"/>
  <c r="N151" i="37"/>
  <c r="O151" i="37"/>
  <c r="P151" i="37"/>
  <c r="G152" i="37"/>
  <c r="H152" i="37"/>
  <c r="I152" i="37"/>
  <c r="J152" i="37"/>
  <c r="K152" i="37"/>
  <c r="L152" i="37"/>
  <c r="M152" i="37"/>
  <c r="N152" i="37"/>
  <c r="O152" i="37"/>
  <c r="P152" i="37"/>
  <c r="G153" i="37"/>
  <c r="H153" i="37"/>
  <c r="I153" i="37"/>
  <c r="J153" i="37"/>
  <c r="K153" i="37"/>
  <c r="L153" i="37"/>
  <c r="M153" i="37"/>
  <c r="N153" i="37"/>
  <c r="O153" i="37"/>
  <c r="P153" i="37"/>
  <c r="G154" i="37"/>
  <c r="H154" i="37"/>
  <c r="I154" i="37"/>
  <c r="J154" i="37"/>
  <c r="K154" i="37"/>
  <c r="L154" i="37"/>
  <c r="M154" i="37"/>
  <c r="N154" i="37"/>
  <c r="O154" i="37"/>
  <c r="P154" i="37"/>
  <c r="G155" i="37"/>
  <c r="H155" i="37"/>
  <c r="I155" i="37"/>
  <c r="J155" i="37"/>
  <c r="K155" i="37"/>
  <c r="L155" i="37"/>
  <c r="M155" i="37"/>
  <c r="N155" i="37"/>
  <c r="O155" i="37"/>
  <c r="P155" i="37"/>
  <c r="G156" i="37"/>
  <c r="H156" i="37"/>
  <c r="I156" i="37"/>
  <c r="J156" i="37"/>
  <c r="K156" i="37"/>
  <c r="L156" i="37"/>
  <c r="M156" i="37"/>
  <c r="N156" i="37"/>
  <c r="O156" i="37"/>
  <c r="P156" i="37"/>
  <c r="G157" i="37"/>
  <c r="H157" i="37"/>
  <c r="I157" i="37"/>
  <c r="J157" i="37"/>
  <c r="K157" i="37"/>
  <c r="L157" i="37"/>
  <c r="M157" i="37"/>
  <c r="N157" i="37"/>
  <c r="O157" i="37"/>
  <c r="P157" i="37"/>
  <c r="G158" i="37"/>
  <c r="H158" i="37"/>
  <c r="I158" i="37"/>
  <c r="J158" i="37"/>
  <c r="K158" i="37"/>
  <c r="L158" i="37"/>
  <c r="M158" i="37"/>
  <c r="N158" i="37"/>
  <c r="O158" i="37"/>
  <c r="P158" i="37"/>
  <c r="G159" i="37"/>
  <c r="H159" i="37"/>
  <c r="I159" i="37"/>
  <c r="J159" i="37"/>
  <c r="K159" i="37"/>
  <c r="L159" i="37"/>
  <c r="M159" i="37"/>
  <c r="N159" i="37"/>
  <c r="O159" i="37"/>
  <c r="P159" i="37"/>
  <c r="G160" i="37"/>
  <c r="H160" i="37"/>
  <c r="I160" i="37"/>
  <c r="J160" i="37"/>
  <c r="K160" i="37"/>
  <c r="L160" i="37"/>
  <c r="M160" i="37"/>
  <c r="N160" i="37"/>
  <c r="O160" i="37"/>
  <c r="P160" i="37"/>
  <c r="G161" i="37"/>
  <c r="H161" i="37"/>
  <c r="I161" i="37"/>
  <c r="J161" i="37"/>
  <c r="K161" i="37"/>
  <c r="L161" i="37"/>
  <c r="M161" i="37"/>
  <c r="N161" i="37"/>
  <c r="O161" i="37"/>
  <c r="P161" i="37"/>
  <c r="G162" i="37"/>
  <c r="H162" i="37"/>
  <c r="I162" i="37"/>
  <c r="J162" i="37"/>
  <c r="K162" i="37"/>
  <c r="L162" i="37"/>
  <c r="M162" i="37"/>
  <c r="N162" i="37"/>
  <c r="O162" i="37"/>
  <c r="P162" i="37"/>
  <c r="G163" i="37"/>
  <c r="H163" i="37"/>
  <c r="I163" i="37"/>
  <c r="J163" i="37"/>
  <c r="K163" i="37"/>
  <c r="L163" i="37"/>
  <c r="M163" i="37"/>
  <c r="N163" i="37"/>
  <c r="O163" i="37"/>
  <c r="P163" i="37"/>
  <c r="G164" i="37"/>
  <c r="H164" i="37"/>
  <c r="I164" i="37"/>
  <c r="J164" i="37"/>
  <c r="K164" i="37"/>
  <c r="L164" i="37"/>
  <c r="M164" i="37"/>
  <c r="N164" i="37"/>
  <c r="O164" i="37"/>
  <c r="P164" i="37"/>
  <c r="G165" i="37"/>
  <c r="H165" i="37"/>
  <c r="I165" i="37"/>
  <c r="J165" i="37"/>
  <c r="K165" i="37"/>
  <c r="L165" i="37"/>
  <c r="M165" i="37"/>
  <c r="N165" i="37"/>
  <c r="O165" i="37"/>
  <c r="P165" i="37"/>
  <c r="G166" i="37"/>
  <c r="H166" i="37"/>
  <c r="I166" i="37"/>
  <c r="J166" i="37"/>
  <c r="K166" i="37"/>
  <c r="L166" i="37"/>
  <c r="M166" i="37"/>
  <c r="N166" i="37"/>
  <c r="O166" i="37"/>
  <c r="P166" i="37"/>
  <c r="G167" i="37"/>
  <c r="H167" i="37"/>
  <c r="I167" i="37"/>
  <c r="J167" i="37"/>
  <c r="K167" i="37"/>
  <c r="L167" i="37"/>
  <c r="M167" i="37"/>
  <c r="N167" i="37"/>
  <c r="O167" i="37"/>
  <c r="P167" i="37"/>
  <c r="G168" i="37"/>
  <c r="H168" i="37"/>
  <c r="I168" i="37"/>
  <c r="J168" i="37"/>
  <c r="K168" i="37"/>
  <c r="L168" i="37"/>
  <c r="M168" i="37"/>
  <c r="N168" i="37"/>
  <c r="O168" i="37"/>
  <c r="P168" i="37"/>
  <c r="G169" i="37"/>
  <c r="H169" i="37"/>
  <c r="I169" i="37"/>
  <c r="J169" i="37"/>
  <c r="K169" i="37"/>
  <c r="L169" i="37"/>
  <c r="M169" i="37"/>
  <c r="N169" i="37"/>
  <c r="O169" i="37"/>
  <c r="P169" i="37"/>
  <c r="G170" i="37"/>
  <c r="H170" i="37"/>
  <c r="I170" i="37"/>
  <c r="J170" i="37"/>
  <c r="K170" i="37"/>
  <c r="L170" i="37"/>
  <c r="M170" i="37"/>
  <c r="N170" i="37"/>
  <c r="O170" i="37"/>
  <c r="P170" i="37"/>
  <c r="G171" i="37"/>
  <c r="H171" i="37"/>
  <c r="I171" i="37"/>
  <c r="J171" i="37"/>
  <c r="K171" i="37"/>
  <c r="L171" i="37"/>
  <c r="M171" i="37"/>
  <c r="N171" i="37"/>
  <c r="O171" i="37"/>
  <c r="P171" i="37"/>
  <c r="G172" i="37"/>
  <c r="H172" i="37"/>
  <c r="I172" i="37"/>
  <c r="J172" i="37"/>
  <c r="K172" i="37"/>
  <c r="L172" i="37"/>
  <c r="M172" i="37"/>
  <c r="N172" i="37"/>
  <c r="O172" i="37"/>
  <c r="P172" i="37"/>
  <c r="G173" i="37"/>
  <c r="H173" i="37"/>
  <c r="I173" i="37"/>
  <c r="J173" i="37"/>
  <c r="K173" i="37"/>
  <c r="L173" i="37"/>
  <c r="M173" i="37"/>
  <c r="N173" i="37"/>
  <c r="O173" i="37"/>
  <c r="P173" i="37"/>
  <c r="G174" i="37"/>
  <c r="H174" i="37"/>
  <c r="I174" i="37"/>
  <c r="J174" i="37"/>
  <c r="K174" i="37"/>
  <c r="L174" i="37"/>
  <c r="M174" i="37"/>
  <c r="N174" i="37"/>
  <c r="O174" i="37"/>
  <c r="P174" i="37"/>
  <c r="G175" i="37"/>
  <c r="H175" i="37"/>
  <c r="I175" i="37"/>
  <c r="J175" i="37"/>
  <c r="K175" i="37"/>
  <c r="L175" i="37"/>
  <c r="M175" i="37"/>
  <c r="N175" i="37"/>
  <c r="O175" i="37"/>
  <c r="P175" i="37"/>
  <c r="G176" i="37"/>
  <c r="H176" i="37"/>
  <c r="I176" i="37"/>
  <c r="J176" i="37"/>
  <c r="K176" i="37"/>
  <c r="L176" i="37"/>
  <c r="M176" i="37"/>
  <c r="N176" i="37"/>
  <c r="O176" i="37"/>
  <c r="P176" i="37"/>
  <c r="G177" i="37"/>
  <c r="H177" i="37"/>
  <c r="I177" i="37"/>
  <c r="J177" i="37"/>
  <c r="K177" i="37"/>
  <c r="L177" i="37"/>
  <c r="M177" i="37"/>
  <c r="N177" i="37"/>
  <c r="O177" i="37"/>
  <c r="P177" i="37"/>
  <c r="G178" i="37"/>
  <c r="H178" i="37"/>
  <c r="I178" i="37"/>
  <c r="J178" i="37"/>
  <c r="K178" i="37"/>
  <c r="L178" i="37"/>
  <c r="M178" i="37"/>
  <c r="N178" i="37"/>
  <c r="O178" i="37"/>
  <c r="P178" i="37"/>
  <c r="G179" i="37"/>
  <c r="H179" i="37"/>
  <c r="I179" i="37"/>
  <c r="J179" i="37"/>
  <c r="K179" i="37"/>
  <c r="L179" i="37"/>
  <c r="M179" i="37"/>
  <c r="N179" i="37"/>
  <c r="O179" i="37"/>
  <c r="P179" i="37"/>
  <c r="G180" i="37"/>
  <c r="H180" i="37"/>
  <c r="I180" i="37"/>
  <c r="J180" i="37"/>
  <c r="K180" i="37"/>
  <c r="L180" i="37"/>
  <c r="M180" i="37"/>
  <c r="N180" i="37"/>
  <c r="O180" i="37"/>
  <c r="P180" i="37"/>
  <c r="G181" i="37"/>
  <c r="H181" i="37"/>
  <c r="I181" i="37"/>
  <c r="J181" i="37"/>
  <c r="K181" i="37"/>
  <c r="L181" i="37"/>
  <c r="M181" i="37"/>
  <c r="N181" i="37"/>
  <c r="O181" i="37"/>
  <c r="P181" i="37"/>
  <c r="G182" i="37"/>
  <c r="H182" i="37"/>
  <c r="I182" i="37"/>
  <c r="J182" i="37"/>
  <c r="K182" i="37"/>
  <c r="L182" i="37"/>
  <c r="M182" i="37"/>
  <c r="N182" i="37"/>
  <c r="O182" i="37"/>
  <c r="P182" i="37"/>
  <c r="G183" i="37"/>
  <c r="H183" i="37"/>
  <c r="I183" i="37"/>
  <c r="J183" i="37"/>
  <c r="K183" i="37"/>
  <c r="L183" i="37"/>
  <c r="M183" i="37"/>
  <c r="N183" i="37"/>
  <c r="O183" i="37"/>
  <c r="P183" i="37"/>
  <c r="G184" i="37"/>
  <c r="H184" i="37"/>
  <c r="I184" i="37"/>
  <c r="J184" i="37"/>
  <c r="K184" i="37"/>
  <c r="L184" i="37"/>
  <c r="M184" i="37"/>
  <c r="N184" i="37"/>
  <c r="O184" i="37"/>
  <c r="P184" i="37"/>
  <c r="G185" i="37"/>
  <c r="H185" i="37"/>
  <c r="I185" i="37"/>
  <c r="J185" i="37"/>
  <c r="K185" i="37"/>
  <c r="L185" i="37"/>
  <c r="M185" i="37"/>
  <c r="N185" i="37"/>
  <c r="O185" i="37"/>
  <c r="P185" i="37"/>
  <c r="G186" i="37"/>
  <c r="H186" i="37"/>
  <c r="I186" i="37"/>
  <c r="J186" i="37"/>
  <c r="K186" i="37"/>
  <c r="L186" i="37"/>
  <c r="M186" i="37"/>
  <c r="N186" i="37"/>
  <c r="O186" i="37"/>
  <c r="P186" i="37"/>
  <c r="G187" i="37"/>
  <c r="H187" i="37"/>
  <c r="I187" i="37"/>
  <c r="J187" i="37"/>
  <c r="K187" i="37"/>
  <c r="L187" i="37"/>
  <c r="M187" i="37"/>
  <c r="N187" i="37"/>
  <c r="O187" i="37"/>
  <c r="P187" i="37"/>
  <c r="G188" i="37"/>
  <c r="H188" i="37"/>
  <c r="I188" i="37"/>
  <c r="J188" i="37"/>
  <c r="K188" i="37"/>
  <c r="L188" i="37"/>
  <c r="M188" i="37"/>
  <c r="N188" i="37"/>
  <c r="O188" i="37"/>
  <c r="P188" i="37"/>
  <c r="G189" i="37"/>
  <c r="H189" i="37"/>
  <c r="I189" i="37"/>
  <c r="J189" i="37"/>
  <c r="K189" i="37"/>
  <c r="L189" i="37"/>
  <c r="M189" i="37"/>
  <c r="N189" i="37"/>
  <c r="O189" i="37"/>
  <c r="P189" i="37"/>
  <c r="G190" i="37"/>
  <c r="H190" i="37"/>
  <c r="I190" i="37"/>
  <c r="J190" i="37"/>
  <c r="K190" i="37"/>
  <c r="L190" i="37"/>
  <c r="M190" i="37"/>
  <c r="N190" i="37"/>
  <c r="O190" i="37"/>
  <c r="P190" i="37"/>
  <c r="G191" i="37"/>
  <c r="H191" i="37"/>
  <c r="I191" i="37"/>
  <c r="J191" i="37"/>
  <c r="K191" i="37"/>
  <c r="L191" i="37"/>
  <c r="M191" i="37"/>
  <c r="N191" i="37"/>
  <c r="O191" i="37"/>
  <c r="P191" i="37"/>
  <c r="G192" i="37"/>
  <c r="H192" i="37"/>
  <c r="I192" i="37"/>
  <c r="J192" i="37"/>
  <c r="K192" i="37"/>
  <c r="L192" i="37"/>
  <c r="M192" i="37"/>
  <c r="N192" i="37"/>
  <c r="O192" i="37"/>
  <c r="P192" i="37"/>
  <c r="G193" i="37"/>
  <c r="H193" i="37"/>
  <c r="I193" i="37"/>
  <c r="J193" i="37"/>
  <c r="K193" i="37"/>
  <c r="L193" i="37"/>
  <c r="M193" i="37"/>
  <c r="N193" i="37"/>
  <c r="O193" i="37"/>
  <c r="P193" i="37"/>
  <c r="G194" i="37"/>
  <c r="H194" i="37"/>
  <c r="I194" i="37"/>
  <c r="J194" i="37"/>
  <c r="K194" i="37"/>
  <c r="L194" i="37"/>
  <c r="M194" i="37"/>
  <c r="N194" i="37"/>
  <c r="O194" i="37"/>
  <c r="P194" i="37"/>
  <c r="G195" i="37"/>
  <c r="H195" i="37"/>
  <c r="I195" i="37"/>
  <c r="J195" i="37"/>
  <c r="K195" i="37"/>
  <c r="L195" i="37"/>
  <c r="M195" i="37"/>
  <c r="N195" i="37"/>
  <c r="O195" i="37"/>
  <c r="P195" i="37"/>
  <c r="G196" i="37"/>
  <c r="H196" i="37"/>
  <c r="I196" i="37"/>
  <c r="J196" i="37"/>
  <c r="K196" i="37"/>
  <c r="L196" i="37"/>
  <c r="M196" i="37"/>
  <c r="N196" i="37"/>
  <c r="O196" i="37"/>
  <c r="P196" i="37"/>
  <c r="G197" i="37"/>
  <c r="H197" i="37"/>
  <c r="I197" i="37"/>
  <c r="J197" i="37"/>
  <c r="K197" i="37"/>
  <c r="L197" i="37"/>
  <c r="M197" i="37"/>
  <c r="N197" i="37"/>
  <c r="O197" i="37"/>
  <c r="P197" i="37"/>
  <c r="G198" i="37"/>
  <c r="H198" i="37"/>
  <c r="I198" i="37"/>
  <c r="J198" i="37"/>
  <c r="K198" i="37"/>
  <c r="L198" i="37"/>
  <c r="M198" i="37"/>
  <c r="N198" i="37"/>
  <c r="O198" i="37"/>
  <c r="P198" i="37"/>
  <c r="G4" i="37"/>
  <c r="H4" i="37"/>
  <c r="I4" i="37"/>
  <c r="P4" i="37" l="1"/>
  <c r="O4" i="37"/>
  <c r="N4" i="37"/>
  <c r="M4" i="37"/>
  <c r="L4" i="37"/>
  <c r="K4" i="37"/>
  <c r="J4" i="37"/>
  <c r="B102" i="42" l="1"/>
  <c r="B557" i="51" s="1"/>
  <c r="C576" i="51" l="1"/>
  <c r="C557" i="51"/>
  <c r="C564" i="51"/>
  <c r="C562" i="51"/>
  <c r="C560" i="51"/>
  <c r="C566" i="51"/>
  <c r="C577" i="51"/>
  <c r="C567" i="51"/>
  <c r="C565" i="51"/>
  <c r="C578" i="51"/>
  <c r="C559" i="51"/>
  <c r="C563" i="51"/>
  <c r="C561" i="51"/>
  <c r="B577" i="50"/>
  <c r="B103" i="42"/>
  <c r="I563" i="51" l="1"/>
  <c r="J563" i="51"/>
  <c r="E563" i="51"/>
  <c r="H563" i="51"/>
  <c r="K563" i="51"/>
  <c r="D563" i="51"/>
  <c r="F563" i="51"/>
  <c r="D562" i="51"/>
  <c r="K562" i="51"/>
  <c r="H562" i="51"/>
  <c r="J562" i="51"/>
  <c r="F562" i="51"/>
  <c r="I562" i="51"/>
  <c r="E562" i="51"/>
  <c r="B579" i="51"/>
  <c r="C546" i="51"/>
  <c r="H559" i="51"/>
  <c r="I559" i="51"/>
  <c r="F559" i="51"/>
  <c r="E559" i="51"/>
  <c r="G559" i="51" s="1"/>
  <c r="D559" i="51"/>
  <c r="K559" i="51"/>
  <c r="J559" i="51"/>
  <c r="I577" i="51"/>
  <c r="D577" i="51"/>
  <c r="E577" i="51"/>
  <c r="H577" i="51"/>
  <c r="J577" i="51"/>
  <c r="F577" i="51"/>
  <c r="K577" i="51"/>
  <c r="I564" i="51"/>
  <c r="D564" i="51"/>
  <c r="H564" i="51"/>
  <c r="K564" i="51"/>
  <c r="E564" i="51"/>
  <c r="J564" i="51"/>
  <c r="F564" i="51"/>
  <c r="K578" i="51"/>
  <c r="D578" i="51"/>
  <c r="J578" i="51"/>
  <c r="I578" i="51"/>
  <c r="H578" i="51"/>
  <c r="E578" i="51"/>
  <c r="F578" i="51"/>
  <c r="H566" i="51"/>
  <c r="I566" i="51"/>
  <c r="D566" i="51"/>
  <c r="K566" i="51"/>
  <c r="F566" i="51"/>
  <c r="J566" i="51"/>
  <c r="E566" i="51"/>
  <c r="H557" i="51"/>
  <c r="F557" i="51"/>
  <c r="D558" i="51"/>
  <c r="E557" i="51"/>
  <c r="D557" i="51"/>
  <c r="E558" i="51"/>
  <c r="G558" i="51" s="1"/>
  <c r="J557" i="51"/>
  <c r="I567" i="51"/>
  <c r="F567" i="51"/>
  <c r="K567" i="51"/>
  <c r="J567" i="51"/>
  <c r="H567" i="51"/>
  <c r="E567" i="51"/>
  <c r="D567" i="51"/>
  <c r="F561" i="51"/>
  <c r="J561" i="51"/>
  <c r="H561" i="51"/>
  <c r="E561" i="51"/>
  <c r="D561" i="51"/>
  <c r="K565" i="51"/>
  <c r="D565" i="51"/>
  <c r="I565" i="51"/>
  <c r="J565" i="51"/>
  <c r="F565" i="51"/>
  <c r="H565" i="51"/>
  <c r="E565" i="51"/>
  <c r="I560" i="51"/>
  <c r="H560" i="51"/>
  <c r="F560" i="51"/>
  <c r="K560" i="51"/>
  <c r="E560" i="51"/>
  <c r="J560" i="51"/>
  <c r="D560" i="51"/>
  <c r="J576" i="51"/>
  <c r="F576" i="51"/>
  <c r="H576" i="51"/>
  <c r="E576" i="51"/>
  <c r="D576" i="51"/>
  <c r="C579" i="50"/>
  <c r="C597" i="50"/>
  <c r="C585" i="50"/>
  <c r="C586" i="50"/>
  <c r="C583" i="50"/>
  <c r="C577" i="50"/>
  <c r="C598" i="50"/>
  <c r="C587" i="50"/>
  <c r="C580" i="50"/>
  <c r="C596" i="50"/>
  <c r="C584" i="50"/>
  <c r="C581" i="50"/>
  <c r="C582" i="50"/>
  <c r="B599" i="50"/>
  <c r="C566" i="50"/>
  <c r="B104" i="42"/>
  <c r="B601" i="51" s="1"/>
  <c r="K558" i="51" l="1"/>
  <c r="G567" i="51"/>
  <c r="K576" i="51"/>
  <c r="I558" i="51"/>
  <c r="G557" i="51"/>
  <c r="G566" i="51"/>
  <c r="G577" i="51"/>
  <c r="G560" i="51"/>
  <c r="K561" i="51"/>
  <c r="I561" i="51"/>
  <c r="K557" i="51"/>
  <c r="G565" i="51"/>
  <c r="G578" i="51"/>
  <c r="C598" i="51"/>
  <c r="C582" i="51"/>
  <c r="C584" i="51"/>
  <c r="C586" i="51"/>
  <c r="C579" i="51"/>
  <c r="C588" i="51"/>
  <c r="C599" i="51"/>
  <c r="C589" i="51"/>
  <c r="C583" i="51"/>
  <c r="C581" i="51"/>
  <c r="C600" i="51"/>
  <c r="C587" i="51"/>
  <c r="C585" i="51"/>
  <c r="G563" i="51"/>
  <c r="C622" i="51"/>
  <c r="C607" i="51"/>
  <c r="C603" i="51"/>
  <c r="C601" i="51"/>
  <c r="C611" i="51"/>
  <c r="C609" i="51"/>
  <c r="C606" i="51"/>
  <c r="C605" i="51"/>
  <c r="C621" i="51"/>
  <c r="C608" i="51"/>
  <c r="C604" i="51"/>
  <c r="C620" i="51"/>
  <c r="C610" i="51"/>
  <c r="G576" i="51"/>
  <c r="G562" i="51"/>
  <c r="C548" i="51"/>
  <c r="J546" i="51"/>
  <c r="C551" i="51"/>
  <c r="C550" i="51"/>
  <c r="F546" i="51"/>
  <c r="E547" i="51"/>
  <c r="G547" i="51" s="1"/>
  <c r="E546" i="51"/>
  <c r="H546" i="51"/>
  <c r="D546" i="51"/>
  <c r="C553" i="51"/>
  <c r="D547" i="51"/>
  <c r="C552" i="51"/>
  <c r="C568" i="51"/>
  <c r="C590" i="51" s="1"/>
  <c r="I576" i="51"/>
  <c r="G561" i="51"/>
  <c r="I557" i="51"/>
  <c r="G564" i="51"/>
  <c r="W584" i="50"/>
  <c r="W564" i="51" s="1"/>
  <c r="S584" i="50"/>
  <c r="S564" i="51" s="1"/>
  <c r="V584" i="50"/>
  <c r="V564" i="51" s="1"/>
  <c r="R584" i="50"/>
  <c r="R564" i="51" s="1"/>
  <c r="Y584" i="50"/>
  <c r="Y564" i="51" s="1"/>
  <c r="U584" i="50"/>
  <c r="U564" i="51" s="1"/>
  <c r="Q584" i="50"/>
  <c r="Q564" i="51" s="1"/>
  <c r="X584" i="50"/>
  <c r="X564" i="51" s="1"/>
  <c r="T584" i="50"/>
  <c r="T564" i="51" s="1"/>
  <c r="P584" i="50"/>
  <c r="P564" i="51" s="1"/>
  <c r="W598" i="50"/>
  <c r="W578" i="51" s="1"/>
  <c r="S598" i="50"/>
  <c r="S578" i="51" s="1"/>
  <c r="V598" i="50"/>
  <c r="V578" i="51" s="1"/>
  <c r="R598" i="50"/>
  <c r="R578" i="51" s="1"/>
  <c r="Y598" i="50"/>
  <c r="Y578" i="51" s="1"/>
  <c r="U598" i="50"/>
  <c r="U578" i="51" s="1"/>
  <c r="Q598" i="50"/>
  <c r="Q578" i="51" s="1"/>
  <c r="X598" i="50"/>
  <c r="X578" i="51" s="1"/>
  <c r="T598" i="50"/>
  <c r="T578" i="51" s="1"/>
  <c r="P598" i="50"/>
  <c r="P578" i="51" s="1"/>
  <c r="Y585" i="50"/>
  <c r="Y565" i="51" s="1"/>
  <c r="U585" i="50"/>
  <c r="U565" i="51" s="1"/>
  <c r="Q585" i="50"/>
  <c r="Q565" i="51" s="1"/>
  <c r="X585" i="50"/>
  <c r="X565" i="51" s="1"/>
  <c r="T585" i="50"/>
  <c r="T565" i="51" s="1"/>
  <c r="P585" i="50"/>
  <c r="P565" i="51" s="1"/>
  <c r="W585" i="50"/>
  <c r="W565" i="51" s="1"/>
  <c r="S585" i="50"/>
  <c r="S565" i="51" s="1"/>
  <c r="V585" i="50"/>
  <c r="V565" i="51" s="1"/>
  <c r="R585" i="50"/>
  <c r="R565" i="51" s="1"/>
  <c r="W596" i="50"/>
  <c r="W576" i="51" s="1"/>
  <c r="S596" i="50"/>
  <c r="S576" i="51" s="1"/>
  <c r="V596" i="50"/>
  <c r="V576" i="51" s="1"/>
  <c r="R596" i="50"/>
  <c r="R576" i="51" s="1"/>
  <c r="Y596" i="50"/>
  <c r="Y576" i="51" s="1"/>
  <c r="U596" i="50"/>
  <c r="U576" i="51" s="1"/>
  <c r="Q596" i="50"/>
  <c r="Q576" i="51" s="1"/>
  <c r="X596" i="50"/>
  <c r="X576" i="51" s="1"/>
  <c r="T596" i="50"/>
  <c r="T576" i="51" s="1"/>
  <c r="P596" i="50"/>
  <c r="P576" i="51" s="1"/>
  <c r="Y577" i="50"/>
  <c r="Y557" i="51" s="1"/>
  <c r="U577" i="50"/>
  <c r="U557" i="51" s="1"/>
  <c r="Q577" i="50"/>
  <c r="Q557" i="51" s="1"/>
  <c r="X577" i="50"/>
  <c r="X557" i="51" s="1"/>
  <c r="T577" i="50"/>
  <c r="T557" i="51" s="1"/>
  <c r="P577" i="50"/>
  <c r="P557" i="51" s="1"/>
  <c r="W577" i="50"/>
  <c r="W557" i="51" s="1"/>
  <c r="S577" i="50"/>
  <c r="S557" i="51" s="1"/>
  <c r="V577" i="50"/>
  <c r="V557" i="51" s="1"/>
  <c r="R577" i="50"/>
  <c r="R557" i="51" s="1"/>
  <c r="Y597" i="50"/>
  <c r="Y577" i="51" s="1"/>
  <c r="U597" i="50"/>
  <c r="U577" i="51" s="1"/>
  <c r="Q597" i="50"/>
  <c r="Q577" i="51" s="1"/>
  <c r="X597" i="50"/>
  <c r="X577" i="51" s="1"/>
  <c r="T597" i="50"/>
  <c r="T577" i="51" s="1"/>
  <c r="P597" i="50"/>
  <c r="P577" i="51" s="1"/>
  <c r="W597" i="50"/>
  <c r="W577" i="51" s="1"/>
  <c r="S597" i="50"/>
  <c r="S577" i="51" s="1"/>
  <c r="V597" i="50"/>
  <c r="V577" i="51" s="1"/>
  <c r="R597" i="50"/>
  <c r="R577" i="51" s="1"/>
  <c r="W582" i="50"/>
  <c r="W562" i="51" s="1"/>
  <c r="S582" i="50"/>
  <c r="S562" i="51" s="1"/>
  <c r="V582" i="50"/>
  <c r="V562" i="51" s="1"/>
  <c r="R582" i="50"/>
  <c r="R562" i="51" s="1"/>
  <c r="Y582" i="50"/>
  <c r="Y562" i="51" s="1"/>
  <c r="U582" i="50"/>
  <c r="U562" i="51" s="1"/>
  <c r="Q582" i="50"/>
  <c r="Q562" i="51" s="1"/>
  <c r="X582" i="50"/>
  <c r="X562" i="51" s="1"/>
  <c r="T582" i="50"/>
  <c r="T562" i="51" s="1"/>
  <c r="P582" i="50"/>
  <c r="P562" i="51" s="1"/>
  <c r="W580" i="50"/>
  <c r="W560" i="51" s="1"/>
  <c r="S580" i="50"/>
  <c r="S560" i="51" s="1"/>
  <c r="V580" i="50"/>
  <c r="V560" i="51" s="1"/>
  <c r="R580" i="50"/>
  <c r="R560" i="51" s="1"/>
  <c r="Y580" i="50"/>
  <c r="Y560" i="51" s="1"/>
  <c r="U580" i="50"/>
  <c r="U560" i="51" s="1"/>
  <c r="Q580" i="50"/>
  <c r="Q560" i="51" s="1"/>
  <c r="X580" i="50"/>
  <c r="X560" i="51" s="1"/>
  <c r="T580" i="50"/>
  <c r="T560" i="51" s="1"/>
  <c r="P580" i="50"/>
  <c r="P560" i="51" s="1"/>
  <c r="Y583" i="50"/>
  <c r="Y563" i="51" s="1"/>
  <c r="U583" i="50"/>
  <c r="U563" i="51" s="1"/>
  <c r="Q583" i="50"/>
  <c r="Q563" i="51" s="1"/>
  <c r="X583" i="50"/>
  <c r="X563" i="51" s="1"/>
  <c r="T583" i="50"/>
  <c r="T563" i="51" s="1"/>
  <c r="P583" i="50"/>
  <c r="P563" i="51" s="1"/>
  <c r="W583" i="50"/>
  <c r="W563" i="51" s="1"/>
  <c r="S583" i="50"/>
  <c r="S563" i="51" s="1"/>
  <c r="V583" i="50"/>
  <c r="V563" i="51" s="1"/>
  <c r="R583" i="50"/>
  <c r="R563" i="51" s="1"/>
  <c r="Y579" i="50"/>
  <c r="Y559" i="51" s="1"/>
  <c r="U579" i="50"/>
  <c r="U559" i="51" s="1"/>
  <c r="Q579" i="50"/>
  <c r="Q559" i="51" s="1"/>
  <c r="X579" i="50"/>
  <c r="X559" i="51" s="1"/>
  <c r="T579" i="50"/>
  <c r="T559" i="51" s="1"/>
  <c r="P579" i="50"/>
  <c r="P559" i="51" s="1"/>
  <c r="W579" i="50"/>
  <c r="W559" i="51" s="1"/>
  <c r="S579" i="50"/>
  <c r="S559" i="51" s="1"/>
  <c r="V579" i="50"/>
  <c r="V559" i="51" s="1"/>
  <c r="R579" i="50"/>
  <c r="R559" i="51" s="1"/>
  <c r="Y581" i="50"/>
  <c r="Y561" i="51" s="1"/>
  <c r="U581" i="50"/>
  <c r="U561" i="51" s="1"/>
  <c r="Q581" i="50"/>
  <c r="Q561" i="51" s="1"/>
  <c r="X581" i="50"/>
  <c r="X561" i="51" s="1"/>
  <c r="T581" i="50"/>
  <c r="T561" i="51" s="1"/>
  <c r="P581" i="50"/>
  <c r="P561" i="51" s="1"/>
  <c r="W581" i="50"/>
  <c r="W561" i="51" s="1"/>
  <c r="S581" i="50"/>
  <c r="S561" i="51" s="1"/>
  <c r="V581" i="50"/>
  <c r="V561" i="51" s="1"/>
  <c r="R581" i="50"/>
  <c r="R561" i="51" s="1"/>
  <c r="Y587" i="50"/>
  <c r="Y567" i="51" s="1"/>
  <c r="U587" i="50"/>
  <c r="U567" i="51" s="1"/>
  <c r="Q587" i="50"/>
  <c r="Q567" i="51" s="1"/>
  <c r="X587" i="50"/>
  <c r="X567" i="51" s="1"/>
  <c r="T587" i="50"/>
  <c r="T567" i="51" s="1"/>
  <c r="P587" i="50"/>
  <c r="P567" i="51" s="1"/>
  <c r="W587" i="50"/>
  <c r="W567" i="51" s="1"/>
  <c r="S587" i="50"/>
  <c r="S567" i="51" s="1"/>
  <c r="V587" i="50"/>
  <c r="V567" i="51" s="1"/>
  <c r="R587" i="50"/>
  <c r="R567" i="51" s="1"/>
  <c r="W586" i="50"/>
  <c r="W566" i="51" s="1"/>
  <c r="S586" i="50"/>
  <c r="S566" i="51" s="1"/>
  <c r="V586" i="50"/>
  <c r="V566" i="51" s="1"/>
  <c r="R586" i="50"/>
  <c r="R566" i="51" s="1"/>
  <c r="Y586" i="50"/>
  <c r="Y566" i="51" s="1"/>
  <c r="U586" i="50"/>
  <c r="U566" i="51" s="1"/>
  <c r="Q586" i="50"/>
  <c r="Q566" i="51" s="1"/>
  <c r="X586" i="50"/>
  <c r="X566" i="51" s="1"/>
  <c r="T586" i="50"/>
  <c r="T566" i="51" s="1"/>
  <c r="P586" i="50"/>
  <c r="P566" i="51" s="1"/>
  <c r="I582" i="50"/>
  <c r="K582" i="50"/>
  <c r="E582" i="50"/>
  <c r="F582" i="50"/>
  <c r="D582" i="50"/>
  <c r="H582" i="50"/>
  <c r="J582" i="50"/>
  <c r="I580" i="50"/>
  <c r="K580" i="50"/>
  <c r="E580" i="50"/>
  <c r="J580" i="50"/>
  <c r="D580" i="50"/>
  <c r="F580" i="50"/>
  <c r="H580" i="50"/>
  <c r="I583" i="50"/>
  <c r="K583" i="50"/>
  <c r="E583" i="50"/>
  <c r="F583" i="50"/>
  <c r="D583" i="50"/>
  <c r="J583" i="50"/>
  <c r="H583" i="50"/>
  <c r="F579" i="50"/>
  <c r="D579" i="50"/>
  <c r="I579" i="50"/>
  <c r="K579" i="50"/>
  <c r="J579" i="50"/>
  <c r="H579" i="50"/>
  <c r="E579" i="50"/>
  <c r="C618" i="50"/>
  <c r="C603" i="50"/>
  <c r="C607" i="50"/>
  <c r="C609" i="50"/>
  <c r="C606" i="50"/>
  <c r="C599" i="50"/>
  <c r="C620" i="50"/>
  <c r="C608" i="50"/>
  <c r="C619" i="50"/>
  <c r="C602" i="50"/>
  <c r="C601" i="50"/>
  <c r="C604" i="50"/>
  <c r="C605" i="50"/>
  <c r="J581" i="50"/>
  <c r="F581" i="50"/>
  <c r="D581" i="50"/>
  <c r="H581" i="50"/>
  <c r="E581" i="50"/>
  <c r="K581" i="50" s="1"/>
  <c r="J587" i="50"/>
  <c r="H587" i="50"/>
  <c r="F587" i="50"/>
  <c r="D587" i="50"/>
  <c r="E587" i="50"/>
  <c r="I587" i="50"/>
  <c r="K587" i="50"/>
  <c r="J586" i="50"/>
  <c r="H586" i="50"/>
  <c r="F586" i="50"/>
  <c r="D586" i="50"/>
  <c r="K586" i="50"/>
  <c r="E586" i="50"/>
  <c r="I586" i="50"/>
  <c r="B621" i="50"/>
  <c r="C570" i="50"/>
  <c r="E567" i="50"/>
  <c r="G567" i="50" s="1"/>
  <c r="H566" i="50"/>
  <c r="J566" i="50"/>
  <c r="D566" i="50"/>
  <c r="F566" i="50"/>
  <c r="C568" i="50"/>
  <c r="C571" i="50"/>
  <c r="D567" i="50"/>
  <c r="C573" i="50"/>
  <c r="E566" i="50"/>
  <c r="R566" i="50" s="1"/>
  <c r="C572" i="50"/>
  <c r="I584" i="50"/>
  <c r="K584" i="50"/>
  <c r="E584" i="50"/>
  <c r="J584" i="50"/>
  <c r="D584" i="50"/>
  <c r="H584" i="50"/>
  <c r="F584" i="50"/>
  <c r="H598" i="50"/>
  <c r="F598" i="50"/>
  <c r="D598" i="50"/>
  <c r="I598" i="50"/>
  <c r="J598" i="50"/>
  <c r="K598" i="50"/>
  <c r="E598" i="50"/>
  <c r="H585" i="50"/>
  <c r="F585" i="50"/>
  <c r="D585" i="50"/>
  <c r="I585" i="50"/>
  <c r="J585" i="50"/>
  <c r="K585" i="50"/>
  <c r="E585" i="50"/>
  <c r="C588" i="50"/>
  <c r="C610" i="50" s="1"/>
  <c r="C614" i="50" s="1"/>
  <c r="H596" i="50"/>
  <c r="J596" i="50"/>
  <c r="D596" i="50"/>
  <c r="E596" i="50"/>
  <c r="F596" i="50"/>
  <c r="H577" i="50"/>
  <c r="E578" i="50"/>
  <c r="G578" i="50" s="1"/>
  <c r="D577" i="50"/>
  <c r="D578" i="50"/>
  <c r="F577" i="50"/>
  <c r="J577" i="50"/>
  <c r="E577" i="50"/>
  <c r="D597" i="50"/>
  <c r="I597" i="50"/>
  <c r="K597" i="50"/>
  <c r="H597" i="50"/>
  <c r="F597" i="50"/>
  <c r="E597" i="50"/>
  <c r="J597" i="50"/>
  <c r="B105" i="42"/>
  <c r="B623" i="51" s="1"/>
  <c r="I546" i="51" l="1"/>
  <c r="K546" i="51"/>
  <c r="C595" i="51"/>
  <c r="D595" i="51" s="1"/>
  <c r="C596" i="51"/>
  <c r="I596" i="51" s="1"/>
  <c r="C592" i="51"/>
  <c r="F592" i="51" s="1"/>
  <c r="K567" i="50"/>
  <c r="S566" i="50"/>
  <c r="X566" i="50"/>
  <c r="V566" i="50"/>
  <c r="I566" i="50"/>
  <c r="P566" i="50"/>
  <c r="W566" i="50"/>
  <c r="Q566" i="50"/>
  <c r="I567" i="50"/>
  <c r="K566" i="50"/>
  <c r="R546" i="51" s="1"/>
  <c r="O566" i="50"/>
  <c r="U566" i="50"/>
  <c r="I547" i="51"/>
  <c r="T566" i="50"/>
  <c r="K547" i="51"/>
  <c r="G546" i="51"/>
  <c r="H552" i="51"/>
  <c r="I552" i="51"/>
  <c r="F552" i="51"/>
  <c r="E552" i="51"/>
  <c r="D552" i="51"/>
  <c r="K552" i="51"/>
  <c r="J552" i="51"/>
  <c r="E620" i="51"/>
  <c r="D620" i="51"/>
  <c r="J620" i="51"/>
  <c r="H620" i="51"/>
  <c r="F620" i="51"/>
  <c r="E605" i="51"/>
  <c r="J605" i="51"/>
  <c r="D605" i="51"/>
  <c r="F605" i="51"/>
  <c r="H605" i="51"/>
  <c r="D602" i="51"/>
  <c r="D601" i="51"/>
  <c r="F601" i="51"/>
  <c r="E601" i="51"/>
  <c r="H601" i="51"/>
  <c r="J601" i="51"/>
  <c r="E602" i="51"/>
  <c r="G602" i="51" s="1"/>
  <c r="F581" i="51"/>
  <c r="I581" i="51"/>
  <c r="D581" i="51"/>
  <c r="E581" i="51"/>
  <c r="K581" i="51"/>
  <c r="H581" i="51"/>
  <c r="J581" i="51"/>
  <c r="F588" i="51"/>
  <c r="H588" i="51"/>
  <c r="K588" i="51"/>
  <c r="I588" i="51"/>
  <c r="J588" i="51"/>
  <c r="D588" i="51"/>
  <c r="E588" i="51"/>
  <c r="E582" i="51"/>
  <c r="J582" i="51"/>
  <c r="K582" i="51"/>
  <c r="F582" i="51"/>
  <c r="D582" i="51"/>
  <c r="H582" i="51"/>
  <c r="I582" i="51"/>
  <c r="D569" i="51"/>
  <c r="F568" i="51"/>
  <c r="H568" i="51"/>
  <c r="E568" i="51"/>
  <c r="D568" i="51"/>
  <c r="E569" i="51"/>
  <c r="G569" i="51" s="1"/>
  <c r="J568" i="51"/>
  <c r="C572" i="51"/>
  <c r="C575" i="51"/>
  <c r="C573" i="51"/>
  <c r="C570" i="51"/>
  <c r="C574" i="51"/>
  <c r="E548" i="51"/>
  <c r="H548" i="51"/>
  <c r="D549" i="51"/>
  <c r="F548" i="51"/>
  <c r="D548" i="51"/>
  <c r="J548" i="51"/>
  <c r="E549" i="51"/>
  <c r="G549" i="51" s="1"/>
  <c r="K610" i="51"/>
  <c r="E610" i="51"/>
  <c r="J610" i="51"/>
  <c r="D610" i="51"/>
  <c r="I610" i="51"/>
  <c r="F610" i="51"/>
  <c r="H610" i="51"/>
  <c r="K621" i="51"/>
  <c r="E621" i="51"/>
  <c r="J621" i="51"/>
  <c r="H621" i="51"/>
  <c r="D621" i="51"/>
  <c r="F621" i="51"/>
  <c r="I621" i="51"/>
  <c r="J611" i="51"/>
  <c r="I611" i="51"/>
  <c r="K611" i="51"/>
  <c r="E611" i="51"/>
  <c r="H611" i="51"/>
  <c r="D611" i="51"/>
  <c r="F611" i="51"/>
  <c r="J622" i="51"/>
  <c r="D622" i="51"/>
  <c r="F622" i="51"/>
  <c r="I622" i="51"/>
  <c r="K622" i="51"/>
  <c r="E622" i="51"/>
  <c r="H622" i="51"/>
  <c r="J600" i="51"/>
  <c r="H600" i="51"/>
  <c r="F600" i="51"/>
  <c r="D600" i="51"/>
  <c r="E600" i="51"/>
  <c r="K600" i="51"/>
  <c r="I600" i="51"/>
  <c r="I599" i="51"/>
  <c r="F599" i="51"/>
  <c r="D599" i="51"/>
  <c r="J599" i="51"/>
  <c r="E599" i="51"/>
  <c r="K599" i="51"/>
  <c r="H599" i="51"/>
  <c r="I584" i="51"/>
  <c r="F584" i="51"/>
  <c r="H584" i="51"/>
  <c r="K584" i="51"/>
  <c r="D584" i="51"/>
  <c r="E584" i="51"/>
  <c r="G584" i="51" s="1"/>
  <c r="J584" i="51"/>
  <c r="F551" i="51"/>
  <c r="H551" i="51"/>
  <c r="K551" i="51"/>
  <c r="D551" i="51"/>
  <c r="I551" i="51"/>
  <c r="J551" i="51"/>
  <c r="E551" i="51"/>
  <c r="E604" i="51"/>
  <c r="J604" i="51"/>
  <c r="D604" i="51"/>
  <c r="F604" i="51"/>
  <c r="K604" i="51"/>
  <c r="I604" i="51"/>
  <c r="H604" i="51"/>
  <c r="K606" i="51"/>
  <c r="I606" i="51"/>
  <c r="F606" i="51"/>
  <c r="H606" i="51"/>
  <c r="E606" i="51"/>
  <c r="D606" i="51"/>
  <c r="J606" i="51"/>
  <c r="J603" i="51"/>
  <c r="F603" i="51"/>
  <c r="K603" i="51"/>
  <c r="D603" i="51"/>
  <c r="E603" i="51"/>
  <c r="I603" i="51"/>
  <c r="H603" i="51"/>
  <c r="J585" i="51"/>
  <c r="E585" i="51"/>
  <c r="F585" i="51"/>
  <c r="K585" i="51"/>
  <c r="D585" i="51"/>
  <c r="I585" i="51"/>
  <c r="H585" i="51"/>
  <c r="E583" i="51"/>
  <c r="J583" i="51"/>
  <c r="F583" i="51"/>
  <c r="D583" i="51"/>
  <c r="H583" i="51"/>
  <c r="E580" i="51"/>
  <c r="G580" i="51" s="1"/>
  <c r="D580" i="51"/>
  <c r="E579" i="51"/>
  <c r="D579" i="51"/>
  <c r="H579" i="51"/>
  <c r="I580" i="51" s="1"/>
  <c r="J579" i="51"/>
  <c r="F579" i="51"/>
  <c r="C597" i="51"/>
  <c r="J590" i="51"/>
  <c r="E591" i="51"/>
  <c r="G591" i="51" s="1"/>
  <c r="E590" i="51"/>
  <c r="D590" i="51"/>
  <c r="D591" i="51"/>
  <c r="H590" i="51"/>
  <c r="F590" i="51"/>
  <c r="C626" i="51"/>
  <c r="C633" i="51"/>
  <c r="C627" i="51"/>
  <c r="C623" i="51"/>
  <c r="C630" i="51"/>
  <c r="C643" i="51"/>
  <c r="C629" i="51"/>
  <c r="C625" i="51"/>
  <c r="C642" i="51"/>
  <c r="C632" i="51"/>
  <c r="C644" i="51"/>
  <c r="C631" i="51"/>
  <c r="C628" i="51"/>
  <c r="H553" i="51"/>
  <c r="I553" i="51"/>
  <c r="D553" i="51"/>
  <c r="J553" i="51"/>
  <c r="E553" i="51"/>
  <c r="F553" i="51"/>
  <c r="K553" i="51"/>
  <c r="F550" i="51"/>
  <c r="K550" i="51"/>
  <c r="D550" i="51"/>
  <c r="E550" i="51"/>
  <c r="J550" i="51"/>
  <c r="H550" i="51"/>
  <c r="I550" i="51"/>
  <c r="C612" i="51"/>
  <c r="F608" i="51"/>
  <c r="D608" i="51"/>
  <c r="I608" i="51"/>
  <c r="K608" i="51"/>
  <c r="E608" i="51"/>
  <c r="G608" i="51" s="1"/>
  <c r="J608" i="51"/>
  <c r="H608" i="51"/>
  <c r="E609" i="51"/>
  <c r="K609" i="51"/>
  <c r="D609" i="51"/>
  <c r="F609" i="51"/>
  <c r="I609" i="51"/>
  <c r="H609" i="51"/>
  <c r="J609" i="51"/>
  <c r="J607" i="51"/>
  <c r="F607" i="51"/>
  <c r="I607" i="51"/>
  <c r="K607" i="51"/>
  <c r="D607" i="51"/>
  <c r="H607" i="51"/>
  <c r="E607" i="51"/>
  <c r="C594" i="51"/>
  <c r="I587" i="51"/>
  <c r="K587" i="51"/>
  <c r="E587" i="51"/>
  <c r="F587" i="51"/>
  <c r="H587" i="51"/>
  <c r="D587" i="51"/>
  <c r="J587" i="51"/>
  <c r="H589" i="51"/>
  <c r="F589" i="51"/>
  <c r="D589" i="51"/>
  <c r="I589" i="51"/>
  <c r="E589" i="51"/>
  <c r="K589" i="51"/>
  <c r="J589" i="51"/>
  <c r="K586" i="51"/>
  <c r="I586" i="51"/>
  <c r="F586" i="51"/>
  <c r="E586" i="51"/>
  <c r="H586" i="51"/>
  <c r="D586" i="51"/>
  <c r="J586" i="51"/>
  <c r="H598" i="51"/>
  <c r="E598" i="51"/>
  <c r="D598" i="51"/>
  <c r="J598" i="51"/>
  <c r="F598" i="51"/>
  <c r="G597" i="50"/>
  <c r="G598" i="50"/>
  <c r="I596" i="50"/>
  <c r="G587" i="50"/>
  <c r="G585" i="50"/>
  <c r="I578" i="50"/>
  <c r="K578" i="50"/>
  <c r="I577" i="50"/>
  <c r="G580" i="50"/>
  <c r="K596" i="50"/>
  <c r="U573" i="50"/>
  <c r="U553" i="51" s="1"/>
  <c r="Q573" i="50"/>
  <c r="Q553" i="51" s="1"/>
  <c r="X573" i="50"/>
  <c r="X553" i="51" s="1"/>
  <c r="T573" i="50"/>
  <c r="T553" i="51" s="1"/>
  <c r="O573" i="50"/>
  <c r="O553" i="51" s="1"/>
  <c r="W573" i="50"/>
  <c r="W553" i="51" s="1"/>
  <c r="S573" i="50"/>
  <c r="S553" i="51" s="1"/>
  <c r="V573" i="50"/>
  <c r="V553" i="51" s="1"/>
  <c r="R573" i="50"/>
  <c r="R553" i="51" s="1"/>
  <c r="W571" i="50"/>
  <c r="W551" i="51" s="1"/>
  <c r="S571" i="50"/>
  <c r="S551" i="51" s="1"/>
  <c r="V571" i="50"/>
  <c r="V551" i="51" s="1"/>
  <c r="R571" i="50"/>
  <c r="R551" i="51" s="1"/>
  <c r="U571" i="50"/>
  <c r="U551" i="51" s="1"/>
  <c r="Q571" i="50"/>
  <c r="Q551" i="51" s="1"/>
  <c r="X571" i="50"/>
  <c r="X551" i="51" s="1"/>
  <c r="T571" i="50"/>
  <c r="T551" i="51" s="1"/>
  <c r="O571" i="50"/>
  <c r="O551" i="51" s="1"/>
  <c r="C615" i="50"/>
  <c r="F615" i="50" s="1"/>
  <c r="X602" i="50"/>
  <c r="X582" i="51" s="1"/>
  <c r="T602" i="50"/>
  <c r="T582" i="51" s="1"/>
  <c r="W602" i="50"/>
  <c r="W582" i="51" s="1"/>
  <c r="S602" i="50"/>
  <c r="S582" i="51" s="1"/>
  <c r="Z602" i="50"/>
  <c r="Z582" i="51" s="1"/>
  <c r="V602" i="50"/>
  <c r="V582" i="51" s="1"/>
  <c r="R602" i="50"/>
  <c r="R582" i="51" s="1"/>
  <c r="Y602" i="50"/>
  <c r="Y582" i="51" s="1"/>
  <c r="U602" i="50"/>
  <c r="U582" i="51" s="1"/>
  <c r="Q602" i="50"/>
  <c r="Q582" i="51" s="1"/>
  <c r="Z599" i="50"/>
  <c r="Z579" i="51" s="1"/>
  <c r="V599" i="50"/>
  <c r="V579" i="51" s="1"/>
  <c r="R599" i="50"/>
  <c r="R579" i="51" s="1"/>
  <c r="Y599" i="50"/>
  <c r="Y579" i="51" s="1"/>
  <c r="U599" i="50"/>
  <c r="U579" i="51" s="1"/>
  <c r="Q599" i="50"/>
  <c r="Q579" i="51" s="1"/>
  <c r="X599" i="50"/>
  <c r="X579" i="51" s="1"/>
  <c r="T599" i="50"/>
  <c r="T579" i="51" s="1"/>
  <c r="W599" i="50"/>
  <c r="W579" i="51" s="1"/>
  <c r="S599" i="50"/>
  <c r="S579" i="51" s="1"/>
  <c r="Z603" i="50"/>
  <c r="Z583" i="51" s="1"/>
  <c r="V603" i="50"/>
  <c r="V583" i="51" s="1"/>
  <c r="R603" i="50"/>
  <c r="R583" i="51" s="1"/>
  <c r="Y603" i="50"/>
  <c r="Y583" i="51" s="1"/>
  <c r="U603" i="50"/>
  <c r="U583" i="51" s="1"/>
  <c r="Q603" i="50"/>
  <c r="Q583" i="51" s="1"/>
  <c r="X603" i="50"/>
  <c r="X583" i="51" s="1"/>
  <c r="T603" i="50"/>
  <c r="T583" i="51" s="1"/>
  <c r="W603" i="50"/>
  <c r="W583" i="51" s="1"/>
  <c r="S603" i="50"/>
  <c r="S583" i="51" s="1"/>
  <c r="G577" i="50"/>
  <c r="X570" i="50"/>
  <c r="X550" i="51" s="1"/>
  <c r="T570" i="50"/>
  <c r="T550" i="51" s="1"/>
  <c r="O570" i="50"/>
  <c r="O550" i="51" s="1"/>
  <c r="W570" i="50"/>
  <c r="W550" i="51" s="1"/>
  <c r="S570" i="50"/>
  <c r="S550" i="51" s="1"/>
  <c r="V570" i="50"/>
  <c r="V550" i="51" s="1"/>
  <c r="R570" i="50"/>
  <c r="R550" i="51" s="1"/>
  <c r="U570" i="50"/>
  <c r="U550" i="51" s="1"/>
  <c r="Q570" i="50"/>
  <c r="Q550" i="51" s="1"/>
  <c r="I581" i="50"/>
  <c r="Z605" i="50"/>
  <c r="Z585" i="51" s="1"/>
  <c r="V605" i="50"/>
  <c r="V585" i="51" s="1"/>
  <c r="R605" i="50"/>
  <c r="R585" i="51" s="1"/>
  <c r="Y605" i="50"/>
  <c r="Y585" i="51" s="1"/>
  <c r="U605" i="50"/>
  <c r="U585" i="51" s="1"/>
  <c r="Q605" i="50"/>
  <c r="Q585" i="51" s="1"/>
  <c r="X605" i="50"/>
  <c r="X585" i="51" s="1"/>
  <c r="T605" i="50"/>
  <c r="T585" i="51" s="1"/>
  <c r="W605" i="50"/>
  <c r="W585" i="51" s="1"/>
  <c r="S605" i="50"/>
  <c r="S585" i="51" s="1"/>
  <c r="Z619" i="50"/>
  <c r="Z599" i="51" s="1"/>
  <c r="V619" i="50"/>
  <c r="V599" i="51" s="1"/>
  <c r="R619" i="50"/>
  <c r="R599" i="51" s="1"/>
  <c r="Y619" i="50"/>
  <c r="Y599" i="51" s="1"/>
  <c r="U619" i="50"/>
  <c r="U599" i="51" s="1"/>
  <c r="Q619" i="50"/>
  <c r="Q599" i="51" s="1"/>
  <c r="X619" i="50"/>
  <c r="X599" i="51" s="1"/>
  <c r="T619" i="50"/>
  <c r="T599" i="51" s="1"/>
  <c r="W619" i="50"/>
  <c r="W599" i="51" s="1"/>
  <c r="S619" i="50"/>
  <c r="S599" i="51" s="1"/>
  <c r="X606" i="50"/>
  <c r="X586" i="51" s="1"/>
  <c r="T606" i="50"/>
  <c r="T586" i="51" s="1"/>
  <c r="W606" i="50"/>
  <c r="W586" i="51" s="1"/>
  <c r="S606" i="50"/>
  <c r="S586" i="51" s="1"/>
  <c r="Z606" i="50"/>
  <c r="Z586" i="51" s="1"/>
  <c r="V606" i="50"/>
  <c r="V586" i="51" s="1"/>
  <c r="R606" i="50"/>
  <c r="R586" i="51" s="1"/>
  <c r="Y606" i="50"/>
  <c r="Y586" i="51" s="1"/>
  <c r="U606" i="50"/>
  <c r="U586" i="51" s="1"/>
  <c r="Q606" i="50"/>
  <c r="Q586" i="51" s="1"/>
  <c r="X618" i="50"/>
  <c r="X598" i="51" s="1"/>
  <c r="T618" i="50"/>
  <c r="T598" i="51" s="1"/>
  <c r="W618" i="50"/>
  <c r="W598" i="51" s="1"/>
  <c r="S618" i="50"/>
  <c r="S598" i="51" s="1"/>
  <c r="Z618" i="50"/>
  <c r="Z598" i="51" s="1"/>
  <c r="V618" i="50"/>
  <c r="V598" i="51" s="1"/>
  <c r="R618" i="50"/>
  <c r="R598" i="51" s="1"/>
  <c r="Y618" i="50"/>
  <c r="Y598" i="51" s="1"/>
  <c r="U618" i="50"/>
  <c r="U598" i="51" s="1"/>
  <c r="Q618" i="50"/>
  <c r="Q598" i="51" s="1"/>
  <c r="V572" i="50"/>
  <c r="V552" i="51" s="1"/>
  <c r="R572" i="50"/>
  <c r="R552" i="51" s="1"/>
  <c r="U572" i="50"/>
  <c r="U552" i="51" s="1"/>
  <c r="Q572" i="50"/>
  <c r="Q552" i="51" s="1"/>
  <c r="X572" i="50"/>
  <c r="X552" i="51" s="1"/>
  <c r="T572" i="50"/>
  <c r="T552" i="51" s="1"/>
  <c r="O572" i="50"/>
  <c r="O552" i="51" s="1"/>
  <c r="W572" i="50"/>
  <c r="W552" i="51" s="1"/>
  <c r="S572" i="50"/>
  <c r="S552" i="51" s="1"/>
  <c r="X604" i="50"/>
  <c r="X584" i="51" s="1"/>
  <c r="T604" i="50"/>
  <c r="T584" i="51" s="1"/>
  <c r="W604" i="50"/>
  <c r="W584" i="51" s="1"/>
  <c r="S604" i="50"/>
  <c r="S584" i="51" s="1"/>
  <c r="Z604" i="50"/>
  <c r="Z584" i="51" s="1"/>
  <c r="V604" i="50"/>
  <c r="V584" i="51" s="1"/>
  <c r="R604" i="50"/>
  <c r="R584" i="51" s="1"/>
  <c r="Y604" i="50"/>
  <c r="Y584" i="51" s="1"/>
  <c r="U604" i="50"/>
  <c r="U584" i="51" s="1"/>
  <c r="Q604" i="50"/>
  <c r="Q584" i="51" s="1"/>
  <c r="X608" i="50"/>
  <c r="X588" i="51" s="1"/>
  <c r="T608" i="50"/>
  <c r="T588" i="51" s="1"/>
  <c r="W608" i="50"/>
  <c r="W588" i="51" s="1"/>
  <c r="S608" i="50"/>
  <c r="S588" i="51" s="1"/>
  <c r="Z608" i="50"/>
  <c r="Z588" i="51" s="1"/>
  <c r="V608" i="50"/>
  <c r="V588" i="51" s="1"/>
  <c r="R608" i="50"/>
  <c r="R588" i="51" s="1"/>
  <c r="Y608" i="50"/>
  <c r="Y588" i="51" s="1"/>
  <c r="U608" i="50"/>
  <c r="U588" i="51" s="1"/>
  <c r="Q608" i="50"/>
  <c r="Q588" i="51" s="1"/>
  <c r="Z609" i="50"/>
  <c r="Z589" i="51" s="1"/>
  <c r="V609" i="50"/>
  <c r="V589" i="51" s="1"/>
  <c r="R609" i="50"/>
  <c r="R589" i="51" s="1"/>
  <c r="Y609" i="50"/>
  <c r="Y589" i="51" s="1"/>
  <c r="U609" i="50"/>
  <c r="U589" i="51" s="1"/>
  <c r="Q609" i="50"/>
  <c r="Q589" i="51" s="1"/>
  <c r="X609" i="50"/>
  <c r="X589" i="51" s="1"/>
  <c r="T609" i="50"/>
  <c r="T589" i="51" s="1"/>
  <c r="W609" i="50"/>
  <c r="W589" i="51" s="1"/>
  <c r="S609" i="50"/>
  <c r="S589" i="51" s="1"/>
  <c r="X614" i="50"/>
  <c r="X594" i="51" s="1"/>
  <c r="T614" i="50"/>
  <c r="T594" i="51" s="1"/>
  <c r="W614" i="50"/>
  <c r="W594" i="51" s="1"/>
  <c r="S614" i="50"/>
  <c r="S594" i="51" s="1"/>
  <c r="Z614" i="50"/>
  <c r="Z594" i="51" s="1"/>
  <c r="V614" i="50"/>
  <c r="V594" i="51" s="1"/>
  <c r="R614" i="50"/>
  <c r="R594" i="51" s="1"/>
  <c r="Y614" i="50"/>
  <c r="Y594" i="51" s="1"/>
  <c r="U614" i="50"/>
  <c r="U594" i="51" s="1"/>
  <c r="Q614" i="50"/>
  <c r="Q594" i="51" s="1"/>
  <c r="Z601" i="50"/>
  <c r="Z581" i="51" s="1"/>
  <c r="V601" i="50"/>
  <c r="V581" i="51" s="1"/>
  <c r="R601" i="50"/>
  <c r="R581" i="51" s="1"/>
  <c r="Y601" i="50"/>
  <c r="Y581" i="51" s="1"/>
  <c r="U601" i="50"/>
  <c r="U581" i="51" s="1"/>
  <c r="Q601" i="50"/>
  <c r="Q581" i="51" s="1"/>
  <c r="X601" i="50"/>
  <c r="X581" i="51" s="1"/>
  <c r="T601" i="50"/>
  <c r="T581" i="51" s="1"/>
  <c r="W601" i="50"/>
  <c r="W581" i="51" s="1"/>
  <c r="S601" i="50"/>
  <c r="S581" i="51" s="1"/>
  <c r="X620" i="50"/>
  <c r="X600" i="51" s="1"/>
  <c r="T620" i="50"/>
  <c r="T600" i="51" s="1"/>
  <c r="W620" i="50"/>
  <c r="W600" i="51" s="1"/>
  <c r="S620" i="50"/>
  <c r="S600" i="51" s="1"/>
  <c r="Z620" i="50"/>
  <c r="Z600" i="51" s="1"/>
  <c r="V620" i="50"/>
  <c r="V600" i="51" s="1"/>
  <c r="R620" i="50"/>
  <c r="R600" i="51" s="1"/>
  <c r="Y620" i="50"/>
  <c r="Y600" i="51" s="1"/>
  <c r="U620" i="50"/>
  <c r="U600" i="51" s="1"/>
  <c r="Q620" i="50"/>
  <c r="Q600" i="51" s="1"/>
  <c r="Z607" i="50"/>
  <c r="Z587" i="51" s="1"/>
  <c r="V607" i="50"/>
  <c r="V587" i="51" s="1"/>
  <c r="R607" i="50"/>
  <c r="R587" i="51" s="1"/>
  <c r="Y607" i="50"/>
  <c r="Y587" i="51" s="1"/>
  <c r="U607" i="50"/>
  <c r="U587" i="51" s="1"/>
  <c r="Q607" i="50"/>
  <c r="Q587" i="51" s="1"/>
  <c r="X607" i="50"/>
  <c r="X587" i="51" s="1"/>
  <c r="T607" i="50"/>
  <c r="T587" i="51" s="1"/>
  <c r="W607" i="50"/>
  <c r="W587" i="51" s="1"/>
  <c r="S607" i="50"/>
  <c r="S587" i="51" s="1"/>
  <c r="K577" i="50"/>
  <c r="G566" i="50"/>
  <c r="G586" i="50"/>
  <c r="C616" i="50"/>
  <c r="I604" i="50"/>
  <c r="J604" i="50"/>
  <c r="D604" i="50"/>
  <c r="E604" i="50"/>
  <c r="K604" i="50"/>
  <c r="F604" i="50"/>
  <c r="H604" i="50"/>
  <c r="D608" i="50"/>
  <c r="J608" i="50"/>
  <c r="K608" i="50"/>
  <c r="I608" i="50"/>
  <c r="H608" i="50"/>
  <c r="E608" i="50"/>
  <c r="F608" i="50"/>
  <c r="F609" i="50"/>
  <c r="H609" i="50"/>
  <c r="E609" i="50"/>
  <c r="J609" i="50"/>
  <c r="I609" i="50"/>
  <c r="D609" i="50"/>
  <c r="K609" i="50"/>
  <c r="G582" i="50"/>
  <c r="E588" i="50"/>
  <c r="V588" i="50" s="1"/>
  <c r="D589" i="50"/>
  <c r="E589" i="50"/>
  <c r="G589" i="50" s="1"/>
  <c r="H588" i="50"/>
  <c r="J588" i="50"/>
  <c r="K588" i="50" s="1"/>
  <c r="D588" i="50"/>
  <c r="F588" i="50"/>
  <c r="C593" i="50"/>
  <c r="C590" i="50"/>
  <c r="C594" i="50"/>
  <c r="C595" i="50"/>
  <c r="C592" i="50"/>
  <c r="G584" i="50"/>
  <c r="P573" i="50"/>
  <c r="P553" i="51" s="1"/>
  <c r="I573" i="50"/>
  <c r="K573" i="50"/>
  <c r="E573" i="50"/>
  <c r="J573" i="50"/>
  <c r="H573" i="50"/>
  <c r="F573" i="50"/>
  <c r="D573" i="50"/>
  <c r="P571" i="50"/>
  <c r="P551" i="51" s="1"/>
  <c r="I571" i="50"/>
  <c r="K571" i="50"/>
  <c r="E571" i="50"/>
  <c r="J571" i="50"/>
  <c r="H571" i="50"/>
  <c r="F571" i="50"/>
  <c r="D571" i="50"/>
  <c r="C640" i="50"/>
  <c r="C624" i="50"/>
  <c r="C625" i="50"/>
  <c r="C642" i="50"/>
  <c r="C628" i="50"/>
  <c r="C630" i="50"/>
  <c r="C627" i="50"/>
  <c r="C629" i="50"/>
  <c r="C641" i="50"/>
  <c r="C631" i="50"/>
  <c r="C623" i="50"/>
  <c r="C621" i="50"/>
  <c r="C626" i="50"/>
  <c r="C632" i="50"/>
  <c r="F601" i="50"/>
  <c r="K601" i="50"/>
  <c r="I601" i="50"/>
  <c r="E601" i="50"/>
  <c r="J601" i="50"/>
  <c r="H601" i="50"/>
  <c r="D601" i="50"/>
  <c r="H620" i="50"/>
  <c r="J620" i="50"/>
  <c r="D620" i="50"/>
  <c r="E620" i="50"/>
  <c r="K620" i="50"/>
  <c r="I620" i="50"/>
  <c r="F620" i="50"/>
  <c r="H607" i="50"/>
  <c r="J607" i="50"/>
  <c r="D607" i="50"/>
  <c r="E607" i="50"/>
  <c r="K607" i="50"/>
  <c r="F607" i="50"/>
  <c r="I607" i="50"/>
  <c r="G579" i="50"/>
  <c r="F568" i="50"/>
  <c r="D569" i="50"/>
  <c r="H568" i="50"/>
  <c r="E569" i="50"/>
  <c r="G569" i="50" s="1"/>
  <c r="D568" i="50"/>
  <c r="J568" i="50"/>
  <c r="E568" i="50"/>
  <c r="I568" i="50" s="1"/>
  <c r="F614" i="50"/>
  <c r="H614" i="50"/>
  <c r="E614" i="50"/>
  <c r="K614" i="50"/>
  <c r="D614" i="50"/>
  <c r="J614" i="50"/>
  <c r="I614" i="50"/>
  <c r="C617" i="50"/>
  <c r="E610" i="50"/>
  <c r="J610" i="50"/>
  <c r="D611" i="50"/>
  <c r="E611" i="50"/>
  <c r="G611" i="50" s="1"/>
  <c r="H610" i="50"/>
  <c r="D610" i="50"/>
  <c r="F610" i="50"/>
  <c r="E602" i="50"/>
  <c r="D602" i="50"/>
  <c r="K602" i="50"/>
  <c r="H602" i="50"/>
  <c r="I602" i="50"/>
  <c r="J602" i="50"/>
  <c r="F602" i="50"/>
  <c r="H599" i="50"/>
  <c r="E600" i="50"/>
  <c r="G600" i="50" s="1"/>
  <c r="D599" i="50"/>
  <c r="D600" i="50"/>
  <c r="F599" i="50"/>
  <c r="J599" i="50"/>
  <c r="E599" i="50"/>
  <c r="J603" i="50"/>
  <c r="H603" i="50"/>
  <c r="E603" i="50"/>
  <c r="F603" i="50"/>
  <c r="D603" i="50"/>
  <c r="G583" i="50"/>
  <c r="B643" i="50"/>
  <c r="G596" i="50"/>
  <c r="P572" i="50"/>
  <c r="P552" i="51" s="1"/>
  <c r="D572" i="50"/>
  <c r="I572" i="50"/>
  <c r="K572" i="50"/>
  <c r="E572" i="50"/>
  <c r="H572" i="50"/>
  <c r="F572" i="50"/>
  <c r="J572" i="50"/>
  <c r="P570" i="50"/>
  <c r="P550" i="51" s="1"/>
  <c r="E570" i="50"/>
  <c r="J570" i="50"/>
  <c r="H570" i="50"/>
  <c r="I570" i="50"/>
  <c r="K570" i="50"/>
  <c r="D570" i="50"/>
  <c r="F570" i="50"/>
  <c r="G581" i="50"/>
  <c r="C612" i="50"/>
  <c r="K605" i="50"/>
  <c r="H605" i="50"/>
  <c r="E605" i="50"/>
  <c r="F605" i="50"/>
  <c r="D605" i="50"/>
  <c r="J605" i="50"/>
  <c r="I605" i="50"/>
  <c r="J619" i="50"/>
  <c r="H619" i="50"/>
  <c r="F619" i="50"/>
  <c r="D619" i="50"/>
  <c r="E619" i="50"/>
  <c r="I619" i="50"/>
  <c r="K619" i="50"/>
  <c r="J606" i="50"/>
  <c r="H606" i="50"/>
  <c r="F606" i="50"/>
  <c r="D606" i="50"/>
  <c r="E606" i="50"/>
  <c r="K606" i="50"/>
  <c r="I606" i="50"/>
  <c r="F618" i="50"/>
  <c r="H618" i="50"/>
  <c r="J618" i="50"/>
  <c r="D618" i="50"/>
  <c r="E618" i="50"/>
  <c r="B106" i="42"/>
  <c r="B645" i="51" s="1"/>
  <c r="U546" i="51" l="1"/>
  <c r="H595" i="51"/>
  <c r="I615" i="50"/>
  <c r="J596" i="51"/>
  <c r="D596" i="51"/>
  <c r="K600" i="50"/>
  <c r="E595" i="51"/>
  <c r="G588" i="51"/>
  <c r="E596" i="51"/>
  <c r="F596" i="51"/>
  <c r="K596" i="51"/>
  <c r="H596" i="51"/>
  <c r="K595" i="51"/>
  <c r="F595" i="51"/>
  <c r="I595" i="51"/>
  <c r="J595" i="51"/>
  <c r="K601" i="51"/>
  <c r="K580" i="51"/>
  <c r="E615" i="50"/>
  <c r="G615" i="50" s="1"/>
  <c r="D615" i="50"/>
  <c r="E592" i="51"/>
  <c r="G592" i="51" s="1"/>
  <c r="J615" i="50"/>
  <c r="T546" i="51"/>
  <c r="G582" i="51"/>
  <c r="I601" i="51"/>
  <c r="I605" i="51"/>
  <c r="O546" i="51"/>
  <c r="K605" i="51"/>
  <c r="G585" i="51"/>
  <c r="V568" i="51"/>
  <c r="G607" i="51"/>
  <c r="K569" i="51"/>
  <c r="I588" i="50"/>
  <c r="I548" i="51"/>
  <c r="P568" i="50"/>
  <c r="S568" i="50"/>
  <c r="X568" i="50"/>
  <c r="W568" i="50"/>
  <c r="Q568" i="50"/>
  <c r="R568" i="50"/>
  <c r="O568" i="50"/>
  <c r="U568" i="50"/>
  <c r="V568" i="50"/>
  <c r="T568" i="50"/>
  <c r="K549" i="51"/>
  <c r="K548" i="51"/>
  <c r="D592" i="51"/>
  <c r="D593" i="51"/>
  <c r="K568" i="50"/>
  <c r="K569" i="50"/>
  <c r="I549" i="51"/>
  <c r="E593" i="51"/>
  <c r="I569" i="50"/>
  <c r="J592" i="51"/>
  <c r="K592" i="51" s="1"/>
  <c r="H592" i="51"/>
  <c r="I592" i="51" s="1"/>
  <c r="I569" i="51"/>
  <c r="G568" i="51"/>
  <c r="I590" i="51"/>
  <c r="P588" i="50"/>
  <c r="P568" i="51" s="1"/>
  <c r="U588" i="50"/>
  <c r="U568" i="51" s="1"/>
  <c r="S588" i="50"/>
  <c r="S568" i="51" s="1"/>
  <c r="I591" i="51"/>
  <c r="S546" i="51"/>
  <c r="K589" i="50"/>
  <c r="T588" i="50"/>
  <c r="T568" i="51" s="1"/>
  <c r="Y588" i="50"/>
  <c r="Y568" i="51" s="1"/>
  <c r="W588" i="50"/>
  <c r="W568" i="51" s="1"/>
  <c r="K568" i="51"/>
  <c r="I568" i="51"/>
  <c r="Q546" i="51"/>
  <c r="I589" i="50"/>
  <c r="X588" i="50"/>
  <c r="X568" i="51" s="1"/>
  <c r="R588" i="50"/>
  <c r="R568" i="51" s="1"/>
  <c r="W546" i="51"/>
  <c r="V546" i="51"/>
  <c r="Q588" i="50"/>
  <c r="Q568" i="51" s="1"/>
  <c r="P546" i="51"/>
  <c r="X546" i="51"/>
  <c r="G583" i="51"/>
  <c r="G606" i="51"/>
  <c r="G551" i="51"/>
  <c r="G552" i="51"/>
  <c r="G587" i="51"/>
  <c r="G589" i="51"/>
  <c r="G553" i="51"/>
  <c r="G579" i="51"/>
  <c r="G605" i="51"/>
  <c r="G620" i="51"/>
  <c r="G586" i="51"/>
  <c r="G609" i="51"/>
  <c r="K591" i="51"/>
  <c r="K583" i="51"/>
  <c r="G604" i="51"/>
  <c r="E627" i="51"/>
  <c r="J627" i="51"/>
  <c r="D627" i="51"/>
  <c r="F627" i="51"/>
  <c r="H627" i="51"/>
  <c r="D613" i="51"/>
  <c r="F612" i="51"/>
  <c r="H612" i="51"/>
  <c r="E612" i="51"/>
  <c r="E613" i="51"/>
  <c r="G613" i="51" s="1"/>
  <c r="D612" i="51"/>
  <c r="J612" i="51"/>
  <c r="C619" i="51"/>
  <c r="C618" i="51"/>
  <c r="C616" i="51"/>
  <c r="C617" i="51"/>
  <c r="C614" i="51"/>
  <c r="G550" i="51"/>
  <c r="C634" i="51"/>
  <c r="J632" i="51"/>
  <c r="H632" i="51"/>
  <c r="F632" i="51"/>
  <c r="D632" i="51"/>
  <c r="E632" i="51"/>
  <c r="K632" i="51"/>
  <c r="I632" i="51"/>
  <c r="E643" i="51"/>
  <c r="F643" i="51"/>
  <c r="D643" i="51"/>
  <c r="I643" i="51"/>
  <c r="K643" i="51"/>
  <c r="J643" i="51"/>
  <c r="H643" i="51"/>
  <c r="J633" i="51"/>
  <c r="H633" i="51"/>
  <c r="F633" i="51"/>
  <c r="D633" i="51"/>
  <c r="K633" i="51"/>
  <c r="E633" i="51"/>
  <c r="I633" i="51"/>
  <c r="K597" i="51"/>
  <c r="I597" i="51"/>
  <c r="D597" i="51"/>
  <c r="J597" i="51"/>
  <c r="E597" i="51"/>
  <c r="F597" i="51"/>
  <c r="H597" i="51"/>
  <c r="G600" i="51"/>
  <c r="F570" i="51"/>
  <c r="J570" i="51"/>
  <c r="E570" i="51"/>
  <c r="D571" i="51"/>
  <c r="E571" i="51"/>
  <c r="G571" i="51" s="1"/>
  <c r="D570" i="51"/>
  <c r="H570" i="51"/>
  <c r="I570" i="51" s="1"/>
  <c r="G581" i="51"/>
  <c r="I598" i="51"/>
  <c r="G598" i="51"/>
  <c r="H629" i="51"/>
  <c r="F629" i="51"/>
  <c r="D629" i="51"/>
  <c r="E629" i="51"/>
  <c r="K629" i="51"/>
  <c r="J629" i="51"/>
  <c r="I629" i="51"/>
  <c r="D572" i="51"/>
  <c r="K572" i="51"/>
  <c r="J572" i="51"/>
  <c r="I572" i="51"/>
  <c r="H572" i="51"/>
  <c r="E572" i="51"/>
  <c r="F572" i="51"/>
  <c r="K628" i="51"/>
  <c r="I628" i="51"/>
  <c r="F628" i="51"/>
  <c r="H628" i="51"/>
  <c r="D628" i="51"/>
  <c r="J628" i="51"/>
  <c r="E628" i="51"/>
  <c r="G628" i="51" s="1"/>
  <c r="D642" i="51"/>
  <c r="J642" i="51"/>
  <c r="F642" i="51"/>
  <c r="E642" i="51"/>
  <c r="H642" i="51"/>
  <c r="J630" i="51"/>
  <c r="D630" i="51"/>
  <c r="F630" i="51"/>
  <c r="E630" i="51"/>
  <c r="H630" i="51"/>
  <c r="K630" i="51"/>
  <c r="I630" i="51"/>
  <c r="F626" i="51"/>
  <c r="K626" i="51"/>
  <c r="I626" i="51"/>
  <c r="H626" i="51"/>
  <c r="E626" i="51"/>
  <c r="G626" i="51" s="1"/>
  <c r="J626" i="51"/>
  <c r="D626" i="51"/>
  <c r="K590" i="51"/>
  <c r="G590" i="51"/>
  <c r="K579" i="51"/>
  <c r="G603" i="51"/>
  <c r="G599" i="51"/>
  <c r="G622" i="51"/>
  <c r="J573" i="51"/>
  <c r="K573" i="51"/>
  <c r="F573" i="51"/>
  <c r="H573" i="51"/>
  <c r="I573" i="51"/>
  <c r="D573" i="51"/>
  <c r="E573" i="51"/>
  <c r="G573" i="51" s="1"/>
  <c r="K602" i="51"/>
  <c r="K620" i="51"/>
  <c r="K598" i="51"/>
  <c r="F644" i="51"/>
  <c r="D644" i="51"/>
  <c r="I644" i="51"/>
  <c r="J644" i="51"/>
  <c r="E644" i="51"/>
  <c r="H644" i="51"/>
  <c r="K644" i="51"/>
  <c r="G621" i="51"/>
  <c r="E574" i="51"/>
  <c r="J574" i="51"/>
  <c r="K574" i="51"/>
  <c r="H574" i="51"/>
  <c r="F574" i="51"/>
  <c r="I574" i="51"/>
  <c r="D574" i="51"/>
  <c r="C666" i="51"/>
  <c r="C654" i="51"/>
  <c r="C664" i="51"/>
  <c r="C648" i="51"/>
  <c r="C651" i="51"/>
  <c r="C665" i="51"/>
  <c r="C652" i="51"/>
  <c r="C655" i="51"/>
  <c r="C645" i="51"/>
  <c r="C649" i="51"/>
  <c r="C656" i="51"/>
  <c r="C663" i="51" s="1"/>
  <c r="C650" i="51"/>
  <c r="C653" i="51"/>
  <c r="C647" i="51"/>
  <c r="D594" i="51"/>
  <c r="I594" i="51"/>
  <c r="K594" i="51"/>
  <c r="E594" i="51"/>
  <c r="H594" i="51"/>
  <c r="J594" i="51"/>
  <c r="F594" i="51"/>
  <c r="E631" i="51"/>
  <c r="J631" i="51"/>
  <c r="H631" i="51"/>
  <c r="F631" i="51"/>
  <c r="K631" i="51"/>
  <c r="I631" i="51"/>
  <c r="D631" i="51"/>
  <c r="H625" i="51"/>
  <c r="J625" i="51"/>
  <c r="D625" i="51"/>
  <c r="I625" i="51"/>
  <c r="E625" i="51"/>
  <c r="K625" i="51"/>
  <c r="F625" i="51"/>
  <c r="E624" i="51"/>
  <c r="G624" i="51" s="1"/>
  <c r="E623" i="51"/>
  <c r="H623" i="51"/>
  <c r="D624" i="51"/>
  <c r="D623" i="51"/>
  <c r="F623" i="51"/>
  <c r="J623" i="51"/>
  <c r="I579" i="51"/>
  <c r="I583" i="51"/>
  <c r="G611" i="51"/>
  <c r="G610" i="51"/>
  <c r="G548" i="51"/>
  <c r="J575" i="51"/>
  <c r="K575" i="51"/>
  <c r="F575" i="51"/>
  <c r="I575" i="51"/>
  <c r="H575" i="51"/>
  <c r="E575" i="51"/>
  <c r="D575" i="51"/>
  <c r="I602" i="51"/>
  <c r="G601" i="51"/>
  <c r="I620" i="51"/>
  <c r="G618" i="50"/>
  <c r="K615" i="50"/>
  <c r="H615" i="50"/>
  <c r="G605" i="50"/>
  <c r="G571" i="50"/>
  <c r="G573" i="50"/>
  <c r="I603" i="50"/>
  <c r="G607" i="50"/>
  <c r="I611" i="50"/>
  <c r="G570" i="50"/>
  <c r="G610" i="50"/>
  <c r="I599" i="50"/>
  <c r="K611" i="50"/>
  <c r="G588" i="50"/>
  <c r="G604" i="50"/>
  <c r="I618" i="50"/>
  <c r="G602" i="50"/>
  <c r="K603" i="50"/>
  <c r="Z617" i="50"/>
  <c r="Z597" i="51" s="1"/>
  <c r="V617" i="50"/>
  <c r="V597" i="51" s="1"/>
  <c r="R617" i="50"/>
  <c r="R597" i="51" s="1"/>
  <c r="Y617" i="50"/>
  <c r="Y597" i="51" s="1"/>
  <c r="U617" i="50"/>
  <c r="U597" i="51" s="1"/>
  <c r="Q617" i="50"/>
  <c r="Q597" i="51" s="1"/>
  <c r="X617" i="50"/>
  <c r="X597" i="51" s="1"/>
  <c r="T617" i="50"/>
  <c r="T597" i="51" s="1"/>
  <c r="W617" i="50"/>
  <c r="W597" i="51" s="1"/>
  <c r="S617" i="50"/>
  <c r="S597" i="51" s="1"/>
  <c r="AA621" i="50"/>
  <c r="AA601" i="51" s="1"/>
  <c r="W621" i="50"/>
  <c r="W601" i="51" s="1"/>
  <c r="S621" i="50"/>
  <c r="S601" i="51" s="1"/>
  <c r="Z621" i="50"/>
  <c r="Z601" i="51" s="1"/>
  <c r="V621" i="50"/>
  <c r="V601" i="51" s="1"/>
  <c r="R621" i="50"/>
  <c r="R601" i="51" s="1"/>
  <c r="Y621" i="50"/>
  <c r="Y601" i="51" s="1"/>
  <c r="U621" i="50"/>
  <c r="U601" i="51" s="1"/>
  <c r="X621" i="50"/>
  <c r="X601" i="51" s="1"/>
  <c r="T621" i="50"/>
  <c r="T601" i="51" s="1"/>
  <c r="AA629" i="50"/>
  <c r="AA609" i="51" s="1"/>
  <c r="W629" i="50"/>
  <c r="W609" i="51" s="1"/>
  <c r="S629" i="50"/>
  <c r="S609" i="51" s="1"/>
  <c r="Z629" i="50"/>
  <c r="Z609" i="51" s="1"/>
  <c r="V629" i="50"/>
  <c r="V609" i="51" s="1"/>
  <c r="R629" i="50"/>
  <c r="R609" i="51" s="1"/>
  <c r="Y629" i="50"/>
  <c r="Y609" i="51" s="1"/>
  <c r="U629" i="50"/>
  <c r="U609" i="51" s="1"/>
  <c r="X629" i="50"/>
  <c r="X609" i="51" s="1"/>
  <c r="T629" i="50"/>
  <c r="T609" i="51" s="1"/>
  <c r="Y642" i="50"/>
  <c r="Y622" i="51" s="1"/>
  <c r="U642" i="50"/>
  <c r="U622" i="51" s="1"/>
  <c r="X642" i="50"/>
  <c r="X622" i="51" s="1"/>
  <c r="T642" i="50"/>
  <c r="T622" i="51" s="1"/>
  <c r="AA642" i="50"/>
  <c r="AA622" i="51" s="1"/>
  <c r="W642" i="50"/>
  <c r="W622" i="51" s="1"/>
  <c r="S642" i="50"/>
  <c r="S622" i="51" s="1"/>
  <c r="Z642" i="50"/>
  <c r="Z622" i="51" s="1"/>
  <c r="V642" i="50"/>
  <c r="V622" i="51" s="1"/>
  <c r="R642" i="50"/>
  <c r="R622" i="51" s="1"/>
  <c r="Y595" i="50"/>
  <c r="Y575" i="51" s="1"/>
  <c r="U595" i="50"/>
  <c r="U575" i="51" s="1"/>
  <c r="Q595" i="50"/>
  <c r="Q575" i="51" s="1"/>
  <c r="X595" i="50"/>
  <c r="X575" i="51" s="1"/>
  <c r="T595" i="50"/>
  <c r="T575" i="51" s="1"/>
  <c r="P595" i="50"/>
  <c r="P575" i="51" s="1"/>
  <c r="W595" i="50"/>
  <c r="W575" i="51" s="1"/>
  <c r="S595" i="50"/>
  <c r="S575" i="51" s="1"/>
  <c r="V595" i="50"/>
  <c r="V575" i="51" s="1"/>
  <c r="R595" i="50"/>
  <c r="R575" i="51" s="1"/>
  <c r="R610" i="50"/>
  <c r="W610" i="50"/>
  <c r="K618" i="50"/>
  <c r="G619" i="50"/>
  <c r="G599" i="50"/>
  <c r="G614" i="50"/>
  <c r="G620" i="50"/>
  <c r="AA623" i="50"/>
  <c r="AA603" i="51" s="1"/>
  <c r="W623" i="50"/>
  <c r="W603" i="51" s="1"/>
  <c r="S623" i="50"/>
  <c r="S603" i="51" s="1"/>
  <c r="Z623" i="50"/>
  <c r="Z603" i="51" s="1"/>
  <c r="V623" i="50"/>
  <c r="V603" i="51" s="1"/>
  <c r="R623" i="50"/>
  <c r="R603" i="51" s="1"/>
  <c r="Y623" i="50"/>
  <c r="Y603" i="51" s="1"/>
  <c r="U623" i="50"/>
  <c r="U603" i="51" s="1"/>
  <c r="X623" i="50"/>
  <c r="X603" i="51" s="1"/>
  <c r="T623" i="50"/>
  <c r="T603" i="51" s="1"/>
  <c r="AA627" i="50"/>
  <c r="AA607" i="51" s="1"/>
  <c r="W627" i="50"/>
  <c r="W607" i="51" s="1"/>
  <c r="S627" i="50"/>
  <c r="S607" i="51" s="1"/>
  <c r="Z627" i="50"/>
  <c r="Z607" i="51" s="1"/>
  <c r="V627" i="50"/>
  <c r="V607" i="51" s="1"/>
  <c r="R627" i="50"/>
  <c r="R607" i="51" s="1"/>
  <c r="Y627" i="50"/>
  <c r="Y607" i="51" s="1"/>
  <c r="U627" i="50"/>
  <c r="U607" i="51" s="1"/>
  <c r="X627" i="50"/>
  <c r="X607" i="51" s="1"/>
  <c r="T627" i="50"/>
  <c r="T607" i="51" s="1"/>
  <c r="AA625" i="50"/>
  <c r="AA605" i="51" s="1"/>
  <c r="W625" i="50"/>
  <c r="W605" i="51" s="1"/>
  <c r="S625" i="50"/>
  <c r="S605" i="51" s="1"/>
  <c r="Z625" i="50"/>
  <c r="Z605" i="51" s="1"/>
  <c r="V625" i="50"/>
  <c r="V605" i="51" s="1"/>
  <c r="R625" i="50"/>
  <c r="R605" i="51" s="1"/>
  <c r="Y625" i="50"/>
  <c r="Y605" i="51" s="1"/>
  <c r="U625" i="50"/>
  <c r="U605" i="51" s="1"/>
  <c r="X625" i="50"/>
  <c r="X605" i="51" s="1"/>
  <c r="T625" i="50"/>
  <c r="T605" i="51" s="1"/>
  <c r="W594" i="50"/>
  <c r="W574" i="51" s="1"/>
  <c r="S594" i="50"/>
  <c r="S574" i="51" s="1"/>
  <c r="V594" i="50"/>
  <c r="V574" i="51" s="1"/>
  <c r="R594" i="50"/>
  <c r="R574" i="51" s="1"/>
  <c r="Y594" i="50"/>
  <c r="Y574" i="51" s="1"/>
  <c r="U594" i="50"/>
  <c r="U574" i="51" s="1"/>
  <c r="Q594" i="50"/>
  <c r="Q574" i="51" s="1"/>
  <c r="X594" i="50"/>
  <c r="X574" i="51" s="1"/>
  <c r="T594" i="50"/>
  <c r="T574" i="51" s="1"/>
  <c r="P594" i="50"/>
  <c r="P574" i="51" s="1"/>
  <c r="G608" i="50"/>
  <c r="Q610" i="50"/>
  <c r="V610" i="50"/>
  <c r="T610" i="50"/>
  <c r="C638" i="50"/>
  <c r="E638" i="50" s="1"/>
  <c r="AA631" i="50"/>
  <c r="AA611" i="51" s="1"/>
  <c r="W631" i="50"/>
  <c r="W611" i="51" s="1"/>
  <c r="S631" i="50"/>
  <c r="S611" i="51" s="1"/>
  <c r="Z631" i="50"/>
  <c r="Z611" i="51" s="1"/>
  <c r="V631" i="50"/>
  <c r="V611" i="51" s="1"/>
  <c r="R631" i="50"/>
  <c r="R611" i="51" s="1"/>
  <c r="Y631" i="50"/>
  <c r="Y611" i="51" s="1"/>
  <c r="U631" i="50"/>
  <c r="U611" i="51" s="1"/>
  <c r="X631" i="50"/>
  <c r="X611" i="51" s="1"/>
  <c r="T631" i="50"/>
  <c r="T611" i="51" s="1"/>
  <c r="Y630" i="50"/>
  <c r="Y610" i="51" s="1"/>
  <c r="U630" i="50"/>
  <c r="U610" i="51" s="1"/>
  <c r="X630" i="50"/>
  <c r="X610" i="51" s="1"/>
  <c r="T630" i="50"/>
  <c r="T610" i="51" s="1"/>
  <c r="AA630" i="50"/>
  <c r="AA610" i="51" s="1"/>
  <c r="W630" i="50"/>
  <c r="W610" i="51" s="1"/>
  <c r="S630" i="50"/>
  <c r="S610" i="51" s="1"/>
  <c r="Z630" i="50"/>
  <c r="Z610" i="51" s="1"/>
  <c r="V630" i="50"/>
  <c r="V610" i="51" s="1"/>
  <c r="R630" i="50"/>
  <c r="R610" i="51" s="1"/>
  <c r="Y624" i="50"/>
  <c r="Y604" i="51" s="1"/>
  <c r="U624" i="50"/>
  <c r="U604" i="51" s="1"/>
  <c r="X624" i="50"/>
  <c r="X604" i="51" s="1"/>
  <c r="T624" i="50"/>
  <c r="T604" i="51" s="1"/>
  <c r="AA624" i="50"/>
  <c r="AA604" i="51" s="1"/>
  <c r="W624" i="50"/>
  <c r="W604" i="51" s="1"/>
  <c r="S624" i="50"/>
  <c r="S604" i="51" s="1"/>
  <c r="Z624" i="50"/>
  <c r="Z604" i="51" s="1"/>
  <c r="V624" i="50"/>
  <c r="V604" i="51" s="1"/>
  <c r="R624" i="50"/>
  <c r="R604" i="51" s="1"/>
  <c r="X616" i="50"/>
  <c r="X596" i="51" s="1"/>
  <c r="T616" i="50"/>
  <c r="T596" i="51" s="1"/>
  <c r="W616" i="50"/>
  <c r="W596" i="51" s="1"/>
  <c r="S616" i="50"/>
  <c r="S596" i="51" s="1"/>
  <c r="Z616" i="50"/>
  <c r="Z596" i="51" s="1"/>
  <c r="V616" i="50"/>
  <c r="V596" i="51" s="1"/>
  <c r="R616" i="50"/>
  <c r="R596" i="51" s="1"/>
  <c r="Y616" i="50"/>
  <c r="Y596" i="51" s="1"/>
  <c r="U616" i="50"/>
  <c r="U596" i="51" s="1"/>
  <c r="Q616" i="50"/>
  <c r="Q596" i="51" s="1"/>
  <c r="U610" i="50"/>
  <c r="Z610" i="50"/>
  <c r="X610" i="50"/>
  <c r="I600" i="50"/>
  <c r="Y626" i="50"/>
  <c r="Y606" i="51" s="1"/>
  <c r="U626" i="50"/>
  <c r="U606" i="51" s="1"/>
  <c r="X626" i="50"/>
  <c r="X606" i="51" s="1"/>
  <c r="T626" i="50"/>
  <c r="T606" i="51" s="1"/>
  <c r="AA626" i="50"/>
  <c r="AA606" i="51" s="1"/>
  <c r="W626" i="50"/>
  <c r="W606" i="51" s="1"/>
  <c r="S626" i="50"/>
  <c r="S606" i="51" s="1"/>
  <c r="Z626" i="50"/>
  <c r="Z606" i="51" s="1"/>
  <c r="V626" i="50"/>
  <c r="V606" i="51" s="1"/>
  <c r="R626" i="50"/>
  <c r="R606" i="51" s="1"/>
  <c r="AA641" i="50"/>
  <c r="AA621" i="51" s="1"/>
  <c r="W641" i="50"/>
  <c r="W621" i="51" s="1"/>
  <c r="S641" i="50"/>
  <c r="S621" i="51" s="1"/>
  <c r="Z641" i="50"/>
  <c r="Z621" i="51" s="1"/>
  <c r="V641" i="50"/>
  <c r="V621" i="51" s="1"/>
  <c r="R641" i="50"/>
  <c r="R621" i="51" s="1"/>
  <c r="Y641" i="50"/>
  <c r="Y621" i="51" s="1"/>
  <c r="U641" i="50"/>
  <c r="U621" i="51" s="1"/>
  <c r="X641" i="50"/>
  <c r="X621" i="51" s="1"/>
  <c r="T641" i="50"/>
  <c r="T621" i="51" s="1"/>
  <c r="Y628" i="50"/>
  <c r="Y608" i="51" s="1"/>
  <c r="U628" i="50"/>
  <c r="U608" i="51" s="1"/>
  <c r="X628" i="50"/>
  <c r="X608" i="51" s="1"/>
  <c r="T628" i="50"/>
  <c r="T608" i="51" s="1"/>
  <c r="AA628" i="50"/>
  <c r="AA608" i="51" s="1"/>
  <c r="W628" i="50"/>
  <c r="W608" i="51" s="1"/>
  <c r="S628" i="50"/>
  <c r="S608" i="51" s="1"/>
  <c r="Z628" i="50"/>
  <c r="Z608" i="51" s="1"/>
  <c r="V628" i="50"/>
  <c r="V608" i="51" s="1"/>
  <c r="R628" i="50"/>
  <c r="R608" i="51" s="1"/>
  <c r="Y640" i="50"/>
  <c r="Y620" i="51" s="1"/>
  <c r="U640" i="50"/>
  <c r="U620" i="51" s="1"/>
  <c r="X640" i="50"/>
  <c r="X620" i="51" s="1"/>
  <c r="T640" i="50"/>
  <c r="T620" i="51" s="1"/>
  <c r="AA640" i="50"/>
  <c r="AA620" i="51" s="1"/>
  <c r="W640" i="50"/>
  <c r="W620" i="51" s="1"/>
  <c r="S640" i="50"/>
  <c r="S620" i="51" s="1"/>
  <c r="Z640" i="50"/>
  <c r="Z620" i="51" s="1"/>
  <c r="V640" i="50"/>
  <c r="V620" i="51" s="1"/>
  <c r="R640" i="50"/>
  <c r="R620" i="51" s="1"/>
  <c r="W592" i="50"/>
  <c r="W572" i="51" s="1"/>
  <c r="S592" i="50"/>
  <c r="S572" i="51" s="1"/>
  <c r="V592" i="50"/>
  <c r="V572" i="51" s="1"/>
  <c r="R592" i="50"/>
  <c r="R572" i="51" s="1"/>
  <c r="Y592" i="50"/>
  <c r="Y572" i="51" s="1"/>
  <c r="U592" i="50"/>
  <c r="U572" i="51" s="1"/>
  <c r="Q592" i="50"/>
  <c r="Q572" i="51" s="1"/>
  <c r="X592" i="50"/>
  <c r="X572" i="51" s="1"/>
  <c r="T592" i="50"/>
  <c r="T572" i="51" s="1"/>
  <c r="P592" i="50"/>
  <c r="P572" i="51" s="1"/>
  <c r="Y593" i="50"/>
  <c r="Y573" i="51" s="1"/>
  <c r="U593" i="50"/>
  <c r="U573" i="51" s="1"/>
  <c r="Q593" i="50"/>
  <c r="Q573" i="51" s="1"/>
  <c r="X593" i="50"/>
  <c r="X573" i="51" s="1"/>
  <c r="T593" i="50"/>
  <c r="T573" i="51" s="1"/>
  <c r="P593" i="50"/>
  <c r="P573" i="51" s="1"/>
  <c r="W593" i="50"/>
  <c r="W573" i="51" s="1"/>
  <c r="S593" i="50"/>
  <c r="S573" i="51" s="1"/>
  <c r="V593" i="50"/>
  <c r="V573" i="51" s="1"/>
  <c r="R593" i="50"/>
  <c r="R573" i="51" s="1"/>
  <c r="Y610" i="50"/>
  <c r="S610" i="50"/>
  <c r="Z615" i="50"/>
  <c r="Z595" i="51" s="1"/>
  <c r="V615" i="50"/>
  <c r="V595" i="51" s="1"/>
  <c r="R615" i="50"/>
  <c r="R595" i="51" s="1"/>
  <c r="Y615" i="50"/>
  <c r="Y595" i="51" s="1"/>
  <c r="U615" i="50"/>
  <c r="U595" i="51" s="1"/>
  <c r="Q615" i="50"/>
  <c r="Q595" i="51" s="1"/>
  <c r="X615" i="50"/>
  <c r="X595" i="51" s="1"/>
  <c r="T615" i="50"/>
  <c r="T595" i="51" s="1"/>
  <c r="W615" i="50"/>
  <c r="W595" i="51" s="1"/>
  <c r="S615" i="50"/>
  <c r="S595" i="51" s="1"/>
  <c r="B665" i="50"/>
  <c r="K599" i="50"/>
  <c r="I610" i="50"/>
  <c r="G601" i="50"/>
  <c r="C634" i="50"/>
  <c r="C637" i="50"/>
  <c r="F631" i="50"/>
  <c r="E631" i="50"/>
  <c r="H631" i="50"/>
  <c r="J631" i="50"/>
  <c r="I631" i="50"/>
  <c r="D631" i="50"/>
  <c r="K631" i="50"/>
  <c r="H630" i="50"/>
  <c r="E630" i="50"/>
  <c r="D630" i="50"/>
  <c r="J630" i="50"/>
  <c r="I630" i="50"/>
  <c r="K630" i="50"/>
  <c r="F630" i="50"/>
  <c r="J624" i="50"/>
  <c r="D624" i="50"/>
  <c r="E624" i="50"/>
  <c r="I624" i="50"/>
  <c r="H624" i="50"/>
  <c r="K624" i="50"/>
  <c r="F624" i="50"/>
  <c r="I595" i="50"/>
  <c r="K595" i="50"/>
  <c r="E595" i="50"/>
  <c r="J595" i="50"/>
  <c r="H595" i="50"/>
  <c r="F595" i="50"/>
  <c r="D595" i="50"/>
  <c r="D616" i="50"/>
  <c r="I616" i="50"/>
  <c r="K616" i="50"/>
  <c r="H616" i="50"/>
  <c r="F616" i="50"/>
  <c r="J616" i="50"/>
  <c r="E616" i="50"/>
  <c r="G606" i="50"/>
  <c r="G572" i="50"/>
  <c r="K610" i="50"/>
  <c r="G568" i="50"/>
  <c r="C639" i="50"/>
  <c r="H626" i="50"/>
  <c r="E626" i="50"/>
  <c r="D626" i="50"/>
  <c r="J626" i="50"/>
  <c r="I626" i="50"/>
  <c r="K626" i="50"/>
  <c r="F626" i="50"/>
  <c r="I641" i="50"/>
  <c r="D641" i="50"/>
  <c r="E641" i="50"/>
  <c r="F641" i="50"/>
  <c r="H641" i="50"/>
  <c r="J641" i="50"/>
  <c r="K641" i="50"/>
  <c r="F628" i="50"/>
  <c r="H628" i="50"/>
  <c r="I628" i="50"/>
  <c r="D628" i="50"/>
  <c r="J628" i="50"/>
  <c r="K628" i="50"/>
  <c r="E628" i="50"/>
  <c r="E640" i="50"/>
  <c r="D640" i="50"/>
  <c r="J640" i="50"/>
  <c r="F640" i="50"/>
  <c r="H640" i="50"/>
  <c r="K594" i="50"/>
  <c r="E594" i="50"/>
  <c r="J594" i="50"/>
  <c r="H594" i="50"/>
  <c r="F594" i="50"/>
  <c r="D594" i="50"/>
  <c r="I594" i="50"/>
  <c r="G609" i="50"/>
  <c r="D613" i="50"/>
  <c r="E613" i="50"/>
  <c r="G613" i="50" s="1"/>
  <c r="E612" i="50"/>
  <c r="W612" i="50" s="1"/>
  <c r="H612" i="50"/>
  <c r="J612" i="50"/>
  <c r="K613" i="50" s="1"/>
  <c r="D612" i="50"/>
  <c r="F612" i="50"/>
  <c r="D617" i="50"/>
  <c r="F617" i="50"/>
  <c r="K617" i="50"/>
  <c r="E617" i="50"/>
  <c r="H617" i="50"/>
  <c r="I617" i="50"/>
  <c r="J617" i="50"/>
  <c r="D622" i="50"/>
  <c r="E622" i="50"/>
  <c r="G622" i="50" s="1"/>
  <c r="F621" i="50"/>
  <c r="H621" i="50"/>
  <c r="J621" i="50"/>
  <c r="E621" i="50"/>
  <c r="D621" i="50"/>
  <c r="K629" i="50"/>
  <c r="D629" i="50"/>
  <c r="I629" i="50"/>
  <c r="J629" i="50"/>
  <c r="E629" i="50"/>
  <c r="F629" i="50"/>
  <c r="H629" i="50"/>
  <c r="E642" i="50"/>
  <c r="J642" i="50"/>
  <c r="I642" i="50"/>
  <c r="K642" i="50"/>
  <c r="D642" i="50"/>
  <c r="H642" i="50"/>
  <c r="F642" i="50"/>
  <c r="D591" i="50"/>
  <c r="H590" i="50"/>
  <c r="E591" i="50"/>
  <c r="G591" i="50" s="1"/>
  <c r="D590" i="50"/>
  <c r="J590" i="50"/>
  <c r="E590" i="50"/>
  <c r="W590" i="50" s="1"/>
  <c r="F590" i="50"/>
  <c r="C663" i="50"/>
  <c r="C650" i="50"/>
  <c r="C645" i="50"/>
  <c r="C664" i="50"/>
  <c r="C651" i="50"/>
  <c r="C643" i="50"/>
  <c r="C647" i="50"/>
  <c r="C652" i="50"/>
  <c r="C649" i="50"/>
  <c r="C646" i="50"/>
  <c r="C648" i="50"/>
  <c r="C662" i="50"/>
  <c r="C653" i="50"/>
  <c r="C654" i="50"/>
  <c r="C659" i="50" s="1"/>
  <c r="G603" i="50"/>
  <c r="C636" i="50"/>
  <c r="D633" i="50"/>
  <c r="E632" i="50"/>
  <c r="U632" i="50" s="1"/>
  <c r="D632" i="50"/>
  <c r="H632" i="50"/>
  <c r="E633" i="50"/>
  <c r="G633" i="50" s="1"/>
  <c r="F632" i="50"/>
  <c r="J632" i="50"/>
  <c r="F623" i="50"/>
  <c r="E623" i="50"/>
  <c r="H623" i="50"/>
  <c r="J623" i="50"/>
  <c r="I623" i="50"/>
  <c r="D623" i="50"/>
  <c r="K623" i="50"/>
  <c r="F627" i="50"/>
  <c r="I627" i="50"/>
  <c r="H627" i="50"/>
  <c r="J627" i="50"/>
  <c r="E627" i="50"/>
  <c r="G627" i="50" s="1"/>
  <c r="K627" i="50"/>
  <c r="D627" i="50"/>
  <c r="E625" i="50"/>
  <c r="F625" i="50"/>
  <c r="H625" i="50"/>
  <c r="D625" i="50"/>
  <c r="J625" i="50"/>
  <c r="E592" i="50"/>
  <c r="J592" i="50"/>
  <c r="H592" i="50"/>
  <c r="F592" i="50"/>
  <c r="D592" i="50"/>
  <c r="I592" i="50"/>
  <c r="K592" i="50"/>
  <c r="D593" i="50"/>
  <c r="I593" i="50"/>
  <c r="K593" i="50"/>
  <c r="E593" i="50"/>
  <c r="J593" i="50"/>
  <c r="H593" i="50"/>
  <c r="F593" i="50"/>
  <c r="B107" i="42"/>
  <c r="B667" i="51" s="1"/>
  <c r="C662" i="51" l="1"/>
  <c r="I662" i="51" s="1"/>
  <c r="I640" i="50"/>
  <c r="G595" i="51"/>
  <c r="G644" i="51"/>
  <c r="G596" i="51"/>
  <c r="G632" i="51"/>
  <c r="K627" i="51"/>
  <c r="K613" i="51"/>
  <c r="P548" i="51"/>
  <c r="K623" i="51"/>
  <c r="G642" i="51"/>
  <c r="I627" i="51"/>
  <c r="I613" i="50"/>
  <c r="I590" i="50"/>
  <c r="K590" i="50"/>
  <c r="W570" i="51" s="1"/>
  <c r="U612" i="50"/>
  <c r="X590" i="50"/>
  <c r="X570" i="51" s="1"/>
  <c r="R590" i="50"/>
  <c r="R570" i="51" s="1"/>
  <c r="Q612" i="50"/>
  <c r="V612" i="50"/>
  <c r="T612" i="50"/>
  <c r="T548" i="51"/>
  <c r="O548" i="51"/>
  <c r="W548" i="51"/>
  <c r="Q590" i="50"/>
  <c r="Q570" i="51" s="1"/>
  <c r="V590" i="50"/>
  <c r="V570" i="51" s="1"/>
  <c r="Z612" i="50"/>
  <c r="X612" i="50"/>
  <c r="V548" i="51"/>
  <c r="R548" i="51"/>
  <c r="P590" i="50"/>
  <c r="P570" i="51" s="1"/>
  <c r="U590" i="50"/>
  <c r="U570" i="51" s="1"/>
  <c r="S590" i="50"/>
  <c r="S570" i="51" s="1"/>
  <c r="Y612" i="50"/>
  <c r="S612" i="50"/>
  <c r="K570" i="51"/>
  <c r="X548" i="51"/>
  <c r="T590" i="50"/>
  <c r="T570" i="51" s="1"/>
  <c r="Y590" i="50"/>
  <c r="Y570" i="51" s="1"/>
  <c r="R612" i="50"/>
  <c r="U548" i="51"/>
  <c r="Q548" i="51"/>
  <c r="S548" i="51"/>
  <c r="K612" i="50"/>
  <c r="W592" i="51" s="1"/>
  <c r="K591" i="50"/>
  <c r="I571" i="51"/>
  <c r="I591" i="50"/>
  <c r="I612" i="50"/>
  <c r="G593" i="51"/>
  <c r="K593" i="51"/>
  <c r="K571" i="51"/>
  <c r="I593" i="51"/>
  <c r="G597" i="51"/>
  <c r="G570" i="51"/>
  <c r="C661" i="51"/>
  <c r="K661" i="51" s="1"/>
  <c r="G631" i="51"/>
  <c r="G594" i="51"/>
  <c r="C658" i="51"/>
  <c r="H658" i="51" s="1"/>
  <c r="G612" i="51"/>
  <c r="I642" i="51"/>
  <c r="I624" i="51"/>
  <c r="K612" i="51"/>
  <c r="K624" i="51"/>
  <c r="F654" i="51"/>
  <c r="D654" i="51"/>
  <c r="E654" i="51"/>
  <c r="J654" i="51"/>
  <c r="H654" i="51"/>
  <c r="I654" i="51"/>
  <c r="K654" i="51"/>
  <c r="F619" i="51"/>
  <c r="D619" i="51"/>
  <c r="I619" i="51"/>
  <c r="K619" i="51"/>
  <c r="E619" i="51"/>
  <c r="G619" i="51" s="1"/>
  <c r="J619" i="51"/>
  <c r="H619" i="51"/>
  <c r="I653" i="51"/>
  <c r="K653" i="51"/>
  <c r="H653" i="51"/>
  <c r="F653" i="51"/>
  <c r="D653" i="51"/>
  <c r="E653" i="51"/>
  <c r="J653" i="51"/>
  <c r="D645" i="51"/>
  <c r="D646" i="51"/>
  <c r="H645" i="51"/>
  <c r="J645" i="51"/>
  <c r="E646" i="51"/>
  <c r="G646" i="51" s="1"/>
  <c r="F645" i="51"/>
  <c r="E645" i="51"/>
  <c r="F651" i="51"/>
  <c r="D651" i="51"/>
  <c r="I651" i="51"/>
  <c r="H651" i="51"/>
  <c r="K651" i="51"/>
  <c r="J651" i="51"/>
  <c r="E651" i="51"/>
  <c r="E666" i="51"/>
  <c r="K666" i="51"/>
  <c r="H666" i="51"/>
  <c r="D666" i="51"/>
  <c r="J666" i="51"/>
  <c r="I666" i="51"/>
  <c r="F666" i="51"/>
  <c r="F617" i="51"/>
  <c r="H617" i="51"/>
  <c r="E617" i="51"/>
  <c r="D617" i="51"/>
  <c r="J617" i="51"/>
  <c r="K617" i="51"/>
  <c r="I617" i="51"/>
  <c r="I613" i="51"/>
  <c r="F665" i="51"/>
  <c r="D665" i="51"/>
  <c r="J665" i="51"/>
  <c r="I665" i="51"/>
  <c r="H665" i="51"/>
  <c r="K665" i="51"/>
  <c r="E665" i="51"/>
  <c r="G574" i="51"/>
  <c r="C686" i="51"/>
  <c r="C678" i="51"/>
  <c r="C680" i="51" s="1"/>
  <c r="C677" i="51"/>
  <c r="C687" i="51"/>
  <c r="C675" i="51"/>
  <c r="C688" i="51"/>
  <c r="C667" i="51"/>
  <c r="C670" i="51"/>
  <c r="C669" i="51"/>
  <c r="C672" i="51"/>
  <c r="C674" i="51"/>
  <c r="C673" i="51"/>
  <c r="C676" i="51"/>
  <c r="C671" i="51"/>
  <c r="G575" i="51"/>
  <c r="G623" i="51"/>
  <c r="G625" i="51"/>
  <c r="H663" i="51"/>
  <c r="F663" i="51"/>
  <c r="D663" i="51"/>
  <c r="I663" i="51"/>
  <c r="J663" i="51"/>
  <c r="E663" i="51"/>
  <c r="K663" i="51"/>
  <c r="F650" i="51"/>
  <c r="D650" i="51"/>
  <c r="I650" i="51"/>
  <c r="K650" i="51"/>
  <c r="J650" i="51"/>
  <c r="E650" i="51"/>
  <c r="H650" i="51"/>
  <c r="I655" i="51"/>
  <c r="K655" i="51"/>
  <c r="E655" i="51"/>
  <c r="F655" i="51"/>
  <c r="H655" i="51"/>
  <c r="D655" i="51"/>
  <c r="J655" i="51"/>
  <c r="K648" i="51"/>
  <c r="E648" i="51"/>
  <c r="J648" i="51"/>
  <c r="F648" i="51"/>
  <c r="I648" i="51"/>
  <c r="D648" i="51"/>
  <c r="H648" i="51"/>
  <c r="G572" i="51"/>
  <c r="G633" i="51"/>
  <c r="G643" i="51"/>
  <c r="D634" i="51"/>
  <c r="F634" i="51"/>
  <c r="E635" i="51"/>
  <c r="G635" i="51" s="1"/>
  <c r="E634" i="51"/>
  <c r="D635" i="51"/>
  <c r="H634" i="51"/>
  <c r="J634" i="51"/>
  <c r="C641" i="51"/>
  <c r="C639" i="51"/>
  <c r="C636" i="51"/>
  <c r="C640" i="51"/>
  <c r="C638" i="51"/>
  <c r="K616" i="51"/>
  <c r="H616" i="51"/>
  <c r="J616" i="51"/>
  <c r="E616" i="51"/>
  <c r="F616" i="51"/>
  <c r="D616" i="51"/>
  <c r="I616" i="51"/>
  <c r="I647" i="51"/>
  <c r="J647" i="51"/>
  <c r="H647" i="51"/>
  <c r="F647" i="51"/>
  <c r="D647" i="51"/>
  <c r="K647" i="51"/>
  <c r="E647" i="51"/>
  <c r="K649" i="51"/>
  <c r="E649" i="51"/>
  <c r="J649" i="51"/>
  <c r="F649" i="51"/>
  <c r="D649" i="51"/>
  <c r="H649" i="51"/>
  <c r="D615" i="51"/>
  <c r="F614" i="51"/>
  <c r="D614" i="51"/>
  <c r="K614" i="51"/>
  <c r="H614" i="51"/>
  <c r="E615" i="51"/>
  <c r="G615" i="51" s="1"/>
  <c r="I615" i="51"/>
  <c r="K615" i="51"/>
  <c r="I614" i="51"/>
  <c r="J614" i="51"/>
  <c r="E614" i="51"/>
  <c r="I623" i="51"/>
  <c r="K662" i="51"/>
  <c r="C660" i="51"/>
  <c r="E657" i="51"/>
  <c r="G657" i="51" s="1"/>
  <c r="F656" i="51"/>
  <c r="H656" i="51"/>
  <c r="K656" i="51"/>
  <c r="I657" i="51"/>
  <c r="J656" i="51"/>
  <c r="D656" i="51"/>
  <c r="I656" i="51"/>
  <c r="K657" i="51"/>
  <c r="E656" i="51"/>
  <c r="G656" i="51" s="1"/>
  <c r="D657" i="51"/>
  <c r="H652" i="51"/>
  <c r="F652" i="51"/>
  <c r="K652" i="51"/>
  <c r="E652" i="51"/>
  <c r="J652" i="51"/>
  <c r="D652" i="51"/>
  <c r="I652" i="51"/>
  <c r="D664" i="51"/>
  <c r="J664" i="51"/>
  <c r="F664" i="51"/>
  <c r="E664" i="51"/>
  <c r="H664" i="51"/>
  <c r="G630" i="51"/>
  <c r="K642" i="51"/>
  <c r="G629" i="51"/>
  <c r="E618" i="51"/>
  <c r="J618" i="51"/>
  <c r="H618" i="51"/>
  <c r="F618" i="51"/>
  <c r="D618" i="51"/>
  <c r="I618" i="51"/>
  <c r="K618" i="51"/>
  <c r="I612" i="51"/>
  <c r="G627" i="51"/>
  <c r="J638" i="50"/>
  <c r="K638" i="50"/>
  <c r="H638" i="50"/>
  <c r="I638" i="50"/>
  <c r="F638" i="50"/>
  <c r="G638" i="50" s="1"/>
  <c r="D638" i="50"/>
  <c r="I621" i="50"/>
  <c r="K640" i="50"/>
  <c r="I625" i="50"/>
  <c r="G595" i="50"/>
  <c r="G640" i="50"/>
  <c r="G631" i="50"/>
  <c r="X590" i="51"/>
  <c r="Q590" i="51"/>
  <c r="R590" i="51"/>
  <c r="Z590" i="51"/>
  <c r="K625" i="50"/>
  <c r="I632" i="50"/>
  <c r="K621" i="50"/>
  <c r="K622" i="50"/>
  <c r="G612" i="50"/>
  <c r="S590" i="51"/>
  <c r="U590" i="51"/>
  <c r="T590" i="51"/>
  <c r="K632" i="50"/>
  <c r="U612" i="51" s="1"/>
  <c r="I622" i="50"/>
  <c r="Y590" i="51"/>
  <c r="V590" i="51"/>
  <c r="W590" i="51"/>
  <c r="Y636" i="50"/>
  <c r="Y616" i="51" s="1"/>
  <c r="U636" i="50"/>
  <c r="U616" i="51" s="1"/>
  <c r="X636" i="50"/>
  <c r="X616" i="51" s="1"/>
  <c r="T636" i="50"/>
  <c r="T616" i="51" s="1"/>
  <c r="AA636" i="50"/>
  <c r="AA616" i="51" s="1"/>
  <c r="W636" i="50"/>
  <c r="W616" i="51" s="1"/>
  <c r="S636" i="50"/>
  <c r="S616" i="51" s="1"/>
  <c r="Z636" i="50"/>
  <c r="Z616" i="51" s="1"/>
  <c r="V636" i="50"/>
  <c r="V616" i="51" s="1"/>
  <c r="R636" i="50"/>
  <c r="R616" i="51" s="1"/>
  <c r="C656" i="50"/>
  <c r="E656" i="50" s="1"/>
  <c r="Z646" i="50"/>
  <c r="Z626" i="51" s="1"/>
  <c r="V646" i="50"/>
  <c r="V626" i="51" s="1"/>
  <c r="Y646" i="50"/>
  <c r="Y626" i="51" s="1"/>
  <c r="U646" i="50"/>
  <c r="U626" i="51" s="1"/>
  <c r="AB646" i="50"/>
  <c r="AB626" i="51" s="1"/>
  <c r="X646" i="50"/>
  <c r="X626" i="51" s="1"/>
  <c r="T646" i="50"/>
  <c r="T626" i="51" s="1"/>
  <c r="AA646" i="50"/>
  <c r="AA626" i="51" s="1"/>
  <c r="W646" i="50"/>
  <c r="W626" i="51" s="1"/>
  <c r="S646" i="50"/>
  <c r="S626" i="51" s="1"/>
  <c r="AB643" i="50"/>
  <c r="AB623" i="51" s="1"/>
  <c r="X643" i="50"/>
  <c r="X623" i="51" s="1"/>
  <c r="T643" i="50"/>
  <c r="T623" i="51" s="1"/>
  <c r="AA643" i="50"/>
  <c r="AA623" i="51" s="1"/>
  <c r="W643" i="50"/>
  <c r="W623" i="51" s="1"/>
  <c r="S643" i="50"/>
  <c r="S623" i="51" s="1"/>
  <c r="Z643" i="50"/>
  <c r="Z623" i="51" s="1"/>
  <c r="V643" i="50"/>
  <c r="V623" i="51" s="1"/>
  <c r="Y643" i="50"/>
  <c r="Y623" i="51" s="1"/>
  <c r="U643" i="50"/>
  <c r="U623" i="51" s="1"/>
  <c r="Z650" i="50"/>
  <c r="Z630" i="51" s="1"/>
  <c r="V650" i="50"/>
  <c r="V630" i="51" s="1"/>
  <c r="Y650" i="50"/>
  <c r="Y630" i="51" s="1"/>
  <c r="U650" i="50"/>
  <c r="U630" i="51" s="1"/>
  <c r="AB650" i="50"/>
  <c r="AB630" i="51" s="1"/>
  <c r="X650" i="50"/>
  <c r="X630" i="51" s="1"/>
  <c r="T650" i="50"/>
  <c r="T630" i="51" s="1"/>
  <c r="AA650" i="50"/>
  <c r="AA630" i="51" s="1"/>
  <c r="W650" i="50"/>
  <c r="W630" i="51" s="1"/>
  <c r="S650" i="50"/>
  <c r="S630" i="51" s="1"/>
  <c r="G641" i="50"/>
  <c r="Y634" i="50"/>
  <c r="Y614" i="51" s="1"/>
  <c r="U634" i="50"/>
  <c r="U614" i="51" s="1"/>
  <c r="X634" i="50"/>
  <c r="X614" i="51" s="1"/>
  <c r="T634" i="50"/>
  <c r="T614" i="51" s="1"/>
  <c r="AA634" i="50"/>
  <c r="AA614" i="51" s="1"/>
  <c r="W634" i="50"/>
  <c r="W614" i="51" s="1"/>
  <c r="S634" i="50"/>
  <c r="S614" i="51" s="1"/>
  <c r="Z634" i="50"/>
  <c r="Z614" i="51" s="1"/>
  <c r="V634" i="50"/>
  <c r="V614" i="51" s="1"/>
  <c r="R634" i="50"/>
  <c r="R614" i="51" s="1"/>
  <c r="V632" i="50"/>
  <c r="AA632" i="50"/>
  <c r="Y632" i="50"/>
  <c r="AB653" i="50"/>
  <c r="AB633" i="51" s="1"/>
  <c r="X653" i="50"/>
  <c r="X633" i="51" s="1"/>
  <c r="T653" i="50"/>
  <c r="T633" i="51" s="1"/>
  <c r="AA653" i="50"/>
  <c r="AA633" i="51" s="1"/>
  <c r="W653" i="50"/>
  <c r="W633" i="51" s="1"/>
  <c r="S653" i="50"/>
  <c r="S633" i="51" s="1"/>
  <c r="Z653" i="50"/>
  <c r="Z633" i="51" s="1"/>
  <c r="V653" i="50"/>
  <c r="V633" i="51" s="1"/>
  <c r="Y653" i="50"/>
  <c r="Y633" i="51" s="1"/>
  <c r="U653" i="50"/>
  <c r="U633" i="51" s="1"/>
  <c r="AB649" i="50"/>
  <c r="AB629" i="51" s="1"/>
  <c r="X649" i="50"/>
  <c r="X629" i="51" s="1"/>
  <c r="T649" i="50"/>
  <c r="T629" i="51" s="1"/>
  <c r="AA649" i="50"/>
  <c r="AA629" i="51" s="1"/>
  <c r="W649" i="50"/>
  <c r="W629" i="51" s="1"/>
  <c r="S649" i="50"/>
  <c r="S629" i="51" s="1"/>
  <c r="Z649" i="50"/>
  <c r="Z629" i="51" s="1"/>
  <c r="V649" i="50"/>
  <c r="V629" i="51" s="1"/>
  <c r="Y649" i="50"/>
  <c r="Y629" i="51" s="1"/>
  <c r="U649" i="50"/>
  <c r="U629" i="51" s="1"/>
  <c r="AB651" i="50"/>
  <c r="AB631" i="51" s="1"/>
  <c r="X651" i="50"/>
  <c r="X631" i="51" s="1"/>
  <c r="T651" i="50"/>
  <c r="T631" i="51" s="1"/>
  <c r="AA651" i="50"/>
  <c r="AA631" i="51" s="1"/>
  <c r="W651" i="50"/>
  <c r="W631" i="51" s="1"/>
  <c r="S651" i="50"/>
  <c r="S631" i="51" s="1"/>
  <c r="Z651" i="50"/>
  <c r="Z631" i="51" s="1"/>
  <c r="V651" i="50"/>
  <c r="V631" i="51" s="1"/>
  <c r="Y651" i="50"/>
  <c r="Y631" i="51" s="1"/>
  <c r="U651" i="50"/>
  <c r="U631" i="51" s="1"/>
  <c r="AB663" i="50"/>
  <c r="AB643" i="51" s="1"/>
  <c r="X663" i="50"/>
  <c r="X643" i="51" s="1"/>
  <c r="T663" i="50"/>
  <c r="T643" i="51" s="1"/>
  <c r="AA663" i="50"/>
  <c r="AA643" i="51" s="1"/>
  <c r="W663" i="50"/>
  <c r="W643" i="51" s="1"/>
  <c r="S663" i="50"/>
  <c r="S643" i="51" s="1"/>
  <c r="Z663" i="50"/>
  <c r="Z643" i="51" s="1"/>
  <c r="V663" i="50"/>
  <c r="V643" i="51" s="1"/>
  <c r="Y663" i="50"/>
  <c r="Y643" i="51" s="1"/>
  <c r="U663" i="50"/>
  <c r="U643" i="51" s="1"/>
  <c r="Z632" i="50"/>
  <c r="T632" i="50"/>
  <c r="Y638" i="50"/>
  <c r="Y618" i="51" s="1"/>
  <c r="U638" i="50"/>
  <c r="U618" i="51" s="1"/>
  <c r="X638" i="50"/>
  <c r="X618" i="51" s="1"/>
  <c r="T638" i="50"/>
  <c r="T618" i="51" s="1"/>
  <c r="AA638" i="50"/>
  <c r="AA618" i="51" s="1"/>
  <c r="W638" i="50"/>
  <c r="W618" i="51" s="1"/>
  <c r="S638" i="50"/>
  <c r="S618" i="51" s="1"/>
  <c r="Z638" i="50"/>
  <c r="Z618" i="51" s="1"/>
  <c r="V638" i="50"/>
  <c r="V618" i="51" s="1"/>
  <c r="R638" i="50"/>
  <c r="R618" i="51" s="1"/>
  <c r="C658" i="50"/>
  <c r="D658" i="50" s="1"/>
  <c r="Z662" i="50"/>
  <c r="Z642" i="51" s="1"/>
  <c r="V662" i="50"/>
  <c r="V642" i="51" s="1"/>
  <c r="Y662" i="50"/>
  <c r="Y642" i="51" s="1"/>
  <c r="U662" i="50"/>
  <c r="U642" i="51" s="1"/>
  <c r="AB662" i="50"/>
  <c r="AB642" i="51" s="1"/>
  <c r="X662" i="50"/>
  <c r="X642" i="51" s="1"/>
  <c r="T662" i="50"/>
  <c r="T642" i="51" s="1"/>
  <c r="AA662" i="50"/>
  <c r="AA642" i="51" s="1"/>
  <c r="W662" i="50"/>
  <c r="W642" i="51" s="1"/>
  <c r="S662" i="50"/>
  <c r="S642" i="51" s="1"/>
  <c r="Z652" i="50"/>
  <c r="Z632" i="51" s="1"/>
  <c r="V652" i="50"/>
  <c r="V632" i="51" s="1"/>
  <c r="Y652" i="50"/>
  <c r="Y632" i="51" s="1"/>
  <c r="U652" i="50"/>
  <c r="U632" i="51" s="1"/>
  <c r="AB652" i="50"/>
  <c r="AB632" i="51" s="1"/>
  <c r="X652" i="50"/>
  <c r="X632" i="51" s="1"/>
  <c r="T652" i="50"/>
  <c r="T632" i="51" s="1"/>
  <c r="AA652" i="50"/>
  <c r="AA632" i="51" s="1"/>
  <c r="W652" i="50"/>
  <c r="W632" i="51" s="1"/>
  <c r="S652" i="50"/>
  <c r="S632" i="51" s="1"/>
  <c r="Z664" i="50"/>
  <c r="Z644" i="51" s="1"/>
  <c r="V664" i="50"/>
  <c r="V644" i="51" s="1"/>
  <c r="Y664" i="50"/>
  <c r="Y644" i="51" s="1"/>
  <c r="U664" i="50"/>
  <c r="U644" i="51" s="1"/>
  <c r="AB664" i="50"/>
  <c r="AB644" i="51" s="1"/>
  <c r="X664" i="50"/>
  <c r="X644" i="51" s="1"/>
  <c r="T664" i="50"/>
  <c r="T644" i="51" s="1"/>
  <c r="AA664" i="50"/>
  <c r="AA644" i="51" s="1"/>
  <c r="W664" i="50"/>
  <c r="W644" i="51" s="1"/>
  <c r="S664" i="50"/>
  <c r="S644" i="51" s="1"/>
  <c r="AA639" i="50"/>
  <c r="AA619" i="51" s="1"/>
  <c r="W639" i="50"/>
  <c r="W619" i="51" s="1"/>
  <c r="S639" i="50"/>
  <c r="S619" i="51" s="1"/>
  <c r="Z639" i="50"/>
  <c r="Z619" i="51" s="1"/>
  <c r="V639" i="50"/>
  <c r="V619" i="51" s="1"/>
  <c r="R639" i="50"/>
  <c r="R619" i="51" s="1"/>
  <c r="Y639" i="50"/>
  <c r="Y619" i="51" s="1"/>
  <c r="U639" i="50"/>
  <c r="U619" i="51" s="1"/>
  <c r="X639" i="50"/>
  <c r="X619" i="51" s="1"/>
  <c r="T639" i="50"/>
  <c r="T619" i="51" s="1"/>
  <c r="G624" i="50"/>
  <c r="G630" i="50"/>
  <c r="S632" i="50"/>
  <c r="X632" i="50"/>
  <c r="AB659" i="50"/>
  <c r="AB639" i="51" s="1"/>
  <c r="X659" i="50"/>
  <c r="X639" i="51" s="1"/>
  <c r="T659" i="50"/>
  <c r="T639" i="51" s="1"/>
  <c r="AA659" i="50"/>
  <c r="AA639" i="51" s="1"/>
  <c r="W659" i="50"/>
  <c r="W639" i="51" s="1"/>
  <c r="S659" i="50"/>
  <c r="S639" i="51" s="1"/>
  <c r="Z659" i="50"/>
  <c r="Z639" i="51" s="1"/>
  <c r="V659" i="50"/>
  <c r="V639" i="51" s="1"/>
  <c r="Y659" i="50"/>
  <c r="Y639" i="51" s="1"/>
  <c r="U659" i="50"/>
  <c r="U639" i="51" s="1"/>
  <c r="Z648" i="50"/>
  <c r="Z628" i="51" s="1"/>
  <c r="V648" i="50"/>
  <c r="V628" i="51" s="1"/>
  <c r="Y648" i="50"/>
  <c r="Y628" i="51" s="1"/>
  <c r="U648" i="50"/>
  <c r="U628" i="51" s="1"/>
  <c r="AB648" i="50"/>
  <c r="AB628" i="51" s="1"/>
  <c r="X648" i="50"/>
  <c r="X628" i="51" s="1"/>
  <c r="T648" i="50"/>
  <c r="T628" i="51" s="1"/>
  <c r="AA648" i="50"/>
  <c r="AA628" i="51" s="1"/>
  <c r="W648" i="50"/>
  <c r="W628" i="51" s="1"/>
  <c r="S648" i="50"/>
  <c r="S628" i="51" s="1"/>
  <c r="AB647" i="50"/>
  <c r="AB627" i="51" s="1"/>
  <c r="X647" i="50"/>
  <c r="X627" i="51" s="1"/>
  <c r="T647" i="50"/>
  <c r="T627" i="51" s="1"/>
  <c r="AA647" i="50"/>
  <c r="AA627" i="51" s="1"/>
  <c r="W647" i="50"/>
  <c r="W627" i="51" s="1"/>
  <c r="S647" i="50"/>
  <c r="S627" i="51" s="1"/>
  <c r="Z647" i="50"/>
  <c r="Z627" i="51" s="1"/>
  <c r="V647" i="50"/>
  <c r="V627" i="51" s="1"/>
  <c r="Y647" i="50"/>
  <c r="Y627" i="51" s="1"/>
  <c r="U647" i="50"/>
  <c r="U627" i="51" s="1"/>
  <c r="AB645" i="50"/>
  <c r="AB625" i="51" s="1"/>
  <c r="X645" i="50"/>
  <c r="X625" i="51" s="1"/>
  <c r="T645" i="50"/>
  <c r="T625" i="51" s="1"/>
  <c r="AA645" i="50"/>
  <c r="AA625" i="51" s="1"/>
  <c r="W645" i="50"/>
  <c r="W625" i="51" s="1"/>
  <c r="S645" i="50"/>
  <c r="S625" i="51" s="1"/>
  <c r="Z645" i="50"/>
  <c r="Z625" i="51" s="1"/>
  <c r="V645" i="50"/>
  <c r="V625" i="51" s="1"/>
  <c r="Y645" i="50"/>
  <c r="Y625" i="51" s="1"/>
  <c r="U645" i="50"/>
  <c r="U625" i="51" s="1"/>
  <c r="AA637" i="50"/>
  <c r="AA617" i="51" s="1"/>
  <c r="W637" i="50"/>
  <c r="W617" i="51" s="1"/>
  <c r="S637" i="50"/>
  <c r="S617" i="51" s="1"/>
  <c r="Z637" i="50"/>
  <c r="Z617" i="51" s="1"/>
  <c r="V637" i="50"/>
  <c r="V617" i="51" s="1"/>
  <c r="R637" i="50"/>
  <c r="R617" i="51" s="1"/>
  <c r="Y637" i="50"/>
  <c r="Y617" i="51" s="1"/>
  <c r="U637" i="50"/>
  <c r="U617" i="51" s="1"/>
  <c r="X637" i="50"/>
  <c r="X617" i="51" s="1"/>
  <c r="T637" i="50"/>
  <c r="T617" i="51" s="1"/>
  <c r="R632" i="50"/>
  <c r="W632" i="50"/>
  <c r="J659" i="50"/>
  <c r="I659" i="50"/>
  <c r="H659" i="50"/>
  <c r="K659" i="50"/>
  <c r="F659" i="50"/>
  <c r="E659" i="50"/>
  <c r="D659" i="50"/>
  <c r="K653" i="50"/>
  <c r="E653" i="50"/>
  <c r="J653" i="50"/>
  <c r="H653" i="50"/>
  <c r="I653" i="50"/>
  <c r="D653" i="50"/>
  <c r="F653" i="50"/>
  <c r="F649" i="50"/>
  <c r="D649" i="50"/>
  <c r="I649" i="50"/>
  <c r="J649" i="50"/>
  <c r="H649" i="50"/>
  <c r="E649" i="50"/>
  <c r="K649" i="50"/>
  <c r="I651" i="50"/>
  <c r="K651" i="50"/>
  <c r="H651" i="50"/>
  <c r="F651" i="50"/>
  <c r="J651" i="50"/>
  <c r="E651" i="50"/>
  <c r="D651" i="50"/>
  <c r="F663" i="50"/>
  <c r="I663" i="50"/>
  <c r="D663" i="50"/>
  <c r="E663" i="50"/>
  <c r="K663" i="50"/>
  <c r="J663" i="50"/>
  <c r="H663" i="50"/>
  <c r="I637" i="50"/>
  <c r="D637" i="50"/>
  <c r="E637" i="50"/>
  <c r="J637" i="50"/>
  <c r="K637" i="50"/>
  <c r="F637" i="50"/>
  <c r="H637" i="50"/>
  <c r="G625" i="50"/>
  <c r="I633" i="50"/>
  <c r="C660" i="50"/>
  <c r="D662" i="50"/>
  <c r="J662" i="50"/>
  <c r="H662" i="50"/>
  <c r="E662" i="50"/>
  <c r="F662" i="50"/>
  <c r="J652" i="50"/>
  <c r="H652" i="50"/>
  <c r="F652" i="50"/>
  <c r="K652" i="50"/>
  <c r="E652" i="50"/>
  <c r="D652" i="50"/>
  <c r="I652" i="50"/>
  <c r="D664" i="50"/>
  <c r="J664" i="50"/>
  <c r="I664" i="50"/>
  <c r="F664" i="50"/>
  <c r="H664" i="50"/>
  <c r="K664" i="50"/>
  <c r="E664" i="50"/>
  <c r="G590" i="50"/>
  <c r="G621" i="50"/>
  <c r="G617" i="50"/>
  <c r="G626" i="50"/>
  <c r="H639" i="50"/>
  <c r="K639" i="50"/>
  <c r="E639" i="50"/>
  <c r="F639" i="50"/>
  <c r="D639" i="50"/>
  <c r="I639" i="50"/>
  <c r="J639" i="50"/>
  <c r="G616" i="50"/>
  <c r="K634" i="50"/>
  <c r="K635" i="50"/>
  <c r="E635" i="50"/>
  <c r="G635" i="50" s="1"/>
  <c r="F634" i="50"/>
  <c r="I635" i="50"/>
  <c r="H634" i="50"/>
  <c r="I634" i="50"/>
  <c r="E634" i="50"/>
  <c r="G634" i="50" s="1"/>
  <c r="D635" i="50"/>
  <c r="D634" i="50"/>
  <c r="J634" i="50"/>
  <c r="G632" i="50"/>
  <c r="E636" i="50"/>
  <c r="J636" i="50"/>
  <c r="H636" i="50"/>
  <c r="F636" i="50"/>
  <c r="K636" i="50"/>
  <c r="I636" i="50"/>
  <c r="D636" i="50"/>
  <c r="C661" i="50"/>
  <c r="J648" i="50"/>
  <c r="H648" i="50"/>
  <c r="F648" i="50"/>
  <c r="K648" i="50"/>
  <c r="E648" i="50"/>
  <c r="D648" i="50"/>
  <c r="I648" i="50"/>
  <c r="E647" i="50"/>
  <c r="H647" i="50"/>
  <c r="J647" i="50"/>
  <c r="F647" i="50"/>
  <c r="D647" i="50"/>
  <c r="J645" i="50"/>
  <c r="H645" i="50"/>
  <c r="F645" i="50"/>
  <c r="D645" i="50"/>
  <c r="K645" i="50"/>
  <c r="E645" i="50"/>
  <c r="I645" i="50"/>
  <c r="G629" i="50"/>
  <c r="G628" i="50"/>
  <c r="C668" i="50"/>
  <c r="C685" i="50"/>
  <c r="C686" i="50"/>
  <c r="C675" i="50"/>
  <c r="C670" i="50"/>
  <c r="C665" i="50"/>
  <c r="C669" i="50"/>
  <c r="C667" i="50"/>
  <c r="C674" i="50"/>
  <c r="C672" i="50"/>
  <c r="C673" i="50"/>
  <c r="C676" i="50"/>
  <c r="C671" i="50"/>
  <c r="C684" i="50"/>
  <c r="B687" i="50"/>
  <c r="G593" i="50"/>
  <c r="G592" i="50"/>
  <c r="G623" i="50"/>
  <c r="K633" i="50"/>
  <c r="D655" i="50"/>
  <c r="H654" i="50"/>
  <c r="E654" i="50"/>
  <c r="Z654" i="50" s="1"/>
  <c r="E655" i="50"/>
  <c r="G655" i="50" s="1"/>
  <c r="D654" i="50"/>
  <c r="J654" i="50"/>
  <c r="F654" i="50"/>
  <c r="E646" i="50"/>
  <c r="J646" i="50"/>
  <c r="H646" i="50"/>
  <c r="I646" i="50"/>
  <c r="K646" i="50"/>
  <c r="F646" i="50"/>
  <c r="D646" i="50"/>
  <c r="E643" i="50"/>
  <c r="F643" i="50"/>
  <c r="D643" i="50"/>
  <c r="E644" i="50"/>
  <c r="G644" i="50" s="1"/>
  <c r="D644" i="50"/>
  <c r="J643" i="50"/>
  <c r="H643" i="50"/>
  <c r="J650" i="50"/>
  <c r="H650" i="50"/>
  <c r="F650" i="50"/>
  <c r="D650" i="50"/>
  <c r="E650" i="50"/>
  <c r="I650" i="50"/>
  <c r="K650" i="50"/>
  <c r="G642" i="50"/>
  <c r="G594" i="50"/>
  <c r="B108" i="42"/>
  <c r="B689" i="51" s="1"/>
  <c r="D662" i="51" l="1"/>
  <c r="H662" i="51"/>
  <c r="F662" i="51"/>
  <c r="E662" i="51"/>
  <c r="V612" i="51"/>
  <c r="J662" i="51"/>
  <c r="H661" i="51"/>
  <c r="H658" i="50"/>
  <c r="H656" i="50"/>
  <c r="I661" i="51"/>
  <c r="E658" i="50"/>
  <c r="D661" i="51"/>
  <c r="I634" i="51"/>
  <c r="G663" i="51"/>
  <c r="G665" i="51"/>
  <c r="G617" i="51"/>
  <c r="I649" i="51"/>
  <c r="K645" i="51"/>
  <c r="G647" i="51"/>
  <c r="I664" i="51"/>
  <c r="K664" i="51"/>
  <c r="C683" i="51"/>
  <c r="J683" i="51" s="1"/>
  <c r="I645" i="51"/>
  <c r="G648" i="51"/>
  <c r="C685" i="51"/>
  <c r="F685" i="51" s="1"/>
  <c r="K646" i="51"/>
  <c r="I646" i="51"/>
  <c r="C27" i="41"/>
  <c r="Y592" i="51"/>
  <c r="U592" i="51"/>
  <c r="C26" i="41"/>
  <c r="Q592" i="51"/>
  <c r="R592" i="51"/>
  <c r="X592" i="51"/>
  <c r="T592" i="51"/>
  <c r="S592" i="51"/>
  <c r="Z592" i="51"/>
  <c r="V592" i="51"/>
  <c r="E657" i="50"/>
  <c r="G657" i="50" s="1"/>
  <c r="K658" i="51"/>
  <c r="D658" i="51"/>
  <c r="F658" i="51"/>
  <c r="E658" i="51"/>
  <c r="D659" i="51"/>
  <c r="I659" i="51"/>
  <c r="K659" i="51"/>
  <c r="I658" i="51"/>
  <c r="F656" i="50"/>
  <c r="G656" i="50" s="1"/>
  <c r="E659" i="51"/>
  <c r="G659" i="51" s="1"/>
  <c r="J658" i="51"/>
  <c r="J661" i="51"/>
  <c r="G634" i="51"/>
  <c r="G618" i="51"/>
  <c r="G649" i="51"/>
  <c r="C682" i="51"/>
  <c r="F682" i="51" s="1"/>
  <c r="E661" i="51"/>
  <c r="F661" i="51"/>
  <c r="G664" i="51"/>
  <c r="G614" i="51"/>
  <c r="G655" i="51"/>
  <c r="I635" i="51"/>
  <c r="I639" i="51"/>
  <c r="K639" i="51"/>
  <c r="E639" i="51"/>
  <c r="J639" i="51"/>
  <c r="H639" i="51"/>
  <c r="F639" i="51"/>
  <c r="D639" i="51"/>
  <c r="J680" i="51"/>
  <c r="K681" i="51"/>
  <c r="D681" i="51"/>
  <c r="F680" i="51"/>
  <c r="E681" i="51"/>
  <c r="G681" i="51" s="1"/>
  <c r="E680" i="51"/>
  <c r="K680" i="51"/>
  <c r="H680" i="51"/>
  <c r="I681" i="51"/>
  <c r="D680" i="51"/>
  <c r="I680" i="51"/>
  <c r="E673" i="51"/>
  <c r="J673" i="51"/>
  <c r="H673" i="51"/>
  <c r="F673" i="51"/>
  <c r="K673" i="51"/>
  <c r="I673" i="51"/>
  <c r="D673" i="51"/>
  <c r="I670" i="51"/>
  <c r="K670" i="51"/>
  <c r="J670" i="51"/>
  <c r="H670" i="51"/>
  <c r="F670" i="51"/>
  <c r="D670" i="51"/>
  <c r="E670" i="51"/>
  <c r="H687" i="51"/>
  <c r="F687" i="51"/>
  <c r="D687" i="51"/>
  <c r="I687" i="51"/>
  <c r="J687" i="51"/>
  <c r="E687" i="51"/>
  <c r="G687" i="51" s="1"/>
  <c r="K687" i="51"/>
  <c r="E660" i="51"/>
  <c r="J660" i="51"/>
  <c r="H660" i="51"/>
  <c r="F660" i="51"/>
  <c r="K660" i="51"/>
  <c r="I660" i="51"/>
  <c r="D660" i="51"/>
  <c r="G616" i="51"/>
  <c r="D638" i="51"/>
  <c r="I638" i="51"/>
  <c r="K638" i="51"/>
  <c r="E638" i="51"/>
  <c r="J638" i="51"/>
  <c r="H638" i="51"/>
  <c r="F638" i="51"/>
  <c r="D641" i="51"/>
  <c r="I641" i="51"/>
  <c r="K641" i="51"/>
  <c r="E641" i="51"/>
  <c r="J641" i="51"/>
  <c r="H641" i="51"/>
  <c r="F641" i="51"/>
  <c r="F674" i="51"/>
  <c r="D674" i="51"/>
  <c r="I674" i="51"/>
  <c r="K674" i="51"/>
  <c r="H674" i="51"/>
  <c r="J674" i="51"/>
  <c r="E674" i="51"/>
  <c r="D667" i="51"/>
  <c r="D668" i="51"/>
  <c r="J667" i="51"/>
  <c r="E667" i="51"/>
  <c r="F667" i="51"/>
  <c r="H667" i="51"/>
  <c r="I668" i="51" s="1"/>
  <c r="E668" i="51"/>
  <c r="G668" i="51" s="1"/>
  <c r="D677" i="51"/>
  <c r="I677" i="51"/>
  <c r="K677" i="51"/>
  <c r="J677" i="51"/>
  <c r="F677" i="51"/>
  <c r="H677" i="51"/>
  <c r="E677" i="51"/>
  <c r="G652" i="51"/>
  <c r="F640" i="51"/>
  <c r="D640" i="51"/>
  <c r="I640" i="51"/>
  <c r="K640" i="51"/>
  <c r="E640" i="51"/>
  <c r="G640" i="51" s="1"/>
  <c r="J640" i="51"/>
  <c r="H640" i="51"/>
  <c r="K634" i="51"/>
  <c r="J671" i="51"/>
  <c r="H671" i="51"/>
  <c r="F671" i="51"/>
  <c r="D671" i="51"/>
  <c r="E671" i="51"/>
  <c r="I671" i="51" s="1"/>
  <c r="D672" i="51"/>
  <c r="I672" i="51"/>
  <c r="K672" i="51"/>
  <c r="E672" i="51"/>
  <c r="H672" i="51"/>
  <c r="J672" i="51"/>
  <c r="F672" i="51"/>
  <c r="H688" i="51"/>
  <c r="F688" i="51"/>
  <c r="D688" i="51"/>
  <c r="E688" i="51"/>
  <c r="K688" i="51"/>
  <c r="J688" i="51"/>
  <c r="I688" i="51"/>
  <c r="C684" i="51"/>
  <c r="F678" i="51"/>
  <c r="H678" i="51"/>
  <c r="D678" i="51"/>
  <c r="E678" i="51"/>
  <c r="D679" i="51"/>
  <c r="J678" i="51"/>
  <c r="E679" i="51"/>
  <c r="G679" i="51" s="1"/>
  <c r="G666" i="51"/>
  <c r="G645" i="51"/>
  <c r="G653" i="51"/>
  <c r="G654" i="51"/>
  <c r="C710" i="51"/>
  <c r="C699" i="51"/>
  <c r="C692" i="51"/>
  <c r="C698" i="51"/>
  <c r="C689" i="51"/>
  <c r="C693" i="51"/>
  <c r="C696" i="51"/>
  <c r="C709" i="51"/>
  <c r="C691" i="51"/>
  <c r="C694" i="51"/>
  <c r="C697" i="51"/>
  <c r="C708" i="51"/>
  <c r="C695" i="51"/>
  <c r="C700" i="51"/>
  <c r="C704" i="51" s="1"/>
  <c r="E636" i="51"/>
  <c r="D636" i="51"/>
  <c r="J636" i="51"/>
  <c r="K637" i="51"/>
  <c r="D637" i="51"/>
  <c r="F636" i="51"/>
  <c r="E637" i="51"/>
  <c r="G637" i="51" s="1"/>
  <c r="K636" i="51"/>
  <c r="I636" i="51"/>
  <c r="H636" i="51"/>
  <c r="I637" i="51"/>
  <c r="K635" i="51"/>
  <c r="G650" i="51"/>
  <c r="J676" i="51"/>
  <c r="H676" i="51"/>
  <c r="F676" i="51"/>
  <c r="I676" i="51"/>
  <c r="E676" i="51"/>
  <c r="K676" i="51"/>
  <c r="D676" i="51"/>
  <c r="D669" i="51"/>
  <c r="I669" i="51"/>
  <c r="K669" i="51"/>
  <c r="H669" i="51"/>
  <c r="J669" i="51"/>
  <c r="F669" i="51"/>
  <c r="E669" i="51"/>
  <c r="I675" i="51"/>
  <c r="K675" i="51"/>
  <c r="E675" i="51"/>
  <c r="F675" i="51"/>
  <c r="H675" i="51"/>
  <c r="D675" i="51"/>
  <c r="J675" i="51"/>
  <c r="E686" i="51"/>
  <c r="J686" i="51"/>
  <c r="H686" i="51"/>
  <c r="F686" i="51"/>
  <c r="D686" i="51"/>
  <c r="G651" i="51"/>
  <c r="F658" i="50"/>
  <c r="K656" i="50"/>
  <c r="I657" i="50"/>
  <c r="K658" i="50"/>
  <c r="D656" i="50"/>
  <c r="K657" i="50"/>
  <c r="J656" i="50"/>
  <c r="I658" i="50"/>
  <c r="I656" i="50"/>
  <c r="J658" i="50"/>
  <c r="D657" i="50"/>
  <c r="W612" i="51"/>
  <c r="X612" i="51"/>
  <c r="R612" i="51"/>
  <c r="S612" i="51"/>
  <c r="T612" i="51"/>
  <c r="Y612" i="51"/>
  <c r="Z612" i="51"/>
  <c r="AA612" i="51"/>
  <c r="I647" i="50"/>
  <c r="K643" i="50"/>
  <c r="G651" i="50"/>
  <c r="I655" i="50"/>
  <c r="K647" i="50"/>
  <c r="G662" i="50"/>
  <c r="G663" i="50"/>
  <c r="G649" i="50"/>
  <c r="I654" i="50"/>
  <c r="AC671" i="50"/>
  <c r="AC651" i="51" s="1"/>
  <c r="Y671" i="50"/>
  <c r="Y651" i="51" s="1"/>
  <c r="U671" i="50"/>
  <c r="U651" i="51" s="1"/>
  <c r="AB671" i="50"/>
  <c r="AB651" i="51" s="1"/>
  <c r="X671" i="50"/>
  <c r="X651" i="51" s="1"/>
  <c r="T671" i="50"/>
  <c r="T651" i="51" s="1"/>
  <c r="AA671" i="50"/>
  <c r="AA651" i="51" s="1"/>
  <c r="W671" i="50"/>
  <c r="W651" i="51" s="1"/>
  <c r="Z671" i="50"/>
  <c r="Z651" i="51" s="1"/>
  <c r="V671" i="50"/>
  <c r="V651" i="51" s="1"/>
  <c r="AA674" i="50"/>
  <c r="AA654" i="51" s="1"/>
  <c r="W674" i="50"/>
  <c r="W654" i="51" s="1"/>
  <c r="Z674" i="50"/>
  <c r="Z654" i="51" s="1"/>
  <c r="V674" i="50"/>
  <c r="V654" i="51" s="1"/>
  <c r="AC674" i="50"/>
  <c r="AC654" i="51" s="1"/>
  <c r="Y674" i="50"/>
  <c r="Y654" i="51" s="1"/>
  <c r="U674" i="50"/>
  <c r="U654" i="51" s="1"/>
  <c r="AB674" i="50"/>
  <c r="AB654" i="51" s="1"/>
  <c r="X674" i="50"/>
  <c r="X654" i="51" s="1"/>
  <c r="T674" i="50"/>
  <c r="T654" i="51" s="1"/>
  <c r="AA670" i="50"/>
  <c r="AA650" i="51" s="1"/>
  <c r="W670" i="50"/>
  <c r="W650" i="51" s="1"/>
  <c r="Z670" i="50"/>
  <c r="Z650" i="51" s="1"/>
  <c r="V670" i="50"/>
  <c r="V650" i="51" s="1"/>
  <c r="AC670" i="50"/>
  <c r="AC650" i="51" s="1"/>
  <c r="Y670" i="50"/>
  <c r="Y650" i="51" s="1"/>
  <c r="U670" i="50"/>
  <c r="U650" i="51" s="1"/>
  <c r="AB670" i="50"/>
  <c r="AB650" i="51" s="1"/>
  <c r="X670" i="50"/>
  <c r="X650" i="51" s="1"/>
  <c r="T670" i="50"/>
  <c r="T650" i="51" s="1"/>
  <c r="AA668" i="50"/>
  <c r="AA648" i="51" s="1"/>
  <c r="W668" i="50"/>
  <c r="W648" i="51" s="1"/>
  <c r="Z668" i="50"/>
  <c r="Z648" i="51" s="1"/>
  <c r="V668" i="50"/>
  <c r="V648" i="51" s="1"/>
  <c r="AC668" i="50"/>
  <c r="AC648" i="51" s="1"/>
  <c r="Y668" i="50"/>
  <c r="Y648" i="51" s="1"/>
  <c r="U668" i="50"/>
  <c r="U648" i="51" s="1"/>
  <c r="AB668" i="50"/>
  <c r="AB648" i="51" s="1"/>
  <c r="X668" i="50"/>
  <c r="X648" i="51" s="1"/>
  <c r="T668" i="50"/>
  <c r="T648" i="51" s="1"/>
  <c r="G645" i="50"/>
  <c r="I662" i="50"/>
  <c r="AA654" i="50"/>
  <c r="U654" i="50"/>
  <c r="Z656" i="50"/>
  <c r="Z636" i="51" s="1"/>
  <c r="V656" i="50"/>
  <c r="V636" i="51" s="1"/>
  <c r="Y656" i="50"/>
  <c r="Y636" i="51" s="1"/>
  <c r="U656" i="50"/>
  <c r="U636" i="51" s="1"/>
  <c r="AB656" i="50"/>
  <c r="AB636" i="51" s="1"/>
  <c r="X656" i="50"/>
  <c r="X636" i="51" s="1"/>
  <c r="T656" i="50"/>
  <c r="T636" i="51" s="1"/>
  <c r="AA656" i="50"/>
  <c r="AA636" i="51" s="1"/>
  <c r="W656" i="50"/>
  <c r="W636" i="51" s="1"/>
  <c r="S656" i="50"/>
  <c r="S636" i="51" s="1"/>
  <c r="K654" i="50"/>
  <c r="Z634" i="51" s="1"/>
  <c r="C678" i="50"/>
  <c r="E679" i="50" s="1"/>
  <c r="G679" i="50" s="1"/>
  <c r="AC667" i="50"/>
  <c r="AC647" i="51" s="1"/>
  <c r="Y667" i="50"/>
  <c r="Y647" i="51" s="1"/>
  <c r="U667" i="50"/>
  <c r="U647" i="51" s="1"/>
  <c r="AB667" i="50"/>
  <c r="AB647" i="51" s="1"/>
  <c r="X667" i="50"/>
  <c r="X647" i="51" s="1"/>
  <c r="T667" i="50"/>
  <c r="T647" i="51" s="1"/>
  <c r="AA667" i="50"/>
  <c r="AA647" i="51" s="1"/>
  <c r="W667" i="50"/>
  <c r="W647" i="51" s="1"/>
  <c r="Z667" i="50"/>
  <c r="Z647" i="51" s="1"/>
  <c r="V667" i="50"/>
  <c r="V647" i="51" s="1"/>
  <c r="AC675" i="50"/>
  <c r="AC655" i="51" s="1"/>
  <c r="Y675" i="50"/>
  <c r="Y655" i="51" s="1"/>
  <c r="U675" i="50"/>
  <c r="U655" i="51" s="1"/>
  <c r="AB675" i="50"/>
  <c r="AB655" i="51" s="1"/>
  <c r="X675" i="50"/>
  <c r="X655" i="51" s="1"/>
  <c r="T675" i="50"/>
  <c r="T655" i="51" s="1"/>
  <c r="AA675" i="50"/>
  <c r="AA655" i="51" s="1"/>
  <c r="W675" i="50"/>
  <c r="W655" i="51" s="1"/>
  <c r="Z675" i="50"/>
  <c r="Z655" i="51" s="1"/>
  <c r="V675" i="50"/>
  <c r="V655" i="51" s="1"/>
  <c r="T654" i="50"/>
  <c r="Y654" i="50"/>
  <c r="AC673" i="50"/>
  <c r="AC653" i="51" s="1"/>
  <c r="Y673" i="50"/>
  <c r="Y653" i="51" s="1"/>
  <c r="U673" i="50"/>
  <c r="U653" i="51" s="1"/>
  <c r="AB673" i="50"/>
  <c r="AB653" i="51" s="1"/>
  <c r="X673" i="50"/>
  <c r="X653" i="51" s="1"/>
  <c r="T673" i="50"/>
  <c r="T653" i="51" s="1"/>
  <c r="AA673" i="50"/>
  <c r="AA653" i="51" s="1"/>
  <c r="W673" i="50"/>
  <c r="W653" i="51" s="1"/>
  <c r="Z673" i="50"/>
  <c r="Z653" i="51" s="1"/>
  <c r="V673" i="50"/>
  <c r="V653" i="51" s="1"/>
  <c r="AC669" i="50"/>
  <c r="AC649" i="51" s="1"/>
  <c r="Y669" i="50"/>
  <c r="Y649" i="51" s="1"/>
  <c r="U669" i="50"/>
  <c r="U649" i="51" s="1"/>
  <c r="AB669" i="50"/>
  <c r="AB649" i="51" s="1"/>
  <c r="X669" i="50"/>
  <c r="X649" i="51" s="1"/>
  <c r="T669" i="50"/>
  <c r="T649" i="51" s="1"/>
  <c r="AA669" i="50"/>
  <c r="AA649" i="51" s="1"/>
  <c r="W669" i="50"/>
  <c r="W649" i="51" s="1"/>
  <c r="Z669" i="50"/>
  <c r="Z649" i="51" s="1"/>
  <c r="V669" i="50"/>
  <c r="V649" i="51" s="1"/>
  <c r="AA686" i="50"/>
  <c r="AA666" i="51" s="1"/>
  <c r="W686" i="50"/>
  <c r="W666" i="51" s="1"/>
  <c r="Z686" i="50"/>
  <c r="Z666" i="51" s="1"/>
  <c r="V686" i="50"/>
  <c r="V666" i="51" s="1"/>
  <c r="AC686" i="50"/>
  <c r="AC666" i="51" s="1"/>
  <c r="Y686" i="50"/>
  <c r="Y666" i="51" s="1"/>
  <c r="U686" i="50"/>
  <c r="U666" i="51" s="1"/>
  <c r="AB686" i="50"/>
  <c r="AB666" i="51" s="1"/>
  <c r="X686" i="50"/>
  <c r="X666" i="51" s="1"/>
  <c r="T686" i="50"/>
  <c r="T666" i="51" s="1"/>
  <c r="G636" i="50"/>
  <c r="Z660" i="50"/>
  <c r="Z640" i="51" s="1"/>
  <c r="V660" i="50"/>
  <c r="V640" i="51" s="1"/>
  <c r="Y660" i="50"/>
  <c r="Y640" i="51" s="1"/>
  <c r="U660" i="50"/>
  <c r="U640" i="51" s="1"/>
  <c r="AB660" i="50"/>
  <c r="AB640" i="51" s="1"/>
  <c r="X660" i="50"/>
  <c r="X640" i="51" s="1"/>
  <c r="T660" i="50"/>
  <c r="T640" i="51" s="1"/>
  <c r="AA660" i="50"/>
  <c r="AA640" i="51" s="1"/>
  <c r="W660" i="50"/>
  <c r="W640" i="51" s="1"/>
  <c r="S660" i="50"/>
  <c r="S640" i="51" s="1"/>
  <c r="Z658" i="50"/>
  <c r="Z638" i="51" s="1"/>
  <c r="V658" i="50"/>
  <c r="V638" i="51" s="1"/>
  <c r="Y658" i="50"/>
  <c r="Y638" i="51" s="1"/>
  <c r="U658" i="50"/>
  <c r="U638" i="51" s="1"/>
  <c r="AB658" i="50"/>
  <c r="AB638" i="51" s="1"/>
  <c r="X658" i="50"/>
  <c r="X638" i="51" s="1"/>
  <c r="T658" i="50"/>
  <c r="T638" i="51" s="1"/>
  <c r="AA658" i="50"/>
  <c r="AA638" i="51" s="1"/>
  <c r="W658" i="50"/>
  <c r="W638" i="51" s="1"/>
  <c r="S658" i="50"/>
  <c r="S638" i="51" s="1"/>
  <c r="S654" i="50"/>
  <c r="X654" i="50"/>
  <c r="V654" i="50"/>
  <c r="AA684" i="50"/>
  <c r="AA664" i="51" s="1"/>
  <c r="W684" i="50"/>
  <c r="W664" i="51" s="1"/>
  <c r="Z684" i="50"/>
  <c r="Z664" i="51" s="1"/>
  <c r="V684" i="50"/>
  <c r="V664" i="51" s="1"/>
  <c r="AC684" i="50"/>
  <c r="AC664" i="51" s="1"/>
  <c r="Y684" i="50"/>
  <c r="Y664" i="51" s="1"/>
  <c r="U684" i="50"/>
  <c r="U664" i="51" s="1"/>
  <c r="AB684" i="50"/>
  <c r="AB664" i="51" s="1"/>
  <c r="X684" i="50"/>
  <c r="X664" i="51" s="1"/>
  <c r="T684" i="50"/>
  <c r="T664" i="51" s="1"/>
  <c r="AA672" i="50"/>
  <c r="AA652" i="51" s="1"/>
  <c r="W672" i="50"/>
  <c r="W652" i="51" s="1"/>
  <c r="Z672" i="50"/>
  <c r="Z652" i="51" s="1"/>
  <c r="V672" i="50"/>
  <c r="V652" i="51" s="1"/>
  <c r="AC672" i="50"/>
  <c r="AC652" i="51" s="1"/>
  <c r="Y672" i="50"/>
  <c r="Y652" i="51" s="1"/>
  <c r="U672" i="50"/>
  <c r="U652" i="51" s="1"/>
  <c r="AB672" i="50"/>
  <c r="AB652" i="51" s="1"/>
  <c r="X672" i="50"/>
  <c r="X652" i="51" s="1"/>
  <c r="T672" i="50"/>
  <c r="T652" i="51" s="1"/>
  <c r="AC665" i="50"/>
  <c r="AC645" i="51" s="1"/>
  <c r="Y665" i="50"/>
  <c r="Y645" i="51" s="1"/>
  <c r="U665" i="50"/>
  <c r="U645" i="51" s="1"/>
  <c r="AB665" i="50"/>
  <c r="AB645" i="51" s="1"/>
  <c r="X665" i="50"/>
  <c r="X645" i="51" s="1"/>
  <c r="T665" i="50"/>
  <c r="T645" i="51" s="1"/>
  <c r="AA665" i="50"/>
  <c r="AA645" i="51" s="1"/>
  <c r="W665" i="50"/>
  <c r="W645" i="51" s="1"/>
  <c r="Z665" i="50"/>
  <c r="Z645" i="51" s="1"/>
  <c r="V665" i="50"/>
  <c r="V645" i="51" s="1"/>
  <c r="AC685" i="50"/>
  <c r="AC665" i="51" s="1"/>
  <c r="Y685" i="50"/>
  <c r="Y665" i="51" s="1"/>
  <c r="U685" i="50"/>
  <c r="U665" i="51" s="1"/>
  <c r="AB685" i="50"/>
  <c r="AB665" i="51" s="1"/>
  <c r="X685" i="50"/>
  <c r="X665" i="51" s="1"/>
  <c r="T685" i="50"/>
  <c r="T665" i="51" s="1"/>
  <c r="AA685" i="50"/>
  <c r="AA665" i="51" s="1"/>
  <c r="W685" i="50"/>
  <c r="W665" i="51" s="1"/>
  <c r="Z685" i="50"/>
  <c r="Z665" i="51" s="1"/>
  <c r="V685" i="50"/>
  <c r="V665" i="51" s="1"/>
  <c r="AB661" i="50"/>
  <c r="AB641" i="51" s="1"/>
  <c r="X661" i="50"/>
  <c r="X641" i="51" s="1"/>
  <c r="T661" i="50"/>
  <c r="T641" i="51" s="1"/>
  <c r="AA661" i="50"/>
  <c r="AA641" i="51" s="1"/>
  <c r="W661" i="50"/>
  <c r="W641" i="51" s="1"/>
  <c r="S661" i="50"/>
  <c r="S641" i="51" s="1"/>
  <c r="Z661" i="50"/>
  <c r="Z641" i="51" s="1"/>
  <c r="V661" i="50"/>
  <c r="V641" i="51" s="1"/>
  <c r="Y661" i="50"/>
  <c r="Y641" i="51" s="1"/>
  <c r="U661" i="50"/>
  <c r="U641" i="51" s="1"/>
  <c r="W654" i="50"/>
  <c r="AB654" i="50"/>
  <c r="G650" i="50"/>
  <c r="I643" i="50"/>
  <c r="G646" i="50"/>
  <c r="D684" i="50"/>
  <c r="F684" i="50"/>
  <c r="E684" i="50"/>
  <c r="K684" i="50" s="1"/>
  <c r="H684" i="50"/>
  <c r="J684" i="50"/>
  <c r="E672" i="50"/>
  <c r="J672" i="50"/>
  <c r="D672" i="50"/>
  <c r="F672" i="50"/>
  <c r="H672" i="50"/>
  <c r="I672" i="50"/>
  <c r="K672" i="50"/>
  <c r="C681" i="50"/>
  <c r="F668" i="50"/>
  <c r="I668" i="50"/>
  <c r="K668" i="50"/>
  <c r="H668" i="50"/>
  <c r="E668" i="50"/>
  <c r="D668" i="50"/>
  <c r="J668" i="50"/>
  <c r="G647" i="50"/>
  <c r="G648" i="50"/>
  <c r="G639" i="50"/>
  <c r="G664" i="50"/>
  <c r="G637" i="50"/>
  <c r="G659" i="50"/>
  <c r="G643" i="50"/>
  <c r="C690" i="50"/>
  <c r="C698" i="50"/>
  <c r="C700" i="50" s="1"/>
  <c r="C689" i="50"/>
  <c r="C696" i="50"/>
  <c r="C691" i="50"/>
  <c r="C687" i="50"/>
  <c r="C707" i="50"/>
  <c r="C693" i="50"/>
  <c r="C695" i="50"/>
  <c r="C694" i="50"/>
  <c r="C697" i="50"/>
  <c r="C708" i="50"/>
  <c r="C706" i="50"/>
  <c r="C692" i="50"/>
  <c r="I671" i="50"/>
  <c r="J671" i="50"/>
  <c r="H671" i="50"/>
  <c r="K671" i="50"/>
  <c r="D671" i="50"/>
  <c r="F671" i="50"/>
  <c r="E671" i="50"/>
  <c r="F674" i="50"/>
  <c r="K674" i="50"/>
  <c r="E674" i="50"/>
  <c r="D674" i="50"/>
  <c r="I674" i="50"/>
  <c r="J674" i="50"/>
  <c r="H674" i="50"/>
  <c r="E669" i="50"/>
  <c r="H669" i="50"/>
  <c r="I669" i="50" s="1"/>
  <c r="D669" i="50"/>
  <c r="F669" i="50"/>
  <c r="J669" i="50"/>
  <c r="F675" i="50"/>
  <c r="I675" i="50"/>
  <c r="K675" i="50"/>
  <c r="H675" i="50"/>
  <c r="J675" i="50"/>
  <c r="D675" i="50"/>
  <c r="E675" i="50"/>
  <c r="K644" i="50"/>
  <c r="C682" i="50"/>
  <c r="E677" i="50"/>
  <c r="G677" i="50" s="1"/>
  <c r="F676" i="50"/>
  <c r="E676" i="50"/>
  <c r="Z676" i="50" s="1"/>
  <c r="J676" i="50"/>
  <c r="K677" i="50" s="1"/>
  <c r="D677" i="50"/>
  <c r="H676" i="50"/>
  <c r="I677" i="50" s="1"/>
  <c r="D676" i="50"/>
  <c r="C680" i="50"/>
  <c r="E665" i="50"/>
  <c r="I665" i="50" s="1"/>
  <c r="J665" i="50"/>
  <c r="E666" i="50"/>
  <c r="G666" i="50" s="1"/>
  <c r="F665" i="50"/>
  <c r="D666" i="50"/>
  <c r="D665" i="50"/>
  <c r="H665" i="50"/>
  <c r="J686" i="50"/>
  <c r="H686" i="50"/>
  <c r="K686" i="50"/>
  <c r="D686" i="50"/>
  <c r="I686" i="50"/>
  <c r="E686" i="50"/>
  <c r="F686" i="50"/>
  <c r="B709" i="50"/>
  <c r="I644" i="50"/>
  <c r="K655" i="50"/>
  <c r="G654" i="50"/>
  <c r="C683" i="50"/>
  <c r="J673" i="50"/>
  <c r="I673" i="50"/>
  <c r="E673" i="50"/>
  <c r="H673" i="50"/>
  <c r="K673" i="50"/>
  <c r="F673" i="50"/>
  <c r="D673" i="50"/>
  <c r="J667" i="50"/>
  <c r="D667" i="50"/>
  <c r="F667" i="50"/>
  <c r="I667" i="50"/>
  <c r="E667" i="50"/>
  <c r="H667" i="50"/>
  <c r="K667" i="50"/>
  <c r="K670" i="50"/>
  <c r="I670" i="50"/>
  <c r="H670" i="50"/>
  <c r="F670" i="50"/>
  <c r="J670" i="50"/>
  <c r="D670" i="50"/>
  <c r="E670" i="50"/>
  <c r="I685" i="50"/>
  <c r="K685" i="50"/>
  <c r="E685" i="50"/>
  <c r="J685" i="50"/>
  <c r="H685" i="50"/>
  <c r="F685" i="50"/>
  <c r="D685" i="50"/>
  <c r="J661" i="50"/>
  <c r="I661" i="50"/>
  <c r="D661" i="50"/>
  <c r="E661" i="50"/>
  <c r="H661" i="50"/>
  <c r="K661" i="50"/>
  <c r="F661" i="50"/>
  <c r="G652" i="50"/>
  <c r="K662" i="50"/>
  <c r="J660" i="50"/>
  <c r="I660" i="50"/>
  <c r="K660" i="50"/>
  <c r="H660" i="50"/>
  <c r="F660" i="50"/>
  <c r="D660" i="50"/>
  <c r="E660" i="50"/>
  <c r="G653" i="50"/>
  <c r="B109" i="42"/>
  <c r="B711" i="51" s="1"/>
  <c r="G662" i="51" l="1"/>
  <c r="G668" i="50"/>
  <c r="E682" i="51"/>
  <c r="H682" i="51"/>
  <c r="G658" i="50"/>
  <c r="H678" i="50"/>
  <c r="K685" i="51"/>
  <c r="J678" i="50"/>
  <c r="H685" i="51"/>
  <c r="I682" i="51"/>
  <c r="J682" i="51"/>
  <c r="D682" i="51"/>
  <c r="K682" i="51"/>
  <c r="G658" i="51"/>
  <c r="C28" i="41"/>
  <c r="H683" i="51"/>
  <c r="T634" i="51"/>
  <c r="G675" i="51"/>
  <c r="I685" i="51"/>
  <c r="J685" i="51"/>
  <c r="I683" i="51"/>
  <c r="G661" i="51"/>
  <c r="D685" i="51"/>
  <c r="E685" i="51"/>
  <c r="G685" i="51" s="1"/>
  <c r="K665" i="50"/>
  <c r="K669" i="50"/>
  <c r="K678" i="51"/>
  <c r="K671" i="51"/>
  <c r="I667" i="51"/>
  <c r="F683" i="51"/>
  <c r="D683" i="51"/>
  <c r="K686" i="51"/>
  <c r="E683" i="51"/>
  <c r="K683" i="51"/>
  <c r="K676" i="50"/>
  <c r="Z656" i="51" s="1"/>
  <c r="I666" i="50"/>
  <c r="K666" i="50"/>
  <c r="T676" i="50"/>
  <c r="T656" i="51" s="1"/>
  <c r="Y676" i="50"/>
  <c r="Y656" i="51" s="1"/>
  <c r="W676" i="50"/>
  <c r="W656" i="51" s="1"/>
  <c r="I686" i="51"/>
  <c r="I678" i="51"/>
  <c r="K667" i="51"/>
  <c r="I676" i="50"/>
  <c r="I684" i="50"/>
  <c r="X676" i="50"/>
  <c r="X656" i="51" s="1"/>
  <c r="AC676" i="50"/>
  <c r="AC656" i="51" s="1"/>
  <c r="AA676" i="50"/>
  <c r="AA656" i="51" s="1"/>
  <c r="AB676" i="50"/>
  <c r="AB656" i="51" s="1"/>
  <c r="V676" i="50"/>
  <c r="V656" i="51" s="1"/>
  <c r="U676" i="50"/>
  <c r="U656" i="51" s="1"/>
  <c r="K679" i="51"/>
  <c r="I679" i="51"/>
  <c r="G688" i="51"/>
  <c r="K668" i="51"/>
  <c r="G674" i="51"/>
  <c r="G670" i="51"/>
  <c r="G678" i="51"/>
  <c r="F678" i="50"/>
  <c r="D679" i="50"/>
  <c r="G682" i="51"/>
  <c r="K678" i="50"/>
  <c r="G680" i="51"/>
  <c r="D678" i="50"/>
  <c r="K679" i="50"/>
  <c r="I679" i="50"/>
  <c r="I678" i="50"/>
  <c r="E678" i="50"/>
  <c r="C705" i="51"/>
  <c r="E705" i="51" s="1"/>
  <c r="C706" i="51"/>
  <c r="I706" i="51" s="1"/>
  <c r="G676" i="51"/>
  <c r="G636" i="51"/>
  <c r="C707" i="51"/>
  <c r="J707" i="51" s="1"/>
  <c r="C722" i="51"/>
  <c r="C728" i="51" s="1"/>
  <c r="C714" i="51"/>
  <c r="C718" i="51"/>
  <c r="C721" i="51"/>
  <c r="C715" i="51"/>
  <c r="C711" i="51"/>
  <c r="C731" i="51"/>
  <c r="C720" i="51"/>
  <c r="C717" i="51"/>
  <c r="C713" i="51"/>
  <c r="C732" i="51"/>
  <c r="C719" i="51"/>
  <c r="C716" i="51"/>
  <c r="C730" i="51"/>
  <c r="H695" i="51"/>
  <c r="F695" i="51"/>
  <c r="D695" i="51"/>
  <c r="E695" i="51"/>
  <c r="K695" i="51"/>
  <c r="J695" i="51"/>
  <c r="I695" i="51"/>
  <c r="H691" i="51"/>
  <c r="F691" i="51"/>
  <c r="D691" i="51"/>
  <c r="E691" i="51"/>
  <c r="K691" i="51"/>
  <c r="J691" i="51"/>
  <c r="I691" i="51"/>
  <c r="H689" i="51"/>
  <c r="D689" i="51"/>
  <c r="D690" i="51"/>
  <c r="E690" i="51"/>
  <c r="G690" i="51" s="1"/>
  <c r="J689" i="51"/>
  <c r="F689" i="51"/>
  <c r="E689" i="51"/>
  <c r="D710" i="51"/>
  <c r="I710" i="51"/>
  <c r="K710" i="51"/>
  <c r="H710" i="51"/>
  <c r="J710" i="51"/>
  <c r="F710" i="51"/>
  <c r="E710" i="51"/>
  <c r="I684" i="51"/>
  <c r="K684" i="51"/>
  <c r="H684" i="51"/>
  <c r="F684" i="51"/>
  <c r="D684" i="51"/>
  <c r="J684" i="51"/>
  <c r="E684" i="51"/>
  <c r="G638" i="51"/>
  <c r="G660" i="51"/>
  <c r="G669" i="51"/>
  <c r="D704" i="51"/>
  <c r="J704" i="51"/>
  <c r="K704" i="51"/>
  <c r="F704" i="51"/>
  <c r="E704" i="51"/>
  <c r="I704" i="51"/>
  <c r="H704" i="51"/>
  <c r="F708" i="51"/>
  <c r="H708" i="51"/>
  <c r="D708" i="51"/>
  <c r="J708" i="51"/>
  <c r="E708" i="51"/>
  <c r="I708" i="51" s="1"/>
  <c r="K709" i="51"/>
  <c r="F709" i="51"/>
  <c r="J709" i="51"/>
  <c r="I709" i="51"/>
  <c r="H709" i="51"/>
  <c r="D709" i="51"/>
  <c r="E709" i="51"/>
  <c r="D698" i="51"/>
  <c r="E698" i="51"/>
  <c r="K698" i="51"/>
  <c r="F698" i="51"/>
  <c r="I698" i="51"/>
  <c r="J698" i="51"/>
  <c r="H698" i="51"/>
  <c r="G641" i="51"/>
  <c r="G673" i="51"/>
  <c r="G639" i="51"/>
  <c r="F697" i="51"/>
  <c r="D697" i="51"/>
  <c r="I697" i="51"/>
  <c r="K697" i="51"/>
  <c r="E697" i="51"/>
  <c r="G697" i="51" s="1"/>
  <c r="H697" i="51"/>
  <c r="J697" i="51"/>
  <c r="J696" i="51"/>
  <c r="H696" i="51"/>
  <c r="F696" i="51"/>
  <c r="D696" i="51"/>
  <c r="E696" i="51"/>
  <c r="K696" i="51"/>
  <c r="I696" i="51"/>
  <c r="F692" i="51"/>
  <c r="D692" i="51"/>
  <c r="E692" i="51"/>
  <c r="J692" i="51"/>
  <c r="H692" i="51"/>
  <c r="I692" i="51"/>
  <c r="K692" i="51"/>
  <c r="G677" i="51"/>
  <c r="G667" i="51"/>
  <c r="G686" i="51"/>
  <c r="C702" i="51"/>
  <c r="E700" i="51"/>
  <c r="D701" i="51"/>
  <c r="D700" i="51"/>
  <c r="H700" i="51"/>
  <c r="F700" i="51"/>
  <c r="J700" i="51"/>
  <c r="E701" i="51"/>
  <c r="G701" i="51" s="1"/>
  <c r="K694" i="51"/>
  <c r="E694" i="51"/>
  <c r="J694" i="51"/>
  <c r="F694" i="51"/>
  <c r="I694" i="51"/>
  <c r="H694" i="51"/>
  <c r="D694" i="51"/>
  <c r="F693" i="51"/>
  <c r="D693" i="51"/>
  <c r="E693" i="51"/>
  <c r="K693" i="51" s="1"/>
  <c r="J693" i="51"/>
  <c r="H693" i="51"/>
  <c r="H699" i="51"/>
  <c r="J699" i="51"/>
  <c r="D699" i="51"/>
  <c r="E699" i="51"/>
  <c r="I699" i="51"/>
  <c r="K699" i="51"/>
  <c r="F699" i="51"/>
  <c r="G672" i="51"/>
  <c r="G671" i="51"/>
  <c r="C29" i="41"/>
  <c r="AB634" i="51"/>
  <c r="V634" i="51"/>
  <c r="G674" i="50"/>
  <c r="W634" i="51"/>
  <c r="X634" i="51"/>
  <c r="S634" i="51"/>
  <c r="Y634" i="51"/>
  <c r="G686" i="50"/>
  <c r="G676" i="50"/>
  <c r="G661" i="50"/>
  <c r="U634" i="51"/>
  <c r="C704" i="50"/>
  <c r="Y704" i="50" s="1"/>
  <c r="Y684" i="51" s="1"/>
  <c r="C702" i="50"/>
  <c r="U702" i="50" s="1"/>
  <c r="U682" i="51" s="1"/>
  <c r="AA634" i="51"/>
  <c r="G671" i="50"/>
  <c r="AC708" i="50"/>
  <c r="AC688" i="51" s="1"/>
  <c r="Y708" i="50"/>
  <c r="Y688" i="51" s="1"/>
  <c r="U708" i="50"/>
  <c r="U688" i="51" s="1"/>
  <c r="AD708" i="50"/>
  <c r="AD688" i="51" s="1"/>
  <c r="X708" i="50"/>
  <c r="X688" i="51" s="1"/>
  <c r="AB708" i="50"/>
  <c r="AB688" i="51" s="1"/>
  <c r="W708" i="50"/>
  <c r="W688" i="51" s="1"/>
  <c r="AA708" i="50"/>
  <c r="AA688" i="51" s="1"/>
  <c r="V708" i="50"/>
  <c r="V688" i="51" s="1"/>
  <c r="Z708" i="50"/>
  <c r="Z688" i="51" s="1"/>
  <c r="AD695" i="50"/>
  <c r="AD675" i="51" s="1"/>
  <c r="Z695" i="50"/>
  <c r="Z675" i="51" s="1"/>
  <c r="V695" i="50"/>
  <c r="V675" i="51" s="1"/>
  <c r="AC695" i="50"/>
  <c r="AC675" i="51" s="1"/>
  <c r="Y695" i="50"/>
  <c r="Y675" i="51" s="1"/>
  <c r="U695" i="50"/>
  <c r="U675" i="51" s="1"/>
  <c r="AB695" i="50"/>
  <c r="AB675" i="51" s="1"/>
  <c r="X695" i="50"/>
  <c r="X675" i="51" s="1"/>
  <c r="AA695" i="50"/>
  <c r="AA675" i="51" s="1"/>
  <c r="W695" i="50"/>
  <c r="W675" i="51" s="1"/>
  <c r="AD687" i="50"/>
  <c r="AD667" i="51" s="1"/>
  <c r="Z687" i="50"/>
  <c r="Z667" i="51" s="1"/>
  <c r="V687" i="50"/>
  <c r="V667" i="51" s="1"/>
  <c r="AC687" i="50"/>
  <c r="AC667" i="51" s="1"/>
  <c r="Y687" i="50"/>
  <c r="Y667" i="51" s="1"/>
  <c r="U687" i="50"/>
  <c r="U667" i="51" s="1"/>
  <c r="AB687" i="50"/>
  <c r="AB667" i="51" s="1"/>
  <c r="X687" i="50"/>
  <c r="X667" i="51" s="1"/>
  <c r="AA687" i="50"/>
  <c r="AA667" i="51" s="1"/>
  <c r="W687" i="50"/>
  <c r="W667" i="51" s="1"/>
  <c r="C705" i="50"/>
  <c r="H705" i="50" s="1"/>
  <c r="G685" i="50"/>
  <c r="G667" i="50"/>
  <c r="AC683" i="50"/>
  <c r="AC663" i="51" s="1"/>
  <c r="Y683" i="50"/>
  <c r="Y663" i="51" s="1"/>
  <c r="U683" i="50"/>
  <c r="U663" i="51" s="1"/>
  <c r="AB683" i="50"/>
  <c r="AB663" i="51" s="1"/>
  <c r="X683" i="50"/>
  <c r="X663" i="51" s="1"/>
  <c r="T683" i="50"/>
  <c r="T663" i="51" s="1"/>
  <c r="AA683" i="50"/>
  <c r="AA663" i="51" s="1"/>
  <c r="W683" i="50"/>
  <c r="W663" i="51" s="1"/>
  <c r="Z683" i="50"/>
  <c r="Z663" i="51" s="1"/>
  <c r="V683" i="50"/>
  <c r="V663" i="51" s="1"/>
  <c r="AC700" i="50"/>
  <c r="AC680" i="51" s="1"/>
  <c r="Y700" i="50"/>
  <c r="Y680" i="51" s="1"/>
  <c r="AD700" i="50"/>
  <c r="AD680" i="51" s="1"/>
  <c r="X700" i="50"/>
  <c r="X680" i="51" s="1"/>
  <c r="AB700" i="50"/>
  <c r="AB680" i="51" s="1"/>
  <c r="W700" i="50"/>
  <c r="W680" i="51" s="1"/>
  <c r="AA700" i="50"/>
  <c r="AA680" i="51" s="1"/>
  <c r="V700" i="50"/>
  <c r="V680" i="51" s="1"/>
  <c r="Z700" i="50"/>
  <c r="Z680" i="51" s="1"/>
  <c r="U700" i="50"/>
  <c r="U680" i="51" s="1"/>
  <c r="AD691" i="50"/>
  <c r="AD671" i="51" s="1"/>
  <c r="Z691" i="50"/>
  <c r="Z671" i="51" s="1"/>
  <c r="V691" i="50"/>
  <c r="V671" i="51" s="1"/>
  <c r="AC691" i="50"/>
  <c r="AC671" i="51" s="1"/>
  <c r="Y691" i="50"/>
  <c r="Y671" i="51" s="1"/>
  <c r="U691" i="50"/>
  <c r="U671" i="51" s="1"/>
  <c r="AB691" i="50"/>
  <c r="AB671" i="51" s="1"/>
  <c r="X691" i="50"/>
  <c r="X671" i="51" s="1"/>
  <c r="AA691" i="50"/>
  <c r="AA671" i="51" s="1"/>
  <c r="W691" i="50"/>
  <c r="W671" i="51" s="1"/>
  <c r="AB690" i="50"/>
  <c r="AB670" i="51" s="1"/>
  <c r="X690" i="50"/>
  <c r="X670" i="51" s="1"/>
  <c r="AA690" i="50"/>
  <c r="AA670" i="51" s="1"/>
  <c r="W690" i="50"/>
  <c r="W670" i="51" s="1"/>
  <c r="AD690" i="50"/>
  <c r="AD670" i="51" s="1"/>
  <c r="Z690" i="50"/>
  <c r="Z670" i="51" s="1"/>
  <c r="V690" i="50"/>
  <c r="V670" i="51" s="1"/>
  <c r="AC690" i="50"/>
  <c r="AC670" i="51" s="1"/>
  <c r="Y690" i="50"/>
  <c r="Y670" i="51" s="1"/>
  <c r="U690" i="50"/>
  <c r="U670" i="51" s="1"/>
  <c r="AB692" i="50"/>
  <c r="AB672" i="51" s="1"/>
  <c r="X692" i="50"/>
  <c r="X672" i="51" s="1"/>
  <c r="AA692" i="50"/>
  <c r="AA672" i="51" s="1"/>
  <c r="W692" i="50"/>
  <c r="W672" i="51" s="1"/>
  <c r="AD692" i="50"/>
  <c r="AD672" i="51" s="1"/>
  <c r="Z692" i="50"/>
  <c r="Z672" i="51" s="1"/>
  <c r="V692" i="50"/>
  <c r="V672" i="51" s="1"/>
  <c r="AC692" i="50"/>
  <c r="AC672" i="51" s="1"/>
  <c r="Y692" i="50"/>
  <c r="Y672" i="51" s="1"/>
  <c r="U692" i="50"/>
  <c r="U672" i="51" s="1"/>
  <c r="AD697" i="50"/>
  <c r="AD677" i="51" s="1"/>
  <c r="Z697" i="50"/>
  <c r="Z677" i="51" s="1"/>
  <c r="V697" i="50"/>
  <c r="V677" i="51" s="1"/>
  <c r="AC697" i="50"/>
  <c r="AC677" i="51" s="1"/>
  <c r="Y697" i="50"/>
  <c r="Y677" i="51" s="1"/>
  <c r="U697" i="50"/>
  <c r="U677" i="51" s="1"/>
  <c r="AB697" i="50"/>
  <c r="AB677" i="51" s="1"/>
  <c r="X697" i="50"/>
  <c r="X677" i="51" s="1"/>
  <c r="AA697" i="50"/>
  <c r="AA677" i="51" s="1"/>
  <c r="W697" i="50"/>
  <c r="W677" i="51" s="1"/>
  <c r="AD693" i="50"/>
  <c r="AD673" i="51" s="1"/>
  <c r="Z693" i="50"/>
  <c r="Z673" i="51" s="1"/>
  <c r="V693" i="50"/>
  <c r="V673" i="51" s="1"/>
  <c r="AC693" i="50"/>
  <c r="AC673" i="51" s="1"/>
  <c r="Y693" i="50"/>
  <c r="Y673" i="51" s="1"/>
  <c r="U693" i="50"/>
  <c r="U673" i="51" s="1"/>
  <c r="AB693" i="50"/>
  <c r="AB673" i="51" s="1"/>
  <c r="X693" i="50"/>
  <c r="X673" i="51" s="1"/>
  <c r="AA693" i="50"/>
  <c r="AA673" i="51" s="1"/>
  <c r="W693" i="50"/>
  <c r="W673" i="51" s="1"/>
  <c r="AB696" i="50"/>
  <c r="AB676" i="51" s="1"/>
  <c r="X696" i="50"/>
  <c r="X676" i="51" s="1"/>
  <c r="AA696" i="50"/>
  <c r="AA676" i="51" s="1"/>
  <c r="W696" i="50"/>
  <c r="W676" i="51" s="1"/>
  <c r="AD696" i="50"/>
  <c r="AD676" i="51" s="1"/>
  <c r="Z696" i="50"/>
  <c r="Z676" i="51" s="1"/>
  <c r="V696" i="50"/>
  <c r="V676" i="51" s="1"/>
  <c r="AC696" i="50"/>
  <c r="AC676" i="51" s="1"/>
  <c r="Y696" i="50"/>
  <c r="Y676" i="51" s="1"/>
  <c r="U696" i="50"/>
  <c r="U676" i="51" s="1"/>
  <c r="G672" i="50"/>
  <c r="AA680" i="50"/>
  <c r="AA660" i="51" s="1"/>
  <c r="W680" i="50"/>
  <c r="W660" i="51" s="1"/>
  <c r="Z680" i="50"/>
  <c r="Z660" i="51" s="1"/>
  <c r="V680" i="50"/>
  <c r="V660" i="51" s="1"/>
  <c r="AC680" i="50"/>
  <c r="AC660" i="51" s="1"/>
  <c r="Y680" i="50"/>
  <c r="Y660" i="51" s="1"/>
  <c r="U680" i="50"/>
  <c r="U660" i="51" s="1"/>
  <c r="AB680" i="50"/>
  <c r="AB660" i="51" s="1"/>
  <c r="X680" i="50"/>
  <c r="X660" i="51" s="1"/>
  <c r="T680" i="50"/>
  <c r="T660" i="51" s="1"/>
  <c r="AA682" i="50"/>
  <c r="AA662" i="51" s="1"/>
  <c r="W682" i="50"/>
  <c r="W662" i="51" s="1"/>
  <c r="Z682" i="50"/>
  <c r="Z662" i="51" s="1"/>
  <c r="V682" i="50"/>
  <c r="V662" i="51" s="1"/>
  <c r="AC682" i="50"/>
  <c r="AC662" i="51" s="1"/>
  <c r="Y682" i="50"/>
  <c r="Y662" i="51" s="1"/>
  <c r="U682" i="50"/>
  <c r="U662" i="51" s="1"/>
  <c r="AB682" i="50"/>
  <c r="AB662" i="51" s="1"/>
  <c r="X682" i="50"/>
  <c r="X662" i="51" s="1"/>
  <c r="T682" i="50"/>
  <c r="T662" i="51" s="1"/>
  <c r="AC706" i="50"/>
  <c r="AC686" i="51" s="1"/>
  <c r="Y706" i="50"/>
  <c r="Y686" i="51" s="1"/>
  <c r="U706" i="50"/>
  <c r="U686" i="51" s="1"/>
  <c r="AB706" i="50"/>
  <c r="AB686" i="51" s="1"/>
  <c r="W706" i="50"/>
  <c r="W686" i="51" s="1"/>
  <c r="AA706" i="50"/>
  <c r="AA686" i="51" s="1"/>
  <c r="V706" i="50"/>
  <c r="V686" i="51" s="1"/>
  <c r="Z706" i="50"/>
  <c r="Z686" i="51" s="1"/>
  <c r="AD706" i="50"/>
  <c r="AD686" i="51" s="1"/>
  <c r="X706" i="50"/>
  <c r="X686" i="51" s="1"/>
  <c r="AB694" i="50"/>
  <c r="AB674" i="51" s="1"/>
  <c r="X694" i="50"/>
  <c r="X674" i="51" s="1"/>
  <c r="AA694" i="50"/>
  <c r="AA674" i="51" s="1"/>
  <c r="W694" i="50"/>
  <c r="W674" i="51" s="1"/>
  <c r="AD694" i="50"/>
  <c r="AD674" i="51" s="1"/>
  <c r="Z694" i="50"/>
  <c r="Z674" i="51" s="1"/>
  <c r="V694" i="50"/>
  <c r="V674" i="51" s="1"/>
  <c r="AC694" i="50"/>
  <c r="AC674" i="51" s="1"/>
  <c r="Y694" i="50"/>
  <c r="Y674" i="51" s="1"/>
  <c r="U694" i="50"/>
  <c r="U674" i="51" s="1"/>
  <c r="AA707" i="50"/>
  <c r="AA687" i="51" s="1"/>
  <c r="W707" i="50"/>
  <c r="W687" i="51" s="1"/>
  <c r="AC707" i="50"/>
  <c r="AC687" i="51" s="1"/>
  <c r="X707" i="50"/>
  <c r="X687" i="51" s="1"/>
  <c r="AB707" i="50"/>
  <c r="AB687" i="51" s="1"/>
  <c r="V707" i="50"/>
  <c r="V687" i="51" s="1"/>
  <c r="Z707" i="50"/>
  <c r="Z687" i="51" s="1"/>
  <c r="U707" i="50"/>
  <c r="U687" i="51" s="1"/>
  <c r="AD707" i="50"/>
  <c r="AD687" i="51" s="1"/>
  <c r="Y707" i="50"/>
  <c r="Y687" i="51" s="1"/>
  <c r="AD689" i="50"/>
  <c r="AD669" i="51" s="1"/>
  <c r="Z689" i="50"/>
  <c r="Z669" i="51" s="1"/>
  <c r="V689" i="50"/>
  <c r="V669" i="51" s="1"/>
  <c r="AC689" i="50"/>
  <c r="AC669" i="51" s="1"/>
  <c r="Y689" i="50"/>
  <c r="Y669" i="51" s="1"/>
  <c r="U689" i="50"/>
  <c r="U669" i="51" s="1"/>
  <c r="AB689" i="50"/>
  <c r="AB669" i="51" s="1"/>
  <c r="X689" i="50"/>
  <c r="X669" i="51" s="1"/>
  <c r="AA689" i="50"/>
  <c r="AA669" i="51" s="1"/>
  <c r="W689" i="50"/>
  <c r="W669" i="51" s="1"/>
  <c r="AC681" i="50"/>
  <c r="AC661" i="51" s="1"/>
  <c r="Y681" i="50"/>
  <c r="Y661" i="51" s="1"/>
  <c r="U681" i="50"/>
  <c r="U661" i="51" s="1"/>
  <c r="AB681" i="50"/>
  <c r="AB661" i="51" s="1"/>
  <c r="X681" i="50"/>
  <c r="X661" i="51" s="1"/>
  <c r="T681" i="50"/>
  <c r="T661" i="51" s="1"/>
  <c r="AA681" i="50"/>
  <c r="AA661" i="51" s="1"/>
  <c r="W681" i="50"/>
  <c r="W661" i="51" s="1"/>
  <c r="Z681" i="50"/>
  <c r="Z661" i="51" s="1"/>
  <c r="V681" i="50"/>
  <c r="V661" i="51" s="1"/>
  <c r="AA678" i="50"/>
  <c r="AA658" i="51" s="1"/>
  <c r="W678" i="50"/>
  <c r="W658" i="51" s="1"/>
  <c r="Z678" i="50"/>
  <c r="Z658" i="51" s="1"/>
  <c r="V678" i="50"/>
  <c r="V658" i="51" s="1"/>
  <c r="AC678" i="50"/>
  <c r="AC658" i="51" s="1"/>
  <c r="Y678" i="50"/>
  <c r="Y658" i="51" s="1"/>
  <c r="U678" i="50"/>
  <c r="U658" i="51" s="1"/>
  <c r="AB678" i="50"/>
  <c r="AB658" i="51" s="1"/>
  <c r="X678" i="50"/>
  <c r="X658" i="51" s="1"/>
  <c r="T678" i="50"/>
  <c r="T658" i="51" s="1"/>
  <c r="D683" i="50"/>
  <c r="I683" i="50"/>
  <c r="K683" i="50"/>
  <c r="J683" i="50"/>
  <c r="H683" i="50"/>
  <c r="E683" i="50"/>
  <c r="F683" i="50"/>
  <c r="G665" i="50"/>
  <c r="F706" i="50"/>
  <c r="H706" i="50"/>
  <c r="E706" i="50"/>
  <c r="J706" i="50"/>
  <c r="K706" i="50" s="1"/>
  <c r="D706" i="50"/>
  <c r="F694" i="50"/>
  <c r="I694" i="50"/>
  <c r="K694" i="50"/>
  <c r="E694" i="50"/>
  <c r="J694" i="50"/>
  <c r="D694" i="50"/>
  <c r="H694" i="50"/>
  <c r="E707" i="50"/>
  <c r="J707" i="50"/>
  <c r="K707" i="50"/>
  <c r="F707" i="50"/>
  <c r="H707" i="50"/>
  <c r="D707" i="50"/>
  <c r="I707" i="50"/>
  <c r="C703" i="50"/>
  <c r="B731" i="50"/>
  <c r="G660" i="50"/>
  <c r="G670" i="50"/>
  <c r="C720" i="50"/>
  <c r="C724" i="50" s="1"/>
  <c r="C717" i="50"/>
  <c r="C713" i="50"/>
  <c r="C712" i="50"/>
  <c r="C715" i="50"/>
  <c r="C718" i="50"/>
  <c r="C716" i="50"/>
  <c r="C730" i="50"/>
  <c r="C719" i="50"/>
  <c r="C729" i="50"/>
  <c r="C714" i="50"/>
  <c r="C709" i="50"/>
  <c r="C728" i="50"/>
  <c r="C711" i="50"/>
  <c r="E680" i="50"/>
  <c r="J680" i="50"/>
  <c r="D680" i="50"/>
  <c r="K680" i="50"/>
  <c r="H680" i="50"/>
  <c r="F680" i="50"/>
  <c r="I680" i="50"/>
  <c r="G675" i="50"/>
  <c r="K708" i="50"/>
  <c r="F708" i="50"/>
  <c r="H708" i="50"/>
  <c r="I708" i="50"/>
  <c r="D708" i="50"/>
  <c r="E708" i="50"/>
  <c r="G708" i="50" s="1"/>
  <c r="J708" i="50"/>
  <c r="H695" i="50"/>
  <c r="K695" i="50"/>
  <c r="D695" i="50"/>
  <c r="I695" i="50"/>
  <c r="E695" i="50"/>
  <c r="F695" i="50"/>
  <c r="J695" i="50"/>
  <c r="E687" i="50"/>
  <c r="K687" i="50" s="1"/>
  <c r="D688" i="50"/>
  <c r="J687" i="50"/>
  <c r="D687" i="50"/>
  <c r="E688" i="50"/>
  <c r="G688" i="50" s="1"/>
  <c r="H687" i="50"/>
  <c r="F687" i="50"/>
  <c r="J689" i="50"/>
  <c r="H689" i="50"/>
  <c r="F689" i="50"/>
  <c r="E689" i="50"/>
  <c r="I689" i="50"/>
  <c r="D689" i="50"/>
  <c r="K689" i="50"/>
  <c r="F700" i="50"/>
  <c r="K700" i="50"/>
  <c r="K701" i="50"/>
  <c r="I701" i="50"/>
  <c r="D701" i="50"/>
  <c r="J700" i="50"/>
  <c r="D700" i="50"/>
  <c r="E700" i="50"/>
  <c r="E701" i="50"/>
  <c r="G701" i="50" s="1"/>
  <c r="H700" i="50"/>
  <c r="I700" i="50"/>
  <c r="J691" i="50"/>
  <c r="K691" i="50" s="1"/>
  <c r="F691" i="50"/>
  <c r="D691" i="50"/>
  <c r="H691" i="50"/>
  <c r="I691" i="50" s="1"/>
  <c r="E691" i="50"/>
  <c r="J698" i="50"/>
  <c r="E698" i="50"/>
  <c r="W698" i="50" s="1"/>
  <c r="F698" i="50"/>
  <c r="E699" i="50"/>
  <c r="G699" i="50" s="1"/>
  <c r="H698" i="50"/>
  <c r="D698" i="50"/>
  <c r="D699" i="50"/>
  <c r="G673" i="50"/>
  <c r="I682" i="50"/>
  <c r="E682" i="50"/>
  <c r="D682" i="50"/>
  <c r="K682" i="50"/>
  <c r="J682" i="50"/>
  <c r="H682" i="50"/>
  <c r="F682" i="50"/>
  <c r="G669" i="50"/>
  <c r="D692" i="50"/>
  <c r="I692" i="50"/>
  <c r="F692" i="50"/>
  <c r="H692" i="50"/>
  <c r="J692" i="50"/>
  <c r="E692" i="50"/>
  <c r="K692" i="50"/>
  <c r="H697" i="50"/>
  <c r="D697" i="50"/>
  <c r="K697" i="50"/>
  <c r="F697" i="50"/>
  <c r="E697" i="50"/>
  <c r="I697" i="50"/>
  <c r="J697" i="50"/>
  <c r="J693" i="50"/>
  <c r="D693" i="50"/>
  <c r="F693" i="50"/>
  <c r="I693" i="50"/>
  <c r="E693" i="50"/>
  <c r="H693" i="50"/>
  <c r="K693" i="50"/>
  <c r="H696" i="50"/>
  <c r="F696" i="50"/>
  <c r="D696" i="50"/>
  <c r="E696" i="50"/>
  <c r="K696" i="50"/>
  <c r="I696" i="50"/>
  <c r="J696" i="50"/>
  <c r="E690" i="50"/>
  <c r="J690" i="50"/>
  <c r="F690" i="50"/>
  <c r="D690" i="50"/>
  <c r="I690" i="50"/>
  <c r="K690" i="50"/>
  <c r="H690" i="50"/>
  <c r="J681" i="50"/>
  <c r="H681" i="50"/>
  <c r="F681" i="50"/>
  <c r="E681" i="50"/>
  <c r="K681" i="50"/>
  <c r="D681" i="50"/>
  <c r="I681" i="50"/>
  <c r="G684" i="50"/>
  <c r="B110" i="42"/>
  <c r="B733" i="51" s="1"/>
  <c r="E707" i="51" l="1"/>
  <c r="C729" i="51"/>
  <c r="H729" i="51" s="1"/>
  <c r="J705" i="50"/>
  <c r="H705" i="51"/>
  <c r="K705" i="51"/>
  <c r="I705" i="51"/>
  <c r="D707" i="51"/>
  <c r="H706" i="51"/>
  <c r="J705" i="51"/>
  <c r="D705" i="51"/>
  <c r="F705" i="51"/>
  <c r="G705" i="51" s="1"/>
  <c r="G683" i="51"/>
  <c r="I707" i="51"/>
  <c r="H707" i="51"/>
  <c r="K707" i="51"/>
  <c r="F707" i="51"/>
  <c r="G707" i="51" s="1"/>
  <c r="I705" i="50"/>
  <c r="G684" i="51"/>
  <c r="J706" i="51"/>
  <c r="K706" i="51"/>
  <c r="D706" i="51"/>
  <c r="E706" i="51"/>
  <c r="F706" i="51"/>
  <c r="G678" i="50"/>
  <c r="G691" i="50"/>
  <c r="I706" i="50"/>
  <c r="I693" i="51"/>
  <c r="K700" i="51"/>
  <c r="K689" i="51"/>
  <c r="I699" i="50"/>
  <c r="G693" i="51"/>
  <c r="K708" i="51"/>
  <c r="I698" i="50"/>
  <c r="V698" i="50"/>
  <c r="AA698" i="50"/>
  <c r="I701" i="51"/>
  <c r="I700" i="51"/>
  <c r="G709" i="51"/>
  <c r="G704" i="51"/>
  <c r="G691" i="51"/>
  <c r="K699" i="50"/>
  <c r="K698" i="50"/>
  <c r="W678" i="51" s="1"/>
  <c r="I688" i="50"/>
  <c r="I687" i="50"/>
  <c r="U698" i="50"/>
  <c r="U678" i="51" s="1"/>
  <c r="Z698" i="50"/>
  <c r="Z678" i="51" s="1"/>
  <c r="X698" i="50"/>
  <c r="X678" i="51" s="1"/>
  <c r="Y698" i="50"/>
  <c r="Y678" i="51" s="1"/>
  <c r="AD698" i="50"/>
  <c r="AD678" i="51" s="1"/>
  <c r="AB698" i="50"/>
  <c r="AB678" i="51" s="1"/>
  <c r="I690" i="51"/>
  <c r="C727" i="51"/>
  <c r="H727" i="51" s="1"/>
  <c r="K688" i="50"/>
  <c r="AC698" i="50"/>
  <c r="AC678" i="51" s="1"/>
  <c r="K701" i="51"/>
  <c r="K690" i="51"/>
  <c r="I689" i="51"/>
  <c r="G695" i="51"/>
  <c r="C726" i="51"/>
  <c r="F726" i="51" s="1"/>
  <c r="G694" i="51"/>
  <c r="G692" i="51"/>
  <c r="C724" i="51"/>
  <c r="F724" i="51" s="1"/>
  <c r="C753" i="51"/>
  <c r="C741" i="51"/>
  <c r="C737" i="51"/>
  <c r="C740" i="51"/>
  <c r="C744" i="51"/>
  <c r="C748" i="51" s="1"/>
  <c r="C736" i="51"/>
  <c r="C752" i="51"/>
  <c r="C754" i="51"/>
  <c r="C735" i="51"/>
  <c r="C733" i="51"/>
  <c r="C739" i="51"/>
  <c r="C738" i="51"/>
  <c r="C743" i="51"/>
  <c r="C742" i="51"/>
  <c r="G699" i="51"/>
  <c r="G700" i="51"/>
  <c r="J732" i="51"/>
  <c r="H732" i="51"/>
  <c r="I732" i="51"/>
  <c r="D732" i="51"/>
  <c r="F732" i="51"/>
  <c r="K732" i="51"/>
  <c r="E732" i="51"/>
  <c r="E728" i="51"/>
  <c r="F728" i="51"/>
  <c r="D728" i="51"/>
  <c r="I728" i="51"/>
  <c r="J728" i="51"/>
  <c r="K728" i="51"/>
  <c r="H728" i="51"/>
  <c r="I721" i="51"/>
  <c r="F721" i="51"/>
  <c r="H721" i="51"/>
  <c r="J721" i="51"/>
  <c r="D721" i="51"/>
  <c r="E721" i="51"/>
  <c r="G721" i="51" s="1"/>
  <c r="K721" i="51"/>
  <c r="E703" i="51"/>
  <c r="G703" i="51" s="1"/>
  <c r="I702" i="51"/>
  <c r="D703" i="51"/>
  <c r="J702" i="51"/>
  <c r="K703" i="51"/>
  <c r="I703" i="51"/>
  <c r="F702" i="51"/>
  <c r="D702" i="51"/>
  <c r="H702" i="51"/>
  <c r="E702" i="51"/>
  <c r="K702" i="51"/>
  <c r="G696" i="51"/>
  <c r="G698" i="51"/>
  <c r="G689" i="51"/>
  <c r="J730" i="51"/>
  <c r="H730" i="51"/>
  <c r="F730" i="51"/>
  <c r="D730" i="51"/>
  <c r="E730" i="51"/>
  <c r="E713" i="51"/>
  <c r="K713" i="51"/>
  <c r="H713" i="51"/>
  <c r="J713" i="51"/>
  <c r="D713" i="51"/>
  <c r="F713" i="51"/>
  <c r="I713" i="51"/>
  <c r="K731" i="51"/>
  <c r="D731" i="51"/>
  <c r="J731" i="51"/>
  <c r="I731" i="51"/>
  <c r="F731" i="51"/>
  <c r="E731" i="51"/>
  <c r="H731" i="51"/>
  <c r="H711" i="51"/>
  <c r="D712" i="51"/>
  <c r="D711" i="51"/>
  <c r="J711" i="51"/>
  <c r="F711" i="51"/>
  <c r="E712" i="51"/>
  <c r="G712" i="51" s="1"/>
  <c r="E711" i="51"/>
  <c r="I718" i="51"/>
  <c r="K718" i="51"/>
  <c r="E718" i="51"/>
  <c r="H718" i="51"/>
  <c r="D718" i="51"/>
  <c r="F718" i="51"/>
  <c r="J718" i="51"/>
  <c r="G708" i="51"/>
  <c r="G710" i="51"/>
  <c r="D716" i="51"/>
  <c r="J716" i="51"/>
  <c r="K716" i="51"/>
  <c r="I716" i="51"/>
  <c r="F716" i="51"/>
  <c r="H716" i="51"/>
  <c r="E716" i="51"/>
  <c r="E717" i="51"/>
  <c r="J717" i="51"/>
  <c r="H717" i="51"/>
  <c r="F717" i="51"/>
  <c r="D717" i="51"/>
  <c r="K717" i="51"/>
  <c r="I717" i="51"/>
  <c r="J715" i="51"/>
  <c r="E715" i="51"/>
  <c r="F715" i="51"/>
  <c r="D715" i="51"/>
  <c r="K715" i="51"/>
  <c r="H715" i="51"/>
  <c r="I715" i="51" s="1"/>
  <c r="H714" i="51"/>
  <c r="E714" i="51"/>
  <c r="J714" i="51"/>
  <c r="K714" i="51"/>
  <c r="D714" i="51"/>
  <c r="F714" i="51"/>
  <c r="I714" i="51"/>
  <c r="F719" i="51"/>
  <c r="H719" i="51"/>
  <c r="E719" i="51"/>
  <c r="K719" i="51"/>
  <c r="D719" i="51"/>
  <c r="J719" i="51"/>
  <c r="I719" i="51"/>
  <c r="K720" i="51"/>
  <c r="E720" i="51"/>
  <c r="J720" i="51"/>
  <c r="I720" i="51"/>
  <c r="F720" i="51"/>
  <c r="D720" i="51"/>
  <c r="H720" i="51"/>
  <c r="E729" i="51"/>
  <c r="J722" i="51"/>
  <c r="E722" i="51"/>
  <c r="H722" i="51"/>
  <c r="F722" i="51"/>
  <c r="E723" i="51"/>
  <c r="G723" i="51" s="1"/>
  <c r="D722" i="51"/>
  <c r="D723" i="51"/>
  <c r="I722" i="51"/>
  <c r="K722" i="51"/>
  <c r="H702" i="50"/>
  <c r="D702" i="50"/>
  <c r="X702" i="50"/>
  <c r="X682" i="51" s="1"/>
  <c r="K702" i="50"/>
  <c r="I702" i="50"/>
  <c r="AD702" i="50"/>
  <c r="AD682" i="51" s="1"/>
  <c r="J702" i="50"/>
  <c r="F702" i="50"/>
  <c r="V702" i="50"/>
  <c r="V682" i="51" s="1"/>
  <c r="Y702" i="50"/>
  <c r="Y682" i="51" s="1"/>
  <c r="E702" i="50"/>
  <c r="AA702" i="50"/>
  <c r="AA682" i="51" s="1"/>
  <c r="AC702" i="50"/>
  <c r="AC682" i="51" s="1"/>
  <c r="K704" i="50"/>
  <c r="D704" i="50"/>
  <c r="H704" i="50"/>
  <c r="I704" i="50"/>
  <c r="J704" i="50"/>
  <c r="E704" i="50"/>
  <c r="F704" i="50"/>
  <c r="E705" i="50"/>
  <c r="K705" i="50"/>
  <c r="C30" i="41"/>
  <c r="D705" i="50"/>
  <c r="F705" i="50"/>
  <c r="C726" i="50"/>
  <c r="AA726" i="50" s="1"/>
  <c r="AA706" i="51" s="1"/>
  <c r="C727" i="50"/>
  <c r="Y727" i="50" s="1"/>
  <c r="Y707" i="51" s="1"/>
  <c r="C722" i="50"/>
  <c r="AE722" i="50" s="1"/>
  <c r="AE702" i="51" s="1"/>
  <c r="W702" i="50"/>
  <c r="W682" i="51" s="1"/>
  <c r="Z702" i="50"/>
  <c r="Z682" i="51" s="1"/>
  <c r="AD704" i="50"/>
  <c r="AD684" i="51" s="1"/>
  <c r="AB702" i="50"/>
  <c r="AB682" i="51" s="1"/>
  <c r="U704" i="50"/>
  <c r="U684" i="51" s="1"/>
  <c r="C31" i="41"/>
  <c r="G682" i="50"/>
  <c r="C725" i="50"/>
  <c r="Y725" i="50" s="1"/>
  <c r="Y705" i="51" s="1"/>
  <c r="G683" i="50"/>
  <c r="G700" i="50"/>
  <c r="G706" i="50"/>
  <c r="G689" i="50"/>
  <c r="AB704" i="50"/>
  <c r="AB684" i="51" s="1"/>
  <c r="V704" i="50"/>
  <c r="V684" i="51" s="1"/>
  <c r="AC704" i="50"/>
  <c r="AC684" i="51" s="1"/>
  <c r="X704" i="50"/>
  <c r="X684" i="51" s="1"/>
  <c r="AA704" i="50"/>
  <c r="AA684" i="51" s="1"/>
  <c r="W704" i="50"/>
  <c r="W684" i="51" s="1"/>
  <c r="Z704" i="50"/>
  <c r="Z684" i="51" s="1"/>
  <c r="AC729" i="50"/>
  <c r="AC709" i="51" s="1"/>
  <c r="Y729" i="50"/>
  <c r="Y709" i="51" s="1"/>
  <c r="AB729" i="50"/>
  <c r="AB709" i="51" s="1"/>
  <c r="X729" i="50"/>
  <c r="X709" i="51" s="1"/>
  <c r="Z729" i="50"/>
  <c r="Z709" i="51" s="1"/>
  <c r="AE729" i="50"/>
  <c r="AE709" i="51" s="1"/>
  <c r="W729" i="50"/>
  <c r="W709" i="51" s="1"/>
  <c r="AD729" i="50"/>
  <c r="AD709" i="51" s="1"/>
  <c r="V729" i="50"/>
  <c r="V709" i="51" s="1"/>
  <c r="AA729" i="50"/>
  <c r="AA709" i="51" s="1"/>
  <c r="AD716" i="50"/>
  <c r="AD696" i="51" s="1"/>
  <c r="Z716" i="50"/>
  <c r="Z696" i="51" s="1"/>
  <c r="V716" i="50"/>
  <c r="V696" i="51" s="1"/>
  <c r="AA716" i="50"/>
  <c r="AA696" i="51" s="1"/>
  <c r="AE716" i="50"/>
  <c r="AE696" i="51" s="1"/>
  <c r="Y716" i="50"/>
  <c r="Y696" i="51" s="1"/>
  <c r="AC716" i="50"/>
  <c r="AC696" i="51" s="1"/>
  <c r="X716" i="50"/>
  <c r="X696" i="51" s="1"/>
  <c r="AB716" i="50"/>
  <c r="AB696" i="51" s="1"/>
  <c r="W716" i="50"/>
  <c r="W696" i="51" s="1"/>
  <c r="AB715" i="50"/>
  <c r="AB695" i="51" s="1"/>
  <c r="X715" i="50"/>
  <c r="X695" i="51" s="1"/>
  <c r="AE715" i="50"/>
  <c r="AE695" i="51" s="1"/>
  <c r="Z715" i="50"/>
  <c r="Z695" i="51" s="1"/>
  <c r="AD715" i="50"/>
  <c r="AD695" i="51" s="1"/>
  <c r="Y715" i="50"/>
  <c r="Y695" i="51" s="1"/>
  <c r="AC715" i="50"/>
  <c r="AC695" i="51" s="1"/>
  <c r="W715" i="50"/>
  <c r="W695" i="51" s="1"/>
  <c r="AA715" i="50"/>
  <c r="AA695" i="51" s="1"/>
  <c r="V715" i="50"/>
  <c r="V695" i="51" s="1"/>
  <c r="AA705" i="50"/>
  <c r="AA685" i="51" s="1"/>
  <c r="W705" i="50"/>
  <c r="W685" i="51" s="1"/>
  <c r="AB705" i="50"/>
  <c r="AB685" i="51" s="1"/>
  <c r="V705" i="50"/>
  <c r="V685" i="51" s="1"/>
  <c r="Z705" i="50"/>
  <c r="Z685" i="51" s="1"/>
  <c r="U705" i="50"/>
  <c r="U685" i="51" s="1"/>
  <c r="AD705" i="50"/>
  <c r="AD685" i="51" s="1"/>
  <c r="Y705" i="50"/>
  <c r="Y685" i="51" s="1"/>
  <c r="AC705" i="50"/>
  <c r="AC685" i="51" s="1"/>
  <c r="X705" i="50"/>
  <c r="X685" i="51" s="1"/>
  <c r="G690" i="50"/>
  <c r="G698" i="50"/>
  <c r="AB709" i="50"/>
  <c r="AB689" i="51" s="1"/>
  <c r="X709" i="50"/>
  <c r="X689" i="51" s="1"/>
  <c r="AE709" i="50"/>
  <c r="AE689" i="51" s="1"/>
  <c r="Z709" i="50"/>
  <c r="Z689" i="51" s="1"/>
  <c r="AD709" i="50"/>
  <c r="AD689" i="51" s="1"/>
  <c r="Y709" i="50"/>
  <c r="Y689" i="51" s="1"/>
  <c r="AC709" i="50"/>
  <c r="AC689" i="51" s="1"/>
  <c r="W709" i="50"/>
  <c r="W689" i="51" s="1"/>
  <c r="AA709" i="50"/>
  <c r="AA689" i="51" s="1"/>
  <c r="V709" i="50"/>
  <c r="V689" i="51" s="1"/>
  <c r="AE724" i="50"/>
  <c r="AE704" i="51" s="1"/>
  <c r="AA724" i="50"/>
  <c r="AA704" i="51" s="1"/>
  <c r="W724" i="50"/>
  <c r="W704" i="51" s="1"/>
  <c r="AD724" i="50"/>
  <c r="AD704" i="51" s="1"/>
  <c r="Z724" i="50"/>
  <c r="Z704" i="51" s="1"/>
  <c r="V724" i="50"/>
  <c r="V704" i="51" s="1"/>
  <c r="AB724" i="50"/>
  <c r="AB704" i="51" s="1"/>
  <c r="Y724" i="50"/>
  <c r="Y704" i="51" s="1"/>
  <c r="X724" i="50"/>
  <c r="X704" i="51" s="1"/>
  <c r="AC724" i="50"/>
  <c r="AC704" i="51" s="1"/>
  <c r="AD718" i="50"/>
  <c r="AD698" i="51" s="1"/>
  <c r="Z718" i="50"/>
  <c r="Z698" i="51" s="1"/>
  <c r="V718" i="50"/>
  <c r="V698" i="51" s="1"/>
  <c r="AB718" i="50"/>
  <c r="AB698" i="51" s="1"/>
  <c r="W718" i="50"/>
  <c r="W698" i="51" s="1"/>
  <c r="AA718" i="50"/>
  <c r="AA698" i="51" s="1"/>
  <c r="AE718" i="50"/>
  <c r="AE698" i="51" s="1"/>
  <c r="Y718" i="50"/>
  <c r="Y698" i="51" s="1"/>
  <c r="AC718" i="50"/>
  <c r="AC698" i="51" s="1"/>
  <c r="X718" i="50"/>
  <c r="X698" i="51" s="1"/>
  <c r="AD712" i="50"/>
  <c r="AD692" i="51" s="1"/>
  <c r="Z712" i="50"/>
  <c r="Z692" i="51" s="1"/>
  <c r="V712" i="50"/>
  <c r="V692" i="51" s="1"/>
  <c r="AC712" i="50"/>
  <c r="AC692" i="51" s="1"/>
  <c r="X712" i="50"/>
  <c r="X692" i="51" s="1"/>
  <c r="AB712" i="50"/>
  <c r="AB692" i="51" s="1"/>
  <c r="W712" i="50"/>
  <c r="W692" i="51" s="1"/>
  <c r="AA712" i="50"/>
  <c r="AA692" i="51" s="1"/>
  <c r="AE712" i="50"/>
  <c r="AE692" i="51" s="1"/>
  <c r="Y712" i="50"/>
  <c r="Y692" i="51" s="1"/>
  <c r="AB711" i="50"/>
  <c r="AB691" i="51" s="1"/>
  <c r="X711" i="50"/>
  <c r="X691" i="51" s="1"/>
  <c r="AC711" i="50"/>
  <c r="AC691" i="51" s="1"/>
  <c r="W711" i="50"/>
  <c r="W691" i="51" s="1"/>
  <c r="AA711" i="50"/>
  <c r="AA691" i="51" s="1"/>
  <c r="V711" i="50"/>
  <c r="V691" i="51" s="1"/>
  <c r="AE711" i="50"/>
  <c r="AE691" i="51" s="1"/>
  <c r="Z711" i="50"/>
  <c r="Z691" i="51" s="1"/>
  <c r="AD711" i="50"/>
  <c r="AD691" i="51" s="1"/>
  <c r="Y711" i="50"/>
  <c r="Y691" i="51" s="1"/>
  <c r="AD714" i="50"/>
  <c r="AD694" i="51" s="1"/>
  <c r="Z714" i="50"/>
  <c r="Z694" i="51" s="1"/>
  <c r="V714" i="50"/>
  <c r="V694" i="51" s="1"/>
  <c r="AE714" i="50"/>
  <c r="AE694" i="51" s="1"/>
  <c r="Y714" i="50"/>
  <c r="Y694" i="51" s="1"/>
  <c r="AC714" i="50"/>
  <c r="AC694" i="51" s="1"/>
  <c r="X714" i="50"/>
  <c r="X694" i="51" s="1"/>
  <c r="AB714" i="50"/>
  <c r="AB694" i="51" s="1"/>
  <c r="W714" i="50"/>
  <c r="W694" i="51" s="1"/>
  <c r="AA714" i="50"/>
  <c r="AA694" i="51" s="1"/>
  <c r="AB719" i="50"/>
  <c r="AB699" i="51" s="1"/>
  <c r="X719" i="50"/>
  <c r="X699" i="51" s="1"/>
  <c r="AC719" i="50"/>
  <c r="AC699" i="51" s="1"/>
  <c r="W719" i="50"/>
  <c r="W699" i="51" s="1"/>
  <c r="AA719" i="50"/>
  <c r="AA699" i="51" s="1"/>
  <c r="V719" i="50"/>
  <c r="V699" i="51" s="1"/>
  <c r="AE719" i="50"/>
  <c r="AE699" i="51" s="1"/>
  <c r="Z719" i="50"/>
  <c r="Z699" i="51" s="1"/>
  <c r="AD719" i="50"/>
  <c r="AD699" i="51" s="1"/>
  <c r="Y719" i="50"/>
  <c r="Y699" i="51" s="1"/>
  <c r="AB713" i="50"/>
  <c r="AB693" i="51" s="1"/>
  <c r="X713" i="50"/>
  <c r="X693" i="51" s="1"/>
  <c r="AD713" i="50"/>
  <c r="AD693" i="51" s="1"/>
  <c r="Y713" i="50"/>
  <c r="Y693" i="51" s="1"/>
  <c r="AC713" i="50"/>
  <c r="AC693" i="51" s="1"/>
  <c r="W713" i="50"/>
  <c r="W693" i="51" s="1"/>
  <c r="AA713" i="50"/>
  <c r="AA693" i="51" s="1"/>
  <c r="V713" i="50"/>
  <c r="V693" i="51" s="1"/>
  <c r="AE713" i="50"/>
  <c r="AE693" i="51" s="1"/>
  <c r="Z713" i="50"/>
  <c r="Z693" i="51" s="1"/>
  <c r="AE728" i="50"/>
  <c r="AE708" i="51" s="1"/>
  <c r="AA728" i="50"/>
  <c r="AA708" i="51" s="1"/>
  <c r="W728" i="50"/>
  <c r="W708" i="51" s="1"/>
  <c r="AD728" i="50"/>
  <c r="AD708" i="51" s="1"/>
  <c r="Z728" i="50"/>
  <c r="Z708" i="51" s="1"/>
  <c r="V728" i="50"/>
  <c r="V708" i="51" s="1"/>
  <c r="AB728" i="50"/>
  <c r="AB708" i="51" s="1"/>
  <c r="Y728" i="50"/>
  <c r="Y708" i="51" s="1"/>
  <c r="X728" i="50"/>
  <c r="X708" i="51" s="1"/>
  <c r="AC728" i="50"/>
  <c r="AC708" i="51" s="1"/>
  <c r="AE730" i="50"/>
  <c r="AE710" i="51" s="1"/>
  <c r="AA730" i="50"/>
  <c r="AA710" i="51" s="1"/>
  <c r="W730" i="50"/>
  <c r="W710" i="51" s="1"/>
  <c r="AD730" i="50"/>
  <c r="AD710" i="51" s="1"/>
  <c r="Z730" i="50"/>
  <c r="Z710" i="51" s="1"/>
  <c r="V730" i="50"/>
  <c r="V710" i="51" s="1"/>
  <c r="X730" i="50"/>
  <c r="X710" i="51" s="1"/>
  <c r="AC730" i="50"/>
  <c r="AC710" i="51" s="1"/>
  <c r="AB730" i="50"/>
  <c r="AB710" i="51" s="1"/>
  <c r="Y730" i="50"/>
  <c r="Y710" i="51" s="1"/>
  <c r="AB717" i="50"/>
  <c r="AB697" i="51" s="1"/>
  <c r="X717" i="50"/>
  <c r="X697" i="51" s="1"/>
  <c r="AA717" i="50"/>
  <c r="AA697" i="51" s="1"/>
  <c r="V717" i="50"/>
  <c r="V697" i="51" s="1"/>
  <c r="AE717" i="50"/>
  <c r="AE697" i="51" s="1"/>
  <c r="Z717" i="50"/>
  <c r="Z697" i="51" s="1"/>
  <c r="AD717" i="50"/>
  <c r="AD697" i="51" s="1"/>
  <c r="Y717" i="50"/>
  <c r="Y697" i="51" s="1"/>
  <c r="AC717" i="50"/>
  <c r="AC697" i="51" s="1"/>
  <c r="W717" i="50"/>
  <c r="W697" i="51" s="1"/>
  <c r="AA703" i="50"/>
  <c r="AA683" i="51" s="1"/>
  <c r="W703" i="50"/>
  <c r="W683" i="51" s="1"/>
  <c r="Z703" i="50"/>
  <c r="Z683" i="51" s="1"/>
  <c r="U703" i="50"/>
  <c r="U683" i="51" s="1"/>
  <c r="AD703" i="50"/>
  <c r="AD683" i="51" s="1"/>
  <c r="Y703" i="50"/>
  <c r="Y683" i="51" s="1"/>
  <c r="AC703" i="50"/>
  <c r="AC683" i="51" s="1"/>
  <c r="X703" i="50"/>
  <c r="X683" i="51" s="1"/>
  <c r="AB703" i="50"/>
  <c r="AB683" i="51" s="1"/>
  <c r="V703" i="50"/>
  <c r="V683" i="51" s="1"/>
  <c r="E709" i="50"/>
  <c r="I709" i="50" s="1"/>
  <c r="F709" i="50"/>
  <c r="J709" i="50"/>
  <c r="K709" i="50" s="1"/>
  <c r="E710" i="50"/>
  <c r="G710" i="50" s="1"/>
  <c r="D710" i="50"/>
  <c r="H709" i="50"/>
  <c r="D709" i="50"/>
  <c r="E724" i="50"/>
  <c r="J724" i="50"/>
  <c r="H724" i="50"/>
  <c r="I724" i="50"/>
  <c r="K724" i="50"/>
  <c r="D724" i="50"/>
  <c r="F724" i="50"/>
  <c r="I718" i="50"/>
  <c r="K718" i="50"/>
  <c r="E718" i="50"/>
  <c r="F718" i="50"/>
  <c r="D718" i="50"/>
  <c r="J718" i="50"/>
  <c r="H718" i="50"/>
  <c r="I712" i="50"/>
  <c r="F712" i="50"/>
  <c r="K712" i="50"/>
  <c r="J712" i="50"/>
  <c r="D712" i="50"/>
  <c r="E712" i="50"/>
  <c r="G712" i="50" s="1"/>
  <c r="H712" i="50"/>
  <c r="G695" i="50"/>
  <c r="G680" i="50"/>
  <c r="E711" i="50"/>
  <c r="J711" i="50"/>
  <c r="H711" i="50"/>
  <c r="I711" i="50"/>
  <c r="K711" i="50"/>
  <c r="F711" i="50"/>
  <c r="D711" i="50"/>
  <c r="F714" i="50"/>
  <c r="D714" i="50"/>
  <c r="I714" i="50"/>
  <c r="J714" i="50"/>
  <c r="H714" i="50"/>
  <c r="K714" i="50"/>
  <c r="E714" i="50"/>
  <c r="J719" i="50"/>
  <c r="H719" i="50"/>
  <c r="F719" i="50"/>
  <c r="D719" i="50"/>
  <c r="E719" i="50"/>
  <c r="I719" i="50"/>
  <c r="K719" i="50"/>
  <c r="H713" i="50"/>
  <c r="D713" i="50"/>
  <c r="F713" i="50"/>
  <c r="E713" i="50"/>
  <c r="J713" i="50"/>
  <c r="K713" i="50" s="1"/>
  <c r="C736" i="50"/>
  <c r="C752" i="50"/>
  <c r="C742" i="50"/>
  <c r="C744" i="50" s="1"/>
  <c r="C733" i="50"/>
  <c r="C731" i="50"/>
  <c r="C739" i="50"/>
  <c r="C738" i="50"/>
  <c r="C741" i="50"/>
  <c r="C737" i="50"/>
  <c r="C735" i="50"/>
  <c r="C734" i="50"/>
  <c r="C740" i="50"/>
  <c r="C751" i="50"/>
  <c r="C750" i="50"/>
  <c r="G696" i="50"/>
  <c r="G693" i="50"/>
  <c r="F728" i="50"/>
  <c r="D728" i="50"/>
  <c r="J728" i="50"/>
  <c r="H728" i="50"/>
  <c r="E728" i="50"/>
  <c r="K728" i="50" s="1"/>
  <c r="H730" i="50"/>
  <c r="K730" i="50"/>
  <c r="I730" i="50"/>
  <c r="F730" i="50"/>
  <c r="D730" i="50"/>
  <c r="E730" i="50"/>
  <c r="J730" i="50"/>
  <c r="H717" i="50"/>
  <c r="I717" i="50"/>
  <c r="F717" i="50"/>
  <c r="K717" i="50"/>
  <c r="J717" i="50"/>
  <c r="E717" i="50"/>
  <c r="D717" i="50"/>
  <c r="K703" i="50"/>
  <c r="H703" i="50"/>
  <c r="J703" i="50"/>
  <c r="E703" i="50"/>
  <c r="D703" i="50"/>
  <c r="I703" i="50"/>
  <c r="F703" i="50"/>
  <c r="B753" i="50"/>
  <c r="G681" i="50"/>
  <c r="G697" i="50"/>
  <c r="G692" i="50"/>
  <c r="G687" i="50"/>
  <c r="H729" i="50"/>
  <c r="F729" i="50"/>
  <c r="D729" i="50"/>
  <c r="E729" i="50"/>
  <c r="J729" i="50"/>
  <c r="I729" i="50"/>
  <c r="K729" i="50"/>
  <c r="I716" i="50"/>
  <c r="F716" i="50"/>
  <c r="J716" i="50"/>
  <c r="E716" i="50"/>
  <c r="H716" i="50"/>
  <c r="D716" i="50"/>
  <c r="K716" i="50"/>
  <c r="I715" i="50"/>
  <c r="K715" i="50"/>
  <c r="E715" i="50"/>
  <c r="F715" i="50"/>
  <c r="D715" i="50"/>
  <c r="H715" i="50"/>
  <c r="J715" i="50"/>
  <c r="H720" i="50"/>
  <c r="I720" i="50" s="1"/>
  <c r="D720" i="50"/>
  <c r="E720" i="50"/>
  <c r="V720" i="50" s="1"/>
  <c r="K721" i="50"/>
  <c r="F720" i="50"/>
  <c r="D721" i="50"/>
  <c r="J720" i="50"/>
  <c r="K720" i="50" s="1"/>
  <c r="I721" i="50"/>
  <c r="E721" i="50"/>
  <c r="G721" i="50" s="1"/>
  <c r="G707" i="50"/>
  <c r="G694" i="50"/>
  <c r="H726" i="51" l="1"/>
  <c r="D726" i="51"/>
  <c r="K726" i="51"/>
  <c r="J726" i="51"/>
  <c r="I726" i="51"/>
  <c r="E726" i="51"/>
  <c r="G726" i="51" s="1"/>
  <c r="I729" i="51"/>
  <c r="J729" i="51"/>
  <c r="D729" i="51"/>
  <c r="K729" i="51"/>
  <c r="F729" i="51"/>
  <c r="G729" i="51" s="1"/>
  <c r="E723" i="50"/>
  <c r="G723" i="50" s="1"/>
  <c r="F725" i="50"/>
  <c r="I727" i="51"/>
  <c r="G706" i="51"/>
  <c r="G711" i="51"/>
  <c r="C751" i="51"/>
  <c r="J751" i="51" s="1"/>
  <c r="F727" i="51"/>
  <c r="D727" i="51"/>
  <c r="E727" i="51"/>
  <c r="J727" i="51"/>
  <c r="K727" i="51"/>
  <c r="I713" i="50"/>
  <c r="K712" i="51"/>
  <c r="G730" i="51"/>
  <c r="V700" i="51"/>
  <c r="I728" i="50"/>
  <c r="K710" i="50"/>
  <c r="Y720" i="50"/>
  <c r="Y700" i="51" s="1"/>
  <c r="AB720" i="50"/>
  <c r="AB700" i="51" s="1"/>
  <c r="Z720" i="50"/>
  <c r="Z700" i="51" s="1"/>
  <c r="K711" i="51"/>
  <c r="AA678" i="51"/>
  <c r="I710" i="50"/>
  <c r="AE720" i="50"/>
  <c r="AE700" i="51" s="1"/>
  <c r="X720" i="50"/>
  <c r="X700" i="51" s="1"/>
  <c r="AD720" i="50"/>
  <c r="AD700" i="51" s="1"/>
  <c r="K723" i="51"/>
  <c r="I711" i="51"/>
  <c r="V678" i="51"/>
  <c r="AA720" i="50"/>
  <c r="AA700" i="51" s="1"/>
  <c r="AC720" i="50"/>
  <c r="AC700" i="51" s="1"/>
  <c r="G716" i="51"/>
  <c r="I712" i="51"/>
  <c r="I730" i="51"/>
  <c r="W720" i="50"/>
  <c r="W700" i="51" s="1"/>
  <c r="I723" i="51"/>
  <c r="K730" i="51"/>
  <c r="H722" i="50"/>
  <c r="E722" i="50"/>
  <c r="I724" i="51"/>
  <c r="D725" i="51"/>
  <c r="E725" i="51"/>
  <c r="G725" i="51" s="1"/>
  <c r="H724" i="51"/>
  <c r="E724" i="51"/>
  <c r="G724" i="51" s="1"/>
  <c r="I725" i="51"/>
  <c r="K725" i="51"/>
  <c r="J724" i="51"/>
  <c r="K724" i="51"/>
  <c r="D724" i="51"/>
  <c r="C750" i="51"/>
  <c r="D750" i="51" s="1"/>
  <c r="G728" i="51"/>
  <c r="G720" i="51"/>
  <c r="G732" i="51"/>
  <c r="F748" i="51"/>
  <c r="K748" i="51"/>
  <c r="I748" i="51"/>
  <c r="H748" i="51"/>
  <c r="E748" i="51"/>
  <c r="D748" i="51"/>
  <c r="J748" i="51"/>
  <c r="G719" i="51"/>
  <c r="G714" i="51"/>
  <c r="G731" i="51"/>
  <c r="G713" i="51"/>
  <c r="G702" i="51"/>
  <c r="C749" i="51"/>
  <c r="K738" i="51"/>
  <c r="D738" i="51"/>
  <c r="J738" i="51"/>
  <c r="I738" i="51"/>
  <c r="H738" i="51"/>
  <c r="F738" i="51"/>
  <c r="E738" i="51"/>
  <c r="E754" i="51"/>
  <c r="H754" i="51"/>
  <c r="J754" i="51"/>
  <c r="K754" i="51"/>
  <c r="I754" i="51"/>
  <c r="F754" i="51"/>
  <c r="D754" i="51"/>
  <c r="K740" i="51"/>
  <c r="I740" i="51"/>
  <c r="F740" i="51"/>
  <c r="E740" i="51"/>
  <c r="J740" i="51"/>
  <c r="H740" i="51"/>
  <c r="D740" i="51"/>
  <c r="G722" i="51"/>
  <c r="G718" i="51"/>
  <c r="C746" i="51"/>
  <c r="D739" i="51"/>
  <c r="F739" i="51"/>
  <c r="K739" i="51"/>
  <c r="E739" i="51"/>
  <c r="H739" i="51"/>
  <c r="J739" i="51"/>
  <c r="I739" i="51"/>
  <c r="H752" i="51"/>
  <c r="D752" i="51"/>
  <c r="E752" i="51"/>
  <c r="J752" i="51"/>
  <c r="F752" i="51"/>
  <c r="I752" i="51"/>
  <c r="J737" i="51"/>
  <c r="D737" i="51"/>
  <c r="H737" i="51"/>
  <c r="I737" i="51" s="1"/>
  <c r="E737" i="51"/>
  <c r="K737" i="51" s="1"/>
  <c r="F737" i="51"/>
  <c r="G717" i="51"/>
  <c r="F742" i="51"/>
  <c r="E742" i="51"/>
  <c r="D742" i="51"/>
  <c r="H742" i="51"/>
  <c r="K742" i="51"/>
  <c r="J742" i="51"/>
  <c r="I742" i="51"/>
  <c r="D733" i="51"/>
  <c r="E733" i="51"/>
  <c r="D734" i="51"/>
  <c r="E734" i="51"/>
  <c r="G734" i="51" s="1"/>
  <c r="H733" i="51"/>
  <c r="J733" i="51"/>
  <c r="K734" i="51" s="1"/>
  <c r="F733" i="51"/>
  <c r="E736" i="51"/>
  <c r="H736" i="51"/>
  <c r="D736" i="51"/>
  <c r="I736" i="51"/>
  <c r="K736" i="51"/>
  <c r="F736" i="51"/>
  <c r="J736" i="51"/>
  <c r="H741" i="51"/>
  <c r="I741" i="51"/>
  <c r="K741" i="51"/>
  <c r="E741" i="51"/>
  <c r="D741" i="51"/>
  <c r="F741" i="51"/>
  <c r="J741" i="51"/>
  <c r="G715" i="51"/>
  <c r="D743" i="51"/>
  <c r="E743" i="51"/>
  <c r="K743" i="51"/>
  <c r="J743" i="51"/>
  <c r="I743" i="51"/>
  <c r="F743" i="51"/>
  <c r="H743" i="51"/>
  <c r="H735" i="51"/>
  <c r="E735" i="51"/>
  <c r="D735" i="51"/>
  <c r="I735" i="51"/>
  <c r="F735" i="51"/>
  <c r="J735" i="51"/>
  <c r="K735" i="51"/>
  <c r="H744" i="51"/>
  <c r="E744" i="51"/>
  <c r="I744" i="51" s="1"/>
  <c r="E745" i="51"/>
  <c r="G745" i="51" s="1"/>
  <c r="F744" i="51"/>
  <c r="D744" i="51"/>
  <c r="D745" i="51"/>
  <c r="J744" i="51"/>
  <c r="K744" i="51" s="1"/>
  <c r="E753" i="51"/>
  <c r="H753" i="51"/>
  <c r="K753" i="51"/>
  <c r="I753" i="51"/>
  <c r="D753" i="51"/>
  <c r="J753" i="51"/>
  <c r="F753" i="51"/>
  <c r="C748" i="50"/>
  <c r="AF748" i="50" s="1"/>
  <c r="AF728" i="51" s="1"/>
  <c r="G704" i="50"/>
  <c r="G702" i="50"/>
  <c r="AB726" i="50"/>
  <c r="AB706" i="51" s="1"/>
  <c r="Z726" i="50"/>
  <c r="Z706" i="51" s="1"/>
  <c r="I726" i="50"/>
  <c r="AE726" i="50"/>
  <c r="AE706" i="51" s="1"/>
  <c r="AC727" i="50"/>
  <c r="AC707" i="51" s="1"/>
  <c r="H727" i="50"/>
  <c r="AC722" i="50"/>
  <c r="AC702" i="51" s="1"/>
  <c r="AD722" i="50"/>
  <c r="AD702" i="51" s="1"/>
  <c r="G705" i="50"/>
  <c r="E726" i="50"/>
  <c r="D726" i="50"/>
  <c r="AC726" i="50"/>
  <c r="AC706" i="51" s="1"/>
  <c r="AD726" i="50"/>
  <c r="AD706" i="51" s="1"/>
  <c r="K726" i="50"/>
  <c r="F726" i="50"/>
  <c r="X726" i="50"/>
  <c r="X706" i="51" s="1"/>
  <c r="W726" i="50"/>
  <c r="W706" i="51" s="1"/>
  <c r="J726" i="50"/>
  <c r="H726" i="50"/>
  <c r="Y726" i="50"/>
  <c r="Y706" i="51" s="1"/>
  <c r="V726" i="50"/>
  <c r="V706" i="51" s="1"/>
  <c r="D723" i="50"/>
  <c r="J722" i="50"/>
  <c r="X722" i="50"/>
  <c r="X702" i="51" s="1"/>
  <c r="W722" i="50"/>
  <c r="W702" i="51" s="1"/>
  <c r="I723" i="50"/>
  <c r="K723" i="50"/>
  <c r="D722" i="50"/>
  <c r="Y722" i="50"/>
  <c r="Y702" i="51" s="1"/>
  <c r="V722" i="50"/>
  <c r="V702" i="51" s="1"/>
  <c r="AA722" i="50"/>
  <c r="AA702" i="51" s="1"/>
  <c r="F722" i="50"/>
  <c r="K722" i="50"/>
  <c r="I722" i="50"/>
  <c r="AB722" i="50"/>
  <c r="AB702" i="51" s="1"/>
  <c r="Z722" i="50"/>
  <c r="Z702" i="51" s="1"/>
  <c r="AA725" i="50"/>
  <c r="AA705" i="51" s="1"/>
  <c r="AE725" i="50"/>
  <c r="AE705" i="51" s="1"/>
  <c r="AE727" i="50"/>
  <c r="AE707" i="51" s="1"/>
  <c r="K727" i="50"/>
  <c r="AC725" i="50"/>
  <c r="AC705" i="51" s="1"/>
  <c r="AD727" i="50"/>
  <c r="AD707" i="51" s="1"/>
  <c r="I727" i="50"/>
  <c r="J727" i="50"/>
  <c r="D725" i="50"/>
  <c r="H725" i="50"/>
  <c r="V725" i="50"/>
  <c r="V705" i="51" s="1"/>
  <c r="Z725" i="50"/>
  <c r="Z705" i="51" s="1"/>
  <c r="Z727" i="50"/>
  <c r="Z707" i="51" s="1"/>
  <c r="X727" i="50"/>
  <c r="X707" i="51" s="1"/>
  <c r="D727" i="50"/>
  <c r="K725" i="50"/>
  <c r="J725" i="50"/>
  <c r="AD725" i="50"/>
  <c r="AD705" i="51" s="1"/>
  <c r="X725" i="50"/>
  <c r="X705" i="51" s="1"/>
  <c r="AA727" i="50"/>
  <c r="AA707" i="51" s="1"/>
  <c r="AB727" i="50"/>
  <c r="AB707" i="51" s="1"/>
  <c r="E727" i="50"/>
  <c r="F727" i="50"/>
  <c r="I725" i="50"/>
  <c r="E725" i="50"/>
  <c r="G725" i="50" s="1"/>
  <c r="W725" i="50"/>
  <c r="W705" i="51" s="1"/>
  <c r="AB725" i="50"/>
  <c r="AB705" i="51" s="1"/>
  <c r="W727" i="50"/>
  <c r="W707" i="51" s="1"/>
  <c r="V727" i="50"/>
  <c r="V707" i="51" s="1"/>
  <c r="G714" i="50"/>
  <c r="C747" i="50"/>
  <c r="AD747" i="50" s="1"/>
  <c r="AD727" i="51" s="1"/>
  <c r="G719" i="50"/>
  <c r="G717" i="50"/>
  <c r="AF744" i="50"/>
  <c r="AF724" i="51" s="1"/>
  <c r="AB744" i="50"/>
  <c r="AB724" i="51" s="1"/>
  <c r="X744" i="50"/>
  <c r="X724" i="51" s="1"/>
  <c r="AE744" i="50"/>
  <c r="AE724" i="51" s="1"/>
  <c r="AA744" i="50"/>
  <c r="AA724" i="51" s="1"/>
  <c r="W744" i="50"/>
  <c r="W724" i="51" s="1"/>
  <c r="Y744" i="50"/>
  <c r="Y724" i="51" s="1"/>
  <c r="AD744" i="50"/>
  <c r="AD724" i="51" s="1"/>
  <c r="AC744" i="50"/>
  <c r="AC724" i="51" s="1"/>
  <c r="Z744" i="50"/>
  <c r="Z724" i="51" s="1"/>
  <c r="AF740" i="50"/>
  <c r="AF720" i="51" s="1"/>
  <c r="AB740" i="50"/>
  <c r="AB720" i="51" s="1"/>
  <c r="X740" i="50"/>
  <c r="X720" i="51" s="1"/>
  <c r="AE740" i="50"/>
  <c r="AE720" i="51" s="1"/>
  <c r="AA740" i="50"/>
  <c r="AA720" i="51" s="1"/>
  <c r="W740" i="50"/>
  <c r="W720" i="51" s="1"/>
  <c r="Y740" i="50"/>
  <c r="Y720" i="51" s="1"/>
  <c r="AD740" i="50"/>
  <c r="AD720" i="51" s="1"/>
  <c r="AC740" i="50"/>
  <c r="AC720" i="51" s="1"/>
  <c r="Z740" i="50"/>
  <c r="Z720" i="51" s="1"/>
  <c r="AD741" i="50"/>
  <c r="AD721" i="51" s="1"/>
  <c r="Z741" i="50"/>
  <c r="Z721" i="51" s="1"/>
  <c r="AC741" i="50"/>
  <c r="AC721" i="51" s="1"/>
  <c r="Y741" i="50"/>
  <c r="Y721" i="51" s="1"/>
  <c r="AE741" i="50"/>
  <c r="AE721" i="51" s="1"/>
  <c r="W741" i="50"/>
  <c r="W721" i="51" s="1"/>
  <c r="AB741" i="50"/>
  <c r="AB721" i="51" s="1"/>
  <c r="AA741" i="50"/>
  <c r="AA721" i="51" s="1"/>
  <c r="AF741" i="50"/>
  <c r="AF721" i="51" s="1"/>
  <c r="X741" i="50"/>
  <c r="X721" i="51" s="1"/>
  <c r="AD733" i="50"/>
  <c r="AD713" i="51" s="1"/>
  <c r="Z733" i="50"/>
  <c r="Z713" i="51" s="1"/>
  <c r="AC733" i="50"/>
  <c r="AC713" i="51" s="1"/>
  <c r="Y733" i="50"/>
  <c r="Y713" i="51" s="1"/>
  <c r="AE733" i="50"/>
  <c r="AE713" i="51" s="1"/>
  <c r="W733" i="50"/>
  <c r="W713" i="51" s="1"/>
  <c r="AB733" i="50"/>
  <c r="AB713" i="51" s="1"/>
  <c r="AA733" i="50"/>
  <c r="AA713" i="51" s="1"/>
  <c r="AF733" i="50"/>
  <c r="AF713" i="51" s="1"/>
  <c r="X733" i="50"/>
  <c r="X713" i="51" s="1"/>
  <c r="G703" i="50"/>
  <c r="AF734" i="50"/>
  <c r="AF714" i="51" s="1"/>
  <c r="AB734" i="50"/>
  <c r="AB714" i="51" s="1"/>
  <c r="X734" i="50"/>
  <c r="X714" i="51" s="1"/>
  <c r="AE734" i="50"/>
  <c r="AE714" i="51" s="1"/>
  <c r="AA734" i="50"/>
  <c r="AA714" i="51" s="1"/>
  <c r="W734" i="50"/>
  <c r="W714" i="51" s="1"/>
  <c r="AC734" i="50"/>
  <c r="AC714" i="51" s="1"/>
  <c r="Z734" i="50"/>
  <c r="Z714" i="51" s="1"/>
  <c r="Y734" i="50"/>
  <c r="Y714" i="51" s="1"/>
  <c r="AD734" i="50"/>
  <c r="AD714" i="51" s="1"/>
  <c r="AF738" i="50"/>
  <c r="AF718" i="51" s="1"/>
  <c r="AB738" i="50"/>
  <c r="AB718" i="51" s="1"/>
  <c r="X738" i="50"/>
  <c r="X718" i="51" s="1"/>
  <c r="AE738" i="50"/>
  <c r="AE718" i="51" s="1"/>
  <c r="AA738" i="50"/>
  <c r="AA718" i="51" s="1"/>
  <c r="W738" i="50"/>
  <c r="W718" i="51" s="1"/>
  <c r="AC738" i="50"/>
  <c r="AC718" i="51" s="1"/>
  <c r="Z738" i="50"/>
  <c r="Z718" i="51" s="1"/>
  <c r="Y738" i="50"/>
  <c r="Y718" i="51" s="1"/>
  <c r="AD738" i="50"/>
  <c r="AD718" i="51" s="1"/>
  <c r="C749" i="50"/>
  <c r="E749" i="50" s="1"/>
  <c r="G709" i="50"/>
  <c r="AF750" i="50"/>
  <c r="AF730" i="51" s="1"/>
  <c r="AB750" i="50"/>
  <c r="AB730" i="51" s="1"/>
  <c r="X750" i="50"/>
  <c r="X730" i="51" s="1"/>
  <c r="AE750" i="50"/>
  <c r="AE730" i="51" s="1"/>
  <c r="AA750" i="50"/>
  <c r="AA730" i="51" s="1"/>
  <c r="W750" i="50"/>
  <c r="W730" i="51" s="1"/>
  <c r="AC750" i="50"/>
  <c r="AC730" i="51" s="1"/>
  <c r="Z750" i="50"/>
  <c r="Z730" i="51" s="1"/>
  <c r="Y750" i="50"/>
  <c r="Y730" i="51" s="1"/>
  <c r="AD750" i="50"/>
  <c r="AD730" i="51" s="1"/>
  <c r="AD735" i="50"/>
  <c r="AD715" i="51" s="1"/>
  <c r="Z735" i="50"/>
  <c r="Z715" i="51" s="1"/>
  <c r="AC735" i="50"/>
  <c r="AC715" i="51" s="1"/>
  <c r="Y735" i="50"/>
  <c r="Y715" i="51" s="1"/>
  <c r="AA735" i="50"/>
  <c r="AA715" i="51" s="1"/>
  <c r="AF735" i="50"/>
  <c r="AF715" i="51" s="1"/>
  <c r="X735" i="50"/>
  <c r="X715" i="51" s="1"/>
  <c r="AE735" i="50"/>
  <c r="AE715" i="51" s="1"/>
  <c r="W735" i="50"/>
  <c r="W715" i="51" s="1"/>
  <c r="AB735" i="50"/>
  <c r="AB715" i="51" s="1"/>
  <c r="AD739" i="50"/>
  <c r="AD719" i="51" s="1"/>
  <c r="Z739" i="50"/>
  <c r="Z719" i="51" s="1"/>
  <c r="AC739" i="50"/>
  <c r="AC719" i="51" s="1"/>
  <c r="Y739" i="50"/>
  <c r="Y719" i="51" s="1"/>
  <c r="AA739" i="50"/>
  <c r="AA719" i="51" s="1"/>
  <c r="AF739" i="50"/>
  <c r="AF719" i="51" s="1"/>
  <c r="X739" i="50"/>
  <c r="X719" i="51" s="1"/>
  <c r="AE739" i="50"/>
  <c r="AE719" i="51" s="1"/>
  <c r="W739" i="50"/>
  <c r="W719" i="51" s="1"/>
  <c r="AB739" i="50"/>
  <c r="AB719" i="51" s="1"/>
  <c r="AF752" i="50"/>
  <c r="AF732" i="51" s="1"/>
  <c r="AB752" i="50"/>
  <c r="AB732" i="51" s="1"/>
  <c r="X752" i="50"/>
  <c r="X732" i="51" s="1"/>
  <c r="AE752" i="50"/>
  <c r="AE732" i="51" s="1"/>
  <c r="AA752" i="50"/>
  <c r="AA732" i="51" s="1"/>
  <c r="W752" i="50"/>
  <c r="W732" i="51" s="1"/>
  <c r="Y752" i="50"/>
  <c r="Y732" i="51" s="1"/>
  <c r="AD752" i="50"/>
  <c r="AD732" i="51" s="1"/>
  <c r="AC752" i="50"/>
  <c r="AC732" i="51" s="1"/>
  <c r="Z752" i="50"/>
  <c r="Z732" i="51" s="1"/>
  <c r="G720" i="50"/>
  <c r="AD751" i="50"/>
  <c r="AD731" i="51" s="1"/>
  <c r="Z751" i="50"/>
  <c r="Z731" i="51" s="1"/>
  <c r="AC751" i="50"/>
  <c r="AC731" i="51" s="1"/>
  <c r="Y751" i="50"/>
  <c r="Y731" i="51" s="1"/>
  <c r="AA751" i="50"/>
  <c r="AA731" i="51" s="1"/>
  <c r="AF751" i="50"/>
  <c r="AF731" i="51" s="1"/>
  <c r="X751" i="50"/>
  <c r="X731" i="51" s="1"/>
  <c r="AE751" i="50"/>
  <c r="AE731" i="51" s="1"/>
  <c r="W751" i="50"/>
  <c r="W731" i="51" s="1"/>
  <c r="AB751" i="50"/>
  <c r="AB731" i="51" s="1"/>
  <c r="AD737" i="50"/>
  <c r="AD717" i="51" s="1"/>
  <c r="Z737" i="50"/>
  <c r="Z717" i="51" s="1"/>
  <c r="AC737" i="50"/>
  <c r="AC717" i="51" s="1"/>
  <c r="Y737" i="50"/>
  <c r="Y717" i="51" s="1"/>
  <c r="AE737" i="50"/>
  <c r="AE717" i="51" s="1"/>
  <c r="W737" i="50"/>
  <c r="W717" i="51" s="1"/>
  <c r="AB737" i="50"/>
  <c r="AB717" i="51" s="1"/>
  <c r="AA737" i="50"/>
  <c r="AA717" i="51" s="1"/>
  <c r="AF737" i="50"/>
  <c r="AF717" i="51" s="1"/>
  <c r="X737" i="50"/>
  <c r="X717" i="51" s="1"/>
  <c r="AD731" i="50"/>
  <c r="AD711" i="51" s="1"/>
  <c r="Z731" i="50"/>
  <c r="Z711" i="51" s="1"/>
  <c r="AC731" i="50"/>
  <c r="AC711" i="51" s="1"/>
  <c r="Y731" i="50"/>
  <c r="Y711" i="51" s="1"/>
  <c r="AE731" i="50"/>
  <c r="AE711" i="51" s="1"/>
  <c r="W731" i="50"/>
  <c r="W711" i="51" s="1"/>
  <c r="AB731" i="50"/>
  <c r="AB711" i="51" s="1"/>
  <c r="AA731" i="50"/>
  <c r="AA711" i="51" s="1"/>
  <c r="AF731" i="50"/>
  <c r="AF711" i="51" s="1"/>
  <c r="X731" i="50"/>
  <c r="X711" i="51" s="1"/>
  <c r="AF736" i="50"/>
  <c r="AF716" i="51" s="1"/>
  <c r="AB736" i="50"/>
  <c r="AB716" i="51" s="1"/>
  <c r="X736" i="50"/>
  <c r="X716" i="51" s="1"/>
  <c r="AE736" i="50"/>
  <c r="AE716" i="51" s="1"/>
  <c r="AA736" i="50"/>
  <c r="AA716" i="51" s="1"/>
  <c r="W736" i="50"/>
  <c r="W716" i="51" s="1"/>
  <c r="Y736" i="50"/>
  <c r="Y716" i="51" s="1"/>
  <c r="AD736" i="50"/>
  <c r="AD716" i="51" s="1"/>
  <c r="AC736" i="50"/>
  <c r="AC716" i="51" s="1"/>
  <c r="Z736" i="50"/>
  <c r="Z716" i="51" s="1"/>
  <c r="G729" i="50"/>
  <c r="C774" i="50"/>
  <c r="C755" i="50"/>
  <c r="C753" i="50"/>
  <c r="C773" i="50"/>
  <c r="C759" i="50"/>
  <c r="C756" i="50"/>
  <c r="C757" i="50"/>
  <c r="C758" i="50"/>
  <c r="C763" i="50"/>
  <c r="C760" i="50"/>
  <c r="C761" i="50"/>
  <c r="C762" i="50"/>
  <c r="C772" i="50"/>
  <c r="C764" i="50"/>
  <c r="C766" i="50" s="1"/>
  <c r="G728" i="50"/>
  <c r="E750" i="50"/>
  <c r="J750" i="50"/>
  <c r="D750" i="50"/>
  <c r="H750" i="50"/>
  <c r="F750" i="50"/>
  <c r="E735" i="50"/>
  <c r="I735" i="50" s="1"/>
  <c r="J735" i="50"/>
  <c r="D735" i="50"/>
  <c r="H735" i="50"/>
  <c r="F735" i="50"/>
  <c r="K739" i="50"/>
  <c r="I739" i="50"/>
  <c r="J739" i="50"/>
  <c r="H739" i="50"/>
  <c r="D739" i="50"/>
  <c r="E739" i="50"/>
  <c r="F739" i="50"/>
  <c r="F752" i="50"/>
  <c r="D752" i="50"/>
  <c r="I752" i="50"/>
  <c r="J752" i="50"/>
  <c r="H752" i="50"/>
  <c r="K752" i="50"/>
  <c r="E752" i="50"/>
  <c r="G711" i="50"/>
  <c r="G724" i="50"/>
  <c r="D751" i="50"/>
  <c r="I751" i="50"/>
  <c r="K751" i="50"/>
  <c r="E751" i="50"/>
  <c r="H751" i="50"/>
  <c r="F751" i="50"/>
  <c r="J751" i="50"/>
  <c r="J737" i="50"/>
  <c r="I737" i="50"/>
  <c r="K737" i="50"/>
  <c r="E737" i="50"/>
  <c r="F737" i="50"/>
  <c r="H737" i="50"/>
  <c r="D737" i="50"/>
  <c r="D732" i="50"/>
  <c r="E731" i="50"/>
  <c r="H731" i="50"/>
  <c r="I732" i="50" s="1"/>
  <c r="E732" i="50"/>
  <c r="G732" i="50" s="1"/>
  <c r="F731" i="50"/>
  <c r="D731" i="50"/>
  <c r="J731" i="50"/>
  <c r="K732" i="50" s="1"/>
  <c r="H736" i="50"/>
  <c r="F736" i="50"/>
  <c r="I736" i="50"/>
  <c r="E736" i="50"/>
  <c r="J736" i="50"/>
  <c r="K736" i="50"/>
  <c r="D736" i="50"/>
  <c r="G713" i="50"/>
  <c r="G718" i="50"/>
  <c r="D745" i="50"/>
  <c r="H744" i="50"/>
  <c r="K745" i="50"/>
  <c r="I744" i="50"/>
  <c r="D744" i="50"/>
  <c r="K744" i="50"/>
  <c r="E744" i="50"/>
  <c r="E745" i="50"/>
  <c r="G745" i="50" s="1"/>
  <c r="J744" i="50"/>
  <c r="I745" i="50"/>
  <c r="F744" i="50"/>
  <c r="F740" i="50"/>
  <c r="H740" i="50"/>
  <c r="I740" i="50"/>
  <c r="D740" i="50"/>
  <c r="J740" i="50"/>
  <c r="K740" i="50"/>
  <c r="E740" i="50"/>
  <c r="D741" i="50"/>
  <c r="I741" i="50"/>
  <c r="J741" i="50"/>
  <c r="H741" i="50"/>
  <c r="K741" i="50"/>
  <c r="E741" i="50"/>
  <c r="F741" i="50"/>
  <c r="D733" i="50"/>
  <c r="I733" i="50"/>
  <c r="J733" i="50"/>
  <c r="H733" i="50"/>
  <c r="K733" i="50"/>
  <c r="F733" i="50"/>
  <c r="E733" i="50"/>
  <c r="G715" i="50"/>
  <c r="G716" i="50"/>
  <c r="G730" i="50"/>
  <c r="H734" i="50"/>
  <c r="F734" i="50"/>
  <c r="D734" i="50"/>
  <c r="E734" i="50"/>
  <c r="I734" i="50"/>
  <c r="K734" i="50"/>
  <c r="J734" i="50"/>
  <c r="E738" i="50"/>
  <c r="H738" i="50"/>
  <c r="J738" i="50"/>
  <c r="K738" i="50"/>
  <c r="F738" i="50"/>
  <c r="D738" i="50"/>
  <c r="I738" i="50"/>
  <c r="C746" i="50"/>
  <c r="H742" i="50"/>
  <c r="E743" i="50"/>
  <c r="G743" i="50" s="1"/>
  <c r="D742" i="50"/>
  <c r="F742" i="50"/>
  <c r="E742" i="50"/>
  <c r="AF742" i="50" s="1"/>
  <c r="D743" i="50"/>
  <c r="J742" i="50"/>
  <c r="K743" i="50" s="1"/>
  <c r="C32" i="41" l="1"/>
  <c r="G748" i="51"/>
  <c r="G722" i="50"/>
  <c r="I748" i="50"/>
  <c r="G727" i="51"/>
  <c r="E751" i="51"/>
  <c r="D751" i="51"/>
  <c r="F748" i="50"/>
  <c r="E748" i="50"/>
  <c r="AD748" i="50"/>
  <c r="AD728" i="51" s="1"/>
  <c r="H751" i="51"/>
  <c r="I751" i="51"/>
  <c r="K751" i="51"/>
  <c r="K748" i="50"/>
  <c r="J747" i="50"/>
  <c r="AE748" i="50"/>
  <c r="AE728" i="51" s="1"/>
  <c r="F751" i="51"/>
  <c r="I747" i="50"/>
  <c r="AA747" i="50"/>
  <c r="AA727" i="51" s="1"/>
  <c r="Y748" i="50"/>
  <c r="Y728" i="51" s="1"/>
  <c r="X748" i="50"/>
  <c r="X728" i="51" s="1"/>
  <c r="J750" i="51"/>
  <c r="H748" i="50"/>
  <c r="Z748" i="50"/>
  <c r="Z728" i="51" s="1"/>
  <c r="W748" i="50"/>
  <c r="W728" i="51" s="1"/>
  <c r="AB748" i="50"/>
  <c r="AB728" i="51" s="1"/>
  <c r="D748" i="50"/>
  <c r="J748" i="50"/>
  <c r="W747" i="50"/>
  <c r="W727" i="51" s="1"/>
  <c r="AC748" i="50"/>
  <c r="AC728" i="51" s="1"/>
  <c r="AA748" i="50"/>
  <c r="AA728" i="51" s="1"/>
  <c r="AE747" i="50"/>
  <c r="AE727" i="51" s="1"/>
  <c r="Y747" i="50"/>
  <c r="Y727" i="51" s="1"/>
  <c r="F750" i="51"/>
  <c r="H747" i="50"/>
  <c r="D747" i="50"/>
  <c r="F747" i="50"/>
  <c r="X747" i="50"/>
  <c r="X727" i="51" s="1"/>
  <c r="AC747" i="50"/>
  <c r="AC727" i="51" s="1"/>
  <c r="E747" i="50"/>
  <c r="K747" i="50"/>
  <c r="AB747" i="50"/>
  <c r="AB727" i="51" s="1"/>
  <c r="AF747" i="50"/>
  <c r="AF727" i="51" s="1"/>
  <c r="Z747" i="50"/>
  <c r="Z727" i="51" s="1"/>
  <c r="G726" i="50"/>
  <c r="K750" i="51"/>
  <c r="H750" i="51"/>
  <c r="E750" i="51"/>
  <c r="I750" i="51"/>
  <c r="I743" i="50"/>
  <c r="I731" i="50"/>
  <c r="K733" i="51"/>
  <c r="K750" i="50"/>
  <c r="I733" i="51"/>
  <c r="K752" i="51"/>
  <c r="G738" i="51"/>
  <c r="I750" i="50"/>
  <c r="K731" i="50"/>
  <c r="K735" i="50"/>
  <c r="Z742" i="50"/>
  <c r="AE742" i="50"/>
  <c r="K742" i="50"/>
  <c r="AF722" i="51" s="1"/>
  <c r="AC742" i="50"/>
  <c r="X742" i="50"/>
  <c r="AD742" i="50"/>
  <c r="AD722" i="51" s="1"/>
  <c r="W742" i="50"/>
  <c r="W722" i="51" s="1"/>
  <c r="AB742" i="50"/>
  <c r="AB722" i="51" s="1"/>
  <c r="K745" i="51"/>
  <c r="I745" i="51"/>
  <c r="I734" i="51"/>
  <c r="I742" i="50"/>
  <c r="Y742" i="50"/>
  <c r="Y722" i="51" s="1"/>
  <c r="AA742" i="50"/>
  <c r="AA722" i="51" s="1"/>
  <c r="G739" i="51"/>
  <c r="G742" i="51"/>
  <c r="G754" i="51"/>
  <c r="G737" i="51"/>
  <c r="G744" i="51"/>
  <c r="G735" i="51"/>
  <c r="G741" i="51"/>
  <c r="G752" i="51"/>
  <c r="G753" i="51"/>
  <c r="G736" i="51"/>
  <c r="G740" i="51"/>
  <c r="D746" i="51"/>
  <c r="F746" i="51"/>
  <c r="I747" i="51"/>
  <c r="K747" i="51"/>
  <c r="E747" i="51"/>
  <c r="G747" i="51" s="1"/>
  <c r="E746" i="51"/>
  <c r="G746" i="51" s="1"/>
  <c r="D747" i="51"/>
  <c r="H746" i="51"/>
  <c r="J746" i="51"/>
  <c r="K746" i="51"/>
  <c r="I746" i="51"/>
  <c r="G743" i="51"/>
  <c r="G733" i="51"/>
  <c r="F749" i="51"/>
  <c r="E749" i="51"/>
  <c r="D749" i="51"/>
  <c r="K749" i="51"/>
  <c r="I749" i="51"/>
  <c r="J749" i="51"/>
  <c r="H749" i="51"/>
  <c r="G727" i="50"/>
  <c r="C33" i="41"/>
  <c r="G741" i="50"/>
  <c r="H749" i="50"/>
  <c r="K749" i="50"/>
  <c r="F749" i="50"/>
  <c r="G749" i="50" s="1"/>
  <c r="AG766" i="50"/>
  <c r="AG746" i="51" s="1"/>
  <c r="AC766" i="50"/>
  <c r="AC746" i="51" s="1"/>
  <c r="Y766" i="50"/>
  <c r="Y746" i="51" s="1"/>
  <c r="AF766" i="50"/>
  <c r="AF746" i="51" s="1"/>
  <c r="AB766" i="50"/>
  <c r="AB746" i="51" s="1"/>
  <c r="X766" i="50"/>
  <c r="X746" i="51" s="1"/>
  <c r="Z766" i="50"/>
  <c r="Z746" i="51" s="1"/>
  <c r="AE766" i="50"/>
  <c r="AE746" i="51" s="1"/>
  <c r="AD766" i="50"/>
  <c r="AD746" i="51" s="1"/>
  <c r="AA766" i="50"/>
  <c r="AA746" i="51" s="1"/>
  <c r="AF746" i="50"/>
  <c r="AF726" i="51" s="1"/>
  <c r="AB746" i="50"/>
  <c r="AB726" i="51" s="1"/>
  <c r="X746" i="50"/>
  <c r="X726" i="51" s="1"/>
  <c r="AE746" i="50"/>
  <c r="AE726" i="51" s="1"/>
  <c r="AA746" i="50"/>
  <c r="AA726" i="51" s="1"/>
  <c r="W746" i="50"/>
  <c r="W726" i="51" s="1"/>
  <c r="AC746" i="50"/>
  <c r="AC726" i="51" s="1"/>
  <c r="Z746" i="50"/>
  <c r="Z726" i="51" s="1"/>
  <c r="Y746" i="50"/>
  <c r="Y726" i="51" s="1"/>
  <c r="AD746" i="50"/>
  <c r="AD726" i="51" s="1"/>
  <c r="AE761" i="50"/>
  <c r="AE741" i="51" s="1"/>
  <c r="AA761" i="50"/>
  <c r="AA741" i="51" s="1"/>
  <c r="AD761" i="50"/>
  <c r="AD741" i="51" s="1"/>
  <c r="Z761" i="50"/>
  <c r="Z741" i="51" s="1"/>
  <c r="AB761" i="50"/>
  <c r="AB741" i="51" s="1"/>
  <c r="AG761" i="50"/>
  <c r="AG741" i="51" s="1"/>
  <c r="Y761" i="50"/>
  <c r="Y741" i="51" s="1"/>
  <c r="AF761" i="50"/>
  <c r="AF741" i="51" s="1"/>
  <c r="X761" i="50"/>
  <c r="X741" i="51" s="1"/>
  <c r="AC761" i="50"/>
  <c r="AC741" i="51" s="1"/>
  <c r="AE757" i="50"/>
  <c r="AE737" i="51" s="1"/>
  <c r="AA757" i="50"/>
  <c r="AA737" i="51" s="1"/>
  <c r="AD757" i="50"/>
  <c r="AD737" i="51" s="1"/>
  <c r="Z757" i="50"/>
  <c r="Z737" i="51" s="1"/>
  <c r="AB757" i="50"/>
  <c r="AB737" i="51" s="1"/>
  <c r="AG757" i="50"/>
  <c r="AG737" i="51" s="1"/>
  <c r="Y757" i="50"/>
  <c r="Y737" i="51" s="1"/>
  <c r="AF757" i="50"/>
  <c r="AF737" i="51" s="1"/>
  <c r="X757" i="50"/>
  <c r="X737" i="51" s="1"/>
  <c r="AC757" i="50"/>
  <c r="AC737" i="51" s="1"/>
  <c r="AE753" i="50"/>
  <c r="AE733" i="51" s="1"/>
  <c r="AA753" i="50"/>
  <c r="AA733" i="51" s="1"/>
  <c r="AD753" i="50"/>
  <c r="AD733" i="51" s="1"/>
  <c r="Z753" i="50"/>
  <c r="Z733" i="51" s="1"/>
  <c r="AF753" i="50"/>
  <c r="AF733" i="51" s="1"/>
  <c r="X753" i="50"/>
  <c r="X733" i="51" s="1"/>
  <c r="AC753" i="50"/>
  <c r="AC733" i="51" s="1"/>
  <c r="AB753" i="50"/>
  <c r="AB733" i="51" s="1"/>
  <c r="AG753" i="50"/>
  <c r="AG733" i="51" s="1"/>
  <c r="Y753" i="50"/>
  <c r="Y733" i="51" s="1"/>
  <c r="I749" i="50"/>
  <c r="J749" i="50"/>
  <c r="G740" i="50"/>
  <c r="G752" i="50"/>
  <c r="C770" i="50"/>
  <c r="F770" i="50" s="1"/>
  <c r="AG760" i="50"/>
  <c r="AG740" i="51" s="1"/>
  <c r="AC760" i="50"/>
  <c r="AC740" i="51" s="1"/>
  <c r="Y760" i="50"/>
  <c r="Y740" i="51" s="1"/>
  <c r="AF760" i="50"/>
  <c r="AF740" i="51" s="1"/>
  <c r="AB760" i="50"/>
  <c r="AB740" i="51" s="1"/>
  <c r="X760" i="50"/>
  <c r="X740" i="51" s="1"/>
  <c r="AD760" i="50"/>
  <c r="AD740" i="51" s="1"/>
  <c r="AA760" i="50"/>
  <c r="AA740" i="51" s="1"/>
  <c r="Z760" i="50"/>
  <c r="Z740" i="51" s="1"/>
  <c r="AE760" i="50"/>
  <c r="AE740" i="51" s="1"/>
  <c r="AG756" i="50"/>
  <c r="AG736" i="51" s="1"/>
  <c r="AC756" i="50"/>
  <c r="AC736" i="51" s="1"/>
  <c r="Y756" i="50"/>
  <c r="Y736" i="51" s="1"/>
  <c r="AF756" i="50"/>
  <c r="AF736" i="51" s="1"/>
  <c r="AB756" i="50"/>
  <c r="AB736" i="51" s="1"/>
  <c r="X756" i="50"/>
  <c r="X736" i="51" s="1"/>
  <c r="AD756" i="50"/>
  <c r="AD736" i="51" s="1"/>
  <c r="AA756" i="50"/>
  <c r="AA736" i="51" s="1"/>
  <c r="Z756" i="50"/>
  <c r="Z736" i="51" s="1"/>
  <c r="AE756" i="50"/>
  <c r="AE736" i="51" s="1"/>
  <c r="AE755" i="50"/>
  <c r="AE735" i="51" s="1"/>
  <c r="AA755" i="50"/>
  <c r="AA735" i="51" s="1"/>
  <c r="AD755" i="50"/>
  <c r="AD735" i="51" s="1"/>
  <c r="Z755" i="50"/>
  <c r="Z735" i="51" s="1"/>
  <c r="AF755" i="50"/>
  <c r="AF735" i="51" s="1"/>
  <c r="X755" i="50"/>
  <c r="X735" i="51" s="1"/>
  <c r="AC755" i="50"/>
  <c r="AC735" i="51" s="1"/>
  <c r="AB755" i="50"/>
  <c r="AB735" i="51" s="1"/>
  <c r="AG755" i="50"/>
  <c r="AG735" i="51" s="1"/>
  <c r="Y755" i="50"/>
  <c r="Y735" i="51" s="1"/>
  <c r="D749" i="50"/>
  <c r="G742" i="50"/>
  <c r="AG772" i="50"/>
  <c r="AG752" i="51" s="1"/>
  <c r="AC772" i="50"/>
  <c r="AC752" i="51" s="1"/>
  <c r="Y772" i="50"/>
  <c r="Y752" i="51" s="1"/>
  <c r="AF772" i="50"/>
  <c r="AF752" i="51" s="1"/>
  <c r="AB772" i="50"/>
  <c r="AB752" i="51" s="1"/>
  <c r="X772" i="50"/>
  <c r="X752" i="51" s="1"/>
  <c r="AD772" i="50"/>
  <c r="AD752" i="51" s="1"/>
  <c r="AA772" i="50"/>
  <c r="AA752" i="51" s="1"/>
  <c r="Z772" i="50"/>
  <c r="Z752" i="51" s="1"/>
  <c r="AE772" i="50"/>
  <c r="AE752" i="51" s="1"/>
  <c r="AE763" i="50"/>
  <c r="AE743" i="51" s="1"/>
  <c r="AA763" i="50"/>
  <c r="AA743" i="51" s="1"/>
  <c r="AD763" i="50"/>
  <c r="AD743" i="51" s="1"/>
  <c r="Z763" i="50"/>
  <c r="Z743" i="51" s="1"/>
  <c r="AF763" i="50"/>
  <c r="AF743" i="51" s="1"/>
  <c r="X763" i="50"/>
  <c r="X743" i="51" s="1"/>
  <c r="AC763" i="50"/>
  <c r="AC743" i="51" s="1"/>
  <c r="AB763" i="50"/>
  <c r="AB743" i="51" s="1"/>
  <c r="AG763" i="50"/>
  <c r="AG743" i="51" s="1"/>
  <c r="Y763" i="50"/>
  <c r="Y743" i="51" s="1"/>
  <c r="AE759" i="50"/>
  <c r="AE739" i="51" s="1"/>
  <c r="AA759" i="50"/>
  <c r="AA739" i="51" s="1"/>
  <c r="AD759" i="50"/>
  <c r="AD739" i="51" s="1"/>
  <c r="Z759" i="50"/>
  <c r="Z739" i="51" s="1"/>
  <c r="AF759" i="50"/>
  <c r="AF739" i="51" s="1"/>
  <c r="X759" i="50"/>
  <c r="X739" i="51" s="1"/>
  <c r="AC759" i="50"/>
  <c r="AC739" i="51" s="1"/>
  <c r="AB759" i="50"/>
  <c r="AB739" i="51" s="1"/>
  <c r="AG759" i="50"/>
  <c r="AG739" i="51" s="1"/>
  <c r="Y759" i="50"/>
  <c r="Y739" i="51" s="1"/>
  <c r="AG774" i="50"/>
  <c r="AG754" i="51" s="1"/>
  <c r="AC774" i="50"/>
  <c r="AC754" i="51" s="1"/>
  <c r="Y774" i="50"/>
  <c r="Y754" i="51" s="1"/>
  <c r="AF774" i="50"/>
  <c r="AF754" i="51" s="1"/>
  <c r="AB774" i="50"/>
  <c r="AB754" i="51" s="1"/>
  <c r="X774" i="50"/>
  <c r="X754" i="51" s="1"/>
  <c r="Z774" i="50"/>
  <c r="Z754" i="51" s="1"/>
  <c r="AE774" i="50"/>
  <c r="AE754" i="51" s="1"/>
  <c r="AD774" i="50"/>
  <c r="AD754" i="51" s="1"/>
  <c r="AA774" i="50"/>
  <c r="AA754" i="51" s="1"/>
  <c r="AD749" i="50"/>
  <c r="AD729" i="51" s="1"/>
  <c r="Z749" i="50"/>
  <c r="Z729" i="51" s="1"/>
  <c r="AC749" i="50"/>
  <c r="AC729" i="51" s="1"/>
  <c r="Y749" i="50"/>
  <c r="Y729" i="51" s="1"/>
  <c r="AE749" i="50"/>
  <c r="AE729" i="51" s="1"/>
  <c r="W749" i="50"/>
  <c r="W729" i="51" s="1"/>
  <c r="AB749" i="50"/>
  <c r="AB729" i="51" s="1"/>
  <c r="AA749" i="50"/>
  <c r="AA729" i="51" s="1"/>
  <c r="AF749" i="50"/>
  <c r="AF729" i="51" s="1"/>
  <c r="X749" i="50"/>
  <c r="X729" i="51" s="1"/>
  <c r="AG762" i="50"/>
  <c r="AG742" i="51" s="1"/>
  <c r="AC762" i="50"/>
  <c r="AC742" i="51" s="1"/>
  <c r="Y762" i="50"/>
  <c r="Y742" i="51" s="1"/>
  <c r="AF762" i="50"/>
  <c r="AF742" i="51" s="1"/>
  <c r="AB762" i="50"/>
  <c r="AB742" i="51" s="1"/>
  <c r="X762" i="50"/>
  <c r="X742" i="51" s="1"/>
  <c r="Z762" i="50"/>
  <c r="Z742" i="51" s="1"/>
  <c r="AE762" i="50"/>
  <c r="AE742" i="51" s="1"/>
  <c r="AD762" i="50"/>
  <c r="AD742" i="51" s="1"/>
  <c r="AA762" i="50"/>
  <c r="AA742" i="51" s="1"/>
  <c r="AG758" i="50"/>
  <c r="AG738" i="51" s="1"/>
  <c r="AC758" i="50"/>
  <c r="AC738" i="51" s="1"/>
  <c r="Y758" i="50"/>
  <c r="Y738" i="51" s="1"/>
  <c r="AF758" i="50"/>
  <c r="AF738" i="51" s="1"/>
  <c r="AB758" i="50"/>
  <c r="AB738" i="51" s="1"/>
  <c r="X758" i="50"/>
  <c r="X738" i="51" s="1"/>
  <c r="Z758" i="50"/>
  <c r="Z738" i="51" s="1"/>
  <c r="AE758" i="50"/>
  <c r="AE738" i="51" s="1"/>
  <c r="AD758" i="50"/>
  <c r="AD738" i="51" s="1"/>
  <c r="AA758" i="50"/>
  <c r="AA738" i="51" s="1"/>
  <c r="AE773" i="50"/>
  <c r="AE753" i="51" s="1"/>
  <c r="AA773" i="50"/>
  <c r="AA753" i="51" s="1"/>
  <c r="AD773" i="50"/>
  <c r="AD753" i="51" s="1"/>
  <c r="Z773" i="50"/>
  <c r="Z753" i="51" s="1"/>
  <c r="AB773" i="50"/>
  <c r="AB753" i="51" s="1"/>
  <c r="AG773" i="50"/>
  <c r="AG753" i="51" s="1"/>
  <c r="Y773" i="50"/>
  <c r="Y753" i="51" s="1"/>
  <c r="AF773" i="50"/>
  <c r="AF753" i="51" s="1"/>
  <c r="X773" i="50"/>
  <c r="X753" i="51" s="1"/>
  <c r="AC773" i="50"/>
  <c r="AC753" i="51" s="1"/>
  <c r="G734" i="50"/>
  <c r="G733" i="50"/>
  <c r="G736" i="50"/>
  <c r="G739" i="50"/>
  <c r="K761" i="50"/>
  <c r="E761" i="50"/>
  <c r="J761" i="50"/>
  <c r="H761" i="50"/>
  <c r="I761" i="50"/>
  <c r="D761" i="50"/>
  <c r="F761" i="50"/>
  <c r="F757" i="50"/>
  <c r="D757" i="50"/>
  <c r="J757" i="50"/>
  <c r="H757" i="50"/>
  <c r="E757" i="50"/>
  <c r="D754" i="50"/>
  <c r="E754" i="50"/>
  <c r="G754" i="50" s="1"/>
  <c r="D753" i="50"/>
  <c r="F753" i="50"/>
  <c r="E753" i="50"/>
  <c r="H753" i="50"/>
  <c r="I753" i="50" s="1"/>
  <c r="J753" i="50"/>
  <c r="G735" i="50"/>
  <c r="G750" i="50"/>
  <c r="D767" i="50"/>
  <c r="K767" i="50"/>
  <c r="I767" i="50"/>
  <c r="F766" i="50"/>
  <c r="D766" i="50"/>
  <c r="H766" i="50"/>
  <c r="K766" i="50"/>
  <c r="I766" i="50"/>
  <c r="E766" i="50"/>
  <c r="J766" i="50"/>
  <c r="E767" i="50"/>
  <c r="G767" i="50" s="1"/>
  <c r="C769" i="50"/>
  <c r="H764" i="50"/>
  <c r="J764" i="50"/>
  <c r="D764" i="50"/>
  <c r="F764" i="50"/>
  <c r="E764" i="50"/>
  <c r="AC764" i="50" s="1"/>
  <c r="D765" i="50"/>
  <c r="E765" i="50"/>
  <c r="G765" i="50" s="1"/>
  <c r="H760" i="50"/>
  <c r="F760" i="50"/>
  <c r="D760" i="50"/>
  <c r="I760" i="50"/>
  <c r="J760" i="50"/>
  <c r="E760" i="50"/>
  <c r="G760" i="50" s="1"/>
  <c r="K760" i="50"/>
  <c r="H756" i="50"/>
  <c r="F756" i="50"/>
  <c r="D756" i="50"/>
  <c r="I756" i="50"/>
  <c r="J756" i="50"/>
  <c r="K756" i="50"/>
  <c r="E756" i="50"/>
  <c r="H755" i="50"/>
  <c r="F755" i="50"/>
  <c r="D755" i="50"/>
  <c r="E755" i="50"/>
  <c r="J755" i="50"/>
  <c r="I755" i="50"/>
  <c r="K755" i="50"/>
  <c r="G738" i="50"/>
  <c r="G737" i="50"/>
  <c r="C771" i="50"/>
  <c r="E772" i="50"/>
  <c r="J772" i="50"/>
  <c r="D772" i="50"/>
  <c r="F772" i="50"/>
  <c r="H772" i="50"/>
  <c r="H763" i="50"/>
  <c r="F763" i="50"/>
  <c r="D763" i="50"/>
  <c r="E763" i="50"/>
  <c r="J763" i="50"/>
  <c r="I763" i="50"/>
  <c r="K763" i="50"/>
  <c r="E759" i="50"/>
  <c r="J759" i="50"/>
  <c r="H759" i="50"/>
  <c r="F759" i="50"/>
  <c r="I759" i="50"/>
  <c r="K759" i="50"/>
  <c r="D759" i="50"/>
  <c r="K774" i="50"/>
  <c r="E774" i="50"/>
  <c r="J774" i="50"/>
  <c r="H774" i="50"/>
  <c r="F774" i="50"/>
  <c r="D774" i="50"/>
  <c r="I774" i="50"/>
  <c r="D746" i="50"/>
  <c r="I746" i="50"/>
  <c r="F746" i="50"/>
  <c r="H746" i="50"/>
  <c r="J746" i="50"/>
  <c r="E746" i="50"/>
  <c r="K746" i="50"/>
  <c r="G744" i="50"/>
  <c r="G731" i="50"/>
  <c r="G751" i="50"/>
  <c r="C768" i="50"/>
  <c r="F762" i="50"/>
  <c r="D762" i="50"/>
  <c r="I762" i="50"/>
  <c r="K762" i="50"/>
  <c r="J762" i="50"/>
  <c r="H762" i="50"/>
  <c r="E762" i="50"/>
  <c r="J758" i="50"/>
  <c r="H758" i="50"/>
  <c r="F758" i="50"/>
  <c r="D758" i="50"/>
  <c r="E758" i="50"/>
  <c r="I758" i="50"/>
  <c r="K758" i="50"/>
  <c r="J773" i="50"/>
  <c r="H773" i="50"/>
  <c r="F773" i="50"/>
  <c r="K773" i="50"/>
  <c r="E773" i="50"/>
  <c r="I773" i="50"/>
  <c r="D773" i="50"/>
  <c r="G751" i="51" l="1"/>
  <c r="G748" i="50"/>
  <c r="G747" i="50"/>
  <c r="G750" i="51"/>
  <c r="K757" i="50"/>
  <c r="I764" i="50"/>
  <c r="K772" i="50"/>
  <c r="X722" i="51"/>
  <c r="I772" i="50"/>
  <c r="K764" i="50"/>
  <c r="AC744" i="51" s="1"/>
  <c r="K753" i="50"/>
  <c r="AC722" i="51"/>
  <c r="K754" i="50"/>
  <c r="Z764" i="50"/>
  <c r="Z744" i="51" s="1"/>
  <c r="AB764" i="50"/>
  <c r="AB744" i="51" s="1"/>
  <c r="AG764" i="50"/>
  <c r="AG744" i="51" s="1"/>
  <c r="K765" i="50"/>
  <c r="I754" i="50"/>
  <c r="AA764" i="50"/>
  <c r="AA744" i="51" s="1"/>
  <c r="AF764" i="50"/>
  <c r="AF744" i="51" s="1"/>
  <c r="I765" i="50"/>
  <c r="I757" i="50"/>
  <c r="AD764" i="50"/>
  <c r="AD744" i="51" s="1"/>
  <c r="Y764" i="50"/>
  <c r="Y744" i="51" s="1"/>
  <c r="AE722" i="51"/>
  <c r="AE764" i="50"/>
  <c r="AE744" i="51" s="1"/>
  <c r="X764" i="50"/>
  <c r="X744" i="51" s="1"/>
  <c r="Z722" i="51"/>
  <c r="G749" i="51"/>
  <c r="J770" i="50"/>
  <c r="K770" i="50"/>
  <c r="G773" i="50"/>
  <c r="G762" i="50"/>
  <c r="G755" i="50"/>
  <c r="G756" i="50"/>
  <c r="G766" i="50"/>
  <c r="H770" i="50"/>
  <c r="E770" i="50"/>
  <c r="G770" i="50" s="1"/>
  <c r="D770" i="50"/>
  <c r="I770" i="50"/>
  <c r="G753" i="50"/>
  <c r="AE771" i="50"/>
  <c r="AE751" i="51" s="1"/>
  <c r="AA771" i="50"/>
  <c r="AA751" i="51" s="1"/>
  <c r="AD771" i="50"/>
  <c r="AD751" i="51" s="1"/>
  <c r="Z771" i="50"/>
  <c r="Z751" i="51" s="1"/>
  <c r="AF771" i="50"/>
  <c r="AF751" i="51" s="1"/>
  <c r="X771" i="50"/>
  <c r="X751" i="51" s="1"/>
  <c r="AC771" i="50"/>
  <c r="AC751" i="51" s="1"/>
  <c r="AB771" i="50"/>
  <c r="AB751" i="51" s="1"/>
  <c r="AG771" i="50"/>
  <c r="AG751" i="51" s="1"/>
  <c r="Y771" i="50"/>
  <c r="Y751" i="51" s="1"/>
  <c r="G761" i="50"/>
  <c r="G758" i="50"/>
  <c r="AG768" i="50"/>
  <c r="AG748" i="51" s="1"/>
  <c r="AC768" i="50"/>
  <c r="AC748" i="51" s="1"/>
  <c r="Y768" i="50"/>
  <c r="Y748" i="51" s="1"/>
  <c r="AF768" i="50"/>
  <c r="AF748" i="51" s="1"/>
  <c r="AB768" i="50"/>
  <c r="AB748" i="51" s="1"/>
  <c r="X768" i="50"/>
  <c r="X748" i="51" s="1"/>
  <c r="AD768" i="50"/>
  <c r="AD748" i="51" s="1"/>
  <c r="AA768" i="50"/>
  <c r="AA748" i="51" s="1"/>
  <c r="Z768" i="50"/>
  <c r="Z748" i="51" s="1"/>
  <c r="AE768" i="50"/>
  <c r="AE748" i="51" s="1"/>
  <c r="G759" i="50"/>
  <c r="G772" i="50"/>
  <c r="G764" i="50"/>
  <c r="AE769" i="50"/>
  <c r="AE749" i="51" s="1"/>
  <c r="AA769" i="50"/>
  <c r="AA749" i="51" s="1"/>
  <c r="AD769" i="50"/>
  <c r="AD749" i="51" s="1"/>
  <c r="Z769" i="50"/>
  <c r="Z749" i="51" s="1"/>
  <c r="AB769" i="50"/>
  <c r="AB749" i="51" s="1"/>
  <c r="AG769" i="50"/>
  <c r="AG749" i="51" s="1"/>
  <c r="Y769" i="50"/>
  <c r="Y749" i="51" s="1"/>
  <c r="AF769" i="50"/>
  <c r="AF749" i="51" s="1"/>
  <c r="X769" i="50"/>
  <c r="X749" i="51" s="1"/>
  <c r="AC769" i="50"/>
  <c r="AC749" i="51" s="1"/>
  <c r="AG770" i="50"/>
  <c r="AG750" i="51" s="1"/>
  <c r="AC770" i="50"/>
  <c r="AC750" i="51" s="1"/>
  <c r="Y770" i="50"/>
  <c r="Y750" i="51" s="1"/>
  <c r="AF770" i="50"/>
  <c r="AF750" i="51" s="1"/>
  <c r="AB770" i="50"/>
  <c r="AB750" i="51" s="1"/>
  <c r="X770" i="50"/>
  <c r="X750" i="51" s="1"/>
  <c r="Z770" i="50"/>
  <c r="Z750" i="51" s="1"/>
  <c r="AE770" i="50"/>
  <c r="AE750" i="51" s="1"/>
  <c r="AD770" i="50"/>
  <c r="AD750" i="51" s="1"/>
  <c r="AA770" i="50"/>
  <c r="AA750" i="51" s="1"/>
  <c r="E768" i="50"/>
  <c r="J768" i="50"/>
  <c r="H768" i="50"/>
  <c r="F768" i="50"/>
  <c r="I768" i="50"/>
  <c r="K768" i="50"/>
  <c r="D768" i="50"/>
  <c r="K769" i="50"/>
  <c r="E769" i="50"/>
  <c r="J769" i="50"/>
  <c r="D769" i="50"/>
  <c r="I769" i="50"/>
  <c r="F769" i="50"/>
  <c r="H769" i="50"/>
  <c r="G746" i="50"/>
  <c r="J771" i="50"/>
  <c r="H771" i="50"/>
  <c r="F771" i="50"/>
  <c r="D771" i="50"/>
  <c r="E771" i="50"/>
  <c r="I771" i="50"/>
  <c r="K771" i="50"/>
  <c r="G757" i="50"/>
  <c r="G774" i="50"/>
  <c r="G763" i="50"/>
  <c r="C34" i="41" l="1"/>
  <c r="C35" i="41"/>
  <c r="G771" i="50"/>
  <c r="G769" i="50"/>
  <c r="G768" i="50"/>
  <c r="B7" i="44" l="1"/>
  <c r="B6" i="44"/>
  <c r="H2" i="44" s="1"/>
  <c r="I2" i="44" s="1"/>
  <c r="H4" i="44" l="1"/>
  <c r="I4" i="44" s="1"/>
  <c r="H10" i="44"/>
  <c r="I10" i="44" s="1"/>
  <c r="H11" i="44"/>
  <c r="I11" i="44" s="1"/>
  <c r="H3" i="44"/>
  <c r="I3" i="44" s="1"/>
  <c r="H7" i="44"/>
  <c r="I7" i="44" s="1"/>
  <c r="H9" i="44"/>
  <c r="I9" i="44" s="1"/>
  <c r="H5" i="44"/>
  <c r="I5" i="44" s="1"/>
  <c r="H6" i="44"/>
  <c r="I6" i="44" s="1"/>
  <c r="H8" i="44"/>
  <c r="I8" i="44" s="1"/>
  <c r="J8" i="44" l="1"/>
  <c r="K8" i="44" s="1"/>
  <c r="AC12" i="44" s="1"/>
  <c r="J11" i="44"/>
  <c r="K11" i="44" s="1"/>
  <c r="Y5" i="44" s="1"/>
  <c r="J10" i="44"/>
  <c r="K10" i="44" s="1"/>
  <c r="V3" i="44" s="1"/>
  <c r="J9" i="44"/>
  <c r="K9" i="44" s="1"/>
  <c r="AB10" i="44" s="1"/>
  <c r="J7" i="44"/>
  <c r="J6" i="44"/>
  <c r="J5" i="44"/>
  <c r="J4" i="44"/>
  <c r="J3" i="44"/>
  <c r="J2" i="44"/>
  <c r="X4" i="44" l="1"/>
  <c r="W3" i="44"/>
  <c r="AA7" i="44"/>
  <c r="AF12" i="44"/>
  <c r="AF13" i="44" s="1"/>
  <c r="AF14" i="44" s="1"/>
  <c r="W2" i="47" s="1"/>
  <c r="AE11" i="44"/>
  <c r="AC9" i="44"/>
  <c r="AB8" i="44"/>
  <c r="AD10" i="44"/>
  <c r="Z6" i="44"/>
  <c r="V5" i="44"/>
  <c r="T3" i="44"/>
  <c r="W4" i="44"/>
  <c r="AA8" i="44"/>
  <c r="Z9" i="44"/>
  <c r="X6" i="44"/>
  <c r="AB9" i="44"/>
  <c r="W6" i="44"/>
  <c r="AB11" i="44"/>
  <c r="AA10" i="44"/>
  <c r="Y8" i="44"/>
  <c r="AE12" i="44"/>
  <c r="AE13" i="44" s="1"/>
  <c r="AE14" i="44" s="1"/>
  <c r="V2" i="47" s="1"/>
  <c r="U4" i="44"/>
  <c r="X5" i="44"/>
  <c r="AD11" i="44"/>
  <c r="Z7" i="44"/>
  <c r="AD12" i="44"/>
  <c r="Y6" i="44"/>
  <c r="AC10" i="44"/>
  <c r="Y7" i="44"/>
  <c r="W5" i="44"/>
  <c r="X7" i="44"/>
  <c r="AC11" i="44"/>
  <c r="V4" i="44"/>
  <c r="AA9" i="44"/>
  <c r="Z8" i="44"/>
  <c r="U3" i="44"/>
  <c r="AC13" i="44" l="1"/>
  <c r="AC14" i="44" s="1"/>
  <c r="T2" i="47" s="1"/>
  <c r="AD317" i="50" s="1"/>
  <c r="AD306" i="51" s="1"/>
  <c r="AF309" i="50"/>
  <c r="AF298" i="51" s="1"/>
  <c r="AL461" i="50"/>
  <c r="AL444" i="51" s="1"/>
  <c r="AM485" i="50"/>
  <c r="AM467" i="51" s="1"/>
  <c r="AN509" i="50"/>
  <c r="AN490" i="51" s="1"/>
  <c r="AO533" i="50"/>
  <c r="AO513" i="51" s="1"/>
  <c r="AG309" i="50"/>
  <c r="AG298" i="51" s="1"/>
  <c r="AM461" i="50"/>
  <c r="AM444" i="51" s="1"/>
  <c r="AN485" i="50"/>
  <c r="AN467" i="51" s="1"/>
  <c r="AO509" i="50"/>
  <c r="AO490" i="51" s="1"/>
  <c r="AP533" i="50"/>
  <c r="AP513" i="51" s="1"/>
  <c r="AJ461" i="50"/>
  <c r="AJ444" i="51" s="1"/>
  <c r="AK485" i="50"/>
  <c r="AK467" i="51" s="1"/>
  <c r="AL509" i="50"/>
  <c r="AL490" i="51" s="1"/>
  <c r="AM533" i="50"/>
  <c r="AM513" i="51" s="1"/>
  <c r="AF293" i="50"/>
  <c r="AF283" i="51" s="1"/>
  <c r="AF291" i="50"/>
  <c r="AF281" i="51" s="1"/>
  <c r="AF282" i="50"/>
  <c r="AF272" i="51" s="1"/>
  <c r="AG282" i="50"/>
  <c r="AG272" i="51" s="1"/>
  <c r="AG293" i="50"/>
  <c r="AG283" i="51" s="1"/>
  <c r="AG291" i="50"/>
  <c r="AG281" i="51" s="1"/>
  <c r="AD282" i="50"/>
  <c r="AD272" i="51" s="1"/>
  <c r="AD291" i="50"/>
  <c r="AD281" i="51" s="1"/>
  <c r="AD293" i="50"/>
  <c r="AD283" i="51" s="1"/>
  <c r="AF309" i="51"/>
  <c r="AG332" i="51" s="1"/>
  <c r="AH355" i="51" s="1"/>
  <c r="AH365" i="50"/>
  <c r="AH352" i="51" s="1"/>
  <c r="AJ413" i="50"/>
  <c r="AJ398" i="51" s="1"/>
  <c r="AK437" i="50"/>
  <c r="AK421" i="51" s="1"/>
  <c r="AI389" i="50"/>
  <c r="AI375" i="51" s="1"/>
  <c r="AF320" i="50"/>
  <c r="AG344" i="50" s="1"/>
  <c r="AH368" i="50" s="1"/>
  <c r="AF297" i="50"/>
  <c r="AF287" i="51" s="1"/>
  <c r="AF289" i="50"/>
  <c r="AF279" i="51" s="1"/>
  <c r="AF301" i="50"/>
  <c r="AF291" i="51" s="1"/>
  <c r="AG341" i="50"/>
  <c r="AG329" i="51" s="1"/>
  <c r="AF317" i="50"/>
  <c r="AF306" i="51" s="1"/>
  <c r="AF280" i="50"/>
  <c r="AG309" i="51"/>
  <c r="AH332" i="51" s="1"/>
  <c r="AI355" i="51" s="1"/>
  <c r="AK413" i="50"/>
  <c r="AK398" i="51" s="1"/>
  <c r="AL437" i="50"/>
  <c r="AL421" i="51" s="1"/>
  <c r="AH341" i="50"/>
  <c r="AH329" i="51" s="1"/>
  <c r="AG297" i="50"/>
  <c r="AG287" i="51" s="1"/>
  <c r="AG317" i="50"/>
  <c r="AG306" i="51" s="1"/>
  <c r="AG301" i="50"/>
  <c r="AG291" i="51" s="1"/>
  <c r="AI365" i="50"/>
  <c r="AI352" i="51" s="1"/>
  <c r="AJ389" i="50"/>
  <c r="AJ375" i="51" s="1"/>
  <c r="AG320" i="50"/>
  <c r="AH344" i="50" s="1"/>
  <c r="AI368" i="50" s="1"/>
  <c r="AG289" i="50"/>
  <c r="AG279" i="51" s="1"/>
  <c r="AG280" i="50"/>
  <c r="DE38" i="47"/>
  <c r="V3" i="47"/>
  <c r="V4" i="47" s="1"/>
  <c r="W5" i="47" s="1"/>
  <c r="DK39" i="47" s="1"/>
  <c r="W6" i="47"/>
  <c r="X9" i="47"/>
  <c r="Y12" i="47"/>
  <c r="Z15" i="47"/>
  <c r="AA18" i="47"/>
  <c r="AB21" i="47"/>
  <c r="AC24" i="47"/>
  <c r="AD27" i="47"/>
  <c r="AE30" i="47"/>
  <c r="DK38" i="47"/>
  <c r="W3" i="47"/>
  <c r="W4" i="47" s="1"/>
  <c r="X5" i="47" s="1"/>
  <c r="DQ39" i="47" s="1"/>
  <c r="X6" i="47"/>
  <c r="Y9" i="47"/>
  <c r="Z12" i="47"/>
  <c r="AA15" i="47"/>
  <c r="AB18" i="47"/>
  <c r="AC21" i="47"/>
  <c r="AD24" i="47"/>
  <c r="AE27" i="47"/>
  <c r="AF30" i="47"/>
  <c r="AD13" i="44"/>
  <c r="AD14" i="44" s="1"/>
  <c r="U2" i="47" s="1"/>
  <c r="AC30" i="47" l="1"/>
  <c r="CS38" i="47"/>
  <c r="AF365" i="50"/>
  <c r="AF352" i="51" s="1"/>
  <c r="AB27" i="47"/>
  <c r="AA24" i="47"/>
  <c r="Z21" i="47"/>
  <c r="W12" i="47"/>
  <c r="V9" i="47"/>
  <c r="Y18" i="47"/>
  <c r="U6" i="47"/>
  <c r="X15" i="47"/>
  <c r="T3" i="47"/>
  <c r="T4" i="47" s="1"/>
  <c r="U5" i="47" s="1"/>
  <c r="CY39" i="47" s="1"/>
  <c r="AE341" i="50"/>
  <c r="AE329" i="51" s="1"/>
  <c r="AI437" i="50"/>
  <c r="AI421" i="51" s="1"/>
  <c r="AH413" i="50"/>
  <c r="AH398" i="51" s="1"/>
  <c r="AG389" i="50"/>
  <c r="AG375" i="51" s="1"/>
  <c r="AE309" i="50"/>
  <c r="AE298" i="51" s="1"/>
  <c r="AK461" i="50"/>
  <c r="AK444" i="51" s="1"/>
  <c r="AL485" i="50"/>
  <c r="AL467" i="51" s="1"/>
  <c r="AM509" i="50"/>
  <c r="AM490" i="51" s="1"/>
  <c r="AN533" i="50"/>
  <c r="AN513" i="51" s="1"/>
  <c r="AE335" i="50"/>
  <c r="AE323" i="51" s="1"/>
  <c r="AF359" i="50"/>
  <c r="AF346" i="51" s="1"/>
  <c r="AE282" i="50"/>
  <c r="AE272" i="51" s="1"/>
  <c r="AE291" i="50"/>
  <c r="AE281" i="51" s="1"/>
  <c r="AE293" i="50"/>
  <c r="AE283" i="51" s="1"/>
  <c r="AG270" i="51"/>
  <c r="AI359" i="50"/>
  <c r="AI346" i="51" s="1"/>
  <c r="AH335" i="50"/>
  <c r="AH323" i="51" s="1"/>
  <c r="AF270" i="51"/>
  <c r="AG335" i="50"/>
  <c r="AG323" i="51" s="1"/>
  <c r="AH359" i="50"/>
  <c r="AH346" i="51" s="1"/>
  <c r="AI392" i="50"/>
  <c r="AI373" i="50"/>
  <c r="AI360" i="51" s="1"/>
  <c r="AI369" i="50"/>
  <c r="AI356" i="51" s="1"/>
  <c r="AI381" i="50"/>
  <c r="AI367" i="51" s="1"/>
  <c r="AI378" i="51"/>
  <c r="AJ392" i="50"/>
  <c r="AJ373" i="50"/>
  <c r="AJ360" i="51" s="1"/>
  <c r="AJ369" i="50"/>
  <c r="AJ356" i="51" s="1"/>
  <c r="AJ381" i="50"/>
  <c r="AJ367" i="51" s="1"/>
  <c r="AH345" i="50"/>
  <c r="AH333" i="51" s="1"/>
  <c r="AG321" i="50"/>
  <c r="AG310" i="51" s="1"/>
  <c r="AG325" i="50"/>
  <c r="AG314" i="51" s="1"/>
  <c r="AH357" i="50"/>
  <c r="AH344" i="51" s="1"/>
  <c r="AG333" i="50"/>
  <c r="AG321" i="51" s="1"/>
  <c r="AH349" i="50"/>
  <c r="AH337" i="51" s="1"/>
  <c r="AG365" i="50"/>
  <c r="AG352" i="51" s="1"/>
  <c r="AF341" i="50"/>
  <c r="AF329" i="51" s="1"/>
  <c r="AJ437" i="50"/>
  <c r="AJ421" i="51" s="1"/>
  <c r="AH389" i="50"/>
  <c r="AH375" i="51" s="1"/>
  <c r="AI413" i="50"/>
  <c r="AI398" i="51" s="1"/>
  <c r="AE317" i="50"/>
  <c r="AE306" i="51" s="1"/>
  <c r="AJ378" i="51"/>
  <c r="AI349" i="50"/>
  <c r="AI337" i="51" s="1"/>
  <c r="AH321" i="50"/>
  <c r="AH310" i="51" s="1"/>
  <c r="AH325" i="50"/>
  <c r="AH314" i="51" s="1"/>
  <c r="AI345" i="50"/>
  <c r="AI333" i="51" s="1"/>
  <c r="AH333" i="50"/>
  <c r="AH321" i="51" s="1"/>
  <c r="AI357" i="50"/>
  <c r="AI344" i="51" s="1"/>
  <c r="X7" i="47"/>
  <c r="Y8" i="47" s="1"/>
  <c r="DW40" i="47" s="1"/>
  <c r="W7" i="47"/>
  <c r="X8" i="47" s="1"/>
  <c r="DQ40" i="47" s="1"/>
  <c r="CY38" i="47"/>
  <c r="U3" i="47"/>
  <c r="U4" i="47" s="1"/>
  <c r="V5" i="47" s="1"/>
  <c r="DE39" i="47" s="1"/>
  <c r="V6" i="47"/>
  <c r="W9" i="47"/>
  <c r="X12" i="47"/>
  <c r="Y15" i="47"/>
  <c r="Z18" i="47"/>
  <c r="AA21" i="47"/>
  <c r="AB24" i="47"/>
  <c r="AC27" i="47"/>
  <c r="AD30" i="47"/>
  <c r="X10" i="47"/>
  <c r="Y11" i="47" s="1"/>
  <c r="DW41" i="47" s="1"/>
  <c r="U7" i="47" l="1"/>
  <c r="V8" i="47" s="1"/>
  <c r="DE40" i="47" s="1"/>
  <c r="AF335" i="50"/>
  <c r="AF323" i="51" s="1"/>
  <c r="AG359" i="50"/>
  <c r="AG346" i="51" s="1"/>
  <c r="AK401" i="51"/>
  <c r="AK416" i="50"/>
  <c r="AK397" i="50"/>
  <c r="AK383" i="51" s="1"/>
  <c r="AK405" i="50"/>
  <c r="AK390" i="51" s="1"/>
  <c r="AK393" i="50"/>
  <c r="AK379" i="51" s="1"/>
  <c r="AJ401" i="51"/>
  <c r="AJ416" i="50"/>
  <c r="AJ405" i="50"/>
  <c r="AJ390" i="51" s="1"/>
  <c r="AJ397" i="50"/>
  <c r="AJ383" i="51" s="1"/>
  <c r="AJ393" i="50"/>
  <c r="AJ379" i="51" s="1"/>
  <c r="V7" i="47"/>
  <c r="W8" i="47" s="1"/>
  <c r="DK40" i="47" s="1"/>
  <c r="Y10" i="47"/>
  <c r="Y13" i="47"/>
  <c r="V10" i="47" l="1"/>
  <c r="W11" i="47" s="1"/>
  <c r="DK41" i="47" s="1"/>
  <c r="AK424" i="51"/>
  <c r="AL447" i="51" s="1"/>
  <c r="AM470" i="51" s="1"/>
  <c r="AN493" i="51" s="1"/>
  <c r="AK440" i="50"/>
  <c r="AK429" i="50"/>
  <c r="AK413" i="51" s="1"/>
  <c r="AK421" i="50"/>
  <c r="AK406" i="51" s="1"/>
  <c r="AK417" i="50"/>
  <c r="AK402" i="51" s="1"/>
  <c r="AL440" i="50"/>
  <c r="AL421" i="50"/>
  <c r="AL406" i="51" s="1"/>
  <c r="AL429" i="50"/>
  <c r="AL413" i="51" s="1"/>
  <c r="AL417" i="50"/>
  <c r="AL402" i="51" s="1"/>
  <c r="AL424" i="51"/>
  <c r="AM447" i="51" s="1"/>
  <c r="AN470" i="51" s="1"/>
  <c r="AO493" i="51" s="1"/>
  <c r="W10" i="47"/>
  <c r="X11" i="47" s="1"/>
  <c r="DQ41" i="47" s="1"/>
  <c r="Z11" i="47"/>
  <c r="EC41" i="47" s="1"/>
  <c r="Z13" i="47"/>
  <c r="Z14" i="47"/>
  <c r="EC42" i="47" s="1"/>
  <c r="Z16" i="47"/>
  <c r="W13" i="47" l="1"/>
  <c r="X16" i="47" s="1"/>
  <c r="Y19" i="47" s="1"/>
  <c r="AM464" i="50"/>
  <c r="AM445" i="50"/>
  <c r="AM429" i="51" s="1"/>
  <c r="AM441" i="50"/>
  <c r="AM425" i="51" s="1"/>
  <c r="AM453" i="50"/>
  <c r="AM436" i="51" s="1"/>
  <c r="AL464" i="50"/>
  <c r="AL445" i="50"/>
  <c r="AL429" i="51" s="1"/>
  <c r="AL453" i="50"/>
  <c r="AL436" i="51" s="1"/>
  <c r="AL441" i="50"/>
  <c r="AL425" i="51" s="1"/>
  <c r="X13" i="47"/>
  <c r="Y14" i="47" s="1"/>
  <c r="DW42" i="47" s="1"/>
  <c r="AA14" i="47"/>
  <c r="EI42" i="47" s="1"/>
  <c r="AA16" i="47"/>
  <c r="AA17" i="47"/>
  <c r="AA19" i="47"/>
  <c r="Y17" i="47" l="1"/>
  <c r="DW43" i="47" s="1"/>
  <c r="X14" i="47"/>
  <c r="DQ42" i="47" s="1"/>
  <c r="AM488" i="50"/>
  <c r="AM465" i="50"/>
  <c r="AM448" i="51" s="1"/>
  <c r="AM469" i="50"/>
  <c r="AM452" i="51" s="1"/>
  <c r="AM477" i="50"/>
  <c r="AM459" i="51" s="1"/>
  <c r="AN488" i="50"/>
  <c r="AN465" i="50"/>
  <c r="AN448" i="51" s="1"/>
  <c r="AN469" i="50"/>
  <c r="AN452" i="51" s="1"/>
  <c r="AN477" i="50"/>
  <c r="AN459" i="51" s="1"/>
  <c r="Y16" i="47"/>
  <c r="AB19" i="47"/>
  <c r="AB17" i="47"/>
  <c r="EO43" i="47" s="1"/>
  <c r="EI43" i="47"/>
  <c r="AB20" i="47"/>
  <c r="AB22" i="47"/>
  <c r="Z20" i="47"/>
  <c r="EC44" i="47" s="1"/>
  <c r="Z22" i="47"/>
  <c r="Z17" i="47" l="1"/>
  <c r="EC43" i="47" s="1"/>
  <c r="Z19" i="47"/>
  <c r="AO512" i="50"/>
  <c r="AO489" i="50"/>
  <c r="AO471" i="51" s="1"/>
  <c r="AO493" i="50"/>
  <c r="AO475" i="51" s="1"/>
  <c r="AO501" i="50"/>
  <c r="AO482" i="51" s="1"/>
  <c r="AN512" i="50"/>
  <c r="AN489" i="50"/>
  <c r="AN471" i="51" s="1"/>
  <c r="AN493" i="50"/>
  <c r="AN475" i="51" s="1"/>
  <c r="AN501" i="50"/>
  <c r="AN482" i="51" s="1"/>
  <c r="AC20" i="47"/>
  <c r="EU44" i="47" s="1"/>
  <c r="AC22" i="47"/>
  <c r="EO44" i="47"/>
  <c r="AA23" i="47"/>
  <c r="AA25" i="47"/>
  <c r="AC23" i="47"/>
  <c r="AC25" i="47"/>
  <c r="AD26" i="47" l="1"/>
  <c r="FA46" i="47" s="1"/>
  <c r="AD28" i="47"/>
  <c r="AB26" i="47"/>
  <c r="EO46" i="47" s="1"/>
  <c r="AB28" i="47"/>
  <c r="AO513" i="50"/>
  <c r="AO494" i="51" s="1"/>
  <c r="AO517" i="50"/>
  <c r="AO498" i="51" s="1"/>
  <c r="AO525" i="50"/>
  <c r="AO505" i="51" s="1"/>
  <c r="AP513" i="50"/>
  <c r="AP494" i="51" s="1"/>
  <c r="AP525" i="50"/>
  <c r="AP505" i="51" s="1"/>
  <c r="AP517" i="50"/>
  <c r="AP498" i="51" s="1"/>
  <c r="AA20" i="47"/>
  <c r="EI44" i="47" s="1"/>
  <c r="AA22" i="47"/>
  <c r="AD23" i="47"/>
  <c r="AD25" i="47"/>
  <c r="EI45" i="47"/>
  <c r="EU45" i="47"/>
  <c r="AC29" i="47" l="1"/>
  <c r="EU47" i="47" s="1"/>
  <c r="AC31" i="47"/>
  <c r="AE31" i="47"/>
  <c r="AE29" i="47"/>
  <c r="FG47" i="47" s="1"/>
  <c r="AB23" i="47"/>
  <c r="AB25" i="47"/>
  <c r="AE28" i="47"/>
  <c r="AE26" i="47"/>
  <c r="FA45" i="47"/>
  <c r="AF29" i="47" l="1"/>
  <c r="AF31" i="47"/>
  <c r="AC26" i="47"/>
  <c r="AC28" i="47"/>
  <c r="FG46" i="47"/>
  <c r="AE32" i="47"/>
  <c r="EO45" i="47"/>
  <c r="AD29" i="47" l="1"/>
  <c r="AD31" i="47"/>
  <c r="FM47" i="47"/>
  <c r="AF32" i="47"/>
  <c r="AE33" i="47"/>
  <c r="I102" i="47"/>
  <c r="FI43" i="47"/>
  <c r="FI42" i="47"/>
  <c r="FI45" i="47"/>
  <c r="FI41" i="47"/>
  <c r="FI46" i="47"/>
  <c r="FJ46" i="47" s="1"/>
  <c r="FF47" i="47"/>
  <c r="FI47" i="47"/>
  <c r="FJ47" i="47" s="1"/>
  <c r="FF46" i="47"/>
  <c r="FI44" i="47"/>
  <c r="EU46" i="47"/>
  <c r="AC32" i="47"/>
  <c r="FK47" i="47" l="1"/>
  <c r="FK46" i="47"/>
  <c r="FI50" i="47" s="1"/>
  <c r="I103" i="47"/>
  <c r="AF33" i="47"/>
  <c r="FO47" i="47"/>
  <c r="FP47" i="47" s="1"/>
  <c r="FQ47" i="47" s="1"/>
  <c r="FO43" i="47"/>
  <c r="FO44" i="47"/>
  <c r="FO41" i="47"/>
  <c r="FO45" i="47"/>
  <c r="FO42" i="47"/>
  <c r="FO46" i="47"/>
  <c r="FL47" i="47"/>
  <c r="FA47" i="47"/>
  <c r="AD32" i="47"/>
  <c r="AC33" i="47"/>
  <c r="I100" i="47"/>
  <c r="EW41" i="47"/>
  <c r="EW42" i="47"/>
  <c r="ET45" i="47"/>
  <c r="EW43" i="47"/>
  <c r="ET46" i="47"/>
  <c r="EW45" i="47"/>
  <c r="EX45" i="47" s="1"/>
  <c r="ET47" i="47"/>
  <c r="EW44" i="47"/>
  <c r="EX44" i="47" s="1"/>
  <c r="ET44" i="47"/>
  <c r="EW46" i="47"/>
  <c r="EX46" i="47" s="1"/>
  <c r="EW47" i="47"/>
  <c r="EX47" i="47" s="1"/>
  <c r="FI56" i="47"/>
  <c r="FI51" i="47"/>
  <c r="FJ59" i="47"/>
  <c r="FJ72" i="47" s="1"/>
  <c r="FJ58" i="47"/>
  <c r="FJ71" i="47" s="1"/>
  <c r="FI58" i="47"/>
  <c r="FJ51" i="47"/>
  <c r="FJ64" i="47" s="1"/>
  <c r="FJ52" i="47"/>
  <c r="FJ65" i="47" s="1"/>
  <c r="FI52" i="47"/>
  <c r="FJ55" i="47"/>
  <c r="FJ68" i="47" s="1"/>
  <c r="FI57" i="47"/>
  <c r="FI54" i="47"/>
  <c r="FJ54" i="47"/>
  <c r="FJ67" i="47" s="1"/>
  <c r="FJ57" i="47"/>
  <c r="FJ70" i="47" s="1"/>
  <c r="FI59" i="47"/>
  <c r="FI55" i="47"/>
  <c r="FJ53" i="47"/>
  <c r="FJ66" i="47" s="1"/>
  <c r="FI53" i="47"/>
  <c r="FJ56" i="47"/>
  <c r="FJ69" i="47" s="1"/>
  <c r="FJ50" i="47" l="1"/>
  <c r="FJ63" i="47" s="1"/>
  <c r="EY44" i="47"/>
  <c r="AD33" i="47"/>
  <c r="I101" i="47"/>
  <c r="FC45" i="47"/>
  <c r="FD45" i="47" s="1"/>
  <c r="FC46" i="47"/>
  <c r="FD46" i="47" s="1"/>
  <c r="FC47" i="47"/>
  <c r="FD47" i="47" s="1"/>
  <c r="EZ47" i="47"/>
  <c r="EZ45" i="47"/>
  <c r="FC42" i="47"/>
  <c r="FC43" i="47"/>
  <c r="FC41" i="47"/>
  <c r="FC44" i="47"/>
  <c r="EZ46" i="47"/>
  <c r="FO50" i="47"/>
  <c r="FP50" i="47"/>
  <c r="FP63" i="47" s="1"/>
  <c r="FP53" i="47"/>
  <c r="FP66" i="47" s="1"/>
  <c r="FO51" i="47"/>
  <c r="FP58" i="47"/>
  <c r="FP71" i="47" s="1"/>
  <c r="FP55" i="47"/>
  <c r="FP68" i="47" s="1"/>
  <c r="FO52" i="47"/>
  <c r="FO59" i="47"/>
  <c r="FO56" i="47"/>
  <c r="FP57" i="47"/>
  <c r="FP70" i="47" s="1"/>
  <c r="FO55" i="47"/>
  <c r="FO57" i="47"/>
  <c r="FO58" i="47"/>
  <c r="FP52" i="47"/>
  <c r="FP65" i="47" s="1"/>
  <c r="FO53" i="47"/>
  <c r="FO54" i="47"/>
  <c r="FP51" i="47"/>
  <c r="FP64" i="47" s="1"/>
  <c r="FP59" i="47"/>
  <c r="FP72" i="47" s="1"/>
  <c r="FP54" i="47"/>
  <c r="FP67" i="47" s="1"/>
  <c r="FP56" i="47"/>
  <c r="FP69" i="47" s="1"/>
  <c r="FI71" i="47"/>
  <c r="FH72" i="47"/>
  <c r="FH70" i="47"/>
  <c r="FI69" i="47"/>
  <c r="FH64" i="47"/>
  <c r="FI63" i="47"/>
  <c r="EY47" i="47"/>
  <c r="FI62" i="47"/>
  <c r="FH63" i="47"/>
  <c r="FI65" i="47"/>
  <c r="FH66" i="47"/>
  <c r="FI70" i="47"/>
  <c r="FH71" i="47"/>
  <c r="FI68" i="47"/>
  <c r="FH69" i="47"/>
  <c r="EY46" i="47"/>
  <c r="EY45" i="47"/>
  <c r="FH65" i="47"/>
  <c r="FI64" i="47"/>
  <c r="FH68" i="47"/>
  <c r="FI67" i="47"/>
  <c r="FH67" i="47"/>
  <c r="FI66" i="47"/>
  <c r="EW50" i="47"/>
  <c r="EW51" i="47" l="1"/>
  <c r="EX50" i="47"/>
  <c r="EX63" i="47" s="1"/>
  <c r="EX51" i="47"/>
  <c r="EX64" i="47" s="1"/>
  <c r="EW52" i="47"/>
  <c r="EV65" i="47" s="1"/>
  <c r="EX56" i="47"/>
  <c r="EX69" i="47" s="1"/>
  <c r="EX55" i="47"/>
  <c r="EX68" i="47" s="1"/>
  <c r="EX52" i="47"/>
  <c r="EX65" i="47" s="1"/>
  <c r="FE46" i="47"/>
  <c r="EW56" i="47"/>
  <c r="EV69" i="47" s="1"/>
  <c r="EW55" i="47"/>
  <c r="EV68" i="47" s="1"/>
  <c r="EX57" i="47"/>
  <c r="EX70" i="47" s="1"/>
  <c r="EW58" i="47"/>
  <c r="EV71" i="47" s="1"/>
  <c r="EX58" i="47"/>
  <c r="EX71" i="47" s="1"/>
  <c r="EX54" i="47"/>
  <c r="EX67" i="47" s="1"/>
  <c r="EW54" i="47"/>
  <c r="EW66" i="47" s="1"/>
  <c r="EX59" i="47"/>
  <c r="EX72" i="47" s="1"/>
  <c r="EW57" i="47"/>
  <c r="EV70" i="47" s="1"/>
  <c r="EW53" i="47"/>
  <c r="EV66" i="47" s="1"/>
  <c r="EW59" i="47"/>
  <c r="EW71" i="47" s="1"/>
  <c r="EX53" i="47"/>
  <c r="EX66" i="47" s="1"/>
  <c r="FN67" i="47"/>
  <c r="FO66" i="47"/>
  <c r="FO69" i="47"/>
  <c r="FN70" i="47"/>
  <c r="FO71" i="47"/>
  <c r="FN72" i="47"/>
  <c r="FO63" i="47"/>
  <c r="FN64" i="47"/>
  <c r="FO65" i="47"/>
  <c r="FN66" i="47"/>
  <c r="FO67" i="47"/>
  <c r="FN68" i="47"/>
  <c r="FN65" i="47"/>
  <c r="FO64" i="47"/>
  <c r="FD52" i="47"/>
  <c r="FD65" i="47" s="1"/>
  <c r="FC58" i="47"/>
  <c r="FD59" i="47"/>
  <c r="FD72" i="47" s="1"/>
  <c r="FC52" i="47"/>
  <c r="FC59" i="47"/>
  <c r="FC56" i="47"/>
  <c r="FC55" i="47"/>
  <c r="FC57" i="47"/>
  <c r="FD55" i="47"/>
  <c r="FD68" i="47" s="1"/>
  <c r="FC51" i="47"/>
  <c r="FD54" i="47"/>
  <c r="FD67" i="47" s="1"/>
  <c r="FC54" i="47"/>
  <c r="FD51" i="47"/>
  <c r="FD64" i="47" s="1"/>
  <c r="FD56" i="47"/>
  <c r="FD69" i="47" s="1"/>
  <c r="FD57" i="47"/>
  <c r="FD70" i="47" s="1"/>
  <c r="FC53" i="47"/>
  <c r="FD53" i="47"/>
  <c r="FD66" i="47" s="1"/>
  <c r="FD58" i="47"/>
  <c r="FD71" i="47" s="1"/>
  <c r="FE45" i="47"/>
  <c r="FN71" i="47"/>
  <c r="FO70" i="47"/>
  <c r="FO68" i="47"/>
  <c r="FN69" i="47"/>
  <c r="FN63" i="47"/>
  <c r="FO62" i="47"/>
  <c r="FE47" i="47"/>
  <c r="EW62" i="47"/>
  <c r="EV63" i="47"/>
  <c r="EW63" i="47"/>
  <c r="EV64" i="47"/>
  <c r="FL64" i="47"/>
  <c r="Y102" i="47" s="1"/>
  <c r="FL62" i="47"/>
  <c r="W102" i="47" s="1"/>
  <c r="FL63" i="47"/>
  <c r="X102" i="47" s="1"/>
  <c r="FK62" i="47"/>
  <c r="FK63" i="47"/>
  <c r="FK64" i="47"/>
  <c r="EW64" i="47" l="1"/>
  <c r="EV67" i="47"/>
  <c r="EW70" i="47"/>
  <c r="EW68" i="47"/>
  <c r="EW65" i="47"/>
  <c r="EW67" i="47"/>
  <c r="EW69" i="47"/>
  <c r="EV72" i="47"/>
  <c r="EY62" i="47" s="1"/>
  <c r="FC63" i="47"/>
  <c r="FB64" i="47"/>
  <c r="FB69" i="47"/>
  <c r="FC68" i="47"/>
  <c r="FB71" i="47"/>
  <c r="FC70" i="47"/>
  <c r="FB72" i="47"/>
  <c r="FC71" i="47"/>
  <c r="FC65" i="47"/>
  <c r="FB66" i="47"/>
  <c r="FC66" i="47"/>
  <c r="FB67" i="47"/>
  <c r="FB70" i="47"/>
  <c r="FC69" i="47"/>
  <c r="FB65" i="47"/>
  <c r="FC64" i="47"/>
  <c r="FQ62" i="47"/>
  <c r="FQ64" i="47"/>
  <c r="FQ63" i="47"/>
  <c r="FC50" i="47"/>
  <c r="FD50" i="47"/>
  <c r="FD63" i="47" s="1"/>
  <c r="FC67" i="47"/>
  <c r="FB68" i="47"/>
  <c r="FR64" i="47"/>
  <c r="Y103" i="47" s="1"/>
  <c r="FR63" i="47"/>
  <c r="X103" i="47" s="1"/>
  <c r="FR62" i="47"/>
  <c r="W103" i="47" s="1"/>
  <c r="EZ64" i="47"/>
  <c r="Y100" i="47" s="1"/>
  <c r="EZ62" i="47"/>
  <c r="W100" i="47" s="1"/>
  <c r="EZ63" i="47"/>
  <c r="X100" i="47" s="1"/>
  <c r="K2" i="44"/>
  <c r="N3" i="44" s="1"/>
  <c r="EY64" i="47" l="1"/>
  <c r="EY63" i="47"/>
  <c r="FC62" i="47"/>
  <c r="FB63" i="47"/>
  <c r="FF63" i="47" s="1"/>
  <c r="X101" i="47" s="1"/>
  <c r="V11" i="44"/>
  <c r="W12" i="44"/>
  <c r="T9" i="44"/>
  <c r="U10" i="44"/>
  <c r="R7" i="44"/>
  <c r="S8" i="44"/>
  <c r="P5" i="44"/>
  <c r="Q6" i="44"/>
  <c r="N13" i="44"/>
  <c r="O4" i="44"/>
  <c r="FE64" i="47" l="1"/>
  <c r="FF62" i="47"/>
  <c r="W101" i="47" s="1"/>
  <c r="FE63" i="47"/>
  <c r="FF64" i="47"/>
  <c r="Y101" i="47" s="1"/>
  <c r="FE62" i="47"/>
  <c r="N14" i="44"/>
  <c r="E2" i="47" s="1"/>
  <c r="U461" i="50" l="1"/>
  <c r="U444" i="51" s="1"/>
  <c r="V485" i="50"/>
  <c r="V467" i="51" s="1"/>
  <c r="W509" i="50"/>
  <c r="W490" i="51" s="1"/>
  <c r="X533" i="50"/>
  <c r="X513" i="51" s="1"/>
  <c r="R389" i="50"/>
  <c r="R375" i="51" s="1"/>
  <c r="Q365" i="50"/>
  <c r="Q352" i="51" s="1"/>
  <c r="T437" i="50"/>
  <c r="T421" i="51" s="1"/>
  <c r="S413" i="50"/>
  <c r="S398" i="51" s="1"/>
  <c r="P341" i="50"/>
  <c r="P329" i="51" s="1"/>
  <c r="O317" i="50"/>
  <c r="O306" i="51" s="1"/>
  <c r="F6" i="47"/>
  <c r="E3" i="47"/>
  <c r="E4" i="47" s="1"/>
  <c r="F5" i="47" s="1"/>
  <c r="H12" i="47"/>
  <c r="I15" i="47"/>
  <c r="G38" i="47"/>
  <c r="G9" i="47"/>
  <c r="K21" i="47"/>
  <c r="E32" i="47"/>
  <c r="L24" i="47"/>
  <c r="M27" i="47"/>
  <c r="J18" i="47"/>
  <c r="N30" i="47"/>
  <c r="F7" i="47" l="1"/>
  <c r="G10" i="47" s="1"/>
  <c r="M39" i="47"/>
  <c r="I76" i="47"/>
  <c r="E33" i="47"/>
  <c r="F38" i="47"/>
  <c r="I38" i="47"/>
  <c r="J38" i="47" s="1"/>
  <c r="K38" i="47" s="1"/>
  <c r="I39" i="47"/>
  <c r="G8" i="47" l="1"/>
  <c r="S40" i="47" s="1"/>
  <c r="J50" i="47"/>
  <c r="J63" i="47" s="1"/>
  <c r="I50" i="47"/>
  <c r="J57" i="47"/>
  <c r="J70" i="47" s="1"/>
  <c r="I57" i="47"/>
  <c r="J53" i="47"/>
  <c r="J66" i="47" s="1"/>
  <c r="I53" i="47"/>
  <c r="I58" i="47"/>
  <c r="I54" i="47"/>
  <c r="J55" i="47"/>
  <c r="J68" i="47" s="1"/>
  <c r="J56" i="47"/>
  <c r="J69" i="47" s="1"/>
  <c r="I56" i="47"/>
  <c r="J52" i="47"/>
  <c r="J65" i="47" s="1"/>
  <c r="I52" i="47"/>
  <c r="J59" i="47"/>
  <c r="J72" i="47" s="1"/>
  <c r="I59" i="47"/>
  <c r="I55" i="47"/>
  <c r="J51" i="47"/>
  <c r="J64" i="47" s="1"/>
  <c r="I51" i="47"/>
  <c r="J58" i="47"/>
  <c r="J71" i="47" s="1"/>
  <c r="J54" i="47"/>
  <c r="J67" i="47" s="1"/>
  <c r="H13" i="47" l="1"/>
  <c r="H11" i="47"/>
  <c r="Y41" i="47" s="1"/>
  <c r="I67" i="47"/>
  <c r="H68" i="47"/>
  <c r="I66" i="47"/>
  <c r="H67" i="47"/>
  <c r="H70" i="47"/>
  <c r="I69" i="47"/>
  <c r="H72" i="47"/>
  <c r="I71" i="47"/>
  <c r="I68" i="47"/>
  <c r="H69" i="47"/>
  <c r="H71" i="47"/>
  <c r="I70" i="47"/>
  <c r="H64" i="47"/>
  <c r="I63" i="47"/>
  <c r="H66" i="47"/>
  <c r="I65" i="47"/>
  <c r="H63" i="47"/>
  <c r="I62" i="47"/>
  <c r="H65" i="47"/>
  <c r="I64" i="47"/>
  <c r="I14" i="47" l="1"/>
  <c r="AE42" i="47" s="1"/>
  <c r="I16" i="47"/>
  <c r="K63" i="47"/>
  <c r="L63" i="47" s="1"/>
  <c r="X76" i="47" s="1"/>
  <c r="K64" i="47"/>
  <c r="L64" i="47" s="1"/>
  <c r="Y76" i="47" s="1"/>
  <c r="K62" i="47"/>
  <c r="L62" i="47" l="1"/>
  <c r="W76" i="47" s="1"/>
  <c r="J17" i="47"/>
  <c r="AK43" i="47" s="1"/>
  <c r="J19" i="47"/>
  <c r="K22" i="47" l="1"/>
  <c r="K20" i="47"/>
  <c r="AQ44" i="47" s="1"/>
  <c r="L23" i="47" l="1"/>
  <c r="AW45" i="47" s="1"/>
  <c r="L25" i="47"/>
  <c r="M26" i="47" l="1"/>
  <c r="BC46" i="47" s="1"/>
  <c r="M28" i="47"/>
  <c r="K3" i="44"/>
  <c r="N29" i="47" l="1"/>
  <c r="BI47" i="47" s="1"/>
  <c r="N31" i="47"/>
  <c r="W11" i="44"/>
  <c r="X12" i="44"/>
  <c r="U9" i="44"/>
  <c r="V10" i="44"/>
  <c r="S7" i="44"/>
  <c r="T8" i="44"/>
  <c r="Q5" i="44"/>
  <c r="R6" i="44"/>
  <c r="O3" i="44"/>
  <c r="O13" i="44" s="1"/>
  <c r="O14" i="44" s="1"/>
  <c r="P4" i="44"/>
  <c r="F2" i="47" l="1"/>
  <c r="V461" i="50" l="1"/>
  <c r="V444" i="51" s="1"/>
  <c r="W485" i="50"/>
  <c r="W467" i="51" s="1"/>
  <c r="X509" i="50"/>
  <c r="X490" i="51" s="1"/>
  <c r="Y533" i="50"/>
  <c r="Y513" i="51" s="1"/>
  <c r="S389" i="50"/>
  <c r="S375" i="51" s="1"/>
  <c r="R365" i="50"/>
  <c r="R352" i="51" s="1"/>
  <c r="U437" i="50"/>
  <c r="U421" i="51" s="1"/>
  <c r="T413" i="50"/>
  <c r="T398" i="51" s="1"/>
  <c r="Q341" i="50"/>
  <c r="Q329" i="51" s="1"/>
  <c r="P317" i="50"/>
  <c r="P306" i="51" s="1"/>
  <c r="F32" i="47"/>
  <c r="H9" i="47"/>
  <c r="L21" i="47"/>
  <c r="O30" i="47"/>
  <c r="M38" i="47"/>
  <c r="I12" i="47"/>
  <c r="M24" i="47"/>
  <c r="F3" i="47"/>
  <c r="F4" i="47" s="1"/>
  <c r="G5" i="47" s="1"/>
  <c r="S39" i="47" s="1"/>
  <c r="J15" i="47"/>
  <c r="N27" i="47"/>
  <c r="G6" i="47"/>
  <c r="K18" i="47"/>
  <c r="G7" i="47" l="1"/>
  <c r="L39" i="47"/>
  <c r="O39" i="47"/>
  <c r="P39" i="47" s="1"/>
  <c r="O38" i="47"/>
  <c r="P38" i="47" s="1"/>
  <c r="L38" i="47"/>
  <c r="F33" i="47"/>
  <c r="I77" i="47"/>
  <c r="Q38" i="47" l="1"/>
  <c r="Q39" i="47"/>
  <c r="H8" i="47"/>
  <c r="Y40" i="47" s="1"/>
  <c r="H10" i="47"/>
  <c r="P50" i="47" l="1"/>
  <c r="P63" i="47" s="1"/>
  <c r="O53" i="47"/>
  <c r="O65" i="47" s="1"/>
  <c r="O52" i="47"/>
  <c r="N65" i="47" s="1"/>
  <c r="P57" i="47"/>
  <c r="P70" i="47" s="1"/>
  <c r="O50" i="47"/>
  <c r="N63" i="47" s="1"/>
  <c r="P51" i="47"/>
  <c r="P64" i="47" s="1"/>
  <c r="O57" i="47"/>
  <c r="O69" i="47" s="1"/>
  <c r="P54" i="47"/>
  <c r="P67" i="47" s="1"/>
  <c r="P59" i="47"/>
  <c r="P72" i="47" s="1"/>
  <c r="O54" i="47"/>
  <c r="O66" i="47" s="1"/>
  <c r="O58" i="47"/>
  <c r="O70" i="47" s="1"/>
  <c r="O59" i="47"/>
  <c r="N72" i="47" s="1"/>
  <c r="P53" i="47"/>
  <c r="P66" i="47" s="1"/>
  <c r="O56" i="47"/>
  <c r="N69" i="47" s="1"/>
  <c r="O55" i="47"/>
  <c r="O67" i="47" s="1"/>
  <c r="P52" i="47"/>
  <c r="P65" i="47" s="1"/>
  <c r="O51" i="47"/>
  <c r="O63" i="47" s="1"/>
  <c r="P56" i="47"/>
  <c r="P69" i="47" s="1"/>
  <c r="P58" i="47"/>
  <c r="P71" i="47" s="1"/>
  <c r="P55" i="47"/>
  <c r="P68" i="47" s="1"/>
  <c r="I13" i="47"/>
  <c r="I11" i="47"/>
  <c r="AE41" i="47" s="1"/>
  <c r="O64" i="47" l="1"/>
  <c r="N67" i="47"/>
  <c r="O62" i="47"/>
  <c r="N66" i="47"/>
  <c r="N70" i="47"/>
  <c r="N71" i="47"/>
  <c r="O71" i="47"/>
  <c r="N68" i="47"/>
  <c r="N64" i="47"/>
  <c r="O68" i="47"/>
  <c r="J14" i="47"/>
  <c r="AK42" i="47" s="1"/>
  <c r="J16" i="47"/>
  <c r="Q64" i="47" l="1"/>
  <c r="R64" i="47" s="1"/>
  <c r="Y77" i="47" s="1"/>
  <c r="Q63" i="47"/>
  <c r="R63" i="47" s="1"/>
  <c r="X77" i="47" s="1"/>
  <c r="Q62" i="47"/>
  <c r="R62" i="47" s="1"/>
  <c r="W77" i="47" s="1"/>
  <c r="K19" i="47"/>
  <c r="K17" i="47"/>
  <c r="AQ43" i="47" s="1"/>
  <c r="L20" i="47" l="1"/>
  <c r="AW44" i="47" s="1"/>
  <c r="L22" i="47"/>
  <c r="M23" i="47" l="1"/>
  <c r="BC45" i="47" s="1"/>
  <c r="M25" i="47"/>
  <c r="N26" i="47" l="1"/>
  <c r="BI46" i="47" s="1"/>
  <c r="N28" i="47"/>
  <c r="K4" i="44"/>
  <c r="O31" i="47" l="1"/>
  <c r="O29" i="47"/>
  <c r="BO47" i="47" s="1"/>
  <c r="X11" i="44"/>
  <c r="Y12" i="44"/>
  <c r="V9" i="44"/>
  <c r="W10" i="44"/>
  <c r="T7" i="44"/>
  <c r="U8" i="44"/>
  <c r="R5" i="44"/>
  <c r="S6" i="44"/>
  <c r="P3" i="44"/>
  <c r="P13" i="44" s="1"/>
  <c r="P14" i="44" s="1"/>
  <c r="G2" i="47" s="1"/>
  <c r="Q4" i="44"/>
  <c r="W461" i="50" l="1"/>
  <c r="W444" i="51" s="1"/>
  <c r="X485" i="50"/>
  <c r="X467" i="51" s="1"/>
  <c r="Y509" i="50"/>
  <c r="Y490" i="51" s="1"/>
  <c r="Z533" i="50"/>
  <c r="Z513" i="51" s="1"/>
  <c r="T389" i="50"/>
  <c r="T375" i="51" s="1"/>
  <c r="S365" i="50"/>
  <c r="S352" i="51" s="1"/>
  <c r="V437" i="50"/>
  <c r="V421" i="51" s="1"/>
  <c r="U413" i="50"/>
  <c r="U398" i="51" s="1"/>
  <c r="R341" i="50"/>
  <c r="R329" i="51" s="1"/>
  <c r="Q317" i="50"/>
  <c r="Q306" i="51" s="1"/>
  <c r="G32" i="47"/>
  <c r="I9" i="47"/>
  <c r="M21" i="47"/>
  <c r="O27" i="47"/>
  <c r="L18" i="47"/>
  <c r="S38" i="47"/>
  <c r="J12" i="47"/>
  <c r="N24" i="47"/>
  <c r="P30" i="47"/>
  <c r="G3" i="47"/>
  <c r="G4" i="47" s="1"/>
  <c r="H5" i="47" s="1"/>
  <c r="Y39" i="47" s="1"/>
  <c r="K15" i="47"/>
  <c r="H6" i="47"/>
  <c r="H7" i="47" l="1"/>
  <c r="R40" i="47"/>
  <c r="R39" i="47"/>
  <c r="U40" i="47"/>
  <c r="V40" i="47" s="1"/>
  <c r="U38" i="47"/>
  <c r="V38" i="47" s="1"/>
  <c r="R38" i="47"/>
  <c r="U39" i="47"/>
  <c r="V39" i="47" s="1"/>
  <c r="I78" i="47"/>
  <c r="G33" i="47"/>
  <c r="W40" i="47" l="1"/>
  <c r="W39" i="47"/>
  <c r="I8" i="47"/>
  <c r="AE40" i="47" s="1"/>
  <c r="I10" i="47"/>
  <c r="W38" i="47"/>
  <c r="J13" i="47" l="1"/>
  <c r="J11" i="47"/>
  <c r="AK41" i="47" s="1"/>
  <c r="V50" i="47"/>
  <c r="V63" i="47" s="1"/>
  <c r="U50" i="47"/>
  <c r="V59" i="47"/>
  <c r="V72" i="47" s="1"/>
  <c r="U59" i="47"/>
  <c r="U54" i="47"/>
  <c r="U51" i="47"/>
  <c r="U53" i="47"/>
  <c r="U56" i="47"/>
  <c r="U55" i="47"/>
  <c r="V57" i="47"/>
  <c r="V70" i="47" s="1"/>
  <c r="U52" i="47"/>
  <c r="V58" i="47"/>
  <c r="V71" i="47" s="1"/>
  <c r="V53" i="47"/>
  <c r="V66" i="47" s="1"/>
  <c r="V54" i="47"/>
  <c r="V67" i="47" s="1"/>
  <c r="V52" i="47"/>
  <c r="V65" i="47" s="1"/>
  <c r="U58" i="47"/>
  <c r="V56" i="47"/>
  <c r="V69" i="47" s="1"/>
  <c r="V55" i="47"/>
  <c r="V68" i="47" s="1"/>
  <c r="V51" i="47"/>
  <c r="V64" i="47" s="1"/>
  <c r="U57" i="47"/>
  <c r="K16" i="47" l="1"/>
  <c r="K14" i="47"/>
  <c r="AQ42" i="47" s="1"/>
  <c r="T70" i="47"/>
  <c r="U69" i="47"/>
  <c r="T71" i="47"/>
  <c r="U70" i="47"/>
  <c r="T69" i="47"/>
  <c r="U68" i="47"/>
  <c r="T72" i="47"/>
  <c r="U71" i="47"/>
  <c r="U64" i="47"/>
  <c r="U65" i="47"/>
  <c r="T66" i="47"/>
  <c r="U63" i="47"/>
  <c r="U62" i="47"/>
  <c r="T63" i="47"/>
  <c r="T64" i="47" s="1"/>
  <c r="T65" i="47" s="1"/>
  <c r="U67" i="47"/>
  <c r="T68" i="47"/>
  <c r="T67" i="47"/>
  <c r="U66" i="47"/>
  <c r="L19" i="47" l="1"/>
  <c r="L17" i="47"/>
  <c r="AW43" i="47" s="1"/>
  <c r="W64" i="47"/>
  <c r="X64" i="47" s="1"/>
  <c r="Y78" i="47" s="1"/>
  <c r="W62" i="47"/>
  <c r="X62" i="47" s="1"/>
  <c r="W78" i="47" s="1"/>
  <c r="W63" i="47"/>
  <c r="X63" i="47" s="1"/>
  <c r="X78" i="47" s="1"/>
  <c r="M22" i="47" l="1"/>
  <c r="M20" i="47"/>
  <c r="BC44" i="47" s="1"/>
  <c r="N25" i="47" l="1"/>
  <c r="N23" i="47"/>
  <c r="BI45" i="47" s="1"/>
  <c r="O28" i="47" l="1"/>
  <c r="O26" i="47"/>
  <c r="BO46" i="47" s="1"/>
  <c r="K5" i="44"/>
  <c r="P31" i="47" l="1"/>
  <c r="P29" i="47"/>
  <c r="BU47" i="47" s="1"/>
  <c r="Y11" i="44"/>
  <c r="Z12" i="44"/>
  <c r="W9" i="44"/>
  <c r="X10" i="44"/>
  <c r="U7" i="44"/>
  <c r="V8" i="44"/>
  <c r="S5" i="44"/>
  <c r="T6" i="44"/>
  <c r="Q3" i="44"/>
  <c r="Q13" i="44" s="1"/>
  <c r="Q14" i="44" s="1"/>
  <c r="H2" i="47" s="1"/>
  <c r="R4" i="44"/>
  <c r="X461" i="50" l="1"/>
  <c r="X444" i="51" s="1"/>
  <c r="Y485" i="50"/>
  <c r="Y467" i="51" s="1"/>
  <c r="Z509" i="50"/>
  <c r="Z490" i="51" s="1"/>
  <c r="AA533" i="50"/>
  <c r="AA513" i="51" s="1"/>
  <c r="U389" i="50"/>
  <c r="U375" i="51" s="1"/>
  <c r="T365" i="50"/>
  <c r="T352" i="51" s="1"/>
  <c r="W437" i="50"/>
  <c r="W421" i="51" s="1"/>
  <c r="V413" i="50"/>
  <c r="V398" i="51" s="1"/>
  <c r="S341" i="50"/>
  <c r="S329" i="51" s="1"/>
  <c r="R317" i="50"/>
  <c r="R306" i="51" s="1"/>
  <c r="Y38" i="47"/>
  <c r="J9" i="47"/>
  <c r="N21" i="47"/>
  <c r="H32" i="47"/>
  <c r="K12" i="47"/>
  <c r="O24" i="47"/>
  <c r="H3" i="47"/>
  <c r="H4" i="47" s="1"/>
  <c r="L15" i="47"/>
  <c r="P27" i="47"/>
  <c r="I6" i="47"/>
  <c r="M18" i="47"/>
  <c r="Q30" i="47"/>
  <c r="I7" i="47" l="1"/>
  <c r="I5" i="47"/>
  <c r="AE39" i="47" s="1"/>
  <c r="H33" i="47"/>
  <c r="I79" i="47"/>
  <c r="X38" i="47"/>
  <c r="X41" i="47"/>
  <c r="AA39" i="47"/>
  <c r="AB39" i="47" s="1"/>
  <c r="AA40" i="47"/>
  <c r="AB40" i="47" s="1"/>
  <c r="AA38" i="47"/>
  <c r="AB38" i="47" s="1"/>
  <c r="AA41" i="47"/>
  <c r="AB41" i="47" s="1"/>
  <c r="X40" i="47"/>
  <c r="X39" i="47"/>
  <c r="J8" i="47" l="1"/>
  <c r="AK40" i="47" s="1"/>
  <c r="J10" i="47"/>
  <c r="AC41" i="47"/>
  <c r="AC38" i="47"/>
  <c r="AC40" i="47"/>
  <c r="AC39" i="47"/>
  <c r="AA50" i="47" l="1"/>
  <c r="AA52" i="47"/>
  <c r="AA54" i="47"/>
  <c r="AA56" i="47"/>
  <c r="AA58" i="47"/>
  <c r="AB55" i="47"/>
  <c r="AB68" i="47" s="1"/>
  <c r="AB50" i="47"/>
  <c r="AB63" i="47" s="1"/>
  <c r="AB52" i="47"/>
  <c r="AB65" i="47" s="1"/>
  <c r="AB54" i="47"/>
  <c r="AB67" i="47" s="1"/>
  <c r="AB56" i="47"/>
  <c r="AB69" i="47" s="1"/>
  <c r="AB58" i="47"/>
  <c r="AB71" i="47" s="1"/>
  <c r="AB53" i="47"/>
  <c r="AB66" i="47" s="1"/>
  <c r="AB57" i="47"/>
  <c r="AB70" i="47" s="1"/>
  <c r="AA51" i="47"/>
  <c r="AA53" i="47"/>
  <c r="AA55" i="47"/>
  <c r="AA57" i="47"/>
  <c r="AA59" i="47"/>
  <c r="AB51" i="47"/>
  <c r="AB64" i="47" s="1"/>
  <c r="AB59" i="47"/>
  <c r="AB72" i="47" s="1"/>
  <c r="K11" i="47"/>
  <c r="AQ41" i="47" s="1"/>
  <c r="K13" i="47"/>
  <c r="L16" i="47" l="1"/>
  <c r="L14" i="47"/>
  <c r="AW42" i="47" s="1"/>
  <c r="AA62" i="47"/>
  <c r="Z63" i="47"/>
  <c r="Z64" i="47" s="1"/>
  <c r="Z65" i="47" s="1"/>
  <c r="Z66" i="47" s="1"/>
  <c r="AA64" i="47"/>
  <c r="AA71" i="47"/>
  <c r="Z72" i="47"/>
  <c r="Z68" i="47"/>
  <c r="AA67" i="47"/>
  <c r="Z71" i="47"/>
  <c r="AA70" i="47"/>
  <c r="Z70" i="47"/>
  <c r="AA69" i="47"/>
  <c r="AA66" i="47"/>
  <c r="Z67" i="47"/>
  <c r="AA63" i="47"/>
  <c r="AA65" i="47"/>
  <c r="AA68" i="47"/>
  <c r="Z69" i="47"/>
  <c r="M19" i="47" l="1"/>
  <c r="M17" i="47"/>
  <c r="BC43" i="47" s="1"/>
  <c r="AC64" i="47"/>
  <c r="AD64" i="47" s="1"/>
  <c r="Y79" i="47" s="1"/>
  <c r="AC63" i="47"/>
  <c r="AD63" i="47" s="1"/>
  <c r="X79" i="47" s="1"/>
  <c r="AC62" i="47"/>
  <c r="AD62" i="47" s="1"/>
  <c r="W79" i="47" s="1"/>
  <c r="N20" i="47" l="1"/>
  <c r="BI44" i="47" s="1"/>
  <c r="N22" i="47"/>
  <c r="O25" i="47" l="1"/>
  <c r="O23" i="47"/>
  <c r="BO45" i="47" s="1"/>
  <c r="P28" i="47" l="1"/>
  <c r="P26" i="47"/>
  <c r="BU46" i="47" s="1"/>
  <c r="K6" i="44"/>
  <c r="Q29" i="47" l="1"/>
  <c r="CA47" i="47" s="1"/>
  <c r="Q31" i="47"/>
  <c r="Z11" i="44"/>
  <c r="AA12" i="44"/>
  <c r="X9" i="44"/>
  <c r="Y10" i="44"/>
  <c r="V7" i="44"/>
  <c r="W8" i="44"/>
  <c r="T5" i="44"/>
  <c r="U6" i="44"/>
  <c r="R3" i="44"/>
  <c r="R13" i="44" s="1"/>
  <c r="R14" i="44" s="1"/>
  <c r="I2" i="47" s="1"/>
  <c r="S4" i="44"/>
  <c r="Y461" i="50" l="1"/>
  <c r="Y444" i="51" s="1"/>
  <c r="Z485" i="50"/>
  <c r="Z467" i="51" s="1"/>
  <c r="AA509" i="50"/>
  <c r="AA490" i="51" s="1"/>
  <c r="AB533" i="50"/>
  <c r="AB513" i="51" s="1"/>
  <c r="V389" i="50"/>
  <c r="V375" i="51" s="1"/>
  <c r="U365" i="50"/>
  <c r="U352" i="51" s="1"/>
  <c r="X437" i="50"/>
  <c r="X421" i="51" s="1"/>
  <c r="W413" i="50"/>
  <c r="W398" i="51" s="1"/>
  <c r="T341" i="50"/>
  <c r="T329" i="51" s="1"/>
  <c r="S317" i="50"/>
  <c r="S306" i="51" s="1"/>
  <c r="AE38" i="47"/>
  <c r="K9" i="47"/>
  <c r="O21" i="47"/>
  <c r="N18" i="47"/>
  <c r="I32" i="47"/>
  <c r="L12" i="47"/>
  <c r="P24" i="47"/>
  <c r="M15" i="47"/>
  <c r="J6" i="47"/>
  <c r="R30" i="47"/>
  <c r="I3" i="47"/>
  <c r="I4" i="47" s="1"/>
  <c r="Q27" i="47"/>
  <c r="J7" i="47" l="1"/>
  <c r="J5" i="47"/>
  <c r="AK39" i="47" s="1"/>
  <c r="I33" i="47"/>
  <c r="I80" i="47"/>
  <c r="AD38" i="47"/>
  <c r="AG41" i="47"/>
  <c r="AH41" i="47" s="1"/>
  <c r="AD39" i="47"/>
  <c r="AG40" i="47"/>
  <c r="AH40" i="47" s="1"/>
  <c r="AD42" i="47"/>
  <c r="AG38" i="47"/>
  <c r="AH38" i="47" s="1"/>
  <c r="AD41" i="47"/>
  <c r="AG39" i="47"/>
  <c r="AH39" i="47" s="1"/>
  <c r="AD40" i="47"/>
  <c r="AG42" i="47"/>
  <c r="AH42" i="47" s="1"/>
  <c r="AI42" i="47" l="1"/>
  <c r="K8" i="47"/>
  <c r="AQ40" i="47" s="1"/>
  <c r="K10" i="47"/>
  <c r="AI38" i="47"/>
  <c r="AI41" i="47"/>
  <c r="AI39" i="47"/>
  <c r="AI40" i="47"/>
  <c r="L13" i="47" l="1"/>
  <c r="L11" i="47"/>
  <c r="AW41" i="47" s="1"/>
  <c r="AH59" i="47"/>
  <c r="AH72" i="47" s="1"/>
  <c r="AH55" i="47"/>
  <c r="AH68" i="47" s="1"/>
  <c r="AG56" i="47"/>
  <c r="AH52" i="47"/>
  <c r="AH65" i="47" s="1"/>
  <c r="AG53" i="47"/>
  <c r="AG57" i="47"/>
  <c r="AH58" i="47"/>
  <c r="AH71" i="47" s="1"/>
  <c r="AG59" i="47"/>
  <c r="AG55" i="47"/>
  <c r="AH51" i="47"/>
  <c r="AH64" i="47" s="1"/>
  <c r="AG52" i="47"/>
  <c r="AG54" i="47"/>
  <c r="AH57" i="47"/>
  <c r="AH70" i="47" s="1"/>
  <c r="AG58" i="47"/>
  <c r="AH54" i="47"/>
  <c r="AH67" i="47" s="1"/>
  <c r="AH50" i="47"/>
  <c r="AH63" i="47" s="1"/>
  <c r="AG51" i="47"/>
  <c r="AG63" i="47" s="1"/>
  <c r="AH56" i="47"/>
  <c r="AH69" i="47" s="1"/>
  <c r="AH53" i="47"/>
  <c r="AH66" i="47" s="1"/>
  <c r="AG50" i="47"/>
  <c r="M16" i="47" l="1"/>
  <c r="M14" i="47"/>
  <c r="BC42" i="47" s="1"/>
  <c r="AF63" i="47"/>
  <c r="AF64" i="47" s="1"/>
  <c r="AF65" i="47" s="1"/>
  <c r="AF66" i="47" s="1"/>
  <c r="AF67" i="47" s="1"/>
  <c r="AG62" i="47"/>
  <c r="AG66" i="47"/>
  <c r="AG71" i="47"/>
  <c r="AF72" i="47"/>
  <c r="AG64" i="47"/>
  <c r="AG68" i="47"/>
  <c r="AF69" i="47"/>
  <c r="AG70" i="47"/>
  <c r="AF71" i="47"/>
  <c r="AG69" i="47"/>
  <c r="AF70" i="47"/>
  <c r="AF68" i="47"/>
  <c r="AG67" i="47"/>
  <c r="AG65" i="47"/>
  <c r="N17" i="47" l="1"/>
  <c r="BI43" i="47" s="1"/>
  <c r="N19" i="47"/>
  <c r="AI64" i="47"/>
  <c r="AJ64" i="47" s="1"/>
  <c r="Y80" i="47" s="1"/>
  <c r="AI62" i="47"/>
  <c r="AJ62" i="47" s="1"/>
  <c r="W80" i="47" s="1"/>
  <c r="AI63" i="47"/>
  <c r="AJ63" i="47" s="1"/>
  <c r="X80" i="47" s="1"/>
  <c r="O22" i="47" l="1"/>
  <c r="O20" i="47"/>
  <c r="BO44" i="47" s="1"/>
  <c r="P25" i="47" l="1"/>
  <c r="P23" i="47"/>
  <c r="BU45" i="47" s="1"/>
  <c r="Q26" i="47" l="1"/>
  <c r="CA46" i="47" s="1"/>
  <c r="Q28" i="47"/>
  <c r="K7" i="44"/>
  <c r="R29" i="47" l="1"/>
  <c r="CG47" i="47" s="1"/>
  <c r="R31" i="47"/>
  <c r="AA11" i="44"/>
  <c r="AA13" i="44" s="1"/>
  <c r="AA14" i="44" s="1"/>
  <c r="R2" i="47" s="1"/>
  <c r="AB12" i="44"/>
  <c r="AB13" i="44" s="1"/>
  <c r="AB14" i="44" s="1"/>
  <c r="S2" i="47" s="1"/>
  <c r="Y9" i="44"/>
  <c r="Y13" i="44" s="1"/>
  <c r="Y14" i="44" s="1"/>
  <c r="P2" i="47" s="1"/>
  <c r="Z10" i="44"/>
  <c r="Z13" i="44" s="1"/>
  <c r="Z14" i="44" s="1"/>
  <c r="Q2" i="47" s="1"/>
  <c r="W7" i="44"/>
  <c r="W13" i="44" s="1"/>
  <c r="W14" i="44" s="1"/>
  <c r="N2" i="47" s="1"/>
  <c r="X8" i="44"/>
  <c r="X13" i="44" s="1"/>
  <c r="X14" i="44" s="1"/>
  <c r="O2" i="47" s="1"/>
  <c r="U5" i="44"/>
  <c r="U13" i="44" s="1"/>
  <c r="U14" i="44" s="1"/>
  <c r="L2" i="47" s="1"/>
  <c r="V6" i="44"/>
  <c r="V13" i="44" s="1"/>
  <c r="V14" i="44" s="1"/>
  <c r="M2" i="47" s="1"/>
  <c r="S3" i="44"/>
  <c r="S13" i="44" s="1"/>
  <c r="S14" i="44" s="1"/>
  <c r="J2" i="47" s="1"/>
  <c r="T4" i="44"/>
  <c r="T13" i="44" s="1"/>
  <c r="T14" i="44" s="1"/>
  <c r="K2" i="47" s="1"/>
  <c r="AI461" i="50" l="1"/>
  <c r="AI444" i="51" s="1"/>
  <c r="AJ485" i="50"/>
  <c r="AJ467" i="51" s="1"/>
  <c r="AK509" i="50"/>
  <c r="AK490" i="51" s="1"/>
  <c r="AL533" i="50"/>
  <c r="AL513" i="51" s="1"/>
  <c r="AH461" i="50"/>
  <c r="AH444" i="51" s="1"/>
  <c r="AI485" i="50"/>
  <c r="AI467" i="51" s="1"/>
  <c r="AJ509" i="50"/>
  <c r="AJ490" i="51" s="1"/>
  <c r="AK533" i="50"/>
  <c r="AK513" i="51" s="1"/>
  <c r="AC461" i="50"/>
  <c r="AC444" i="51" s="1"/>
  <c r="AD485" i="50"/>
  <c r="AD467" i="51" s="1"/>
  <c r="AE509" i="50"/>
  <c r="AE490" i="51" s="1"/>
  <c r="AF533" i="50"/>
  <c r="AF513" i="51" s="1"/>
  <c r="AG461" i="50"/>
  <c r="AG444" i="51" s="1"/>
  <c r="AH485" i="50"/>
  <c r="AH467" i="51" s="1"/>
  <c r="AI509" i="50"/>
  <c r="AI490" i="51" s="1"/>
  <c r="AJ533" i="50"/>
  <c r="AJ513" i="51" s="1"/>
  <c r="AB461" i="50"/>
  <c r="AB444" i="51" s="1"/>
  <c r="AC485" i="50"/>
  <c r="AC467" i="51" s="1"/>
  <c r="AD509" i="50"/>
  <c r="AD490" i="51" s="1"/>
  <c r="AE533" i="50"/>
  <c r="AE513" i="51" s="1"/>
  <c r="AF461" i="50"/>
  <c r="AF444" i="51" s="1"/>
  <c r="AG485" i="50"/>
  <c r="AG467" i="51" s="1"/>
  <c r="AH509" i="50"/>
  <c r="AH490" i="51" s="1"/>
  <c r="AI533" i="50"/>
  <c r="AI513" i="51" s="1"/>
  <c r="AA461" i="50"/>
  <c r="AA444" i="51" s="1"/>
  <c r="AB485" i="50"/>
  <c r="AB467" i="51" s="1"/>
  <c r="AC509" i="50"/>
  <c r="AC490" i="51" s="1"/>
  <c r="AD533" i="50"/>
  <c r="AD513" i="51" s="1"/>
  <c r="AE461" i="50"/>
  <c r="AE444" i="51" s="1"/>
  <c r="AF485" i="50"/>
  <c r="AF467" i="51" s="1"/>
  <c r="AG509" i="50"/>
  <c r="AG490" i="51" s="1"/>
  <c r="AH533" i="50"/>
  <c r="AH513" i="51" s="1"/>
  <c r="Z461" i="50"/>
  <c r="Z444" i="51" s="1"/>
  <c r="AA485" i="50"/>
  <c r="AA467" i="51" s="1"/>
  <c r="AB509" i="50"/>
  <c r="AB490" i="51" s="1"/>
  <c r="AC533" i="50"/>
  <c r="AC513" i="51" s="1"/>
  <c r="AD461" i="50"/>
  <c r="AD444" i="51" s="1"/>
  <c r="AE485" i="50"/>
  <c r="AE467" i="51" s="1"/>
  <c r="AF509" i="50"/>
  <c r="AF490" i="51" s="1"/>
  <c r="AG533" i="50"/>
  <c r="AG513" i="51" s="1"/>
  <c r="AA291" i="50"/>
  <c r="AA281" i="51" s="1"/>
  <c r="AA282" i="50"/>
  <c r="AA272" i="51" s="1"/>
  <c r="AA293" i="50"/>
  <c r="AA283" i="51" s="1"/>
  <c r="AC291" i="50"/>
  <c r="AC281" i="51" s="1"/>
  <c r="AC293" i="50"/>
  <c r="AC283" i="51" s="1"/>
  <c r="AC282" i="50"/>
  <c r="AC272" i="51" s="1"/>
  <c r="AB293" i="50"/>
  <c r="AB283" i="51" s="1"/>
  <c r="AB291" i="50"/>
  <c r="AB281" i="51" s="1"/>
  <c r="AB282" i="50"/>
  <c r="AB272" i="51" s="1"/>
  <c r="Z389" i="50"/>
  <c r="Z375" i="51" s="1"/>
  <c r="Y365" i="50"/>
  <c r="Y352" i="51" s="1"/>
  <c r="AD389" i="50"/>
  <c r="AD375" i="51" s="1"/>
  <c r="AC365" i="50"/>
  <c r="AC352" i="51" s="1"/>
  <c r="X389" i="50"/>
  <c r="X375" i="51" s="1"/>
  <c r="W365" i="50"/>
  <c r="W352" i="51" s="1"/>
  <c r="Y389" i="50"/>
  <c r="Y375" i="51" s="1"/>
  <c r="X365" i="50"/>
  <c r="X352" i="51" s="1"/>
  <c r="AC389" i="50"/>
  <c r="AC375" i="51" s="1"/>
  <c r="AB365" i="50"/>
  <c r="AB352" i="51" s="1"/>
  <c r="AB389" i="50"/>
  <c r="AB375" i="51" s="1"/>
  <c r="AA365" i="50"/>
  <c r="AA352" i="51" s="1"/>
  <c r="AF389" i="50"/>
  <c r="AF375" i="51" s="1"/>
  <c r="AE365" i="50"/>
  <c r="AE352" i="51" s="1"/>
  <c r="W389" i="50"/>
  <c r="W375" i="51" s="1"/>
  <c r="V365" i="50"/>
  <c r="V352" i="51" s="1"/>
  <c r="AA389" i="50"/>
  <c r="AA375" i="51" s="1"/>
  <c r="Z365" i="50"/>
  <c r="Z352" i="51" s="1"/>
  <c r="AE389" i="50"/>
  <c r="AE375" i="51" s="1"/>
  <c r="AD365" i="50"/>
  <c r="AD352" i="51" s="1"/>
  <c r="AB437" i="50"/>
  <c r="AB421" i="51" s="1"/>
  <c r="AA413" i="50"/>
  <c r="AA398" i="51" s="1"/>
  <c r="AF437" i="50"/>
  <c r="AF421" i="51" s="1"/>
  <c r="AE413" i="50"/>
  <c r="AE398" i="51" s="1"/>
  <c r="Z437" i="50"/>
  <c r="Z421" i="51" s="1"/>
  <c r="Y413" i="50"/>
  <c r="Y398" i="51" s="1"/>
  <c r="AA437" i="50"/>
  <c r="AA421" i="51" s="1"/>
  <c r="Z413" i="50"/>
  <c r="Z398" i="51" s="1"/>
  <c r="AE437" i="50"/>
  <c r="AE421" i="51" s="1"/>
  <c r="AD413" i="50"/>
  <c r="AD398" i="51" s="1"/>
  <c r="AD437" i="50"/>
  <c r="AD421" i="51" s="1"/>
  <c r="AC413" i="50"/>
  <c r="AC398" i="51" s="1"/>
  <c r="AH437" i="50"/>
  <c r="AH421" i="51" s="1"/>
  <c r="AG413" i="50"/>
  <c r="AG398" i="51" s="1"/>
  <c r="Y437" i="50"/>
  <c r="Y421" i="51" s="1"/>
  <c r="X413" i="50"/>
  <c r="X398" i="51" s="1"/>
  <c r="AC437" i="50"/>
  <c r="AC421" i="51" s="1"/>
  <c r="AB413" i="50"/>
  <c r="AB398" i="51" s="1"/>
  <c r="AG437" i="50"/>
  <c r="AG421" i="51" s="1"/>
  <c r="AF413" i="50"/>
  <c r="AF398" i="51" s="1"/>
  <c r="X341" i="50"/>
  <c r="X329" i="51" s="1"/>
  <c r="AB341" i="50"/>
  <c r="AB329" i="51" s="1"/>
  <c r="W341" i="50"/>
  <c r="W329" i="51" s="1"/>
  <c r="AA341" i="50"/>
  <c r="AA329" i="51" s="1"/>
  <c r="V341" i="50"/>
  <c r="V329" i="51" s="1"/>
  <c r="Z341" i="50"/>
  <c r="Z329" i="51" s="1"/>
  <c r="AD341" i="50"/>
  <c r="AD329" i="51" s="1"/>
  <c r="U341" i="50"/>
  <c r="U329" i="51" s="1"/>
  <c r="Y341" i="50"/>
  <c r="Y329" i="51" s="1"/>
  <c r="AC341" i="50"/>
  <c r="AC329" i="51" s="1"/>
  <c r="T317" i="50"/>
  <c r="T306" i="51" s="1"/>
  <c r="X317" i="50"/>
  <c r="X306" i="51" s="1"/>
  <c r="W317" i="50"/>
  <c r="W306" i="51" s="1"/>
  <c r="AA317" i="50"/>
  <c r="AA306" i="51" s="1"/>
  <c r="Z317" i="50"/>
  <c r="Z306" i="51" s="1"/>
  <c r="V317" i="50"/>
  <c r="V306" i="51" s="1"/>
  <c r="U317" i="50"/>
  <c r="U306" i="51" s="1"/>
  <c r="Y317" i="50"/>
  <c r="Y306" i="51" s="1"/>
  <c r="AC317" i="50"/>
  <c r="AC306" i="51" s="1"/>
  <c r="AB317" i="50"/>
  <c r="AB306" i="51" s="1"/>
  <c r="P9" i="47"/>
  <c r="T21" i="47"/>
  <c r="Q12" i="47"/>
  <c r="U24" i="47"/>
  <c r="S18" i="47"/>
  <c r="BI38" i="47"/>
  <c r="N3" i="47"/>
  <c r="N4" i="47" s="1"/>
  <c r="R15" i="47"/>
  <c r="V27" i="47"/>
  <c r="O6" i="47"/>
  <c r="W30" i="47"/>
  <c r="CG38" i="47"/>
  <c r="R3" i="47"/>
  <c r="R4" i="47" s="1"/>
  <c r="S5" i="47" s="1"/>
  <c r="CM39" i="47" s="1"/>
  <c r="S6" i="47"/>
  <c r="T9" i="47"/>
  <c r="U12" i="47"/>
  <c r="V15" i="47"/>
  <c r="W18" i="47"/>
  <c r="X21" i="47"/>
  <c r="Y24" i="47"/>
  <c r="Z27" i="47"/>
  <c r="AA30" i="47"/>
  <c r="N6" i="47"/>
  <c r="R18" i="47"/>
  <c r="V30" i="47"/>
  <c r="O9" i="47"/>
  <c r="S21" i="47"/>
  <c r="BC38" i="47"/>
  <c r="P12" i="47"/>
  <c r="T24" i="47"/>
  <c r="M3" i="47"/>
  <c r="M4" i="47" s="1"/>
  <c r="Q15" i="47"/>
  <c r="U27" i="47"/>
  <c r="CA38" i="47"/>
  <c r="Q3" i="47"/>
  <c r="Q4" i="47" s="1"/>
  <c r="R5" i="47" s="1"/>
  <c r="CG39" i="47" s="1"/>
  <c r="R6" i="47"/>
  <c r="S9" i="47"/>
  <c r="T12" i="47"/>
  <c r="U15" i="47"/>
  <c r="V18" i="47"/>
  <c r="W21" i="47"/>
  <c r="X24" i="47"/>
  <c r="Y27" i="47"/>
  <c r="Z30" i="47"/>
  <c r="K6" i="47"/>
  <c r="O18" i="47"/>
  <c r="S30" i="47"/>
  <c r="N15" i="47"/>
  <c r="J32" i="47"/>
  <c r="L9" i="47"/>
  <c r="P21" i="47"/>
  <c r="J3" i="47"/>
  <c r="J4" i="47" s="1"/>
  <c r="AK38" i="47"/>
  <c r="M12" i="47"/>
  <c r="Q24" i="47"/>
  <c r="R27" i="47"/>
  <c r="AW38" i="47"/>
  <c r="O12" i="47"/>
  <c r="S24" i="47"/>
  <c r="L3" i="47"/>
  <c r="L4" i="47" s="1"/>
  <c r="M5" i="47" s="1"/>
  <c r="BC39" i="47" s="1"/>
  <c r="P15" i="47"/>
  <c r="T27" i="47"/>
  <c r="M6" i="47"/>
  <c r="Q18" i="47"/>
  <c r="U30" i="47"/>
  <c r="N9" i="47"/>
  <c r="R21" i="47"/>
  <c r="BU38" i="47"/>
  <c r="P3" i="47"/>
  <c r="P4" i="47" s="1"/>
  <c r="Q5" i="47" s="1"/>
  <c r="CA39" i="47" s="1"/>
  <c r="Q6" i="47"/>
  <c r="R9" i="47"/>
  <c r="S12" i="47"/>
  <c r="T15" i="47"/>
  <c r="U18" i="47"/>
  <c r="V21" i="47"/>
  <c r="W24" i="47"/>
  <c r="X27" i="47"/>
  <c r="Y30" i="47"/>
  <c r="K3" i="47"/>
  <c r="K4" i="47" s="1"/>
  <c r="L5" i="47" s="1"/>
  <c r="AW39" i="47" s="1"/>
  <c r="O15" i="47"/>
  <c r="S27" i="47"/>
  <c r="L6" i="47"/>
  <c r="P18" i="47"/>
  <c r="T30" i="47"/>
  <c r="M9" i="47"/>
  <c r="Q21" i="47"/>
  <c r="AQ38" i="47"/>
  <c r="N12" i="47"/>
  <c r="R24" i="47"/>
  <c r="BO38" i="47"/>
  <c r="O3" i="47"/>
  <c r="O4" i="47" s="1"/>
  <c r="P5" i="47" s="1"/>
  <c r="BU39" i="47" s="1"/>
  <c r="P6" i="47"/>
  <c r="Q9" i="47"/>
  <c r="R12" i="47"/>
  <c r="S15" i="47"/>
  <c r="T18" i="47"/>
  <c r="U21" i="47"/>
  <c r="V24" i="47"/>
  <c r="W27" i="47"/>
  <c r="X30" i="47"/>
  <c r="CM38" i="47"/>
  <c r="S3" i="47"/>
  <c r="S4" i="47" s="1"/>
  <c r="T6" i="47"/>
  <c r="U9" i="47"/>
  <c r="V12" i="47"/>
  <c r="W15" i="47"/>
  <c r="X18" i="47"/>
  <c r="Y21" i="47"/>
  <c r="Z24" i="47"/>
  <c r="AA27" i="47"/>
  <c r="AB30" i="47"/>
  <c r="P7" i="47" l="1"/>
  <c r="Q10" i="47" s="1"/>
  <c r="R7" i="47"/>
  <c r="S8" i="47" s="1"/>
  <c r="S7" i="47"/>
  <c r="T8" i="47" s="1"/>
  <c r="CS40" i="47" s="1"/>
  <c r="K7" i="47"/>
  <c r="K5" i="47"/>
  <c r="Q7" i="47"/>
  <c r="O7" i="47"/>
  <c r="O5" i="47"/>
  <c r="N7" i="47"/>
  <c r="N5" i="47"/>
  <c r="M7" i="47"/>
  <c r="T5" i="47"/>
  <c r="T7" i="47"/>
  <c r="L7" i="47"/>
  <c r="AJ38" i="47"/>
  <c r="AJ41" i="47"/>
  <c r="AJ43" i="47"/>
  <c r="AM42" i="47"/>
  <c r="AN42" i="47" s="1"/>
  <c r="AM38" i="47"/>
  <c r="AN38" i="47" s="1"/>
  <c r="AM41" i="47"/>
  <c r="AN41" i="47" s="1"/>
  <c r="AM43" i="47"/>
  <c r="AN43" i="47" s="1"/>
  <c r="AM39" i="47"/>
  <c r="AN39" i="47" s="1"/>
  <c r="AM40" i="47"/>
  <c r="AN40" i="47" s="1"/>
  <c r="AJ42" i="47"/>
  <c r="AJ39" i="47"/>
  <c r="AJ40" i="47"/>
  <c r="J33" i="47"/>
  <c r="I81" i="47"/>
  <c r="Q8" i="47" l="1"/>
  <c r="CA40" i="47" s="1"/>
  <c r="S10" i="47"/>
  <c r="T13" i="47" s="1"/>
  <c r="T10" i="47"/>
  <c r="U13" i="47" s="1"/>
  <c r="M8" i="47"/>
  <c r="M10" i="47"/>
  <c r="O8" i="47"/>
  <c r="BO40" i="47" s="1"/>
  <c r="O10" i="47"/>
  <c r="P8" i="47"/>
  <c r="P10" i="47"/>
  <c r="R11" i="47"/>
  <c r="CG41" i="47" s="1"/>
  <c r="R13" i="47"/>
  <c r="CM40" i="47"/>
  <c r="AQ39" i="47"/>
  <c r="K32" i="47"/>
  <c r="L8" i="47"/>
  <c r="L10" i="47"/>
  <c r="U8" i="47"/>
  <c r="U10" i="47"/>
  <c r="N8" i="47"/>
  <c r="BI40" i="47" s="1"/>
  <c r="N10" i="47"/>
  <c r="BI39" i="47"/>
  <c r="BO39" i="47"/>
  <c r="R8" i="47"/>
  <c r="R10" i="47"/>
  <c r="AO40" i="47"/>
  <c r="AO43" i="47"/>
  <c r="AO41" i="47"/>
  <c r="CS39" i="47"/>
  <c r="AO38" i="47"/>
  <c r="AO39" i="47"/>
  <c r="AO42" i="47"/>
  <c r="T11" i="47" l="1"/>
  <c r="CS41" i="47" s="1"/>
  <c r="U11" i="47"/>
  <c r="CY41" i="47" s="1"/>
  <c r="CG40" i="47"/>
  <c r="CY40" i="47"/>
  <c r="I82" i="47"/>
  <c r="K33" i="47"/>
  <c r="U16" i="47"/>
  <c r="U14" i="47"/>
  <c r="CY42" i="47" s="1"/>
  <c r="P11" i="47"/>
  <c r="BU41" i="47" s="1"/>
  <c r="P13" i="47"/>
  <c r="O11" i="47"/>
  <c r="O13" i="47"/>
  <c r="M13" i="47"/>
  <c r="M11" i="47"/>
  <c r="BC41" i="47" s="1"/>
  <c r="AS41" i="47"/>
  <c r="AT41" i="47" s="1"/>
  <c r="AS38" i="47"/>
  <c r="AT38" i="47" s="1"/>
  <c r="AP42" i="47"/>
  <c r="AP39" i="47"/>
  <c r="AS39" i="47"/>
  <c r="AT39" i="47" s="1"/>
  <c r="AS40" i="47"/>
  <c r="AT40" i="47" s="1"/>
  <c r="AP43" i="47"/>
  <c r="AP44" i="47"/>
  <c r="AP41" i="47"/>
  <c r="AS43" i="47"/>
  <c r="AT43" i="47" s="1"/>
  <c r="AS44" i="47"/>
  <c r="AT44" i="47" s="1"/>
  <c r="AP38" i="47"/>
  <c r="AS42" i="47"/>
  <c r="AT42" i="47" s="1"/>
  <c r="AP40" i="47"/>
  <c r="V16" i="47"/>
  <c r="V14" i="47"/>
  <c r="DE42" i="47" s="1"/>
  <c r="AW40" i="47"/>
  <c r="L32" i="47"/>
  <c r="S14" i="47"/>
  <c r="CM42" i="47" s="1"/>
  <c r="S16" i="47"/>
  <c r="Q11" i="47"/>
  <c r="Q13" i="47"/>
  <c r="N11" i="47"/>
  <c r="N13" i="47"/>
  <c r="S11" i="47"/>
  <c r="S13" i="47"/>
  <c r="V11" i="47"/>
  <c r="V13" i="47"/>
  <c r="BU40" i="47"/>
  <c r="BC40" i="47"/>
  <c r="AN59" i="47"/>
  <c r="AN72" i="47" s="1"/>
  <c r="AN55" i="47"/>
  <c r="AN68" i="47" s="1"/>
  <c r="AM58" i="47"/>
  <c r="AN52" i="47"/>
  <c r="AN65" i="47" s="1"/>
  <c r="AM51" i="47"/>
  <c r="AN58" i="47"/>
  <c r="AN71" i="47" s="1"/>
  <c r="AM56" i="47"/>
  <c r="AN51" i="47"/>
  <c r="AN64" i="47" s="1"/>
  <c r="AM54" i="47"/>
  <c r="AM55" i="47"/>
  <c r="AM53" i="47"/>
  <c r="AM59" i="47"/>
  <c r="AN57" i="47"/>
  <c r="AN70" i="47" s="1"/>
  <c r="AM57" i="47"/>
  <c r="AN54" i="47"/>
  <c r="AN67" i="47" s="1"/>
  <c r="AN50" i="47"/>
  <c r="AN63" i="47" s="1"/>
  <c r="AM52" i="47"/>
  <c r="AN56" i="47"/>
  <c r="AN69" i="47" s="1"/>
  <c r="AN53" i="47"/>
  <c r="AN66" i="47" s="1"/>
  <c r="AM50" i="47"/>
  <c r="AU42" i="47" l="1"/>
  <c r="M32" i="47"/>
  <c r="I84" i="47" s="1"/>
  <c r="AU43" i="47"/>
  <c r="T14" i="47"/>
  <c r="T16" i="47"/>
  <c r="R16" i="47"/>
  <c r="R14" i="47"/>
  <c r="L33" i="47"/>
  <c r="I83" i="47"/>
  <c r="AU40" i="47"/>
  <c r="AU38" i="47"/>
  <c r="P14" i="47"/>
  <c r="P16" i="47"/>
  <c r="CM41" i="47"/>
  <c r="CA41" i="47"/>
  <c r="AV38" i="47"/>
  <c r="AY41" i="47"/>
  <c r="AZ41" i="47" s="1"/>
  <c r="AV43" i="47"/>
  <c r="AV45" i="47"/>
  <c r="AY38" i="47"/>
  <c r="AZ38" i="47" s="1"/>
  <c r="AV41" i="47"/>
  <c r="AY43" i="47"/>
  <c r="AZ43" i="47" s="1"/>
  <c r="AY45" i="47"/>
  <c r="AZ45" i="47" s="1"/>
  <c r="AV39" i="47"/>
  <c r="AY39" i="47"/>
  <c r="AZ39" i="47" s="1"/>
  <c r="AV40" i="47"/>
  <c r="AV42" i="47"/>
  <c r="AY44" i="47"/>
  <c r="AZ44" i="47" s="1"/>
  <c r="AY40" i="47"/>
  <c r="AZ40" i="47" s="1"/>
  <c r="AY42" i="47"/>
  <c r="AZ42" i="47" s="1"/>
  <c r="AV44" i="47"/>
  <c r="AU39" i="47"/>
  <c r="AU41" i="47"/>
  <c r="BO41" i="47"/>
  <c r="V19" i="47"/>
  <c r="V17" i="47"/>
  <c r="DE43" i="47" s="1"/>
  <c r="W16" i="47"/>
  <c r="W14" i="47"/>
  <c r="O16" i="47"/>
  <c r="O14" i="47"/>
  <c r="BO42" i="47" s="1"/>
  <c r="T19" i="47"/>
  <c r="T17" i="47"/>
  <c r="CS43" i="47" s="1"/>
  <c r="BE41" i="47"/>
  <c r="BF41" i="47" s="1"/>
  <c r="BB41" i="47"/>
  <c r="Q16" i="47"/>
  <c r="Q14" i="47"/>
  <c r="CA42" i="47" s="1"/>
  <c r="BE40" i="47"/>
  <c r="BF40" i="47" s="1"/>
  <c r="BE42" i="47"/>
  <c r="BF42" i="47" s="1"/>
  <c r="BB44" i="47"/>
  <c r="BE39" i="47"/>
  <c r="BF39" i="47" s="1"/>
  <c r="BE45" i="47"/>
  <c r="BF45" i="47" s="1"/>
  <c r="BB38" i="47"/>
  <c r="BE44" i="47"/>
  <c r="BF44" i="47" s="1"/>
  <c r="BB46" i="47"/>
  <c r="BE38" i="47"/>
  <c r="BF38" i="47" s="1"/>
  <c r="BB43" i="47"/>
  <c r="BE46" i="47"/>
  <c r="BF46" i="47" s="1"/>
  <c r="BB40" i="47"/>
  <c r="BB42" i="47"/>
  <c r="BB39" i="47"/>
  <c r="BE43" i="47"/>
  <c r="BF43" i="47" s="1"/>
  <c r="BB45" i="47"/>
  <c r="DE41" i="47"/>
  <c r="BI41" i="47"/>
  <c r="W19" i="47"/>
  <c r="W17" i="47"/>
  <c r="DK43" i="47" s="1"/>
  <c r="AU44" i="47"/>
  <c r="N16" i="47"/>
  <c r="N14" i="47"/>
  <c r="BI42" i="47" s="1"/>
  <c r="AM65" i="47"/>
  <c r="AM68" i="47"/>
  <c r="AL69" i="47"/>
  <c r="AM70" i="47"/>
  <c r="AL71" i="47"/>
  <c r="AM69" i="47"/>
  <c r="AL70" i="47"/>
  <c r="AM67" i="47"/>
  <c r="AM64" i="47"/>
  <c r="AM66" i="47"/>
  <c r="AM63" i="47"/>
  <c r="AM62" i="47"/>
  <c r="AL63" i="47"/>
  <c r="AL64" i="47" s="1"/>
  <c r="AL65" i="47" s="1"/>
  <c r="AM71" i="47"/>
  <c r="AL72" i="47"/>
  <c r="M33" i="47" l="1"/>
  <c r="AL66" i="47"/>
  <c r="AL67" i="47" s="1"/>
  <c r="AL68" i="47" s="1"/>
  <c r="AO62" i="47" s="1"/>
  <c r="AP62" i="47" s="1"/>
  <c r="W81" i="47" s="1"/>
  <c r="AS51" i="47"/>
  <c r="AS63" i="47" s="1"/>
  <c r="BA40" i="47"/>
  <c r="BG43" i="47"/>
  <c r="O19" i="47"/>
  <c r="O17" i="47"/>
  <c r="BO43" i="47" s="1"/>
  <c r="BN42" i="47" s="1"/>
  <c r="BG42" i="47"/>
  <c r="BA45" i="47"/>
  <c r="AS50" i="47"/>
  <c r="AT50" i="47"/>
  <c r="AT63" i="47" s="1"/>
  <c r="AT54" i="47"/>
  <c r="AT67" i="47" s="1"/>
  <c r="AT53" i="47"/>
  <c r="AT66" i="47" s="1"/>
  <c r="AS54" i="47"/>
  <c r="AT57" i="47"/>
  <c r="AT70" i="47" s="1"/>
  <c r="AT52" i="47"/>
  <c r="AT65" i="47" s="1"/>
  <c r="AS55" i="47"/>
  <c r="AS58" i="47"/>
  <c r="AT55" i="47"/>
  <c r="AT68" i="47" s="1"/>
  <c r="AS57" i="47"/>
  <c r="AT58" i="47"/>
  <c r="AT71" i="47" s="1"/>
  <c r="AS52" i="47"/>
  <c r="AS56" i="47"/>
  <c r="AT56" i="47"/>
  <c r="AT69" i="47" s="1"/>
  <c r="AT59" i="47"/>
  <c r="AT72" i="47" s="1"/>
  <c r="AT51" i="47"/>
  <c r="AT64" i="47" s="1"/>
  <c r="AS53" i="47"/>
  <c r="AS59" i="47"/>
  <c r="CG42" i="47"/>
  <c r="BG38" i="47"/>
  <c r="BG45" i="47"/>
  <c r="BG40" i="47"/>
  <c r="R17" i="47"/>
  <c r="CG43" i="47" s="1"/>
  <c r="R19" i="47"/>
  <c r="P19" i="47"/>
  <c r="P17" i="47"/>
  <c r="BU43" i="47" s="1"/>
  <c r="BA42" i="47"/>
  <c r="BA43" i="47"/>
  <c r="S19" i="47"/>
  <c r="S17" i="47"/>
  <c r="N32" i="47"/>
  <c r="BG39" i="47"/>
  <c r="DK42" i="47"/>
  <c r="BA39" i="47"/>
  <c r="BA41" i="47"/>
  <c r="Q17" i="47"/>
  <c r="CA43" i="47" s="1"/>
  <c r="Q19" i="47"/>
  <c r="U17" i="47"/>
  <c r="U19" i="47"/>
  <c r="BH42" i="47"/>
  <c r="BK42" i="47"/>
  <c r="BL42" i="47" s="1"/>
  <c r="X20" i="47"/>
  <c r="DQ44" i="47" s="1"/>
  <c r="X22" i="47"/>
  <c r="BK41" i="47"/>
  <c r="BL41" i="47" s="1"/>
  <c r="BH41" i="47"/>
  <c r="BK43" i="47"/>
  <c r="BL43" i="47" s="1"/>
  <c r="BH45" i="47"/>
  <c r="BK47" i="47"/>
  <c r="BL47" i="47" s="1"/>
  <c r="BH40" i="47"/>
  <c r="BH47" i="47"/>
  <c r="BK38" i="47"/>
  <c r="BL38" i="47" s="1"/>
  <c r="BH39" i="47"/>
  <c r="BK40" i="47"/>
  <c r="BL40" i="47" s="1"/>
  <c r="BK44" i="47"/>
  <c r="BL44" i="47" s="1"/>
  <c r="BH44" i="47"/>
  <c r="BH43" i="47"/>
  <c r="BK45" i="47"/>
  <c r="BL45" i="47" s="1"/>
  <c r="BH46" i="47"/>
  <c r="BK39" i="47"/>
  <c r="BL39" i="47" s="1"/>
  <c r="BK46" i="47"/>
  <c r="BL46" i="47" s="1"/>
  <c r="BH38" i="47"/>
  <c r="BG46" i="47"/>
  <c r="BG44" i="47"/>
  <c r="BG41" i="47"/>
  <c r="U20" i="47"/>
  <c r="CY44" i="47" s="1"/>
  <c r="U22" i="47"/>
  <c r="X17" i="47"/>
  <c r="X19" i="47"/>
  <c r="W22" i="47"/>
  <c r="W20" i="47"/>
  <c r="DK44" i="47" s="1"/>
  <c r="BA44" i="47"/>
  <c r="BA38" i="47"/>
  <c r="BU42" i="47"/>
  <c r="CS42" i="47"/>
  <c r="AO63" i="47" l="1"/>
  <c r="AP63" i="47" s="1"/>
  <c r="X81" i="47" s="1"/>
  <c r="AO64" i="47"/>
  <c r="AP64" i="47" s="1"/>
  <c r="Y81" i="47" s="1"/>
  <c r="BN47" i="47"/>
  <c r="BQ38" i="47"/>
  <c r="BR38" i="47" s="1"/>
  <c r="BQ45" i="47"/>
  <c r="BR45" i="47" s="1"/>
  <c r="BN39" i="47"/>
  <c r="BN44" i="47"/>
  <c r="BN45" i="47"/>
  <c r="BQ47" i="47"/>
  <c r="BR47" i="47" s="1"/>
  <c r="BQ41" i="47"/>
  <c r="BR41" i="47" s="1"/>
  <c r="BN40" i="47"/>
  <c r="BQ40" i="47"/>
  <c r="BR40" i="47" s="1"/>
  <c r="BQ46" i="47"/>
  <c r="BR46" i="47" s="1"/>
  <c r="BN41" i="47"/>
  <c r="BQ39" i="47"/>
  <c r="BR39" i="47" s="1"/>
  <c r="BQ44" i="47"/>
  <c r="BR44" i="47" s="1"/>
  <c r="BN38" i="47"/>
  <c r="BN46" i="47"/>
  <c r="O32" i="47"/>
  <c r="I86" i="47" s="1"/>
  <c r="BQ42" i="47"/>
  <c r="BR42" i="47" s="1"/>
  <c r="BM46" i="47"/>
  <c r="AZ53" i="47"/>
  <c r="AZ66" i="47" s="1"/>
  <c r="AY57" i="47"/>
  <c r="AY53" i="47"/>
  <c r="AY50" i="47"/>
  <c r="AY51" i="47"/>
  <c r="AY55" i="47"/>
  <c r="AZ58" i="47"/>
  <c r="AZ71" i="47" s="1"/>
  <c r="AY54" i="47"/>
  <c r="AZ57" i="47"/>
  <c r="AZ70" i="47" s="1"/>
  <c r="AY52" i="47"/>
  <c r="AZ59" i="47"/>
  <c r="AZ72" i="47" s="1"/>
  <c r="AY59" i="47"/>
  <c r="AY58" i="47"/>
  <c r="AZ56" i="47"/>
  <c r="AZ69" i="47" s="1"/>
  <c r="AY56" i="47"/>
  <c r="AZ55" i="47"/>
  <c r="AZ68" i="47" s="1"/>
  <c r="AZ54" i="47"/>
  <c r="AZ67" i="47" s="1"/>
  <c r="AZ52" i="47"/>
  <c r="AZ65" i="47" s="1"/>
  <c r="AZ50" i="47"/>
  <c r="AZ63" i="47" s="1"/>
  <c r="AZ51" i="47"/>
  <c r="AZ64" i="47" s="1"/>
  <c r="Y20" i="47"/>
  <c r="Y22" i="47"/>
  <c r="BM47" i="47"/>
  <c r="BM41" i="47"/>
  <c r="N33" i="47"/>
  <c r="I85" i="47"/>
  <c r="T20" i="47"/>
  <c r="T22" i="47"/>
  <c r="AS64" i="47"/>
  <c r="AR71" i="47"/>
  <c r="AS70" i="47"/>
  <c r="AS66" i="47"/>
  <c r="AS62" i="47"/>
  <c r="AR63" i="47"/>
  <c r="AR64" i="47" s="1"/>
  <c r="AR65" i="47" s="1"/>
  <c r="DQ43" i="47"/>
  <c r="BM39" i="47"/>
  <c r="BM38" i="47"/>
  <c r="Y25" i="47"/>
  <c r="Y23" i="47"/>
  <c r="DW45" i="47" s="1"/>
  <c r="V20" i="47"/>
  <c r="V22" i="47"/>
  <c r="R22" i="47"/>
  <c r="R20" i="47"/>
  <c r="CG44" i="47" s="1"/>
  <c r="Q20" i="47"/>
  <c r="CA44" i="47" s="1"/>
  <c r="Q22" i="47"/>
  <c r="AS67" i="47"/>
  <c r="BQ43" i="47"/>
  <c r="BR43" i="47" s="1"/>
  <c r="BN43" i="47"/>
  <c r="V23" i="47"/>
  <c r="DE45" i="47" s="1"/>
  <c r="V25" i="47"/>
  <c r="BM44" i="47"/>
  <c r="BM43" i="47"/>
  <c r="CY43" i="47"/>
  <c r="AR72" i="47"/>
  <c r="AS71" i="47"/>
  <c r="AS69" i="47"/>
  <c r="AR70" i="47"/>
  <c r="P20" i="47"/>
  <c r="P22" i="47"/>
  <c r="X25" i="47"/>
  <c r="X23" i="47"/>
  <c r="DQ45" i="47" s="1"/>
  <c r="BM45" i="47"/>
  <c r="BM40" i="47"/>
  <c r="BM42" i="47"/>
  <c r="CM43" i="47"/>
  <c r="S22" i="47"/>
  <c r="S20" i="47"/>
  <c r="CM44" i="47" s="1"/>
  <c r="BF51" i="47"/>
  <c r="BF64" i="47" s="1"/>
  <c r="BF57" i="47"/>
  <c r="BF70" i="47" s="1"/>
  <c r="BE51" i="47"/>
  <c r="BE63" i="47" s="1"/>
  <c r="BF53" i="47"/>
  <c r="BF66" i="47" s="1"/>
  <c r="BF52" i="47"/>
  <c r="BF65" i="47" s="1"/>
  <c r="BF58" i="47"/>
  <c r="BF71" i="47" s="1"/>
  <c r="BE52" i="47"/>
  <c r="BE58" i="47"/>
  <c r="BE56" i="47"/>
  <c r="BE54" i="47"/>
  <c r="BE59" i="47"/>
  <c r="BF55" i="47"/>
  <c r="BF68" i="47" s="1"/>
  <c r="BF54" i="47"/>
  <c r="BF67" i="47" s="1"/>
  <c r="BF56" i="47"/>
  <c r="BF69" i="47" s="1"/>
  <c r="BE50" i="47"/>
  <c r="BE55" i="47"/>
  <c r="BE53" i="47"/>
  <c r="BF50" i="47"/>
  <c r="BF63" i="47" s="1"/>
  <c r="BE57" i="47"/>
  <c r="BF59" i="47"/>
  <c r="BF72" i="47" s="1"/>
  <c r="AS65" i="47"/>
  <c r="AS68" i="47"/>
  <c r="AR69" i="47"/>
  <c r="W28" i="47" l="1"/>
  <c r="W26" i="47"/>
  <c r="DK46" i="47" s="1"/>
  <c r="Z28" i="47"/>
  <c r="Z26" i="47"/>
  <c r="EC46" i="47" s="1"/>
  <c r="Y26" i="47"/>
  <c r="DW46" i="47" s="1"/>
  <c r="Y28" i="47"/>
  <c r="BS43" i="47"/>
  <c r="O33" i="47"/>
  <c r="AR66" i="47"/>
  <c r="AR67" i="47" s="1"/>
  <c r="AR68" i="47" s="1"/>
  <c r="AU62" i="47" s="1"/>
  <c r="AV62" i="47" s="1"/>
  <c r="W82" i="47" s="1"/>
  <c r="BS46" i="47"/>
  <c r="BS44" i="47"/>
  <c r="BS39" i="47"/>
  <c r="BE67" i="47"/>
  <c r="BE70" i="47"/>
  <c r="BD71" i="47"/>
  <c r="BS41" i="47"/>
  <c r="W23" i="47"/>
  <c r="W25" i="47"/>
  <c r="BL54" i="47"/>
  <c r="BL67" i="47" s="1"/>
  <c r="BK50" i="47"/>
  <c r="BK54" i="47"/>
  <c r="BL55" i="47"/>
  <c r="BL68" i="47" s="1"/>
  <c r="BK58" i="47"/>
  <c r="BL50" i="47"/>
  <c r="BL63" i="47" s="1"/>
  <c r="BL56" i="47"/>
  <c r="BL69" i="47" s="1"/>
  <c r="BK53" i="47"/>
  <c r="BK57" i="47"/>
  <c r="BK55" i="47"/>
  <c r="BL57" i="47"/>
  <c r="BL70" i="47" s="1"/>
  <c r="BK51" i="47"/>
  <c r="BK63" i="47" s="1"/>
  <c r="BK59" i="47"/>
  <c r="BL51" i="47"/>
  <c r="BL64" i="47" s="1"/>
  <c r="BL52" i="47"/>
  <c r="BL65" i="47" s="1"/>
  <c r="BK56" i="47"/>
  <c r="BL58" i="47"/>
  <c r="BL71" i="47" s="1"/>
  <c r="BL53" i="47"/>
  <c r="BL66" i="47" s="1"/>
  <c r="BL59" i="47"/>
  <c r="BL72" i="47" s="1"/>
  <c r="BK52" i="47"/>
  <c r="BS45" i="47"/>
  <c r="AY68" i="47"/>
  <c r="AY65" i="47"/>
  <c r="BE69" i="47"/>
  <c r="BD63" i="47"/>
  <c r="BD64" i="47" s="1"/>
  <c r="BD65" i="47" s="1"/>
  <c r="BD66" i="47" s="1"/>
  <c r="BD67" i="47" s="1"/>
  <c r="BD68" i="47" s="1"/>
  <c r="BD69" i="47" s="1"/>
  <c r="BD70" i="47" s="1"/>
  <c r="BE62" i="47"/>
  <c r="BD72" i="47"/>
  <c r="BE71" i="47"/>
  <c r="BE64" i="47"/>
  <c r="T25" i="47"/>
  <c r="T23" i="47"/>
  <c r="CS45" i="47" s="1"/>
  <c r="Q25" i="47"/>
  <c r="Q23" i="47"/>
  <c r="BS40" i="47"/>
  <c r="BS47" i="47"/>
  <c r="DE44" i="47"/>
  <c r="BS38" i="47"/>
  <c r="U25" i="47"/>
  <c r="U23" i="47"/>
  <c r="Z23" i="47"/>
  <c r="Z25" i="47"/>
  <c r="AY64" i="47"/>
  <c r="AY67" i="47"/>
  <c r="AY69" i="47"/>
  <c r="BE66" i="47"/>
  <c r="BU44" i="47"/>
  <c r="P32" i="47"/>
  <c r="R25" i="47"/>
  <c r="R23" i="47"/>
  <c r="CG45" i="47" s="1"/>
  <c r="BS42" i="47"/>
  <c r="CS44" i="47"/>
  <c r="DW44" i="47"/>
  <c r="AY70" i="47"/>
  <c r="AX71" i="47"/>
  <c r="AY63" i="47"/>
  <c r="BE65" i="47"/>
  <c r="BE68" i="47"/>
  <c r="S23" i="47"/>
  <c r="CM45" i="47" s="1"/>
  <c r="S25" i="47"/>
  <c r="AY71" i="47"/>
  <c r="AX72" i="47"/>
  <c r="AY66" i="47"/>
  <c r="AX63" i="47"/>
  <c r="AX64" i="47" s="1"/>
  <c r="AX65" i="47" s="1"/>
  <c r="AY62" i="47"/>
  <c r="AA29" i="47" l="1"/>
  <c r="EI47" i="47" s="1"/>
  <c r="AA31" i="47"/>
  <c r="Z31" i="47"/>
  <c r="Z29" i="47"/>
  <c r="EC47" i="47" s="1"/>
  <c r="X31" i="47"/>
  <c r="X29" i="47"/>
  <c r="DQ47" i="47" s="1"/>
  <c r="T28" i="47"/>
  <c r="T26" i="47"/>
  <c r="CS46" i="47" s="1"/>
  <c r="S26" i="47"/>
  <c r="CM46" i="47" s="1"/>
  <c r="S28" i="47"/>
  <c r="R28" i="47"/>
  <c r="R26" i="47"/>
  <c r="CG46" i="47" s="1"/>
  <c r="CF43" i="47" s="1"/>
  <c r="X28" i="47"/>
  <c r="X26" i="47"/>
  <c r="V28" i="47"/>
  <c r="V26" i="47"/>
  <c r="AA26" i="47"/>
  <c r="AA28" i="47"/>
  <c r="U28" i="47"/>
  <c r="U26" i="47"/>
  <c r="CY46" i="47" s="1"/>
  <c r="AU64" i="47"/>
  <c r="AV64" i="47" s="1"/>
  <c r="Y82" i="47" s="1"/>
  <c r="AU63" i="47"/>
  <c r="AV63" i="47" s="1"/>
  <c r="X82" i="47" s="1"/>
  <c r="AX66" i="47"/>
  <c r="AX67" i="47" s="1"/>
  <c r="AX68" i="47" s="1"/>
  <c r="AX69" i="47" s="1"/>
  <c r="AX70" i="47" s="1"/>
  <c r="BA62" i="47" s="1"/>
  <c r="BB62" i="47" s="1"/>
  <c r="BQ50" i="47"/>
  <c r="BQ51" i="47"/>
  <c r="BQ52" i="47"/>
  <c r="BQ53" i="47"/>
  <c r="BQ55" i="47"/>
  <c r="BQ57" i="47"/>
  <c r="BQ59" i="47"/>
  <c r="BR50" i="47"/>
  <c r="BR63" i="47" s="1"/>
  <c r="BR51" i="47"/>
  <c r="BR64" i="47" s="1"/>
  <c r="BR52" i="47"/>
  <c r="BR65" i="47" s="1"/>
  <c r="BR53" i="47"/>
  <c r="BR66" i="47" s="1"/>
  <c r="BR55" i="47"/>
  <c r="BR68" i="47" s="1"/>
  <c r="BR57" i="47"/>
  <c r="BR70" i="47" s="1"/>
  <c r="BR59" i="47"/>
  <c r="BR72" i="47" s="1"/>
  <c r="BQ54" i="47"/>
  <c r="BQ56" i="47"/>
  <c r="BQ58" i="47"/>
  <c r="BR54" i="47"/>
  <c r="BR67" i="47" s="1"/>
  <c r="BR56" i="47"/>
  <c r="BR69" i="47" s="1"/>
  <c r="BR58" i="47"/>
  <c r="BR71" i="47" s="1"/>
  <c r="CF41" i="47"/>
  <c r="I87" i="47"/>
  <c r="P33" i="47"/>
  <c r="CY45" i="47"/>
  <c r="BK67" i="47"/>
  <c r="BJ63" i="47"/>
  <c r="BJ64" i="47" s="1"/>
  <c r="BJ65" i="47" s="1"/>
  <c r="BJ66" i="47" s="1"/>
  <c r="BJ67" i="47" s="1"/>
  <c r="BJ68" i="47" s="1"/>
  <c r="BJ69" i="47" s="1"/>
  <c r="BJ70" i="47" s="1"/>
  <c r="BK62" i="47"/>
  <c r="BT44" i="47"/>
  <c r="BW44" i="47"/>
  <c r="BX44" i="47" s="1"/>
  <c r="BT43" i="47"/>
  <c r="BW42" i="47"/>
  <c r="BX42" i="47" s="1"/>
  <c r="BT46" i="47"/>
  <c r="BW46" i="47"/>
  <c r="BX46" i="47" s="1"/>
  <c r="BT39" i="47"/>
  <c r="BW43" i="47"/>
  <c r="BX43" i="47" s="1"/>
  <c r="BT47" i="47"/>
  <c r="BW40" i="47"/>
  <c r="BX40" i="47" s="1"/>
  <c r="BW39" i="47"/>
  <c r="BX39" i="47" s="1"/>
  <c r="BT40" i="47"/>
  <c r="BW45" i="47"/>
  <c r="BX45" i="47" s="1"/>
  <c r="BW47" i="47"/>
  <c r="BX47" i="47" s="1"/>
  <c r="BT38" i="47"/>
  <c r="BW38" i="47"/>
  <c r="BX38" i="47" s="1"/>
  <c r="BT42" i="47"/>
  <c r="BT45" i="47"/>
  <c r="BW41" i="47"/>
  <c r="BX41" i="47" s="1"/>
  <c r="BT41" i="47"/>
  <c r="BJ72" i="47"/>
  <c r="BK71" i="47"/>
  <c r="BK69" i="47"/>
  <c r="BK70" i="47"/>
  <c r="BJ71" i="47"/>
  <c r="BG64" i="47"/>
  <c r="BH64" i="47" s="1"/>
  <c r="Y84" i="47" s="1"/>
  <c r="BG63" i="47"/>
  <c r="BH63" i="47" s="1"/>
  <c r="X84" i="47" s="1"/>
  <c r="BG62" i="47"/>
  <c r="BH62" i="47" s="1"/>
  <c r="W84" i="47" s="1"/>
  <c r="BK64" i="47"/>
  <c r="BK68" i="47"/>
  <c r="BK65" i="47"/>
  <c r="EC45" i="47"/>
  <c r="CA45" i="47"/>
  <c r="Q32" i="47"/>
  <c r="BK66" i="47"/>
  <c r="DK45" i="47"/>
  <c r="CF42" i="47" l="1"/>
  <c r="Z32" i="47"/>
  <c r="I97" i="47" s="1"/>
  <c r="CI42" i="47"/>
  <c r="CJ42" i="47" s="1"/>
  <c r="CI45" i="47"/>
  <c r="CJ45" i="47" s="1"/>
  <c r="CI38" i="47"/>
  <c r="CJ38" i="47" s="1"/>
  <c r="CI44" i="47"/>
  <c r="CJ44" i="47" s="1"/>
  <c r="CI43" i="47"/>
  <c r="CJ43" i="47" s="1"/>
  <c r="CF39" i="47"/>
  <c r="CF47" i="47"/>
  <c r="CF45" i="47"/>
  <c r="CF46" i="47"/>
  <c r="CI40" i="47"/>
  <c r="CJ40" i="47" s="1"/>
  <c r="CI39" i="47"/>
  <c r="CJ39" i="47" s="1"/>
  <c r="R32" i="47"/>
  <c r="R33" i="47" s="1"/>
  <c r="CF40" i="47"/>
  <c r="CI41" i="47"/>
  <c r="CJ41" i="47" s="1"/>
  <c r="CI46" i="47"/>
  <c r="CJ46" i="47" s="1"/>
  <c r="CF38" i="47"/>
  <c r="CF44" i="47"/>
  <c r="CI47" i="47"/>
  <c r="CJ47" i="47" s="1"/>
  <c r="V29" i="47"/>
  <c r="DE47" i="47" s="1"/>
  <c r="V31" i="47"/>
  <c r="AB29" i="47"/>
  <c r="AB31" i="47"/>
  <c r="W31" i="47"/>
  <c r="W29" i="47"/>
  <c r="S29" i="47"/>
  <c r="S31" i="47"/>
  <c r="U31" i="47"/>
  <c r="U29" i="47"/>
  <c r="T29" i="47"/>
  <c r="T31" i="47"/>
  <c r="Y29" i="47"/>
  <c r="Y31" i="47"/>
  <c r="EI46" i="47"/>
  <c r="AA32" i="47"/>
  <c r="DQ46" i="47"/>
  <c r="X32" i="47"/>
  <c r="DE46" i="47"/>
  <c r="BA63" i="47"/>
  <c r="BB63" i="47" s="1"/>
  <c r="X83" i="47" s="1"/>
  <c r="BA64" i="47"/>
  <c r="BB64" i="47" s="1"/>
  <c r="Y85" i="47" s="1"/>
  <c r="BY38" i="47"/>
  <c r="Q33" i="47"/>
  <c r="I88" i="47"/>
  <c r="BQ70" i="47"/>
  <c r="BP71" i="47"/>
  <c r="BQ68" i="47"/>
  <c r="BQ67" i="47"/>
  <c r="BY47" i="47"/>
  <c r="BY40" i="47"/>
  <c r="BY46" i="47"/>
  <c r="BY44" i="47"/>
  <c r="BZ45" i="47"/>
  <c r="CC45" i="47"/>
  <c r="CD45" i="47" s="1"/>
  <c r="CC43" i="47"/>
  <c r="CD43" i="47" s="1"/>
  <c r="BZ41" i="47"/>
  <c r="BZ42" i="47"/>
  <c r="CC40" i="47"/>
  <c r="CD40" i="47" s="1"/>
  <c r="CC47" i="47"/>
  <c r="CD47" i="47" s="1"/>
  <c r="BZ38" i="47"/>
  <c r="CC46" i="47"/>
  <c r="CD46" i="47" s="1"/>
  <c r="CC42" i="47"/>
  <c r="CD42" i="47" s="1"/>
  <c r="BZ43" i="47"/>
  <c r="CC39" i="47"/>
  <c r="CD39" i="47" s="1"/>
  <c r="BZ39" i="47"/>
  <c r="BZ47" i="47"/>
  <c r="CC41" i="47"/>
  <c r="CD41" i="47" s="1"/>
  <c r="CC44" i="47"/>
  <c r="CD44" i="47" s="1"/>
  <c r="BZ46" i="47"/>
  <c r="BZ44" i="47"/>
  <c r="CC38" i="47"/>
  <c r="CD38" i="47" s="1"/>
  <c r="BZ40" i="47"/>
  <c r="BQ64" i="47"/>
  <c r="BQ69" i="47"/>
  <c r="BQ62" i="47"/>
  <c r="BP63" i="47"/>
  <c r="BP64" i="47" s="1"/>
  <c r="BP65" i="47" s="1"/>
  <c r="BP66" i="47" s="1"/>
  <c r="BP67" i="47" s="1"/>
  <c r="BP68" i="47" s="1"/>
  <c r="BP69" i="47" s="1"/>
  <c r="BP70" i="47" s="1"/>
  <c r="BP72" i="47"/>
  <c r="BQ71" i="47"/>
  <c r="BY45" i="47"/>
  <c r="W85" i="47"/>
  <c r="W83" i="47"/>
  <c r="EB41" i="47"/>
  <c r="EB43" i="47"/>
  <c r="EB44" i="47"/>
  <c r="EB42" i="47"/>
  <c r="EB46" i="47"/>
  <c r="EB47" i="47"/>
  <c r="EB45" i="47"/>
  <c r="EE41" i="47"/>
  <c r="EF41" i="47" s="1"/>
  <c r="EE47" i="47"/>
  <c r="EF47" i="47" s="1"/>
  <c r="EE42" i="47"/>
  <c r="EF42" i="47" s="1"/>
  <c r="EE46" i="47"/>
  <c r="EF46" i="47" s="1"/>
  <c r="EE43" i="47"/>
  <c r="EF43" i="47" s="1"/>
  <c r="EE44" i="47"/>
  <c r="EF44" i="47" s="1"/>
  <c r="EE45" i="47"/>
  <c r="EF45" i="47" s="1"/>
  <c r="BQ65" i="47"/>
  <c r="BM63" i="47"/>
  <c r="BN63" i="47" s="1"/>
  <c r="BM62" i="47"/>
  <c r="BN62" i="47" s="1"/>
  <c r="BM64" i="47"/>
  <c r="BN64" i="47" s="1"/>
  <c r="BY43" i="47"/>
  <c r="BY42" i="47"/>
  <c r="BQ63" i="47"/>
  <c r="BQ66" i="47"/>
  <c r="BY41" i="47"/>
  <c r="BY39" i="47"/>
  <c r="Z33" i="47" l="1"/>
  <c r="I89" i="47"/>
  <c r="CK46" i="47"/>
  <c r="CK45" i="47"/>
  <c r="CK44" i="47"/>
  <c r="CK42" i="47"/>
  <c r="CK38" i="47"/>
  <c r="CK41" i="47"/>
  <c r="CK39" i="47"/>
  <c r="CK43" i="47"/>
  <c r="CK47" i="47"/>
  <c r="CK40" i="47"/>
  <c r="V32" i="47"/>
  <c r="V33" i="47" s="1"/>
  <c r="CS47" i="47"/>
  <c r="T32" i="47"/>
  <c r="CM47" i="47"/>
  <c r="S32" i="47"/>
  <c r="EO47" i="47"/>
  <c r="AB32" i="47"/>
  <c r="CY47" i="47"/>
  <c r="U32" i="47"/>
  <c r="DK47" i="47"/>
  <c r="W32" i="47"/>
  <c r="DW47" i="47"/>
  <c r="Y32" i="47"/>
  <c r="X33" i="47"/>
  <c r="I95" i="47"/>
  <c r="DS45" i="47"/>
  <c r="DT45" i="47" s="1"/>
  <c r="DP41" i="47"/>
  <c r="DP40" i="47"/>
  <c r="DS40" i="47"/>
  <c r="DT40" i="47" s="1"/>
  <c r="DS46" i="47"/>
  <c r="DT46" i="47" s="1"/>
  <c r="DP44" i="47"/>
  <c r="DS44" i="47"/>
  <c r="DT44" i="47" s="1"/>
  <c r="DP42" i="47"/>
  <c r="DP39" i="47"/>
  <c r="DS39" i="47"/>
  <c r="DT39" i="47" s="1"/>
  <c r="DS43" i="47"/>
  <c r="DT43" i="47" s="1"/>
  <c r="DP47" i="47"/>
  <c r="DP46" i="47"/>
  <c r="DS47" i="47"/>
  <c r="DT47" i="47" s="1"/>
  <c r="DP45" i="47"/>
  <c r="DP43" i="47"/>
  <c r="DS41" i="47"/>
  <c r="DT41" i="47" s="1"/>
  <c r="DS42" i="47"/>
  <c r="DT42" i="47" s="1"/>
  <c r="AA33" i="47"/>
  <c r="I98" i="47"/>
  <c r="DD44" i="47"/>
  <c r="DD41" i="47"/>
  <c r="DG47" i="47"/>
  <c r="DH47" i="47" s="1"/>
  <c r="DG40" i="47"/>
  <c r="DH40" i="47" s="1"/>
  <c r="DG39" i="47"/>
  <c r="DH39" i="47" s="1"/>
  <c r="DG44" i="47"/>
  <c r="DH44" i="47" s="1"/>
  <c r="DG41" i="47"/>
  <c r="DH41" i="47" s="1"/>
  <c r="DD42" i="47"/>
  <c r="DG46" i="47"/>
  <c r="DH46" i="47" s="1"/>
  <c r="DG38" i="47"/>
  <c r="DH38" i="47" s="1"/>
  <c r="DG45" i="47"/>
  <c r="DH45" i="47" s="1"/>
  <c r="DG42" i="47"/>
  <c r="DH42" i="47" s="1"/>
  <c r="DD39" i="47"/>
  <c r="DD43" i="47"/>
  <c r="DG43" i="47"/>
  <c r="DH43" i="47" s="1"/>
  <c r="DD38" i="47"/>
  <c r="DD40" i="47"/>
  <c r="DD47" i="47"/>
  <c r="DD46" i="47"/>
  <c r="DD45" i="47"/>
  <c r="EH45" i="47"/>
  <c r="EK46" i="47"/>
  <c r="EL46" i="47" s="1"/>
  <c r="EH43" i="47"/>
  <c r="EK43" i="47"/>
  <c r="EL43" i="47" s="1"/>
  <c r="EK45" i="47"/>
  <c r="EL45" i="47" s="1"/>
  <c r="EK47" i="47"/>
  <c r="EL47" i="47" s="1"/>
  <c r="EH47" i="47"/>
  <c r="EK42" i="47"/>
  <c r="EL42" i="47" s="1"/>
  <c r="EK41" i="47"/>
  <c r="EH46" i="47"/>
  <c r="EH42" i="47"/>
  <c r="EH44" i="47"/>
  <c r="EK44" i="47"/>
  <c r="EL44" i="47" s="1"/>
  <c r="X85" i="47"/>
  <c r="Y83" i="47"/>
  <c r="BW50" i="47"/>
  <c r="BW62" i="47" s="1"/>
  <c r="BW51" i="47"/>
  <c r="BW52" i="47"/>
  <c r="BW64" i="47" s="1"/>
  <c r="BX50" i="47"/>
  <c r="BX63" i="47" s="1"/>
  <c r="BX51" i="47"/>
  <c r="BX64" i="47" s="1"/>
  <c r="BX52" i="47"/>
  <c r="BX65" i="47" s="1"/>
  <c r="EG44" i="47"/>
  <c r="BX54" i="47"/>
  <c r="BX67" i="47" s="1"/>
  <c r="BW54" i="47"/>
  <c r="BW66" i="47" s="1"/>
  <c r="BX58" i="47"/>
  <c r="BX71" i="47" s="1"/>
  <c r="BW56" i="47"/>
  <c r="BW68" i="47" s="1"/>
  <c r="CE44" i="47"/>
  <c r="BX53" i="47"/>
  <c r="BX66" i="47" s="1"/>
  <c r="BX56" i="47"/>
  <c r="BX69" i="47" s="1"/>
  <c r="BW57" i="47"/>
  <c r="BW53" i="47"/>
  <c r="BX59" i="47"/>
  <c r="BX72" i="47" s="1"/>
  <c r="EG46" i="47"/>
  <c r="CE42" i="47"/>
  <c r="CE40" i="47"/>
  <c r="CE45" i="47"/>
  <c r="BW59" i="47"/>
  <c r="BW58" i="47"/>
  <c r="BX57" i="47"/>
  <c r="BX70" i="47" s="1"/>
  <c r="EG45" i="47"/>
  <c r="EG42" i="47"/>
  <c r="CE46" i="47"/>
  <c r="EG47" i="47"/>
  <c r="CE39" i="47"/>
  <c r="BW55" i="47"/>
  <c r="BX55" i="47"/>
  <c r="BX68" i="47" s="1"/>
  <c r="EG43" i="47"/>
  <c r="EG41" i="47"/>
  <c r="BS62" i="47"/>
  <c r="BT62" i="47" s="1"/>
  <c r="W86" i="47" s="1"/>
  <c r="BS63" i="47"/>
  <c r="BT63" i="47" s="1"/>
  <c r="X86" i="47" s="1"/>
  <c r="BS64" i="47"/>
  <c r="BT64" i="47" s="1"/>
  <c r="Y86" i="47" s="1"/>
  <c r="CE38" i="47"/>
  <c r="CE41" i="47"/>
  <c r="CE47" i="47"/>
  <c r="CE43" i="47"/>
  <c r="CJ55" i="47" l="1"/>
  <c r="CJ68" i="47" s="1"/>
  <c r="CJ53" i="47"/>
  <c r="CJ66" i="47" s="1"/>
  <c r="CI55" i="47"/>
  <c r="CI67" i="47" s="1"/>
  <c r="CI54" i="47"/>
  <c r="CI66" i="47" s="1"/>
  <c r="CI53" i="47"/>
  <c r="CI65" i="47" s="1"/>
  <c r="CJ52" i="47"/>
  <c r="CJ65" i="47" s="1"/>
  <c r="CJ59" i="47"/>
  <c r="CJ72" i="47" s="1"/>
  <c r="CJ57" i="47"/>
  <c r="CJ70" i="47" s="1"/>
  <c r="CJ56" i="47"/>
  <c r="CJ69" i="47" s="1"/>
  <c r="CI51" i="47"/>
  <c r="CI63" i="47" s="1"/>
  <c r="CI57" i="47"/>
  <c r="CI69" i="47" s="1"/>
  <c r="CJ54" i="47"/>
  <c r="CJ67" i="47" s="1"/>
  <c r="CJ50" i="47"/>
  <c r="CJ63" i="47" s="1"/>
  <c r="CI50" i="47"/>
  <c r="CH63" i="47" s="1"/>
  <c r="CI56" i="47"/>
  <c r="CI68" i="47" s="1"/>
  <c r="CJ51" i="47"/>
  <c r="CJ64" i="47" s="1"/>
  <c r="CI58" i="47"/>
  <c r="CI70" i="47" s="1"/>
  <c r="CJ58" i="47"/>
  <c r="CJ71" i="47" s="1"/>
  <c r="CI59" i="47"/>
  <c r="CI71" i="47" s="1"/>
  <c r="CI52" i="47"/>
  <c r="CI64" i="47" s="1"/>
  <c r="I93" i="47"/>
  <c r="EM42" i="47"/>
  <c r="DU42" i="47"/>
  <c r="DI43" i="47"/>
  <c r="Y33" i="47"/>
  <c r="I96" i="47"/>
  <c r="I92" i="47"/>
  <c r="U33" i="47"/>
  <c r="S33" i="47"/>
  <c r="I90" i="47"/>
  <c r="DU41" i="47"/>
  <c r="DV42" i="47"/>
  <c r="DY40" i="47"/>
  <c r="DZ40" i="47" s="1"/>
  <c r="DY46" i="47"/>
  <c r="DZ46" i="47" s="1"/>
  <c r="DV45" i="47"/>
  <c r="DV46" i="47"/>
  <c r="DV44" i="47"/>
  <c r="DY44" i="47"/>
  <c r="DZ44" i="47" s="1"/>
  <c r="DY43" i="47"/>
  <c r="DZ43" i="47" s="1"/>
  <c r="DY45" i="47"/>
  <c r="DZ45" i="47" s="1"/>
  <c r="DV41" i="47"/>
  <c r="DV40" i="47"/>
  <c r="DY47" i="47"/>
  <c r="DZ47" i="47" s="1"/>
  <c r="DY41" i="47"/>
  <c r="DZ41" i="47" s="1"/>
  <c r="DV47" i="47"/>
  <c r="DV43" i="47"/>
  <c r="DY42" i="47"/>
  <c r="DZ42" i="47" s="1"/>
  <c r="DA45" i="47"/>
  <c r="DB45" i="47" s="1"/>
  <c r="DA47" i="47"/>
  <c r="DB47" i="47" s="1"/>
  <c r="CX42" i="47"/>
  <c r="CX47" i="47"/>
  <c r="DA39" i="47"/>
  <c r="DB39" i="47" s="1"/>
  <c r="CX44" i="47"/>
  <c r="DA42" i="47"/>
  <c r="DB42" i="47" s="1"/>
  <c r="CX41" i="47"/>
  <c r="CX46" i="47"/>
  <c r="DA46" i="47"/>
  <c r="DB46" i="47" s="1"/>
  <c r="CX43" i="47"/>
  <c r="DA43" i="47"/>
  <c r="DB43" i="47" s="1"/>
  <c r="DA44" i="47"/>
  <c r="DB44" i="47" s="1"/>
  <c r="CX38" i="47"/>
  <c r="DA40" i="47"/>
  <c r="DB40" i="47" s="1"/>
  <c r="CX45" i="47"/>
  <c r="CX40" i="47"/>
  <c r="DA38" i="47"/>
  <c r="DB38" i="47" s="1"/>
  <c r="DA41" i="47"/>
  <c r="DB41" i="47" s="1"/>
  <c r="CX39" i="47"/>
  <c r="CO45" i="47"/>
  <c r="CP45" i="47" s="1"/>
  <c r="CL47" i="47"/>
  <c r="CL39" i="47"/>
  <c r="CO40" i="47"/>
  <c r="CP40" i="47" s="1"/>
  <c r="CL40" i="47"/>
  <c r="CL43" i="47"/>
  <c r="CL44" i="47"/>
  <c r="CL42" i="47"/>
  <c r="CO43" i="47"/>
  <c r="CP43" i="47" s="1"/>
  <c r="CO39" i="47"/>
  <c r="CP39" i="47" s="1"/>
  <c r="CO46" i="47"/>
  <c r="CP46" i="47" s="1"/>
  <c r="CL45" i="47"/>
  <c r="CO38" i="47"/>
  <c r="CP38" i="47" s="1"/>
  <c r="CO44" i="47"/>
  <c r="CP44" i="47" s="1"/>
  <c r="CL38" i="47"/>
  <c r="CL46" i="47"/>
  <c r="CO47" i="47"/>
  <c r="CP47" i="47" s="1"/>
  <c r="CO41" i="47"/>
  <c r="CP41" i="47" s="1"/>
  <c r="CL41" i="47"/>
  <c r="CO42" i="47"/>
  <c r="CP42" i="47" s="1"/>
  <c r="I94" i="47"/>
  <c r="W33" i="47"/>
  <c r="I99" i="47"/>
  <c r="AB33" i="47"/>
  <c r="I91" i="47"/>
  <c r="T33" i="47"/>
  <c r="DM45" i="47"/>
  <c r="DN45" i="47" s="1"/>
  <c r="DJ42" i="47"/>
  <c r="DJ44" i="47"/>
  <c r="DM41" i="47"/>
  <c r="DN41" i="47" s="1"/>
  <c r="DJ39" i="47"/>
  <c r="DJ47" i="47"/>
  <c r="DJ40" i="47"/>
  <c r="DJ46" i="47"/>
  <c r="DM44" i="47"/>
  <c r="DN44" i="47" s="1"/>
  <c r="DM40" i="47"/>
  <c r="DN40" i="47" s="1"/>
  <c r="DM42" i="47"/>
  <c r="DN42" i="47" s="1"/>
  <c r="DM39" i="47"/>
  <c r="DN39" i="47" s="1"/>
  <c r="DJ38" i="47"/>
  <c r="DJ43" i="47"/>
  <c r="DM43" i="47"/>
  <c r="DN43" i="47" s="1"/>
  <c r="DJ45" i="47"/>
  <c r="DM38" i="47"/>
  <c r="DN38" i="47" s="1"/>
  <c r="DM46" i="47"/>
  <c r="DN46" i="47" s="1"/>
  <c r="DM47" i="47"/>
  <c r="DN47" i="47" s="1"/>
  <c r="DJ41" i="47"/>
  <c r="EQ43" i="47"/>
  <c r="ER43" i="47" s="1"/>
  <c r="EN43" i="47"/>
  <c r="EQ41" i="47"/>
  <c r="EN47" i="47"/>
  <c r="EQ44" i="47"/>
  <c r="ER44" i="47" s="1"/>
  <c r="EQ45" i="47"/>
  <c r="ER45" i="47" s="1"/>
  <c r="EN44" i="47"/>
  <c r="EQ42" i="47"/>
  <c r="EN46" i="47"/>
  <c r="EQ47" i="47"/>
  <c r="ER47" i="47" s="1"/>
  <c r="EN45" i="47"/>
  <c r="EQ46" i="47"/>
  <c r="ER46" i="47" s="1"/>
  <c r="CR45" i="47"/>
  <c r="CU40" i="47"/>
  <c r="CV40" i="47" s="1"/>
  <c r="CU43" i="47"/>
  <c r="CV43" i="47" s="1"/>
  <c r="CU45" i="47"/>
  <c r="CV45" i="47" s="1"/>
  <c r="CR40" i="47"/>
  <c r="CR41" i="47"/>
  <c r="CU38" i="47"/>
  <c r="CV38" i="47" s="1"/>
  <c r="CR38" i="47"/>
  <c r="CR46" i="47"/>
  <c r="CR39" i="47"/>
  <c r="CU41" i="47"/>
  <c r="CV41" i="47" s="1"/>
  <c r="CR44" i="47"/>
  <c r="CR47" i="47"/>
  <c r="CR43" i="47"/>
  <c r="CU46" i="47"/>
  <c r="CV46" i="47" s="1"/>
  <c r="CR42" i="47"/>
  <c r="CU44" i="47"/>
  <c r="CV44" i="47" s="1"/>
  <c r="CU39" i="47"/>
  <c r="CV39" i="47" s="1"/>
  <c r="CU42" i="47"/>
  <c r="CV42" i="47" s="1"/>
  <c r="CU47" i="47"/>
  <c r="CV47" i="47" s="1"/>
  <c r="EM43" i="47"/>
  <c r="DI42" i="47"/>
  <c r="DI40" i="47"/>
  <c r="DU47" i="47"/>
  <c r="DU39" i="47"/>
  <c r="DI45" i="47"/>
  <c r="DI41" i="47"/>
  <c r="DI47" i="47"/>
  <c r="DU46" i="47"/>
  <c r="DU45" i="47"/>
  <c r="EM47" i="47"/>
  <c r="EM46" i="47"/>
  <c r="DI38" i="47"/>
  <c r="DI44" i="47"/>
  <c r="DU40" i="47"/>
  <c r="EM44" i="47"/>
  <c r="EM45" i="47"/>
  <c r="DI46" i="47"/>
  <c r="DI39" i="47"/>
  <c r="DU43" i="47"/>
  <c r="DU44" i="47"/>
  <c r="BV63" i="47"/>
  <c r="BV64" i="47" s="1"/>
  <c r="BV65" i="47" s="1"/>
  <c r="BV66" i="47" s="1"/>
  <c r="BV67" i="47" s="1"/>
  <c r="BV68" i="47" s="1"/>
  <c r="BV69" i="47" s="1"/>
  <c r="BV70" i="47" s="1"/>
  <c r="BW67" i="47"/>
  <c r="CH72" i="47"/>
  <c r="BW63" i="47"/>
  <c r="EF56" i="47"/>
  <c r="EF69" i="47" s="1"/>
  <c r="EE55" i="47"/>
  <c r="EF53" i="47"/>
  <c r="EF66" i="47" s="1"/>
  <c r="EE53" i="47"/>
  <c r="EE54" i="47"/>
  <c r="EF59" i="47"/>
  <c r="EF72" i="47" s="1"/>
  <c r="EF55" i="47"/>
  <c r="EF68" i="47" s="1"/>
  <c r="EE58" i="47"/>
  <c r="EF52" i="47"/>
  <c r="EF65" i="47" s="1"/>
  <c r="EE51" i="47"/>
  <c r="EF58" i="47"/>
  <c r="EF71" i="47" s="1"/>
  <c r="EE59" i="47"/>
  <c r="EE71" i="47" s="1"/>
  <c r="EE56" i="47"/>
  <c r="EF51" i="47"/>
  <c r="EF64" i="47" s="1"/>
  <c r="EE50" i="47"/>
  <c r="EF57" i="47"/>
  <c r="EF70" i="47" s="1"/>
  <c r="EE57" i="47"/>
  <c r="EF54" i="47"/>
  <c r="EF67" i="47" s="1"/>
  <c r="EF50" i="47"/>
  <c r="EF63" i="47" s="1"/>
  <c r="EE52" i="47"/>
  <c r="BV71" i="47"/>
  <c r="BW70" i="47"/>
  <c r="BV72" i="47"/>
  <c r="BW71" i="47"/>
  <c r="BW65" i="47"/>
  <c r="CD57" i="47"/>
  <c r="CD70" i="47" s="1"/>
  <c r="CC51" i="47"/>
  <c r="CC57" i="47"/>
  <c r="CC59" i="47"/>
  <c r="CC56" i="47"/>
  <c r="CC58" i="47"/>
  <c r="CD58" i="47"/>
  <c r="CD71" i="47" s="1"/>
  <c r="CD53" i="47"/>
  <c r="CD66" i="47" s="1"/>
  <c r="CD51" i="47"/>
  <c r="CD64" i="47" s="1"/>
  <c r="CD52" i="47"/>
  <c r="CD65" i="47" s="1"/>
  <c r="CD54" i="47"/>
  <c r="CD67" i="47" s="1"/>
  <c r="CC52" i="47"/>
  <c r="CC54" i="47"/>
  <c r="CD59" i="47"/>
  <c r="CD72" i="47" s="1"/>
  <c r="CC53" i="47"/>
  <c r="CD50" i="47"/>
  <c r="CD63" i="47" s="1"/>
  <c r="CD56" i="47"/>
  <c r="CD69" i="47" s="1"/>
  <c r="CC50" i="47"/>
  <c r="CD55" i="47"/>
  <c r="CD68" i="47" s="1"/>
  <c r="CC55" i="47"/>
  <c r="BW69" i="47"/>
  <c r="EK51" i="47" l="1"/>
  <c r="EK50" i="47"/>
  <c r="EL50" i="47"/>
  <c r="EL63" i="47" s="1"/>
  <c r="CH64" i="47"/>
  <c r="CH65" i="47" s="1"/>
  <c r="CH66" i="47" s="1"/>
  <c r="CH67" i="47" s="1"/>
  <c r="CH68" i="47" s="1"/>
  <c r="CH69" i="47" s="1"/>
  <c r="CH70" i="47" s="1"/>
  <c r="CI62" i="47"/>
  <c r="CH71" i="47"/>
  <c r="EL59" i="47"/>
  <c r="EL72" i="47" s="1"/>
  <c r="CW42" i="47"/>
  <c r="DO47" i="47"/>
  <c r="CQ47" i="47"/>
  <c r="ES47" i="47"/>
  <c r="ES46" i="47"/>
  <c r="DC44" i="47"/>
  <c r="DO42" i="47"/>
  <c r="EA45" i="47"/>
  <c r="CW41" i="47"/>
  <c r="DO43" i="47"/>
  <c r="K91" i="47"/>
  <c r="L91" i="47" s="1"/>
  <c r="H91" i="47"/>
  <c r="H94" i="47"/>
  <c r="K94" i="47"/>
  <c r="L94" i="47" s="1"/>
  <c r="CQ43" i="47"/>
  <c r="DC45" i="47"/>
  <c r="CW39" i="47"/>
  <c r="CW40" i="47"/>
  <c r="ES45" i="47"/>
  <c r="DO46" i="47"/>
  <c r="DO40" i="47"/>
  <c r="CQ42" i="47"/>
  <c r="CQ40" i="47"/>
  <c r="DC43" i="47"/>
  <c r="EA42" i="47"/>
  <c r="EA47" i="47"/>
  <c r="EA43" i="47"/>
  <c r="H92" i="47"/>
  <c r="K92" i="47"/>
  <c r="L92" i="47" s="1"/>
  <c r="CW46" i="47"/>
  <c r="CW43" i="47"/>
  <c r="CQ38" i="47"/>
  <c r="DC39" i="47"/>
  <c r="EA41" i="47"/>
  <c r="CW44" i="47"/>
  <c r="ES44" i="47"/>
  <c r="ES43" i="47"/>
  <c r="DO38" i="47"/>
  <c r="DO44" i="47"/>
  <c r="DO45" i="47"/>
  <c r="K99" i="47"/>
  <c r="L99" i="47" s="1"/>
  <c r="H99" i="47"/>
  <c r="CQ46" i="47"/>
  <c r="DC41" i="47"/>
  <c r="DC40" i="47"/>
  <c r="DC42" i="47"/>
  <c r="EA44" i="47"/>
  <c r="EA46" i="47"/>
  <c r="H76" i="47"/>
  <c r="K80" i="47"/>
  <c r="L80" i="47" s="1"/>
  <c r="H82" i="47"/>
  <c r="H100" i="47"/>
  <c r="H85" i="47"/>
  <c r="K95" i="47"/>
  <c r="L95" i="47" s="1"/>
  <c r="K79" i="47"/>
  <c r="L79" i="47" s="1"/>
  <c r="K81" i="47"/>
  <c r="L81" i="47" s="1"/>
  <c r="H95" i="47"/>
  <c r="K82" i="47"/>
  <c r="L82" i="47" s="1"/>
  <c r="H83" i="47"/>
  <c r="K88" i="47"/>
  <c r="L88" i="47" s="1"/>
  <c r="K93" i="47"/>
  <c r="L93" i="47" s="1"/>
  <c r="K89" i="47"/>
  <c r="L89" i="47" s="1"/>
  <c r="K84" i="47"/>
  <c r="L84" i="47" s="1"/>
  <c r="H103" i="47"/>
  <c r="H79" i="47"/>
  <c r="H89" i="47"/>
  <c r="K102" i="47"/>
  <c r="L102" i="47" s="1"/>
  <c r="H78" i="47"/>
  <c r="K83" i="47"/>
  <c r="L83" i="47" s="1"/>
  <c r="K101" i="47"/>
  <c r="L101" i="47" s="1"/>
  <c r="H88" i="47"/>
  <c r="H101" i="47"/>
  <c r="K87" i="47"/>
  <c r="L87" i="47" s="1"/>
  <c r="K100" i="47"/>
  <c r="L100" i="47" s="1"/>
  <c r="H77" i="47"/>
  <c r="K78" i="47"/>
  <c r="L78" i="47" s="1"/>
  <c r="H86" i="47"/>
  <c r="H80" i="47"/>
  <c r="H81" i="47"/>
  <c r="K86" i="47"/>
  <c r="L86" i="47" s="1"/>
  <c r="H90" i="47"/>
  <c r="K97" i="47"/>
  <c r="L97" i="47" s="1"/>
  <c r="H93" i="47"/>
  <c r="K76" i="47"/>
  <c r="L76" i="47" s="1"/>
  <c r="H98" i="47"/>
  <c r="H84" i="47"/>
  <c r="K103" i="47"/>
  <c r="L103" i="47" s="1"/>
  <c r="K77" i="47"/>
  <c r="L77" i="47" s="1"/>
  <c r="H87" i="47"/>
  <c r="H102" i="47"/>
  <c r="K98" i="47"/>
  <c r="L98" i="47" s="1"/>
  <c r="K85" i="47"/>
  <c r="L85" i="47" s="1"/>
  <c r="K90" i="47"/>
  <c r="L90" i="47" s="1"/>
  <c r="H97" i="47"/>
  <c r="H96" i="47"/>
  <c r="K96" i="47"/>
  <c r="L96" i="47" s="1"/>
  <c r="CW38" i="47"/>
  <c r="CQ45" i="47"/>
  <c r="EL57" i="47"/>
  <c r="EL70" i="47" s="1"/>
  <c r="CW47" i="47"/>
  <c r="CW45" i="47"/>
  <c r="DO39" i="47"/>
  <c r="DO41" i="47"/>
  <c r="CQ41" i="47"/>
  <c r="CQ44" i="47"/>
  <c r="CQ39" i="47"/>
  <c r="DC38" i="47"/>
  <c r="DC46" i="47"/>
  <c r="DC47" i="47"/>
  <c r="EA40" i="47"/>
  <c r="EL53" i="47"/>
  <c r="EL66" i="47" s="1"/>
  <c r="EK54" i="47"/>
  <c r="EL56" i="47"/>
  <c r="EL69" i="47" s="1"/>
  <c r="EL52" i="47"/>
  <c r="EL65" i="47" s="1"/>
  <c r="EK55" i="47"/>
  <c r="EJ64" i="47"/>
  <c r="EK63" i="47"/>
  <c r="EK57" i="47"/>
  <c r="EK53" i="47"/>
  <c r="EL51" i="47"/>
  <c r="EL64" i="47" s="1"/>
  <c r="EL58" i="47"/>
  <c r="EL71" i="47" s="1"/>
  <c r="EL55" i="47"/>
  <c r="EL68" i="47" s="1"/>
  <c r="EK59" i="47"/>
  <c r="EK52" i="47"/>
  <c r="EK62" i="47"/>
  <c r="EJ63" i="47"/>
  <c r="DG59" i="47"/>
  <c r="DH59" i="47"/>
  <c r="DH72" i="47" s="1"/>
  <c r="DG52" i="47"/>
  <c r="DG64" i="47" s="1"/>
  <c r="DH51" i="47"/>
  <c r="DH64" i="47" s="1"/>
  <c r="DH54" i="47"/>
  <c r="DH67" i="47" s="1"/>
  <c r="DH53" i="47"/>
  <c r="DH66" i="47" s="1"/>
  <c r="DH55" i="47"/>
  <c r="DH68" i="47" s="1"/>
  <c r="DH58" i="47"/>
  <c r="DH71" i="47" s="1"/>
  <c r="DG50" i="47"/>
  <c r="DH50" i="47"/>
  <c r="DH63" i="47" s="1"/>
  <c r="DG54" i="47"/>
  <c r="DG66" i="47" s="1"/>
  <c r="DG57" i="47"/>
  <c r="DG58" i="47"/>
  <c r="DH57" i="47"/>
  <c r="DH70" i="47" s="1"/>
  <c r="DG51" i="47"/>
  <c r="DG63" i="47" s="1"/>
  <c r="DH56" i="47"/>
  <c r="DH69" i="47" s="1"/>
  <c r="DG53" i="47"/>
  <c r="DG65" i="47" s="1"/>
  <c r="DH52" i="47"/>
  <c r="DH65" i="47" s="1"/>
  <c r="DG55" i="47"/>
  <c r="DG56" i="47"/>
  <c r="DS52" i="47"/>
  <c r="DS64" i="47" s="1"/>
  <c r="DT54" i="47"/>
  <c r="DT67" i="47" s="1"/>
  <c r="DS59" i="47"/>
  <c r="DT57" i="47"/>
  <c r="DT70" i="47" s="1"/>
  <c r="DS51" i="47"/>
  <c r="DS63" i="47" s="1"/>
  <c r="DT56" i="47"/>
  <c r="DT69" i="47" s="1"/>
  <c r="DS56" i="47"/>
  <c r="DT50" i="47"/>
  <c r="DT63" i="47" s="1"/>
  <c r="DT53" i="47"/>
  <c r="DT66" i="47" s="1"/>
  <c r="DS57" i="47"/>
  <c r="DS55" i="47"/>
  <c r="DT59" i="47"/>
  <c r="DT72" i="47" s="1"/>
  <c r="DS50" i="47"/>
  <c r="DS58" i="47"/>
  <c r="DT52" i="47"/>
  <c r="DT65" i="47" s="1"/>
  <c r="DT51" i="47"/>
  <c r="DT64" i="47" s="1"/>
  <c r="DT55" i="47"/>
  <c r="DT68" i="47" s="1"/>
  <c r="DT58" i="47"/>
  <c r="DT71" i="47" s="1"/>
  <c r="DS53" i="47"/>
  <c r="DS54" i="47"/>
  <c r="EK58" i="47"/>
  <c r="EL54" i="47"/>
  <c r="EL67" i="47" s="1"/>
  <c r="EK56" i="47"/>
  <c r="EE69" i="47"/>
  <c r="ED70" i="47"/>
  <c r="EE68" i="47"/>
  <c r="ED69" i="47"/>
  <c r="ED67" i="47"/>
  <c r="EE66" i="47"/>
  <c r="EE64" i="47"/>
  <c r="ED65" i="47"/>
  <c r="ED71" i="47"/>
  <c r="EE70" i="47"/>
  <c r="EE65" i="47"/>
  <c r="ED66" i="47"/>
  <c r="EE62" i="47"/>
  <c r="ED63" i="47"/>
  <c r="ED64" i="47"/>
  <c r="EE63" i="47"/>
  <c r="ED68" i="47"/>
  <c r="EE67" i="47"/>
  <c r="CB63" i="47"/>
  <c r="CB64" i="47" s="1"/>
  <c r="CB65" i="47" s="1"/>
  <c r="CB66" i="47" s="1"/>
  <c r="CB67" i="47" s="1"/>
  <c r="CB68" i="47" s="1"/>
  <c r="CB69" i="47" s="1"/>
  <c r="CB70" i="47" s="1"/>
  <c r="CC62" i="47"/>
  <c r="CB71" i="47"/>
  <c r="CC70" i="47"/>
  <c r="CC63" i="47"/>
  <c r="CC66" i="47"/>
  <c r="CC68" i="47"/>
  <c r="BY63" i="47"/>
  <c r="BZ63" i="47" s="1"/>
  <c r="X87" i="47" s="1"/>
  <c r="BY64" i="47"/>
  <c r="BZ64" i="47" s="1"/>
  <c r="Y87" i="47" s="1"/>
  <c r="BY62" i="47"/>
  <c r="BZ62" i="47" s="1"/>
  <c r="W87" i="47" s="1"/>
  <c r="ED72" i="47"/>
  <c r="CC67" i="47"/>
  <c r="CC64" i="47"/>
  <c r="CC71" i="47"/>
  <c r="CB72" i="47"/>
  <c r="CC65" i="47"/>
  <c r="CC69" i="47"/>
  <c r="CK64" i="47" l="1"/>
  <c r="CL64" i="47" s="1"/>
  <c r="Y89" i="47" s="1"/>
  <c r="CK63" i="47"/>
  <c r="CL63" i="47" s="1"/>
  <c r="X89" i="47" s="1"/>
  <c r="CK62" i="47"/>
  <c r="CL62" i="47" s="1"/>
  <c r="W89" i="47" s="1"/>
  <c r="DF67" i="47"/>
  <c r="M96" i="47"/>
  <c r="M85" i="47"/>
  <c r="M78" i="47"/>
  <c r="CP52" i="47"/>
  <c r="CP65" i="47" s="1"/>
  <c r="CO54" i="47"/>
  <c r="CO66" i="47" s="1"/>
  <c r="CO50" i="47"/>
  <c r="CP51" i="47"/>
  <c r="CP64" i="47" s="1"/>
  <c r="CP58" i="47"/>
  <c r="CP71" i="47" s="1"/>
  <c r="CP57" i="47"/>
  <c r="CP70" i="47" s="1"/>
  <c r="CO57" i="47"/>
  <c r="CO69" i="47" s="1"/>
  <c r="CO53" i="47"/>
  <c r="CP55" i="47"/>
  <c r="CP68" i="47" s="1"/>
  <c r="CO51" i="47"/>
  <c r="CO63" i="47" s="1"/>
  <c r="CO58" i="47"/>
  <c r="CO59" i="47"/>
  <c r="CP50" i="47"/>
  <c r="CP63" i="47" s="1"/>
  <c r="CP54" i="47"/>
  <c r="CP67" i="47" s="1"/>
  <c r="CO55" i="47"/>
  <c r="CO67" i="47" s="1"/>
  <c r="CP53" i="47"/>
  <c r="CP66" i="47" s="1"/>
  <c r="CO56" i="47"/>
  <c r="CO68" i="47" s="1"/>
  <c r="CP56" i="47"/>
  <c r="CP69" i="47" s="1"/>
  <c r="CP59" i="47"/>
  <c r="CP72" i="47" s="1"/>
  <c r="CO52" i="47"/>
  <c r="CO64" i="47" s="1"/>
  <c r="M86" i="47"/>
  <c r="DB52" i="47"/>
  <c r="DB65" i="47" s="1"/>
  <c r="DA55" i="47"/>
  <c r="DA67" i="47" s="1"/>
  <c r="DA58" i="47"/>
  <c r="DB56" i="47"/>
  <c r="DB69" i="47" s="1"/>
  <c r="DA50" i="47"/>
  <c r="DA59" i="47"/>
  <c r="DA54" i="47"/>
  <c r="DA66" i="47" s="1"/>
  <c r="DB59" i="47"/>
  <c r="DB72" i="47" s="1"/>
  <c r="DA53" i="47"/>
  <c r="DA65" i="47" s="1"/>
  <c r="DB51" i="47"/>
  <c r="DB64" i="47" s="1"/>
  <c r="DB54" i="47"/>
  <c r="DB67" i="47" s="1"/>
  <c r="DA57" i="47"/>
  <c r="DA56" i="47"/>
  <c r="DA51" i="47"/>
  <c r="DA63" i="47" s="1"/>
  <c r="DB55" i="47"/>
  <c r="DB68" i="47" s="1"/>
  <c r="DB58" i="47"/>
  <c r="DB71" i="47" s="1"/>
  <c r="DA52" i="47"/>
  <c r="DA64" i="47" s="1"/>
  <c r="DB50" i="47"/>
  <c r="DB63" i="47" s="1"/>
  <c r="DB53" i="47"/>
  <c r="DB66" i="47" s="1"/>
  <c r="DB57" i="47"/>
  <c r="DB70" i="47" s="1"/>
  <c r="M98" i="47"/>
  <c r="M103" i="47"/>
  <c r="M102" i="47"/>
  <c r="M84" i="47"/>
  <c r="M79" i="47"/>
  <c r="M91" i="47"/>
  <c r="M77" i="47"/>
  <c r="M81" i="47"/>
  <c r="DZ53" i="47"/>
  <c r="DZ66" i="47" s="1"/>
  <c r="DZ55" i="47"/>
  <c r="DZ68" i="47" s="1"/>
  <c r="DZ58" i="47"/>
  <c r="DZ71" i="47" s="1"/>
  <c r="DY52" i="47"/>
  <c r="DZ50" i="47"/>
  <c r="DZ63" i="47" s="1"/>
  <c r="DY54" i="47"/>
  <c r="DY56" i="47"/>
  <c r="DY59" i="47"/>
  <c r="DZ57" i="47"/>
  <c r="DZ70" i="47" s="1"/>
  <c r="DZ56" i="47"/>
  <c r="DZ69" i="47" s="1"/>
  <c r="DY50" i="47"/>
  <c r="DZ52" i="47"/>
  <c r="DZ65" i="47" s="1"/>
  <c r="DY55" i="47"/>
  <c r="DY58" i="47"/>
  <c r="DY51" i="47"/>
  <c r="DY57" i="47"/>
  <c r="DZ59" i="47"/>
  <c r="DZ72" i="47" s="1"/>
  <c r="DY53" i="47"/>
  <c r="DZ51" i="47"/>
  <c r="DZ64" i="47" s="1"/>
  <c r="DZ54" i="47"/>
  <c r="DZ67" i="47" s="1"/>
  <c r="M97" i="47"/>
  <c r="M100" i="47"/>
  <c r="M101" i="47"/>
  <c r="M89" i="47"/>
  <c r="M82" i="47"/>
  <c r="M95" i="47"/>
  <c r="M80" i="47"/>
  <c r="DM57" i="47"/>
  <c r="DN59" i="47"/>
  <c r="DN72" i="47" s="1"/>
  <c r="DM53" i="47"/>
  <c r="DM65" i="47" s="1"/>
  <c r="DN51" i="47"/>
  <c r="DN64" i="47" s="1"/>
  <c r="DN54" i="47"/>
  <c r="DN67" i="47" s="1"/>
  <c r="DM50" i="47"/>
  <c r="DM58" i="47"/>
  <c r="DN53" i="47"/>
  <c r="DN66" i="47" s="1"/>
  <c r="DN55" i="47"/>
  <c r="DN68" i="47" s="1"/>
  <c r="DN58" i="47"/>
  <c r="DN71" i="47" s="1"/>
  <c r="DM52" i="47"/>
  <c r="DM64" i="47" s="1"/>
  <c r="DN50" i="47"/>
  <c r="DN63" i="47" s="1"/>
  <c r="DN56" i="47"/>
  <c r="DN69" i="47" s="1"/>
  <c r="DM55" i="47"/>
  <c r="DM54" i="47"/>
  <c r="DM56" i="47"/>
  <c r="DM59" i="47"/>
  <c r="DN57" i="47"/>
  <c r="DN70" i="47" s="1"/>
  <c r="DM51" i="47"/>
  <c r="DM63" i="47" s="1"/>
  <c r="DN52" i="47"/>
  <c r="DN65" i="47" s="1"/>
  <c r="M94" i="47"/>
  <c r="M76" i="47"/>
  <c r="M88" i="47"/>
  <c r="CV58" i="47"/>
  <c r="CV71" i="47" s="1"/>
  <c r="CV54" i="47"/>
  <c r="CV67" i="47" s="1"/>
  <c r="CU54" i="47"/>
  <c r="CU66" i="47" s="1"/>
  <c r="CV55" i="47"/>
  <c r="CV68" i="47" s="1"/>
  <c r="CU53" i="47"/>
  <c r="CU65" i="47" s="1"/>
  <c r="CU52" i="47"/>
  <c r="CU64" i="47" s="1"/>
  <c r="CU51" i="47"/>
  <c r="CU63" i="47" s="1"/>
  <c r="CV57" i="47"/>
  <c r="CV70" i="47" s="1"/>
  <c r="CU56" i="47"/>
  <c r="CU68" i="47" s="1"/>
  <c r="CU57" i="47"/>
  <c r="CV50" i="47"/>
  <c r="CV63" i="47" s="1"/>
  <c r="CU59" i="47"/>
  <c r="CU50" i="47"/>
  <c r="CV56" i="47"/>
  <c r="CV69" i="47" s="1"/>
  <c r="CV51" i="47"/>
  <c r="CV64" i="47" s="1"/>
  <c r="CV59" i="47"/>
  <c r="CV72" i="47" s="1"/>
  <c r="CV52" i="47"/>
  <c r="CV65" i="47" s="1"/>
  <c r="CU55" i="47"/>
  <c r="CU67" i="47" s="1"/>
  <c r="CV53" i="47"/>
  <c r="CV66" i="47" s="1"/>
  <c r="CU58" i="47"/>
  <c r="M90" i="47"/>
  <c r="M87" i="47"/>
  <c r="M83" i="47"/>
  <c r="M93" i="47"/>
  <c r="M99" i="47"/>
  <c r="ER56" i="47"/>
  <c r="ER69" i="47" s="1"/>
  <c r="EQ54" i="47"/>
  <c r="ER58" i="47"/>
  <c r="ER71" i="47" s="1"/>
  <c r="ER54" i="47"/>
  <c r="ER67" i="47" s="1"/>
  <c r="EQ57" i="47"/>
  <c r="ER57" i="47"/>
  <c r="ER70" i="47" s="1"/>
  <c r="EQ51" i="47"/>
  <c r="ER52" i="47"/>
  <c r="ER65" i="47" s="1"/>
  <c r="ER53" i="47"/>
  <c r="ER66" i="47" s="1"/>
  <c r="ER55" i="47"/>
  <c r="ER68" i="47" s="1"/>
  <c r="EQ58" i="47"/>
  <c r="ER51" i="47"/>
  <c r="ER64" i="47" s="1"/>
  <c r="EQ50" i="47"/>
  <c r="ER59" i="47"/>
  <c r="ER72" i="47" s="1"/>
  <c r="EQ59" i="47"/>
  <c r="ER50" i="47"/>
  <c r="ER63" i="47" s="1"/>
  <c r="EQ56" i="47"/>
  <c r="EQ52" i="47"/>
  <c r="EQ55" i="47"/>
  <c r="EQ53" i="47"/>
  <c r="M92" i="47"/>
  <c r="DS66" i="47"/>
  <c r="DR67" i="47"/>
  <c r="DF69" i="47"/>
  <c r="DG68" i="47"/>
  <c r="DG69" i="47"/>
  <c r="DF70" i="47"/>
  <c r="EK69" i="47"/>
  <c r="EJ70" i="47"/>
  <c r="EK68" i="47"/>
  <c r="EJ69" i="47"/>
  <c r="DS65" i="47"/>
  <c r="DR66" i="47"/>
  <c r="DS67" i="47"/>
  <c r="DR68" i="47"/>
  <c r="DS68" i="47"/>
  <c r="DR69" i="47"/>
  <c r="DS71" i="47"/>
  <c r="DR72" i="47"/>
  <c r="DG67" i="47"/>
  <c r="DF68" i="47"/>
  <c r="DR71" i="47"/>
  <c r="DS70" i="47"/>
  <c r="DR70" i="47"/>
  <c r="DS69" i="47"/>
  <c r="EJ65" i="47"/>
  <c r="EK64" i="47"/>
  <c r="EJ67" i="47"/>
  <c r="EK66" i="47"/>
  <c r="EK70" i="47"/>
  <c r="EJ71" i="47"/>
  <c r="DS62" i="47"/>
  <c r="DR63" i="47"/>
  <c r="DR64" i="47" s="1"/>
  <c r="DR65" i="47" s="1"/>
  <c r="DG70" i="47"/>
  <c r="DF71" i="47"/>
  <c r="DG62" i="47"/>
  <c r="DF63" i="47"/>
  <c r="DF64" i="47" s="1"/>
  <c r="DF65" i="47" s="1"/>
  <c r="DF66" i="47" s="1"/>
  <c r="DG71" i="47"/>
  <c r="DF72" i="47"/>
  <c r="EJ72" i="47"/>
  <c r="EK71" i="47"/>
  <c r="EJ66" i="47"/>
  <c r="EK65" i="47"/>
  <c r="EJ68" i="47"/>
  <c r="EK67" i="47"/>
  <c r="CE62" i="47"/>
  <c r="CF62" i="47" s="1"/>
  <c r="W88" i="47" s="1"/>
  <c r="CE64" i="47"/>
  <c r="CF64" i="47" s="1"/>
  <c r="Y88" i="47" s="1"/>
  <c r="CE63" i="47"/>
  <c r="CF63" i="47" s="1"/>
  <c r="X88" i="47" s="1"/>
  <c r="EG62" i="47"/>
  <c r="EG64" i="47"/>
  <c r="EG63" i="47"/>
  <c r="EH63" i="47" s="1"/>
  <c r="X97" i="47" s="1"/>
  <c r="EH64" i="47"/>
  <c r="Y97" i="47" s="1"/>
  <c r="EH62" i="47"/>
  <c r="W97" i="47" s="1"/>
  <c r="DI64" i="47" l="1"/>
  <c r="DJ64" i="47" s="1"/>
  <c r="Y93" i="47" s="1"/>
  <c r="DI62" i="47"/>
  <c r="DJ62" i="47" s="1"/>
  <c r="W93" i="47" s="1"/>
  <c r="DI63" i="47"/>
  <c r="DJ63" i="47" s="1"/>
  <c r="X93" i="47" s="1"/>
  <c r="EP68" i="47"/>
  <c r="EQ67" i="47"/>
  <c r="EP72" i="47"/>
  <c r="EQ71" i="47"/>
  <c r="EQ70" i="47"/>
  <c r="EP71" i="47"/>
  <c r="EQ63" i="47"/>
  <c r="EP64" i="47"/>
  <c r="CT71" i="47"/>
  <c r="CU70" i="47"/>
  <c r="CT72" i="47"/>
  <c r="CU71" i="47"/>
  <c r="DL67" i="47"/>
  <c r="DM66" i="47"/>
  <c r="DL71" i="47"/>
  <c r="DM70" i="47"/>
  <c r="DY65" i="47"/>
  <c r="DX66" i="47"/>
  <c r="DX71" i="47"/>
  <c r="DY70" i="47"/>
  <c r="DY66" i="47"/>
  <c r="DX67" i="47"/>
  <c r="DA71" i="47"/>
  <c r="CZ72" i="47"/>
  <c r="CN71" i="47"/>
  <c r="CO70" i="47"/>
  <c r="CO62" i="47"/>
  <c r="CN63" i="47"/>
  <c r="CN64" i="47" s="1"/>
  <c r="CN65" i="47" s="1"/>
  <c r="CN66" i="47" s="1"/>
  <c r="EP65" i="47"/>
  <c r="EQ64" i="47"/>
  <c r="EQ66" i="47"/>
  <c r="EP67" i="47"/>
  <c r="Q101" i="47"/>
  <c r="R84" i="47"/>
  <c r="R103" i="47"/>
  <c r="Q84" i="47"/>
  <c r="R91" i="47"/>
  <c r="R86" i="47"/>
  <c r="Q87" i="47"/>
  <c r="Q90" i="47"/>
  <c r="R100" i="47"/>
  <c r="Q89" i="47"/>
  <c r="Q82" i="47"/>
  <c r="R92" i="47"/>
  <c r="Q81" i="47"/>
  <c r="Q92" i="47"/>
  <c r="Q96" i="47"/>
  <c r="R79" i="47"/>
  <c r="Q78" i="47"/>
  <c r="R80" i="47"/>
  <c r="Q93" i="47"/>
  <c r="R95" i="47"/>
  <c r="Q95" i="47"/>
  <c r="Q100" i="47"/>
  <c r="R96" i="47"/>
  <c r="R104" i="47"/>
  <c r="Q76" i="47"/>
  <c r="O77" i="47" s="1"/>
  <c r="R99" i="47"/>
  <c r="Q79" i="47"/>
  <c r="R77" i="47"/>
  <c r="Q83" i="47"/>
  <c r="Q77" i="47"/>
  <c r="Q102" i="47"/>
  <c r="R85" i="47"/>
  <c r="Q85" i="47"/>
  <c r="R87" i="47"/>
  <c r="Q88" i="47"/>
  <c r="R82" i="47"/>
  <c r="R101" i="47"/>
  <c r="R89" i="47"/>
  <c r="R88" i="47"/>
  <c r="R78" i="47"/>
  <c r="R102" i="47"/>
  <c r="Q94" i="47"/>
  <c r="R97" i="47"/>
  <c r="Q103" i="47"/>
  <c r="R90" i="47"/>
  <c r="R93" i="47"/>
  <c r="Q98" i="47"/>
  <c r="R81" i="47"/>
  <c r="Q97" i="47"/>
  <c r="Q80" i="47"/>
  <c r="R83" i="47"/>
  <c r="R98" i="47"/>
  <c r="R94" i="47"/>
  <c r="Q91" i="47"/>
  <c r="Q99" i="47"/>
  <c r="Q86" i="47"/>
  <c r="DM67" i="47"/>
  <c r="DL68" i="47"/>
  <c r="DL63" i="47"/>
  <c r="DL64" i="47" s="1"/>
  <c r="DL65" i="47" s="1"/>
  <c r="DL66" i="47" s="1"/>
  <c r="DM62" i="47"/>
  <c r="DX68" i="47"/>
  <c r="DY67" i="47"/>
  <c r="CZ69" i="47"/>
  <c r="DA68" i="47"/>
  <c r="CZ63" i="47"/>
  <c r="CZ64" i="47" s="1"/>
  <c r="DA62" i="47"/>
  <c r="EP69" i="47"/>
  <c r="EQ68" i="47"/>
  <c r="EQ62" i="47"/>
  <c r="EP63" i="47"/>
  <c r="EP70" i="47"/>
  <c r="EQ69" i="47"/>
  <c r="CT70" i="47"/>
  <c r="CU69" i="47"/>
  <c r="DL72" i="47"/>
  <c r="DM71" i="47"/>
  <c r="DM69" i="47"/>
  <c r="DL70" i="47"/>
  <c r="DY69" i="47"/>
  <c r="DX70" i="47"/>
  <c r="DY71" i="47"/>
  <c r="DX72" i="47"/>
  <c r="DY64" i="47"/>
  <c r="DX65" i="47"/>
  <c r="DA69" i="47"/>
  <c r="CZ70" i="47"/>
  <c r="EP66" i="47"/>
  <c r="EQ65" i="47"/>
  <c r="CT63" i="47"/>
  <c r="CT64" i="47" s="1"/>
  <c r="CT65" i="47" s="1"/>
  <c r="CT66" i="47" s="1"/>
  <c r="CT67" i="47" s="1"/>
  <c r="CT68" i="47" s="1"/>
  <c r="CT69" i="47" s="1"/>
  <c r="CU62" i="47"/>
  <c r="DM68" i="47"/>
  <c r="DL69" i="47"/>
  <c r="DY63" i="47"/>
  <c r="DX64" i="47"/>
  <c r="DX63" i="47"/>
  <c r="DY62" i="47"/>
  <c r="DX69" i="47"/>
  <c r="DY68" i="47"/>
  <c r="CZ71" i="47"/>
  <c r="DA70" i="47"/>
  <c r="CO71" i="47"/>
  <c r="CN72" i="47"/>
  <c r="CO65" i="47"/>
  <c r="EM63" i="47"/>
  <c r="EM62" i="47"/>
  <c r="EM64" i="47"/>
  <c r="DU64" i="47"/>
  <c r="DV64" i="47" s="1"/>
  <c r="Y95" i="47" s="1"/>
  <c r="DU63" i="47"/>
  <c r="DV63" i="47" s="1"/>
  <c r="X95" i="47" s="1"/>
  <c r="DU62" i="47"/>
  <c r="DV62" i="47" s="1"/>
  <c r="W95" i="47" s="1"/>
  <c r="EN62" i="47"/>
  <c r="W98" i="47" s="1"/>
  <c r="EN64" i="47"/>
  <c r="Y98" i="47" s="1"/>
  <c r="EN63" i="47"/>
  <c r="X98" i="47" s="1"/>
  <c r="CZ65" i="47" l="1"/>
  <c r="CZ66" i="47" s="1"/>
  <c r="CZ67" i="47" s="1"/>
  <c r="CZ68" i="47" s="1"/>
  <c r="CN67" i="47"/>
  <c r="CN68" i="47" s="1"/>
  <c r="CN69" i="47" s="1"/>
  <c r="CN70" i="47" s="1"/>
  <c r="O78" i="47"/>
  <c r="O79" i="47" s="1"/>
  <c r="O80" i="47" s="1"/>
  <c r="O81" i="47" s="1"/>
  <c r="O82" i="47" s="1"/>
  <c r="O83" i="47" s="1"/>
  <c r="O84" i="47" s="1"/>
  <c r="O85" i="47" s="1"/>
  <c r="O86" i="47" s="1"/>
  <c r="O87" i="47" s="1"/>
  <c r="O88" i="47" s="1"/>
  <c r="O89" i="47" s="1"/>
  <c r="O90" i="47" s="1"/>
  <c r="O91" i="47" s="1"/>
  <c r="O92" i="47" s="1"/>
  <c r="O93" i="47" s="1"/>
  <c r="O94" i="47" s="1"/>
  <c r="O95" i="47" s="1"/>
  <c r="O96" i="47" s="1"/>
  <c r="O97" i="47" s="1"/>
  <c r="O98" i="47" s="1"/>
  <c r="O99" i="47" s="1"/>
  <c r="O100" i="47" s="1"/>
  <c r="O101" i="47" s="1"/>
  <c r="O102" i="47" s="1"/>
  <c r="O103" i="47" s="1"/>
  <c r="O105" i="47" s="1"/>
  <c r="EA62" i="47"/>
  <c r="EB62" i="47" s="1"/>
  <c r="W96" i="47" s="1"/>
  <c r="EA63" i="47"/>
  <c r="EB63" i="47" s="1"/>
  <c r="X96" i="47" s="1"/>
  <c r="EA64" i="47"/>
  <c r="EB64" i="47" s="1"/>
  <c r="Y96" i="47" s="1"/>
  <c r="CW63" i="47"/>
  <c r="CX63" i="47" s="1"/>
  <c r="X91" i="47" s="1"/>
  <c r="CW64" i="47"/>
  <c r="CX64" i="47" s="1"/>
  <c r="Y91" i="47" s="1"/>
  <c r="CW62" i="47"/>
  <c r="CX62" i="47" s="1"/>
  <c r="W91" i="47" s="1"/>
  <c r="ES64" i="47"/>
  <c r="ES62" i="47"/>
  <c r="ES63" i="47"/>
  <c r="ET62" i="47"/>
  <c r="W99" i="47" s="1"/>
  <c r="ET63" i="47"/>
  <c r="X99" i="47" s="1"/>
  <c r="ET64" i="47"/>
  <c r="Y99" i="47" s="1"/>
  <c r="DO63" i="47"/>
  <c r="DP63" i="47" s="1"/>
  <c r="X94" i="47" s="1"/>
  <c r="DO62" i="47"/>
  <c r="DP62" i="47" s="1"/>
  <c r="W94" i="47" s="1"/>
  <c r="DO64" i="47"/>
  <c r="DP64" i="47" s="1"/>
  <c r="Y94" i="47" s="1"/>
  <c r="CQ64" i="47" l="1"/>
  <c r="CR64" i="47" s="1"/>
  <c r="Y90" i="47" s="1"/>
  <c r="CQ62" i="47"/>
  <c r="CR62" i="47" s="1"/>
  <c r="W90" i="47" s="1"/>
  <c r="CQ63" i="47"/>
  <c r="CR63" i="47" s="1"/>
  <c r="X90" i="47" s="1"/>
  <c r="DC62" i="47"/>
  <c r="DD62" i="47" s="1"/>
  <c r="W92" i="47" s="1"/>
  <c r="DC64" i="47"/>
  <c r="DD64" i="47" s="1"/>
  <c r="Y92" i="47" s="1"/>
  <c r="DC63" i="47"/>
  <c r="DD63" i="47" s="1"/>
  <c r="X92" i="47" s="1"/>
  <c r="S78" i="47"/>
  <c r="T78" i="47" s="1"/>
  <c r="S76" i="47"/>
  <c r="T76" i="47" s="1"/>
  <c r="S80" i="47"/>
  <c r="T80" i="47" s="1"/>
  <c r="Z80" i="47" l="1"/>
  <c r="Z78" i="47"/>
  <c r="U269" i="51"/>
  <c r="AP279" i="50"/>
  <c r="Z279" i="50"/>
  <c r="AE279" i="50"/>
  <c r="AG279" i="50"/>
  <c r="Q279" i="50"/>
  <c r="AN279" i="50"/>
  <c r="X279" i="50"/>
  <c r="V269" i="51"/>
  <c r="AL269" i="51"/>
  <c r="AA269" i="51"/>
  <c r="P269" i="51"/>
  <c r="AC269" i="51"/>
  <c r="Z76" i="47"/>
  <c r="AL279" i="50"/>
  <c r="V279" i="50"/>
  <c r="W279" i="50"/>
  <c r="AC279" i="50"/>
  <c r="AQ279" i="50"/>
  <c r="AJ279" i="50"/>
  <c r="T279" i="50"/>
  <c r="Z269" i="51"/>
  <c r="AP269" i="51"/>
  <c r="AE269" i="51"/>
  <c r="AB269" i="51"/>
  <c r="AM279" i="50"/>
  <c r="AH279" i="50"/>
  <c r="R279" i="50"/>
  <c r="AO279" i="50"/>
  <c r="Y279" i="50"/>
  <c r="AA279" i="50"/>
  <c r="AF279" i="50"/>
  <c r="P279" i="50"/>
  <c r="AD269" i="51"/>
  <c r="O269" i="51"/>
  <c r="AM269" i="51"/>
  <c r="AJ269" i="51"/>
  <c r="S279" i="50"/>
  <c r="AD279" i="50"/>
  <c r="AI279" i="50"/>
  <c r="AK279" i="50"/>
  <c r="U279" i="50"/>
  <c r="AR279" i="50"/>
  <c r="AB279" i="50"/>
  <c r="R269" i="51"/>
  <c r="AH269" i="51"/>
  <c r="W269" i="51"/>
  <c r="AQ269" i="51"/>
  <c r="AR269" i="51"/>
  <c r="O279" i="50"/>
  <c r="S269" i="51"/>
  <c r="AI269" i="51"/>
  <c r="T269" i="51"/>
  <c r="AN269" i="51"/>
  <c r="AK269" i="51"/>
  <c r="X269" i="51"/>
  <c r="Y269" i="51"/>
  <c r="AO269" i="51"/>
  <c r="AF269" i="51"/>
  <c r="Q269" i="51"/>
  <c r="AG269" i="51"/>
  <c r="AE309" i="51"/>
  <c r="AF332" i="51" s="1"/>
  <c r="AG355" i="51" s="1"/>
  <c r="AH378" i="51" s="1"/>
  <c r="AI401" i="51" s="1"/>
  <c r="AJ424" i="51" s="1"/>
  <c r="AK447" i="51" s="1"/>
  <c r="AL470" i="51" s="1"/>
  <c r="AM493" i="51" s="1"/>
  <c r="AE297" i="50"/>
  <c r="AE287" i="51" s="1"/>
  <c r="AE320" i="50"/>
  <c r="AF344" i="50" s="1"/>
  <c r="AG368" i="50" s="1"/>
  <c r="AE301" i="50"/>
  <c r="AE291" i="51" s="1"/>
  <c r="AE289" i="50"/>
  <c r="AE279" i="51" s="1"/>
  <c r="AE280" i="50"/>
  <c r="Z293" i="50"/>
  <c r="Z283" i="51" s="1"/>
  <c r="Z282" i="50"/>
  <c r="Z272" i="51" s="1"/>
  <c r="Z291" i="50"/>
  <c r="Z281" i="51" s="1"/>
  <c r="Y282" i="50"/>
  <c r="Y272" i="51" s="1"/>
  <c r="Y293" i="50"/>
  <c r="Y283" i="51" s="1"/>
  <c r="Y291" i="50"/>
  <c r="Y281" i="51" s="1"/>
  <c r="R291" i="50"/>
  <c r="R281" i="51" s="1"/>
  <c r="R293" i="50"/>
  <c r="R283" i="51" s="1"/>
  <c r="R282" i="50"/>
  <c r="R272" i="51" s="1"/>
  <c r="P282" i="50"/>
  <c r="P272" i="51" s="1"/>
  <c r="P293" i="50"/>
  <c r="P283" i="51" s="1"/>
  <c r="P291" i="50"/>
  <c r="P281" i="51" s="1"/>
  <c r="U293" i="50"/>
  <c r="U283" i="51" s="1"/>
  <c r="U291" i="50"/>
  <c r="U281" i="51" s="1"/>
  <c r="U282" i="50"/>
  <c r="U272" i="51" s="1"/>
  <c r="O282" i="50"/>
  <c r="O272" i="51" s="1"/>
  <c r="O291" i="50"/>
  <c r="O281" i="51" s="1"/>
  <c r="O293" i="50"/>
  <c r="O283" i="51" s="1"/>
  <c r="S291" i="50"/>
  <c r="S281" i="51" s="1"/>
  <c r="S282" i="50"/>
  <c r="S272" i="51" s="1"/>
  <c r="S293" i="50"/>
  <c r="S283" i="51" s="1"/>
  <c r="Q282" i="50"/>
  <c r="Q272" i="51" s="1"/>
  <c r="Q291" i="50"/>
  <c r="Q281" i="51" s="1"/>
  <c r="Q293" i="50"/>
  <c r="Q283" i="51" s="1"/>
  <c r="X291" i="50"/>
  <c r="X281" i="51" s="1"/>
  <c r="X282" i="50"/>
  <c r="X272" i="51" s="1"/>
  <c r="X293" i="50"/>
  <c r="X283" i="51" s="1"/>
  <c r="V293" i="50"/>
  <c r="V283" i="51" s="1"/>
  <c r="V291" i="50"/>
  <c r="V281" i="51" s="1"/>
  <c r="V282" i="50"/>
  <c r="V272" i="51" s="1"/>
  <c r="W293" i="50"/>
  <c r="W283" i="51" s="1"/>
  <c r="W282" i="50"/>
  <c r="W272" i="51" s="1"/>
  <c r="W291" i="50"/>
  <c r="W281" i="51" s="1"/>
  <c r="T293" i="50"/>
  <c r="T283" i="51" s="1"/>
  <c r="T282" i="50"/>
  <c r="T272" i="51" s="1"/>
  <c r="T291" i="50"/>
  <c r="T281" i="51" s="1"/>
  <c r="AD309" i="51" l="1"/>
  <c r="AE332" i="51" s="1"/>
  <c r="AF355" i="51" s="1"/>
  <c r="AG378" i="51" s="1"/>
  <c r="AH401" i="51" s="1"/>
  <c r="AI424" i="51" s="1"/>
  <c r="AJ447" i="51" s="1"/>
  <c r="AK470" i="51" s="1"/>
  <c r="AL493" i="51" s="1"/>
  <c r="O280" i="50"/>
  <c r="O270" i="51" s="1"/>
  <c r="AD289" i="50"/>
  <c r="AD279" i="51" s="1"/>
  <c r="U280" i="50"/>
  <c r="U270" i="51" s="1"/>
  <c r="S297" i="50"/>
  <c r="S287" i="51" s="1"/>
  <c r="AC309" i="50"/>
  <c r="AC298" i="51" s="1"/>
  <c r="AC297" i="50"/>
  <c r="AC287" i="51" s="1"/>
  <c r="AC320" i="50"/>
  <c r="AD344" i="50" s="1"/>
  <c r="AB309" i="51"/>
  <c r="AC332" i="51" s="1"/>
  <c r="AD355" i="51" s="1"/>
  <c r="AE378" i="51" s="1"/>
  <c r="AC309" i="51"/>
  <c r="AD332" i="51" s="1"/>
  <c r="AE355" i="51" s="1"/>
  <c r="AF378" i="51" s="1"/>
  <c r="AC280" i="50"/>
  <c r="AC270" i="51" s="1"/>
  <c r="AC289" i="50"/>
  <c r="AC279" i="51" s="1"/>
  <c r="AB309" i="50"/>
  <c r="AB298" i="51" s="1"/>
  <c r="AD309" i="50"/>
  <c r="AD298" i="51" s="1"/>
  <c r="AC301" i="50"/>
  <c r="AC291" i="51" s="1"/>
  <c r="AD297" i="50"/>
  <c r="AD287" i="51" s="1"/>
  <c r="AD301" i="50"/>
  <c r="AD291" i="51" s="1"/>
  <c r="AD280" i="50"/>
  <c r="AD270" i="51" s="1"/>
  <c r="AD320" i="50"/>
  <c r="AB289" i="50"/>
  <c r="AB279" i="51" s="1"/>
  <c r="AB301" i="50"/>
  <c r="AB291" i="51" s="1"/>
  <c r="AB280" i="50"/>
  <c r="AB270" i="51" s="1"/>
  <c r="AB297" i="50"/>
  <c r="AB287" i="51" s="1"/>
  <c r="AB320" i="50"/>
  <c r="AC344" i="50" s="1"/>
  <c r="Y320" i="50"/>
  <c r="Z344" i="50" s="1"/>
  <c r="AA359" i="50" s="1"/>
  <c r="AA346" i="51" s="1"/>
  <c r="Z309" i="51"/>
  <c r="AA332" i="51" s="1"/>
  <c r="AB355" i="51" s="1"/>
  <c r="AC378" i="51" s="1"/>
  <c r="T309" i="50"/>
  <c r="T298" i="51" s="1"/>
  <c r="Y280" i="50"/>
  <c r="Y289" i="50"/>
  <c r="Y279" i="51" s="1"/>
  <c r="T297" i="50"/>
  <c r="T287" i="51" s="1"/>
  <c r="Q301" i="50"/>
  <c r="Q291" i="51" s="1"/>
  <c r="Z320" i="50"/>
  <c r="AA344" i="50" s="1"/>
  <c r="AB359" i="50" s="1"/>
  <c r="AB346" i="51" s="1"/>
  <c r="AA309" i="51"/>
  <c r="AB332" i="51" s="1"/>
  <c r="AC355" i="51" s="1"/>
  <c r="AD378" i="51" s="1"/>
  <c r="S289" i="50"/>
  <c r="S279" i="51" s="1"/>
  <c r="Q280" i="50"/>
  <c r="Q270" i="51" s="1"/>
  <c r="T289" i="50"/>
  <c r="T279" i="51" s="1"/>
  <c r="Y301" i="50"/>
  <c r="Y291" i="51" s="1"/>
  <c r="V309" i="51"/>
  <c r="W332" i="51" s="1"/>
  <c r="X355" i="51" s="1"/>
  <c r="Y378" i="51" s="1"/>
  <c r="T301" i="50"/>
  <c r="T291" i="51" s="1"/>
  <c r="U309" i="51"/>
  <c r="V332" i="51" s="1"/>
  <c r="W355" i="51" s="1"/>
  <c r="X378" i="51" s="1"/>
  <c r="T320" i="50"/>
  <c r="U344" i="50" s="1"/>
  <c r="W280" i="50"/>
  <c r="W270" i="51" s="1"/>
  <c r="Y309" i="50"/>
  <c r="Y298" i="51" s="1"/>
  <c r="S309" i="51"/>
  <c r="T332" i="51" s="1"/>
  <c r="U355" i="51" s="1"/>
  <c r="V378" i="51" s="1"/>
  <c r="W309" i="51"/>
  <c r="X332" i="51" s="1"/>
  <c r="Y355" i="51" s="1"/>
  <c r="Z378" i="51" s="1"/>
  <c r="P280" i="50"/>
  <c r="P270" i="51" s="1"/>
  <c r="P297" i="50"/>
  <c r="P287" i="51" s="1"/>
  <c r="Y309" i="51"/>
  <c r="Z332" i="51" s="1"/>
  <c r="AA355" i="51" s="1"/>
  <c r="AB378" i="51" s="1"/>
  <c r="P301" i="50"/>
  <c r="P291" i="51" s="1"/>
  <c r="O301" i="50"/>
  <c r="O291" i="51" s="1"/>
  <c r="U289" i="50"/>
  <c r="U279" i="51" s="1"/>
  <c r="U320" i="50"/>
  <c r="V344" i="50" s="1"/>
  <c r="W359" i="50" s="1"/>
  <c r="W346" i="51" s="1"/>
  <c r="S320" i="50"/>
  <c r="T344" i="50" s="1"/>
  <c r="U309" i="50"/>
  <c r="U298" i="51" s="1"/>
  <c r="O309" i="51"/>
  <c r="P332" i="51" s="1"/>
  <c r="Q355" i="51" s="1"/>
  <c r="R378" i="51" s="1"/>
  <c r="AA309" i="50"/>
  <c r="AA298" i="51" s="1"/>
  <c r="O309" i="50"/>
  <c r="O298" i="51" s="1"/>
  <c r="Z301" i="50"/>
  <c r="Z291" i="51" s="1"/>
  <c r="W301" i="50"/>
  <c r="W291" i="51" s="1"/>
  <c r="Q320" i="50"/>
  <c r="T280" i="50"/>
  <c r="Z280" i="50"/>
  <c r="Z270" i="51" s="1"/>
  <c r="S280" i="50"/>
  <c r="S270" i="51" s="1"/>
  <c r="P289" i="50"/>
  <c r="P279" i="51" s="1"/>
  <c r="W289" i="50"/>
  <c r="W279" i="51" s="1"/>
  <c r="U297" i="50"/>
  <c r="U287" i="51" s="1"/>
  <c r="AA297" i="50"/>
  <c r="AA287" i="51" s="1"/>
  <c r="W297" i="50"/>
  <c r="W287" i="51" s="1"/>
  <c r="U301" i="50"/>
  <c r="U291" i="51" s="1"/>
  <c r="S301" i="50"/>
  <c r="S291" i="51" s="1"/>
  <c r="P320" i="50"/>
  <c r="Q344" i="50" s="1"/>
  <c r="W320" i="50"/>
  <c r="O320" i="50"/>
  <c r="P344" i="50" s="1"/>
  <c r="Q309" i="50"/>
  <c r="Q298" i="51" s="1"/>
  <c r="S309" i="50"/>
  <c r="S298" i="51" s="1"/>
  <c r="T309" i="51"/>
  <c r="U332" i="51" s="1"/>
  <c r="V355" i="51" s="1"/>
  <c r="W378" i="51" s="1"/>
  <c r="R309" i="51"/>
  <c r="S332" i="51" s="1"/>
  <c r="T355" i="51" s="1"/>
  <c r="U378" i="51" s="1"/>
  <c r="AA280" i="50"/>
  <c r="AA270" i="51" s="1"/>
  <c r="O289" i="50"/>
  <c r="O279" i="51" s="1"/>
  <c r="AA289" i="50"/>
  <c r="AA279" i="51" s="1"/>
  <c r="Q289" i="50"/>
  <c r="Q279" i="51" s="1"/>
  <c r="Y297" i="50"/>
  <c r="Y287" i="51" s="1"/>
  <c r="Q297" i="50"/>
  <c r="Q287" i="51" s="1"/>
  <c r="O297" i="50"/>
  <c r="O287" i="51" s="1"/>
  <c r="Z309" i="50"/>
  <c r="Z298" i="51" s="1"/>
  <c r="Q309" i="51"/>
  <c r="R332" i="51" s="1"/>
  <c r="S355" i="51" s="1"/>
  <c r="T378" i="51" s="1"/>
  <c r="X309" i="51"/>
  <c r="Y332" i="51" s="1"/>
  <c r="Z355" i="51" s="1"/>
  <c r="AA378" i="51" s="1"/>
  <c r="R309" i="50"/>
  <c r="R298" i="51" s="1"/>
  <c r="V309" i="50"/>
  <c r="V298" i="51" s="1"/>
  <c r="AA320" i="50"/>
  <c r="P309" i="50"/>
  <c r="P298" i="51" s="1"/>
  <c r="Z297" i="50"/>
  <c r="Z287" i="51" s="1"/>
  <c r="Z289" i="50"/>
  <c r="Z279" i="51" s="1"/>
  <c r="P309" i="51"/>
  <c r="Q332" i="51" s="1"/>
  <c r="R355" i="51" s="1"/>
  <c r="S378" i="51" s="1"/>
  <c r="X320" i="50"/>
  <c r="Y344" i="50" s="1"/>
  <c r="Z359" i="50" s="1"/>
  <c r="Z346" i="51" s="1"/>
  <c r="V289" i="50"/>
  <c r="V279" i="51" s="1"/>
  <c r="R280" i="50"/>
  <c r="R270" i="51" s="1"/>
  <c r="X280" i="50"/>
  <c r="X270" i="51" s="1"/>
  <c r="AA301" i="50"/>
  <c r="AA291" i="51" s="1"/>
  <c r="R297" i="50"/>
  <c r="R287" i="51" s="1"/>
  <c r="V297" i="50"/>
  <c r="V287" i="51" s="1"/>
  <c r="X301" i="50"/>
  <c r="X291" i="51" s="1"/>
  <c r="W309" i="50"/>
  <c r="W298" i="51" s="1"/>
  <c r="R289" i="50"/>
  <c r="R279" i="51" s="1"/>
  <c r="X289" i="50"/>
  <c r="X279" i="51" s="1"/>
  <c r="X297" i="50"/>
  <c r="X287" i="51" s="1"/>
  <c r="R320" i="50"/>
  <c r="S344" i="50" s="1"/>
  <c r="T359" i="50" s="1"/>
  <c r="T346" i="51" s="1"/>
  <c r="V320" i="50"/>
  <c r="W344" i="50" s="1"/>
  <c r="V280" i="50"/>
  <c r="V270" i="51" s="1"/>
  <c r="R301" i="50"/>
  <c r="R291" i="51" s="1"/>
  <c r="V301" i="50"/>
  <c r="V291" i="51" s="1"/>
  <c r="X309" i="50"/>
  <c r="X298" i="51" s="1"/>
  <c r="AH369" i="50"/>
  <c r="AH356" i="51" s="1"/>
  <c r="AH373" i="50"/>
  <c r="AH360" i="51" s="1"/>
  <c r="AH392" i="50"/>
  <c r="AH381" i="50"/>
  <c r="AH367" i="51" s="1"/>
  <c r="AE270" i="51"/>
  <c r="AF321" i="50"/>
  <c r="AF310" i="51" s="1"/>
  <c r="AF325" i="50"/>
  <c r="AF314" i="51" s="1"/>
  <c r="AF333" i="50"/>
  <c r="AF321" i="51" s="1"/>
  <c r="AG349" i="50"/>
  <c r="AG337" i="51" s="1"/>
  <c r="AG345" i="50"/>
  <c r="AG333" i="51" s="1"/>
  <c r="AG357" i="50"/>
  <c r="AG344" i="51" s="1"/>
  <c r="V335" i="50"/>
  <c r="V323" i="51" s="1"/>
  <c r="W335" i="50"/>
  <c r="W323" i="51" s="1"/>
  <c r="S335" i="50"/>
  <c r="S323" i="51" s="1"/>
  <c r="X335" i="50"/>
  <c r="X323" i="51" s="1"/>
  <c r="AB335" i="50"/>
  <c r="AB323" i="51" s="1"/>
  <c r="AC359" i="50"/>
  <c r="AC346" i="51" s="1"/>
  <c r="P335" i="50"/>
  <c r="P323" i="51" s="1"/>
  <c r="Q359" i="50"/>
  <c r="Q346" i="51" s="1"/>
  <c r="Q335" i="50"/>
  <c r="Q323" i="51" s="1"/>
  <c r="AA335" i="50"/>
  <c r="AA323" i="51" s="1"/>
  <c r="U335" i="50"/>
  <c r="U323" i="51" s="1"/>
  <c r="Y335" i="50"/>
  <c r="Y323" i="51" s="1"/>
  <c r="AC335" i="50"/>
  <c r="AC323" i="51" s="1"/>
  <c r="AD359" i="50"/>
  <c r="AD346" i="51" s="1"/>
  <c r="Z335" i="50"/>
  <c r="Z323" i="51" s="1"/>
  <c r="AD335" i="50"/>
  <c r="AD323" i="51" s="1"/>
  <c r="AE359" i="50"/>
  <c r="AE346" i="51" s="1"/>
  <c r="R335" i="50"/>
  <c r="R323" i="51" s="1"/>
  <c r="T335" i="50"/>
  <c r="T323" i="51" s="1"/>
  <c r="Q345" i="50" l="1"/>
  <c r="Q333" i="51" s="1"/>
  <c r="AD333" i="50"/>
  <c r="AD321" i="51" s="1"/>
  <c r="AD321" i="50"/>
  <c r="AD310" i="51" s="1"/>
  <c r="AD325" i="50"/>
  <c r="AD314" i="51" s="1"/>
  <c r="AE333" i="50"/>
  <c r="AE321" i="51" s="1"/>
  <c r="AE344" i="50"/>
  <c r="AF368" i="50" s="1"/>
  <c r="AG381" i="50" s="1"/>
  <c r="AG367" i="51" s="1"/>
  <c r="AE325" i="50"/>
  <c r="AE314" i="51" s="1"/>
  <c r="AE321" i="50"/>
  <c r="AE310" i="51" s="1"/>
  <c r="AC325" i="50"/>
  <c r="AC314" i="51" s="1"/>
  <c r="AC333" i="50"/>
  <c r="AC321" i="51" s="1"/>
  <c r="AC321" i="50"/>
  <c r="AC310" i="51" s="1"/>
  <c r="Z321" i="50"/>
  <c r="Z310" i="51" s="1"/>
  <c r="Z333" i="50"/>
  <c r="Z321" i="51" s="1"/>
  <c r="Z325" i="50"/>
  <c r="Z314" i="51" s="1"/>
  <c r="Y270" i="51"/>
  <c r="U321" i="50"/>
  <c r="U310" i="51" s="1"/>
  <c r="AA333" i="50"/>
  <c r="AA321" i="51" s="1"/>
  <c r="AA325" i="50"/>
  <c r="AA314" i="51" s="1"/>
  <c r="AB333" i="50"/>
  <c r="AB321" i="51" s="1"/>
  <c r="R349" i="50"/>
  <c r="R337" i="51" s="1"/>
  <c r="AA321" i="50"/>
  <c r="AA310" i="51" s="1"/>
  <c r="X321" i="50"/>
  <c r="X310" i="51" s="1"/>
  <c r="P321" i="50"/>
  <c r="P310" i="51" s="1"/>
  <c r="Q349" i="50"/>
  <c r="Q337" i="51" s="1"/>
  <c r="AB321" i="50"/>
  <c r="AB310" i="51" s="1"/>
  <c r="Q333" i="50"/>
  <c r="Q321" i="51" s="1"/>
  <c r="R325" i="50"/>
  <c r="R314" i="51" s="1"/>
  <c r="Q321" i="50"/>
  <c r="Q310" i="51" s="1"/>
  <c r="T321" i="50"/>
  <c r="T310" i="51" s="1"/>
  <c r="R333" i="50"/>
  <c r="R321" i="51" s="1"/>
  <c r="V333" i="50"/>
  <c r="V321" i="51" s="1"/>
  <c r="X325" i="50"/>
  <c r="X314" i="51" s="1"/>
  <c r="X344" i="50"/>
  <c r="Y357" i="50" s="1"/>
  <c r="Y344" i="51" s="1"/>
  <c r="X333" i="50"/>
  <c r="X321" i="51" s="1"/>
  <c r="V325" i="50"/>
  <c r="V314" i="51" s="1"/>
  <c r="R344" i="50"/>
  <c r="S357" i="50" s="1"/>
  <c r="S344" i="51" s="1"/>
  <c r="R321" i="50"/>
  <c r="R310" i="51" s="1"/>
  <c r="V321" i="50"/>
  <c r="V310" i="51" s="1"/>
  <c r="AB344" i="50"/>
  <c r="AC345" i="50" s="1"/>
  <c r="AC333" i="51" s="1"/>
  <c r="AB325" i="50"/>
  <c r="AB314" i="51" s="1"/>
  <c r="T325" i="50"/>
  <c r="T314" i="51" s="1"/>
  <c r="Q325" i="50"/>
  <c r="Q314" i="51" s="1"/>
  <c r="T333" i="50"/>
  <c r="T321" i="51" s="1"/>
  <c r="U357" i="50"/>
  <c r="U344" i="51" s="1"/>
  <c r="P333" i="50"/>
  <c r="P321" i="51" s="1"/>
  <c r="U333" i="50"/>
  <c r="U321" i="51" s="1"/>
  <c r="T270" i="51"/>
  <c r="U325" i="50"/>
  <c r="U314" i="51" s="1"/>
  <c r="Q357" i="50"/>
  <c r="Q344" i="51" s="1"/>
  <c r="Q368" i="50"/>
  <c r="R392" i="50" s="1"/>
  <c r="S416" i="50" s="1"/>
  <c r="T440" i="50" s="1"/>
  <c r="V345" i="50"/>
  <c r="V333" i="51" s="1"/>
  <c r="P325" i="50"/>
  <c r="P314" i="51" s="1"/>
  <c r="S321" i="50"/>
  <c r="S310" i="51" s="1"/>
  <c r="Y321" i="50"/>
  <c r="Y310" i="51" s="1"/>
  <c r="Y325" i="50"/>
  <c r="Y314" i="51" s="1"/>
  <c r="S333" i="50"/>
  <c r="S321" i="51" s="1"/>
  <c r="Y333" i="50"/>
  <c r="Y321" i="51" s="1"/>
  <c r="S325" i="50"/>
  <c r="S314" i="51" s="1"/>
  <c r="X345" i="50"/>
  <c r="X333" i="51" s="1"/>
  <c r="W321" i="50"/>
  <c r="W310" i="51" s="1"/>
  <c r="W333" i="50"/>
  <c r="W321" i="51" s="1"/>
  <c r="W325" i="50"/>
  <c r="W314" i="51" s="1"/>
  <c r="U464" i="50"/>
  <c r="U445" i="50"/>
  <c r="U429" i="51" s="1"/>
  <c r="U453" i="50"/>
  <c r="U436" i="51" s="1"/>
  <c r="U441" i="50"/>
  <c r="U425" i="51" s="1"/>
  <c r="AI416" i="50"/>
  <c r="AI405" i="50"/>
  <c r="AI390" i="51" s="1"/>
  <c r="AI393" i="50"/>
  <c r="AI379" i="51" s="1"/>
  <c r="AI397" i="50"/>
  <c r="AI383" i="51" s="1"/>
  <c r="Y359" i="50"/>
  <c r="Y346" i="51" s="1"/>
  <c r="V359" i="50"/>
  <c r="V346" i="51" s="1"/>
  <c r="S359" i="50"/>
  <c r="S346" i="51" s="1"/>
  <c r="X359" i="50"/>
  <c r="X346" i="51" s="1"/>
  <c r="U359" i="50"/>
  <c r="U346" i="51" s="1"/>
  <c r="R359" i="50"/>
  <c r="R346" i="51" s="1"/>
  <c r="AG401" i="51"/>
  <c r="S401" i="51"/>
  <c r="X401" i="51"/>
  <c r="W401" i="51"/>
  <c r="AA401" i="51"/>
  <c r="Z401" i="51"/>
  <c r="AC401" i="51"/>
  <c r="AD401" i="51"/>
  <c r="U401" i="51"/>
  <c r="Y401" i="51"/>
  <c r="AE401" i="51"/>
  <c r="AB401" i="51"/>
  <c r="AF401" i="51"/>
  <c r="T401" i="51"/>
  <c r="V401" i="51"/>
  <c r="R357" i="50"/>
  <c r="R344" i="51" s="1"/>
  <c r="R345" i="50"/>
  <c r="R333" i="51" s="1"/>
  <c r="U345" i="50"/>
  <c r="U333" i="51" s="1"/>
  <c r="U349" i="50"/>
  <c r="U337" i="51" s="1"/>
  <c r="U368" i="50"/>
  <c r="V392" i="50" s="1"/>
  <c r="W416" i="50" s="1"/>
  <c r="X440" i="50" s="1"/>
  <c r="V368" i="50"/>
  <c r="W392" i="50" s="1"/>
  <c r="X416" i="50" s="1"/>
  <c r="Y440" i="50" s="1"/>
  <c r="Z368" i="50"/>
  <c r="AA392" i="50" s="1"/>
  <c r="AB416" i="50" s="1"/>
  <c r="AC440" i="50" s="1"/>
  <c r="AE368" i="50"/>
  <c r="AF392" i="50" s="1"/>
  <c r="AG416" i="50" s="1"/>
  <c r="AH440" i="50" s="1"/>
  <c r="T368" i="50"/>
  <c r="U392" i="50" s="1"/>
  <c r="V416" i="50" s="1"/>
  <c r="W440" i="50" s="1"/>
  <c r="X368" i="50"/>
  <c r="Y392" i="50" s="1"/>
  <c r="Z416" i="50" s="1"/>
  <c r="AA440" i="50" s="1"/>
  <c r="AB368" i="50"/>
  <c r="AC392" i="50" s="1"/>
  <c r="AD416" i="50" s="1"/>
  <c r="AE440" i="50" s="1"/>
  <c r="AD349" i="50"/>
  <c r="AD337" i="51" s="1"/>
  <c r="AD368" i="50"/>
  <c r="AE392" i="50" s="1"/>
  <c r="AF416" i="50" s="1"/>
  <c r="AG440" i="50" s="1"/>
  <c r="AA349" i="50"/>
  <c r="AA337" i="51" s="1"/>
  <c r="AA368" i="50"/>
  <c r="AB392" i="50" s="1"/>
  <c r="AC416" i="50" s="1"/>
  <c r="AD440" i="50" s="1"/>
  <c r="AA345" i="50"/>
  <c r="AA333" i="51" s="1"/>
  <c r="AE349" i="50"/>
  <c r="AE337" i="51" s="1"/>
  <c r="AE345" i="50"/>
  <c r="AE333" i="51" s="1"/>
  <c r="W357" i="50"/>
  <c r="W344" i="51" s="1"/>
  <c r="W368" i="50"/>
  <c r="X392" i="50" s="1"/>
  <c r="Y416" i="50" s="1"/>
  <c r="Z440" i="50" s="1"/>
  <c r="AE357" i="50"/>
  <c r="AE344" i="51" s="1"/>
  <c r="W345" i="50"/>
  <c r="W333" i="51" s="1"/>
  <c r="AA357" i="50"/>
  <c r="AA344" i="51" s="1"/>
  <c r="R368" i="50"/>
  <c r="S392" i="50" s="1"/>
  <c r="T416" i="50" s="1"/>
  <c r="U440" i="50" s="1"/>
  <c r="V357" i="50"/>
  <c r="V344" i="51" s="1"/>
  <c r="Z345" i="50"/>
  <c r="Z333" i="51" s="1"/>
  <c r="AD357" i="50"/>
  <c r="AD344" i="51" s="1"/>
  <c r="Z349" i="50"/>
  <c r="Z337" i="51" s="1"/>
  <c r="T357" i="50"/>
  <c r="T344" i="51" s="1"/>
  <c r="V349" i="50"/>
  <c r="V337" i="51" s="1"/>
  <c r="W349" i="50"/>
  <c r="W337" i="51" s="1"/>
  <c r="Z357" i="50"/>
  <c r="Z344" i="51" s="1"/>
  <c r="AB345" i="50"/>
  <c r="AB333" i="51" s="1"/>
  <c r="AD345" i="50"/>
  <c r="AD333" i="51" s="1"/>
  <c r="T349" i="50"/>
  <c r="T337" i="51" s="1"/>
  <c r="X349" i="50"/>
  <c r="X337" i="51" s="1"/>
  <c r="AB357" i="50"/>
  <c r="AB344" i="51" s="1"/>
  <c r="T345" i="50"/>
  <c r="T333" i="51" s="1"/>
  <c r="X357" i="50"/>
  <c r="X344" i="51" s="1"/>
  <c r="AB349" i="50"/>
  <c r="AB337" i="51" s="1"/>
  <c r="AF345" i="50" l="1"/>
  <c r="AF333" i="51" s="1"/>
  <c r="AF357" i="50"/>
  <c r="AF344" i="51" s="1"/>
  <c r="AF349" i="50"/>
  <c r="AF337" i="51" s="1"/>
  <c r="AG373" i="50"/>
  <c r="AG360" i="51" s="1"/>
  <c r="AG369" i="50"/>
  <c r="AG356" i="51" s="1"/>
  <c r="AG392" i="50"/>
  <c r="AH397" i="50" s="1"/>
  <c r="AH383" i="51" s="1"/>
  <c r="C16" i="41"/>
  <c r="AC349" i="50"/>
  <c r="AC337" i="51" s="1"/>
  <c r="Y345" i="50"/>
  <c r="Y333" i="51" s="1"/>
  <c r="Y368" i="50"/>
  <c r="Z392" i="50" s="1"/>
  <c r="AA416" i="50" s="1"/>
  <c r="AB440" i="50" s="1"/>
  <c r="S368" i="50"/>
  <c r="T392" i="50" s="1"/>
  <c r="U416" i="50" s="1"/>
  <c r="V440" i="50" s="1"/>
  <c r="AC357" i="50"/>
  <c r="AC344" i="51" s="1"/>
  <c r="AC368" i="50"/>
  <c r="AD392" i="50" s="1"/>
  <c r="AE416" i="50" s="1"/>
  <c r="AF440" i="50" s="1"/>
  <c r="S345" i="50"/>
  <c r="S333" i="51" s="1"/>
  <c r="S349" i="50"/>
  <c r="S337" i="51" s="1"/>
  <c r="Y349" i="50"/>
  <c r="Y337" i="51" s="1"/>
  <c r="R373" i="50"/>
  <c r="R360" i="51" s="1"/>
  <c r="R381" i="50"/>
  <c r="R367" i="51" s="1"/>
  <c r="R369" i="50"/>
  <c r="R356" i="51" s="1"/>
  <c r="C17" i="41"/>
  <c r="AE464" i="50"/>
  <c r="AE445" i="50"/>
  <c r="AE429" i="51" s="1"/>
  <c r="AE453" i="50"/>
  <c r="AE436" i="51" s="1"/>
  <c r="AE441" i="50"/>
  <c r="AE425" i="51" s="1"/>
  <c r="AF464" i="50"/>
  <c r="AF441" i="50"/>
  <c r="AF425" i="51" s="1"/>
  <c r="AF453" i="50"/>
  <c r="AF436" i="51" s="1"/>
  <c r="AF445" i="50"/>
  <c r="AF429" i="51" s="1"/>
  <c r="W464" i="50"/>
  <c r="W453" i="50"/>
  <c r="W436" i="51" s="1"/>
  <c r="W441" i="50"/>
  <c r="W425" i="51" s="1"/>
  <c r="W445" i="50"/>
  <c r="W429" i="51" s="1"/>
  <c r="AC464" i="50"/>
  <c r="AC445" i="50"/>
  <c r="AC429" i="51" s="1"/>
  <c r="AC453" i="50"/>
  <c r="AC436" i="51" s="1"/>
  <c r="AC441" i="50"/>
  <c r="AC425" i="51" s="1"/>
  <c r="V445" i="50"/>
  <c r="V429" i="51" s="1"/>
  <c r="V464" i="50"/>
  <c r="V441" i="50"/>
  <c r="V425" i="51" s="1"/>
  <c r="V453" i="50"/>
  <c r="V436" i="51" s="1"/>
  <c r="AB464" i="50"/>
  <c r="AB445" i="50"/>
  <c r="AB429" i="51" s="1"/>
  <c r="AB441" i="50"/>
  <c r="AB425" i="51" s="1"/>
  <c r="AB453" i="50"/>
  <c r="AB436" i="51" s="1"/>
  <c r="AD464" i="50"/>
  <c r="AD453" i="50"/>
  <c r="AD436" i="51" s="1"/>
  <c r="AD445" i="50"/>
  <c r="AD429" i="51" s="1"/>
  <c r="AD441" i="50"/>
  <c r="AD425" i="51" s="1"/>
  <c r="Y464" i="50"/>
  <c r="Y441" i="50"/>
  <c r="Y425" i="51" s="1"/>
  <c r="Y453" i="50"/>
  <c r="Y436" i="51" s="1"/>
  <c r="Y445" i="50"/>
  <c r="Y429" i="51" s="1"/>
  <c r="AH464" i="50"/>
  <c r="AH445" i="50"/>
  <c r="AH429" i="51" s="1"/>
  <c r="AH453" i="50"/>
  <c r="AH436" i="51" s="1"/>
  <c r="AH441" i="50"/>
  <c r="AH425" i="51" s="1"/>
  <c r="X464" i="50"/>
  <c r="X441" i="50"/>
  <c r="X425" i="51" s="1"/>
  <c r="X453" i="50"/>
  <c r="X436" i="51" s="1"/>
  <c r="X445" i="50"/>
  <c r="X429" i="51" s="1"/>
  <c r="Z464" i="50"/>
  <c r="Z445" i="50"/>
  <c r="Z429" i="51" s="1"/>
  <c r="Z441" i="50"/>
  <c r="Z425" i="51" s="1"/>
  <c r="Z453" i="50"/>
  <c r="Z436" i="51" s="1"/>
  <c r="AA464" i="50"/>
  <c r="AA453" i="50"/>
  <c r="AA436" i="51" s="1"/>
  <c r="AA445" i="50"/>
  <c r="AA429" i="51" s="1"/>
  <c r="AA441" i="50"/>
  <c r="AA425" i="51" s="1"/>
  <c r="AI464" i="50"/>
  <c r="AI445" i="50"/>
  <c r="AI429" i="51" s="1"/>
  <c r="AI441" i="50"/>
  <c r="AI425" i="51" s="1"/>
  <c r="AI453" i="50"/>
  <c r="AI436" i="51" s="1"/>
  <c r="AG464" i="50"/>
  <c r="AG445" i="50"/>
  <c r="AG429" i="51" s="1"/>
  <c r="AG453" i="50"/>
  <c r="AG436" i="51" s="1"/>
  <c r="AG441" i="50"/>
  <c r="AG425" i="51" s="1"/>
  <c r="AJ429" i="50"/>
  <c r="AJ413" i="51" s="1"/>
  <c r="AJ440" i="50"/>
  <c r="AJ417" i="50"/>
  <c r="AJ402" i="51" s="1"/>
  <c r="AJ421" i="50"/>
  <c r="AJ406" i="51" s="1"/>
  <c r="V488" i="50"/>
  <c r="V477" i="50"/>
  <c r="V459" i="51" s="1"/>
  <c r="V469" i="50"/>
  <c r="V452" i="51" s="1"/>
  <c r="V465" i="50"/>
  <c r="V448" i="51" s="1"/>
  <c r="Y424" i="51"/>
  <c r="Z447" i="51" s="1"/>
  <c r="AA470" i="51" s="1"/>
  <c r="AB493" i="51" s="1"/>
  <c r="T424" i="51"/>
  <c r="U447" i="51" s="1"/>
  <c r="V470" i="51" s="1"/>
  <c r="W493" i="51" s="1"/>
  <c r="U424" i="51"/>
  <c r="V447" i="51" s="1"/>
  <c r="W470" i="51" s="1"/>
  <c r="X493" i="51" s="1"/>
  <c r="AC424" i="51"/>
  <c r="AD447" i="51" s="1"/>
  <c r="AE470" i="51" s="1"/>
  <c r="AF493" i="51" s="1"/>
  <c r="AF424" i="51"/>
  <c r="AG447" i="51" s="1"/>
  <c r="AH470" i="51" s="1"/>
  <c r="AI493" i="51" s="1"/>
  <c r="Z424" i="51"/>
  <c r="AA447" i="51" s="1"/>
  <c r="AB470" i="51" s="1"/>
  <c r="AC493" i="51" s="1"/>
  <c r="AE424" i="51"/>
  <c r="AF447" i="51" s="1"/>
  <c r="AG470" i="51" s="1"/>
  <c r="AH493" i="51" s="1"/>
  <c r="AA424" i="51"/>
  <c r="AB447" i="51" s="1"/>
  <c r="AC470" i="51" s="1"/>
  <c r="AD493" i="51" s="1"/>
  <c r="AB424" i="51"/>
  <c r="AC447" i="51" s="1"/>
  <c r="AD470" i="51" s="1"/>
  <c r="AE493" i="51" s="1"/>
  <c r="W424" i="51"/>
  <c r="X447" i="51" s="1"/>
  <c r="Y470" i="51" s="1"/>
  <c r="Z493" i="51" s="1"/>
  <c r="AG424" i="51"/>
  <c r="AH447" i="51" s="1"/>
  <c r="AI470" i="51" s="1"/>
  <c r="AJ493" i="51" s="1"/>
  <c r="V424" i="51"/>
  <c r="W447" i="51" s="1"/>
  <c r="X470" i="51" s="1"/>
  <c r="Y493" i="51" s="1"/>
  <c r="AD424" i="51"/>
  <c r="AE447" i="51" s="1"/>
  <c r="AF470" i="51" s="1"/>
  <c r="AG493" i="51" s="1"/>
  <c r="X424" i="51"/>
  <c r="Y447" i="51" s="1"/>
  <c r="Z470" i="51" s="1"/>
  <c r="AA493" i="51" s="1"/>
  <c r="AH424" i="51"/>
  <c r="AI447" i="51" s="1"/>
  <c r="AJ470" i="51" s="1"/>
  <c r="AK493" i="51" s="1"/>
  <c r="S381" i="50"/>
  <c r="S367" i="51" s="1"/>
  <c r="S373" i="50"/>
  <c r="S360" i="51" s="1"/>
  <c r="S369" i="50"/>
  <c r="S356" i="51" s="1"/>
  <c r="Y381" i="50"/>
  <c r="Y367" i="51" s="1"/>
  <c r="Y373" i="50"/>
  <c r="Y360" i="51" s="1"/>
  <c r="Y369" i="50"/>
  <c r="Y356" i="51" s="1"/>
  <c r="AA381" i="50"/>
  <c r="AA367" i="51" s="1"/>
  <c r="AA373" i="50"/>
  <c r="AA360" i="51" s="1"/>
  <c r="AA369" i="50"/>
  <c r="AA356" i="51" s="1"/>
  <c r="V381" i="50"/>
  <c r="V367" i="51" s="1"/>
  <c r="V373" i="50"/>
  <c r="V360" i="51" s="1"/>
  <c r="V369" i="50"/>
  <c r="V356" i="51" s="1"/>
  <c r="AE381" i="50"/>
  <c r="AE367" i="51" s="1"/>
  <c r="AE373" i="50"/>
  <c r="AE360" i="51" s="1"/>
  <c r="AE369" i="50"/>
  <c r="AE356" i="51" s="1"/>
  <c r="U381" i="50"/>
  <c r="U367" i="51" s="1"/>
  <c r="U373" i="50"/>
  <c r="U360" i="51" s="1"/>
  <c r="U369" i="50"/>
  <c r="U356" i="51" s="1"/>
  <c r="W381" i="50"/>
  <c r="W367" i="51" s="1"/>
  <c r="W373" i="50"/>
  <c r="W360" i="51" s="1"/>
  <c r="W369" i="50"/>
  <c r="W356" i="51" s="1"/>
  <c r="X381" i="50"/>
  <c r="X367" i="51" s="1"/>
  <c r="X373" i="50"/>
  <c r="X360" i="51" s="1"/>
  <c r="X369" i="50"/>
  <c r="X356" i="51" s="1"/>
  <c r="AF381" i="50"/>
  <c r="AF367" i="51" s="1"/>
  <c r="AF373" i="50"/>
  <c r="AF360" i="51" s="1"/>
  <c r="AF369" i="50"/>
  <c r="AF356" i="51" s="1"/>
  <c r="AB381" i="50"/>
  <c r="AB367" i="51" s="1"/>
  <c r="AB373" i="50"/>
  <c r="AB360" i="51" s="1"/>
  <c r="AB369" i="50"/>
  <c r="AB356" i="51" s="1"/>
  <c r="AC381" i="50"/>
  <c r="AC367" i="51" s="1"/>
  <c r="AC373" i="50"/>
  <c r="AC360" i="51" s="1"/>
  <c r="AC369" i="50"/>
  <c r="AC356" i="51" s="1"/>
  <c r="S397" i="50"/>
  <c r="S383" i="51" s="1"/>
  <c r="S405" i="50"/>
  <c r="S390" i="51" s="1"/>
  <c r="S393" i="50"/>
  <c r="S379" i="51" s="1"/>
  <c r="AH393" i="50" l="1"/>
  <c r="AH379" i="51" s="1"/>
  <c r="AH405" i="50"/>
  <c r="AH390" i="51" s="1"/>
  <c r="AH416" i="50"/>
  <c r="Z373" i="50"/>
  <c r="Z360" i="51" s="1"/>
  <c r="Z381" i="50"/>
  <c r="Z367" i="51" s="1"/>
  <c r="Z369" i="50"/>
  <c r="Z356" i="51" s="1"/>
  <c r="T369" i="50"/>
  <c r="T356" i="51" s="1"/>
  <c r="T373" i="50"/>
  <c r="T360" i="51" s="1"/>
  <c r="AD369" i="50"/>
  <c r="AD356" i="51" s="1"/>
  <c r="T381" i="50"/>
  <c r="T367" i="51" s="1"/>
  <c r="AD373" i="50"/>
  <c r="AD360" i="51" s="1"/>
  <c r="AD381" i="50"/>
  <c r="AD367" i="51" s="1"/>
  <c r="C18" i="41"/>
  <c r="AK464" i="50"/>
  <c r="AK453" i="50"/>
  <c r="AK436" i="51" s="1"/>
  <c r="AK441" i="50"/>
  <c r="AK425" i="51" s="1"/>
  <c r="AK445" i="50"/>
  <c r="AK429" i="51" s="1"/>
  <c r="W488" i="50"/>
  <c r="W469" i="50"/>
  <c r="W452" i="51" s="1"/>
  <c r="W477" i="50"/>
  <c r="W459" i="51" s="1"/>
  <c r="W465" i="50"/>
  <c r="W448" i="51" s="1"/>
  <c r="W512" i="50"/>
  <c r="W501" i="50"/>
  <c r="W482" i="51" s="1"/>
  <c r="W493" i="50"/>
  <c r="W475" i="51" s="1"/>
  <c r="W489" i="50"/>
  <c r="W471" i="51" s="1"/>
  <c r="AH488" i="50"/>
  <c r="AH477" i="50"/>
  <c r="AH459" i="51" s="1"/>
  <c r="AH469" i="50"/>
  <c r="AH452" i="51" s="1"/>
  <c r="AH465" i="50"/>
  <c r="AH448" i="51" s="1"/>
  <c r="AJ488" i="50"/>
  <c r="AJ477" i="50"/>
  <c r="AJ459" i="51" s="1"/>
  <c r="AJ465" i="50"/>
  <c r="AJ448" i="51" s="1"/>
  <c r="AJ469" i="50"/>
  <c r="AJ452" i="51" s="1"/>
  <c r="AB488" i="50"/>
  <c r="AB465" i="50"/>
  <c r="AB448" i="51" s="1"/>
  <c r="AB469" i="50"/>
  <c r="AB452" i="51" s="1"/>
  <c r="AB477" i="50"/>
  <c r="AB459" i="51" s="1"/>
  <c r="AA488" i="50"/>
  <c r="AA465" i="50"/>
  <c r="AA448" i="51" s="1"/>
  <c r="AA469" i="50"/>
  <c r="AA452" i="51" s="1"/>
  <c r="AA477" i="50"/>
  <c r="AA459" i="51" s="1"/>
  <c r="Y488" i="50"/>
  <c r="Y477" i="50"/>
  <c r="Y459" i="51" s="1"/>
  <c r="Y469" i="50"/>
  <c r="Y452" i="51" s="1"/>
  <c r="Y465" i="50"/>
  <c r="Y448" i="51" s="1"/>
  <c r="AI488" i="50"/>
  <c r="AI465" i="50"/>
  <c r="AI448" i="51" s="1"/>
  <c r="AI469" i="50"/>
  <c r="AI452" i="51" s="1"/>
  <c r="AI477" i="50"/>
  <c r="AI459" i="51" s="1"/>
  <c r="AJ464" i="50"/>
  <c r="AJ453" i="50"/>
  <c r="AJ436" i="51" s="1"/>
  <c r="AJ441" i="50"/>
  <c r="AJ425" i="51" s="1"/>
  <c r="AJ445" i="50"/>
  <c r="AJ429" i="51" s="1"/>
  <c r="Z488" i="50"/>
  <c r="Z477" i="50"/>
  <c r="Z459" i="51" s="1"/>
  <c r="Z469" i="50"/>
  <c r="Z452" i="51" s="1"/>
  <c r="Z465" i="50"/>
  <c r="Z448" i="51" s="1"/>
  <c r="AE488" i="50"/>
  <c r="AE465" i="50"/>
  <c r="AE448" i="51" s="1"/>
  <c r="AE477" i="50"/>
  <c r="AE459" i="51" s="1"/>
  <c r="AE469" i="50"/>
  <c r="AE452" i="51" s="1"/>
  <c r="AC488" i="50"/>
  <c r="AC469" i="50"/>
  <c r="AC452" i="51" s="1"/>
  <c r="AC477" i="50"/>
  <c r="AC459" i="51" s="1"/>
  <c r="AC465" i="50"/>
  <c r="AC448" i="51" s="1"/>
  <c r="AD488" i="50"/>
  <c r="AD469" i="50"/>
  <c r="AD452" i="51" s="1"/>
  <c r="AD465" i="50"/>
  <c r="AD448" i="51" s="1"/>
  <c r="AD477" i="50"/>
  <c r="AD459" i="51" s="1"/>
  <c r="X488" i="50"/>
  <c r="X469" i="50"/>
  <c r="X452" i="51" s="1"/>
  <c r="X465" i="50"/>
  <c r="X448" i="51" s="1"/>
  <c r="X477" i="50"/>
  <c r="X459" i="51" s="1"/>
  <c r="AG488" i="50"/>
  <c r="AG465" i="50"/>
  <c r="AG448" i="51" s="1"/>
  <c r="AG469" i="50"/>
  <c r="AG452" i="51" s="1"/>
  <c r="AG477" i="50"/>
  <c r="AG459" i="51" s="1"/>
  <c r="AF488" i="50"/>
  <c r="AF465" i="50"/>
  <c r="AF448" i="51" s="1"/>
  <c r="AF477" i="50"/>
  <c r="AF459" i="51" s="1"/>
  <c r="AF469" i="50"/>
  <c r="AF452" i="51" s="1"/>
  <c r="T429" i="50"/>
  <c r="T413" i="51" s="1"/>
  <c r="T417" i="50"/>
  <c r="T402" i="51" s="1"/>
  <c r="T421" i="50"/>
  <c r="T406" i="51" s="1"/>
  <c r="AA393" i="50"/>
  <c r="AA379" i="51" s="1"/>
  <c r="AA405" i="50"/>
  <c r="AA390" i="51" s="1"/>
  <c r="AA397" i="50"/>
  <c r="AA383" i="51" s="1"/>
  <c r="AE405" i="50"/>
  <c r="AE390" i="51" s="1"/>
  <c r="AE397" i="50"/>
  <c r="AE383" i="51" s="1"/>
  <c r="AE393" i="50"/>
  <c r="AE379" i="51" s="1"/>
  <c r="Y405" i="50"/>
  <c r="Y390" i="51" s="1"/>
  <c r="Y397" i="50"/>
  <c r="Y383" i="51" s="1"/>
  <c r="Y393" i="50"/>
  <c r="Y379" i="51" s="1"/>
  <c r="V405" i="50"/>
  <c r="V390" i="51" s="1"/>
  <c r="V397" i="50"/>
  <c r="V383" i="51" s="1"/>
  <c r="V393" i="50"/>
  <c r="V379" i="51" s="1"/>
  <c r="W405" i="50"/>
  <c r="W390" i="51" s="1"/>
  <c r="W397" i="50"/>
  <c r="W383" i="51" s="1"/>
  <c r="W393" i="50"/>
  <c r="W379" i="51" s="1"/>
  <c r="Z405" i="50"/>
  <c r="Z390" i="51" s="1"/>
  <c r="Z397" i="50"/>
  <c r="Z383" i="51" s="1"/>
  <c r="Z393" i="50"/>
  <c r="Z379" i="51" s="1"/>
  <c r="AD405" i="50"/>
  <c r="AD390" i="51" s="1"/>
  <c r="AD397" i="50"/>
  <c r="AD383" i="51" s="1"/>
  <c r="AD393" i="50"/>
  <c r="AD379" i="51" s="1"/>
  <c r="U405" i="50"/>
  <c r="U390" i="51" s="1"/>
  <c r="U397" i="50"/>
  <c r="U383" i="51" s="1"/>
  <c r="U393" i="50"/>
  <c r="U379" i="51" s="1"/>
  <c r="AC405" i="50"/>
  <c r="AC390" i="51" s="1"/>
  <c r="AC397" i="50"/>
  <c r="AC383" i="51" s="1"/>
  <c r="AC393" i="50"/>
  <c r="AC379" i="51" s="1"/>
  <c r="AG405" i="50"/>
  <c r="AG390" i="51" s="1"/>
  <c r="AG397" i="50"/>
  <c r="AG383" i="51" s="1"/>
  <c r="AG393" i="50"/>
  <c r="AG379" i="51" s="1"/>
  <c r="X405" i="50"/>
  <c r="X390" i="51" s="1"/>
  <c r="X397" i="50"/>
  <c r="X383" i="51" s="1"/>
  <c r="X393" i="50"/>
  <c r="X379" i="51" s="1"/>
  <c r="AF405" i="50"/>
  <c r="AF390" i="51" s="1"/>
  <c r="AF397" i="50"/>
  <c r="AF383" i="51" s="1"/>
  <c r="AF393" i="50"/>
  <c r="AF379" i="51" s="1"/>
  <c r="AB405" i="50"/>
  <c r="AB390" i="51" s="1"/>
  <c r="AB397" i="50"/>
  <c r="AB383" i="51" s="1"/>
  <c r="AB393" i="50"/>
  <c r="AB379" i="51" s="1"/>
  <c r="T405" i="50"/>
  <c r="T390" i="51" s="1"/>
  <c r="T397" i="50"/>
  <c r="T383" i="51" s="1"/>
  <c r="T393" i="50"/>
  <c r="T379" i="51" s="1"/>
  <c r="AI440" i="50" l="1"/>
  <c r="AI417" i="50"/>
  <c r="AI402" i="51" s="1"/>
  <c r="AI429" i="50"/>
  <c r="AI413" i="51" s="1"/>
  <c r="AI421" i="50"/>
  <c r="AI406" i="51" s="1"/>
  <c r="C19" i="41"/>
  <c r="C22" i="41"/>
  <c r="AG512" i="50"/>
  <c r="AG493" i="50"/>
  <c r="AG475" i="51" s="1"/>
  <c r="AG489" i="50"/>
  <c r="AG471" i="51" s="1"/>
  <c r="AG501" i="50"/>
  <c r="AG482" i="51" s="1"/>
  <c r="AH512" i="50"/>
  <c r="AH493" i="50"/>
  <c r="AH475" i="51" s="1"/>
  <c r="AH501" i="50"/>
  <c r="AH482" i="51" s="1"/>
  <c r="AH489" i="50"/>
  <c r="AH471" i="51" s="1"/>
  <c r="Y512" i="50"/>
  <c r="Y493" i="50"/>
  <c r="Y475" i="51" s="1"/>
  <c r="Y501" i="50"/>
  <c r="Y482" i="51" s="1"/>
  <c r="Y489" i="50"/>
  <c r="Y471" i="51" s="1"/>
  <c r="AE512" i="50"/>
  <c r="AE493" i="50"/>
  <c r="AE475" i="51" s="1"/>
  <c r="AE501" i="50"/>
  <c r="AE482" i="51" s="1"/>
  <c r="AE489" i="50"/>
  <c r="AE471" i="51" s="1"/>
  <c r="AD512" i="50"/>
  <c r="AD493" i="50"/>
  <c r="AD475" i="51" s="1"/>
  <c r="AD501" i="50"/>
  <c r="AD482" i="51" s="1"/>
  <c r="AD489" i="50"/>
  <c r="AD471" i="51" s="1"/>
  <c r="AF512" i="50"/>
  <c r="AF489" i="50"/>
  <c r="AF471" i="51" s="1"/>
  <c r="AF493" i="50"/>
  <c r="AF475" i="51" s="1"/>
  <c r="AF501" i="50"/>
  <c r="AF482" i="51" s="1"/>
  <c r="AA512" i="50"/>
  <c r="AA493" i="50"/>
  <c r="AA475" i="51" s="1"/>
  <c r="AA501" i="50"/>
  <c r="AA482" i="51" s="1"/>
  <c r="AA489" i="50"/>
  <c r="AA471" i="51" s="1"/>
  <c r="AK488" i="50"/>
  <c r="AK465" i="50"/>
  <c r="AK448" i="51" s="1"/>
  <c r="AK469" i="50"/>
  <c r="AK452" i="51" s="1"/>
  <c r="AK477" i="50"/>
  <c r="AK459" i="51" s="1"/>
  <c r="AJ512" i="50"/>
  <c r="AJ493" i="50"/>
  <c r="AJ475" i="51" s="1"/>
  <c r="AJ489" i="50"/>
  <c r="AJ471" i="51" s="1"/>
  <c r="AJ501" i="50"/>
  <c r="AJ482" i="51" s="1"/>
  <c r="Z512" i="50"/>
  <c r="Z501" i="50"/>
  <c r="Z482" i="51" s="1"/>
  <c r="Z489" i="50"/>
  <c r="Z471" i="51" s="1"/>
  <c r="Z493" i="50"/>
  <c r="Z475" i="51" s="1"/>
  <c r="AB512" i="50"/>
  <c r="AB493" i="50"/>
  <c r="AB475" i="51" s="1"/>
  <c r="AB489" i="50"/>
  <c r="AB471" i="51" s="1"/>
  <c r="AB501" i="50"/>
  <c r="AB482" i="51" s="1"/>
  <c r="AC512" i="50"/>
  <c r="AC493" i="50"/>
  <c r="AC475" i="51" s="1"/>
  <c r="AC501" i="50"/>
  <c r="AC482" i="51" s="1"/>
  <c r="AC489" i="50"/>
  <c r="AC471" i="51" s="1"/>
  <c r="AK512" i="50"/>
  <c r="AK501" i="50"/>
  <c r="AK482" i="51" s="1"/>
  <c r="AK489" i="50"/>
  <c r="AK471" i="51" s="1"/>
  <c r="AK493" i="50"/>
  <c r="AK475" i="51" s="1"/>
  <c r="AI512" i="50"/>
  <c r="AI489" i="50"/>
  <c r="AI471" i="51" s="1"/>
  <c r="AI493" i="50"/>
  <c r="AI475" i="51" s="1"/>
  <c r="AI501" i="50"/>
  <c r="AI482" i="51" s="1"/>
  <c r="X517" i="50"/>
  <c r="X498" i="51" s="1"/>
  <c r="X525" i="50"/>
  <c r="X505" i="51" s="1"/>
  <c r="X513" i="50"/>
  <c r="X494" i="51" s="1"/>
  <c r="X512" i="50"/>
  <c r="X489" i="50"/>
  <c r="X471" i="51" s="1"/>
  <c r="X493" i="50"/>
  <c r="X475" i="51" s="1"/>
  <c r="X501" i="50"/>
  <c r="X482" i="51" s="1"/>
  <c r="AL488" i="50"/>
  <c r="AL469" i="50"/>
  <c r="AL452" i="51" s="1"/>
  <c r="AL477" i="50"/>
  <c r="AL459" i="51" s="1"/>
  <c r="AL465" i="50"/>
  <c r="AL448" i="51" s="1"/>
  <c r="C20" i="41"/>
  <c r="U429" i="50"/>
  <c r="U413" i="51" s="1"/>
  <c r="AC429" i="50"/>
  <c r="AC413" i="51" s="1"/>
  <c r="AG429" i="50"/>
  <c r="AG413" i="51" s="1"/>
  <c r="Y429" i="50"/>
  <c r="Y413" i="51" s="1"/>
  <c r="AH429" i="50"/>
  <c r="AH413" i="51" s="1"/>
  <c r="AD429" i="50"/>
  <c r="AD413" i="51" s="1"/>
  <c r="V429" i="50"/>
  <c r="V413" i="51" s="1"/>
  <c r="AE429" i="50"/>
  <c r="AE413" i="51" s="1"/>
  <c r="AA429" i="50"/>
  <c r="AA413" i="51" s="1"/>
  <c r="X429" i="50"/>
  <c r="X413" i="51" s="1"/>
  <c r="W429" i="50"/>
  <c r="W413" i="51" s="1"/>
  <c r="Z429" i="50"/>
  <c r="Z413" i="51" s="1"/>
  <c r="AF429" i="50"/>
  <c r="AF413" i="51" s="1"/>
  <c r="AB429" i="50"/>
  <c r="AB413" i="51" s="1"/>
  <c r="AC417" i="50"/>
  <c r="AC402" i="51" s="1"/>
  <c r="AC421" i="50"/>
  <c r="AC406" i="51" s="1"/>
  <c r="AG417" i="50"/>
  <c r="AG402" i="51" s="1"/>
  <c r="AG421" i="50"/>
  <c r="AG406" i="51" s="1"/>
  <c r="Y417" i="50"/>
  <c r="Y402" i="51" s="1"/>
  <c r="Y421" i="50"/>
  <c r="Y406" i="51" s="1"/>
  <c r="AH417" i="50"/>
  <c r="AH402" i="51" s="1"/>
  <c r="AH421" i="50"/>
  <c r="AH406" i="51" s="1"/>
  <c r="AD417" i="50"/>
  <c r="AD402" i="51" s="1"/>
  <c r="AD421" i="50"/>
  <c r="AD406" i="51" s="1"/>
  <c r="V417" i="50"/>
  <c r="V402" i="51" s="1"/>
  <c r="V421" i="50"/>
  <c r="V406" i="51" s="1"/>
  <c r="AE417" i="50"/>
  <c r="AE402" i="51" s="1"/>
  <c r="AE421" i="50"/>
  <c r="AE406" i="51" s="1"/>
  <c r="AA417" i="50"/>
  <c r="AA402" i="51" s="1"/>
  <c r="AA421" i="50"/>
  <c r="AA406" i="51" s="1"/>
  <c r="X417" i="50"/>
  <c r="X402" i="51" s="1"/>
  <c r="X421" i="50"/>
  <c r="X406" i="51" s="1"/>
  <c r="W417" i="50"/>
  <c r="W402" i="51" s="1"/>
  <c r="W421" i="50"/>
  <c r="W406" i="51" s="1"/>
  <c r="Z417" i="50"/>
  <c r="Z402" i="51" s="1"/>
  <c r="Z421" i="50"/>
  <c r="Z406" i="51" s="1"/>
  <c r="AF417" i="50"/>
  <c r="AF402" i="51" s="1"/>
  <c r="AF421" i="50"/>
  <c r="AF406" i="51" s="1"/>
  <c r="AB417" i="50"/>
  <c r="AB402" i="51" s="1"/>
  <c r="AB421" i="50"/>
  <c r="AB406" i="51" s="1"/>
  <c r="U417" i="50"/>
  <c r="U402" i="51" s="1"/>
  <c r="U421" i="50"/>
  <c r="U406" i="51" s="1"/>
  <c r="C23" i="41" l="1"/>
  <c r="AJ517" i="50"/>
  <c r="AJ498" i="51" s="1"/>
  <c r="AJ513" i="50"/>
  <c r="AJ494" i="51" s="1"/>
  <c r="AJ525" i="50"/>
  <c r="AJ505" i="51" s="1"/>
  <c r="AL513" i="50"/>
  <c r="AL494" i="51" s="1"/>
  <c r="AL517" i="50"/>
  <c r="AL498" i="51" s="1"/>
  <c r="AL525" i="50"/>
  <c r="AL505" i="51" s="1"/>
  <c r="AD517" i="50"/>
  <c r="AD498" i="51" s="1"/>
  <c r="AD525" i="50"/>
  <c r="AD505" i="51" s="1"/>
  <c r="AD513" i="50"/>
  <c r="AD494" i="51" s="1"/>
  <c r="AC525" i="50"/>
  <c r="AC505" i="51" s="1"/>
  <c r="AC513" i="50"/>
  <c r="AC494" i="51" s="1"/>
  <c r="AC517" i="50"/>
  <c r="AC498" i="51" s="1"/>
  <c r="AA513" i="50"/>
  <c r="AA494" i="51" s="1"/>
  <c r="AA525" i="50"/>
  <c r="AA505" i="51" s="1"/>
  <c r="AA517" i="50"/>
  <c r="AA498" i="51" s="1"/>
  <c r="AK513" i="50"/>
  <c r="AK494" i="51" s="1"/>
  <c r="AK517" i="50"/>
  <c r="AK498" i="51" s="1"/>
  <c r="AK525" i="50"/>
  <c r="AK505" i="51" s="1"/>
  <c r="AL489" i="50"/>
  <c r="AL471" i="51" s="1"/>
  <c r="AL512" i="50"/>
  <c r="AL493" i="50"/>
  <c r="AL475" i="51" s="1"/>
  <c r="AL501" i="50"/>
  <c r="AL482" i="51" s="1"/>
  <c r="AB525" i="50"/>
  <c r="AB505" i="51" s="1"/>
  <c r="AB517" i="50"/>
  <c r="AB498" i="51" s="1"/>
  <c r="AB513" i="50"/>
  <c r="AB494" i="51" s="1"/>
  <c r="AG525" i="50"/>
  <c r="AG505" i="51" s="1"/>
  <c r="AG513" i="50"/>
  <c r="AG494" i="51" s="1"/>
  <c r="AG517" i="50"/>
  <c r="AG498" i="51" s="1"/>
  <c r="AE513" i="50"/>
  <c r="AE494" i="51" s="1"/>
  <c r="AE517" i="50"/>
  <c r="AE498" i="51" s="1"/>
  <c r="AE525" i="50"/>
  <c r="AE505" i="51" s="1"/>
  <c r="AF517" i="50"/>
  <c r="AF498" i="51" s="1"/>
  <c r="AF525" i="50"/>
  <c r="AF505" i="51" s="1"/>
  <c r="AF513" i="50"/>
  <c r="AF494" i="51" s="1"/>
  <c r="Z525" i="50"/>
  <c r="Z505" i="51" s="1"/>
  <c r="Z513" i="50"/>
  <c r="Z494" i="51" s="1"/>
  <c r="Z517" i="50"/>
  <c r="Z498" i="51" s="1"/>
  <c r="AI513" i="50"/>
  <c r="AI494" i="51" s="1"/>
  <c r="AI525" i="50"/>
  <c r="AI505" i="51" s="1"/>
  <c r="AI517" i="50"/>
  <c r="AI498" i="51" s="1"/>
  <c r="AH525" i="50"/>
  <c r="AH505" i="51" s="1"/>
  <c r="AH517" i="50"/>
  <c r="AH498" i="51" s="1"/>
  <c r="AH513" i="50"/>
  <c r="AH494" i="51" s="1"/>
  <c r="AM512" i="50"/>
  <c r="AM489" i="50"/>
  <c r="AM471" i="51" s="1"/>
  <c r="AM501" i="50"/>
  <c r="AM482" i="51" s="1"/>
  <c r="AM493" i="50"/>
  <c r="AM475" i="51" s="1"/>
  <c r="Y513" i="50"/>
  <c r="Y494" i="51" s="1"/>
  <c r="Y525" i="50"/>
  <c r="Y505" i="51" s="1"/>
  <c r="Y517" i="50"/>
  <c r="Y498" i="51" s="1"/>
  <c r="C21" i="41"/>
  <c r="C24" i="41" l="1"/>
  <c r="AN517" i="50"/>
  <c r="AN498" i="51" s="1"/>
  <c r="AN513" i="50"/>
  <c r="AN494" i="51" s="1"/>
  <c r="AN525" i="50"/>
  <c r="AN505" i="51" s="1"/>
  <c r="AM517" i="50"/>
  <c r="AM498" i="51" s="1"/>
  <c r="AM525" i="50"/>
  <c r="AM505" i="51" s="1"/>
  <c r="AM513" i="50"/>
  <c r="AM494" i="51" s="1"/>
  <c r="C25" i="41" l="1"/>
  <c r="AC148" i="51" l="1"/>
  <c r="C10" i="41" s="1"/>
  <c r="C46" i="41" s="1"/>
  <c r="AS60" i="51"/>
  <c r="AS60"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Seth W</author>
  </authors>
  <commentList>
    <comment ref="E2" authorId="0" shapeId="0" xr:uid="{00000000-0006-0000-0400-000001000000}">
      <text>
        <r>
          <rPr>
            <b/>
            <sz val="9"/>
            <color indexed="81"/>
            <rFont val="Tahoma"/>
            <family val="2"/>
          </rPr>
          <t>Seth W:</t>
        </r>
        <r>
          <rPr>
            <sz val="9"/>
            <color indexed="81"/>
            <rFont val="Tahoma"/>
            <family val="2"/>
          </rPr>
          <t xml:space="preserve">
Cultivar number pulled from Stage 1 Selection Matrix 3.0.</t>
        </r>
      </text>
    </comment>
    <comment ref="E3" authorId="0" shapeId="0" xr:uid="{00000000-0006-0000-0400-000002000000}">
      <text>
        <r>
          <rPr>
            <b/>
            <sz val="9"/>
            <color indexed="81"/>
            <rFont val="Tahoma"/>
            <family val="2"/>
          </rPr>
          <t>Seth W:</t>
        </r>
        <r>
          <rPr>
            <sz val="9"/>
            <color indexed="81"/>
            <rFont val="Tahoma"/>
            <family val="2"/>
          </rPr>
          <t xml:space="preserve">
Number of cultivars removed based on input removal percents times the original number of cultivars in the cohort (Cell D2).</t>
        </r>
      </text>
    </comment>
    <comment ref="E4" authorId="0" shapeId="0" xr:uid="{00000000-0006-0000-0400-000003000000}">
      <text>
        <r>
          <rPr>
            <b/>
            <sz val="9"/>
            <color indexed="81"/>
            <rFont val="Tahoma"/>
            <family val="2"/>
          </rPr>
          <t>Seth W:</t>
        </r>
        <r>
          <rPr>
            <sz val="9"/>
            <color indexed="81"/>
            <rFont val="Tahoma"/>
            <family val="2"/>
          </rPr>
          <t xml:space="preserve">
Number of cultivars remaining after accounting for removal.</t>
        </r>
      </text>
    </comment>
    <comment ref="F5" authorId="0" shapeId="0" xr:uid="{00000000-0006-0000-0400-000004000000}">
      <text>
        <r>
          <rPr>
            <b/>
            <sz val="9"/>
            <color indexed="81"/>
            <rFont val="Tahoma"/>
            <family val="2"/>
          </rPr>
          <t>Seth W:</t>
        </r>
        <r>
          <rPr>
            <sz val="9"/>
            <color indexed="81"/>
            <rFont val="Tahoma"/>
            <family val="2"/>
          </rPr>
          <t xml:space="preserve">
Rounded estimation of cultivars remaining from previous year.</t>
        </r>
      </text>
    </comment>
  </commentList>
</comments>
</file>

<file path=xl/sharedStrings.xml><?xml version="1.0" encoding="utf-8"?>
<sst xmlns="http://schemas.openxmlformats.org/spreadsheetml/2006/main" count="927" uniqueCount="290">
  <si>
    <t>Stage</t>
  </si>
  <si>
    <t>Activities</t>
  </si>
  <si>
    <t>Unit</t>
  </si>
  <si>
    <t>Crossing</t>
  </si>
  <si>
    <t>Stage 1</t>
  </si>
  <si>
    <t>Removal</t>
  </si>
  <si>
    <t>First Cultivar</t>
  </si>
  <si>
    <t>Stage 2</t>
  </si>
  <si>
    <t>Total</t>
  </si>
  <si>
    <t>Year</t>
  </si>
  <si>
    <t>Total Individuals for Evaluation</t>
  </si>
  <si>
    <t>Total Ind.</t>
  </si>
  <si>
    <t>Developmental Timeline Years</t>
  </si>
  <si>
    <t>Stage 3</t>
  </si>
  <si>
    <t>Virus Indexing</t>
  </si>
  <si>
    <t>Second Cultivar</t>
  </si>
  <si>
    <t>Third Cultivar</t>
  </si>
  <si>
    <t>Number of Cultivars</t>
  </si>
  <si>
    <t>Greenhouse</t>
  </si>
  <si>
    <t>Procedure</t>
  </si>
  <si>
    <t>Labor Cost</t>
  </si>
  <si>
    <t>1.1 Germplasm Collection</t>
  </si>
  <si>
    <t>Maintenance of accession blocks</t>
  </si>
  <si>
    <t>Evaluation of accession blocks</t>
  </si>
  <si>
    <t>Acquisition of plants and pollen</t>
  </si>
  <si>
    <t>1.2 Cross Planning</t>
  </si>
  <si>
    <t>Pollen Collection</t>
  </si>
  <si>
    <t>Bag flowers</t>
  </si>
  <si>
    <t>Pollination</t>
  </si>
  <si>
    <t>Seed extraction</t>
  </si>
  <si>
    <t>2.1 Seed Stratification</t>
  </si>
  <si>
    <t>2.2 Germination and greenhouse growing</t>
  </si>
  <si>
    <t>Planting</t>
  </si>
  <si>
    <t>Growing</t>
  </si>
  <si>
    <t>Transplanting</t>
  </si>
  <si>
    <t>Establishment</t>
  </si>
  <si>
    <t>Propagation or seedlings</t>
  </si>
  <si>
    <t>Training propogated seedlings</t>
  </si>
  <si>
    <t>Maintenance</t>
  </si>
  <si>
    <t>4.3 Grow stage 2 selections</t>
  </si>
  <si>
    <t>Evaluation</t>
  </si>
  <si>
    <t>5.1 Propagation and distribution of stage 3 selections</t>
  </si>
  <si>
    <t>Contact with comercial nurseries</t>
  </si>
  <si>
    <t>Distribute stage 3 selections</t>
  </si>
  <si>
    <t>5.2 Establish stage 3 test site</t>
  </si>
  <si>
    <t>5.3 Grow stage 3 selections</t>
  </si>
  <si>
    <t>5.4 Evaluate stage 3 selections</t>
  </si>
  <si>
    <t>5.6 Removal</t>
  </si>
  <si>
    <t>6.1 Virus indexing</t>
  </si>
  <si>
    <t>6.2 Increase propagation stock</t>
  </si>
  <si>
    <t>7.1 US Plant Patent Application</t>
  </si>
  <si>
    <t>7.2 US and Foreign Trademark Application</t>
  </si>
  <si>
    <t>Planning and managing</t>
  </si>
  <si>
    <t>Supply Cost</t>
  </si>
  <si>
    <t>Stratification preparation</t>
  </si>
  <si>
    <t>Explanation</t>
  </si>
  <si>
    <t>Number of Individuals</t>
  </si>
  <si>
    <t>No. of parents</t>
  </si>
  <si>
    <t>No. of male parents</t>
  </si>
  <si>
    <t>Expected No. of seeds</t>
  </si>
  <si>
    <t>No. of seeds</t>
  </si>
  <si>
    <t>No. of seedlings</t>
  </si>
  <si>
    <t>No. of selections</t>
  </si>
  <si>
    <t>No. of samples</t>
  </si>
  <si>
    <t>No. of applications</t>
  </si>
  <si>
    <t>8.1 License US Commercial Partners</t>
  </si>
  <si>
    <t>8.2 License Foreign Commercial Partners</t>
  </si>
  <si>
    <t>8.3 Monitor License Compliance (MAB)</t>
  </si>
  <si>
    <t>No. of licenses</t>
  </si>
  <si>
    <t>8.4 MAB</t>
  </si>
  <si>
    <t>4.4 MAB</t>
  </si>
  <si>
    <t>4.5 Evaluate stage 2 selections</t>
  </si>
  <si>
    <t>4.6 Removal</t>
  </si>
  <si>
    <t>3.5 Removal</t>
  </si>
  <si>
    <t>2.3 MAB</t>
  </si>
  <si>
    <t>1.3 MAB</t>
  </si>
  <si>
    <t>1.4 Crossing (hybridization)</t>
  </si>
  <si>
    <t>1.5 Seed Collection and preparation</t>
  </si>
  <si>
    <t>Tissue Collection</t>
  </si>
  <si>
    <t>DNA Extraction</t>
  </si>
  <si>
    <t>Running marker test</t>
  </si>
  <si>
    <t>Marker interpretations</t>
  </si>
  <si>
    <t>Field preparation</t>
  </si>
  <si>
    <t>Fruit collection</t>
  </si>
  <si>
    <t>Cost per Unit</t>
  </si>
  <si>
    <t>Rank</t>
  </si>
  <si>
    <t>Tiebreak</t>
  </si>
  <si>
    <t>Ranking</t>
  </si>
  <si>
    <t>Cultivar Number</t>
  </si>
  <si>
    <t>Final Ranking</t>
  </si>
  <si>
    <t>Final Rank</t>
  </si>
  <si>
    <t>Seed Cracking</t>
  </si>
  <si>
    <t>Greenhouse establishment</t>
  </si>
  <si>
    <t>7.3 Foreign Plant Breeders' Rights Application and Examination</t>
  </si>
  <si>
    <t>2.4 Container production</t>
  </si>
  <si>
    <t>gh plug plants, planting stock</t>
  </si>
  <si>
    <t xml:space="preserve">hrs: maps, IPM, pruning; supplies: pruners, IPM, fertilizer, </t>
  </si>
  <si>
    <t>Estimate 60 parents, no estimate on MAB costs</t>
  </si>
  <si>
    <t>Watering, IPM, pruning</t>
  </si>
  <si>
    <t>Sowing; pots and potting mix</t>
  </si>
  <si>
    <t>Potting up to plug size; pots and potting mix</t>
  </si>
  <si>
    <t>Acquisition of comparison cvs</t>
  </si>
  <si>
    <t>field prep, fertilizer, labels, land use fee</t>
  </si>
  <si>
    <t>3.1 Establish stage 1 test - seedling evaluation</t>
  </si>
  <si>
    <t>none needed</t>
  </si>
  <si>
    <t>weeding, cultivating, runner removal, IPM</t>
  </si>
  <si>
    <t>not sure</t>
  </si>
  <si>
    <t>4.1 Propagation of stage 2 selections</t>
  </si>
  <si>
    <t>Tissue culture</t>
  </si>
  <si>
    <t>estab/maintain in TC</t>
  </si>
  <si>
    <t>TC supplies</t>
  </si>
  <si>
    <t>Plant the selections</t>
  </si>
  <si>
    <t>nonrepped plants</t>
  </si>
  <si>
    <t>4.2 Establish stage 2 test- nonreplicated ST</t>
  </si>
  <si>
    <t>8 hrs/day x 6 d x 6 people</t>
  </si>
  <si>
    <t>repped selections Puy/OR/BC</t>
  </si>
  <si>
    <t xml:space="preserve">Virus/Disease testing </t>
  </si>
  <si>
    <t>Establishing trellises/tunnels/etc.</t>
  </si>
  <si>
    <t>3.2 Growing seedlings in stage 1 test site</t>
  </si>
  <si>
    <t>3.4 Evaluate fruiting seedlings in stage 1 test site</t>
  </si>
  <si>
    <t>Plant selections (unless done offsite)</t>
  </si>
  <si>
    <t>No. of propagules/selection</t>
  </si>
  <si>
    <t>No. of propagules</t>
  </si>
  <si>
    <t>6.1 Propagation of stage 4 selections</t>
  </si>
  <si>
    <t>6.2 Establish stage 4 test site</t>
  </si>
  <si>
    <t>6.3 Grow stage 4 selections</t>
  </si>
  <si>
    <t>6.4 Evaluate stage 4 selections</t>
  </si>
  <si>
    <t>6.5 Removal</t>
  </si>
  <si>
    <t>Simulations</t>
  </si>
  <si>
    <t>3.4 MAB</t>
  </si>
  <si>
    <t>Plant the trees from nursery</t>
  </si>
  <si>
    <t>Plant selections</t>
  </si>
  <si>
    <t>Is the activity 
yearly? (Y/N)</t>
  </si>
  <si>
    <t xml:space="preserve">Stage 1 </t>
  </si>
  <si>
    <t>3.3 Evaluate fruiting seedlings in stage 1 test site</t>
  </si>
  <si>
    <t>Stipend</t>
  </si>
  <si>
    <t>7.1 Virus indexing</t>
  </si>
  <si>
    <t>7.2 Increase propagation stock</t>
  </si>
  <si>
    <t>8.1 US Plant Patent Application</t>
  </si>
  <si>
    <t>8.2 US and Foreign Trademark Application</t>
  </si>
  <si>
    <t>8.3 Foreign Plant Breeders' Rights Application and Examination</t>
  </si>
  <si>
    <t>9.1 License US Commercial Partners</t>
  </si>
  <si>
    <t>9.2 License Foreign Commercial Partners</t>
  </si>
  <si>
    <t>9.3 Monitor License Compliance (MAB)</t>
  </si>
  <si>
    <t>9.4 MAB</t>
  </si>
  <si>
    <t>No. of parent trees = accessions*trees per accession</t>
  </si>
  <si>
    <t>No. of propagules (ex. trees) = accessions*propagules (ex. trees) per accession</t>
  </si>
  <si>
    <t>4.3 Maintenance stage 2 selections</t>
  </si>
  <si>
    <t>3.2 Maintenance of seedlings in stage 1 test site</t>
  </si>
  <si>
    <t>Breeding Inputs</t>
  </si>
  <si>
    <t xml:space="preserve">B.) How many years are required to complete this procedure? </t>
  </si>
  <si>
    <t>Greenhouse Growth</t>
  </si>
  <si>
    <t>Stage 4</t>
  </si>
  <si>
    <t>Answer each question numerically for each stage if information is available. If a stage does not occur then leave the cells empty.</t>
  </si>
  <si>
    <t>A.) How frequently does your breeding pipeline renew?</t>
  </si>
  <si>
    <t>1 = Every year
2 = Every other year
3 = Every three years
…etc…
9 = Every nine years (currently the limit)</t>
  </si>
  <si>
    <t>B.) How many pipeline renewals do you want to include in the simulation?</t>
  </si>
  <si>
    <t>Percent removed after evaluation</t>
  </si>
  <si>
    <t>Percent evaluated</t>
  </si>
  <si>
    <t xml:space="preserve">Percent lost due to environmental effects </t>
  </si>
  <si>
    <t>No. of potted vines maintained for pollen or obseration</t>
  </si>
  <si>
    <t>Greenhouse or gravel bed grown accessions</t>
  </si>
  <si>
    <t>Petri dishes, sharpies, other consumables</t>
  </si>
  <si>
    <t>Embryo Rescue (berry collection and ovule extraction)</t>
  </si>
  <si>
    <t>Embryo Rescue (embryo extraction, and grow out)</t>
  </si>
  <si>
    <t>****COULD USE 3-4  lines for all Embryo Rescue****</t>
  </si>
  <si>
    <t>*****I'm not sure there is a cost here for me, need to check</t>
  </si>
  <si>
    <t>****costs for maintenace/virus screening?) see 7.1</t>
  </si>
  <si>
    <t>International testing/Customs (canada)</t>
  </si>
  <si>
    <t>Labor cost per unit</t>
  </si>
  <si>
    <t>Consumable cost per unit</t>
  </si>
  <si>
    <t>Real number of units</t>
  </si>
  <si>
    <t>Total cost per unit</t>
  </si>
  <si>
    <t>Total Cost</t>
  </si>
  <si>
    <t>1.6 Seed Stratification</t>
  </si>
  <si>
    <t>2.1 Germination and greenhouse growing</t>
  </si>
  <si>
    <t>2.3 Container production</t>
  </si>
  <si>
    <t>Stage 1 Seedling Test Plots</t>
  </si>
  <si>
    <t>No. of propagules per selection</t>
  </si>
  <si>
    <t>Stage 2 Clonal Test Plots</t>
  </si>
  <si>
    <t>Greenhouse Growth Stage</t>
  </si>
  <si>
    <t>Crossing Stage</t>
  </si>
  <si>
    <t>Pre-commercialization Stage</t>
  </si>
  <si>
    <t>5.4 MAB</t>
  </si>
  <si>
    <t>5.5 Evaluate stage 3 selections</t>
  </si>
  <si>
    <t>5.3 Maintenance stage 3 selections</t>
  </si>
  <si>
    <t>6.4 MAB</t>
  </si>
  <si>
    <t>6.5 Evaluate stage 4 selections</t>
  </si>
  <si>
    <t>6.6 Removal</t>
  </si>
  <si>
    <t>6.3 Maintenance stage 4 selections</t>
  </si>
  <si>
    <t>Evaluation Percent</t>
  </si>
  <si>
    <t>Removal Percent</t>
  </si>
  <si>
    <t>Percent of total removed after evaluation</t>
  </si>
  <si>
    <t>Fixed costs/
Overhead</t>
  </si>
  <si>
    <t>A.) What year in the breeding pipeline would this procedure begin?</t>
  </si>
  <si>
    <t>How many selections are made in this time?</t>
  </si>
  <si>
    <t>Norm. Dist. (PMF)</t>
  </si>
  <si>
    <t>Distribution of Selections</t>
  </si>
  <si>
    <t>Consumable cost</t>
  </si>
  <si>
    <t>Labor cost</t>
  </si>
  <si>
    <t>How long are selections made for a cross?</t>
  </si>
  <si>
    <t>Number of simulated selections following a normal distribution</t>
  </si>
  <si>
    <t>Difference between number of real selections and simulated</t>
  </si>
  <si>
    <t>Number of adjusted simulated selections</t>
  </si>
  <si>
    <t>Randomized additional selections</t>
  </si>
  <si>
    <t>Questions</t>
  </si>
  <si>
    <t>Inputs</t>
  </si>
  <si>
    <t>Randomized year of selection</t>
  </si>
  <si>
    <t>Adjusted simulated selections</t>
  </si>
  <si>
    <t>Number of breeding cycles (below)</t>
  </si>
  <si>
    <t>Stage 1 Evaluation Year</t>
  </si>
  <si>
    <t>Stage 1 Years</t>
  </si>
  <si>
    <t>Breeding program years</t>
  </si>
  <si>
    <t>Stage 1 Input Evaluations</t>
  </si>
  <si>
    <t>C.) Is there any time spent in a nursery after this procedure where plants grow before they enter the next procedure?</t>
  </si>
  <si>
    <t>C.) What year in stage 1 does fruit evaluation begin?</t>
  </si>
  <si>
    <t>D.) Are selections made in the first year of evaluation? (Y/N)</t>
  </si>
  <si>
    <t>E.) If no, how many years of evaluation are required before selections progress?</t>
  </si>
  <si>
    <t>F.) Is there time spent in a nursery after this procedure where selections grow/propagate before progressing?</t>
  </si>
  <si>
    <t>C.) What year in stage 2 does fruit evaluation begin?</t>
  </si>
  <si>
    <t>C.) What year in stage 3 does fruit evaluation begin?</t>
  </si>
  <si>
    <t>When are selections first made in Stage 1?</t>
  </si>
  <si>
    <t>How long are selections made for a crossing cohort?</t>
  </si>
  <si>
    <t>A.) What year in the breeding pipeline would this stage begin?</t>
  </si>
  <si>
    <t xml:space="preserve">B.) How many years does this stage last for a single crossing cohort?? </t>
  </si>
  <si>
    <t>Number of selection adjustments needed</t>
  </si>
  <si>
    <t>Breeding inputs</t>
  </si>
  <si>
    <t>Stage 2 Evaluation Years</t>
  </si>
  <si>
    <t>H.) Approximately how many individuals does this come to be?</t>
  </si>
  <si>
    <t>Stage 1 
Seedling Test</t>
  </si>
  <si>
    <t>Stage 2 
Clonal Replication</t>
  </si>
  <si>
    <t>When does selection begin in Stage 2?</t>
  </si>
  <si>
    <t>Year Cultivars Entered Stage 2</t>
  </si>
  <si>
    <t>Total Number of Individuals</t>
  </si>
  <si>
    <t>Year Selection Entered Stage 2</t>
  </si>
  <si>
    <t>New Cultivar Numbers</t>
  </si>
  <si>
    <t>Prelim. Rank</t>
  </si>
  <si>
    <t xml:space="preserve">Generate Random Number </t>
  </si>
  <si>
    <t>Total Cultivar Number</t>
  </si>
  <si>
    <t>Cultivars per Year</t>
  </si>
  <si>
    <t>Random Selection Year</t>
  </si>
  <si>
    <t>Year in Program Selection Occurs</t>
  </si>
  <si>
    <t>Year in Program Individuals Enter Stage 2</t>
  </si>
  <si>
    <t>Random Selection in a Selected Year (Cell T76)</t>
  </si>
  <si>
    <t>Year 1</t>
  </si>
  <si>
    <t>Year 2</t>
  </si>
  <si>
    <t>Year 3</t>
  </si>
  <si>
    <t>Year 4</t>
  </si>
  <si>
    <t>Year 5</t>
  </si>
  <si>
    <t>Year 6</t>
  </si>
  <si>
    <t>Year 7</t>
  </si>
  <si>
    <t>Year 8</t>
  </si>
  <si>
    <t>Year 9</t>
  </si>
  <si>
    <t>Year 10</t>
  </si>
  <si>
    <t>Stage 3 Clonal replication with increased reps</t>
  </si>
  <si>
    <t>Stage 4 Grower Trials</t>
  </si>
  <si>
    <t>Estimated cost for 10 years of crosses</t>
  </si>
  <si>
    <t>Breeding Pipeline</t>
  </si>
  <si>
    <t>F.) Are DNA marker tests used in this stage?</t>
  </si>
  <si>
    <t>I.) How many years after DNA marker usage before selection are used as parents?</t>
  </si>
  <si>
    <t>E.) What percent of seedlings are removed due to low vigor?</t>
  </si>
  <si>
    <t>G.) Is there time spent in a nursery after this procedure where selections are propagated/grown before progressing?</t>
  </si>
  <si>
    <t>J.) What is the estimated percent removal attributed to DNA marker testing?</t>
  </si>
  <si>
    <t>G.) What is the estimated percent removal attributed to DNA marker testing?</t>
  </si>
  <si>
    <t>K.) How many years after DNA marker usage before selection are used as parents?</t>
  </si>
  <si>
    <t xml:space="preserve">L.) What percentage decrease do you expect for cull rates from DNA marker tests with each selection used as a parent? </t>
  </si>
  <si>
    <t xml:space="preserve">B.) How many years does this stage last for a single crossing cohort? </t>
  </si>
  <si>
    <t>I.) If DNA markers are applied here, what year in stage 2 are they applied?</t>
  </si>
  <si>
    <t>K.) How many years after DNA marker usage before selected individuals are used as parents?</t>
  </si>
  <si>
    <t xml:space="preserve">L.) What percentage decrease do you expect for cull rates from DNA marker test with each selection used as a parent? </t>
  </si>
  <si>
    <t>F.) What percentage of individuals are selected from stage 2 for further evaluation?</t>
  </si>
  <si>
    <t>G.) Approximately how many individuals does this come to be?</t>
  </si>
  <si>
    <t>H.) Is there time spent in a nursery after this procedure where selections grow/propagate before progressing?</t>
  </si>
  <si>
    <t>F.) What percentage of indviduals are selected from stage 3 for further evaluation?</t>
  </si>
  <si>
    <t>I.) If markers are applied here, what year in stage 3 are they applied?</t>
  </si>
  <si>
    <t xml:space="preserve">L.) If no, what percentage decrease do you expect for cull rates from DNA marker test with each selection being used as a parent? </t>
  </si>
  <si>
    <t>G.) If markers are applied here, what year in stage 1 are they applied?</t>
  </si>
  <si>
    <t>H.) What is the estimated percent removal attributed to DNA marker testing?</t>
  </si>
  <si>
    <t>C.) What year in stage 4 does fruit evaluation begin?</t>
  </si>
  <si>
    <t>D.) What percentage of individuals are selected from stage 4?</t>
  </si>
  <si>
    <t>E.) Approximately how many individuals does this come to be?</t>
  </si>
  <si>
    <t>Evaluation and Removal Inputs</t>
  </si>
  <si>
    <t>Stage 3 Clonal Replication with Increased Repetitions</t>
  </si>
  <si>
    <t>C.)What amount of time after this procedure is required for plant growth  before they enter the next procedure?</t>
  </si>
  <si>
    <t>D.) Are DNA marker tests used in this stage for parental selection (MAPS)? (Y/N)</t>
  </si>
  <si>
    <t>H.) What percentage decrease in removal rates, if any, do you expect due to DNA marker tests being used on new selections that then become parental crossing material? (Are traits in your program fixed after multiple uses of DNA marker testing?)</t>
  </si>
  <si>
    <t>If no, how often 
does the activity occur? 
(every 2-9 years)</t>
  </si>
  <si>
    <t>D.) What percent of seeds germinate?</t>
  </si>
  <si>
    <t>F.) What percentage of individuals are selected from seedling tests for further evaluation?</t>
  </si>
  <si>
    <t>I.) If DNA markers are applied here, what year in seedling test plots is testing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</si>
</sst>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0.000"/>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rgb="FFFFFFFF"/>
      <name val="Calibri"/>
      <family val="2"/>
      <scheme val="minor"/>
    </font>
    <font>
      <sz val="11"/>
      <name val="Calibri"/>
      <family val="2"/>
      <scheme val="minor"/>
    </font>
    <font>
      <b/>
      <sz val="9"/>
      <color indexed="81"/>
      <name val="Tahoma"/>
      <family val="2"/>
    </font>
    <font>
      <sz val="9"/>
      <color indexed="81"/>
      <name val="Tahoma"/>
      <family val="2"/>
    </font>
    <font>
      <b/>
      <sz val="11"/>
      <color theme="0"/>
      <name val="Calibri"/>
      <family val="2"/>
      <scheme val="minor"/>
    </font>
    <font>
      <b/>
      <sz val="11"/>
      <color rgb="FFFF0000"/>
      <name val="Calibri"/>
      <family val="2"/>
      <scheme val="minor"/>
    </font>
    <font>
      <b/>
      <sz val="20"/>
      <color theme="0"/>
      <name val="Calibri"/>
      <family val="2"/>
      <scheme val="minor"/>
    </font>
    <font>
      <strike/>
      <sz val="11"/>
      <color theme="1"/>
      <name val="Calibri"/>
      <family val="2"/>
      <scheme val="minor"/>
    </font>
    <font>
      <b/>
      <sz val="20"/>
      <color theme="1"/>
      <name val="Calibri"/>
      <family val="2"/>
      <scheme val="minor"/>
    </font>
    <font>
      <b/>
      <sz val="18"/>
      <color theme="1"/>
      <name val="Calibri"/>
      <family val="2"/>
      <scheme val="minor"/>
    </font>
    <font>
      <sz val="12"/>
      <color theme="1"/>
      <name val="Arial"/>
      <family val="2"/>
    </font>
    <font>
      <b/>
      <sz val="14"/>
      <color theme="1"/>
      <name val="Calibri"/>
      <family val="2"/>
      <scheme val="minor"/>
    </font>
    <font>
      <sz val="14"/>
      <color theme="1"/>
      <name val="Calibri"/>
      <family val="2"/>
      <scheme val="minor"/>
    </font>
    <font>
      <strike/>
      <sz val="14"/>
      <color theme="1"/>
      <name val="Calibri"/>
      <family val="2"/>
      <scheme val="minor"/>
    </font>
    <font>
      <sz val="20"/>
      <color theme="0"/>
      <name val="Calibri"/>
      <family val="2"/>
      <scheme val="minor"/>
    </font>
    <font>
      <sz val="18"/>
      <color theme="1"/>
      <name val="Calibri"/>
      <family val="2"/>
      <scheme val="minor"/>
    </font>
    <font>
      <sz val="11"/>
      <color theme="0" tint="-4.9989318521683403E-2"/>
      <name val="Calibri"/>
      <family val="2"/>
      <scheme val="minor"/>
    </font>
    <font>
      <sz val="16"/>
      <color theme="1"/>
      <name val="Calibri"/>
      <family val="2"/>
      <scheme val="minor"/>
    </font>
    <font>
      <b/>
      <sz val="18"/>
      <color theme="3" tint="0.59999389629810485"/>
      <name val="Calibri"/>
      <family val="2"/>
      <scheme val="minor"/>
    </font>
    <font>
      <sz val="18"/>
      <color theme="0"/>
      <name val="Calibri"/>
      <family val="2"/>
      <scheme val="minor"/>
    </font>
    <font>
      <sz val="16"/>
      <color theme="0"/>
      <name val="Calibri"/>
      <family val="2"/>
      <scheme val="minor"/>
    </font>
    <font>
      <b/>
      <sz val="16"/>
      <color theme="0"/>
      <name val="Calibri"/>
      <family val="2"/>
      <scheme val="minor"/>
    </font>
  </fonts>
  <fills count="11">
    <fill>
      <patternFill patternType="none"/>
    </fill>
    <fill>
      <patternFill patternType="gray125"/>
    </fill>
    <fill>
      <patternFill patternType="solid">
        <fgColor theme="1"/>
        <bgColor indexed="64"/>
      </patternFill>
    </fill>
    <fill>
      <patternFill patternType="solid">
        <fgColor rgb="FFC00000"/>
        <bgColor indexed="64"/>
      </patternFill>
    </fill>
    <fill>
      <patternFill patternType="solid">
        <fgColor theme="0"/>
        <bgColor indexed="64"/>
      </patternFill>
    </fill>
    <fill>
      <patternFill patternType="solid">
        <fgColor rgb="FFCCECFF"/>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tint="0.79998168889431442"/>
        <bgColor indexed="64"/>
      </patternFill>
    </fill>
  </fills>
  <borders count="44">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618">
    <xf numFmtId="0" fontId="0" fillId="0" borderId="0" xfId="0"/>
    <xf numFmtId="0" fontId="0" fillId="7" borderId="0" xfId="0" applyFill="1"/>
    <xf numFmtId="0" fontId="0" fillId="7" borderId="0" xfId="0" applyFill="1" applyAlignment="1">
      <alignment horizontal="center" vertical="center"/>
    </xf>
    <xf numFmtId="0" fontId="0" fillId="4" borderId="13" xfId="0" applyFill="1" applyBorder="1"/>
    <xf numFmtId="0" fontId="0" fillId="4" borderId="0" xfId="0" applyFill="1"/>
    <xf numFmtId="0" fontId="0" fillId="4" borderId="1" xfId="0" applyFill="1" applyBorder="1"/>
    <xf numFmtId="0" fontId="0" fillId="4" borderId="32" xfId="0" applyFill="1" applyBorder="1"/>
    <xf numFmtId="0" fontId="0" fillId="4" borderId="19" xfId="0" applyFill="1" applyBorder="1"/>
    <xf numFmtId="0" fontId="0" fillId="3" borderId="12" xfId="0" applyFill="1" applyBorder="1" applyAlignment="1" applyProtection="1">
      <alignment horizontal="center"/>
      <protection locked="0"/>
    </xf>
    <xf numFmtId="0" fontId="10" fillId="3" borderId="0" xfId="0" applyFont="1" applyFill="1" applyAlignment="1" applyProtection="1">
      <alignment horizontal="center" vertic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28" xfId="0" applyFill="1" applyBorder="1" applyAlignment="1" applyProtection="1">
      <alignment horizontal="center"/>
      <protection locked="0"/>
    </xf>
    <xf numFmtId="0" fontId="0" fillId="2" borderId="0" xfId="0" applyFill="1"/>
    <xf numFmtId="0" fontId="0" fillId="2" borderId="1" xfId="0" applyFill="1" applyBorder="1"/>
    <xf numFmtId="0" fontId="2" fillId="4" borderId="0" xfId="0" applyFont="1" applyFill="1" applyAlignment="1">
      <alignment horizontal="center"/>
    </xf>
    <xf numFmtId="0" fontId="0" fillId="4" borderId="0" xfId="0" applyFill="1" applyAlignment="1">
      <alignment horizontal="center"/>
    </xf>
    <xf numFmtId="0" fontId="0" fillId="4" borderId="0" xfId="0" applyFill="1" applyAlignment="1">
      <alignment horizontal="center" vertical="center"/>
    </xf>
    <xf numFmtId="0" fontId="0" fillId="4" borderId="0" xfId="0" applyFill="1" applyAlignment="1">
      <alignment horizontal="left"/>
    </xf>
    <xf numFmtId="0" fontId="16" fillId="9" borderId="22"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16" fillId="8" borderId="22" xfId="0" applyFont="1" applyFill="1" applyBorder="1" applyAlignment="1" applyProtection="1">
      <alignment horizontal="left"/>
      <protection locked="0"/>
    </xf>
    <xf numFmtId="0" fontId="15" fillId="9" borderId="22" xfId="0" applyFont="1" applyFill="1" applyBorder="1" applyAlignment="1" applyProtection="1">
      <alignment horizontal="left"/>
      <protection locked="0"/>
    </xf>
    <xf numFmtId="0" fontId="15" fillId="9" borderId="27" xfId="0" applyFont="1" applyFill="1" applyBorder="1" applyAlignment="1" applyProtection="1">
      <alignment horizontal="left"/>
      <protection locked="0"/>
    </xf>
    <xf numFmtId="0" fontId="17" fillId="8" borderId="22" xfId="0" applyFont="1" applyFill="1" applyBorder="1" applyAlignment="1" applyProtection="1">
      <alignment horizontal="left"/>
      <protection locked="0"/>
    </xf>
    <xf numFmtId="0" fontId="17" fillId="4" borderId="22" xfId="0" applyFont="1" applyFill="1" applyBorder="1" applyAlignment="1" applyProtection="1">
      <alignment horizontal="left"/>
      <protection locked="0"/>
    </xf>
    <xf numFmtId="0" fontId="15" fillId="9" borderId="22" xfId="0" applyFont="1" applyFill="1" applyBorder="1" applyAlignment="1" applyProtection="1">
      <alignment horizontal="left" vertical="center"/>
      <protection locked="0"/>
    </xf>
    <xf numFmtId="0" fontId="16" fillId="8" borderId="23" xfId="0" applyFont="1" applyFill="1" applyBorder="1" applyAlignment="1" applyProtection="1">
      <alignment horizontal="left"/>
      <protection locked="0"/>
    </xf>
    <xf numFmtId="0" fontId="15" fillId="9" borderId="0" xfId="0" applyFont="1" applyFill="1" applyAlignment="1" applyProtection="1">
      <alignment horizontal="center"/>
      <protection locked="0"/>
    </xf>
    <xf numFmtId="0" fontId="15" fillId="9" borderId="22" xfId="0" applyFont="1" applyFill="1" applyBorder="1" applyAlignment="1" applyProtection="1">
      <alignment horizontal="center"/>
      <protection locked="0"/>
    </xf>
    <xf numFmtId="0" fontId="16" fillId="9" borderId="0" xfId="0" applyFont="1" applyFill="1" applyAlignment="1" applyProtection="1">
      <alignment horizontal="center"/>
      <protection locked="0"/>
    </xf>
    <xf numFmtId="0" fontId="16" fillId="4" borderId="0" xfId="0" applyFont="1" applyFill="1" applyAlignment="1" applyProtection="1">
      <alignment horizontal="center"/>
      <protection locked="0"/>
    </xf>
    <xf numFmtId="0" fontId="16" fillId="4" borderId="22" xfId="0" applyFont="1" applyFill="1" applyBorder="1" applyAlignment="1" applyProtection="1">
      <alignment horizontal="center"/>
      <protection locked="0"/>
    </xf>
    <xf numFmtId="0" fontId="16" fillId="8" borderId="0" xfId="0" applyFont="1" applyFill="1" applyAlignment="1" applyProtection="1">
      <alignment horizontal="center"/>
      <protection locked="0"/>
    </xf>
    <xf numFmtId="0" fontId="16" fillId="8" borderId="22" xfId="0" applyFont="1" applyFill="1" applyBorder="1" applyAlignment="1" applyProtection="1">
      <alignment horizontal="center"/>
      <protection locked="0"/>
    </xf>
    <xf numFmtId="0" fontId="15" fillId="9" borderId="18" xfId="0" applyFont="1" applyFill="1" applyBorder="1" applyAlignment="1" applyProtection="1">
      <alignment horizontal="center"/>
      <protection locked="0"/>
    </xf>
    <xf numFmtId="0" fontId="15" fillId="9" borderId="27" xfId="0" applyFont="1" applyFill="1" applyBorder="1" applyAlignment="1" applyProtection="1">
      <alignment horizontal="center"/>
      <protection locked="0"/>
    </xf>
    <xf numFmtId="3" fontId="16" fillId="8" borderId="0" xfId="0" applyNumberFormat="1" applyFont="1" applyFill="1" applyAlignment="1" applyProtection="1">
      <alignment horizontal="center"/>
      <protection locked="0"/>
    </xf>
    <xf numFmtId="3" fontId="16" fillId="4" borderId="0" xfId="0" applyNumberFormat="1" applyFont="1" applyFill="1" applyAlignment="1" applyProtection="1">
      <alignment horizontal="center"/>
      <protection locked="0"/>
    </xf>
    <xf numFmtId="0" fontId="16" fillId="9" borderId="22" xfId="0" applyFont="1" applyFill="1" applyBorder="1" applyAlignment="1" applyProtection="1">
      <alignment horizontal="center"/>
      <protection locked="0"/>
    </xf>
    <xf numFmtId="0" fontId="16" fillId="4" borderId="0" xfId="0" applyFont="1" applyFill="1" applyAlignment="1" applyProtection="1">
      <alignment horizontal="center" vertical="center"/>
      <protection locked="0"/>
    </xf>
    <xf numFmtId="0" fontId="15" fillId="9" borderId="0" xfId="0" applyFont="1" applyFill="1" applyAlignment="1" applyProtection="1">
      <alignment horizontal="left" vertical="center"/>
      <protection locked="0"/>
    </xf>
    <xf numFmtId="0" fontId="16" fillId="8" borderId="1" xfId="0" applyFont="1" applyFill="1" applyBorder="1" applyAlignment="1" applyProtection="1">
      <alignment horizontal="center"/>
      <protection locked="0"/>
    </xf>
    <xf numFmtId="0" fontId="16" fillId="8" borderId="23" xfId="0" applyFont="1" applyFill="1" applyBorder="1" applyAlignment="1" applyProtection="1">
      <alignment horizontal="center"/>
      <protection locked="0"/>
    </xf>
    <xf numFmtId="0" fontId="0" fillId="2" borderId="22" xfId="0" applyFill="1" applyBorder="1" applyAlignment="1">
      <alignment horizontal="left"/>
    </xf>
    <xf numFmtId="0" fontId="0" fillId="2" borderId="23" xfId="0" applyFill="1" applyBorder="1"/>
    <xf numFmtId="0" fontId="0" fillId="2" borderId="22" xfId="0" applyFill="1" applyBorder="1" applyAlignment="1">
      <alignment vertical="center"/>
    </xf>
    <xf numFmtId="0" fontId="0" fillId="8" borderId="22" xfId="0" applyFill="1" applyBorder="1" applyAlignment="1">
      <alignment horizontal="center" vertical="center"/>
    </xf>
    <xf numFmtId="0" fontId="0" fillId="4" borderId="22" xfId="0" applyFill="1" applyBorder="1" applyAlignment="1">
      <alignment horizontal="center" vertical="center"/>
    </xf>
    <xf numFmtId="0" fontId="0" fillId="2" borderId="22" xfId="0" applyFill="1" applyBorder="1" applyAlignment="1">
      <alignment horizontal="center" vertical="center"/>
    </xf>
    <xf numFmtId="0" fontId="0" fillId="2" borderId="23" xfId="0" applyFill="1" applyBorder="1" applyAlignment="1">
      <alignment horizontal="center" vertical="center" wrapText="1"/>
    </xf>
    <xf numFmtId="0" fontId="0" fillId="2" borderId="14" xfId="0" applyFill="1" applyBorder="1" applyAlignment="1">
      <alignment horizontal="left" wrapText="1"/>
    </xf>
    <xf numFmtId="0" fontId="0" fillId="2" borderId="0" xfId="0" applyFill="1" applyAlignment="1">
      <alignment horizontal="left" wrapText="1"/>
    </xf>
    <xf numFmtId="0" fontId="0" fillId="2" borderId="15" xfId="0" applyFill="1" applyBorder="1"/>
    <xf numFmtId="0" fontId="0" fillId="2" borderId="1" xfId="0" applyFill="1" applyBorder="1" applyAlignment="1" applyProtection="1">
      <alignment horizontal="left"/>
      <protection locked="0"/>
    </xf>
    <xf numFmtId="0" fontId="0" fillId="2" borderId="1" xfId="0" applyFill="1" applyBorder="1" applyAlignment="1">
      <alignment horizontal="left" wrapText="1"/>
    </xf>
    <xf numFmtId="0" fontId="0" fillId="2" borderId="14" xfId="0" applyFill="1" applyBorder="1" applyAlignment="1">
      <alignment horizontal="left"/>
    </xf>
    <xf numFmtId="0" fontId="0" fillId="2" borderId="0" xfId="0" applyFill="1" applyAlignment="1">
      <alignment horizontal="left"/>
    </xf>
    <xf numFmtId="0" fontId="0" fillId="4" borderId="22" xfId="0" applyFill="1" applyBorder="1" applyAlignment="1" applyProtection="1">
      <alignment horizontal="center" vertical="center"/>
      <protection locked="0"/>
    </xf>
    <xf numFmtId="0" fontId="0" fillId="8" borderId="22" xfId="0" applyFill="1" applyBorder="1" applyAlignment="1" applyProtection="1">
      <alignment horizontal="center" vertical="center"/>
      <protection locked="0"/>
    </xf>
    <xf numFmtId="9" fontId="0" fillId="4" borderId="0" xfId="2" applyFont="1" applyFill="1" applyAlignment="1" applyProtection="1">
      <alignment horizontal="center" vertical="center"/>
      <protection locked="0"/>
    </xf>
    <xf numFmtId="9" fontId="0" fillId="4" borderId="22" xfId="2" applyFont="1" applyFill="1" applyBorder="1" applyAlignment="1" applyProtection="1">
      <alignment horizontal="center" vertical="center"/>
      <protection locked="0"/>
    </xf>
    <xf numFmtId="9" fontId="0" fillId="8" borderId="22" xfId="2" applyFont="1" applyFill="1" applyBorder="1" applyAlignment="1" applyProtection="1">
      <alignment horizontal="center"/>
      <protection locked="0"/>
    </xf>
    <xf numFmtId="9" fontId="0" fillId="4" borderId="22" xfId="2" applyFont="1" applyFill="1" applyBorder="1" applyAlignment="1" applyProtection="1">
      <alignment horizontal="center"/>
      <protection locked="0"/>
    </xf>
    <xf numFmtId="9" fontId="0" fillId="8" borderId="0" xfId="2" applyFont="1" applyFill="1" applyAlignment="1" applyProtection="1">
      <alignment horizontal="center" vertical="center"/>
      <protection locked="0"/>
    </xf>
    <xf numFmtId="0" fontId="0" fillId="2" borderId="21" xfId="0" applyFill="1" applyBorder="1" applyAlignment="1">
      <alignment horizontal="center" vertical="center"/>
    </xf>
    <xf numFmtId="0" fontId="0" fillId="8" borderId="23" xfId="0" applyFill="1" applyBorder="1" applyAlignment="1">
      <alignment horizontal="center" vertical="center"/>
    </xf>
    <xf numFmtId="9" fontId="0" fillId="8" borderId="22" xfId="2" applyFont="1" applyFill="1" applyBorder="1" applyAlignment="1" applyProtection="1">
      <alignment horizontal="center" vertical="center"/>
      <protection locked="0"/>
    </xf>
    <xf numFmtId="0" fontId="2" fillId="2" borderId="27" xfId="0" applyFont="1" applyFill="1" applyBorder="1" applyAlignment="1">
      <alignment horizontal="center" vertical="center"/>
    </xf>
    <xf numFmtId="9" fontId="0" fillId="2" borderId="22" xfId="2" applyFont="1" applyFill="1" applyBorder="1" applyAlignment="1" applyProtection="1">
      <alignment horizontal="center" vertical="center"/>
      <protection locked="0"/>
    </xf>
    <xf numFmtId="0" fontId="0" fillId="2" borderId="27" xfId="0" applyFill="1" applyBorder="1" applyAlignment="1" applyProtection="1">
      <alignment horizontal="left"/>
      <protection locked="0"/>
    </xf>
    <xf numFmtId="0" fontId="15" fillId="9" borderId="22" xfId="0" applyFont="1" applyFill="1" applyBorder="1" applyAlignment="1" applyProtection="1">
      <alignment horizontal="center" vertical="center"/>
      <protection locked="0"/>
    </xf>
    <xf numFmtId="0" fontId="15" fillId="9" borderId="0" xfId="0" applyFont="1" applyFill="1" applyAlignment="1" applyProtection="1">
      <alignment horizontal="center" vertical="center"/>
      <protection locked="0"/>
    </xf>
    <xf numFmtId="0" fontId="16" fillId="8" borderId="22" xfId="0" applyFont="1" applyFill="1" applyBorder="1" applyAlignment="1" applyProtection="1">
      <alignment horizontal="center" vertical="center"/>
      <protection locked="0"/>
    </xf>
    <xf numFmtId="0" fontId="16" fillId="4" borderId="22" xfId="0" applyFont="1" applyFill="1" applyBorder="1" applyAlignment="1" applyProtection="1">
      <alignment horizontal="center" vertical="center"/>
      <protection locked="0"/>
    </xf>
    <xf numFmtId="9" fontId="0" fillId="8" borderId="0" xfId="2" applyFont="1" applyFill="1" applyAlignment="1" applyProtection="1">
      <alignment horizontal="center" vertical="center" wrapText="1"/>
      <protection locked="0"/>
    </xf>
    <xf numFmtId="9" fontId="0" fillId="2" borderId="0" xfId="2" applyFont="1" applyFill="1" applyAlignment="1" applyProtection="1">
      <alignment horizontal="center" vertical="center" wrapText="1"/>
      <protection locked="0"/>
    </xf>
    <xf numFmtId="0" fontId="0" fillId="2" borderId="22"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22" xfId="0" applyFill="1" applyBorder="1" applyAlignment="1" applyProtection="1">
      <alignment horizontal="center" vertical="center" wrapText="1"/>
      <protection locked="0"/>
    </xf>
    <xf numFmtId="0" fontId="0" fillId="2" borderId="18" xfId="0" applyFill="1" applyBorder="1" applyAlignment="1" applyProtection="1">
      <alignment horizontal="left"/>
      <protection locked="0"/>
    </xf>
    <xf numFmtId="0" fontId="0" fillId="4" borderId="22" xfId="0" applyFill="1" applyBorder="1" applyAlignment="1" applyProtection="1">
      <alignment horizontal="center" vertical="center" wrapText="1"/>
      <protection locked="0"/>
    </xf>
    <xf numFmtId="0" fontId="0" fillId="8" borderId="22" xfId="0" applyFill="1" applyBorder="1" applyAlignment="1" applyProtection="1">
      <alignment horizontal="center" vertical="center" wrapText="1"/>
      <protection locked="0"/>
    </xf>
    <xf numFmtId="0" fontId="2" fillId="9" borderId="27" xfId="0" applyFont="1" applyFill="1" applyBorder="1" applyAlignment="1">
      <alignment horizontal="center" vertical="center"/>
    </xf>
    <xf numFmtId="0" fontId="0" fillId="2" borderId="21" xfId="0" applyFill="1" applyBorder="1" applyProtection="1">
      <protection locked="0"/>
    </xf>
    <xf numFmtId="0" fontId="0" fillId="2" borderId="13" xfId="0" applyFill="1" applyBorder="1" applyProtection="1">
      <protection locked="0"/>
    </xf>
    <xf numFmtId="2" fontId="15" fillId="9" borderId="22" xfId="0" applyNumberFormat="1" applyFont="1" applyFill="1" applyBorder="1" applyAlignment="1">
      <alignment horizontal="center"/>
    </xf>
    <xf numFmtId="2" fontId="16" fillId="4" borderId="22" xfId="0" applyNumberFormat="1" applyFont="1" applyFill="1" applyBorder="1" applyAlignment="1">
      <alignment horizontal="center"/>
    </xf>
    <xf numFmtId="2" fontId="16" fillId="8" borderId="22" xfId="0" applyNumberFormat="1" applyFont="1" applyFill="1" applyBorder="1" applyAlignment="1">
      <alignment horizontal="center"/>
    </xf>
    <xf numFmtId="2" fontId="15" fillId="9" borderId="27" xfId="0" applyNumberFormat="1" applyFont="1" applyFill="1" applyBorder="1" applyAlignment="1">
      <alignment horizontal="center"/>
    </xf>
    <xf numFmtId="2" fontId="16" fillId="9" borderId="22" xfId="0" applyNumberFormat="1" applyFont="1" applyFill="1" applyBorder="1" applyAlignment="1">
      <alignment horizontal="center"/>
    </xf>
    <xf numFmtId="2" fontId="16" fillId="8" borderId="23" xfId="0" applyNumberFormat="1" applyFont="1" applyFill="1" applyBorder="1" applyAlignment="1">
      <alignment horizontal="center"/>
    </xf>
    <xf numFmtId="0" fontId="0" fillId="9" borderId="13" xfId="0" applyFill="1" applyBorder="1" applyAlignment="1">
      <alignment horizontal="center" vertical="center"/>
    </xf>
    <xf numFmtId="0" fontId="0" fillId="8" borderId="0" xfId="0" applyFill="1" applyAlignment="1">
      <alignment horizontal="center" vertical="center"/>
    </xf>
    <xf numFmtId="0" fontId="0" fillId="9" borderId="0" xfId="0" applyFill="1" applyAlignment="1">
      <alignment horizontal="center" vertical="center"/>
    </xf>
    <xf numFmtId="0" fontId="0" fillId="8" borderId="1" xfId="0" applyFill="1" applyBorder="1" applyAlignment="1">
      <alignment horizontal="center" vertical="center"/>
    </xf>
    <xf numFmtId="0" fontId="0" fillId="4" borderId="22" xfId="2" applyNumberFormat="1" applyFont="1" applyFill="1" applyBorder="1" applyAlignment="1" applyProtection="1">
      <alignment horizontal="center" vertical="center"/>
      <protection locked="0"/>
    </xf>
    <xf numFmtId="0" fontId="0" fillId="4" borderId="22" xfId="0" applyFill="1" applyBorder="1" applyAlignment="1" applyProtection="1">
      <alignment horizontal="center"/>
      <protection locked="0"/>
    </xf>
    <xf numFmtId="0" fontId="0" fillId="2" borderId="16" xfId="0" applyFill="1" applyBorder="1"/>
    <xf numFmtId="0" fontId="0" fillId="2" borderId="18" xfId="0" applyFill="1" applyBorder="1"/>
    <xf numFmtId="2" fontId="0" fillId="9" borderId="13" xfId="0" applyNumberFormat="1" applyFill="1" applyBorder="1" applyAlignment="1">
      <alignment horizontal="center" vertical="center"/>
    </xf>
    <xf numFmtId="0" fontId="0" fillId="9" borderId="32" xfId="0" applyFill="1" applyBorder="1" applyAlignment="1">
      <alignment horizontal="center" vertical="center"/>
    </xf>
    <xf numFmtId="2" fontId="0" fillId="9" borderId="0" xfId="0" applyNumberFormat="1" applyFill="1" applyAlignment="1">
      <alignment horizontal="center" vertical="center"/>
    </xf>
    <xf numFmtId="0" fontId="0" fillId="9" borderId="19" xfId="0" applyFill="1" applyBorder="1" applyAlignment="1">
      <alignment horizontal="center" vertical="center"/>
    </xf>
    <xf numFmtId="0" fontId="0" fillId="4" borderId="14" xfId="0" applyFill="1" applyBorder="1" applyAlignment="1">
      <alignment horizontal="center" vertical="center"/>
    </xf>
    <xf numFmtId="2" fontId="0" fillId="4" borderId="0" xfId="0" applyNumberFormat="1" applyFill="1" applyAlignment="1">
      <alignment horizontal="center" vertical="center"/>
    </xf>
    <xf numFmtId="0" fontId="0" fillId="4" borderId="19" xfId="0" applyFill="1" applyBorder="1" applyAlignment="1">
      <alignment horizontal="center" vertical="center"/>
    </xf>
    <xf numFmtId="0" fontId="0" fillId="8" borderId="14" xfId="0" applyFill="1" applyBorder="1" applyAlignment="1">
      <alignment horizontal="center" vertical="center"/>
    </xf>
    <xf numFmtId="2" fontId="0" fillId="8" borderId="0" xfId="0" applyNumberFormat="1" applyFill="1" applyAlignment="1">
      <alignment horizontal="center" vertical="center"/>
    </xf>
    <xf numFmtId="0" fontId="0" fillId="8" borderId="19" xfId="0" applyFill="1" applyBorder="1" applyAlignment="1">
      <alignment horizontal="center" vertical="center"/>
    </xf>
    <xf numFmtId="0" fontId="0" fillId="9" borderId="14" xfId="0" applyFill="1" applyBorder="1" applyAlignment="1">
      <alignment horizontal="center" vertical="center"/>
    </xf>
    <xf numFmtId="0" fontId="0" fillId="8" borderId="15" xfId="0" applyFill="1" applyBorder="1" applyAlignment="1">
      <alignment horizontal="center" vertical="center"/>
    </xf>
    <xf numFmtId="2" fontId="0" fillId="8" borderId="1" xfId="0" applyNumberFormat="1" applyFill="1" applyBorder="1" applyAlignment="1">
      <alignment horizontal="center" vertical="center"/>
    </xf>
    <xf numFmtId="0" fontId="0" fillId="8" borderId="20" xfId="0" applyFill="1" applyBorder="1" applyAlignment="1">
      <alignment horizontal="center" vertical="center"/>
    </xf>
    <xf numFmtId="0" fontId="0" fillId="2" borderId="18" xfId="0" applyFill="1" applyBorder="1" applyAlignment="1">
      <alignment horizontal="center" vertical="center"/>
    </xf>
    <xf numFmtId="0" fontId="0" fillId="2" borderId="31" xfId="0" applyFill="1" applyBorder="1" applyAlignment="1">
      <alignment horizontal="center" vertical="center"/>
    </xf>
    <xf numFmtId="0" fontId="0" fillId="9" borderId="30" xfId="0" applyFill="1" applyBorder="1" applyAlignment="1">
      <alignment horizontal="center" vertical="center"/>
    </xf>
    <xf numFmtId="0" fontId="5" fillId="4" borderId="0" xfId="0" applyFont="1" applyFill="1" applyAlignment="1">
      <alignment horizontal="center" vertical="center"/>
    </xf>
    <xf numFmtId="0" fontId="5" fillId="4" borderId="13" xfId="0" applyFont="1" applyFill="1" applyBorder="1" applyAlignment="1">
      <alignment horizontal="center" vertical="center"/>
    </xf>
    <xf numFmtId="0" fontId="0" fillId="2" borderId="15" xfId="0" applyFill="1" applyBorder="1" applyAlignment="1">
      <alignment horizontal="center" vertical="center"/>
    </xf>
    <xf numFmtId="0" fontId="0" fillId="2" borderId="1" xfId="0" applyFill="1" applyBorder="1" applyAlignment="1">
      <alignment horizontal="center" vertical="center"/>
    </xf>
    <xf numFmtId="0" fontId="0" fillId="2" borderId="20" xfId="0" applyFill="1" applyBorder="1" applyAlignment="1">
      <alignment horizontal="center" vertical="center"/>
    </xf>
    <xf numFmtId="0" fontId="19" fillId="2" borderId="18" xfId="0" applyFont="1" applyFill="1" applyBorder="1"/>
    <xf numFmtId="0" fontId="0" fillId="2" borderId="13" xfId="0" applyFill="1" applyBorder="1"/>
    <xf numFmtId="0" fontId="0" fillId="2" borderId="32" xfId="0" applyFill="1" applyBorder="1"/>
    <xf numFmtId="0" fontId="0" fillId="9" borderId="30" xfId="0" applyFill="1" applyBorder="1"/>
    <xf numFmtId="0" fontId="0" fillId="9" borderId="13" xfId="0" applyFill="1" applyBorder="1"/>
    <xf numFmtId="0" fontId="0" fillId="9" borderId="32" xfId="0" applyFill="1" applyBorder="1"/>
    <xf numFmtId="9" fontId="0" fillId="9" borderId="0" xfId="0" applyNumberFormat="1" applyFill="1" applyAlignment="1">
      <alignment horizontal="center" vertical="center"/>
    </xf>
    <xf numFmtId="9" fontId="0" fillId="9" borderId="19" xfId="0" applyNumberFormat="1" applyFill="1" applyBorder="1" applyAlignment="1">
      <alignment horizontal="center" vertical="center"/>
    </xf>
    <xf numFmtId="9" fontId="0" fillId="9" borderId="0" xfId="2" applyFont="1" applyFill="1" applyAlignment="1">
      <alignment horizontal="center" vertical="center"/>
    </xf>
    <xf numFmtId="0" fontId="0" fillId="4" borderId="1" xfId="0" applyFill="1" applyBorder="1" applyAlignment="1">
      <alignment horizontal="center" vertical="center"/>
    </xf>
    <xf numFmtId="0" fontId="0" fillId="4" borderId="20" xfId="0" applyFill="1" applyBorder="1" applyAlignment="1">
      <alignment horizontal="center" vertical="center"/>
    </xf>
    <xf numFmtId="0" fontId="0" fillId="4" borderId="32" xfId="0" applyFill="1" applyBorder="1" applyAlignment="1">
      <alignment horizontal="center" vertical="center"/>
    </xf>
    <xf numFmtId="0" fontId="3" fillId="2" borderId="0" xfId="0" applyFont="1" applyFill="1" applyAlignment="1">
      <alignment horizontal="center" vertical="center"/>
    </xf>
    <xf numFmtId="0" fontId="0" fillId="2" borderId="0" xfId="0" applyFill="1" applyAlignment="1">
      <alignment vertical="center"/>
    </xf>
    <xf numFmtId="0" fontId="3" fillId="2" borderId="16" xfId="0" applyFont="1" applyFill="1" applyBorder="1" applyAlignment="1">
      <alignment horizontal="center" vertical="center"/>
    </xf>
    <xf numFmtId="2" fontId="0" fillId="4" borderId="0" xfId="0" applyNumberFormat="1" applyFill="1"/>
    <xf numFmtId="0" fontId="2" fillId="9" borderId="27" xfId="0" applyFont="1" applyFill="1" applyBorder="1" applyAlignment="1" applyProtection="1">
      <alignment horizontal="center" vertical="center" wrapText="1"/>
      <protection locked="0"/>
    </xf>
    <xf numFmtId="0" fontId="2" fillId="9" borderId="18" xfId="0" applyFont="1" applyFill="1" applyBorder="1" applyAlignment="1" applyProtection="1">
      <alignment horizontal="center" vertical="center" wrapText="1"/>
      <protection locked="0"/>
    </xf>
    <xf numFmtId="9" fontId="0" fillId="4" borderId="0" xfId="0" applyNumberFormat="1" applyFill="1"/>
    <xf numFmtId="0" fontId="0" fillId="4" borderId="30" xfId="0" applyFill="1" applyBorder="1" applyAlignment="1">
      <alignment horizontal="center"/>
    </xf>
    <xf numFmtId="0" fontId="0" fillId="4" borderId="13" xfId="0" applyFill="1" applyBorder="1" applyAlignment="1">
      <alignment horizontal="center"/>
    </xf>
    <xf numFmtId="0" fontId="5" fillId="4" borderId="13" xfId="0" applyFont="1" applyFill="1" applyBorder="1" applyAlignment="1">
      <alignment horizontal="center"/>
    </xf>
    <xf numFmtId="0" fontId="0" fillId="4" borderId="32" xfId="0" applyFill="1" applyBorder="1" applyAlignment="1">
      <alignment horizontal="center"/>
    </xf>
    <xf numFmtId="0" fontId="0" fillId="10" borderId="14" xfId="0" applyFill="1" applyBorder="1" applyAlignment="1">
      <alignment horizontal="center"/>
    </xf>
    <xf numFmtId="0" fontId="0" fillId="10" borderId="0" xfId="0" applyFill="1" applyAlignment="1">
      <alignment horizontal="center"/>
    </xf>
    <xf numFmtId="0" fontId="5" fillId="10" borderId="0" xfId="0" applyFont="1" applyFill="1" applyAlignment="1">
      <alignment horizontal="center"/>
    </xf>
    <xf numFmtId="0" fontId="0" fillId="10" borderId="19" xfId="0" applyFill="1" applyBorder="1" applyAlignment="1">
      <alignment horizontal="center"/>
    </xf>
    <xf numFmtId="0" fontId="0" fillId="4" borderId="14" xfId="0" applyFill="1" applyBorder="1" applyAlignment="1">
      <alignment horizontal="center"/>
    </xf>
    <xf numFmtId="0" fontId="5" fillId="4" borderId="0" xfId="0" applyFont="1" applyFill="1" applyAlignment="1">
      <alignment horizontal="center"/>
    </xf>
    <xf numFmtId="0" fontId="0" fillId="4" borderId="19" xfId="0" applyFill="1" applyBorder="1" applyAlignment="1">
      <alignment horizontal="center"/>
    </xf>
    <xf numFmtId="0" fontId="0" fillId="4" borderId="21" xfId="0" applyFill="1" applyBorder="1" applyAlignment="1">
      <alignment horizontal="center"/>
    </xf>
    <xf numFmtId="0" fontId="0" fillId="10" borderId="22" xfId="0" applyFill="1" applyBorder="1" applyAlignment="1">
      <alignment horizontal="center"/>
    </xf>
    <xf numFmtId="0" fontId="0" fillId="4" borderId="22" xfId="0" applyFill="1" applyBorder="1" applyAlignment="1">
      <alignment horizontal="center"/>
    </xf>
    <xf numFmtId="0" fontId="5" fillId="4" borderId="21" xfId="0" applyFont="1" applyFill="1" applyBorder="1" applyAlignment="1">
      <alignment horizontal="center"/>
    </xf>
    <xf numFmtId="0" fontId="5" fillId="10" borderId="22" xfId="0" applyFont="1" applyFill="1" applyBorder="1" applyAlignment="1">
      <alignment horizontal="center"/>
    </xf>
    <xf numFmtId="0" fontId="5" fillId="4" borderId="22" xfId="0" applyFont="1" applyFill="1" applyBorder="1" applyAlignment="1">
      <alignment horizontal="center"/>
    </xf>
    <xf numFmtId="0" fontId="0" fillId="4" borderId="22" xfId="0" applyFill="1" applyBorder="1"/>
    <xf numFmtId="0" fontId="0" fillId="10" borderId="22" xfId="0" applyFill="1" applyBorder="1"/>
    <xf numFmtId="0" fontId="0" fillId="10" borderId="22" xfId="0" applyFill="1" applyBorder="1" applyAlignment="1">
      <alignment horizontal="center" vertical="center"/>
    </xf>
    <xf numFmtId="0" fontId="0" fillId="10" borderId="23" xfId="0" applyFill="1" applyBorder="1"/>
    <xf numFmtId="0" fontId="0" fillId="10" borderId="23" xfId="0" applyFill="1" applyBorder="1" applyAlignment="1">
      <alignment horizontal="center" vertical="center"/>
    </xf>
    <xf numFmtId="0" fontId="0" fillId="4" borderId="25" xfId="0" applyFill="1" applyBorder="1" applyAlignment="1">
      <alignment horizontal="center" vertical="center"/>
    </xf>
    <xf numFmtId="0" fontId="0" fillId="10" borderId="23" xfId="0" applyFill="1" applyBorder="1" applyAlignment="1">
      <alignment horizontal="center"/>
    </xf>
    <xf numFmtId="0" fontId="0" fillId="4" borderId="27" xfId="0" applyFill="1" applyBorder="1" applyAlignment="1">
      <alignment horizontal="center"/>
    </xf>
    <xf numFmtId="0" fontId="0" fillId="4" borderId="37" xfId="0" applyFill="1" applyBorder="1" applyAlignment="1">
      <alignment horizontal="center" vertical="center"/>
    </xf>
    <xf numFmtId="0" fontId="0" fillId="4" borderId="26" xfId="0" applyFill="1" applyBorder="1" applyAlignment="1">
      <alignment horizontal="center" vertical="center"/>
    </xf>
    <xf numFmtId="0" fontId="0" fillId="4" borderId="34" xfId="0" applyFill="1" applyBorder="1" applyAlignment="1">
      <alignment horizontal="center" vertical="center"/>
    </xf>
    <xf numFmtId="0" fontId="0" fillId="10" borderId="36" xfId="0" applyFill="1" applyBorder="1" applyAlignment="1">
      <alignment horizontal="center" vertical="center"/>
    </xf>
    <xf numFmtId="0" fontId="0" fillId="10" borderId="25" xfId="0" applyFill="1" applyBorder="1" applyAlignment="1">
      <alignment horizontal="center" vertical="center"/>
    </xf>
    <xf numFmtId="0" fontId="0" fillId="10" borderId="33" xfId="0" applyFill="1" applyBorder="1" applyAlignment="1">
      <alignment horizontal="center" vertical="center"/>
    </xf>
    <xf numFmtId="0" fontId="0" fillId="4" borderId="36" xfId="0" applyFill="1" applyBorder="1" applyAlignment="1">
      <alignment horizontal="center" vertical="center"/>
    </xf>
    <xf numFmtId="0" fontId="0" fillId="4" borderId="33" xfId="0" applyFill="1" applyBorder="1" applyAlignment="1">
      <alignment horizontal="center" vertical="center"/>
    </xf>
    <xf numFmtId="0" fontId="0" fillId="4" borderId="35" xfId="0" applyFill="1" applyBorder="1" applyAlignment="1">
      <alignment horizontal="center" vertical="center"/>
    </xf>
    <xf numFmtId="0" fontId="0" fillId="4" borderId="17" xfId="0" applyFill="1" applyBorder="1" applyAlignment="1">
      <alignment horizontal="center" vertical="center"/>
    </xf>
    <xf numFmtId="0" fontId="0" fillId="4" borderId="29" xfId="0" applyFill="1" applyBorder="1" applyAlignment="1">
      <alignment horizontal="center" vertical="center"/>
    </xf>
    <xf numFmtId="0" fontId="20" fillId="4" borderId="0" xfId="0" applyFont="1" applyFill="1" applyAlignment="1">
      <alignment horizontal="center" vertical="center"/>
    </xf>
    <xf numFmtId="0" fontId="0" fillId="4" borderId="30" xfId="0" applyFill="1" applyBorder="1" applyAlignment="1">
      <alignment horizontal="center" vertical="center"/>
    </xf>
    <xf numFmtId="0" fontId="0" fillId="4" borderId="13" xfId="0" applyFill="1" applyBorder="1" applyAlignment="1">
      <alignment horizontal="center" vertical="center"/>
    </xf>
    <xf numFmtId="0" fontId="3" fillId="4" borderId="14" xfId="0" applyFont="1" applyFill="1" applyBorder="1" applyAlignment="1">
      <alignment horizontal="center" vertical="center"/>
    </xf>
    <xf numFmtId="0" fontId="3" fillId="4" borderId="0" xfId="0" applyFont="1" applyFill="1" applyAlignment="1">
      <alignment horizontal="center" vertical="center"/>
    </xf>
    <xf numFmtId="166" fontId="0" fillId="4" borderId="0" xfId="0" applyNumberFormat="1" applyFill="1" applyAlignment="1">
      <alignment horizontal="center" vertical="center"/>
    </xf>
    <xf numFmtId="1" fontId="0" fillId="4" borderId="0" xfId="0" applyNumberFormat="1" applyFill="1" applyAlignment="1">
      <alignment horizontal="center"/>
    </xf>
    <xf numFmtId="0" fontId="3" fillId="4" borderId="19" xfId="0" applyFont="1" applyFill="1" applyBorder="1" applyAlignment="1">
      <alignment horizontal="center" vertical="center"/>
    </xf>
    <xf numFmtId="166" fontId="0" fillId="4" borderId="14" xfId="0" applyNumberFormat="1" applyFill="1" applyBorder="1" applyAlignment="1">
      <alignment horizontal="center" vertical="center"/>
    </xf>
    <xf numFmtId="166" fontId="0" fillId="4" borderId="19" xfId="0" applyNumberFormat="1" applyFill="1" applyBorder="1" applyAlignment="1">
      <alignment horizontal="center" vertical="center"/>
    </xf>
    <xf numFmtId="0" fontId="5" fillId="4" borderId="0" xfId="0" applyFont="1" applyFill="1"/>
    <xf numFmtId="0" fontId="5" fillId="4" borderId="30" xfId="0" applyFont="1" applyFill="1" applyBorder="1" applyAlignment="1">
      <alignment horizontal="center"/>
    </xf>
    <xf numFmtId="0" fontId="5" fillId="4" borderId="32" xfId="0" applyFont="1" applyFill="1" applyBorder="1" applyAlignment="1">
      <alignment horizontal="center" vertical="center"/>
    </xf>
    <xf numFmtId="0" fontId="5" fillId="4" borderId="19" xfId="0" applyFont="1" applyFill="1" applyBorder="1" applyAlignment="1">
      <alignment horizontal="center" vertical="center"/>
    </xf>
    <xf numFmtId="0" fontId="5" fillId="4" borderId="14" xfId="0" applyFont="1" applyFill="1" applyBorder="1" applyAlignment="1">
      <alignment horizontal="center"/>
    </xf>
    <xf numFmtId="0" fontId="5" fillId="4" borderId="20" xfId="0" applyFont="1" applyFill="1" applyBorder="1" applyAlignment="1">
      <alignment horizontal="center" vertical="center"/>
    </xf>
    <xf numFmtId="1" fontId="5" fillId="4" borderId="0" xfId="0" applyNumberFormat="1" applyFont="1" applyFill="1" applyAlignment="1">
      <alignment horizontal="center" vertical="center"/>
    </xf>
    <xf numFmtId="1" fontId="0" fillId="4" borderId="15" xfId="0" applyNumberFormat="1" applyFill="1" applyBorder="1" applyAlignment="1">
      <alignment horizontal="center"/>
    </xf>
    <xf numFmtId="1" fontId="5" fillId="4" borderId="20" xfId="0" applyNumberFormat="1" applyFont="1" applyFill="1" applyBorder="1" applyAlignment="1">
      <alignment horizontal="center" vertical="center"/>
    </xf>
    <xf numFmtId="0" fontId="9" fillId="4" borderId="0" xfId="0" applyFont="1" applyFill="1" applyAlignment="1">
      <alignment horizontal="center"/>
    </xf>
    <xf numFmtId="0" fontId="4" fillId="4" borderId="0" xfId="0" applyFont="1" applyFill="1"/>
    <xf numFmtId="0" fontId="0" fillId="9" borderId="16" xfId="0" applyFill="1" applyBorder="1" applyAlignment="1">
      <alignment horizontal="center" vertical="center"/>
    </xf>
    <xf numFmtId="0" fontId="0" fillId="9" borderId="18" xfId="0" applyFill="1" applyBorder="1" applyAlignment="1">
      <alignment horizontal="center" vertical="center"/>
    </xf>
    <xf numFmtId="0" fontId="0" fillId="9" borderId="27" xfId="0" applyFill="1" applyBorder="1" applyAlignment="1">
      <alignment horizontal="center" vertical="center" wrapText="1"/>
    </xf>
    <xf numFmtId="0" fontId="0" fillId="9" borderId="27" xfId="0" applyFill="1" applyBorder="1" applyAlignment="1">
      <alignment horizontal="center" vertical="center"/>
    </xf>
    <xf numFmtId="0" fontId="0" fillId="9" borderId="18" xfId="0" applyFill="1" applyBorder="1" applyAlignment="1">
      <alignment horizontal="center" vertical="center" wrapText="1"/>
    </xf>
    <xf numFmtId="0" fontId="0" fillId="9" borderId="27" xfId="0" applyFill="1" applyBorder="1" applyAlignment="1">
      <alignment vertical="center" wrapText="1"/>
    </xf>
    <xf numFmtId="0" fontId="0" fillId="9" borderId="31" xfId="0" applyFill="1" applyBorder="1" applyAlignment="1">
      <alignment horizontal="center" vertical="center" wrapText="1"/>
    </xf>
    <xf numFmtId="0" fontId="0" fillId="9" borderId="16" xfId="0" applyFill="1" applyBorder="1" applyAlignment="1">
      <alignment horizontal="center" vertical="center" wrapText="1"/>
    </xf>
    <xf numFmtId="0" fontId="0" fillId="10" borderId="15" xfId="0" applyFill="1" applyBorder="1" applyAlignment="1">
      <alignment horizontal="center"/>
    </xf>
    <xf numFmtId="0" fontId="0" fillId="10" borderId="1" xfId="0" applyFill="1" applyBorder="1" applyAlignment="1">
      <alignment horizontal="center"/>
    </xf>
    <xf numFmtId="0" fontId="5" fillId="10" borderId="23" xfId="0" applyFont="1" applyFill="1" applyBorder="1" applyAlignment="1">
      <alignment horizontal="center"/>
    </xf>
    <xf numFmtId="0" fontId="5" fillId="10" borderId="1" xfId="0" applyFont="1" applyFill="1" applyBorder="1" applyAlignment="1">
      <alignment horizontal="center"/>
    </xf>
    <xf numFmtId="0" fontId="0" fillId="10" borderId="20" xfId="0" applyFill="1" applyBorder="1" applyAlignment="1">
      <alignment horizontal="center"/>
    </xf>
    <xf numFmtId="0" fontId="0" fillId="9" borderId="31" xfId="0" applyFill="1" applyBorder="1" applyAlignment="1">
      <alignment horizontal="center" vertical="center"/>
    </xf>
    <xf numFmtId="0" fontId="20" fillId="4" borderId="0" xfId="0" applyFont="1" applyFill="1" applyAlignment="1">
      <alignment horizontal="center"/>
    </xf>
    <xf numFmtId="0" fontId="19" fillId="4" borderId="19" xfId="0" applyFont="1" applyFill="1" applyBorder="1" applyAlignment="1">
      <alignment horizontal="center" vertical="center" textRotation="90"/>
    </xf>
    <xf numFmtId="0" fontId="0" fillId="4" borderId="21" xfId="0" applyFill="1" applyBorder="1" applyAlignment="1" applyProtection="1">
      <alignment horizontal="center" vertical="center" wrapText="1"/>
      <protection locked="0"/>
    </xf>
    <xf numFmtId="0" fontId="0" fillId="2" borderId="27" xfId="0" applyFill="1" applyBorder="1" applyAlignment="1">
      <alignment horizontal="left"/>
    </xf>
    <xf numFmtId="0" fontId="0" fillId="2" borderId="16" xfId="0" applyFill="1" applyBorder="1" applyAlignment="1">
      <alignment horizontal="left" wrapText="1"/>
    </xf>
    <xf numFmtId="0" fontId="0" fillId="2" borderId="18" xfId="0" applyFill="1" applyBorder="1" applyAlignment="1">
      <alignment horizontal="left" wrapText="1"/>
    </xf>
    <xf numFmtId="0" fontId="0" fillId="8" borderId="22" xfId="0" applyFill="1" applyBorder="1" applyAlignment="1">
      <alignment horizontal="center"/>
    </xf>
    <xf numFmtId="0" fontId="0" fillId="8" borderId="19" xfId="0" applyFill="1" applyBorder="1"/>
    <xf numFmtId="0" fontId="2" fillId="9" borderId="16" xfId="0" applyFont="1" applyFill="1" applyBorder="1" applyAlignment="1">
      <alignment horizontal="center" vertical="center" wrapText="1"/>
    </xf>
    <xf numFmtId="0" fontId="2" fillId="9" borderId="18" xfId="0" applyFont="1" applyFill="1" applyBorder="1" applyAlignment="1">
      <alignment horizontal="center" vertical="center"/>
    </xf>
    <xf numFmtId="0" fontId="2" fillId="9" borderId="31" xfId="0" applyFont="1" applyFill="1" applyBorder="1" applyAlignment="1">
      <alignment horizontal="center" vertical="center"/>
    </xf>
    <xf numFmtId="0" fontId="0" fillId="7" borderId="22" xfId="0" applyFill="1" applyBorder="1"/>
    <xf numFmtId="0" fontId="0" fillId="7" borderId="22" xfId="0" applyFill="1" applyBorder="1" applyAlignment="1">
      <alignment horizontal="center" vertical="center"/>
    </xf>
    <xf numFmtId="0" fontId="0" fillId="7" borderId="14" xfId="0" applyFill="1" applyBorder="1" applyAlignment="1">
      <alignment horizontal="center" vertical="center"/>
    </xf>
    <xf numFmtId="0" fontId="0" fillId="7" borderId="19" xfId="0" applyFill="1" applyBorder="1"/>
    <xf numFmtId="0" fontId="0" fillId="7" borderId="23" xfId="0" applyFill="1" applyBorder="1"/>
    <xf numFmtId="0" fontId="0" fillId="7" borderId="23" xfId="0" applyFill="1" applyBorder="1" applyAlignment="1">
      <alignment horizontal="center" vertical="center"/>
    </xf>
    <xf numFmtId="0" fontId="3" fillId="7" borderId="14" xfId="0" applyFont="1" applyFill="1" applyBorder="1" applyAlignment="1">
      <alignment horizontal="center" vertical="center"/>
    </xf>
    <xf numFmtId="0" fontId="3" fillId="7" borderId="0" xfId="0" applyFont="1" applyFill="1" applyAlignment="1">
      <alignment horizontal="center" vertical="center"/>
    </xf>
    <xf numFmtId="165" fontId="0" fillId="7" borderId="0" xfId="0" applyNumberFormat="1" applyFill="1" applyAlignment="1">
      <alignment horizontal="center" vertical="center"/>
    </xf>
    <xf numFmtId="0" fontId="0" fillId="7" borderId="19" xfId="0" applyFill="1" applyBorder="1" applyAlignment="1">
      <alignment horizontal="center" vertical="center"/>
    </xf>
    <xf numFmtId="0" fontId="0" fillId="7" borderId="15" xfId="0" applyFill="1" applyBorder="1" applyAlignment="1">
      <alignment horizontal="center" vertical="center"/>
    </xf>
    <xf numFmtId="0" fontId="0" fillId="7" borderId="1" xfId="0" applyFill="1" applyBorder="1" applyAlignment="1">
      <alignment horizontal="center" vertical="center"/>
    </xf>
    <xf numFmtId="0" fontId="3" fillId="7" borderId="1" xfId="0" applyFont="1" applyFill="1" applyBorder="1" applyAlignment="1">
      <alignment horizontal="center" vertical="center"/>
    </xf>
    <xf numFmtId="0" fontId="0" fillId="7" borderId="20" xfId="0" applyFill="1" applyBorder="1" applyAlignment="1">
      <alignment horizontal="center" vertical="center"/>
    </xf>
    <xf numFmtId="1" fontId="0" fillId="4" borderId="13" xfId="0" applyNumberFormat="1" applyFill="1" applyBorder="1" applyAlignment="1">
      <alignment horizontal="center" vertical="center"/>
    </xf>
    <xf numFmtId="0" fontId="2" fillId="9" borderId="35" xfId="0" applyFont="1" applyFill="1" applyBorder="1" applyAlignment="1">
      <alignment horizontal="center" vertical="center"/>
    </xf>
    <xf numFmtId="0" fontId="2" fillId="9" borderId="17" xfId="0" applyFont="1" applyFill="1" applyBorder="1" applyAlignment="1">
      <alignment horizontal="center" vertical="center" wrapText="1"/>
    </xf>
    <xf numFmtId="0" fontId="2" fillId="9" borderId="17" xfId="0" applyFont="1" applyFill="1" applyBorder="1" applyAlignment="1">
      <alignment horizontal="center" vertical="center"/>
    </xf>
    <xf numFmtId="0" fontId="2" fillId="9" borderId="29" xfId="0" applyFont="1" applyFill="1" applyBorder="1" applyAlignment="1">
      <alignment horizontal="center" vertical="center" wrapText="1"/>
    </xf>
    <xf numFmtId="0" fontId="0" fillId="8" borderId="14" xfId="0" applyFill="1" applyBorder="1" applyAlignment="1">
      <alignment horizontal="center"/>
    </xf>
    <xf numFmtId="0" fontId="0" fillId="8" borderId="0" xfId="0" applyFill="1" applyAlignment="1">
      <alignment horizontal="center"/>
    </xf>
    <xf numFmtId="0" fontId="0" fillId="8" borderId="15" xfId="0" applyFill="1" applyBorder="1" applyAlignment="1">
      <alignment horizontal="center"/>
    </xf>
    <xf numFmtId="0" fontId="0" fillId="8" borderId="1" xfId="0" applyFill="1" applyBorder="1" applyAlignment="1">
      <alignment horizontal="center"/>
    </xf>
    <xf numFmtId="0" fontId="0" fillId="8" borderId="20" xfId="0" applyFill="1" applyBorder="1"/>
    <xf numFmtId="0" fontId="5" fillId="8" borderId="0" xfId="0" applyFont="1" applyFill="1" applyAlignment="1">
      <alignment horizontal="center" vertical="center"/>
    </xf>
    <xf numFmtId="0" fontId="5" fillId="8" borderId="19" xfId="0" applyFont="1" applyFill="1" applyBorder="1" applyAlignment="1">
      <alignment horizontal="center" vertical="center"/>
    </xf>
    <xf numFmtId="0" fontId="5" fillId="8" borderId="1" xfId="0" applyFont="1" applyFill="1" applyBorder="1" applyAlignment="1">
      <alignment horizontal="center" vertical="center"/>
    </xf>
    <xf numFmtId="0" fontId="5" fillId="8" borderId="20" xfId="0" applyFont="1" applyFill="1" applyBorder="1" applyAlignment="1">
      <alignment horizontal="center" vertical="center"/>
    </xf>
    <xf numFmtId="0" fontId="2" fillId="9" borderId="35" xfId="0" applyFont="1" applyFill="1" applyBorder="1" applyAlignment="1">
      <alignment horizontal="center" vertical="center" wrapText="1"/>
    </xf>
    <xf numFmtId="0" fontId="2" fillId="9" borderId="29" xfId="0" applyFont="1" applyFill="1" applyBorder="1" applyAlignment="1">
      <alignment horizontal="center" vertical="center"/>
    </xf>
    <xf numFmtId="0" fontId="3" fillId="4" borderId="0" xfId="0" applyFont="1" applyFill="1" applyAlignment="1">
      <alignment horizontal="center"/>
    </xf>
    <xf numFmtId="0" fontId="3" fillId="4" borderId="0" xfId="0" applyFont="1" applyFill="1"/>
    <xf numFmtId="0" fontId="5" fillId="4" borderId="30" xfId="0" applyFont="1" applyFill="1" applyBorder="1" applyAlignment="1">
      <alignment horizontal="center" vertical="center"/>
    </xf>
    <xf numFmtId="0" fontId="5" fillId="8" borderId="14"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22" fillId="9" borderId="15" xfId="0" applyFont="1" applyFill="1" applyBorder="1" applyAlignment="1">
      <alignment horizontal="center" wrapText="1"/>
    </xf>
    <xf numFmtId="0" fontId="13" fillId="9" borderId="30" xfId="0" applyFont="1" applyFill="1" applyBorder="1" applyAlignment="1">
      <alignment horizontal="center" wrapText="1"/>
    </xf>
    <xf numFmtId="0" fontId="13" fillId="9" borderId="13" xfId="0" applyFont="1" applyFill="1" applyBorder="1" applyAlignment="1">
      <alignment horizontal="center"/>
    </xf>
    <xf numFmtId="0" fontId="13" fillId="9" borderId="13" xfId="0" applyFont="1" applyFill="1" applyBorder="1" applyAlignment="1">
      <alignment horizontal="center" wrapText="1"/>
    </xf>
    <xf numFmtId="0" fontId="13" fillId="9" borderId="32" xfId="0" applyFont="1" applyFill="1" applyBorder="1" applyAlignment="1">
      <alignment horizontal="center"/>
    </xf>
    <xf numFmtId="0" fontId="22" fillId="9" borderId="1" xfId="0" applyFont="1" applyFill="1" applyBorder="1" applyAlignment="1">
      <alignment horizontal="center"/>
    </xf>
    <xf numFmtId="0" fontId="13" fillId="9" borderId="1" xfId="0" applyFont="1" applyFill="1" applyBorder="1"/>
    <xf numFmtId="0" fontId="13" fillId="9" borderId="20" xfId="0" applyFont="1" applyFill="1" applyBorder="1"/>
    <xf numFmtId="0" fontId="0" fillId="2" borderId="13" xfId="0" applyFill="1" applyBorder="1" applyAlignment="1">
      <alignment horizontal="center" vertical="center"/>
    </xf>
    <xf numFmtId="0" fontId="0" fillId="2" borderId="32" xfId="0" applyFill="1" applyBorder="1" applyAlignment="1">
      <alignment horizontal="center" vertical="center"/>
    </xf>
    <xf numFmtId="0" fontId="0" fillId="8" borderId="22" xfId="2" applyNumberFormat="1" applyFont="1" applyFill="1" applyBorder="1" applyAlignment="1" applyProtection="1">
      <alignment horizontal="center" vertical="center"/>
      <protection locked="0"/>
    </xf>
    <xf numFmtId="0" fontId="3" fillId="2" borderId="18" xfId="0" applyFont="1" applyFill="1" applyBorder="1" applyAlignment="1">
      <alignment horizontal="center" vertical="center"/>
    </xf>
    <xf numFmtId="0" fontId="3" fillId="2" borderId="31" xfId="0" applyFont="1" applyFill="1" applyBorder="1" applyAlignment="1">
      <alignment horizontal="center" vertical="center"/>
    </xf>
    <xf numFmtId="0" fontId="23" fillId="2" borderId="22" xfId="0" applyFont="1" applyFill="1" applyBorder="1" applyAlignment="1">
      <alignment horizontal="center" vertical="center"/>
    </xf>
    <xf numFmtId="0" fontId="3" fillId="2" borderId="14" xfId="0" applyFont="1" applyFill="1" applyBorder="1" applyAlignment="1">
      <alignment horizontal="center" vertical="center"/>
    </xf>
    <xf numFmtId="2" fontId="3" fillId="2" borderId="0" xfId="0" applyNumberFormat="1" applyFont="1" applyFill="1" applyAlignment="1">
      <alignment horizontal="center" vertical="center"/>
    </xf>
    <xf numFmtId="9" fontId="3" fillId="2" borderId="22" xfId="2" applyFont="1" applyFill="1" applyBorder="1" applyAlignment="1">
      <alignment horizontal="center" vertical="center"/>
    </xf>
    <xf numFmtId="0" fontId="3" fillId="2" borderId="0" xfId="0" applyFont="1" applyFill="1"/>
    <xf numFmtId="0" fontId="23" fillId="2" borderId="27" xfId="0" applyFont="1" applyFill="1" applyBorder="1" applyAlignment="1">
      <alignment horizontal="center" vertical="center"/>
    </xf>
    <xf numFmtId="2" fontId="3" fillId="2" borderId="18" xfId="0" applyNumberFormat="1" applyFont="1" applyFill="1" applyBorder="1" applyAlignment="1">
      <alignment horizontal="center" vertical="center"/>
    </xf>
    <xf numFmtId="9" fontId="3" fillId="2" borderId="27" xfId="2" applyFont="1" applyFill="1" applyBorder="1" applyAlignment="1">
      <alignment horizontal="center" vertical="center"/>
    </xf>
    <xf numFmtId="0" fontId="3" fillId="2" borderId="18" xfId="0" applyFont="1" applyFill="1" applyBorder="1"/>
    <xf numFmtId="0" fontId="19" fillId="2" borderId="22" xfId="0" applyFont="1" applyFill="1" applyBorder="1" applyAlignment="1">
      <alignment horizontal="center" vertical="center"/>
    </xf>
    <xf numFmtId="0" fontId="19" fillId="2" borderId="27" xfId="0" applyFont="1" applyFill="1" applyBorder="1" applyAlignment="1">
      <alignment horizontal="center" vertical="center"/>
    </xf>
    <xf numFmtId="0" fontId="0" fillId="2" borderId="16" xfId="0" applyFill="1" applyBorder="1" applyAlignment="1">
      <alignment horizontal="center" vertical="center"/>
    </xf>
    <xf numFmtId="2" fontId="0" fillId="2" borderId="18" xfId="0" applyNumberFormat="1" applyFill="1" applyBorder="1" applyAlignment="1">
      <alignment horizontal="center" vertical="center"/>
    </xf>
    <xf numFmtId="9" fontId="0" fillId="2" borderId="27" xfId="2" applyFont="1" applyFill="1" applyBorder="1" applyAlignment="1">
      <alignment horizontal="center" vertical="center"/>
    </xf>
    <xf numFmtId="0" fontId="0" fillId="2" borderId="31" xfId="0" applyFill="1" applyBorder="1"/>
    <xf numFmtId="0" fontId="3" fillId="2" borderId="31" xfId="0" applyFont="1" applyFill="1" applyBorder="1"/>
    <xf numFmtId="0" fontId="3" fillId="2" borderId="27" xfId="0" applyFont="1" applyFill="1" applyBorder="1" applyAlignment="1">
      <alignment horizontal="center" vertical="center"/>
    </xf>
    <xf numFmtId="0" fontId="0" fillId="2" borderId="27" xfId="0" applyFill="1" applyBorder="1" applyAlignment="1">
      <alignment horizontal="center" vertical="center"/>
    </xf>
    <xf numFmtId="0" fontId="0" fillId="2" borderId="27" xfId="0" applyFill="1" applyBorder="1"/>
    <xf numFmtId="0" fontId="25" fillId="2" borderId="27" xfId="0" applyFont="1" applyFill="1" applyBorder="1" applyAlignment="1">
      <alignment horizontal="center" vertical="center"/>
    </xf>
    <xf numFmtId="0" fontId="25" fillId="2" borderId="18" xfId="0" applyFont="1" applyFill="1" applyBorder="1" applyAlignment="1">
      <alignment horizontal="center" vertical="center"/>
    </xf>
    <xf numFmtId="0" fontId="25" fillId="4" borderId="13" xfId="0" applyFont="1" applyFill="1" applyBorder="1" applyAlignment="1">
      <alignment horizontal="center" vertical="center"/>
    </xf>
    <xf numFmtId="0" fontId="25" fillId="2" borderId="31" xfId="0" applyFont="1" applyFill="1" applyBorder="1" applyAlignment="1">
      <alignment horizontal="center" vertical="center"/>
    </xf>
    <xf numFmtId="0" fontId="24" fillId="2" borderId="16" xfId="0" applyFont="1" applyFill="1" applyBorder="1" applyAlignment="1">
      <alignment horizontal="center" vertical="center"/>
    </xf>
    <xf numFmtId="0" fontId="24" fillId="2" borderId="18" xfId="0" applyFont="1" applyFill="1" applyBorder="1" applyAlignment="1">
      <alignment horizontal="center" vertical="center"/>
    </xf>
    <xf numFmtId="165" fontId="0" fillId="9" borderId="14" xfId="0" applyNumberFormat="1" applyFill="1" applyBorder="1" applyAlignment="1">
      <alignment horizontal="center" vertical="center"/>
    </xf>
    <xf numFmtId="165" fontId="0" fillId="9" borderId="0" xfId="0" applyNumberFormat="1" applyFill="1" applyAlignment="1">
      <alignment horizontal="center" vertical="center"/>
    </xf>
    <xf numFmtId="165" fontId="0" fillId="9" borderId="19" xfId="0" applyNumberFormat="1" applyFill="1" applyBorder="1" applyAlignment="1">
      <alignment horizontal="center" vertical="center"/>
    </xf>
    <xf numFmtId="1" fontId="0" fillId="9" borderId="14" xfId="0" applyNumberFormat="1" applyFill="1" applyBorder="1" applyAlignment="1">
      <alignment horizontal="center" vertical="center"/>
    </xf>
    <xf numFmtId="1" fontId="0" fillId="9" borderId="0" xfId="0" applyNumberFormat="1" applyFill="1" applyAlignment="1">
      <alignment horizontal="center" vertical="center"/>
    </xf>
    <xf numFmtId="1" fontId="0" fillId="9" borderId="19" xfId="0" applyNumberFormat="1" applyFill="1" applyBorder="1" applyAlignment="1">
      <alignment horizontal="center" vertical="center"/>
    </xf>
    <xf numFmtId="1" fontId="0" fillId="4" borderId="31" xfId="1" applyNumberFormat="1" applyFont="1" applyFill="1" applyBorder="1" applyAlignment="1">
      <alignment horizontal="center"/>
    </xf>
    <xf numFmtId="1" fontId="0" fillId="4" borderId="31" xfId="1" applyNumberFormat="1" applyFont="1" applyFill="1" applyBorder="1" applyAlignment="1">
      <alignment horizontal="center" vertical="center"/>
    </xf>
    <xf numFmtId="1" fontId="0" fillId="8" borderId="31" xfId="1" applyNumberFormat="1" applyFont="1" applyFill="1" applyBorder="1" applyAlignment="1">
      <alignment horizontal="center" vertical="center"/>
    </xf>
    <xf numFmtId="1" fontId="0" fillId="4" borderId="32" xfId="1" applyNumberFormat="1" applyFont="1" applyFill="1" applyBorder="1" applyAlignment="1">
      <alignment horizontal="center" vertical="center"/>
    </xf>
    <xf numFmtId="1" fontId="0" fillId="8" borderId="19" xfId="0" applyNumberFormat="1" applyFill="1" applyBorder="1" applyAlignment="1">
      <alignment horizontal="center" vertical="center"/>
    </xf>
    <xf numFmtId="1" fontId="0" fillId="4" borderId="19" xfId="0" applyNumberFormat="1" applyFill="1" applyBorder="1" applyAlignment="1">
      <alignment horizontal="center" vertical="center"/>
    </xf>
    <xf numFmtId="1" fontId="0" fillId="8" borderId="20" xfId="0" applyNumberFormat="1" applyFill="1" applyBorder="1" applyAlignment="1">
      <alignment horizontal="center" vertical="center"/>
    </xf>
    <xf numFmtId="1" fontId="0" fillId="4" borderId="32" xfId="0" applyNumberFormat="1" applyFill="1" applyBorder="1" applyAlignment="1">
      <alignment horizontal="center" vertical="center"/>
    </xf>
    <xf numFmtId="0" fontId="0" fillId="2" borderId="27" xfId="0" applyFill="1" applyBorder="1" applyAlignment="1" applyProtection="1">
      <alignment horizontal="center" vertical="center"/>
      <protection locked="0"/>
    </xf>
    <xf numFmtId="0" fontId="0" fillId="4" borderId="14" xfId="0" applyFill="1" applyBorder="1" applyAlignment="1">
      <alignment horizontal="center" vertical="center" wrapText="1"/>
    </xf>
    <xf numFmtId="0" fontId="0" fillId="2" borderId="15" xfId="0" applyFill="1" applyBorder="1" applyAlignment="1">
      <alignment horizontal="left" wrapText="1"/>
    </xf>
    <xf numFmtId="0" fontId="0" fillId="2" borderId="20" xfId="0" applyFill="1" applyBorder="1" applyAlignment="1">
      <alignment horizontal="left" wrapText="1"/>
    </xf>
    <xf numFmtId="0" fontId="0" fillId="8" borderId="23" xfId="2" applyNumberFormat="1" applyFont="1" applyFill="1" applyBorder="1" applyAlignment="1" applyProtection="1">
      <alignment horizontal="center" vertical="center"/>
      <protection locked="0"/>
    </xf>
    <xf numFmtId="0" fontId="0" fillId="8" borderId="22" xfId="0" applyFill="1" applyBorder="1" applyAlignment="1" applyProtection="1">
      <alignment horizontal="center"/>
      <protection locked="0"/>
    </xf>
    <xf numFmtId="0" fontId="0" fillId="2" borderId="18" xfId="0" applyFill="1" applyBorder="1" applyAlignment="1">
      <alignment vertical="center"/>
    </xf>
    <xf numFmtId="0" fontId="5" fillId="2" borderId="0" xfId="0" applyFont="1" applyFill="1"/>
    <xf numFmtId="0" fontId="5" fillId="2" borderId="0" xfId="0" applyFont="1" applyFill="1" applyAlignment="1">
      <alignment horizontal="left"/>
    </xf>
    <xf numFmtId="0" fontId="12" fillId="2" borderId="0" xfId="0" applyFont="1" applyFill="1" applyAlignment="1">
      <alignment vertical="center"/>
    </xf>
    <xf numFmtId="0" fontId="2" fillId="2" borderId="0" xfId="0" applyFont="1" applyFill="1" applyAlignment="1">
      <alignment horizontal="center"/>
    </xf>
    <xf numFmtId="0" fontId="0" fillId="2" borderId="0" xfId="0" applyFill="1" applyAlignment="1">
      <alignment horizontal="center"/>
    </xf>
    <xf numFmtId="164" fontId="0" fillId="2" borderId="0" xfId="2" applyNumberFormat="1" applyFont="1" applyFill="1" applyAlignment="1">
      <alignment horizontal="left"/>
    </xf>
    <xf numFmtId="0" fontId="0" fillId="2" borderId="0" xfId="0" applyFill="1" applyAlignment="1">
      <alignment horizontal="center" wrapText="1"/>
    </xf>
    <xf numFmtId="0" fontId="0" fillId="2" borderId="0" xfId="0" applyFill="1" applyAlignment="1">
      <alignment vertical="center" wrapText="1"/>
    </xf>
    <xf numFmtId="0" fontId="0" fillId="2" borderId="0" xfId="0" applyFill="1" applyAlignment="1">
      <alignment wrapText="1"/>
    </xf>
    <xf numFmtId="0" fontId="14" fillId="2" borderId="0" xfId="0"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2" fillId="2" borderId="0" xfId="0" applyFont="1" applyFill="1" applyAlignment="1">
      <alignment horizontal="left"/>
    </xf>
    <xf numFmtId="0" fontId="0" fillId="2" borderId="0" xfId="0" applyFill="1" applyAlignment="1" applyProtection="1">
      <alignment horizontal="left"/>
      <protection locked="0"/>
    </xf>
    <xf numFmtId="1" fontId="0" fillId="4" borderId="0" xfId="0" applyNumberFormat="1" applyFill="1" applyAlignment="1">
      <alignment horizontal="center" vertical="center"/>
    </xf>
    <xf numFmtId="0" fontId="0" fillId="4" borderId="21" xfId="0" applyFill="1" applyBorder="1" applyAlignment="1" applyProtection="1">
      <alignment horizontal="center" vertical="center"/>
      <protection locked="0"/>
    </xf>
    <xf numFmtId="0" fontId="0" fillId="4" borderId="0" xfId="0" applyFill="1" applyAlignment="1">
      <alignment horizontal="center" vertical="center" wrapText="1"/>
    </xf>
    <xf numFmtId="9" fontId="0" fillId="4" borderId="23" xfId="2" applyFont="1" applyFill="1" applyBorder="1" applyAlignment="1" applyProtection="1">
      <alignment horizontal="center" vertical="center"/>
      <protection locked="0"/>
    </xf>
    <xf numFmtId="9" fontId="0" fillId="8" borderId="23" xfId="2" applyFont="1" applyFill="1" applyBorder="1" applyAlignment="1" applyProtection="1">
      <alignment horizontal="center" vertical="center"/>
      <protection locked="0"/>
    </xf>
    <xf numFmtId="0" fontId="0" fillId="8" borderId="23" xfId="0" applyFill="1" applyBorder="1"/>
    <xf numFmtId="0" fontId="16" fillId="9" borderId="21" xfId="0" applyFont="1" applyFill="1" applyBorder="1" applyAlignment="1" applyProtection="1">
      <alignment horizontal="center"/>
      <protection locked="0"/>
    </xf>
    <xf numFmtId="0" fontId="16" fillId="9" borderId="27" xfId="0" applyFont="1" applyFill="1" applyBorder="1" applyAlignment="1" applyProtection="1">
      <alignment horizontal="center"/>
      <protection locked="0"/>
    </xf>
    <xf numFmtId="0" fontId="16" fillId="9" borderId="21" xfId="0" applyFont="1" applyFill="1" applyBorder="1" applyAlignment="1" applyProtection="1">
      <alignment horizontal="left"/>
      <protection locked="0"/>
    </xf>
    <xf numFmtId="0" fontId="16" fillId="4" borderId="22" xfId="0" applyFont="1" applyFill="1" applyBorder="1" applyAlignment="1" applyProtection="1">
      <alignment vertical="center"/>
      <protection locked="0"/>
    </xf>
    <xf numFmtId="0" fontId="16" fillId="8" borderId="22" xfId="0" applyFont="1" applyFill="1" applyBorder="1" applyAlignment="1" applyProtection="1">
      <alignment vertical="center"/>
      <protection locked="0"/>
    </xf>
    <xf numFmtId="0" fontId="16" fillId="9" borderId="22" xfId="0" applyFont="1" applyFill="1" applyBorder="1" applyAlignment="1" applyProtection="1">
      <alignment vertical="center"/>
      <protection locked="0"/>
    </xf>
    <xf numFmtId="0" fontId="15" fillId="9" borderId="22" xfId="0" applyFont="1" applyFill="1" applyBorder="1" applyAlignment="1" applyProtection="1">
      <alignment vertical="center"/>
      <protection locked="0"/>
    </xf>
    <xf numFmtId="0" fontId="15" fillId="9" borderId="21" xfId="0" applyFont="1" applyFill="1" applyBorder="1" applyAlignment="1" applyProtection="1">
      <alignment horizontal="center"/>
      <protection locked="0"/>
    </xf>
    <xf numFmtId="0" fontId="16" fillId="9" borderId="27" xfId="0" applyFont="1" applyFill="1" applyBorder="1" applyAlignment="1" applyProtection="1">
      <alignment horizontal="left"/>
      <protection locked="0"/>
    </xf>
    <xf numFmtId="0" fontId="16" fillId="9" borderId="22" xfId="0" applyFont="1" applyFill="1" applyBorder="1" applyAlignment="1" applyProtection="1">
      <alignment horizontal="left" vertical="center"/>
      <protection locked="0"/>
    </xf>
    <xf numFmtId="0" fontId="16" fillId="4" borderId="22" xfId="0" applyFont="1" applyFill="1" applyBorder="1" applyAlignment="1" applyProtection="1">
      <alignment horizontal="left" vertical="center"/>
      <protection locked="0"/>
    </xf>
    <xf numFmtId="0" fontId="15" fillId="9" borderId="21" xfId="0" applyFont="1" applyFill="1" applyBorder="1" applyAlignment="1" applyProtection="1">
      <alignment horizontal="left"/>
      <protection locked="0"/>
    </xf>
    <xf numFmtId="0" fontId="15" fillId="9" borderId="21" xfId="0" applyFont="1" applyFill="1" applyBorder="1" applyAlignment="1" applyProtection="1">
      <alignment horizontal="center" vertical="center"/>
      <protection locked="0"/>
    </xf>
    <xf numFmtId="9" fontId="0" fillId="4" borderId="0" xfId="0" applyNumberFormat="1" applyFill="1" applyAlignment="1">
      <alignment horizontal="center" vertical="center" wrapText="1"/>
    </xf>
    <xf numFmtId="1" fontId="0" fillId="4" borderId="0" xfId="1" applyNumberFormat="1" applyFont="1" applyFill="1" applyAlignment="1">
      <alignment horizontal="center" vertical="center"/>
    </xf>
    <xf numFmtId="0" fontId="0" fillId="4" borderId="0" xfId="1" applyNumberFormat="1" applyFont="1" applyFill="1" applyAlignment="1">
      <alignment horizontal="center" vertical="center"/>
    </xf>
    <xf numFmtId="43" fontId="0" fillId="4" borderId="0" xfId="1" applyFont="1" applyFill="1" applyAlignment="1">
      <alignment horizontal="center"/>
    </xf>
    <xf numFmtId="1" fontId="0" fillId="4" borderId="0" xfId="1" applyNumberFormat="1" applyFont="1" applyFill="1" applyAlignment="1">
      <alignment horizontal="center"/>
    </xf>
    <xf numFmtId="0" fontId="0" fillId="2" borderId="0" xfId="0" applyFill="1" applyAlignment="1">
      <alignment horizontal="left" vertical="center"/>
    </xf>
    <xf numFmtId="0" fontId="0" fillId="2" borderId="0" xfId="0" applyFill="1" applyAlignment="1">
      <alignment horizontal="left"/>
    </xf>
    <xf numFmtId="0" fontId="0" fillId="4" borderId="14" xfId="0" applyFill="1" applyBorder="1" applyAlignment="1">
      <alignment horizontal="center" vertical="center"/>
    </xf>
    <xf numFmtId="0" fontId="0" fillId="9" borderId="0" xfId="0" applyFill="1" applyAlignment="1">
      <alignment horizontal="center" vertical="center"/>
    </xf>
    <xf numFmtId="0" fontId="0" fillId="8" borderId="0" xfId="0" applyFill="1" applyAlignment="1">
      <alignment horizontal="center" vertical="center"/>
    </xf>
    <xf numFmtId="0" fontId="0" fillId="8" borderId="14" xfId="0" applyFill="1" applyBorder="1" applyAlignment="1">
      <alignment horizontal="center" vertical="center"/>
    </xf>
    <xf numFmtId="0" fontId="0" fillId="2" borderId="0" xfId="0" applyFill="1" applyAlignment="1" applyProtection="1">
      <alignment horizontal="center"/>
      <protection locked="0"/>
    </xf>
    <xf numFmtId="0" fontId="0" fillId="4" borderId="0" xfId="0" applyFill="1" applyBorder="1"/>
    <xf numFmtId="0" fontId="0" fillId="4" borderId="0" xfId="0" applyFill="1" applyBorder="1" applyAlignment="1">
      <alignment horizontal="center" vertical="center"/>
    </xf>
    <xf numFmtId="9" fontId="5" fillId="4" borderId="14" xfId="2" applyFont="1" applyFill="1" applyBorder="1" applyAlignment="1">
      <alignment horizontal="center" vertical="center"/>
    </xf>
    <xf numFmtId="9" fontId="0" fillId="4" borderId="0" xfId="2" applyFont="1" applyFill="1" applyAlignment="1">
      <alignment horizontal="center" vertical="center"/>
    </xf>
    <xf numFmtId="9" fontId="0" fillId="4" borderId="19" xfId="2" applyFont="1" applyFill="1" applyBorder="1" applyAlignment="1">
      <alignment horizontal="center" vertical="center"/>
    </xf>
    <xf numFmtId="0" fontId="3" fillId="2" borderId="0" xfId="0" applyFont="1" applyFill="1" applyAlignment="1">
      <alignment vertical="center" wrapText="1"/>
    </xf>
    <xf numFmtId="0" fontId="3" fillId="2" borderId="0" xfId="0" applyFont="1" applyFill="1" applyAlignment="1">
      <alignment horizontal="left"/>
    </xf>
    <xf numFmtId="0" fontId="0" fillId="9" borderId="0" xfId="0" applyFill="1" applyBorder="1" applyAlignment="1">
      <alignment horizontal="center"/>
    </xf>
    <xf numFmtId="0" fontId="0" fillId="4" borderId="0" xfId="0" quotePrefix="1" applyFill="1" applyBorder="1" applyAlignment="1">
      <alignment horizontal="center" vertical="center" wrapText="1"/>
    </xf>
    <xf numFmtId="0" fontId="0" fillId="8" borderId="0" xfId="0" applyFill="1" applyBorder="1" applyAlignment="1">
      <alignment horizontal="center" vertical="center"/>
    </xf>
    <xf numFmtId="0" fontId="0" fillId="9" borderId="0" xfId="0" applyFill="1" applyBorder="1" applyAlignment="1">
      <alignment horizontal="center" vertical="center"/>
    </xf>
    <xf numFmtId="0" fontId="0" fillId="4" borderId="30"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4" xfId="0" applyFill="1" applyBorder="1" applyAlignment="1">
      <alignment horizontal="center" vertical="center"/>
    </xf>
    <xf numFmtId="0" fontId="0" fillId="8" borderId="14" xfId="0" applyFill="1" applyBorder="1" applyAlignment="1">
      <alignment horizontal="left" wrapText="1"/>
    </xf>
    <xf numFmtId="0" fontId="0" fillId="8" borderId="0" xfId="0" applyFill="1" applyAlignment="1">
      <alignment horizontal="left" wrapText="1"/>
    </xf>
    <xf numFmtId="0" fontId="0" fillId="8" borderId="19" xfId="0" applyFill="1" applyBorder="1" applyAlignment="1">
      <alignment horizontal="left" wrapText="1"/>
    </xf>
    <xf numFmtId="0" fontId="0" fillId="8" borderId="15" xfId="0" applyFill="1" applyBorder="1" applyAlignment="1">
      <alignment horizontal="left" wrapText="1"/>
    </xf>
    <xf numFmtId="0" fontId="0" fillId="8" borderId="1" xfId="0" applyFill="1" applyBorder="1" applyAlignment="1">
      <alignment horizontal="left" wrapText="1"/>
    </xf>
    <xf numFmtId="0" fontId="0" fillId="8" borderId="20" xfId="0" applyFill="1" applyBorder="1" applyAlignment="1">
      <alignment horizontal="left" wrapText="1"/>
    </xf>
    <xf numFmtId="0" fontId="0" fillId="4" borderId="14" xfId="0" applyFill="1" applyBorder="1" applyAlignment="1">
      <alignment horizontal="left" wrapText="1"/>
    </xf>
    <xf numFmtId="0" fontId="0" fillId="4" borderId="0" xfId="0" applyFill="1" applyAlignment="1">
      <alignment horizontal="left" wrapText="1"/>
    </xf>
    <xf numFmtId="0" fontId="0" fillId="4" borderId="19" xfId="0" applyFill="1" applyBorder="1" applyAlignment="1">
      <alignment horizontal="left" wrapText="1"/>
    </xf>
    <xf numFmtId="0" fontId="0" fillId="4" borderId="15" xfId="0" applyFill="1" applyBorder="1" applyAlignment="1">
      <alignment horizontal="left" wrapText="1"/>
    </xf>
    <xf numFmtId="0" fontId="0" fillId="4" borderId="1" xfId="0" applyFill="1" applyBorder="1" applyAlignment="1">
      <alignment horizontal="left" wrapText="1"/>
    </xf>
    <xf numFmtId="0" fontId="0" fillId="4" borderId="20" xfId="0" applyFill="1" applyBorder="1" applyAlignment="1">
      <alignment horizontal="left" wrapText="1"/>
    </xf>
    <xf numFmtId="0" fontId="0" fillId="4" borderId="22" xfId="0" applyFill="1" applyBorder="1" applyAlignment="1">
      <alignment horizontal="center" vertical="center" wrapText="1"/>
    </xf>
    <xf numFmtId="0" fontId="0" fillId="8" borderId="14" xfId="0" applyFill="1" applyBorder="1" applyAlignment="1">
      <alignment horizontal="left" vertical="center" wrapText="1"/>
    </xf>
    <xf numFmtId="0" fontId="0" fillId="8" borderId="0" xfId="0" applyFill="1" applyAlignment="1">
      <alignment horizontal="left" vertical="center" wrapText="1"/>
    </xf>
    <xf numFmtId="0" fontId="0" fillId="8" borderId="19" xfId="0" applyFill="1" applyBorder="1" applyAlignment="1">
      <alignment horizontal="left" vertical="center" wrapText="1"/>
    </xf>
    <xf numFmtId="0" fontId="16" fillId="9" borderId="16" xfId="0" applyFont="1" applyFill="1" applyBorder="1" applyAlignment="1">
      <alignment horizontal="center"/>
    </xf>
    <xf numFmtId="0" fontId="16" fillId="9" borderId="18" xfId="0" applyFont="1" applyFill="1" applyBorder="1" applyAlignment="1">
      <alignment horizontal="center"/>
    </xf>
    <xf numFmtId="0" fontId="16" fillId="9" borderId="31" xfId="0" applyFont="1" applyFill="1" applyBorder="1" applyAlignment="1">
      <alignment horizontal="center"/>
    </xf>
    <xf numFmtId="0" fontId="0" fillId="4" borderId="14" xfId="0" applyFill="1" applyBorder="1" applyAlignment="1">
      <alignment horizontal="left" vertical="center" wrapText="1"/>
    </xf>
    <xf numFmtId="0" fontId="0" fillId="4" borderId="0" xfId="0" applyFill="1" applyAlignment="1">
      <alignment horizontal="left" vertical="center" wrapText="1"/>
    </xf>
    <xf numFmtId="0" fontId="0" fillId="4" borderId="19" xfId="0" applyFill="1" applyBorder="1" applyAlignment="1">
      <alignment horizontal="left" vertical="center" wrapText="1"/>
    </xf>
    <xf numFmtId="0" fontId="0" fillId="4" borderId="30" xfId="0" applyFill="1" applyBorder="1" applyAlignment="1">
      <alignment horizontal="left"/>
    </xf>
    <xf numFmtId="0" fontId="0" fillId="4" borderId="13" xfId="0" applyFill="1" applyBorder="1" applyAlignment="1">
      <alignment horizontal="left"/>
    </xf>
    <xf numFmtId="0" fontId="0" fillId="4" borderId="32" xfId="0" applyFill="1" applyBorder="1" applyAlignment="1">
      <alignment horizontal="left"/>
    </xf>
    <xf numFmtId="0" fontId="0" fillId="4" borderId="22" xfId="0" applyFill="1" applyBorder="1" applyAlignment="1">
      <alignment horizontal="center" vertical="center"/>
    </xf>
    <xf numFmtId="0" fontId="0" fillId="8" borderId="14" xfId="0" applyFill="1" applyBorder="1" applyAlignment="1">
      <alignment horizontal="left"/>
    </xf>
    <xf numFmtId="0" fontId="0" fillId="8" borderId="0" xfId="0" applyFill="1" applyAlignment="1">
      <alignment horizontal="left"/>
    </xf>
    <xf numFmtId="0" fontId="0" fillId="8" borderId="19" xfId="0" applyFill="1" applyBorder="1" applyAlignment="1">
      <alignment horizontal="left"/>
    </xf>
    <xf numFmtId="0" fontId="0" fillId="4" borderId="14" xfId="0" applyFill="1" applyBorder="1" applyAlignment="1">
      <alignment horizontal="left"/>
    </xf>
    <xf numFmtId="0" fontId="0" fillId="4" borderId="0" xfId="0" applyFill="1" applyAlignment="1">
      <alignment horizontal="left"/>
    </xf>
    <xf numFmtId="0" fontId="0" fillId="2" borderId="0" xfId="0" applyFill="1" applyAlignment="1">
      <alignment horizontal="left"/>
    </xf>
    <xf numFmtId="0" fontId="0" fillId="2" borderId="0" xfId="0" applyFill="1" applyAlignment="1">
      <alignment horizontal="left" vertical="center"/>
    </xf>
    <xf numFmtId="0" fontId="0" fillId="4" borderId="19" xfId="0" applyFill="1" applyBorder="1" applyAlignment="1">
      <alignment horizontal="left"/>
    </xf>
    <xf numFmtId="0" fontId="2" fillId="9" borderId="18" xfId="0" applyFont="1" applyFill="1" applyBorder="1" applyAlignment="1">
      <alignment horizontal="center" vertical="center" wrapText="1"/>
    </xf>
    <xf numFmtId="0" fontId="12" fillId="9" borderId="16" xfId="0" applyFont="1" applyFill="1" applyBorder="1" applyAlignment="1">
      <alignment horizontal="center" vertical="center"/>
    </xf>
    <xf numFmtId="0" fontId="12" fillId="9" borderId="18" xfId="0" applyFont="1" applyFill="1" applyBorder="1" applyAlignment="1">
      <alignment horizontal="center" vertical="center"/>
    </xf>
    <xf numFmtId="0" fontId="12" fillId="9" borderId="31" xfId="0" applyFont="1" applyFill="1" applyBorder="1" applyAlignment="1">
      <alignment horizontal="center" vertical="center"/>
    </xf>
    <xf numFmtId="0" fontId="0" fillId="4" borderId="21" xfId="0" applyFill="1" applyBorder="1" applyAlignment="1">
      <alignment horizontal="center" vertical="center"/>
    </xf>
    <xf numFmtId="0" fontId="0" fillId="4" borderId="14" xfId="0" applyFill="1" applyBorder="1" applyAlignment="1">
      <alignment horizontal="center" wrapText="1"/>
    </xf>
    <xf numFmtId="0" fontId="0" fillId="4" borderId="0" xfId="0" applyFill="1" applyAlignment="1">
      <alignment horizontal="center" wrapText="1"/>
    </xf>
    <xf numFmtId="0" fontId="0" fillId="8" borderId="14" xfId="0" applyFill="1" applyBorder="1" applyAlignment="1">
      <alignment horizontal="left" vertical="center"/>
    </xf>
    <xf numFmtId="0" fontId="0" fillId="8" borderId="0" xfId="0" applyFill="1" applyAlignment="1">
      <alignment horizontal="left" vertical="center"/>
    </xf>
    <xf numFmtId="0" fontId="0" fillId="4" borderId="21"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30" xfId="0" applyFill="1" applyBorder="1" applyAlignment="1">
      <alignment horizontal="left" wrapText="1"/>
    </xf>
    <xf numFmtId="0" fontId="0" fillId="4" borderId="13" xfId="0" applyFill="1" applyBorder="1" applyAlignment="1">
      <alignment horizontal="left" wrapText="1"/>
    </xf>
    <xf numFmtId="0" fontId="0" fillId="4" borderId="14" xfId="0" applyFill="1" applyBorder="1" applyAlignment="1" applyProtection="1">
      <alignment horizontal="left" wrapText="1"/>
      <protection locked="0"/>
    </xf>
    <xf numFmtId="0" fontId="0" fillId="4" borderId="0" xfId="0" applyFill="1" applyAlignment="1" applyProtection="1">
      <alignment horizontal="left" wrapText="1"/>
      <protection locked="0"/>
    </xf>
    <xf numFmtId="0" fontId="0" fillId="4" borderId="19" xfId="0" applyFill="1" applyBorder="1" applyAlignment="1" applyProtection="1">
      <alignment horizontal="left" wrapText="1"/>
      <protection locked="0"/>
    </xf>
    <xf numFmtId="0" fontId="0" fillId="8" borderId="14" xfId="0" applyFill="1" applyBorder="1" applyAlignment="1" applyProtection="1">
      <alignment horizontal="left"/>
      <protection locked="0"/>
    </xf>
    <xf numFmtId="0" fontId="0" fillId="8" borderId="0" xfId="0" applyFill="1" applyAlignment="1" applyProtection="1">
      <alignment horizontal="left"/>
      <protection locked="0"/>
    </xf>
    <xf numFmtId="0" fontId="0" fillId="8" borderId="19" xfId="0" applyFill="1" applyBorder="1" applyAlignment="1" applyProtection="1">
      <alignment horizontal="left"/>
      <protection locked="0"/>
    </xf>
    <xf numFmtId="0" fontId="15" fillId="9" borderId="22" xfId="0" applyFont="1" applyFill="1" applyBorder="1" applyAlignment="1" applyProtection="1">
      <alignment horizontal="center" vertical="center"/>
      <protection locked="0"/>
    </xf>
    <xf numFmtId="0" fontId="16" fillId="8" borderId="14" xfId="0" applyFont="1" applyFill="1" applyBorder="1" applyAlignment="1" applyProtection="1">
      <alignment horizontal="center" vertical="center"/>
      <protection locked="0"/>
    </xf>
    <xf numFmtId="0" fontId="16" fillId="8" borderId="0" xfId="0" applyFont="1" applyFill="1" applyAlignment="1" applyProtection="1">
      <alignment horizontal="center" vertical="center"/>
      <protection locked="0"/>
    </xf>
    <xf numFmtId="0" fontId="16" fillId="8" borderId="19" xfId="0" applyFont="1" applyFill="1" applyBorder="1" applyAlignment="1" applyProtection="1">
      <alignment horizontal="center" vertical="center"/>
      <protection locked="0"/>
    </xf>
    <xf numFmtId="0" fontId="16" fillId="4" borderId="14" xfId="0" applyFont="1" applyFill="1" applyBorder="1" applyAlignment="1" applyProtection="1">
      <alignment horizontal="center" vertical="center"/>
      <protection locked="0"/>
    </xf>
    <xf numFmtId="0" fontId="16" fillId="4" borderId="0" xfId="0" applyFont="1" applyFill="1" applyAlignment="1" applyProtection="1">
      <alignment horizontal="center" vertical="center"/>
      <protection locked="0"/>
    </xf>
    <xf numFmtId="0" fontId="16" fillId="4" borderId="19" xfId="0" applyFont="1" applyFill="1" applyBorder="1" applyAlignment="1" applyProtection="1">
      <alignment horizontal="center" vertical="center"/>
      <protection locked="0"/>
    </xf>
    <xf numFmtId="0" fontId="16" fillId="4" borderId="14" xfId="0" applyFont="1" applyFill="1" applyBorder="1" applyAlignment="1" applyProtection="1">
      <alignment horizontal="left" vertical="center"/>
      <protection locked="0"/>
    </xf>
    <xf numFmtId="0" fontId="16" fillId="4" borderId="0" xfId="0" applyFont="1" applyFill="1" applyAlignment="1" applyProtection="1">
      <alignment horizontal="left" vertical="center"/>
      <protection locked="0"/>
    </xf>
    <xf numFmtId="0" fontId="16" fillId="4" borderId="19" xfId="0" applyFont="1" applyFill="1" applyBorder="1" applyAlignment="1" applyProtection="1">
      <alignment horizontal="left" vertical="center"/>
      <protection locked="0"/>
    </xf>
    <xf numFmtId="0" fontId="16" fillId="8" borderId="14" xfId="0" applyFont="1" applyFill="1" applyBorder="1" applyAlignment="1" applyProtection="1">
      <alignment horizontal="left" vertical="center"/>
      <protection locked="0"/>
    </xf>
    <xf numFmtId="0" fontId="16" fillId="8" borderId="0" xfId="0" applyFont="1" applyFill="1" applyAlignment="1" applyProtection="1">
      <alignment horizontal="left" vertical="center"/>
      <protection locked="0"/>
    </xf>
    <xf numFmtId="0" fontId="16" fillId="8" borderId="19" xfId="0" applyFont="1" applyFill="1" applyBorder="1" applyAlignment="1" applyProtection="1">
      <alignment horizontal="left" vertical="center"/>
      <protection locked="0"/>
    </xf>
    <xf numFmtId="0" fontId="15" fillId="9" borderId="14" xfId="0" applyFont="1" applyFill="1" applyBorder="1" applyAlignment="1" applyProtection="1">
      <alignment horizontal="left" vertical="center"/>
      <protection locked="0"/>
    </xf>
    <xf numFmtId="0" fontId="15" fillId="9" borderId="0" xfId="0" applyFont="1" applyFill="1" applyAlignment="1" applyProtection="1">
      <alignment horizontal="left" vertical="center"/>
      <protection locked="0"/>
    </xf>
    <xf numFmtId="0" fontId="15" fillId="9" borderId="0" xfId="0" applyFont="1" applyFill="1" applyAlignment="1" applyProtection="1">
      <alignment horizontal="center" vertical="center"/>
      <protection locked="0"/>
    </xf>
    <xf numFmtId="0" fontId="16" fillId="8" borderId="22" xfId="0" applyFont="1" applyFill="1" applyBorder="1" applyAlignment="1" applyProtection="1">
      <alignment horizontal="center" vertical="center"/>
      <protection locked="0"/>
    </xf>
    <xf numFmtId="0" fontId="16" fillId="4" borderId="22" xfId="0" applyFont="1" applyFill="1" applyBorder="1" applyAlignment="1" applyProtection="1">
      <alignment horizontal="center" vertical="center"/>
      <protection locked="0"/>
    </xf>
    <xf numFmtId="0" fontId="16" fillId="8" borderId="15" xfId="0" applyFont="1" applyFill="1" applyBorder="1" applyAlignment="1" applyProtection="1">
      <alignment horizontal="left" vertical="center"/>
      <protection locked="0"/>
    </xf>
    <xf numFmtId="0" fontId="16" fillId="8" borderId="1" xfId="0" applyFont="1" applyFill="1" applyBorder="1" applyAlignment="1" applyProtection="1">
      <alignment horizontal="left" vertical="center"/>
      <protection locked="0"/>
    </xf>
    <xf numFmtId="0" fontId="16" fillId="8" borderId="20" xfId="0" applyFont="1" applyFill="1" applyBorder="1" applyAlignment="1" applyProtection="1">
      <alignment horizontal="left" vertical="center"/>
      <protection locked="0"/>
    </xf>
    <xf numFmtId="0" fontId="15" fillId="9" borderId="19" xfId="0" applyFont="1" applyFill="1" applyBorder="1" applyAlignment="1" applyProtection="1">
      <alignment horizontal="left" vertical="center"/>
      <protection locked="0"/>
    </xf>
    <xf numFmtId="2" fontId="15" fillId="9" borderId="22" xfId="0" applyNumberFormat="1" applyFont="1" applyFill="1" applyBorder="1" applyAlignment="1">
      <alignment horizontal="center" vertical="center"/>
    </xf>
    <xf numFmtId="2" fontId="16" fillId="8" borderId="22" xfId="0" applyNumberFormat="1" applyFont="1" applyFill="1" applyBorder="1" applyAlignment="1">
      <alignment horizontal="center" vertical="center"/>
    </xf>
    <xf numFmtId="2" fontId="15" fillId="9" borderId="21" xfId="0" applyNumberFormat="1" applyFont="1" applyFill="1" applyBorder="1" applyAlignment="1">
      <alignment horizontal="center" vertical="center"/>
    </xf>
    <xf numFmtId="2" fontId="16" fillId="4" borderId="22" xfId="0" applyNumberFormat="1" applyFont="1" applyFill="1" applyBorder="1" applyAlignment="1">
      <alignment horizontal="center" vertical="center"/>
    </xf>
    <xf numFmtId="0" fontId="15" fillId="9" borderId="21" xfId="0" applyFont="1" applyFill="1" applyBorder="1" applyAlignment="1" applyProtection="1">
      <alignment horizontal="center" vertical="center"/>
      <protection locked="0"/>
    </xf>
    <xf numFmtId="0" fontId="15" fillId="9" borderId="30" xfId="0" applyFont="1" applyFill="1" applyBorder="1" applyAlignment="1" applyProtection="1">
      <alignment horizontal="left" vertical="center"/>
      <protection locked="0"/>
    </xf>
    <xf numFmtId="0" fontId="15" fillId="9" borderId="13" xfId="0" applyFont="1" applyFill="1" applyBorder="1" applyAlignment="1" applyProtection="1">
      <alignment horizontal="left" vertical="center"/>
      <protection locked="0"/>
    </xf>
    <xf numFmtId="0" fontId="15" fillId="9" borderId="32" xfId="0" applyFont="1" applyFill="1" applyBorder="1" applyAlignment="1" applyProtection="1">
      <alignment horizontal="left" vertical="center"/>
      <protection locked="0"/>
    </xf>
    <xf numFmtId="0" fontId="17" fillId="4" borderId="14" xfId="0" applyFont="1" applyFill="1" applyBorder="1" applyAlignment="1" applyProtection="1">
      <alignment horizontal="left" vertical="center"/>
      <protection locked="0"/>
    </xf>
    <xf numFmtId="0" fontId="17" fillId="4" borderId="0" xfId="0" applyFont="1" applyFill="1" applyAlignment="1" applyProtection="1">
      <alignment horizontal="left" vertical="center"/>
      <protection locked="0"/>
    </xf>
    <xf numFmtId="0" fontId="15" fillId="9" borderId="21"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16" xfId="0" applyFont="1" applyFill="1" applyBorder="1" applyAlignment="1" applyProtection="1">
      <alignment horizontal="left" vertical="center"/>
      <protection locked="0"/>
    </xf>
    <xf numFmtId="0" fontId="15" fillId="9" borderId="18" xfId="0" applyFont="1" applyFill="1" applyBorder="1" applyAlignment="1" applyProtection="1">
      <alignment horizontal="left" vertical="center"/>
      <protection locked="0"/>
    </xf>
    <xf numFmtId="0" fontId="13" fillId="9" borderId="21" xfId="0" applyFont="1" applyFill="1" applyBorder="1" applyAlignment="1">
      <alignment horizontal="center" vertical="center"/>
    </xf>
    <xf numFmtId="0" fontId="13" fillId="9" borderId="23" xfId="0" applyFont="1" applyFill="1" applyBorder="1" applyAlignment="1">
      <alignment horizontal="center" vertical="center"/>
    </xf>
    <xf numFmtId="0" fontId="15" fillId="9" borderId="21" xfId="0" applyFont="1" applyFill="1" applyBorder="1" applyAlignment="1">
      <alignment horizontal="center" vertical="center" wrapText="1"/>
    </xf>
    <xf numFmtId="0" fontId="15" fillId="9" borderId="23" xfId="0" applyFont="1" applyFill="1" applyBorder="1" applyAlignment="1">
      <alignment horizontal="center" vertical="center" wrapText="1"/>
    </xf>
    <xf numFmtId="0" fontId="10" fillId="2" borderId="16" xfId="0" applyFont="1" applyFill="1" applyBorder="1" applyAlignment="1" applyProtection="1">
      <alignment horizontal="center" vertical="center"/>
      <protection locked="0"/>
    </xf>
    <xf numFmtId="0" fontId="10" fillId="2" borderId="18" xfId="0" applyFont="1" applyFill="1" applyBorder="1" applyAlignment="1" applyProtection="1">
      <alignment horizontal="center" vertical="center"/>
      <protection locked="0"/>
    </xf>
    <xf numFmtId="0" fontId="10" fillId="2" borderId="31" xfId="0"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8" fillId="2" borderId="0" xfId="0" applyFont="1" applyFill="1" applyAlignment="1" applyProtection="1">
      <alignment horizontal="center" vertical="center"/>
      <protection locked="0"/>
    </xf>
    <xf numFmtId="0" fontId="18" fillId="2" borderId="19" xfId="0" applyFont="1" applyFill="1" applyBorder="1" applyAlignment="1" applyProtection="1">
      <alignment horizontal="center" vertical="center"/>
      <protection locked="0"/>
    </xf>
    <xf numFmtId="0" fontId="12" fillId="9" borderId="30" xfId="0" applyFont="1" applyFill="1" applyBorder="1" applyAlignment="1">
      <alignment horizontal="center" vertical="center"/>
    </xf>
    <xf numFmtId="0" fontId="12" fillId="9" borderId="13"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 xfId="0" applyFont="1" applyFill="1" applyBorder="1" applyAlignment="1">
      <alignment horizontal="center" vertical="center"/>
    </xf>
    <xf numFmtId="0" fontId="12" fillId="9" borderId="21" xfId="0" applyFont="1" applyFill="1" applyBorder="1" applyAlignment="1">
      <alignment horizontal="center" vertical="center"/>
    </xf>
    <xf numFmtId="0" fontId="12" fillId="9" borderId="23" xfId="0" applyFont="1" applyFill="1" applyBorder="1" applyAlignment="1">
      <alignment horizontal="center" vertical="center"/>
    </xf>
    <xf numFmtId="0" fontId="17" fillId="8" borderId="0" xfId="0" applyFont="1" applyFill="1" applyAlignment="1" applyProtection="1">
      <alignment horizontal="left" vertical="center"/>
      <protection locked="0"/>
    </xf>
    <xf numFmtId="0" fontId="17" fillId="8" borderId="14" xfId="0" applyFont="1" applyFill="1" applyBorder="1" applyAlignment="1" applyProtection="1">
      <alignment horizontal="left" vertical="center"/>
      <protection locked="0"/>
    </xf>
    <xf numFmtId="0" fontId="10" fillId="2" borderId="0" xfId="0" applyFont="1" applyFill="1" applyAlignment="1" applyProtection="1">
      <alignment horizontal="center" vertical="center"/>
      <protection locked="0"/>
    </xf>
    <xf numFmtId="0" fontId="10" fillId="2" borderId="19" xfId="0" applyFont="1" applyFill="1" applyBorder="1" applyAlignment="1" applyProtection="1">
      <alignment horizontal="center" vertical="center"/>
      <protection locked="0"/>
    </xf>
    <xf numFmtId="0" fontId="16" fillId="8" borderId="15"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6" fillId="8" borderId="20" xfId="0" applyFont="1" applyFill="1" applyBorder="1" applyAlignment="1" applyProtection="1">
      <alignment horizontal="center" vertical="center"/>
      <protection locked="0"/>
    </xf>
    <xf numFmtId="0" fontId="2" fillId="4" borderId="14" xfId="0" applyFont="1" applyFill="1" applyBorder="1" applyAlignment="1">
      <alignment horizontal="center" vertical="center"/>
    </xf>
    <xf numFmtId="0" fontId="2" fillId="4" borderId="0" xfId="0" applyFont="1" applyFill="1" applyAlignment="1">
      <alignment horizontal="center" vertical="center"/>
    </xf>
    <xf numFmtId="0" fontId="2" fillId="4" borderId="19" xfId="0" applyFont="1" applyFill="1" applyBorder="1" applyAlignment="1">
      <alignment horizontal="center" vertical="center"/>
    </xf>
    <xf numFmtId="0" fontId="0" fillId="9" borderId="0" xfId="0" applyFill="1" applyAlignment="1">
      <alignment horizontal="center" vertical="center"/>
    </xf>
    <xf numFmtId="0" fontId="0" fillId="4" borderId="0" xfId="0" applyFill="1" applyAlignment="1">
      <alignment horizontal="center" vertical="center"/>
    </xf>
    <xf numFmtId="0" fontId="0" fillId="8" borderId="0" xfId="0" applyFill="1" applyAlignment="1">
      <alignment horizontal="center" vertical="center"/>
    </xf>
    <xf numFmtId="2" fontId="0" fillId="9" borderId="13" xfId="0" applyNumberFormat="1" applyFill="1" applyBorder="1" applyAlignment="1">
      <alignment horizontal="center" vertical="center"/>
    </xf>
    <xf numFmtId="2" fontId="0" fillId="9" borderId="0" xfId="0" applyNumberFormat="1" applyFill="1" applyAlignment="1">
      <alignment horizontal="center" vertical="center"/>
    </xf>
    <xf numFmtId="2" fontId="0" fillId="4" borderId="0" xfId="0" applyNumberFormat="1" applyFill="1" applyAlignment="1">
      <alignment horizontal="center" vertical="center"/>
    </xf>
    <xf numFmtId="0" fontId="2" fillId="9" borderId="32" xfId="0" applyFont="1" applyFill="1" applyBorder="1" applyAlignment="1">
      <alignment horizontal="center" vertical="center" wrapText="1"/>
    </xf>
    <xf numFmtId="0" fontId="2" fillId="9" borderId="20" xfId="0" applyFont="1" applyFill="1" applyBorder="1" applyAlignment="1">
      <alignment horizontal="center" vertical="center" wrapText="1"/>
    </xf>
    <xf numFmtId="0" fontId="2" fillId="4" borderId="0" xfId="0" applyFont="1" applyFill="1" applyAlignment="1">
      <alignment horizontal="center" vertical="center" wrapText="1"/>
    </xf>
    <xf numFmtId="0" fontId="19" fillId="4" borderId="22" xfId="0" applyFont="1" applyFill="1" applyBorder="1" applyAlignment="1">
      <alignment horizontal="center" vertical="center" textRotation="90"/>
    </xf>
    <xf numFmtId="0" fontId="19" fillId="4" borderId="23" xfId="0" applyFont="1" applyFill="1" applyBorder="1" applyAlignment="1">
      <alignment horizontal="center" vertical="center" textRotation="90"/>
    </xf>
    <xf numFmtId="0" fontId="19" fillId="4" borderId="21" xfId="0" applyFont="1" applyFill="1" applyBorder="1" applyAlignment="1">
      <alignment horizontal="center" vertical="center"/>
    </xf>
    <xf numFmtId="0" fontId="19" fillId="4" borderId="22" xfId="0" applyFont="1" applyFill="1" applyBorder="1" applyAlignment="1">
      <alignment horizontal="center" vertical="center"/>
    </xf>
    <xf numFmtId="0" fontId="19" fillId="4" borderId="23" xfId="0" applyFont="1" applyFill="1" applyBorder="1" applyAlignment="1">
      <alignment horizontal="center" vertical="center"/>
    </xf>
    <xf numFmtId="0" fontId="19" fillId="4" borderId="21" xfId="0" applyFont="1" applyFill="1" applyBorder="1" applyAlignment="1">
      <alignment horizontal="center" vertical="center" textRotation="90"/>
    </xf>
    <xf numFmtId="0" fontId="2" fillId="9" borderId="13"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4" xfId="0" applyFont="1" applyFill="1" applyBorder="1" applyAlignment="1">
      <alignment horizontal="center" vertical="center"/>
    </xf>
    <xf numFmtId="0" fontId="2" fillId="9" borderId="0" xfId="0" applyFont="1" applyFill="1" applyAlignment="1">
      <alignment horizontal="center" vertical="center"/>
    </xf>
    <xf numFmtId="0" fontId="2" fillId="9" borderId="21" xfId="0" applyFont="1" applyFill="1" applyBorder="1" applyAlignment="1">
      <alignment horizontal="center" vertical="center" wrapText="1"/>
    </xf>
    <xf numFmtId="0" fontId="2" fillId="9" borderId="22" xfId="0" applyFont="1" applyFill="1" applyBorder="1" applyAlignment="1">
      <alignment horizontal="center" vertical="center" wrapText="1"/>
    </xf>
    <xf numFmtId="0" fontId="2" fillId="9" borderId="30" xfId="0" applyFont="1" applyFill="1" applyBorder="1" applyAlignment="1">
      <alignment horizontal="center" vertical="center"/>
    </xf>
    <xf numFmtId="0" fontId="2" fillId="9" borderId="15" xfId="0" applyFont="1" applyFill="1" applyBorder="1" applyAlignment="1">
      <alignment horizontal="center" vertical="center"/>
    </xf>
    <xf numFmtId="0" fontId="2" fillId="9" borderId="13" xfId="0" applyFont="1" applyFill="1" applyBorder="1" applyAlignment="1">
      <alignment horizontal="center" vertical="center"/>
    </xf>
    <xf numFmtId="0" fontId="2" fillId="9" borderId="1" xfId="0" applyFont="1" applyFill="1" applyBorder="1" applyAlignment="1">
      <alignment horizontal="center" vertical="center"/>
    </xf>
    <xf numFmtId="0" fontId="0" fillId="9" borderId="0" xfId="0" applyFill="1" applyAlignment="1">
      <alignment horizontal="center"/>
    </xf>
    <xf numFmtId="0" fontId="19" fillId="4" borderId="19" xfId="0" applyFont="1" applyFill="1" applyBorder="1" applyAlignment="1">
      <alignment horizontal="center" vertical="center" textRotation="90"/>
    </xf>
    <xf numFmtId="2" fontId="0" fillId="8" borderId="0" xfId="0" applyNumberFormat="1" applyFill="1" applyAlignment="1">
      <alignment horizontal="center" vertical="center"/>
    </xf>
    <xf numFmtId="0" fontId="0" fillId="9" borderId="30" xfId="0" applyFill="1" applyBorder="1" applyAlignment="1">
      <alignment horizontal="center" vertical="center"/>
    </xf>
    <xf numFmtId="0" fontId="0" fillId="9" borderId="14" xfId="0" applyFill="1" applyBorder="1" applyAlignment="1">
      <alignment horizontal="center" vertical="center"/>
    </xf>
    <xf numFmtId="0" fontId="0" fillId="9" borderId="13" xfId="0" applyFill="1" applyBorder="1" applyAlignment="1">
      <alignment horizontal="center" vertical="center"/>
    </xf>
    <xf numFmtId="0" fontId="0" fillId="8" borderId="14" xfId="0" applyFill="1" applyBorder="1" applyAlignment="1">
      <alignment horizontal="center" vertical="center"/>
    </xf>
    <xf numFmtId="9" fontId="0" fillId="4" borderId="21" xfId="2" applyFont="1" applyFill="1" applyBorder="1" applyAlignment="1">
      <alignment horizontal="center" vertical="center"/>
    </xf>
    <xf numFmtId="9" fontId="0" fillId="4" borderId="22" xfId="2" applyFont="1" applyFill="1" applyBorder="1" applyAlignment="1">
      <alignment horizontal="center" vertical="center"/>
    </xf>
    <xf numFmtId="9" fontId="0" fillId="4" borderId="23" xfId="2" applyFont="1" applyFill="1" applyBorder="1" applyAlignment="1">
      <alignment horizontal="center" vertical="center"/>
    </xf>
    <xf numFmtId="0" fontId="19" fillId="4" borderId="32" xfId="0" applyFont="1" applyFill="1" applyBorder="1" applyAlignment="1">
      <alignment horizontal="center" vertical="center" textRotation="90"/>
    </xf>
    <xf numFmtId="0" fontId="0" fillId="4" borderId="0" xfId="0" applyFill="1" applyAlignment="1">
      <alignment horizontal="center"/>
    </xf>
    <xf numFmtId="0" fontId="0" fillId="4" borderId="0" xfId="0" applyFill="1" applyAlignment="1">
      <alignment horizontal="center" vertical="center" wrapText="1"/>
    </xf>
    <xf numFmtId="0" fontId="0" fillId="4" borderId="16" xfId="0" applyFill="1" applyBorder="1" applyAlignment="1">
      <alignment horizontal="center"/>
    </xf>
    <xf numFmtId="0" fontId="0" fillId="4" borderId="18" xfId="0" applyFill="1" applyBorder="1" applyAlignment="1">
      <alignment horizontal="center"/>
    </xf>
    <xf numFmtId="0" fontId="2" fillId="4" borderId="16" xfId="0" applyFont="1" applyFill="1" applyBorder="1" applyAlignment="1">
      <alignment horizontal="center"/>
    </xf>
    <xf numFmtId="0" fontId="2" fillId="4" borderId="18" xfId="0" applyFont="1" applyFill="1" applyBorder="1" applyAlignment="1">
      <alignment horizont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4" borderId="21" xfId="0" applyFont="1" applyFill="1" applyBorder="1" applyAlignment="1">
      <alignment horizontal="center" vertical="center"/>
    </xf>
    <xf numFmtId="0" fontId="2" fillId="4" borderId="22" xfId="0" applyFont="1" applyFill="1" applyBorder="1" applyAlignment="1">
      <alignment horizontal="center" vertical="center"/>
    </xf>
    <xf numFmtId="0" fontId="2" fillId="4" borderId="23" xfId="0" applyFont="1" applyFill="1" applyBorder="1" applyAlignment="1">
      <alignment horizontal="center" vertical="center"/>
    </xf>
    <xf numFmtId="0" fontId="2" fillId="9" borderId="30" xfId="0" applyFont="1" applyFill="1" applyBorder="1" applyAlignment="1">
      <alignment horizontal="center" vertical="center" wrapText="1"/>
    </xf>
    <xf numFmtId="0" fontId="2" fillId="9" borderId="15" xfId="0" applyFont="1" applyFill="1" applyBorder="1" applyAlignment="1">
      <alignment horizontal="center" vertical="center" wrapText="1"/>
    </xf>
    <xf numFmtId="0" fontId="2" fillId="8" borderId="21" xfId="0" applyFont="1" applyFill="1" applyBorder="1" applyAlignment="1">
      <alignment horizontal="center"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0" fontId="10" fillId="6" borderId="38" xfId="0" applyFont="1" applyFill="1" applyBorder="1" applyAlignment="1" applyProtection="1">
      <alignment horizontal="center" vertical="center"/>
      <protection locked="0"/>
    </xf>
    <xf numFmtId="0" fontId="10" fillId="6" borderId="39" xfId="0" applyFont="1" applyFill="1" applyBorder="1" applyAlignment="1" applyProtection="1">
      <alignment horizontal="center" vertical="center"/>
      <protection locked="0"/>
    </xf>
    <xf numFmtId="0" fontId="10" fillId="6" borderId="40" xfId="0" applyFont="1" applyFill="1" applyBorder="1" applyAlignment="1" applyProtection="1">
      <alignment horizontal="center" vertical="center"/>
      <protection locked="0"/>
    </xf>
    <xf numFmtId="0" fontId="10" fillId="6" borderId="41" xfId="0" applyFont="1" applyFill="1" applyBorder="1" applyAlignment="1" applyProtection="1">
      <alignment horizontal="center" vertical="center"/>
      <protection locked="0"/>
    </xf>
    <xf numFmtId="0" fontId="10" fillId="6" borderId="42" xfId="0" applyFont="1" applyFill="1" applyBorder="1" applyAlignment="1" applyProtection="1">
      <alignment horizontal="center" vertical="center"/>
      <protection locked="0"/>
    </xf>
    <xf numFmtId="0" fontId="10" fillId="6" borderId="43" xfId="0" applyFont="1" applyFill="1" applyBorder="1" applyAlignment="1" applyProtection="1">
      <alignment horizontal="center" vertical="center"/>
      <protection locked="0"/>
    </xf>
    <xf numFmtId="0" fontId="8" fillId="2" borderId="9" xfId="0" applyFont="1" applyFill="1" applyBorder="1" applyAlignment="1" applyProtection="1">
      <alignment horizontal="left"/>
      <protection locked="0"/>
    </xf>
    <xf numFmtId="0" fontId="0" fillId="0" borderId="25" xfId="0" applyBorder="1" applyAlignment="1" applyProtection="1">
      <alignment horizontal="left"/>
      <protection locked="0"/>
    </xf>
    <xf numFmtId="0" fontId="0" fillId="0" borderId="10" xfId="0" applyBorder="1" applyAlignment="1" applyProtection="1">
      <alignment horizontal="left"/>
      <protection locked="0"/>
    </xf>
    <xf numFmtId="0" fontId="0" fillId="0" borderId="12" xfId="0" applyBorder="1" applyAlignment="1" applyProtection="1">
      <alignment horizontal="left"/>
      <protection locked="0"/>
    </xf>
    <xf numFmtId="0" fontId="0" fillId="0" borderId="11" xfId="0" applyBorder="1" applyAlignment="1" applyProtection="1">
      <alignment horizontal="left"/>
      <protection locked="0"/>
    </xf>
    <xf numFmtId="0" fontId="0" fillId="0" borderId="0" xfId="0" applyAlignment="1">
      <alignment horizontal="left" vertical="center"/>
    </xf>
    <xf numFmtId="0" fontId="0" fillId="5" borderId="10"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0" fillId="5" borderId="11" xfId="0" applyFill="1" applyBorder="1" applyAlignment="1" applyProtection="1">
      <alignment horizontal="center"/>
      <protection locked="0"/>
    </xf>
    <xf numFmtId="0" fontId="0" fillId="5" borderId="25" xfId="0" applyFill="1" applyBorder="1" applyAlignment="1" applyProtection="1">
      <alignment horizontal="center"/>
      <protection locked="0"/>
    </xf>
    <xf numFmtId="0" fontId="8" fillId="2" borderId="25" xfId="0" applyFont="1" applyFill="1" applyBorder="1" applyAlignment="1" applyProtection="1">
      <alignment horizontal="left"/>
      <protection locked="0"/>
    </xf>
    <xf numFmtId="0" fontId="0" fillId="5" borderId="25" xfId="0" applyFill="1" applyBorder="1" applyAlignment="1" applyProtection="1">
      <alignment horizontal="left"/>
      <protection locked="0"/>
    </xf>
    <xf numFmtId="0" fontId="0" fillId="5" borderId="10" xfId="0" applyFill="1" applyBorder="1" applyAlignment="1" applyProtection="1">
      <alignment horizontal="left"/>
      <protection locked="0"/>
    </xf>
    <xf numFmtId="0" fontId="0" fillId="5" borderId="12" xfId="0" applyFill="1" applyBorder="1" applyAlignment="1" applyProtection="1">
      <alignment horizontal="left"/>
      <protection locked="0"/>
    </xf>
    <xf numFmtId="0" fontId="0" fillId="5" borderId="11" xfId="0" applyFill="1" applyBorder="1" applyAlignment="1" applyProtection="1">
      <alignment horizontal="left"/>
      <protection locked="0"/>
    </xf>
    <xf numFmtId="0" fontId="0" fillId="5" borderId="2" xfId="0"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28" xfId="0" applyFill="1" applyBorder="1" applyAlignment="1" applyProtection="1">
      <alignment horizontal="center"/>
      <protection locked="0"/>
    </xf>
    <xf numFmtId="0" fontId="8" fillId="2" borderId="6"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8" fillId="2" borderId="24"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8" fillId="2" borderId="28" xfId="0" applyFont="1" applyFill="1" applyBorder="1" applyAlignment="1" applyProtection="1">
      <alignment horizontal="center" vertical="center"/>
      <protection locked="0"/>
    </xf>
    <xf numFmtId="0" fontId="8" fillId="2" borderId="25" xfId="0" applyFont="1" applyFill="1" applyBorder="1" applyAlignment="1" applyProtection="1">
      <alignment horizontal="center"/>
      <protection locked="0"/>
    </xf>
    <xf numFmtId="0" fontId="11" fillId="0" borderId="4" xfId="0" applyFont="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0" fontId="11" fillId="0" borderId="7"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28" xfId="0" applyFont="1" applyFill="1" applyBorder="1" applyAlignment="1" applyProtection="1">
      <alignment horizontal="center" vertical="center"/>
      <protection locked="0"/>
    </xf>
    <xf numFmtId="0" fontId="11" fillId="5" borderId="7" xfId="0" applyFont="1" applyFill="1" applyBorder="1" applyAlignment="1" applyProtection="1">
      <alignment horizontal="center" vertical="center"/>
      <protection locked="0"/>
    </xf>
    <xf numFmtId="0" fontId="11" fillId="5" borderId="8" xfId="0" applyFont="1" applyFill="1" applyBorder="1" applyAlignment="1" applyProtection="1">
      <alignment horizontal="center" vertical="center"/>
      <protection locked="0"/>
    </xf>
    <xf numFmtId="0" fontId="11" fillId="5" borderId="24" xfId="0" applyFont="1" applyFill="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8" fillId="5" borderId="10" xfId="0" applyFont="1" applyFill="1" applyBorder="1" applyAlignment="1" applyProtection="1">
      <alignment horizontal="center"/>
      <protection locked="0"/>
    </xf>
    <xf numFmtId="0" fontId="8" fillId="5" borderId="12" xfId="0" applyFont="1" applyFill="1" applyBorder="1" applyAlignment="1" applyProtection="1">
      <alignment horizontal="center"/>
      <protection locked="0"/>
    </xf>
    <xf numFmtId="0" fontId="8" fillId="5" borderId="11" xfId="0" applyFont="1" applyFill="1" applyBorder="1" applyAlignment="1" applyProtection="1">
      <alignment horizontal="center"/>
      <protection locked="0"/>
    </xf>
    <xf numFmtId="0" fontId="8" fillId="2" borderId="10" xfId="0" applyFont="1" applyFill="1" applyBorder="1" applyAlignment="1" applyProtection="1">
      <alignment horizontal="center"/>
      <protection locked="0"/>
    </xf>
    <xf numFmtId="0" fontId="8" fillId="2" borderId="12" xfId="0" applyFont="1" applyFill="1" applyBorder="1" applyAlignment="1" applyProtection="1">
      <alignment horizontal="center"/>
      <protection locked="0"/>
    </xf>
    <xf numFmtId="0" fontId="8" fillId="2" borderId="11" xfId="0" applyFont="1" applyFill="1" applyBorder="1" applyAlignment="1" applyProtection="1">
      <alignment horizontal="center"/>
      <protection locked="0"/>
    </xf>
    <xf numFmtId="0" fontId="0" fillId="9" borderId="0" xfId="0" applyFill="1" applyAlignment="1">
      <alignment horizontal="center" vertical="center" wrapText="1"/>
    </xf>
    <xf numFmtId="0" fontId="0" fillId="9" borderId="1" xfId="0" applyFill="1" applyBorder="1" applyAlignment="1">
      <alignment horizontal="center" vertical="center" wrapText="1"/>
    </xf>
    <xf numFmtId="0" fontId="21" fillId="9" borderId="16" xfId="0" applyFont="1" applyFill="1" applyBorder="1" applyAlignment="1">
      <alignment horizontal="center" vertical="center"/>
    </xf>
    <xf numFmtId="0" fontId="21" fillId="9" borderId="18" xfId="0" applyFont="1" applyFill="1" applyBorder="1" applyAlignment="1">
      <alignment horizontal="center" vertical="center"/>
    </xf>
    <xf numFmtId="0" fontId="21" fillId="9" borderId="31" xfId="0" applyFont="1" applyFill="1" applyBorder="1" applyAlignment="1">
      <alignment horizontal="center" vertical="center"/>
    </xf>
    <xf numFmtId="0" fontId="0" fillId="7" borderId="22" xfId="0" applyFill="1" applyBorder="1" applyAlignment="1">
      <alignment horizontal="center" vertical="center"/>
    </xf>
    <xf numFmtId="0" fontId="0" fillId="7" borderId="23" xfId="0" applyFill="1" applyBorder="1" applyAlignment="1">
      <alignment horizontal="center" vertical="center"/>
    </xf>
    <xf numFmtId="10" fontId="0" fillId="7" borderId="22" xfId="0" applyNumberFormat="1" applyFill="1" applyBorder="1" applyAlignment="1">
      <alignment horizontal="center" vertical="center"/>
    </xf>
    <xf numFmtId="10" fontId="0" fillId="7" borderId="23" xfId="0" applyNumberFormat="1" applyFill="1" applyBorder="1" applyAlignment="1">
      <alignment horizontal="center" vertical="center"/>
    </xf>
    <xf numFmtId="0" fontId="0" fillId="4" borderId="30" xfId="0" applyFill="1" applyBorder="1" applyAlignment="1">
      <alignment horizontal="center" vertical="center"/>
    </xf>
    <xf numFmtId="0" fontId="0" fillId="4" borderId="32" xfId="0" applyFill="1" applyBorder="1" applyAlignment="1">
      <alignment horizontal="center" vertical="center"/>
    </xf>
    <xf numFmtId="0" fontId="0" fillId="4" borderId="15" xfId="0" applyFill="1" applyBorder="1" applyAlignment="1">
      <alignment horizontal="center" vertical="center"/>
    </xf>
    <xf numFmtId="0" fontId="0" fillId="4" borderId="20" xfId="0" applyFill="1" applyBorder="1" applyAlignment="1">
      <alignment horizontal="center" vertical="center"/>
    </xf>
    <xf numFmtId="10" fontId="0" fillId="4" borderId="22" xfId="0" applyNumberFormat="1" applyFill="1" applyBorder="1" applyAlignment="1">
      <alignment horizontal="center" vertical="center"/>
    </xf>
    <xf numFmtId="10" fontId="0" fillId="4" borderId="21" xfId="0" applyNumberFormat="1" applyFill="1" applyBorder="1" applyAlignment="1">
      <alignment horizontal="center" vertical="center"/>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CCECFF"/>
      <color rgb="FFCC00FF"/>
      <color rgb="FF990033"/>
      <color rgb="FFFFFFCC"/>
      <color rgb="FF632523"/>
      <color rgb="FFFF0066"/>
      <color rgb="FF66FF33"/>
      <color rgb="FF9933FF"/>
      <color rgb="FFCC66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dwan\OneDrive\Documents\MASWork\Strawberry\Strawberry_Sim_0305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eding Inputs"/>
      <sheetName val="Simulation"/>
      <sheetName val="Stage 2 Selection Randomiza (2)"/>
      <sheetName val="Cost Inputs"/>
      <sheetName val="Stage 1 Selection Matrix 3.0"/>
      <sheetName val="Stage 2 Selection Randomization"/>
      <sheetName val="Sel.Matrix2.0"/>
      <sheetName val="Model_ of_real_inputs"/>
      <sheetName val="Automated Results"/>
      <sheetName val="SimulationResults2"/>
      <sheetName val="Sheet2"/>
      <sheetName val="Simulation Results"/>
      <sheetName val="S1Avg.Rem."/>
      <sheetName val="S2.Rem"/>
    </sheetNames>
    <sheetDataSet>
      <sheetData sheetId="0">
        <row r="28">
          <cell r="I28">
            <v>2</v>
          </cell>
        </row>
        <row r="68">
          <cell r="A68">
            <v>1</v>
          </cell>
          <cell r="B68">
            <v>4</v>
          </cell>
        </row>
        <row r="69">
          <cell r="A69">
            <v>2</v>
          </cell>
          <cell r="B69">
            <v>5</v>
          </cell>
        </row>
        <row r="70">
          <cell r="A70">
            <v>3</v>
          </cell>
          <cell r="B70">
            <v>6</v>
          </cell>
        </row>
        <row r="71">
          <cell r="A71">
            <v>4</v>
          </cell>
          <cell r="B71"/>
        </row>
        <row r="72">
          <cell r="A72">
            <v>5</v>
          </cell>
          <cell r="B72"/>
        </row>
        <row r="73">
          <cell r="A73">
            <v>6</v>
          </cell>
          <cell r="B73"/>
        </row>
        <row r="74">
          <cell r="A74">
            <v>7</v>
          </cell>
          <cell r="B74"/>
        </row>
        <row r="75">
          <cell r="A75">
            <v>8</v>
          </cell>
          <cell r="B75"/>
        </row>
        <row r="76">
          <cell r="A76">
            <v>9</v>
          </cell>
          <cell r="B76"/>
        </row>
        <row r="77">
          <cell r="A77">
            <v>10</v>
          </cell>
          <cell r="B77"/>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V1273"/>
  <sheetViews>
    <sheetView tabSelected="1" zoomScale="56" zoomScaleNormal="56" workbookViewId="0">
      <selection activeCell="D101" sqref="D101:D105"/>
    </sheetView>
  </sheetViews>
  <sheetFormatPr defaultColWidth="8.85546875" defaultRowHeight="15" x14ac:dyDescent="0.25"/>
  <cols>
    <col min="1" max="1" width="16" style="4" bestFit="1" customWidth="1"/>
    <col min="2" max="2" width="22.140625" style="4" customWidth="1"/>
    <col min="3" max="3" width="16.140625" style="4" customWidth="1"/>
    <col min="4" max="4" width="36.42578125" style="4" bestFit="1" customWidth="1"/>
    <col min="5" max="5" width="27.7109375" style="4" customWidth="1"/>
    <col min="6" max="7" width="4.5703125" style="4" customWidth="1"/>
    <col min="8" max="8" width="12.7109375" style="4" customWidth="1"/>
    <col min="9" max="9" width="8.85546875" style="4"/>
    <col min="10" max="10" width="30" style="4" customWidth="1"/>
    <col min="11" max="11" width="8.85546875" style="4"/>
    <col min="12" max="100" width="8.85546875" style="13"/>
    <col min="101" max="16384" width="8.85546875" style="4"/>
  </cols>
  <sheetData>
    <row r="1" spans="1:24" ht="27" thickBot="1" x14ac:dyDescent="0.3">
      <c r="A1" s="318"/>
      <c r="B1" s="412" t="s">
        <v>149</v>
      </c>
      <c r="C1" s="413"/>
      <c r="D1" s="413"/>
      <c r="E1" s="413"/>
      <c r="F1" s="413"/>
      <c r="G1" s="413"/>
      <c r="H1" s="413"/>
      <c r="I1" s="414"/>
      <c r="J1" s="320"/>
      <c r="K1" s="320"/>
      <c r="L1" s="320"/>
      <c r="M1" s="320"/>
      <c r="N1" s="320"/>
      <c r="O1" s="320"/>
      <c r="P1" s="320"/>
      <c r="Q1" s="320"/>
      <c r="R1" s="320"/>
      <c r="S1" s="320"/>
      <c r="T1" s="320"/>
      <c r="U1" s="320"/>
      <c r="V1" s="320"/>
      <c r="W1" s="320"/>
      <c r="X1" s="320"/>
    </row>
    <row r="2" spans="1:24" ht="30" customHeight="1" thickBot="1" x14ac:dyDescent="0.3">
      <c r="A2" s="318"/>
      <c r="B2" s="83" t="s">
        <v>0</v>
      </c>
      <c r="C2" s="411" t="s">
        <v>153</v>
      </c>
      <c r="D2" s="411"/>
      <c r="E2" s="411"/>
      <c r="F2" s="411"/>
      <c r="G2" s="411"/>
      <c r="H2" s="411"/>
      <c r="I2" s="83" t="s">
        <v>9</v>
      </c>
      <c r="J2" s="321"/>
      <c r="K2" s="321"/>
      <c r="L2" s="321"/>
      <c r="M2" s="321"/>
      <c r="N2" s="321"/>
      <c r="O2" s="321"/>
      <c r="P2" s="321"/>
      <c r="Q2" s="321"/>
      <c r="R2" s="330"/>
      <c r="S2" s="330"/>
      <c r="T2" s="330"/>
      <c r="U2" s="357"/>
      <c r="V2" s="357"/>
    </row>
    <row r="3" spans="1:24" ht="15" customHeight="1" x14ac:dyDescent="0.25">
      <c r="A3" s="318"/>
      <c r="B3" s="415" t="s">
        <v>257</v>
      </c>
      <c r="C3" s="422" t="s">
        <v>154</v>
      </c>
      <c r="D3" s="423"/>
      <c r="E3" s="423"/>
      <c r="F3" s="423"/>
      <c r="G3" s="423"/>
      <c r="H3" s="423"/>
      <c r="I3" s="420"/>
      <c r="J3" s="322"/>
      <c r="K3" s="322"/>
      <c r="L3" s="322"/>
      <c r="M3" s="322"/>
      <c r="N3" s="322"/>
      <c r="O3" s="322"/>
      <c r="P3" s="322"/>
      <c r="Q3" s="322"/>
      <c r="R3" s="357"/>
      <c r="S3" s="357"/>
      <c r="U3" s="357"/>
      <c r="V3" s="357"/>
    </row>
    <row r="4" spans="1:24" ht="71.45" customHeight="1" x14ac:dyDescent="0.25">
      <c r="A4" s="318"/>
      <c r="B4" s="402"/>
      <c r="C4" s="416" t="s">
        <v>155</v>
      </c>
      <c r="D4" s="417"/>
      <c r="E4" s="417"/>
      <c r="F4" s="417"/>
      <c r="G4" s="417"/>
      <c r="H4" s="417"/>
      <c r="I4" s="421"/>
      <c r="J4" s="322"/>
      <c r="K4" s="322"/>
      <c r="L4" s="322"/>
      <c r="M4" s="322"/>
      <c r="N4" s="322"/>
      <c r="O4" s="322"/>
      <c r="P4" s="322"/>
      <c r="Q4" s="322"/>
      <c r="R4" s="357"/>
      <c r="S4" s="357"/>
      <c r="T4" s="331"/>
      <c r="U4" s="357"/>
      <c r="V4" s="357"/>
    </row>
    <row r="5" spans="1:24" ht="15" customHeight="1" x14ac:dyDescent="0.25">
      <c r="A5" s="318"/>
      <c r="B5" s="402"/>
      <c r="C5" s="418" t="s">
        <v>156</v>
      </c>
      <c r="D5" s="419"/>
      <c r="E5" s="419"/>
      <c r="F5" s="419"/>
      <c r="G5" s="419"/>
      <c r="H5" s="419"/>
      <c r="I5" s="59"/>
      <c r="J5" s="322"/>
      <c r="K5" s="322"/>
      <c r="L5" s="322"/>
      <c r="M5" s="322"/>
      <c r="N5" s="322"/>
      <c r="O5" s="322"/>
      <c r="P5" s="322"/>
      <c r="Q5" s="322"/>
      <c r="R5" s="357"/>
      <c r="S5" s="357"/>
      <c r="T5" s="331"/>
      <c r="U5" s="357"/>
      <c r="V5" s="357"/>
    </row>
    <row r="6" spans="1:24" ht="15.75" thickBot="1" x14ac:dyDescent="0.3">
      <c r="A6" s="318"/>
      <c r="B6" s="46"/>
      <c r="C6" s="56"/>
      <c r="D6" s="57"/>
      <c r="E6" s="57"/>
      <c r="F6" s="57"/>
      <c r="G6" s="57"/>
      <c r="H6" s="57"/>
      <c r="I6" s="77"/>
      <c r="J6" s="322"/>
      <c r="K6" s="322"/>
      <c r="L6" s="322"/>
      <c r="M6" s="322"/>
      <c r="N6" s="322"/>
      <c r="O6" s="322"/>
      <c r="P6" s="322"/>
      <c r="Q6" s="322"/>
      <c r="R6" s="357"/>
      <c r="S6" s="357"/>
      <c r="T6" s="331"/>
      <c r="U6" s="357"/>
      <c r="V6" s="357"/>
    </row>
    <row r="7" spans="1:24" x14ac:dyDescent="0.25">
      <c r="A7" s="318"/>
      <c r="B7" s="376" t="s">
        <v>3</v>
      </c>
      <c r="C7" s="399" t="s">
        <v>194</v>
      </c>
      <c r="D7" s="400"/>
      <c r="E7" s="400"/>
      <c r="F7" s="400"/>
      <c r="G7" s="400"/>
      <c r="H7" s="401"/>
      <c r="I7" s="333"/>
      <c r="J7" s="322"/>
      <c r="K7" s="322"/>
      <c r="L7" s="322"/>
      <c r="M7" s="322"/>
      <c r="N7" s="322"/>
      <c r="O7" s="322"/>
      <c r="P7" s="322"/>
      <c r="Q7" s="322"/>
      <c r="R7" s="357"/>
      <c r="S7" s="357"/>
      <c r="T7" s="331"/>
      <c r="U7" s="357"/>
      <c r="V7" s="357"/>
    </row>
    <row r="8" spans="1:24" x14ac:dyDescent="0.25">
      <c r="A8" s="318"/>
      <c r="B8" s="376"/>
      <c r="C8" s="403" t="s">
        <v>150</v>
      </c>
      <c r="D8" s="404"/>
      <c r="E8" s="404"/>
      <c r="F8" s="404"/>
      <c r="G8" s="404"/>
      <c r="H8" s="405"/>
      <c r="I8" s="59"/>
      <c r="J8" s="322"/>
      <c r="K8" s="322"/>
      <c r="L8" s="322"/>
      <c r="M8" s="322"/>
      <c r="N8" s="322"/>
      <c r="O8" s="322"/>
      <c r="P8" s="322"/>
      <c r="Q8" s="322"/>
      <c r="R8" s="357"/>
      <c r="S8" s="357"/>
      <c r="U8" s="357"/>
      <c r="V8" s="357"/>
    </row>
    <row r="9" spans="1:24" x14ac:dyDescent="0.25">
      <c r="A9" s="318"/>
      <c r="B9" s="376"/>
      <c r="C9" s="383" t="s">
        <v>283</v>
      </c>
      <c r="D9" s="384"/>
      <c r="E9" s="384"/>
      <c r="F9" s="384"/>
      <c r="G9" s="384"/>
      <c r="H9" s="385"/>
      <c r="I9" s="58"/>
      <c r="J9" s="322"/>
      <c r="K9" s="322"/>
      <c r="L9" s="322"/>
      <c r="M9" s="322"/>
      <c r="N9" s="322"/>
      <c r="O9" s="322"/>
      <c r="P9" s="322"/>
      <c r="Q9" s="322"/>
      <c r="R9" s="357"/>
      <c r="S9" s="357"/>
      <c r="U9" s="357"/>
      <c r="V9" s="357"/>
    </row>
    <row r="10" spans="1:24" x14ac:dyDescent="0.25">
      <c r="A10" s="318"/>
      <c r="B10" s="376"/>
      <c r="C10" s="377" t="s">
        <v>284</v>
      </c>
      <c r="D10" s="378"/>
      <c r="E10" s="378"/>
      <c r="F10" s="378"/>
      <c r="G10" s="378"/>
      <c r="H10" s="379"/>
      <c r="I10" s="316"/>
      <c r="J10" s="322"/>
      <c r="K10" s="322"/>
      <c r="L10" s="322"/>
      <c r="M10" s="322"/>
      <c r="N10" s="322"/>
      <c r="O10" s="322"/>
      <c r="P10" s="322"/>
      <c r="Q10" s="322"/>
      <c r="R10" s="357"/>
      <c r="S10" s="357"/>
      <c r="U10" s="357"/>
      <c r="V10" s="357"/>
    </row>
    <row r="11" spans="1:24" ht="12" customHeight="1" thickBot="1" x14ac:dyDescent="0.3">
      <c r="A11" s="318"/>
      <c r="B11" s="44"/>
      <c r="C11" s="51"/>
      <c r="D11" s="52"/>
      <c r="E11" s="52"/>
      <c r="F11" s="52"/>
      <c r="G11" s="52"/>
      <c r="H11" s="52"/>
      <c r="I11" s="77"/>
      <c r="J11" s="322"/>
      <c r="K11" s="322"/>
      <c r="L11" s="322"/>
      <c r="M11" s="322"/>
      <c r="N11" s="322"/>
      <c r="O11" s="322"/>
      <c r="P11" s="322"/>
      <c r="Q11" s="322"/>
      <c r="R11" s="357"/>
      <c r="S11" s="357"/>
      <c r="U11" s="357"/>
      <c r="V11" s="357"/>
    </row>
    <row r="12" spans="1:24" ht="14.45" customHeight="1" x14ac:dyDescent="0.25">
      <c r="A12" s="318"/>
      <c r="B12" s="375" t="s">
        <v>151</v>
      </c>
      <c r="C12" s="399" t="s">
        <v>194</v>
      </c>
      <c r="D12" s="400"/>
      <c r="E12" s="400"/>
      <c r="F12" s="400"/>
      <c r="G12" s="400"/>
      <c r="H12" s="401"/>
      <c r="I12" s="333"/>
      <c r="J12" s="322"/>
      <c r="K12" s="322"/>
      <c r="L12" s="322"/>
      <c r="M12" s="322"/>
      <c r="N12" s="322"/>
      <c r="O12" s="322"/>
      <c r="P12" s="322"/>
      <c r="Q12" s="322"/>
      <c r="R12" s="357"/>
      <c r="S12" s="357"/>
      <c r="U12" s="357"/>
      <c r="V12" s="357"/>
    </row>
    <row r="13" spans="1:24" x14ac:dyDescent="0.25">
      <c r="A13" s="318"/>
      <c r="B13" s="375"/>
      <c r="C13" s="403" t="s">
        <v>150</v>
      </c>
      <c r="D13" s="404"/>
      <c r="E13" s="404"/>
      <c r="F13" s="404"/>
      <c r="G13" s="404"/>
      <c r="H13" s="405"/>
      <c r="I13" s="59"/>
      <c r="J13" s="322"/>
      <c r="K13" s="322"/>
      <c r="L13" s="322"/>
      <c r="M13" s="322"/>
      <c r="N13" s="322"/>
      <c r="O13" s="322"/>
      <c r="P13" s="322"/>
      <c r="Q13" s="322"/>
      <c r="R13" s="357"/>
      <c r="S13" s="357"/>
      <c r="U13" s="357"/>
      <c r="V13" s="357"/>
    </row>
    <row r="14" spans="1:24" x14ac:dyDescent="0.25">
      <c r="A14" s="318"/>
      <c r="B14" s="375"/>
      <c r="C14" s="383" t="s">
        <v>214</v>
      </c>
      <c r="D14" s="384"/>
      <c r="E14" s="384"/>
      <c r="F14" s="384"/>
      <c r="G14" s="384"/>
      <c r="H14" s="385"/>
      <c r="I14" s="58"/>
      <c r="J14" s="322"/>
      <c r="K14" s="322"/>
      <c r="L14" s="322"/>
      <c r="M14" s="322"/>
      <c r="N14" s="322"/>
      <c r="O14" s="322"/>
      <c r="P14" s="322"/>
      <c r="Q14" s="322"/>
      <c r="R14" s="357"/>
      <c r="S14" s="357"/>
      <c r="U14" s="357"/>
      <c r="V14" s="357"/>
    </row>
    <row r="15" spans="1:24" x14ac:dyDescent="0.25">
      <c r="A15" s="318"/>
      <c r="B15" s="375"/>
      <c r="C15" s="427" t="s">
        <v>287</v>
      </c>
      <c r="D15" s="428"/>
      <c r="E15" s="428"/>
      <c r="F15" s="428"/>
      <c r="G15" s="428"/>
      <c r="H15" s="429"/>
      <c r="I15" s="62"/>
      <c r="J15" s="323" t="str">
        <f>IF(AND('Cost Inputs'!$H$38&gt;0,'Cost Inputs'!$H$42&gt;0), 'Cost Inputs'!$H$42/'Cost Inputs'!$H$38, IF(AND('Cost Inputs'!$H$38&gt;0,'Cost Inputs'!$H$43&gt;0),'Cost Inputs'!$H$43/'Cost Inputs'!$H$38, "Input Required"))</f>
        <v>Input Required</v>
      </c>
      <c r="K15" s="322"/>
      <c r="L15" s="322"/>
      <c r="M15" s="322"/>
      <c r="N15" s="322"/>
      <c r="O15" s="322"/>
      <c r="P15" s="322"/>
      <c r="Q15" s="322"/>
      <c r="R15" s="357"/>
      <c r="S15" s="357"/>
      <c r="U15" s="357"/>
      <c r="V15" s="357"/>
    </row>
    <row r="16" spans="1:24" x14ac:dyDescent="0.25">
      <c r="A16" s="318"/>
      <c r="B16" s="375"/>
      <c r="C16" s="424" t="s">
        <v>260</v>
      </c>
      <c r="D16" s="425"/>
      <c r="E16" s="425"/>
      <c r="F16" s="425"/>
      <c r="G16" s="425"/>
      <c r="H16" s="426"/>
      <c r="I16" s="63"/>
      <c r="J16" s="324"/>
      <c r="K16" s="322"/>
      <c r="L16" s="322"/>
      <c r="M16" s="322"/>
      <c r="N16" s="322"/>
      <c r="O16" s="322"/>
      <c r="P16" s="322"/>
      <c r="Q16" s="322"/>
      <c r="R16" s="357"/>
      <c r="S16" s="357"/>
      <c r="U16" s="357"/>
      <c r="V16" s="357"/>
    </row>
    <row r="17" spans="1:22" x14ac:dyDescent="0.25">
      <c r="A17" s="318"/>
      <c r="B17" s="375"/>
      <c r="C17" s="377" t="s">
        <v>258</v>
      </c>
      <c r="D17" s="378"/>
      <c r="E17" s="378"/>
      <c r="F17" s="378"/>
      <c r="G17" s="378"/>
      <c r="H17" s="379"/>
      <c r="I17" s="316"/>
      <c r="J17" s="324"/>
      <c r="K17" s="322"/>
      <c r="L17" s="322"/>
      <c r="M17" s="322"/>
      <c r="N17" s="322"/>
      <c r="O17" s="322"/>
      <c r="P17" s="322"/>
      <c r="Q17" s="322"/>
      <c r="R17" s="357"/>
      <c r="S17" s="357"/>
      <c r="U17" s="357"/>
      <c r="V17" s="357"/>
    </row>
    <row r="18" spans="1:22" x14ac:dyDescent="0.25">
      <c r="A18" s="318"/>
      <c r="B18" s="375"/>
      <c r="C18" s="383" t="s">
        <v>263</v>
      </c>
      <c r="D18" s="384"/>
      <c r="E18" s="384"/>
      <c r="F18" s="384"/>
      <c r="G18" s="384"/>
      <c r="H18" s="385"/>
      <c r="I18" s="61"/>
      <c r="J18" s="324"/>
      <c r="K18" s="322"/>
      <c r="L18" s="322"/>
      <c r="M18" s="322"/>
      <c r="N18" s="322"/>
      <c r="O18" s="322"/>
      <c r="P18" s="322"/>
      <c r="Q18" s="322"/>
      <c r="R18" s="357"/>
      <c r="S18" s="357"/>
      <c r="U18" s="357"/>
      <c r="V18" s="357"/>
    </row>
    <row r="19" spans="1:22" x14ac:dyDescent="0.25">
      <c r="A19" s="318"/>
      <c r="B19" s="375"/>
      <c r="C19" s="377" t="s">
        <v>259</v>
      </c>
      <c r="D19" s="378"/>
      <c r="E19" s="378"/>
      <c r="F19" s="378"/>
      <c r="G19" s="378"/>
      <c r="H19" s="379"/>
      <c r="I19" s="269"/>
      <c r="J19" s="324"/>
      <c r="K19" s="322"/>
      <c r="L19" s="322"/>
      <c r="M19" s="322"/>
      <c r="N19" s="322"/>
      <c r="O19" s="322"/>
      <c r="P19" s="322"/>
      <c r="Q19" s="322"/>
      <c r="R19" s="357"/>
      <c r="S19" s="357"/>
      <c r="U19" s="357"/>
      <c r="V19" s="357"/>
    </row>
    <row r="20" spans="1:22" ht="34.15" customHeight="1" thickBot="1" x14ac:dyDescent="0.3">
      <c r="A20" s="318"/>
      <c r="B20" s="375"/>
      <c r="C20" s="386" t="s">
        <v>285</v>
      </c>
      <c r="D20" s="387"/>
      <c r="E20" s="387"/>
      <c r="F20" s="387"/>
      <c r="G20" s="387"/>
      <c r="H20" s="388"/>
      <c r="I20" s="335"/>
      <c r="J20" s="324"/>
      <c r="K20" s="322"/>
      <c r="L20" s="322"/>
      <c r="M20" s="322"/>
      <c r="N20" s="322"/>
      <c r="O20" s="322"/>
      <c r="P20" s="322"/>
      <c r="Q20" s="322"/>
      <c r="R20" s="357"/>
      <c r="S20" s="357"/>
      <c r="U20" s="357"/>
      <c r="V20" s="357"/>
    </row>
    <row r="21" spans="1:22" ht="15.6" customHeight="1" thickBot="1" x14ac:dyDescent="0.3">
      <c r="A21" s="318"/>
      <c r="B21" s="215"/>
      <c r="C21" s="216"/>
      <c r="D21" s="217"/>
      <c r="E21" s="217"/>
      <c r="F21" s="217"/>
      <c r="G21" s="217"/>
      <c r="H21" s="217"/>
      <c r="I21" s="311"/>
      <c r="J21" s="322"/>
      <c r="K21" s="322"/>
      <c r="L21" s="322"/>
      <c r="M21" s="322"/>
      <c r="N21" s="322"/>
      <c r="O21" s="322"/>
      <c r="P21" s="322"/>
      <c r="Q21" s="322"/>
      <c r="R21" s="357"/>
      <c r="S21" s="357"/>
      <c r="U21" s="357"/>
      <c r="V21" s="357"/>
    </row>
    <row r="22" spans="1:22" x14ac:dyDescent="0.25">
      <c r="A22" s="318"/>
      <c r="B22" s="375" t="s">
        <v>229</v>
      </c>
      <c r="C22" s="399" t="s">
        <v>223</v>
      </c>
      <c r="D22" s="400"/>
      <c r="E22" s="400"/>
      <c r="F22" s="400"/>
      <c r="G22" s="400"/>
      <c r="H22" s="401"/>
      <c r="I22" s="333"/>
      <c r="J22" s="322"/>
      <c r="K22" s="322"/>
      <c r="L22" s="322"/>
      <c r="M22" s="322"/>
      <c r="N22" s="322"/>
      <c r="O22" s="322"/>
      <c r="P22" s="322"/>
      <c r="Q22" s="322"/>
      <c r="R22" s="357"/>
      <c r="S22" s="357"/>
      <c r="U22" s="357"/>
      <c r="V22" s="357"/>
    </row>
    <row r="23" spans="1:22" ht="14.45" customHeight="1" x14ac:dyDescent="0.25">
      <c r="A23" s="318"/>
      <c r="B23" s="375"/>
      <c r="C23" s="403" t="s">
        <v>224</v>
      </c>
      <c r="D23" s="404"/>
      <c r="E23" s="404"/>
      <c r="F23" s="404"/>
      <c r="G23" s="404"/>
      <c r="H23" s="405"/>
      <c r="I23" s="59"/>
      <c r="J23" s="325"/>
      <c r="K23" s="325"/>
      <c r="L23" s="325"/>
      <c r="M23" s="325"/>
      <c r="N23" s="325"/>
      <c r="O23" s="325"/>
      <c r="P23" s="325"/>
      <c r="Q23" s="325"/>
      <c r="R23" s="325"/>
      <c r="S23" s="325"/>
      <c r="T23" s="357"/>
      <c r="U23" s="325"/>
      <c r="V23" s="325"/>
    </row>
    <row r="24" spans="1:22" x14ac:dyDescent="0.25">
      <c r="A24" s="318"/>
      <c r="B24" s="375"/>
      <c r="C24" s="383" t="s">
        <v>215</v>
      </c>
      <c r="D24" s="384"/>
      <c r="E24" s="384"/>
      <c r="F24" s="384"/>
      <c r="G24" s="384"/>
      <c r="H24" s="385"/>
      <c r="I24" s="96"/>
      <c r="J24" s="325"/>
      <c r="K24" s="325"/>
      <c r="L24" s="325"/>
      <c r="M24" s="325"/>
      <c r="N24" s="325"/>
      <c r="O24" s="325"/>
      <c r="P24" s="325"/>
      <c r="Q24" s="325"/>
      <c r="R24" s="325"/>
      <c r="S24" s="325"/>
      <c r="T24" s="357"/>
      <c r="U24" s="325"/>
      <c r="V24" s="325"/>
    </row>
    <row r="25" spans="1:22" ht="14.45" customHeight="1" x14ac:dyDescent="0.25">
      <c r="A25" s="318"/>
      <c r="B25" s="375"/>
      <c r="C25" s="403" t="s">
        <v>216</v>
      </c>
      <c r="D25" s="404"/>
      <c r="E25" s="404"/>
      <c r="F25" s="404"/>
      <c r="G25" s="404"/>
      <c r="H25" s="405"/>
      <c r="I25" s="218"/>
      <c r="J25" s="325"/>
      <c r="K25" s="325"/>
      <c r="L25" s="325"/>
      <c r="M25" s="325"/>
      <c r="N25" s="325"/>
      <c r="O25" s="325"/>
      <c r="P25" s="325"/>
      <c r="Q25" s="325"/>
      <c r="R25" s="325"/>
      <c r="S25" s="325"/>
      <c r="T25" s="357"/>
      <c r="U25" s="325"/>
      <c r="V25" s="325"/>
    </row>
    <row r="26" spans="1:22" x14ac:dyDescent="0.25">
      <c r="A26" s="318"/>
      <c r="B26" s="375"/>
      <c r="C26" s="383" t="s">
        <v>217</v>
      </c>
      <c r="D26" s="384"/>
      <c r="E26" s="384"/>
      <c r="F26" s="384"/>
      <c r="G26" s="384"/>
      <c r="H26" s="385"/>
      <c r="I26" s="96"/>
      <c r="J26" s="325"/>
      <c r="K26" s="325"/>
      <c r="L26" s="325"/>
      <c r="M26" s="325"/>
      <c r="N26" s="325"/>
      <c r="O26" s="325"/>
      <c r="P26" s="325"/>
      <c r="Q26" s="325"/>
      <c r="R26" s="325"/>
      <c r="S26" s="325"/>
      <c r="T26" s="357"/>
      <c r="U26" s="325"/>
      <c r="V26" s="325"/>
    </row>
    <row r="27" spans="1:22" x14ac:dyDescent="0.25">
      <c r="A27" s="318"/>
      <c r="B27" s="375"/>
      <c r="C27" s="390" t="s">
        <v>288</v>
      </c>
      <c r="D27" s="391"/>
      <c r="E27" s="391"/>
      <c r="F27" s="391"/>
      <c r="G27" s="391"/>
      <c r="H27" s="392"/>
      <c r="I27" s="67"/>
      <c r="J27" s="368" t="e">
        <f>IF(S1_SelPer&lt;&gt;(('Cost Inputs'!H59-'Cost Inputs'!H84)/'Cost Inputs'!H59), "Error: Seedling Test Cost Inputs entries do no agree with Seedling Test Breeding Inputs (F).","")</f>
        <v>#DIV/0!</v>
      </c>
      <c r="K27" s="325"/>
      <c r="L27" s="325"/>
      <c r="M27" s="325"/>
      <c r="N27" s="325"/>
      <c r="O27" s="325"/>
      <c r="P27" s="325"/>
      <c r="Q27" s="325"/>
      <c r="R27" s="325"/>
      <c r="S27" s="325"/>
      <c r="T27" s="357"/>
      <c r="U27" s="325"/>
      <c r="V27" s="325"/>
    </row>
    <row r="28" spans="1:22" x14ac:dyDescent="0.25">
      <c r="A28" s="318"/>
      <c r="B28" s="375"/>
      <c r="C28" s="396" t="s">
        <v>228</v>
      </c>
      <c r="D28" s="397"/>
      <c r="E28" s="397"/>
      <c r="F28" s="397"/>
      <c r="G28" s="397"/>
      <c r="H28" s="398"/>
      <c r="I28" s="96"/>
      <c r="J28" s="368" t="str">
        <f>IF(S1_Est&lt;&gt;'Cost Inputs'!H88, "Error: Clonal Test Cost Inputs do not agree with Seedling Test Breeding Inputs (G).", "")</f>
        <v/>
      </c>
      <c r="K28" s="325"/>
      <c r="L28" s="325"/>
      <c r="M28" s="325"/>
      <c r="N28" s="325"/>
      <c r="O28" s="325"/>
      <c r="P28" s="325"/>
      <c r="Q28" s="325"/>
      <c r="R28" s="325"/>
      <c r="S28" s="325"/>
      <c r="T28" s="357"/>
      <c r="U28" s="325"/>
      <c r="V28" s="325"/>
    </row>
    <row r="29" spans="1:22" ht="14.45" customHeight="1" x14ac:dyDescent="0.25">
      <c r="A29" s="318"/>
      <c r="B29" s="375"/>
      <c r="C29" s="377" t="s">
        <v>261</v>
      </c>
      <c r="D29" s="378"/>
      <c r="E29" s="378"/>
      <c r="F29" s="378"/>
      <c r="G29" s="378"/>
      <c r="H29" s="379"/>
      <c r="I29" s="82"/>
      <c r="J29" s="325"/>
      <c r="K29" s="325"/>
      <c r="L29" s="325"/>
      <c r="M29" s="325"/>
      <c r="N29" s="325"/>
      <c r="O29" s="325"/>
      <c r="P29" s="325"/>
      <c r="Q29" s="325"/>
      <c r="R29" s="325"/>
      <c r="S29" s="325"/>
      <c r="T29" s="357"/>
      <c r="U29" s="325"/>
      <c r="V29" s="325"/>
    </row>
    <row r="30" spans="1:22" ht="14.45" customHeight="1" x14ac:dyDescent="0.25">
      <c r="A30" s="318"/>
      <c r="B30" s="375"/>
      <c r="C30" s="383" t="s">
        <v>289</v>
      </c>
      <c r="D30" s="384"/>
      <c r="E30" s="384"/>
      <c r="F30" s="384"/>
      <c r="G30" s="384"/>
      <c r="H30" s="385"/>
      <c r="I30" s="96"/>
      <c r="J30" s="325"/>
      <c r="K30" s="325"/>
      <c r="L30" s="325"/>
      <c r="M30" s="325"/>
      <c r="N30" s="325"/>
      <c r="O30" s="325"/>
      <c r="P30" s="325"/>
      <c r="Q30" s="325"/>
      <c r="R30" s="325"/>
      <c r="S30" s="325"/>
      <c r="T30" s="357"/>
      <c r="U30" s="325"/>
      <c r="V30" s="325"/>
    </row>
    <row r="31" spans="1:22" ht="14.45" customHeight="1" x14ac:dyDescent="0.25">
      <c r="A31" s="318"/>
      <c r="B31" s="312"/>
      <c r="C31" s="377" t="s">
        <v>262</v>
      </c>
      <c r="D31" s="378"/>
      <c r="E31" s="378"/>
      <c r="F31" s="378"/>
      <c r="G31" s="378"/>
      <c r="H31" s="379"/>
      <c r="I31" s="269"/>
      <c r="J31" s="325"/>
      <c r="K31" s="325"/>
      <c r="L31" s="325"/>
      <c r="M31" s="325"/>
      <c r="N31" s="325"/>
      <c r="O31" s="325"/>
      <c r="P31" s="325"/>
      <c r="Q31" s="325"/>
      <c r="R31" s="325"/>
      <c r="S31" s="325"/>
      <c r="T31" s="357"/>
      <c r="U31" s="325"/>
      <c r="V31" s="325"/>
    </row>
    <row r="32" spans="1:22" ht="14.45" customHeight="1" x14ac:dyDescent="0.25">
      <c r="A32" s="318"/>
      <c r="B32" s="312"/>
      <c r="C32" s="383" t="s">
        <v>264</v>
      </c>
      <c r="D32" s="384"/>
      <c r="E32" s="384"/>
      <c r="F32" s="384"/>
      <c r="G32" s="384"/>
      <c r="H32" s="385"/>
      <c r="I32" s="96"/>
      <c r="J32" s="325"/>
      <c r="K32" s="325"/>
      <c r="L32" s="325"/>
      <c r="M32" s="325"/>
      <c r="N32" s="325"/>
      <c r="O32" s="325"/>
      <c r="P32" s="325"/>
      <c r="Q32" s="325"/>
      <c r="R32" s="325"/>
      <c r="S32" s="325"/>
      <c r="T32" s="357"/>
      <c r="U32" s="325"/>
      <c r="V32" s="325"/>
    </row>
    <row r="33" spans="1:22" ht="14.45" customHeight="1" thickBot="1" x14ac:dyDescent="0.3">
      <c r="A33" s="318"/>
      <c r="B33" s="312"/>
      <c r="C33" s="380" t="s">
        <v>265</v>
      </c>
      <c r="D33" s="381"/>
      <c r="E33" s="381"/>
      <c r="F33" s="381"/>
      <c r="G33" s="381"/>
      <c r="H33" s="382"/>
      <c r="I33" s="336"/>
      <c r="J33" s="325"/>
      <c r="K33" s="325"/>
      <c r="L33" s="325"/>
      <c r="M33" s="325"/>
      <c r="N33" s="325"/>
      <c r="O33" s="325"/>
      <c r="P33" s="325"/>
      <c r="Q33" s="325"/>
      <c r="R33" s="325"/>
      <c r="S33" s="325"/>
      <c r="T33" s="357"/>
      <c r="U33" s="325"/>
      <c r="V33" s="325"/>
    </row>
    <row r="34" spans="1:22" ht="14.45" customHeight="1" thickBot="1" x14ac:dyDescent="0.3">
      <c r="A34" s="318"/>
      <c r="B34" s="215"/>
      <c r="C34" s="313"/>
      <c r="D34" s="55"/>
      <c r="E34" s="55"/>
      <c r="F34" s="55"/>
      <c r="G34" s="55"/>
      <c r="H34" s="314"/>
      <c r="I34" s="79"/>
      <c r="J34" s="325"/>
      <c r="K34" s="325"/>
      <c r="L34" s="325"/>
      <c r="M34" s="325"/>
      <c r="N34" s="325"/>
      <c r="O34" s="325"/>
      <c r="P34" s="325"/>
      <c r="Q34" s="325"/>
      <c r="R34" s="325"/>
      <c r="S34" s="325"/>
      <c r="T34" s="357"/>
      <c r="U34" s="325"/>
      <c r="V34" s="325"/>
    </row>
    <row r="35" spans="1:22" x14ac:dyDescent="0.25">
      <c r="A35" s="318"/>
      <c r="B35" s="375" t="s">
        <v>230</v>
      </c>
      <c r="C35" s="399" t="s">
        <v>194</v>
      </c>
      <c r="D35" s="400"/>
      <c r="E35" s="400"/>
      <c r="F35" s="400"/>
      <c r="G35" s="400"/>
      <c r="H35" s="401"/>
      <c r="I35" s="214"/>
      <c r="J35" s="325"/>
      <c r="K35" s="325"/>
      <c r="L35" s="325"/>
      <c r="M35" s="325"/>
      <c r="N35" s="325"/>
      <c r="O35" s="325"/>
      <c r="P35" s="325"/>
      <c r="Q35" s="325"/>
      <c r="R35" s="325"/>
      <c r="S35" s="325"/>
      <c r="U35" s="325"/>
      <c r="V35" s="325"/>
    </row>
    <row r="36" spans="1:22" x14ac:dyDescent="0.25">
      <c r="A36" s="318"/>
      <c r="B36" s="376"/>
      <c r="C36" s="403" t="s">
        <v>266</v>
      </c>
      <c r="D36" s="404"/>
      <c r="E36" s="404"/>
      <c r="F36" s="404"/>
      <c r="G36" s="404"/>
      <c r="H36" s="405"/>
      <c r="I36" s="59"/>
      <c r="J36" s="325"/>
      <c r="K36" s="325"/>
      <c r="L36" s="325"/>
      <c r="M36" s="325"/>
      <c r="N36" s="325"/>
      <c r="O36" s="325"/>
      <c r="P36" s="325"/>
      <c r="Q36" s="325"/>
      <c r="R36" s="325"/>
      <c r="S36" s="325"/>
      <c r="T36" s="331"/>
      <c r="U36" s="325"/>
      <c r="V36" s="325"/>
    </row>
    <row r="37" spans="1:22" x14ac:dyDescent="0.25">
      <c r="A37" s="318"/>
      <c r="B37" s="376"/>
      <c r="C37" s="383" t="s">
        <v>219</v>
      </c>
      <c r="D37" s="384"/>
      <c r="E37" s="384"/>
      <c r="F37" s="384"/>
      <c r="G37" s="384"/>
      <c r="H37" s="385"/>
      <c r="I37" s="97"/>
      <c r="J37" s="324"/>
      <c r="K37" s="324"/>
      <c r="L37" s="324"/>
      <c r="M37" s="324"/>
      <c r="N37" s="324"/>
      <c r="O37" s="324"/>
      <c r="P37" s="324"/>
      <c r="Q37" s="324"/>
      <c r="R37" s="52"/>
      <c r="S37" s="52"/>
      <c r="U37" s="52"/>
      <c r="V37" s="52"/>
    </row>
    <row r="38" spans="1:22" x14ac:dyDescent="0.25">
      <c r="A38" s="318"/>
      <c r="B38" s="376"/>
      <c r="C38" s="403" t="s">
        <v>216</v>
      </c>
      <c r="D38" s="404"/>
      <c r="E38" s="404"/>
      <c r="F38" s="404"/>
      <c r="G38" s="404"/>
      <c r="H38" s="405"/>
      <c r="I38" s="47"/>
      <c r="J38" s="13"/>
      <c r="K38" s="324"/>
      <c r="L38" s="324"/>
      <c r="M38" s="324"/>
      <c r="N38" s="324"/>
      <c r="O38" s="324"/>
      <c r="P38" s="324"/>
      <c r="Q38" s="324"/>
      <c r="R38" s="52"/>
      <c r="S38" s="52"/>
      <c r="U38" s="52"/>
      <c r="V38" s="52"/>
    </row>
    <row r="39" spans="1:22" x14ac:dyDescent="0.25">
      <c r="A39" s="318"/>
      <c r="B39" s="376"/>
      <c r="C39" s="406" t="s">
        <v>217</v>
      </c>
      <c r="D39" s="407"/>
      <c r="E39" s="407"/>
      <c r="F39" s="407"/>
      <c r="G39" s="407"/>
      <c r="H39" s="410"/>
      <c r="I39" s="48"/>
      <c r="J39" s="13"/>
      <c r="K39" s="324"/>
      <c r="L39" s="324"/>
      <c r="M39" s="324"/>
      <c r="N39" s="324"/>
      <c r="O39" s="324"/>
      <c r="P39" s="324"/>
      <c r="Q39" s="324"/>
      <c r="R39" s="52"/>
      <c r="S39" s="52"/>
      <c r="U39" s="52"/>
      <c r="V39" s="52"/>
    </row>
    <row r="40" spans="1:22" ht="14.45" customHeight="1" x14ac:dyDescent="0.25">
      <c r="A40" s="318"/>
      <c r="B40" s="376"/>
      <c r="C40" s="390" t="s">
        <v>270</v>
      </c>
      <c r="D40" s="391"/>
      <c r="E40" s="391"/>
      <c r="F40" s="391"/>
      <c r="G40" s="391"/>
      <c r="H40" s="392"/>
      <c r="I40" s="62"/>
      <c r="J40" s="324"/>
      <c r="K40" s="324"/>
      <c r="L40" s="324"/>
      <c r="M40" s="324"/>
      <c r="N40" s="324"/>
      <c r="O40" s="324"/>
      <c r="P40" s="324"/>
      <c r="Q40" s="324"/>
      <c r="R40" s="52"/>
      <c r="S40" s="52"/>
      <c r="U40" s="52"/>
      <c r="V40" s="52"/>
    </row>
    <row r="41" spans="1:22" ht="14.45" customHeight="1" x14ac:dyDescent="0.25">
      <c r="A41" s="318"/>
      <c r="B41" s="376"/>
      <c r="C41" s="396" t="s">
        <v>271</v>
      </c>
      <c r="D41" s="397"/>
      <c r="E41" s="397"/>
      <c r="F41" s="397"/>
      <c r="G41" s="397"/>
      <c r="H41" s="398"/>
      <c r="I41" s="96"/>
      <c r="J41" s="324"/>
      <c r="K41" s="324"/>
      <c r="L41" s="324"/>
      <c r="M41" s="324"/>
      <c r="N41" s="324"/>
      <c r="O41" s="324"/>
      <c r="P41" s="324"/>
      <c r="Q41" s="324"/>
      <c r="R41" s="52"/>
      <c r="S41" s="52"/>
      <c r="U41" s="52"/>
      <c r="V41" s="52"/>
    </row>
    <row r="42" spans="1:22" ht="14.45" customHeight="1" x14ac:dyDescent="0.25">
      <c r="A42" s="318"/>
      <c r="B42" s="376"/>
      <c r="C42" s="377" t="s">
        <v>272</v>
      </c>
      <c r="D42" s="378"/>
      <c r="E42" s="378"/>
      <c r="F42" s="378"/>
      <c r="G42" s="378"/>
      <c r="H42" s="379"/>
      <c r="I42" s="82"/>
      <c r="J42" s="324"/>
      <c r="K42" s="324"/>
      <c r="L42" s="324"/>
      <c r="M42" s="324"/>
      <c r="N42" s="324"/>
      <c r="O42" s="324"/>
      <c r="P42" s="324"/>
      <c r="Q42" s="324"/>
      <c r="R42" s="52"/>
      <c r="S42" s="52"/>
      <c r="U42" s="52"/>
      <c r="V42" s="52"/>
    </row>
    <row r="43" spans="1:22" x14ac:dyDescent="0.25">
      <c r="A43" s="318"/>
      <c r="B43" s="376"/>
      <c r="C43" s="383" t="s">
        <v>267</v>
      </c>
      <c r="D43" s="384"/>
      <c r="E43" s="384"/>
      <c r="F43" s="384"/>
      <c r="G43" s="384"/>
      <c r="H43" s="385"/>
      <c r="I43" s="97"/>
      <c r="J43" s="324"/>
      <c r="K43" s="324"/>
      <c r="L43" s="324"/>
      <c r="M43" s="324"/>
      <c r="N43" s="324"/>
      <c r="O43" s="324"/>
      <c r="P43" s="324"/>
      <c r="Q43" s="324"/>
      <c r="R43" s="52"/>
      <c r="S43" s="52"/>
      <c r="U43" s="52"/>
      <c r="V43" s="52"/>
    </row>
    <row r="44" spans="1:22" x14ac:dyDescent="0.25">
      <c r="A44" s="318"/>
      <c r="B44" s="104"/>
      <c r="C44" s="377" t="s">
        <v>262</v>
      </c>
      <c r="D44" s="378"/>
      <c r="E44" s="378"/>
      <c r="F44" s="378"/>
      <c r="G44" s="378"/>
      <c r="H44" s="379"/>
      <c r="I44" s="269"/>
      <c r="J44" s="324"/>
      <c r="K44" s="324"/>
      <c r="L44" s="324"/>
      <c r="M44" s="324"/>
      <c r="N44" s="324"/>
      <c r="O44" s="324"/>
      <c r="P44" s="324"/>
      <c r="Q44" s="324"/>
      <c r="R44" s="52"/>
      <c r="S44" s="52"/>
      <c r="U44" s="52"/>
      <c r="V44" s="52"/>
    </row>
    <row r="45" spans="1:22" x14ac:dyDescent="0.25">
      <c r="A45" s="318"/>
      <c r="B45" s="104"/>
      <c r="C45" s="383" t="s">
        <v>268</v>
      </c>
      <c r="D45" s="384"/>
      <c r="E45" s="384"/>
      <c r="F45" s="384"/>
      <c r="G45" s="384"/>
      <c r="H45" s="385"/>
      <c r="I45" s="96"/>
      <c r="J45" s="324"/>
      <c r="K45" s="324"/>
      <c r="L45" s="324"/>
      <c r="M45" s="324"/>
      <c r="N45" s="324"/>
      <c r="O45" s="324"/>
      <c r="P45" s="324"/>
      <c r="Q45" s="324"/>
      <c r="R45" s="52"/>
      <c r="S45" s="52"/>
      <c r="U45" s="52"/>
      <c r="V45" s="52"/>
    </row>
    <row r="46" spans="1:22" ht="15.75" thickBot="1" x14ac:dyDescent="0.3">
      <c r="A46" s="318"/>
      <c r="B46" s="104"/>
      <c r="C46" s="380" t="s">
        <v>269</v>
      </c>
      <c r="D46" s="381"/>
      <c r="E46" s="381"/>
      <c r="F46" s="381"/>
      <c r="G46" s="381"/>
      <c r="H46" s="382"/>
      <c r="I46" s="315"/>
      <c r="J46" s="324"/>
      <c r="K46" s="324"/>
      <c r="L46" s="324"/>
      <c r="M46" s="324"/>
      <c r="N46" s="324"/>
      <c r="O46" s="324"/>
      <c r="P46" s="324"/>
      <c r="Q46" s="324"/>
      <c r="R46" s="52"/>
      <c r="S46" s="52"/>
      <c r="U46" s="52"/>
      <c r="V46" s="52"/>
    </row>
    <row r="47" spans="1:22" ht="15.75" thickBot="1" x14ac:dyDescent="0.3">
      <c r="A47" s="318"/>
      <c r="B47" s="215"/>
      <c r="C47" s="313"/>
      <c r="D47" s="55"/>
      <c r="E47" s="55"/>
      <c r="F47" s="55"/>
      <c r="G47" s="55"/>
      <c r="H47" s="314"/>
      <c r="I47" s="79"/>
      <c r="J47" s="324"/>
      <c r="K47" s="324"/>
      <c r="L47" s="324"/>
      <c r="M47" s="324"/>
      <c r="N47" s="324"/>
      <c r="O47" s="324"/>
      <c r="P47" s="324"/>
      <c r="Q47" s="324"/>
      <c r="R47" s="52"/>
      <c r="S47" s="52"/>
      <c r="U47" s="52"/>
      <c r="V47" s="52"/>
    </row>
    <row r="48" spans="1:22" ht="14.45" customHeight="1" x14ac:dyDescent="0.25">
      <c r="A48" s="318"/>
      <c r="B48" s="374" t="s">
        <v>254</v>
      </c>
      <c r="C48" s="399" t="s">
        <v>194</v>
      </c>
      <c r="D48" s="400"/>
      <c r="E48" s="400"/>
      <c r="F48" s="400"/>
      <c r="G48" s="400"/>
      <c r="H48" s="401"/>
      <c r="I48" s="214"/>
      <c r="J48" s="326"/>
      <c r="K48" s="326"/>
      <c r="L48" s="326"/>
      <c r="M48" s="326"/>
      <c r="N48" s="326"/>
      <c r="O48" s="326"/>
      <c r="P48" s="326"/>
      <c r="Q48" s="326"/>
      <c r="R48" s="326"/>
      <c r="S48" s="326"/>
      <c r="U48" s="326"/>
      <c r="V48" s="326"/>
    </row>
    <row r="49" spans="1:22" ht="14.45" customHeight="1" x14ac:dyDescent="0.25">
      <c r="A49" s="318"/>
      <c r="B49" s="375"/>
      <c r="C49" s="403" t="s">
        <v>266</v>
      </c>
      <c r="D49" s="404"/>
      <c r="E49" s="404"/>
      <c r="F49" s="404"/>
      <c r="G49" s="404"/>
      <c r="H49" s="405"/>
      <c r="I49" s="59"/>
      <c r="J49" s="326"/>
      <c r="K49" s="326"/>
      <c r="L49" s="326"/>
      <c r="M49" s="326"/>
      <c r="N49" s="326"/>
      <c r="O49" s="326"/>
      <c r="P49" s="326"/>
      <c r="Q49" s="326"/>
      <c r="R49" s="326"/>
      <c r="S49" s="326"/>
      <c r="T49" s="331"/>
      <c r="U49" s="326"/>
      <c r="V49" s="326"/>
    </row>
    <row r="50" spans="1:22" x14ac:dyDescent="0.25">
      <c r="A50" s="318"/>
      <c r="B50" s="375"/>
      <c r="C50" s="383" t="s">
        <v>220</v>
      </c>
      <c r="D50" s="384"/>
      <c r="E50" s="384"/>
      <c r="F50" s="384"/>
      <c r="G50" s="384"/>
      <c r="H50" s="385"/>
      <c r="I50" s="58"/>
      <c r="J50" s="326"/>
      <c r="K50" s="326"/>
      <c r="L50" s="326"/>
      <c r="M50" s="326"/>
      <c r="N50" s="326"/>
      <c r="O50" s="326"/>
      <c r="P50" s="326"/>
      <c r="Q50" s="326"/>
      <c r="R50" s="326"/>
      <c r="S50" s="326"/>
      <c r="U50" s="326"/>
      <c r="V50" s="326"/>
    </row>
    <row r="51" spans="1:22" x14ac:dyDescent="0.25">
      <c r="A51" s="318"/>
      <c r="B51" s="375"/>
      <c r="C51" s="403" t="s">
        <v>216</v>
      </c>
      <c r="D51" s="404"/>
      <c r="E51" s="404"/>
      <c r="F51" s="404"/>
      <c r="G51" s="404"/>
      <c r="H51" s="405"/>
      <c r="I51" s="47"/>
      <c r="J51" s="13"/>
      <c r="K51" s="326"/>
      <c r="L51" s="326"/>
      <c r="M51" s="326"/>
      <c r="N51" s="326"/>
      <c r="O51" s="326"/>
      <c r="P51" s="326"/>
      <c r="Q51" s="326"/>
      <c r="R51" s="326"/>
      <c r="S51" s="326"/>
      <c r="U51" s="326"/>
      <c r="V51" s="326"/>
    </row>
    <row r="52" spans="1:22" x14ac:dyDescent="0.25">
      <c r="A52" s="318"/>
      <c r="B52" s="375"/>
      <c r="C52" s="406" t="s">
        <v>217</v>
      </c>
      <c r="D52" s="407"/>
      <c r="E52" s="407"/>
      <c r="F52" s="407"/>
      <c r="G52" s="407"/>
      <c r="H52" s="410"/>
      <c r="I52" s="48"/>
      <c r="J52" s="13"/>
      <c r="K52" s="326"/>
      <c r="L52" s="326"/>
      <c r="M52" s="326"/>
      <c r="N52" s="326"/>
      <c r="O52" s="326"/>
      <c r="P52" s="326"/>
      <c r="Q52" s="326"/>
      <c r="R52" s="326"/>
      <c r="S52" s="326"/>
      <c r="U52" s="326"/>
      <c r="V52" s="326"/>
    </row>
    <row r="53" spans="1:22" x14ac:dyDescent="0.25">
      <c r="A53" s="318"/>
      <c r="B53" s="375"/>
      <c r="C53" s="390" t="s">
        <v>273</v>
      </c>
      <c r="D53" s="391"/>
      <c r="E53" s="391"/>
      <c r="F53" s="391"/>
      <c r="G53" s="391"/>
      <c r="H53" s="392"/>
      <c r="I53" s="82"/>
      <c r="J53" s="326"/>
      <c r="K53" s="326"/>
      <c r="L53" s="326"/>
      <c r="M53" s="326"/>
      <c r="N53" s="326"/>
      <c r="O53" s="326"/>
      <c r="P53" s="326"/>
      <c r="Q53" s="326"/>
      <c r="R53" s="326"/>
      <c r="S53" s="326"/>
      <c r="U53" s="326"/>
      <c r="V53" s="326"/>
    </row>
    <row r="54" spans="1:22" x14ac:dyDescent="0.25">
      <c r="A54" s="318"/>
      <c r="B54" s="375"/>
      <c r="C54" s="406" t="s">
        <v>271</v>
      </c>
      <c r="D54" s="407"/>
      <c r="E54" s="407"/>
      <c r="F54" s="407"/>
      <c r="G54" s="407"/>
      <c r="H54" s="410"/>
      <c r="I54" s="81"/>
      <c r="J54" s="326"/>
      <c r="K54" s="326"/>
      <c r="L54" s="326"/>
      <c r="M54" s="326"/>
      <c r="N54" s="326"/>
      <c r="O54" s="326"/>
      <c r="P54" s="326"/>
      <c r="Q54" s="326"/>
      <c r="R54" s="326"/>
      <c r="S54" s="326"/>
      <c r="U54" s="326"/>
      <c r="V54" s="326"/>
    </row>
    <row r="55" spans="1:22" x14ac:dyDescent="0.25">
      <c r="A55" s="318"/>
      <c r="B55" s="375"/>
      <c r="C55" s="377" t="s">
        <v>272</v>
      </c>
      <c r="D55" s="378"/>
      <c r="E55" s="378"/>
      <c r="F55" s="378"/>
      <c r="G55" s="378"/>
      <c r="H55" s="379"/>
      <c r="I55" s="82"/>
      <c r="J55" s="326"/>
      <c r="K55" s="326"/>
      <c r="L55" s="326"/>
      <c r="M55" s="326"/>
      <c r="N55" s="326"/>
      <c r="O55" s="326"/>
      <c r="P55" s="326"/>
      <c r="Q55" s="326"/>
      <c r="R55" s="326"/>
      <c r="S55" s="326"/>
      <c r="U55" s="326"/>
      <c r="V55" s="326"/>
    </row>
    <row r="56" spans="1:22" x14ac:dyDescent="0.25">
      <c r="A56" s="318"/>
      <c r="B56" s="375"/>
      <c r="C56" s="383" t="s">
        <v>274</v>
      </c>
      <c r="D56" s="384"/>
      <c r="E56" s="384"/>
      <c r="F56" s="384"/>
      <c r="G56" s="384"/>
      <c r="H56" s="385"/>
      <c r="I56" s="58"/>
      <c r="J56" s="326"/>
      <c r="K56" s="326"/>
      <c r="L56" s="326"/>
      <c r="M56" s="326"/>
      <c r="N56" s="326"/>
      <c r="O56" s="326"/>
      <c r="P56" s="326"/>
      <c r="Q56" s="326"/>
      <c r="R56" s="326"/>
      <c r="S56" s="326"/>
      <c r="U56" s="326"/>
      <c r="V56" s="326"/>
    </row>
    <row r="57" spans="1:22" x14ac:dyDescent="0.25">
      <c r="A57" s="318"/>
      <c r="B57" s="375"/>
      <c r="C57" s="377" t="s">
        <v>262</v>
      </c>
      <c r="D57" s="378"/>
      <c r="E57" s="378"/>
      <c r="F57" s="378"/>
      <c r="G57" s="378"/>
      <c r="H57" s="379"/>
      <c r="I57" s="269"/>
      <c r="J57" s="326"/>
      <c r="K57" s="326"/>
      <c r="L57" s="326"/>
      <c r="M57" s="326"/>
      <c r="N57" s="326"/>
      <c r="O57" s="326"/>
      <c r="P57" s="326"/>
      <c r="Q57" s="326"/>
      <c r="R57" s="326"/>
      <c r="S57" s="326"/>
      <c r="U57" s="326"/>
      <c r="V57" s="326"/>
    </row>
    <row r="58" spans="1:22" x14ac:dyDescent="0.25">
      <c r="A58" s="318"/>
      <c r="B58" s="375"/>
      <c r="C58" s="383" t="s">
        <v>264</v>
      </c>
      <c r="D58" s="384"/>
      <c r="E58" s="384"/>
      <c r="F58" s="384"/>
      <c r="G58" s="384"/>
      <c r="H58" s="385"/>
      <c r="I58" s="96"/>
      <c r="J58" s="326"/>
      <c r="K58" s="326"/>
      <c r="L58" s="326"/>
      <c r="M58" s="326"/>
      <c r="N58" s="326"/>
      <c r="O58" s="326"/>
      <c r="P58" s="326"/>
      <c r="Q58" s="326"/>
      <c r="R58" s="326"/>
      <c r="S58" s="326"/>
      <c r="U58" s="326"/>
      <c r="V58" s="326"/>
    </row>
    <row r="59" spans="1:22" ht="15.75" thickBot="1" x14ac:dyDescent="0.3">
      <c r="A59" s="318"/>
      <c r="B59" s="312"/>
      <c r="C59" s="380" t="s">
        <v>275</v>
      </c>
      <c r="D59" s="381"/>
      <c r="E59" s="381"/>
      <c r="F59" s="381"/>
      <c r="G59" s="381"/>
      <c r="H59" s="382"/>
      <c r="I59" s="315"/>
      <c r="J59" s="326"/>
      <c r="K59" s="326"/>
      <c r="L59" s="326"/>
      <c r="M59" s="326"/>
      <c r="N59" s="326"/>
      <c r="O59" s="326"/>
      <c r="P59" s="326"/>
      <c r="Q59" s="326"/>
      <c r="R59" s="326"/>
      <c r="S59" s="326"/>
      <c r="U59" s="326"/>
      <c r="V59" s="326"/>
    </row>
    <row r="60" spans="1:22" ht="14.45" customHeight="1" thickBot="1" x14ac:dyDescent="0.3">
      <c r="A60" s="318"/>
      <c r="B60" s="44"/>
      <c r="C60" s="51"/>
      <c r="D60" s="52"/>
      <c r="E60" s="52"/>
      <c r="F60" s="52"/>
      <c r="G60" s="52"/>
      <c r="H60" s="52"/>
      <c r="I60" s="79"/>
      <c r="J60" s="326"/>
      <c r="K60" s="326"/>
      <c r="L60" s="326"/>
      <c r="M60" s="326"/>
      <c r="N60" s="326"/>
      <c r="O60" s="326"/>
      <c r="P60" s="326"/>
      <c r="Q60" s="326"/>
      <c r="R60" s="326"/>
      <c r="S60" s="326"/>
      <c r="U60" s="326"/>
      <c r="V60" s="326"/>
    </row>
    <row r="61" spans="1:22" ht="14.45" customHeight="1" x14ac:dyDescent="0.25">
      <c r="A61" s="318"/>
      <c r="B61" s="389" t="s">
        <v>255</v>
      </c>
      <c r="C61" s="399" t="s">
        <v>194</v>
      </c>
      <c r="D61" s="400"/>
      <c r="E61" s="400"/>
      <c r="F61" s="400"/>
      <c r="G61" s="400"/>
      <c r="H61" s="401"/>
      <c r="I61" s="214"/>
      <c r="J61" s="326"/>
      <c r="K61" s="326"/>
      <c r="L61" s="326"/>
      <c r="M61" s="326"/>
      <c r="N61" s="326"/>
      <c r="O61" s="326"/>
      <c r="P61" s="326"/>
      <c r="Q61" s="326"/>
      <c r="R61" s="326"/>
      <c r="S61" s="326"/>
      <c r="U61" s="326"/>
      <c r="V61" s="326"/>
    </row>
    <row r="62" spans="1:22" ht="14.45" customHeight="1" x14ac:dyDescent="0.25">
      <c r="A62" s="318"/>
      <c r="B62" s="389"/>
      <c r="C62" s="403" t="s">
        <v>150</v>
      </c>
      <c r="D62" s="404"/>
      <c r="E62" s="404"/>
      <c r="F62" s="404"/>
      <c r="G62" s="404"/>
      <c r="H62" s="405"/>
      <c r="I62" s="82"/>
      <c r="J62" s="326"/>
      <c r="K62" s="326"/>
      <c r="L62" s="326"/>
      <c r="M62" s="326"/>
      <c r="N62" s="326"/>
      <c r="O62" s="326"/>
      <c r="P62" s="326"/>
      <c r="Q62" s="326"/>
      <c r="R62" s="326"/>
      <c r="S62" s="326"/>
      <c r="U62" s="326"/>
      <c r="V62" s="326"/>
    </row>
    <row r="63" spans="1:22" ht="14.45" customHeight="1" x14ac:dyDescent="0.25">
      <c r="A63" s="318"/>
      <c r="B63" s="389"/>
      <c r="C63" s="377" t="s">
        <v>278</v>
      </c>
      <c r="D63" s="378"/>
      <c r="E63" s="378"/>
      <c r="F63" s="378"/>
      <c r="G63" s="378"/>
      <c r="H63" s="379"/>
      <c r="I63" s="82"/>
      <c r="J63" s="326"/>
      <c r="K63" s="326"/>
      <c r="L63" s="326"/>
      <c r="M63" s="326"/>
      <c r="N63" s="326"/>
      <c r="O63" s="326"/>
      <c r="P63" s="326"/>
      <c r="Q63" s="326"/>
      <c r="R63" s="326"/>
      <c r="S63" s="326"/>
      <c r="U63" s="326"/>
      <c r="V63" s="326"/>
    </row>
    <row r="64" spans="1:22" ht="14.45" customHeight="1" x14ac:dyDescent="0.25">
      <c r="A64" s="318"/>
      <c r="B64" s="389"/>
      <c r="C64" s="396" t="s">
        <v>279</v>
      </c>
      <c r="D64" s="397"/>
      <c r="E64" s="397"/>
      <c r="F64" s="397"/>
      <c r="G64" s="397"/>
      <c r="H64" s="398"/>
      <c r="I64" s="81"/>
      <c r="J64" s="326"/>
      <c r="K64" s="326"/>
      <c r="L64" s="326"/>
      <c r="M64" s="326"/>
      <c r="N64" s="326"/>
      <c r="O64" s="326"/>
      <c r="P64" s="326"/>
      <c r="Q64" s="326"/>
      <c r="R64" s="326"/>
      <c r="S64" s="326"/>
      <c r="U64" s="326"/>
      <c r="V64" s="326"/>
    </row>
    <row r="65" spans="1:22" ht="14.45" customHeight="1" x14ac:dyDescent="0.25">
      <c r="A65" s="318"/>
      <c r="B65" s="389"/>
      <c r="C65" s="390" t="s">
        <v>280</v>
      </c>
      <c r="D65" s="391"/>
      <c r="E65" s="391"/>
      <c r="F65" s="391"/>
      <c r="G65" s="391"/>
      <c r="H65" s="392"/>
      <c r="I65" s="82"/>
      <c r="J65" s="326"/>
      <c r="K65" s="326"/>
      <c r="L65" s="326"/>
      <c r="M65" s="326"/>
      <c r="N65" s="326"/>
      <c r="O65" s="326"/>
      <c r="P65" s="326"/>
      <c r="Q65" s="326"/>
      <c r="R65" s="326"/>
      <c r="S65" s="326"/>
      <c r="U65" s="326"/>
      <c r="V65" s="326"/>
    </row>
    <row r="66" spans="1:22" x14ac:dyDescent="0.25">
      <c r="A66" s="318"/>
      <c r="B66" s="389"/>
      <c r="C66" s="383" t="s">
        <v>218</v>
      </c>
      <c r="D66" s="384"/>
      <c r="E66" s="384"/>
      <c r="F66" s="384"/>
      <c r="G66" s="384"/>
      <c r="H66" s="385"/>
      <c r="I66" s="81"/>
      <c r="J66" s="326"/>
      <c r="K66" s="326"/>
      <c r="L66" s="326"/>
      <c r="M66" s="326"/>
      <c r="N66" s="326"/>
      <c r="O66" s="326"/>
      <c r="P66" s="326"/>
      <c r="Q66" s="326"/>
      <c r="R66" s="326"/>
      <c r="S66" s="326"/>
      <c r="U66" s="326"/>
      <c r="V66" s="326"/>
    </row>
    <row r="67" spans="1:22" x14ac:dyDescent="0.25">
      <c r="A67" s="318"/>
      <c r="B67" s="389"/>
      <c r="C67" s="383" t="s">
        <v>276</v>
      </c>
      <c r="D67" s="384"/>
      <c r="E67" s="384"/>
      <c r="F67" s="384"/>
      <c r="G67" s="384"/>
      <c r="H67" s="385"/>
      <c r="I67" s="97"/>
      <c r="J67" s="326"/>
      <c r="K67" s="326"/>
      <c r="L67" s="326"/>
      <c r="M67" s="326"/>
      <c r="N67" s="326"/>
      <c r="O67" s="326"/>
      <c r="P67" s="326"/>
      <c r="Q67" s="326"/>
      <c r="R67" s="326"/>
      <c r="S67" s="326"/>
      <c r="U67" s="326"/>
      <c r="V67" s="326"/>
    </row>
    <row r="68" spans="1:22" ht="14.45" customHeight="1" thickBot="1" x14ac:dyDescent="0.3">
      <c r="A68" s="318"/>
      <c r="B68" s="389"/>
      <c r="C68" s="380" t="s">
        <v>277</v>
      </c>
      <c r="D68" s="381"/>
      <c r="E68" s="381"/>
      <c r="F68" s="381"/>
      <c r="G68" s="381"/>
      <c r="H68" s="382"/>
      <c r="I68" s="337"/>
      <c r="J68" s="326"/>
      <c r="K68" s="326"/>
      <c r="L68" s="326"/>
      <c r="M68" s="326"/>
      <c r="N68" s="326"/>
      <c r="O68" s="326"/>
      <c r="P68" s="326"/>
      <c r="Q68" s="326"/>
      <c r="R68" s="326"/>
      <c r="S68" s="326"/>
      <c r="U68" s="326"/>
      <c r="V68" s="326"/>
    </row>
    <row r="69" spans="1:22" ht="15" customHeight="1" x14ac:dyDescent="0.25">
      <c r="A69" s="318"/>
      <c r="B69" s="44"/>
      <c r="C69" s="51"/>
      <c r="D69" s="52"/>
      <c r="E69" s="52"/>
      <c r="F69" s="52"/>
      <c r="G69" s="52"/>
      <c r="H69" s="52"/>
      <c r="I69" s="79"/>
      <c r="J69" s="326"/>
      <c r="K69" s="326"/>
      <c r="L69" s="326"/>
      <c r="M69" s="326"/>
      <c r="N69" s="326"/>
      <c r="O69" s="326"/>
      <c r="P69" s="326"/>
      <c r="Q69" s="326"/>
      <c r="R69" s="326"/>
      <c r="S69" s="326"/>
      <c r="U69" s="326"/>
      <c r="V69" s="326"/>
    </row>
    <row r="70" spans="1:22" ht="14.45" customHeight="1" x14ac:dyDescent="0.25">
      <c r="A70" s="318"/>
      <c r="B70" s="402" t="s">
        <v>14</v>
      </c>
      <c r="C70" s="406" t="s">
        <v>194</v>
      </c>
      <c r="D70" s="407"/>
      <c r="E70" s="407"/>
      <c r="F70" s="407"/>
      <c r="G70" s="407"/>
      <c r="H70" s="407"/>
      <c r="I70" s="81"/>
      <c r="J70" s="326"/>
      <c r="K70" s="326"/>
      <c r="L70" s="326"/>
      <c r="M70" s="326"/>
      <c r="N70" s="326"/>
      <c r="O70" s="326"/>
      <c r="P70" s="326"/>
      <c r="Q70" s="326"/>
      <c r="R70" s="326"/>
      <c r="S70" s="326"/>
      <c r="U70" s="326"/>
      <c r="V70" s="326"/>
    </row>
    <row r="71" spans="1:22" ht="14.45" customHeight="1" x14ac:dyDescent="0.25">
      <c r="A71" s="318"/>
      <c r="B71" s="402"/>
      <c r="C71" s="403" t="s">
        <v>150</v>
      </c>
      <c r="D71" s="404"/>
      <c r="E71" s="404"/>
      <c r="F71" s="404"/>
      <c r="G71" s="404"/>
      <c r="H71" s="404"/>
      <c r="I71" s="82"/>
      <c r="J71" s="326"/>
      <c r="K71" s="326"/>
      <c r="L71" s="326"/>
      <c r="M71" s="326"/>
      <c r="N71" s="326"/>
      <c r="O71" s="326"/>
      <c r="P71" s="326"/>
      <c r="Q71" s="326"/>
      <c r="R71" s="326"/>
      <c r="S71" s="326"/>
      <c r="T71" s="331"/>
      <c r="U71" s="326"/>
      <c r="V71" s="326"/>
    </row>
    <row r="72" spans="1:22" x14ac:dyDescent="0.25">
      <c r="A72" s="318"/>
      <c r="B72" s="402"/>
      <c r="C72" s="383" t="s">
        <v>272</v>
      </c>
      <c r="D72" s="384"/>
      <c r="E72" s="384"/>
      <c r="F72" s="384"/>
      <c r="G72" s="384"/>
      <c r="H72" s="384"/>
      <c r="I72" s="81"/>
      <c r="J72" s="326"/>
      <c r="K72" s="326"/>
      <c r="L72" s="326"/>
      <c r="M72" s="326"/>
      <c r="N72" s="326"/>
      <c r="O72" s="326"/>
      <c r="P72" s="326"/>
      <c r="Q72" s="326"/>
      <c r="R72" s="326"/>
      <c r="S72" s="326"/>
      <c r="T72" s="326"/>
      <c r="U72" s="326"/>
      <c r="V72" s="326"/>
    </row>
    <row r="73" spans="1:22" ht="54.6" customHeight="1" thickBot="1" x14ac:dyDescent="0.3">
      <c r="A73" s="318"/>
      <c r="B73" s="45"/>
      <c r="C73" s="53"/>
      <c r="D73" s="54"/>
      <c r="E73" s="55"/>
      <c r="F73" s="55"/>
      <c r="G73" s="14"/>
      <c r="H73" s="55"/>
      <c r="I73" s="50"/>
      <c r="J73" s="324"/>
      <c r="K73" s="324"/>
      <c r="L73" s="324"/>
      <c r="M73" s="324"/>
      <c r="N73" s="324"/>
      <c r="O73" s="324"/>
      <c r="P73" s="324"/>
      <c r="Q73" s="324"/>
      <c r="R73" s="52"/>
      <c r="S73" s="52"/>
      <c r="T73" s="52"/>
      <c r="U73" s="52"/>
      <c r="V73" s="52"/>
    </row>
    <row r="74" spans="1:22" ht="19.5" thickBot="1" x14ac:dyDescent="0.35">
      <c r="A74" s="319"/>
      <c r="B74" s="393" t="s">
        <v>281</v>
      </c>
      <c r="C74" s="394"/>
      <c r="D74" s="394"/>
      <c r="E74" s="395"/>
      <c r="F74" s="13"/>
      <c r="G74" s="13"/>
      <c r="H74" s="13"/>
      <c r="I74" s="13"/>
      <c r="J74" s="13"/>
      <c r="K74" s="324"/>
      <c r="L74" s="324"/>
      <c r="M74" s="324"/>
      <c r="N74" s="324"/>
      <c r="O74" s="324"/>
      <c r="P74" s="324"/>
      <c r="Q74" s="52"/>
      <c r="R74" s="52"/>
      <c r="S74" s="52"/>
      <c r="T74" s="52"/>
      <c r="U74" s="52"/>
    </row>
    <row r="75" spans="1:22" ht="15.75" thickBot="1" x14ac:dyDescent="0.3">
      <c r="A75" s="319"/>
      <c r="B75" s="65"/>
      <c r="C75" s="84"/>
      <c r="D75" s="85"/>
      <c r="E75" s="84"/>
      <c r="F75" s="13"/>
      <c r="G75" s="13"/>
      <c r="H75" s="13"/>
      <c r="I75" s="13"/>
      <c r="J75" s="13"/>
      <c r="K75" s="13"/>
      <c r="L75" s="322"/>
      <c r="M75" s="322"/>
      <c r="N75" s="322"/>
      <c r="O75" s="322"/>
      <c r="P75" s="322"/>
      <c r="Q75" s="357"/>
      <c r="R75" s="357"/>
      <c r="S75" s="357"/>
      <c r="T75" s="357"/>
      <c r="U75" s="357"/>
    </row>
    <row r="76" spans="1:22" ht="36" customHeight="1" thickBot="1" x14ac:dyDescent="0.3">
      <c r="A76" s="319"/>
      <c r="B76" s="83" t="s">
        <v>133</v>
      </c>
      <c r="C76" s="138" t="s">
        <v>158</v>
      </c>
      <c r="D76" s="139" t="s">
        <v>192</v>
      </c>
      <c r="E76" s="138" t="s">
        <v>159</v>
      </c>
      <c r="F76" s="13"/>
      <c r="G76" s="13"/>
      <c r="H76" s="321"/>
      <c r="I76" s="321"/>
      <c r="J76" s="322"/>
      <c r="K76" s="327"/>
      <c r="L76" s="322"/>
      <c r="M76" s="322"/>
      <c r="N76" s="322"/>
      <c r="O76" s="322"/>
      <c r="P76" s="322"/>
      <c r="Q76" s="357"/>
      <c r="R76" s="357"/>
      <c r="S76" s="357"/>
      <c r="T76" s="357"/>
      <c r="U76" s="357"/>
    </row>
    <row r="77" spans="1:22" x14ac:dyDescent="0.25">
      <c r="A77" s="319">
        <v>1</v>
      </c>
      <c r="B77" s="48" t="str">
        <f>IF(ISNUMBER(I22), I22, "")</f>
        <v/>
      </c>
      <c r="C77" s="61"/>
      <c r="D77" s="60"/>
      <c r="E77" s="61"/>
      <c r="F77" s="13"/>
      <c r="G77" s="13"/>
      <c r="H77" s="322"/>
      <c r="I77" s="322"/>
      <c r="J77" s="322"/>
      <c r="K77" s="322"/>
      <c r="L77" s="322"/>
      <c r="M77" s="322"/>
      <c r="N77" s="322"/>
      <c r="O77" s="322"/>
      <c r="P77" s="322"/>
      <c r="Q77" s="357"/>
      <c r="R77" s="357"/>
      <c r="S77" s="357"/>
      <c r="T77" s="357"/>
      <c r="U77" s="357"/>
    </row>
    <row r="78" spans="1:22" x14ac:dyDescent="0.25">
      <c r="A78" s="319">
        <v>2</v>
      </c>
      <c r="B78" s="47" t="str">
        <f>IF(AND(B77&lt;&gt;"",I23&gt;=2),B77+1,"")</f>
        <v/>
      </c>
      <c r="C78" s="67"/>
      <c r="D78" s="64"/>
      <c r="E78" s="67"/>
      <c r="F78" s="13"/>
      <c r="G78" s="13"/>
      <c r="H78" s="322"/>
      <c r="I78" s="322"/>
      <c r="J78" s="322"/>
      <c r="K78" s="322"/>
      <c r="L78" s="322"/>
      <c r="M78" s="322"/>
      <c r="N78" s="322"/>
      <c r="O78" s="322"/>
      <c r="P78" s="322"/>
      <c r="Q78" s="357"/>
      <c r="R78" s="357"/>
      <c r="S78" s="357"/>
      <c r="T78" s="357"/>
      <c r="U78" s="357"/>
    </row>
    <row r="79" spans="1:22" x14ac:dyDescent="0.25">
      <c r="A79" s="319">
        <v>3</v>
      </c>
      <c r="B79" s="48" t="str">
        <f>IF(AND($B78&lt;&gt;"",$I$23&gt;=3),$B78+1,"")</f>
        <v/>
      </c>
      <c r="C79" s="61"/>
      <c r="D79" s="60"/>
      <c r="E79" s="61"/>
      <c r="F79" s="13"/>
      <c r="G79" s="13"/>
      <c r="H79" s="322"/>
      <c r="I79" s="322"/>
      <c r="J79" s="322"/>
      <c r="K79" s="322"/>
      <c r="L79" s="322"/>
      <c r="M79" s="322"/>
      <c r="N79" s="322"/>
      <c r="O79" s="322"/>
      <c r="P79" s="322"/>
      <c r="Q79" s="357"/>
      <c r="R79" s="357"/>
      <c r="S79" s="357"/>
      <c r="T79" s="357"/>
      <c r="U79" s="357"/>
    </row>
    <row r="80" spans="1:22" x14ac:dyDescent="0.25">
      <c r="A80" s="319">
        <v>4</v>
      </c>
      <c r="B80" s="47" t="str">
        <f>IF(AND($B79&lt;&gt;"",$I$23&gt;=4),$B79+1,"")</f>
        <v/>
      </c>
      <c r="C80" s="67"/>
      <c r="D80" s="64"/>
      <c r="E80" s="67"/>
      <c r="F80" s="13"/>
      <c r="G80" s="13"/>
      <c r="H80" s="322"/>
      <c r="I80" s="322"/>
      <c r="J80" s="322"/>
      <c r="K80" s="322"/>
      <c r="L80" s="322"/>
      <c r="M80" s="322"/>
      <c r="N80" s="322"/>
      <c r="O80" s="322"/>
      <c r="P80" s="322"/>
      <c r="Q80" s="357"/>
      <c r="R80" s="357"/>
      <c r="S80" s="357"/>
      <c r="T80" s="357"/>
      <c r="U80" s="357"/>
    </row>
    <row r="81" spans="1:21" x14ac:dyDescent="0.25">
      <c r="A81" s="319">
        <v>5</v>
      </c>
      <c r="B81" s="48" t="str">
        <f>IF(AND($B80&lt;&gt;"",$I$23&gt;=5),$B80+1,"")</f>
        <v/>
      </c>
      <c r="C81" s="61"/>
      <c r="D81" s="60"/>
      <c r="E81" s="61"/>
      <c r="F81" s="13"/>
      <c r="G81" s="13"/>
      <c r="H81" s="322"/>
      <c r="I81" s="322"/>
      <c r="J81" s="322"/>
      <c r="K81" s="322"/>
      <c r="L81" s="322"/>
      <c r="M81" s="322"/>
      <c r="N81" s="322"/>
      <c r="O81" s="322"/>
      <c r="P81" s="322"/>
      <c r="Q81" s="357"/>
      <c r="R81" s="357"/>
      <c r="S81" s="357"/>
      <c r="T81" s="357"/>
      <c r="U81" s="357"/>
    </row>
    <row r="82" spans="1:21" x14ac:dyDescent="0.25">
      <c r="A82" s="319">
        <v>6</v>
      </c>
      <c r="B82" s="47" t="str">
        <f>IF(AND($B81&lt;&gt;"",$I$23&gt;=6),$B81+1,"")</f>
        <v/>
      </c>
      <c r="C82" s="67"/>
      <c r="D82" s="64"/>
      <c r="E82" s="67"/>
      <c r="F82" s="13"/>
      <c r="G82" s="13"/>
      <c r="H82" s="322"/>
      <c r="I82" s="322"/>
      <c r="J82" s="322"/>
      <c r="K82" s="322"/>
      <c r="L82" s="322"/>
      <c r="M82" s="322"/>
      <c r="N82" s="322"/>
      <c r="O82" s="322"/>
      <c r="P82" s="322"/>
      <c r="Q82" s="357"/>
      <c r="R82" s="357"/>
      <c r="S82" s="357"/>
      <c r="T82" s="357"/>
      <c r="U82" s="357"/>
    </row>
    <row r="83" spans="1:21" x14ac:dyDescent="0.25">
      <c r="A83" s="319">
        <v>7</v>
      </c>
      <c r="B83" s="48" t="str">
        <f>IF(AND($B82&lt;&gt;"",$I$23&gt;=7),$B82+1,"")</f>
        <v/>
      </c>
      <c r="C83" s="61"/>
      <c r="D83" s="60"/>
      <c r="E83" s="61"/>
      <c r="F83" s="13"/>
      <c r="G83" s="13"/>
      <c r="H83" s="322"/>
      <c r="I83" s="322"/>
      <c r="J83" s="322"/>
      <c r="K83" s="322"/>
      <c r="L83" s="322"/>
      <c r="M83" s="322"/>
      <c r="N83" s="322"/>
      <c r="O83" s="322"/>
      <c r="P83" s="322"/>
      <c r="Q83" s="357"/>
      <c r="R83" s="357"/>
      <c r="S83" s="357"/>
      <c r="T83" s="357"/>
      <c r="U83" s="357"/>
    </row>
    <row r="84" spans="1:21" x14ac:dyDescent="0.25">
      <c r="A84" s="319">
        <v>8</v>
      </c>
      <c r="B84" s="47" t="str">
        <f>IF(AND($B83&lt;&gt;"",$I$23&gt;=8),$B83+1,"")</f>
        <v/>
      </c>
      <c r="C84" s="67"/>
      <c r="D84" s="64"/>
      <c r="E84" s="67"/>
      <c r="F84" s="13"/>
      <c r="G84" s="13"/>
      <c r="H84" s="322"/>
      <c r="I84" s="322"/>
      <c r="J84" s="322"/>
      <c r="K84" s="322"/>
      <c r="L84" s="322"/>
      <c r="M84" s="322"/>
      <c r="N84" s="322"/>
      <c r="O84" s="322"/>
      <c r="P84" s="322"/>
      <c r="Q84" s="357"/>
      <c r="R84" s="357"/>
      <c r="S84" s="357"/>
      <c r="T84" s="357"/>
      <c r="U84" s="357"/>
    </row>
    <row r="85" spans="1:21" x14ac:dyDescent="0.25">
      <c r="A85" s="319">
        <v>9</v>
      </c>
      <c r="B85" s="48" t="str">
        <f>IF(AND($B84&lt;&gt;"",$I$23&gt;=9),$B84+1,"")</f>
        <v/>
      </c>
      <c r="C85" s="61"/>
      <c r="D85" s="60"/>
      <c r="E85" s="61"/>
      <c r="F85" s="13"/>
      <c r="G85" s="13"/>
      <c r="H85" s="322"/>
      <c r="I85" s="322"/>
      <c r="J85" s="322"/>
      <c r="K85" s="322"/>
      <c r="L85" s="322"/>
      <c r="M85" s="322"/>
      <c r="N85" s="322"/>
      <c r="O85" s="322"/>
      <c r="P85" s="322"/>
      <c r="Q85" s="357"/>
      <c r="R85" s="357"/>
      <c r="S85" s="357"/>
      <c r="T85" s="357"/>
      <c r="U85" s="357"/>
    </row>
    <row r="86" spans="1:21" x14ac:dyDescent="0.25">
      <c r="A86" s="319">
        <v>10</v>
      </c>
      <c r="B86" s="47" t="str">
        <f>IF(AND($B85&lt;&gt;"",$I$23&gt;=10),$B85+1,"")</f>
        <v/>
      </c>
      <c r="C86" s="67"/>
      <c r="D86" s="75"/>
      <c r="E86" s="67"/>
      <c r="F86" s="13"/>
      <c r="G86" s="13"/>
      <c r="H86" s="322"/>
      <c r="I86" s="322"/>
      <c r="J86" s="322"/>
      <c r="K86" s="322"/>
      <c r="L86" s="322"/>
      <c r="M86" s="322"/>
      <c r="N86" s="322"/>
      <c r="O86" s="322"/>
      <c r="P86" s="322"/>
      <c r="Q86" s="357"/>
      <c r="R86" s="357"/>
      <c r="S86" s="357"/>
      <c r="T86" s="357"/>
      <c r="U86" s="357"/>
    </row>
    <row r="87" spans="1:21" ht="15.75" thickBot="1" x14ac:dyDescent="0.3">
      <c r="A87" s="319"/>
      <c r="B87" s="49"/>
      <c r="C87" s="69"/>
      <c r="D87" s="76"/>
      <c r="E87" s="69"/>
      <c r="F87" s="13"/>
      <c r="G87" s="13"/>
      <c r="H87" s="322"/>
      <c r="I87" s="322"/>
      <c r="J87" s="322"/>
      <c r="K87" s="322"/>
      <c r="L87" s="322"/>
      <c r="M87" s="322"/>
      <c r="N87" s="322"/>
      <c r="O87" s="322"/>
      <c r="P87" s="322"/>
      <c r="Q87" s="357"/>
      <c r="R87" s="357"/>
      <c r="S87" s="357"/>
      <c r="T87" s="357"/>
      <c r="U87" s="357"/>
    </row>
    <row r="88" spans="1:21" ht="36" customHeight="1" thickBot="1" x14ac:dyDescent="0.3">
      <c r="A88" s="319"/>
      <c r="B88" s="83" t="s">
        <v>7</v>
      </c>
      <c r="C88" s="138" t="s">
        <v>158</v>
      </c>
      <c r="D88" s="139" t="s">
        <v>157</v>
      </c>
      <c r="E88" s="138" t="s">
        <v>159</v>
      </c>
      <c r="F88" s="57"/>
      <c r="G88" s="57"/>
      <c r="H88" s="322"/>
      <c r="I88" s="322"/>
      <c r="J88" s="322"/>
      <c r="K88" s="322"/>
      <c r="L88" s="322"/>
      <c r="M88" s="322"/>
      <c r="N88" s="322"/>
      <c r="O88" s="322"/>
      <c r="P88" s="322"/>
      <c r="Q88" s="357"/>
      <c r="R88" s="357"/>
      <c r="S88" s="357"/>
      <c r="T88" s="357"/>
      <c r="U88" s="357"/>
    </row>
    <row r="89" spans="1:21" x14ac:dyDescent="0.25">
      <c r="A89" s="319">
        <v>1</v>
      </c>
      <c r="B89" s="58" t="str">
        <f>IF(ISNUMBER(I35), I35, "")</f>
        <v/>
      </c>
      <c r="C89" s="58"/>
      <c r="D89" s="60"/>
      <c r="E89" s="61"/>
      <c r="F89" s="57"/>
      <c r="G89" s="57"/>
      <c r="H89" s="322"/>
      <c r="I89" s="322"/>
      <c r="J89" s="322"/>
      <c r="K89" s="322"/>
      <c r="L89" s="322"/>
      <c r="M89" s="322"/>
      <c r="N89" s="322"/>
      <c r="O89" s="322"/>
      <c r="P89" s="322"/>
      <c r="Q89" s="357"/>
      <c r="R89" s="357"/>
      <c r="S89" s="357"/>
      <c r="T89" s="357"/>
      <c r="U89" s="357"/>
    </row>
    <row r="90" spans="1:21" x14ac:dyDescent="0.25">
      <c r="A90" s="319">
        <v>2</v>
      </c>
      <c r="B90" s="47" t="str">
        <f>IF(AND($B89&lt;&gt;"",$I$36&gt;=2),B89+1,"")</f>
        <v/>
      </c>
      <c r="C90" s="59"/>
      <c r="D90" s="64"/>
      <c r="E90" s="67"/>
      <c r="F90" s="57"/>
      <c r="G90" s="57"/>
      <c r="H90" s="322"/>
      <c r="I90" s="322"/>
      <c r="J90" s="322"/>
      <c r="K90" s="322"/>
      <c r="L90" s="322"/>
      <c r="M90" s="322"/>
      <c r="N90" s="322"/>
      <c r="O90" s="322"/>
      <c r="P90" s="322"/>
      <c r="Q90" s="357"/>
      <c r="R90" s="357"/>
      <c r="S90" s="357"/>
      <c r="T90" s="357"/>
      <c r="U90" s="357"/>
    </row>
    <row r="91" spans="1:21" x14ac:dyDescent="0.25">
      <c r="A91" s="319">
        <v>3</v>
      </c>
      <c r="B91" s="48" t="str">
        <f>IF(AND($B90&lt;&gt;"",$I$36&gt;=3),B90+1,"")</f>
        <v/>
      </c>
      <c r="C91" s="58"/>
      <c r="D91" s="60"/>
      <c r="E91" s="61"/>
      <c r="F91" s="57"/>
      <c r="G91" s="57"/>
      <c r="H91" s="322"/>
      <c r="I91" s="322"/>
      <c r="J91" s="322"/>
      <c r="K91" s="322"/>
      <c r="L91" s="322"/>
      <c r="M91" s="322"/>
      <c r="N91" s="322"/>
      <c r="O91" s="322"/>
      <c r="P91" s="322"/>
      <c r="Q91" s="357"/>
      <c r="R91" s="357"/>
      <c r="S91" s="357"/>
      <c r="T91" s="357"/>
      <c r="U91" s="357"/>
    </row>
    <row r="92" spans="1:21" x14ac:dyDescent="0.25">
      <c r="A92" s="319">
        <v>4</v>
      </c>
      <c r="B92" s="47" t="str">
        <f>IF(AND($B91&lt;&gt;"",$I$36&gt;=4),B91+1,"")</f>
        <v/>
      </c>
      <c r="C92" s="59"/>
      <c r="D92" s="64"/>
      <c r="E92" s="67"/>
      <c r="F92" s="57"/>
      <c r="G92" s="57"/>
      <c r="H92" s="322"/>
      <c r="I92" s="322"/>
      <c r="J92" s="322"/>
      <c r="K92" s="322"/>
      <c r="L92" s="322"/>
      <c r="M92" s="322"/>
      <c r="N92" s="322"/>
      <c r="O92" s="322"/>
      <c r="P92" s="322"/>
      <c r="Q92" s="357"/>
      <c r="R92" s="357"/>
      <c r="S92" s="357"/>
      <c r="T92" s="357"/>
      <c r="U92" s="357"/>
    </row>
    <row r="93" spans="1:21" x14ac:dyDescent="0.25">
      <c r="A93" s="319">
        <v>5</v>
      </c>
      <c r="B93" s="48" t="str">
        <f>IF(AND($B92&lt;&gt;"",$I$36&gt;=5),B92+1,"")</f>
        <v/>
      </c>
      <c r="C93" s="58"/>
      <c r="D93" s="60"/>
      <c r="E93" s="61"/>
      <c r="F93" s="57"/>
      <c r="G93" s="57"/>
      <c r="H93" s="322"/>
      <c r="I93" s="322"/>
      <c r="J93" s="322"/>
      <c r="K93" s="322"/>
      <c r="L93" s="322"/>
      <c r="M93" s="322"/>
      <c r="N93" s="322"/>
      <c r="O93" s="322"/>
      <c r="P93" s="322"/>
      <c r="Q93" s="357"/>
      <c r="R93" s="357"/>
      <c r="S93" s="357"/>
      <c r="T93" s="357"/>
      <c r="U93" s="357"/>
    </row>
    <row r="94" spans="1:21" x14ac:dyDescent="0.25">
      <c r="A94" s="319">
        <v>6</v>
      </c>
      <c r="B94" s="47" t="str">
        <f>IF(AND($B93&lt;&gt;"",$I$36&gt;=6),B93+1,"")</f>
        <v/>
      </c>
      <c r="C94" s="59"/>
      <c r="D94" s="64"/>
      <c r="E94" s="67"/>
      <c r="F94" s="57"/>
      <c r="G94" s="57"/>
      <c r="H94" s="322"/>
      <c r="I94" s="322"/>
      <c r="J94" s="322"/>
      <c r="K94" s="322"/>
      <c r="L94" s="322"/>
      <c r="M94" s="322"/>
      <c r="N94" s="322"/>
      <c r="O94" s="322"/>
      <c r="P94" s="322"/>
      <c r="Q94" s="357"/>
      <c r="R94" s="357"/>
      <c r="S94" s="357"/>
      <c r="T94" s="357"/>
      <c r="U94" s="357"/>
    </row>
    <row r="95" spans="1:21" x14ac:dyDescent="0.25">
      <c r="A95" s="319">
        <v>7</v>
      </c>
      <c r="B95" s="48" t="str">
        <f>IF(AND($B94&lt;&gt;"",$I$36&gt;=7),B94+1,"")</f>
        <v/>
      </c>
      <c r="C95" s="58"/>
      <c r="D95" s="60"/>
      <c r="E95" s="61"/>
      <c r="F95" s="57"/>
      <c r="G95" s="57"/>
      <c r="H95" s="322"/>
      <c r="I95" s="322"/>
      <c r="J95" s="322"/>
      <c r="K95" s="322"/>
      <c r="L95" s="322"/>
      <c r="M95" s="322"/>
      <c r="N95" s="322"/>
      <c r="O95" s="322"/>
      <c r="P95" s="322"/>
      <c r="Q95" s="357"/>
      <c r="R95" s="357"/>
      <c r="S95" s="357"/>
      <c r="T95" s="357"/>
      <c r="U95" s="357"/>
    </row>
    <row r="96" spans="1:21" x14ac:dyDescent="0.25">
      <c r="A96" s="319">
        <v>8</v>
      </c>
      <c r="B96" s="47" t="str">
        <f>IF(AND($B95&lt;&gt;"",$I$36&gt;=8),B95+1,"")</f>
        <v/>
      </c>
      <c r="C96" s="59"/>
      <c r="D96" s="64"/>
      <c r="E96" s="67"/>
      <c r="F96" s="57"/>
      <c r="G96" s="57"/>
      <c r="H96" s="322"/>
      <c r="I96" s="322"/>
      <c r="J96" s="322"/>
      <c r="K96" s="322"/>
      <c r="L96" s="322"/>
      <c r="M96" s="322"/>
      <c r="N96" s="322"/>
      <c r="O96" s="322"/>
      <c r="P96" s="322"/>
      <c r="Q96" s="357"/>
      <c r="R96" s="357"/>
      <c r="S96" s="357"/>
      <c r="T96" s="357"/>
      <c r="U96" s="357"/>
    </row>
    <row r="97" spans="1:21" x14ac:dyDescent="0.25">
      <c r="A97" s="319">
        <v>9</v>
      </c>
      <c r="B97" s="48" t="str">
        <f>IF(AND($B96&lt;&gt;"",$I$36&gt;=9),B96+1,"")</f>
        <v/>
      </c>
      <c r="C97" s="58"/>
      <c r="D97" s="60"/>
      <c r="E97" s="61"/>
      <c r="F97" s="57"/>
      <c r="G97" s="57"/>
      <c r="H97" s="322"/>
      <c r="I97" s="322"/>
      <c r="J97" s="322"/>
      <c r="K97" s="322"/>
      <c r="L97" s="322"/>
      <c r="M97" s="322"/>
      <c r="N97" s="322"/>
      <c r="O97" s="322"/>
      <c r="P97" s="322"/>
      <c r="Q97" s="357"/>
      <c r="R97" s="357"/>
      <c r="S97" s="357"/>
      <c r="T97" s="357"/>
      <c r="U97" s="357"/>
    </row>
    <row r="98" spans="1:21" x14ac:dyDescent="0.25">
      <c r="A98" s="319">
        <v>10</v>
      </c>
      <c r="B98" s="47" t="str">
        <f>IF(AND($B97&lt;&gt;"",$I$36&gt;=10),B97+1,"")</f>
        <v/>
      </c>
      <c r="C98" s="59"/>
      <c r="D98" s="64"/>
      <c r="E98" s="67"/>
      <c r="F98" s="57"/>
      <c r="G98" s="52"/>
      <c r="H98" s="322"/>
      <c r="I98" s="322"/>
      <c r="J98" s="322"/>
      <c r="K98" s="322"/>
      <c r="L98" s="322"/>
      <c r="M98" s="322"/>
      <c r="N98" s="322"/>
      <c r="O98" s="322"/>
      <c r="P98" s="322"/>
      <c r="Q98" s="357"/>
      <c r="R98" s="357"/>
      <c r="S98" s="357"/>
      <c r="T98" s="357"/>
      <c r="U98" s="357"/>
    </row>
    <row r="99" spans="1:21" ht="15.75" thickBot="1" x14ac:dyDescent="0.3">
      <c r="A99" s="319"/>
      <c r="B99" s="49"/>
      <c r="C99" s="77">
        <f>SUM(Stage2Evaluation)</f>
        <v>0</v>
      </c>
      <c r="D99" s="78">
        <f>SUM(Stage2Removal)</f>
        <v>0</v>
      </c>
      <c r="E99" s="79">
        <f>SUM(Stage2EnvironmentalLoss)</f>
        <v>0</v>
      </c>
      <c r="F99" s="326"/>
      <c r="G99" s="326"/>
      <c r="H99" s="326"/>
      <c r="I99" s="326"/>
      <c r="J99" s="326"/>
      <c r="K99" s="326"/>
      <c r="L99" s="326"/>
      <c r="M99" s="326"/>
      <c r="N99" s="326"/>
      <c r="O99" s="322"/>
      <c r="P99" s="322"/>
      <c r="Q99" s="357"/>
      <c r="R99" s="357"/>
      <c r="S99" s="357"/>
      <c r="T99" s="357"/>
      <c r="U99" s="357"/>
    </row>
    <row r="100" spans="1:21" ht="36" customHeight="1" thickBot="1" x14ac:dyDescent="0.3">
      <c r="A100" s="319"/>
      <c r="B100" s="83" t="s">
        <v>13</v>
      </c>
      <c r="C100" s="138" t="s">
        <v>158</v>
      </c>
      <c r="D100" s="139" t="s">
        <v>157</v>
      </c>
      <c r="E100" s="138" t="s">
        <v>159</v>
      </c>
      <c r="F100" s="57"/>
      <c r="G100" s="57"/>
      <c r="H100" s="322"/>
      <c r="I100" s="322"/>
      <c r="J100" s="322"/>
      <c r="K100" s="322"/>
      <c r="L100" s="322"/>
      <c r="M100" s="322"/>
      <c r="N100" s="322"/>
      <c r="O100" s="322"/>
      <c r="P100" s="322"/>
      <c r="Q100" s="357"/>
      <c r="R100" s="357"/>
      <c r="S100" s="357"/>
      <c r="T100" s="357"/>
      <c r="U100" s="357"/>
    </row>
    <row r="101" spans="1:21" x14ac:dyDescent="0.25">
      <c r="A101" s="319">
        <v>1</v>
      </c>
      <c r="B101" s="48" t="str">
        <f>IF(ISNUMBER(I48), I48, "")</f>
        <v/>
      </c>
      <c r="C101" s="58"/>
      <c r="D101" s="60"/>
      <c r="E101" s="58"/>
      <c r="F101" s="57"/>
      <c r="G101" s="57"/>
      <c r="H101" s="322"/>
      <c r="I101" s="322"/>
      <c r="J101" s="322"/>
      <c r="K101" s="322"/>
      <c r="L101" s="322"/>
      <c r="M101" s="322"/>
      <c r="N101" s="322"/>
      <c r="O101" s="322"/>
      <c r="P101" s="322"/>
      <c r="Q101" s="357"/>
      <c r="R101" s="357"/>
      <c r="S101" s="357"/>
      <c r="T101" s="357"/>
      <c r="U101" s="357"/>
    </row>
    <row r="102" spans="1:21" x14ac:dyDescent="0.25">
      <c r="A102" s="319">
        <v>2</v>
      </c>
      <c r="B102" s="47" t="str">
        <f>IF(AND($B101&lt;&gt;"",$I$49&gt;=2),B101+1,"")</f>
        <v/>
      </c>
      <c r="C102" s="59"/>
      <c r="D102" s="64"/>
      <c r="E102" s="59"/>
      <c r="F102" s="57"/>
      <c r="G102" s="57"/>
      <c r="H102" s="322"/>
      <c r="I102" s="322"/>
      <c r="J102" s="322"/>
      <c r="K102" s="322"/>
      <c r="L102" s="322"/>
      <c r="M102" s="322"/>
      <c r="N102" s="322"/>
      <c r="O102" s="322"/>
      <c r="P102" s="322"/>
      <c r="Q102" s="357"/>
      <c r="R102" s="357"/>
      <c r="S102" s="357"/>
      <c r="T102" s="357"/>
      <c r="U102" s="357"/>
    </row>
    <row r="103" spans="1:21" x14ac:dyDescent="0.25">
      <c r="A103" s="319">
        <v>3</v>
      </c>
      <c r="B103" s="48" t="str">
        <f>IF(AND($B102&lt;&gt;"",$I$49&gt;=3),B102+1,"")</f>
        <v/>
      </c>
      <c r="C103" s="58"/>
      <c r="D103" s="60"/>
      <c r="E103" s="58"/>
      <c r="F103" s="57"/>
      <c r="G103" s="57"/>
      <c r="H103" s="322"/>
      <c r="I103" s="322"/>
      <c r="J103" s="322"/>
      <c r="K103" s="322"/>
      <c r="L103" s="322"/>
      <c r="M103" s="322"/>
      <c r="N103" s="322"/>
      <c r="O103" s="322"/>
      <c r="P103" s="322"/>
      <c r="Q103" s="357"/>
      <c r="R103" s="357"/>
      <c r="S103" s="357"/>
      <c r="T103" s="357"/>
      <c r="U103" s="357"/>
    </row>
    <row r="104" spans="1:21" x14ac:dyDescent="0.25">
      <c r="A104" s="319">
        <v>4</v>
      </c>
      <c r="B104" s="47" t="str">
        <f>IF(AND($B103&lt;&gt;"",$I$49&gt;=4),B103+1,"")</f>
        <v/>
      </c>
      <c r="C104" s="59"/>
      <c r="D104" s="64"/>
      <c r="E104" s="59"/>
      <c r="F104" s="57"/>
      <c r="G104" s="57"/>
      <c r="H104" s="322"/>
      <c r="I104" s="322"/>
      <c r="J104" s="322"/>
      <c r="K104" s="322"/>
      <c r="L104" s="322"/>
      <c r="M104" s="322"/>
      <c r="N104" s="322"/>
      <c r="O104" s="322"/>
      <c r="P104" s="322"/>
      <c r="Q104" s="357"/>
      <c r="R104" s="357"/>
      <c r="S104" s="357"/>
      <c r="T104" s="357"/>
      <c r="U104" s="357"/>
    </row>
    <row r="105" spans="1:21" x14ac:dyDescent="0.25">
      <c r="A105" s="319">
        <v>5</v>
      </c>
      <c r="B105" s="48" t="str">
        <f>IF(AND($B104&lt;&gt;"",$I$49&gt;=5),B104+1,"")</f>
        <v/>
      </c>
      <c r="C105" s="58"/>
      <c r="D105" s="60"/>
      <c r="E105" s="58"/>
      <c r="F105" s="57"/>
      <c r="G105" s="57"/>
      <c r="H105" s="322"/>
      <c r="I105" s="322"/>
      <c r="J105" s="322"/>
      <c r="K105" s="322"/>
      <c r="L105" s="322"/>
      <c r="M105" s="322"/>
      <c r="N105" s="322"/>
      <c r="O105" s="322"/>
      <c r="P105" s="322"/>
      <c r="Q105" s="357"/>
      <c r="R105" s="357"/>
      <c r="S105" s="357"/>
      <c r="T105" s="357"/>
      <c r="U105" s="357"/>
    </row>
    <row r="106" spans="1:21" x14ac:dyDescent="0.25">
      <c r="A106" s="319">
        <v>6</v>
      </c>
      <c r="B106" s="47" t="str">
        <f>IF(AND($B105&lt;&gt;"",$I$49&gt;=6),B105+1,"")</f>
        <v/>
      </c>
      <c r="C106" s="59"/>
      <c r="D106" s="64"/>
      <c r="E106" s="59"/>
      <c r="F106" s="57"/>
      <c r="G106" s="57"/>
      <c r="H106" s="322"/>
      <c r="I106" s="322"/>
      <c r="J106" s="322"/>
      <c r="K106" s="322"/>
      <c r="L106" s="322"/>
      <c r="M106" s="322"/>
      <c r="N106" s="322"/>
      <c r="O106" s="322"/>
      <c r="P106" s="322"/>
      <c r="Q106" s="357"/>
      <c r="R106" s="357"/>
      <c r="S106" s="357"/>
      <c r="T106" s="357"/>
      <c r="U106" s="357"/>
    </row>
    <row r="107" spans="1:21" x14ac:dyDescent="0.25">
      <c r="A107" s="319">
        <v>7</v>
      </c>
      <c r="B107" s="48" t="str">
        <f>IF(AND($B106&lt;&gt;"",$I$49&gt;=7),B106+1,"")</f>
        <v/>
      </c>
      <c r="C107" s="58"/>
      <c r="D107" s="60"/>
      <c r="E107" s="58"/>
      <c r="F107" s="57"/>
      <c r="G107" s="57"/>
      <c r="H107" s="322"/>
      <c r="I107" s="322"/>
      <c r="J107" s="322"/>
      <c r="K107" s="322"/>
      <c r="L107" s="322"/>
      <c r="M107" s="322"/>
      <c r="N107" s="322"/>
      <c r="O107" s="322"/>
      <c r="P107" s="322"/>
      <c r="Q107" s="357"/>
      <c r="R107" s="357"/>
      <c r="S107" s="357"/>
      <c r="T107" s="357"/>
      <c r="U107" s="357"/>
    </row>
    <row r="108" spans="1:21" x14ac:dyDescent="0.25">
      <c r="A108" s="319">
        <v>8</v>
      </c>
      <c r="B108" s="47" t="str">
        <f>IF(AND($B107&lt;&gt;"",$I$49&gt;=8),B107+1,"")</f>
        <v/>
      </c>
      <c r="C108" s="59"/>
      <c r="D108" s="64"/>
      <c r="E108" s="59"/>
      <c r="F108" s="57"/>
      <c r="G108" s="57"/>
      <c r="H108" s="322"/>
      <c r="I108" s="322"/>
      <c r="J108" s="322"/>
      <c r="K108" s="322"/>
      <c r="L108" s="322"/>
      <c r="M108" s="322"/>
      <c r="N108" s="322"/>
      <c r="O108" s="322"/>
      <c r="P108" s="322"/>
      <c r="Q108" s="357"/>
      <c r="R108" s="357"/>
      <c r="S108" s="357"/>
      <c r="T108" s="357"/>
      <c r="U108" s="357"/>
    </row>
    <row r="109" spans="1:21" x14ac:dyDescent="0.25">
      <c r="A109" s="319">
        <v>9</v>
      </c>
      <c r="B109" s="48" t="str">
        <f>IF(AND($B108&lt;&gt;"",$I$49&gt;=9),B108+1,"")</f>
        <v/>
      </c>
      <c r="C109" s="58"/>
      <c r="D109" s="60"/>
      <c r="E109" s="58"/>
      <c r="F109" s="57"/>
      <c r="G109" s="57"/>
      <c r="H109" s="322"/>
      <c r="I109" s="322"/>
      <c r="J109" s="322"/>
      <c r="K109" s="322"/>
      <c r="L109" s="322"/>
      <c r="M109" s="322"/>
      <c r="N109" s="322"/>
      <c r="O109" s="322"/>
      <c r="P109" s="322"/>
      <c r="Q109" s="357"/>
      <c r="R109" s="357"/>
      <c r="S109" s="357"/>
      <c r="T109" s="357"/>
      <c r="U109" s="357"/>
    </row>
    <row r="110" spans="1:21" x14ac:dyDescent="0.25">
      <c r="A110" s="319">
        <v>10</v>
      </c>
      <c r="B110" s="47" t="str">
        <f>IF(AND($B109&lt;&gt;"",$I$49&gt;=10),B109+1,"")</f>
        <v/>
      </c>
      <c r="C110" s="59"/>
      <c r="D110" s="64"/>
      <c r="E110" s="59"/>
      <c r="F110" s="57"/>
      <c r="G110" s="57"/>
      <c r="H110" s="322"/>
      <c r="I110" s="322"/>
      <c r="J110" s="322"/>
      <c r="K110" s="322"/>
      <c r="L110" s="322"/>
      <c r="M110" s="322"/>
      <c r="N110" s="322"/>
      <c r="O110" s="322"/>
      <c r="P110" s="322"/>
      <c r="Q110" s="357"/>
      <c r="R110" s="357"/>
      <c r="S110" s="357"/>
      <c r="T110" s="357"/>
      <c r="U110" s="357"/>
    </row>
    <row r="111" spans="1:21" ht="15.75" thickBot="1" x14ac:dyDescent="0.3">
      <c r="A111" s="319"/>
      <c r="B111" s="49"/>
      <c r="C111" s="77"/>
      <c r="D111" s="78"/>
      <c r="E111" s="79"/>
      <c r="F111" s="57"/>
      <c r="G111" s="57"/>
      <c r="H111" s="322"/>
      <c r="I111" s="322"/>
      <c r="J111" s="322"/>
      <c r="K111" s="322"/>
      <c r="L111" s="322"/>
      <c r="M111" s="322"/>
      <c r="N111" s="322"/>
      <c r="O111" s="322"/>
      <c r="P111" s="322"/>
      <c r="Q111" s="357"/>
      <c r="R111" s="357"/>
      <c r="S111" s="357"/>
      <c r="T111" s="357"/>
      <c r="U111" s="357"/>
    </row>
    <row r="112" spans="1:21" ht="36" customHeight="1" thickBot="1" x14ac:dyDescent="0.3">
      <c r="A112" s="319"/>
      <c r="B112" s="83" t="s">
        <v>152</v>
      </c>
      <c r="C112" s="138" t="s">
        <v>158</v>
      </c>
      <c r="D112" s="139" t="s">
        <v>157</v>
      </c>
      <c r="E112" s="138" t="s">
        <v>159</v>
      </c>
      <c r="F112" s="57"/>
      <c r="G112" s="57"/>
      <c r="H112" s="322"/>
      <c r="I112" s="322"/>
      <c r="J112" s="322"/>
      <c r="K112" s="322"/>
      <c r="L112" s="322"/>
      <c r="M112" s="322"/>
      <c r="N112" s="322"/>
      <c r="O112" s="322"/>
      <c r="P112" s="322"/>
      <c r="Q112" s="357"/>
      <c r="R112" s="357"/>
      <c r="S112" s="357"/>
      <c r="T112" s="357"/>
      <c r="U112" s="357"/>
    </row>
    <row r="113" spans="1:21" x14ac:dyDescent="0.25">
      <c r="A113" s="319">
        <v>1</v>
      </c>
      <c r="B113" s="48" t="str">
        <f>IF(ISNUMBER(I61), I61, "")</f>
        <v/>
      </c>
      <c r="C113" s="58"/>
      <c r="D113" s="60"/>
      <c r="E113" s="58"/>
      <c r="F113" s="57"/>
      <c r="G113" s="57"/>
      <c r="H113" s="322"/>
      <c r="I113" s="322"/>
      <c r="J113" s="322"/>
      <c r="K113" s="322"/>
      <c r="L113" s="322"/>
      <c r="M113" s="322"/>
      <c r="N113" s="322"/>
      <c r="O113" s="322"/>
      <c r="P113" s="322"/>
      <c r="Q113" s="357"/>
      <c r="R113" s="357"/>
      <c r="S113" s="357"/>
      <c r="T113" s="357"/>
      <c r="U113" s="357"/>
    </row>
    <row r="114" spans="1:21" x14ac:dyDescent="0.25">
      <c r="A114" s="319">
        <v>2</v>
      </c>
      <c r="B114" s="47" t="str">
        <f>IF(AND($B113&lt;&gt;"",$I$62&gt;=2),B113+1,"")</f>
        <v/>
      </c>
      <c r="C114" s="59"/>
      <c r="D114" s="64"/>
      <c r="E114" s="59"/>
      <c r="F114" s="57"/>
      <c r="G114" s="57"/>
      <c r="H114" s="322"/>
      <c r="I114" s="322"/>
      <c r="J114" s="322"/>
      <c r="K114" s="322"/>
      <c r="L114" s="322"/>
      <c r="M114" s="322"/>
      <c r="N114" s="322"/>
      <c r="O114" s="322"/>
      <c r="P114" s="322"/>
      <c r="Q114" s="357"/>
      <c r="R114" s="357"/>
      <c r="S114" s="357"/>
      <c r="T114" s="357"/>
      <c r="U114" s="357"/>
    </row>
    <row r="115" spans="1:21" x14ac:dyDescent="0.25">
      <c r="A115" s="319">
        <v>3</v>
      </c>
      <c r="B115" s="48" t="str">
        <f>IF(AND($B114&lt;&gt;"",$I$62&gt;=3),B114+1,"")</f>
        <v/>
      </c>
      <c r="C115" s="58"/>
      <c r="D115" s="60"/>
      <c r="E115" s="58"/>
      <c r="F115" s="57"/>
      <c r="G115" s="57"/>
      <c r="H115" s="322"/>
      <c r="I115" s="322"/>
      <c r="J115" s="322"/>
      <c r="K115" s="322"/>
      <c r="L115" s="322"/>
      <c r="M115" s="322"/>
      <c r="N115" s="322"/>
      <c r="O115" s="322"/>
      <c r="P115" s="322"/>
      <c r="Q115" s="357"/>
      <c r="R115" s="357"/>
      <c r="S115" s="357"/>
      <c r="T115" s="357"/>
      <c r="U115" s="357"/>
    </row>
    <row r="116" spans="1:21" x14ac:dyDescent="0.25">
      <c r="A116" s="319">
        <v>4</v>
      </c>
      <c r="B116" s="47" t="str">
        <f>IF(AND($B115&lt;&gt;"",$I$62&gt;=4),B115+1,"")</f>
        <v/>
      </c>
      <c r="C116" s="59"/>
      <c r="D116" s="64"/>
      <c r="E116" s="59"/>
      <c r="F116" s="57"/>
      <c r="G116" s="57"/>
      <c r="H116" s="322"/>
      <c r="I116" s="322"/>
      <c r="J116" s="322"/>
      <c r="K116" s="322"/>
      <c r="L116" s="322"/>
      <c r="M116" s="322"/>
      <c r="N116" s="322"/>
      <c r="O116" s="322"/>
      <c r="P116" s="322"/>
      <c r="Q116" s="357"/>
      <c r="R116" s="357"/>
      <c r="S116" s="357"/>
      <c r="T116" s="357"/>
      <c r="U116" s="357"/>
    </row>
    <row r="117" spans="1:21" x14ac:dyDescent="0.25">
      <c r="A117" s="319">
        <v>5</v>
      </c>
      <c r="B117" s="48" t="str">
        <f>IF(AND($B116&lt;&gt;"",$I$62&gt;=5),B116+1,"")</f>
        <v/>
      </c>
      <c r="C117" s="58"/>
      <c r="D117" s="60"/>
      <c r="E117" s="58"/>
      <c r="F117" s="57"/>
      <c r="G117" s="57"/>
      <c r="H117" s="322"/>
      <c r="I117" s="322"/>
      <c r="J117" s="322"/>
      <c r="K117" s="322"/>
      <c r="L117" s="322"/>
      <c r="M117" s="322"/>
      <c r="N117" s="322"/>
      <c r="O117" s="322"/>
      <c r="P117" s="322"/>
      <c r="Q117" s="357"/>
      <c r="R117" s="357"/>
      <c r="S117" s="357"/>
      <c r="T117" s="357"/>
      <c r="U117" s="357"/>
    </row>
    <row r="118" spans="1:21" x14ac:dyDescent="0.25">
      <c r="A118" s="319">
        <v>6</v>
      </c>
      <c r="B118" s="47" t="str">
        <f>IF(AND($B117&lt;&gt;"",$I$62&gt;=6),B117+1,"")</f>
        <v/>
      </c>
      <c r="C118" s="59"/>
      <c r="D118" s="64"/>
      <c r="E118" s="59"/>
      <c r="F118" s="57"/>
      <c r="G118" s="57"/>
      <c r="H118" s="322"/>
      <c r="I118" s="322"/>
      <c r="J118" s="322"/>
      <c r="K118" s="322"/>
      <c r="L118" s="322"/>
      <c r="M118" s="322"/>
      <c r="N118" s="322"/>
      <c r="O118" s="322"/>
      <c r="P118" s="322"/>
      <c r="Q118" s="357"/>
      <c r="R118" s="357"/>
      <c r="S118" s="357"/>
      <c r="T118" s="357"/>
      <c r="U118" s="357"/>
    </row>
    <row r="119" spans="1:21" x14ac:dyDescent="0.25">
      <c r="A119" s="319">
        <v>7</v>
      </c>
      <c r="B119" s="48" t="str">
        <f>IF(AND($B118&lt;&gt;"",$I$62&gt;=7),B118+1,"")</f>
        <v/>
      </c>
      <c r="C119" s="58"/>
      <c r="D119" s="60"/>
      <c r="E119" s="58"/>
      <c r="F119" s="57"/>
      <c r="G119" s="57"/>
      <c r="H119" s="322"/>
      <c r="I119" s="322"/>
      <c r="J119" s="322"/>
      <c r="K119" s="322"/>
      <c r="L119" s="322"/>
      <c r="M119" s="322"/>
      <c r="N119" s="322"/>
      <c r="O119" s="322"/>
      <c r="P119" s="322"/>
      <c r="Q119" s="357"/>
      <c r="R119" s="357"/>
      <c r="S119" s="357"/>
      <c r="T119" s="357"/>
      <c r="U119" s="357"/>
    </row>
    <row r="120" spans="1:21" x14ac:dyDescent="0.25">
      <c r="A120" s="319">
        <v>8</v>
      </c>
      <c r="B120" s="47" t="str">
        <f>IF(AND($B119&lt;&gt;"",$I$62&gt;=8),B119+1,"")</f>
        <v/>
      </c>
      <c r="C120" s="59"/>
      <c r="D120" s="64"/>
      <c r="E120" s="59"/>
      <c r="F120" s="57"/>
      <c r="G120" s="57"/>
      <c r="H120" s="322"/>
      <c r="I120" s="322"/>
      <c r="J120" s="322"/>
      <c r="K120" s="322"/>
      <c r="L120" s="322"/>
      <c r="M120" s="322"/>
      <c r="N120" s="322"/>
      <c r="O120" s="322"/>
      <c r="P120" s="322"/>
      <c r="Q120" s="357"/>
      <c r="R120" s="357"/>
      <c r="S120" s="357"/>
      <c r="T120" s="357"/>
      <c r="U120" s="357"/>
    </row>
    <row r="121" spans="1:21" x14ac:dyDescent="0.25">
      <c r="A121" s="319">
        <v>9</v>
      </c>
      <c r="B121" s="48" t="str">
        <f>IF(AND($B120&lt;&gt;"",$I$62&gt;=9),B120+1,"")</f>
        <v/>
      </c>
      <c r="C121" s="58"/>
      <c r="D121" s="60"/>
      <c r="E121" s="58"/>
      <c r="F121" s="57"/>
      <c r="G121" s="57"/>
      <c r="H121" s="322"/>
      <c r="I121" s="322"/>
      <c r="J121" s="322"/>
      <c r="K121" s="322"/>
      <c r="L121" s="322"/>
      <c r="M121" s="322"/>
      <c r="N121" s="322"/>
      <c r="O121" s="322"/>
      <c r="P121" s="322"/>
      <c r="Q121" s="357"/>
      <c r="R121" s="357"/>
      <c r="S121" s="357"/>
      <c r="T121" s="357"/>
      <c r="U121" s="357"/>
    </row>
    <row r="122" spans="1:21" ht="15.75" thickBot="1" x14ac:dyDescent="0.3">
      <c r="A122" s="319">
        <v>10</v>
      </c>
      <c r="B122" s="47" t="str">
        <f>IF(AND($B121&lt;&gt;"",$I$62&gt;=10),B121+1,"")</f>
        <v/>
      </c>
      <c r="C122" s="59"/>
      <c r="D122" s="64"/>
      <c r="E122" s="59"/>
      <c r="F122" s="57"/>
      <c r="G122" s="57"/>
      <c r="H122" s="322"/>
      <c r="I122" s="322"/>
      <c r="J122" s="322"/>
      <c r="K122" s="322"/>
      <c r="L122" s="322"/>
      <c r="M122" s="322"/>
      <c r="N122" s="322"/>
      <c r="O122" s="322"/>
      <c r="P122" s="322"/>
      <c r="Q122" s="357"/>
      <c r="R122" s="357"/>
      <c r="S122" s="357"/>
      <c r="T122" s="357"/>
      <c r="U122" s="357"/>
    </row>
    <row r="123" spans="1:21" ht="15.75" thickBot="1" x14ac:dyDescent="0.3">
      <c r="A123" s="319"/>
      <c r="B123" s="68"/>
      <c r="C123" s="70"/>
      <c r="D123" s="80"/>
      <c r="E123" s="70"/>
      <c r="F123" s="57"/>
      <c r="G123" s="57"/>
      <c r="H123" s="322"/>
      <c r="I123" s="322"/>
      <c r="J123" s="322"/>
      <c r="K123" s="322"/>
      <c r="L123" s="322"/>
      <c r="M123" s="322"/>
      <c r="N123" s="322"/>
      <c r="O123" s="322"/>
      <c r="P123" s="322"/>
      <c r="Q123" s="357"/>
      <c r="R123" s="357"/>
      <c r="S123" s="357"/>
      <c r="T123" s="357"/>
      <c r="U123" s="357"/>
    </row>
    <row r="124" spans="1:21" ht="15.75" thickBot="1" x14ac:dyDescent="0.3">
      <c r="A124" s="319"/>
      <c r="B124" s="83" t="s">
        <v>14</v>
      </c>
      <c r="C124" s="330"/>
      <c r="D124" s="57"/>
      <c r="E124" s="57"/>
      <c r="F124" s="57"/>
      <c r="G124" s="57"/>
      <c r="H124" s="322"/>
      <c r="I124" s="322"/>
      <c r="J124" s="322"/>
      <c r="K124" s="322"/>
      <c r="L124" s="322"/>
      <c r="M124" s="322"/>
      <c r="N124" s="322"/>
      <c r="O124" s="322"/>
      <c r="P124" s="322"/>
      <c r="Q124" s="357"/>
      <c r="R124" s="357"/>
      <c r="S124" s="357"/>
      <c r="T124" s="357"/>
      <c r="U124" s="357"/>
    </row>
    <row r="125" spans="1:21" x14ac:dyDescent="0.25">
      <c r="A125" s="319">
        <v>1</v>
      </c>
      <c r="B125" s="48" t="str">
        <f>IF(ISNUMBER(I70), I70, "")</f>
        <v/>
      </c>
      <c r="C125" s="331"/>
      <c r="D125" s="57"/>
      <c r="E125" s="57"/>
      <c r="F125" s="57"/>
      <c r="G125" s="57"/>
      <c r="H125" s="322"/>
      <c r="I125" s="322"/>
      <c r="J125" s="322"/>
      <c r="K125" s="322"/>
      <c r="L125" s="322"/>
      <c r="M125" s="322"/>
      <c r="N125" s="322"/>
      <c r="O125" s="322"/>
      <c r="P125" s="322"/>
      <c r="Q125" s="357"/>
      <c r="R125" s="357"/>
      <c r="S125" s="357"/>
      <c r="T125" s="357"/>
      <c r="U125" s="357"/>
    </row>
    <row r="126" spans="1:21" x14ac:dyDescent="0.25">
      <c r="A126" s="319">
        <v>2</v>
      </c>
      <c r="B126" s="47" t="str">
        <f>IF(AND(B125&lt;&gt;"",I71&gt;=2),B125+1,"")</f>
        <v/>
      </c>
      <c r="C126" s="331"/>
      <c r="D126" s="57"/>
      <c r="E126" s="57"/>
      <c r="F126" s="57"/>
      <c r="G126" s="57"/>
      <c r="H126" s="322"/>
      <c r="I126" s="322"/>
      <c r="J126" s="322"/>
      <c r="K126" s="322"/>
      <c r="L126" s="322"/>
      <c r="M126" s="322"/>
      <c r="N126" s="322"/>
      <c r="O126" s="322"/>
      <c r="P126" s="322"/>
      <c r="Q126" s="357"/>
      <c r="R126" s="357"/>
      <c r="S126" s="357"/>
      <c r="T126" s="357"/>
      <c r="U126" s="357"/>
    </row>
    <row r="127" spans="1:21" x14ac:dyDescent="0.25">
      <c r="A127" s="319">
        <v>3</v>
      </c>
      <c r="B127" s="48" t="str">
        <f>IF(AND(B125&lt;&gt;"",I71&gt;=3),B126+1,"")</f>
        <v/>
      </c>
      <c r="C127" s="331"/>
      <c r="D127" s="57"/>
      <c r="E127" s="57"/>
      <c r="F127" s="57"/>
      <c r="G127" s="57"/>
      <c r="H127" s="322"/>
      <c r="I127" s="322"/>
      <c r="J127" s="322"/>
      <c r="K127" s="322"/>
      <c r="L127" s="322"/>
      <c r="M127" s="322"/>
      <c r="N127" s="322"/>
      <c r="O127" s="322"/>
      <c r="P127" s="322"/>
      <c r="Q127" s="357"/>
      <c r="R127" s="357"/>
      <c r="S127" s="357"/>
      <c r="T127" s="357"/>
      <c r="U127" s="357"/>
    </row>
    <row r="128" spans="1:21" x14ac:dyDescent="0.25">
      <c r="A128" s="319">
        <v>4</v>
      </c>
      <c r="B128" s="47" t="str">
        <f>IF(AND(B125&lt;&gt;"",I71&gt;=4),B127+1,"")</f>
        <v/>
      </c>
      <c r="C128" s="331"/>
      <c r="D128" s="57"/>
      <c r="E128" s="57"/>
      <c r="F128" s="57"/>
      <c r="G128" s="57"/>
      <c r="H128" s="322"/>
      <c r="I128" s="322"/>
      <c r="J128" s="322"/>
      <c r="K128" s="322"/>
      <c r="L128" s="322"/>
      <c r="M128" s="322"/>
      <c r="N128" s="322"/>
      <c r="O128" s="322"/>
      <c r="P128" s="322"/>
      <c r="Q128" s="357"/>
      <c r="R128" s="357"/>
      <c r="S128" s="357"/>
      <c r="T128" s="357"/>
      <c r="U128" s="357"/>
    </row>
    <row r="129" spans="1:21" x14ac:dyDescent="0.25">
      <c r="A129" s="319">
        <v>5</v>
      </c>
      <c r="B129" s="48" t="str">
        <f>IF(AND(B125&lt;&gt;"",I71&gt;=5),B128+1,"")</f>
        <v/>
      </c>
      <c r="C129" s="331"/>
      <c r="D129" s="57"/>
      <c r="E129" s="57"/>
      <c r="F129" s="57"/>
      <c r="G129" s="57"/>
      <c r="H129" s="322"/>
      <c r="I129" s="322"/>
      <c r="J129" s="322"/>
      <c r="K129" s="322"/>
      <c r="L129" s="322"/>
      <c r="M129" s="322"/>
      <c r="N129" s="322"/>
      <c r="O129" s="322"/>
      <c r="P129" s="322"/>
      <c r="Q129" s="357"/>
      <c r="R129" s="357"/>
      <c r="S129" s="357"/>
      <c r="T129" s="357"/>
      <c r="U129" s="357"/>
    </row>
    <row r="130" spans="1:21" x14ac:dyDescent="0.25">
      <c r="A130" s="319">
        <v>6</v>
      </c>
      <c r="B130" s="47" t="str">
        <f>IF(AND(B125&lt;&gt;"",I71&gt;=6),B129+1,"")</f>
        <v/>
      </c>
      <c r="C130" s="331"/>
      <c r="D130" s="57"/>
      <c r="E130" s="57"/>
      <c r="F130" s="57"/>
      <c r="G130" s="57"/>
      <c r="H130" s="322"/>
      <c r="I130" s="322"/>
      <c r="J130" s="322"/>
      <c r="K130" s="322"/>
      <c r="L130" s="322"/>
      <c r="M130" s="322"/>
      <c r="N130" s="322"/>
      <c r="O130" s="322"/>
      <c r="P130" s="322"/>
      <c r="Q130" s="357"/>
      <c r="R130" s="357"/>
      <c r="S130" s="357"/>
      <c r="T130" s="357"/>
      <c r="U130" s="357"/>
    </row>
    <row r="131" spans="1:21" x14ac:dyDescent="0.25">
      <c r="A131" s="319">
        <v>7</v>
      </c>
      <c r="B131" s="48" t="str">
        <f>IF(AND(B125&lt;&gt;"",I71&gt;=7),B130+1,"")</f>
        <v/>
      </c>
      <c r="C131" s="331"/>
      <c r="D131" s="57"/>
      <c r="E131" s="57"/>
      <c r="F131" s="57"/>
      <c r="G131" s="57"/>
      <c r="H131" s="322"/>
      <c r="I131" s="322"/>
      <c r="J131" s="322"/>
      <c r="K131" s="322"/>
      <c r="L131" s="322"/>
      <c r="M131" s="322"/>
      <c r="N131" s="322"/>
      <c r="O131" s="322"/>
      <c r="P131" s="322"/>
      <c r="Q131" s="357"/>
      <c r="R131" s="357"/>
      <c r="S131" s="357"/>
      <c r="T131" s="357"/>
      <c r="U131" s="357"/>
    </row>
    <row r="132" spans="1:21" x14ac:dyDescent="0.25">
      <c r="A132" s="319">
        <v>8</v>
      </c>
      <c r="B132" s="47" t="str">
        <f>IF(AND(B125&lt;&gt;"",I71&gt;=8),B131+1,"")</f>
        <v/>
      </c>
      <c r="C132" s="331"/>
      <c r="D132" s="57"/>
      <c r="E132" s="57"/>
      <c r="F132" s="57"/>
      <c r="G132" s="57"/>
      <c r="H132" s="322"/>
      <c r="I132" s="322"/>
      <c r="J132" s="322"/>
      <c r="K132" s="322"/>
      <c r="L132" s="322"/>
      <c r="M132" s="322"/>
      <c r="N132" s="322"/>
      <c r="O132" s="322"/>
      <c r="P132" s="322"/>
      <c r="Q132" s="357"/>
      <c r="R132" s="357"/>
      <c r="S132" s="357"/>
      <c r="T132" s="357"/>
      <c r="U132" s="357"/>
    </row>
    <row r="133" spans="1:21" x14ac:dyDescent="0.25">
      <c r="A133" s="319">
        <v>9</v>
      </c>
      <c r="B133" s="48" t="str">
        <f>IF(AND(B125&lt;&gt;"",I71&gt;=9),B132+1,"")</f>
        <v/>
      </c>
      <c r="C133" s="331"/>
      <c r="D133" s="57"/>
      <c r="E133" s="57"/>
      <c r="F133" s="57"/>
      <c r="G133" s="57"/>
      <c r="H133" s="322"/>
      <c r="I133" s="322"/>
      <c r="J133" s="322"/>
      <c r="K133" s="322"/>
      <c r="L133" s="322"/>
      <c r="M133" s="322"/>
      <c r="N133" s="322"/>
      <c r="O133" s="322"/>
      <c r="P133" s="322"/>
      <c r="Q133" s="357"/>
      <c r="R133" s="357"/>
      <c r="S133" s="357"/>
      <c r="T133" s="357"/>
      <c r="U133" s="357"/>
    </row>
    <row r="134" spans="1:21" ht="15.75" thickBot="1" x14ac:dyDescent="0.3">
      <c r="A134" s="319">
        <v>10</v>
      </c>
      <c r="B134" s="66" t="str">
        <f>IF(AND(B125&lt;&gt;"",I71&gt;=10),B133+1,"")</f>
        <v/>
      </c>
      <c r="C134" s="331"/>
      <c r="D134" s="57"/>
      <c r="E134" s="57"/>
      <c r="F134" s="57"/>
      <c r="G134" s="57"/>
      <c r="H134" s="322"/>
      <c r="I134" s="322"/>
      <c r="J134" s="322"/>
      <c r="K134" s="322"/>
      <c r="L134" s="322"/>
      <c r="M134" s="322"/>
      <c r="N134" s="322"/>
      <c r="O134" s="322"/>
      <c r="P134" s="322"/>
      <c r="Q134" s="357"/>
      <c r="R134" s="357"/>
      <c r="S134" s="357"/>
      <c r="T134" s="357"/>
      <c r="U134" s="357"/>
    </row>
    <row r="135" spans="1:21" x14ac:dyDescent="0.25">
      <c r="A135" s="57"/>
      <c r="B135" s="57"/>
      <c r="C135" s="57"/>
      <c r="D135" s="57"/>
      <c r="E135" s="57"/>
      <c r="F135" s="57"/>
      <c r="G135" s="57"/>
      <c r="H135" s="322"/>
      <c r="I135" s="322"/>
      <c r="J135" s="322"/>
      <c r="K135" s="322"/>
      <c r="L135" s="322"/>
      <c r="M135" s="322"/>
      <c r="N135" s="322"/>
      <c r="O135" s="322"/>
      <c r="P135" s="322"/>
      <c r="Q135" s="357"/>
      <c r="R135" s="357"/>
      <c r="S135" s="357"/>
      <c r="T135" s="357"/>
      <c r="U135" s="357"/>
    </row>
    <row r="136" spans="1:21" x14ac:dyDescent="0.25">
      <c r="A136" s="57"/>
      <c r="B136" s="57"/>
      <c r="C136" s="57"/>
      <c r="D136" s="57"/>
      <c r="E136" s="57"/>
      <c r="F136" s="57"/>
      <c r="G136" s="57"/>
      <c r="H136" s="322"/>
      <c r="I136" s="322"/>
      <c r="J136" s="322"/>
      <c r="K136" s="322"/>
      <c r="L136" s="322"/>
      <c r="M136" s="322"/>
      <c r="N136" s="322"/>
      <c r="O136" s="322"/>
      <c r="P136" s="322"/>
      <c r="Q136" s="357"/>
      <c r="R136" s="357"/>
      <c r="S136" s="357"/>
      <c r="T136" s="357"/>
      <c r="U136" s="357"/>
    </row>
    <row r="137" spans="1:21" x14ac:dyDescent="0.25">
      <c r="A137" s="57"/>
      <c r="B137" s="57"/>
      <c r="C137" s="57"/>
      <c r="D137" s="57"/>
      <c r="E137" s="57"/>
      <c r="F137" s="57"/>
      <c r="G137" s="57"/>
      <c r="H137" s="322"/>
      <c r="I137" s="322"/>
      <c r="J137" s="322"/>
      <c r="K137" s="322"/>
      <c r="L137" s="322"/>
      <c r="M137" s="322"/>
      <c r="N137" s="322"/>
      <c r="O137" s="322"/>
      <c r="P137" s="322"/>
      <c r="Q137" s="357"/>
      <c r="R137" s="357"/>
      <c r="S137" s="357"/>
      <c r="T137" s="357"/>
      <c r="U137" s="357"/>
    </row>
    <row r="138" spans="1:21" x14ac:dyDescent="0.25">
      <c r="A138" s="409"/>
      <c r="B138" s="409"/>
      <c r="C138" s="409"/>
      <c r="D138" s="409"/>
      <c r="E138" s="409"/>
      <c r="F138" s="409"/>
      <c r="G138" s="328"/>
      <c r="H138" s="329"/>
      <c r="I138" s="329"/>
      <c r="J138" s="322"/>
      <c r="K138" s="322"/>
      <c r="L138" s="322"/>
      <c r="M138" s="322"/>
      <c r="N138" s="322"/>
      <c r="O138" s="322"/>
      <c r="P138" s="322"/>
      <c r="Q138" s="357"/>
      <c r="R138" s="357"/>
      <c r="S138" s="357"/>
      <c r="T138" s="357"/>
      <c r="U138" s="357"/>
    </row>
    <row r="139" spans="1:21" s="13" customFormat="1" x14ac:dyDescent="0.25">
      <c r="A139" s="408"/>
      <c r="B139" s="408"/>
      <c r="C139" s="408"/>
      <c r="D139" s="408"/>
      <c r="E139" s="408"/>
      <c r="F139" s="408"/>
      <c r="G139" s="357"/>
      <c r="H139" s="322"/>
      <c r="I139" s="322"/>
      <c r="J139" s="322"/>
      <c r="K139" s="322"/>
      <c r="L139" s="322"/>
      <c r="M139" s="322"/>
      <c r="N139" s="322"/>
      <c r="O139" s="322"/>
      <c r="P139" s="322"/>
      <c r="Q139" s="357"/>
      <c r="R139" s="357"/>
      <c r="S139" s="357"/>
      <c r="T139" s="357"/>
      <c r="U139" s="357"/>
    </row>
    <row r="140" spans="1:21" s="13" customFormat="1" x14ac:dyDescent="0.25">
      <c r="A140" s="409"/>
      <c r="B140" s="409"/>
      <c r="C140" s="409"/>
      <c r="D140" s="409"/>
      <c r="E140" s="409"/>
      <c r="F140" s="409"/>
      <c r="G140" s="356"/>
      <c r="H140" s="329"/>
      <c r="I140" s="329"/>
      <c r="J140" s="362"/>
      <c r="K140" s="362"/>
      <c r="L140" s="362"/>
      <c r="M140" s="322"/>
      <c r="N140" s="322"/>
      <c r="O140" s="322"/>
      <c r="P140" s="322"/>
      <c r="Q140" s="357"/>
      <c r="R140" s="357"/>
      <c r="S140" s="357"/>
      <c r="T140" s="357"/>
      <c r="U140" s="357"/>
    </row>
    <row r="141" spans="1:21" s="13" customFormat="1" x14ac:dyDescent="0.25">
      <c r="A141" s="409"/>
      <c r="B141" s="409"/>
      <c r="C141" s="409"/>
      <c r="D141" s="409"/>
      <c r="E141" s="409"/>
      <c r="F141" s="409"/>
      <c r="G141" s="356"/>
      <c r="H141" s="329"/>
      <c r="I141" s="322"/>
      <c r="J141" s="362"/>
      <c r="K141" s="362"/>
      <c r="L141" s="362"/>
      <c r="M141" s="322"/>
      <c r="N141" s="322"/>
      <c r="O141" s="322"/>
      <c r="P141" s="322"/>
      <c r="Q141" s="357"/>
      <c r="R141" s="357"/>
      <c r="S141" s="357"/>
      <c r="T141" s="357"/>
      <c r="U141" s="357"/>
    </row>
    <row r="142" spans="1:21" s="13" customFormat="1" x14ac:dyDescent="0.25">
      <c r="A142" s="409"/>
      <c r="B142" s="409"/>
      <c r="C142" s="409"/>
      <c r="D142" s="409"/>
      <c r="E142" s="409"/>
      <c r="F142" s="409"/>
      <c r="G142" s="356"/>
      <c r="H142" s="329"/>
      <c r="I142" s="322"/>
      <c r="J142" s="362"/>
      <c r="K142" s="362"/>
      <c r="L142" s="362"/>
      <c r="M142" s="322"/>
      <c r="N142" s="322"/>
      <c r="O142" s="322"/>
      <c r="P142" s="322"/>
      <c r="Q142" s="357"/>
      <c r="R142" s="357"/>
      <c r="S142" s="357"/>
      <c r="T142" s="357"/>
      <c r="U142" s="357"/>
    </row>
    <row r="143" spans="1:21" s="13" customFormat="1" x14ac:dyDescent="0.25">
      <c r="A143" s="409"/>
      <c r="B143" s="409"/>
      <c r="C143" s="409"/>
      <c r="D143" s="409"/>
      <c r="E143" s="409"/>
      <c r="F143" s="409"/>
      <c r="G143" s="356"/>
      <c r="H143" s="329"/>
      <c r="I143" s="322"/>
      <c r="J143" s="362"/>
      <c r="K143" s="362"/>
      <c r="L143" s="362"/>
      <c r="M143" s="322"/>
      <c r="N143" s="322"/>
      <c r="O143" s="322"/>
      <c r="P143" s="322"/>
      <c r="Q143" s="357"/>
      <c r="R143" s="357"/>
      <c r="S143" s="357"/>
      <c r="T143" s="357"/>
      <c r="U143" s="357"/>
    </row>
    <row r="144" spans="1:21" s="13" customFormat="1" x14ac:dyDescent="0.25">
      <c r="A144" s="357"/>
      <c r="B144" s="357"/>
      <c r="C144" s="357"/>
      <c r="D144" s="357"/>
      <c r="E144" s="357"/>
      <c r="F144" s="357"/>
      <c r="G144" s="356"/>
      <c r="H144" s="329"/>
      <c r="I144" s="322"/>
      <c r="J144" s="362"/>
      <c r="K144" s="362"/>
      <c r="L144" s="362"/>
      <c r="M144" s="322"/>
      <c r="N144" s="322"/>
      <c r="O144" s="322"/>
      <c r="P144" s="322"/>
      <c r="Q144" s="357"/>
      <c r="R144" s="357"/>
      <c r="S144" s="357"/>
      <c r="T144" s="357"/>
      <c r="U144" s="357"/>
    </row>
    <row r="145" spans="1:21" s="13" customFormat="1" x14ac:dyDescent="0.25">
      <c r="A145" s="408"/>
      <c r="B145" s="408"/>
      <c r="C145" s="408"/>
      <c r="D145" s="408"/>
      <c r="E145" s="408"/>
      <c r="F145" s="357"/>
      <c r="G145" s="357"/>
      <c r="H145" s="322"/>
      <c r="I145" s="322"/>
      <c r="J145" s="322"/>
      <c r="K145" s="322"/>
      <c r="L145" s="322"/>
      <c r="M145" s="322"/>
      <c r="N145" s="322"/>
      <c r="O145" s="322"/>
      <c r="P145" s="322"/>
      <c r="Q145" s="357"/>
      <c r="R145" s="357"/>
      <c r="S145" s="357"/>
      <c r="T145" s="357"/>
      <c r="U145" s="357"/>
    </row>
    <row r="146" spans="1:21" s="13" customFormat="1" x14ac:dyDescent="0.25">
      <c r="A146" s="357"/>
      <c r="B146" s="357"/>
      <c r="C146" s="357"/>
      <c r="D146" s="357"/>
      <c r="E146" s="357"/>
      <c r="F146" s="357"/>
      <c r="G146" s="357"/>
      <c r="H146" s="322"/>
      <c r="I146" s="322"/>
      <c r="J146" s="322"/>
      <c r="K146" s="322"/>
      <c r="L146" s="322"/>
      <c r="M146" s="322"/>
      <c r="N146" s="322"/>
      <c r="O146" s="322"/>
      <c r="P146" s="322"/>
      <c r="Q146" s="357"/>
      <c r="R146" s="357"/>
      <c r="S146" s="357"/>
      <c r="T146" s="357"/>
      <c r="U146" s="357"/>
    </row>
    <row r="147" spans="1:21" s="13" customFormat="1" x14ac:dyDescent="0.25">
      <c r="A147" s="357"/>
      <c r="B147" s="357"/>
      <c r="C147" s="357"/>
      <c r="D147" s="357"/>
      <c r="E147" s="357"/>
      <c r="F147" s="357"/>
      <c r="G147" s="357"/>
      <c r="H147" s="322"/>
      <c r="I147" s="322"/>
      <c r="J147" s="322"/>
      <c r="K147" s="322"/>
      <c r="L147" s="322"/>
      <c r="M147" s="322"/>
      <c r="N147" s="322"/>
      <c r="O147" s="322"/>
      <c r="P147" s="322"/>
      <c r="Q147" s="357"/>
      <c r="R147" s="357"/>
      <c r="S147" s="357"/>
      <c r="T147" s="357"/>
      <c r="U147" s="357"/>
    </row>
    <row r="148" spans="1:21" s="13" customFormat="1" x14ac:dyDescent="0.25">
      <c r="A148" s="357"/>
      <c r="B148" s="357"/>
      <c r="C148" s="357"/>
      <c r="D148" s="357"/>
      <c r="E148" s="357"/>
      <c r="F148" s="357"/>
      <c r="G148" s="357"/>
      <c r="H148" s="322"/>
      <c r="I148" s="322"/>
      <c r="J148" s="322"/>
      <c r="K148" s="322"/>
      <c r="L148" s="322"/>
      <c r="M148" s="322"/>
      <c r="N148" s="322"/>
      <c r="O148" s="322"/>
      <c r="P148" s="322"/>
      <c r="Q148" s="357"/>
      <c r="R148" s="357"/>
      <c r="S148" s="357"/>
      <c r="T148" s="357"/>
      <c r="U148" s="357"/>
    </row>
    <row r="149" spans="1:21" s="13" customFormat="1" x14ac:dyDescent="0.25">
      <c r="A149" s="357"/>
      <c r="B149" s="357"/>
      <c r="C149" s="357"/>
      <c r="D149" s="357"/>
      <c r="E149" s="357"/>
      <c r="F149" s="357"/>
      <c r="G149" s="357"/>
      <c r="H149" s="322"/>
      <c r="I149" s="322"/>
      <c r="J149" s="322"/>
      <c r="K149" s="322"/>
      <c r="L149" s="322"/>
      <c r="M149" s="322"/>
      <c r="N149" s="322"/>
      <c r="O149" s="322"/>
      <c r="P149" s="322"/>
      <c r="Q149" s="357"/>
      <c r="R149" s="357"/>
      <c r="S149" s="357"/>
      <c r="T149" s="357"/>
      <c r="U149" s="357"/>
    </row>
    <row r="150" spans="1:21" s="13" customFormat="1" x14ac:dyDescent="0.25">
      <c r="A150" s="357"/>
      <c r="B150" s="357"/>
      <c r="C150" s="357"/>
      <c r="D150" s="357"/>
      <c r="E150" s="357"/>
      <c r="F150" s="357"/>
      <c r="G150" s="357"/>
      <c r="H150" s="322"/>
      <c r="I150" s="322"/>
      <c r="J150" s="322"/>
      <c r="K150" s="322"/>
      <c r="L150" s="322"/>
      <c r="M150" s="322"/>
      <c r="N150" s="322"/>
      <c r="O150" s="322"/>
      <c r="P150" s="322"/>
      <c r="Q150" s="357"/>
      <c r="R150" s="357"/>
      <c r="S150" s="357"/>
      <c r="T150" s="357"/>
      <c r="U150" s="357"/>
    </row>
    <row r="151" spans="1:21" s="13" customFormat="1" x14ac:dyDescent="0.25">
      <c r="A151" s="357"/>
      <c r="B151" s="357"/>
      <c r="C151" s="357"/>
      <c r="D151" s="357"/>
      <c r="E151" s="357"/>
      <c r="F151" s="357"/>
      <c r="G151" s="357"/>
      <c r="H151" s="322"/>
      <c r="I151" s="322"/>
      <c r="J151" s="322"/>
      <c r="K151" s="322"/>
      <c r="L151" s="322"/>
      <c r="M151" s="322"/>
      <c r="N151" s="322"/>
      <c r="O151" s="322"/>
      <c r="P151" s="322"/>
      <c r="Q151" s="357"/>
      <c r="R151" s="357"/>
      <c r="S151" s="357"/>
      <c r="T151" s="357"/>
      <c r="U151" s="357"/>
    </row>
    <row r="152" spans="1:21" s="13" customFormat="1" x14ac:dyDescent="0.25">
      <c r="A152" s="357"/>
      <c r="B152" s="357"/>
      <c r="C152" s="357"/>
      <c r="D152" s="357"/>
      <c r="E152" s="357"/>
      <c r="F152" s="357"/>
      <c r="G152" s="357"/>
      <c r="H152" s="322"/>
      <c r="I152" s="322"/>
      <c r="J152" s="322"/>
      <c r="K152" s="322"/>
      <c r="L152" s="322"/>
      <c r="M152" s="322"/>
      <c r="N152" s="322"/>
      <c r="O152" s="322"/>
      <c r="P152" s="322"/>
      <c r="Q152" s="357"/>
      <c r="R152" s="357"/>
      <c r="S152" s="357"/>
      <c r="T152" s="357"/>
      <c r="U152" s="357"/>
    </row>
    <row r="153" spans="1:21" s="13" customFormat="1" x14ac:dyDescent="0.25">
      <c r="A153" s="357"/>
      <c r="B153" s="357"/>
      <c r="C153" s="357"/>
      <c r="D153" s="357"/>
      <c r="E153" s="357"/>
      <c r="F153" s="357"/>
      <c r="G153" s="357"/>
      <c r="H153" s="322"/>
      <c r="I153" s="322"/>
      <c r="J153" s="322"/>
      <c r="K153" s="322"/>
      <c r="L153" s="322"/>
      <c r="M153" s="322"/>
      <c r="N153" s="322"/>
      <c r="O153" s="322"/>
      <c r="P153" s="322"/>
      <c r="Q153" s="357"/>
      <c r="R153" s="357"/>
      <c r="S153" s="357"/>
      <c r="T153" s="357"/>
      <c r="U153" s="357"/>
    </row>
    <row r="154" spans="1:21" s="13" customFormat="1" x14ac:dyDescent="0.25">
      <c r="A154" s="357"/>
      <c r="B154" s="357"/>
      <c r="C154" s="357"/>
      <c r="D154" s="357"/>
      <c r="E154" s="357"/>
      <c r="F154" s="357"/>
      <c r="G154" s="357"/>
      <c r="H154" s="322"/>
      <c r="I154" s="322"/>
      <c r="J154" s="322"/>
      <c r="K154" s="322"/>
      <c r="L154" s="322"/>
      <c r="M154" s="322"/>
      <c r="N154" s="322"/>
      <c r="O154" s="322"/>
      <c r="P154" s="322"/>
      <c r="Q154" s="357"/>
      <c r="R154" s="357"/>
      <c r="S154" s="357"/>
      <c r="T154" s="357"/>
      <c r="U154" s="357"/>
    </row>
    <row r="155" spans="1:21" s="13" customFormat="1" x14ac:dyDescent="0.25">
      <c r="A155" s="357"/>
      <c r="B155" s="357"/>
      <c r="C155" s="357"/>
      <c r="D155" s="357"/>
      <c r="E155" s="357"/>
      <c r="F155" s="357"/>
      <c r="G155" s="357"/>
      <c r="H155" s="322"/>
      <c r="I155" s="322"/>
      <c r="J155" s="322"/>
      <c r="K155" s="322"/>
      <c r="L155" s="322"/>
      <c r="M155" s="322"/>
      <c r="N155" s="322"/>
      <c r="O155" s="322"/>
      <c r="P155" s="322"/>
      <c r="Q155" s="357"/>
      <c r="R155" s="357"/>
      <c r="S155" s="357"/>
      <c r="T155" s="357"/>
      <c r="U155" s="357"/>
    </row>
    <row r="156" spans="1:21" s="13" customFormat="1" x14ac:dyDescent="0.25">
      <c r="A156" s="357"/>
      <c r="B156" s="357"/>
      <c r="C156" s="357"/>
      <c r="D156" s="357"/>
      <c r="E156" s="357"/>
      <c r="F156" s="357"/>
      <c r="G156" s="357"/>
      <c r="H156" s="322"/>
      <c r="I156" s="322"/>
      <c r="J156" s="322"/>
      <c r="K156" s="322"/>
      <c r="L156" s="322"/>
      <c r="M156" s="322"/>
      <c r="N156" s="322"/>
      <c r="O156" s="322"/>
      <c r="P156" s="322"/>
      <c r="Q156" s="357"/>
      <c r="R156" s="357"/>
      <c r="S156" s="357"/>
      <c r="T156" s="357"/>
      <c r="U156" s="357"/>
    </row>
    <row r="157" spans="1:21" s="13" customFormat="1" x14ac:dyDescent="0.25">
      <c r="A157" s="357"/>
      <c r="B157" s="357"/>
      <c r="C157" s="357"/>
      <c r="D157" s="357"/>
      <c r="E157" s="357"/>
      <c r="F157" s="357"/>
      <c r="G157" s="357"/>
      <c r="H157" s="322"/>
      <c r="I157" s="322"/>
      <c r="J157" s="322"/>
      <c r="K157" s="322"/>
      <c r="L157" s="322"/>
      <c r="M157" s="322"/>
      <c r="N157" s="322"/>
      <c r="O157" s="322"/>
      <c r="P157" s="322"/>
      <c r="Q157" s="357"/>
      <c r="R157" s="357"/>
      <c r="S157" s="357"/>
      <c r="T157" s="357"/>
      <c r="U157" s="357"/>
    </row>
    <row r="158" spans="1:21" s="13" customFormat="1" x14ac:dyDescent="0.25">
      <c r="A158" s="357"/>
      <c r="B158" s="357"/>
      <c r="C158" s="357"/>
      <c r="D158" s="357"/>
      <c r="E158" s="357"/>
      <c r="F158" s="357"/>
      <c r="G158" s="357"/>
      <c r="H158" s="322"/>
      <c r="I158" s="322"/>
      <c r="J158" s="322"/>
      <c r="K158" s="322"/>
      <c r="L158" s="322"/>
      <c r="M158" s="322"/>
      <c r="N158" s="322"/>
      <c r="O158" s="322"/>
      <c r="P158" s="322"/>
      <c r="Q158" s="357"/>
      <c r="R158" s="357"/>
      <c r="S158" s="357"/>
      <c r="T158" s="357"/>
      <c r="U158" s="357"/>
    </row>
    <row r="159" spans="1:21" s="13" customFormat="1" x14ac:dyDescent="0.25">
      <c r="A159" s="357"/>
      <c r="B159" s="357"/>
      <c r="C159" s="357"/>
      <c r="D159" s="357"/>
      <c r="E159" s="357"/>
      <c r="F159" s="357"/>
      <c r="G159" s="357"/>
      <c r="H159" s="322"/>
      <c r="I159" s="322"/>
      <c r="J159" s="322"/>
      <c r="K159" s="322"/>
      <c r="L159" s="322"/>
      <c r="M159" s="322"/>
      <c r="N159" s="322"/>
      <c r="O159" s="322"/>
      <c r="P159" s="322"/>
      <c r="Q159" s="357"/>
      <c r="R159" s="357"/>
      <c r="S159" s="357"/>
      <c r="T159" s="357"/>
      <c r="U159" s="357"/>
    </row>
    <row r="160" spans="1:21" s="13" customFormat="1" x14ac:dyDescent="0.25">
      <c r="A160" s="357"/>
      <c r="B160" s="357"/>
      <c r="C160" s="357"/>
      <c r="D160" s="357"/>
      <c r="E160" s="357"/>
      <c r="F160" s="357"/>
      <c r="G160" s="357"/>
      <c r="H160" s="322"/>
      <c r="I160" s="322"/>
      <c r="J160" s="322"/>
      <c r="K160" s="322"/>
      <c r="L160" s="322"/>
      <c r="M160" s="322"/>
      <c r="N160" s="322"/>
      <c r="O160" s="322"/>
      <c r="P160" s="322"/>
      <c r="Q160" s="357"/>
      <c r="R160" s="357"/>
      <c r="S160" s="357"/>
      <c r="T160" s="357"/>
      <c r="U160" s="357"/>
    </row>
    <row r="161" spans="1:21" s="13" customFormat="1" x14ac:dyDescent="0.25">
      <c r="A161" s="357"/>
      <c r="B161" s="357"/>
      <c r="C161" s="357"/>
      <c r="D161" s="357"/>
      <c r="E161" s="357"/>
      <c r="F161" s="357"/>
      <c r="G161" s="357"/>
      <c r="H161" s="322"/>
      <c r="I161" s="322"/>
      <c r="J161" s="322"/>
      <c r="K161" s="322"/>
      <c r="L161" s="322"/>
      <c r="M161" s="322"/>
      <c r="N161" s="322"/>
      <c r="O161" s="322"/>
      <c r="P161" s="322"/>
      <c r="Q161" s="357"/>
      <c r="R161" s="357"/>
      <c r="S161" s="357"/>
      <c r="T161" s="357"/>
      <c r="U161" s="357"/>
    </row>
    <row r="162" spans="1:21" s="13" customFormat="1" x14ac:dyDescent="0.25">
      <c r="A162" s="357"/>
      <c r="B162" s="357"/>
      <c r="C162" s="357"/>
      <c r="D162" s="357"/>
      <c r="E162" s="357"/>
      <c r="F162" s="357"/>
      <c r="G162" s="357"/>
      <c r="H162" s="322"/>
      <c r="I162" s="322"/>
      <c r="J162" s="322"/>
      <c r="K162" s="322"/>
      <c r="L162" s="322"/>
      <c r="M162" s="322"/>
      <c r="N162" s="322"/>
      <c r="O162" s="322"/>
      <c r="P162" s="322"/>
      <c r="Q162" s="357"/>
      <c r="R162" s="357"/>
      <c r="S162" s="357"/>
      <c r="T162" s="357"/>
      <c r="U162" s="357"/>
    </row>
    <row r="163" spans="1:21" s="13" customFormat="1" x14ac:dyDescent="0.25">
      <c r="A163" s="357"/>
      <c r="B163" s="357"/>
      <c r="C163" s="357"/>
      <c r="D163" s="357"/>
      <c r="E163" s="357"/>
      <c r="F163" s="357"/>
      <c r="G163" s="357"/>
      <c r="H163" s="322"/>
      <c r="I163" s="322"/>
      <c r="J163" s="322"/>
      <c r="K163" s="322"/>
      <c r="L163" s="322"/>
      <c r="M163" s="322"/>
      <c r="N163" s="322"/>
      <c r="O163" s="322"/>
      <c r="P163" s="322"/>
      <c r="Q163" s="357"/>
      <c r="R163" s="357"/>
      <c r="S163" s="357"/>
      <c r="T163" s="357"/>
      <c r="U163" s="357"/>
    </row>
    <row r="164" spans="1:21" s="13" customFormat="1" x14ac:dyDescent="0.25">
      <c r="A164" s="357"/>
      <c r="B164" s="357"/>
      <c r="C164" s="357"/>
      <c r="D164" s="357"/>
      <c r="E164" s="357"/>
      <c r="F164" s="357"/>
      <c r="G164" s="357"/>
      <c r="H164" s="322"/>
      <c r="I164" s="322"/>
      <c r="J164" s="322"/>
      <c r="K164" s="322"/>
      <c r="L164" s="322"/>
      <c r="M164" s="322"/>
      <c r="N164" s="322"/>
      <c r="O164" s="322"/>
      <c r="P164" s="322"/>
      <c r="Q164" s="357"/>
      <c r="R164" s="357"/>
      <c r="S164" s="357"/>
      <c r="T164" s="357"/>
      <c r="U164" s="357"/>
    </row>
    <row r="165" spans="1:21" s="13" customFormat="1" x14ac:dyDescent="0.25">
      <c r="A165" s="357"/>
      <c r="B165" s="357"/>
      <c r="C165" s="357"/>
      <c r="D165" s="357"/>
      <c r="E165" s="357"/>
      <c r="F165" s="357"/>
      <c r="G165" s="357"/>
      <c r="H165" s="322"/>
      <c r="I165" s="322"/>
      <c r="J165" s="322"/>
      <c r="K165" s="322"/>
      <c r="L165" s="322"/>
      <c r="M165" s="322"/>
      <c r="N165" s="322"/>
      <c r="O165" s="322"/>
      <c r="P165" s="322"/>
      <c r="Q165" s="357"/>
      <c r="R165" s="357"/>
      <c r="S165" s="357"/>
      <c r="T165" s="357"/>
      <c r="U165" s="357"/>
    </row>
    <row r="166" spans="1:21" s="13" customFormat="1" x14ac:dyDescent="0.25">
      <c r="A166" s="357"/>
      <c r="B166" s="357"/>
      <c r="C166" s="357"/>
      <c r="D166" s="357"/>
      <c r="E166" s="357"/>
      <c r="F166" s="357"/>
      <c r="G166" s="357"/>
      <c r="H166" s="322"/>
      <c r="I166" s="322"/>
      <c r="J166" s="322"/>
      <c r="K166" s="322"/>
      <c r="L166" s="322"/>
      <c r="M166" s="322"/>
      <c r="N166" s="322"/>
      <c r="O166" s="322"/>
      <c r="P166" s="322"/>
      <c r="Q166" s="357"/>
      <c r="R166" s="357"/>
      <c r="S166" s="357"/>
      <c r="T166" s="357"/>
      <c r="U166" s="357"/>
    </row>
    <row r="167" spans="1:21" s="13" customFormat="1" x14ac:dyDescent="0.25">
      <c r="A167" s="357"/>
      <c r="B167" s="357"/>
      <c r="C167" s="357"/>
      <c r="D167" s="357"/>
      <c r="E167" s="357"/>
      <c r="F167" s="357"/>
      <c r="G167" s="357"/>
      <c r="H167" s="322"/>
      <c r="I167" s="322"/>
      <c r="J167" s="322"/>
      <c r="K167" s="322"/>
      <c r="L167" s="322"/>
      <c r="M167" s="322"/>
      <c r="N167" s="322"/>
      <c r="O167" s="322"/>
      <c r="P167" s="322"/>
      <c r="Q167" s="357"/>
      <c r="R167" s="357"/>
      <c r="S167" s="357"/>
      <c r="T167" s="357"/>
      <c r="U167" s="357"/>
    </row>
    <row r="168" spans="1:21" s="13" customFormat="1" x14ac:dyDescent="0.25">
      <c r="A168" s="357"/>
      <c r="B168" s="357"/>
      <c r="C168" s="357"/>
      <c r="D168" s="357"/>
      <c r="E168" s="357"/>
      <c r="F168" s="357"/>
      <c r="G168" s="357"/>
      <c r="H168" s="322"/>
      <c r="I168" s="322"/>
      <c r="J168" s="322"/>
      <c r="K168" s="322"/>
      <c r="L168" s="322"/>
      <c r="M168" s="322"/>
      <c r="N168" s="322"/>
      <c r="O168" s="322"/>
      <c r="P168" s="322"/>
      <c r="Q168" s="357"/>
      <c r="R168" s="357"/>
      <c r="S168" s="357"/>
      <c r="T168" s="357"/>
      <c r="U168" s="357"/>
    </row>
    <row r="169" spans="1:21" s="13" customFormat="1" x14ac:dyDescent="0.25">
      <c r="A169" s="357"/>
      <c r="B169" s="357"/>
      <c r="C169" s="357"/>
      <c r="D169" s="357"/>
      <c r="E169" s="357"/>
      <c r="F169" s="357"/>
      <c r="G169" s="357"/>
      <c r="H169" s="322"/>
      <c r="I169" s="322"/>
      <c r="J169" s="322"/>
      <c r="K169" s="322"/>
      <c r="L169" s="322"/>
      <c r="M169" s="322"/>
      <c r="N169" s="322"/>
      <c r="O169" s="322"/>
      <c r="P169" s="322"/>
      <c r="Q169" s="357"/>
      <c r="R169" s="357"/>
      <c r="S169" s="357"/>
      <c r="T169" s="357"/>
      <c r="U169" s="357"/>
    </row>
    <row r="170" spans="1:21" s="13" customFormat="1" x14ac:dyDescent="0.25"/>
    <row r="171" spans="1:21" s="13" customFormat="1" x14ac:dyDescent="0.25"/>
    <row r="172" spans="1:21" s="13" customFormat="1" x14ac:dyDescent="0.25"/>
    <row r="173" spans="1:21" s="13" customFormat="1" x14ac:dyDescent="0.25"/>
    <row r="174" spans="1:21" s="13" customFormat="1" x14ac:dyDescent="0.25"/>
    <row r="175" spans="1:21" s="13" customFormat="1" x14ac:dyDescent="0.25"/>
    <row r="176" spans="1:21" s="13" customFormat="1" x14ac:dyDescent="0.25"/>
    <row r="177" s="13" customFormat="1" x14ac:dyDescent="0.25"/>
    <row r="178" s="13" customFormat="1" x14ac:dyDescent="0.25"/>
    <row r="179" s="13" customFormat="1" x14ac:dyDescent="0.25"/>
    <row r="180" s="13" customFormat="1" x14ac:dyDescent="0.25"/>
    <row r="181" s="13" customFormat="1" x14ac:dyDescent="0.25"/>
    <row r="182" s="13" customFormat="1" x14ac:dyDescent="0.25"/>
    <row r="183" s="13" customFormat="1" x14ac:dyDescent="0.25"/>
    <row r="184" s="13" customFormat="1" x14ac:dyDescent="0.25"/>
    <row r="185" s="13" customFormat="1" x14ac:dyDescent="0.25"/>
    <row r="186" s="13" customFormat="1" x14ac:dyDescent="0.25"/>
    <row r="187" s="13" customFormat="1" x14ac:dyDescent="0.25"/>
    <row r="188" s="13" customFormat="1" x14ac:dyDescent="0.25"/>
    <row r="189" s="13" customFormat="1" x14ac:dyDescent="0.25"/>
    <row r="190" s="13" customFormat="1" x14ac:dyDescent="0.25"/>
    <row r="191" s="13" customFormat="1" x14ac:dyDescent="0.25"/>
    <row r="192" s="13" customFormat="1" x14ac:dyDescent="0.25"/>
    <row r="193" s="13" customFormat="1" x14ac:dyDescent="0.25"/>
    <row r="194" s="13" customFormat="1" x14ac:dyDescent="0.25"/>
    <row r="195" s="13" customFormat="1" x14ac:dyDescent="0.25"/>
    <row r="196" s="13" customFormat="1" x14ac:dyDescent="0.25"/>
    <row r="197" s="13" customFormat="1" x14ac:dyDescent="0.25"/>
    <row r="198" s="13" customFormat="1" x14ac:dyDescent="0.25"/>
    <row r="199" s="13" customFormat="1" x14ac:dyDescent="0.25"/>
    <row r="200" s="13" customFormat="1" x14ac:dyDescent="0.25"/>
    <row r="201" s="13" customFormat="1" x14ac:dyDescent="0.25"/>
    <row r="202" s="13" customFormat="1" x14ac:dyDescent="0.25"/>
    <row r="203" s="13" customFormat="1" x14ac:dyDescent="0.25"/>
    <row r="204" s="13" customFormat="1" x14ac:dyDescent="0.25"/>
    <row r="205" s="13" customFormat="1" x14ac:dyDescent="0.25"/>
    <row r="206" s="13" customFormat="1" x14ac:dyDescent="0.25"/>
    <row r="207" s="13" customFormat="1" x14ac:dyDescent="0.25"/>
    <row r="208" s="13" customFormat="1" x14ac:dyDescent="0.25"/>
    <row r="209" s="13" customFormat="1" x14ac:dyDescent="0.25"/>
    <row r="210" s="13" customFormat="1" x14ac:dyDescent="0.25"/>
    <row r="211" s="13" customFormat="1" x14ac:dyDescent="0.25"/>
    <row r="212" s="13" customFormat="1" x14ac:dyDescent="0.25"/>
    <row r="213" s="13" customFormat="1" x14ac:dyDescent="0.25"/>
    <row r="214" s="13" customFormat="1" x14ac:dyDescent="0.25"/>
    <row r="215" s="13" customFormat="1" x14ac:dyDescent="0.25"/>
    <row r="216" s="13" customFormat="1" x14ac:dyDescent="0.25"/>
    <row r="217" s="13" customFormat="1" x14ac:dyDescent="0.25"/>
    <row r="218" s="13" customFormat="1" x14ac:dyDescent="0.25"/>
    <row r="219" s="13" customFormat="1" x14ac:dyDescent="0.25"/>
    <row r="220" s="13" customFormat="1" x14ac:dyDescent="0.25"/>
    <row r="221" s="13" customFormat="1" x14ac:dyDescent="0.25"/>
    <row r="222" s="13" customFormat="1" x14ac:dyDescent="0.25"/>
    <row r="223" s="13" customFormat="1" x14ac:dyDescent="0.25"/>
    <row r="224" s="13" customFormat="1" x14ac:dyDescent="0.25"/>
    <row r="225" s="13" customFormat="1" x14ac:dyDescent="0.25"/>
    <row r="226" s="13" customFormat="1" x14ac:dyDescent="0.25"/>
    <row r="227" s="13" customFormat="1" x14ac:dyDescent="0.25"/>
    <row r="228" s="13" customFormat="1" x14ac:dyDescent="0.25"/>
    <row r="229" s="13" customFormat="1" x14ac:dyDescent="0.25"/>
    <row r="230" s="13" customFormat="1" x14ac:dyDescent="0.25"/>
    <row r="231" s="13" customFormat="1" x14ac:dyDescent="0.25"/>
    <row r="232" s="13" customFormat="1" x14ac:dyDescent="0.25"/>
    <row r="233" s="13" customFormat="1" x14ac:dyDescent="0.25"/>
    <row r="234" s="13" customFormat="1" x14ac:dyDescent="0.25"/>
    <row r="235" s="13" customFormat="1" x14ac:dyDescent="0.25"/>
    <row r="236" s="13" customFormat="1" x14ac:dyDescent="0.25"/>
    <row r="237" s="13" customFormat="1" x14ac:dyDescent="0.25"/>
    <row r="238" s="13" customFormat="1" x14ac:dyDescent="0.25"/>
    <row r="239" s="13" customFormat="1" x14ac:dyDescent="0.25"/>
    <row r="240" s="13" customFormat="1" x14ac:dyDescent="0.25"/>
    <row r="241" s="13" customFormat="1" x14ac:dyDescent="0.25"/>
    <row r="242" s="13" customFormat="1" x14ac:dyDescent="0.25"/>
    <row r="243" s="13" customFormat="1" x14ac:dyDescent="0.25"/>
    <row r="244" s="13" customFormat="1" x14ac:dyDescent="0.25"/>
    <row r="245" s="13" customFormat="1" x14ac:dyDescent="0.25"/>
    <row r="246" s="13" customFormat="1" x14ac:dyDescent="0.25"/>
    <row r="247" s="13" customFormat="1" x14ac:dyDescent="0.25"/>
    <row r="248" s="13" customFormat="1" x14ac:dyDescent="0.25"/>
    <row r="249" s="13" customFormat="1" x14ac:dyDescent="0.25"/>
    <row r="250" s="13" customFormat="1" x14ac:dyDescent="0.25"/>
    <row r="251" s="13" customFormat="1" x14ac:dyDescent="0.25"/>
    <row r="252" s="13" customFormat="1" x14ac:dyDescent="0.25"/>
    <row r="253" s="13" customFormat="1" x14ac:dyDescent="0.25"/>
    <row r="254" s="13" customFormat="1" x14ac:dyDescent="0.25"/>
    <row r="255" s="13" customFormat="1" x14ac:dyDescent="0.25"/>
    <row r="256" s="13" customFormat="1" x14ac:dyDescent="0.25"/>
    <row r="257" s="13" customFormat="1" x14ac:dyDescent="0.25"/>
    <row r="258" s="13" customFormat="1" x14ac:dyDescent="0.25"/>
    <row r="259" s="13" customFormat="1" x14ac:dyDescent="0.25"/>
    <row r="260" s="13" customFormat="1" x14ac:dyDescent="0.25"/>
    <row r="261" s="13" customFormat="1" x14ac:dyDescent="0.25"/>
    <row r="262" s="13" customFormat="1" x14ac:dyDescent="0.25"/>
    <row r="263" s="13" customFormat="1" x14ac:dyDescent="0.25"/>
    <row r="264" s="13" customFormat="1" x14ac:dyDescent="0.25"/>
    <row r="265" s="13" customFormat="1" x14ac:dyDescent="0.25"/>
    <row r="266" s="13" customFormat="1" x14ac:dyDescent="0.25"/>
    <row r="267" s="13" customFormat="1" x14ac:dyDescent="0.25"/>
    <row r="268" s="13" customFormat="1" x14ac:dyDescent="0.25"/>
    <row r="269" s="13" customFormat="1" x14ac:dyDescent="0.25"/>
    <row r="270" s="13" customFormat="1" x14ac:dyDescent="0.25"/>
    <row r="271" s="13" customFormat="1" x14ac:dyDescent="0.25"/>
    <row r="272" s="13" customFormat="1" x14ac:dyDescent="0.25"/>
    <row r="273" s="13" customFormat="1" x14ac:dyDescent="0.25"/>
    <row r="274" s="13" customFormat="1" x14ac:dyDescent="0.25"/>
    <row r="275" s="13" customFormat="1" x14ac:dyDescent="0.25"/>
    <row r="276" s="13" customFormat="1" x14ac:dyDescent="0.25"/>
    <row r="277" s="13" customFormat="1" x14ac:dyDescent="0.25"/>
    <row r="278" s="13" customFormat="1" x14ac:dyDescent="0.25"/>
    <row r="279" s="13" customFormat="1" x14ac:dyDescent="0.25"/>
    <row r="280" s="13" customFormat="1" x14ac:dyDescent="0.25"/>
    <row r="281" s="13" customFormat="1" x14ac:dyDescent="0.25"/>
    <row r="282" s="13" customFormat="1" x14ac:dyDescent="0.25"/>
    <row r="283" s="13" customFormat="1" x14ac:dyDescent="0.25"/>
    <row r="284" s="13" customFormat="1" x14ac:dyDescent="0.25"/>
    <row r="285" s="13" customFormat="1" x14ac:dyDescent="0.25"/>
    <row r="286" s="13" customFormat="1" x14ac:dyDescent="0.25"/>
    <row r="287" s="13" customFormat="1" x14ac:dyDescent="0.25"/>
    <row r="288" s="13" customFormat="1" x14ac:dyDescent="0.25"/>
    <row r="289" s="13" customFormat="1" x14ac:dyDescent="0.25"/>
    <row r="290" s="13" customFormat="1" x14ac:dyDescent="0.25"/>
    <row r="291" s="13" customFormat="1" x14ac:dyDescent="0.25"/>
    <row r="292" s="13" customFormat="1" x14ac:dyDescent="0.25"/>
    <row r="293" s="13" customFormat="1" x14ac:dyDescent="0.25"/>
    <row r="294" s="13" customFormat="1" x14ac:dyDescent="0.25"/>
    <row r="295" s="13" customFormat="1" x14ac:dyDescent="0.25"/>
    <row r="296" s="13" customFormat="1" x14ac:dyDescent="0.25"/>
    <row r="297" s="13" customFormat="1" x14ac:dyDescent="0.25"/>
    <row r="298" s="13" customFormat="1" x14ac:dyDescent="0.25"/>
    <row r="299" s="13" customFormat="1" x14ac:dyDescent="0.25"/>
    <row r="300" s="13" customFormat="1" x14ac:dyDescent="0.25"/>
    <row r="301" s="13" customFormat="1" x14ac:dyDescent="0.25"/>
    <row r="302" s="13" customFormat="1" x14ac:dyDescent="0.25"/>
    <row r="303" s="13" customFormat="1" x14ac:dyDescent="0.25"/>
    <row r="304" s="13" customFormat="1" x14ac:dyDescent="0.25"/>
    <row r="305" s="13" customFormat="1" x14ac:dyDescent="0.25"/>
    <row r="306" s="13" customFormat="1" x14ac:dyDescent="0.25"/>
    <row r="307" s="13" customFormat="1" x14ac:dyDescent="0.25"/>
    <row r="308" s="13" customFormat="1" x14ac:dyDescent="0.25"/>
    <row r="309" s="13" customFormat="1" x14ac:dyDescent="0.25"/>
    <row r="310" s="13" customFormat="1" x14ac:dyDescent="0.25"/>
    <row r="311" s="13" customFormat="1" x14ac:dyDescent="0.25"/>
    <row r="312" s="13" customFormat="1" x14ac:dyDescent="0.25"/>
    <row r="313" s="13" customFormat="1" x14ac:dyDescent="0.25"/>
    <row r="314" s="13" customFormat="1" x14ac:dyDescent="0.25"/>
    <row r="315" s="13" customFormat="1" x14ac:dyDescent="0.25"/>
    <row r="316" s="13" customFormat="1" x14ac:dyDescent="0.25"/>
    <row r="317" s="13" customFormat="1" x14ac:dyDescent="0.25"/>
    <row r="318" s="13" customFormat="1" x14ac:dyDescent="0.25"/>
    <row r="319" s="13" customFormat="1" x14ac:dyDescent="0.25"/>
    <row r="320" s="13" customFormat="1" x14ac:dyDescent="0.25"/>
    <row r="321" s="13" customFormat="1" x14ac:dyDescent="0.25"/>
    <row r="322" s="13" customFormat="1" x14ac:dyDescent="0.25"/>
    <row r="323" s="13" customFormat="1" x14ac:dyDescent="0.25"/>
    <row r="324" s="13" customFormat="1" x14ac:dyDescent="0.25"/>
    <row r="325" s="13" customFormat="1" x14ac:dyDescent="0.25"/>
    <row r="326" s="13" customFormat="1" x14ac:dyDescent="0.25"/>
    <row r="327" s="13" customFormat="1" x14ac:dyDescent="0.25"/>
    <row r="328" s="13" customFormat="1" x14ac:dyDescent="0.25"/>
    <row r="329" s="13" customFormat="1" x14ac:dyDescent="0.25"/>
    <row r="330" s="13" customFormat="1" x14ac:dyDescent="0.25"/>
    <row r="331" s="13" customFormat="1" x14ac:dyDescent="0.25"/>
    <row r="332" s="13" customFormat="1" x14ac:dyDescent="0.25"/>
    <row r="333" s="13" customFormat="1" x14ac:dyDescent="0.25"/>
    <row r="334" s="13" customFormat="1" x14ac:dyDescent="0.25"/>
    <row r="335" s="13" customFormat="1" x14ac:dyDescent="0.25"/>
    <row r="336" s="13" customFormat="1" x14ac:dyDescent="0.25"/>
    <row r="337" s="13" customFormat="1" x14ac:dyDescent="0.25"/>
    <row r="338" s="13" customFormat="1" x14ac:dyDescent="0.25"/>
    <row r="339" s="13" customFormat="1" x14ac:dyDescent="0.25"/>
    <row r="340" s="13" customFormat="1" x14ac:dyDescent="0.25"/>
    <row r="341" s="13" customFormat="1" x14ac:dyDescent="0.25"/>
    <row r="342" s="13" customFormat="1" x14ac:dyDescent="0.25"/>
    <row r="343" s="13" customFormat="1" x14ac:dyDescent="0.25"/>
    <row r="344" s="13" customFormat="1" x14ac:dyDescent="0.25"/>
    <row r="345" s="13" customFormat="1" x14ac:dyDescent="0.25"/>
    <row r="346" s="13" customFormat="1" x14ac:dyDescent="0.25"/>
    <row r="347" s="13" customFormat="1" x14ac:dyDescent="0.25"/>
    <row r="348" s="13" customFormat="1" x14ac:dyDescent="0.25"/>
    <row r="349" s="13" customFormat="1" x14ac:dyDescent="0.25"/>
    <row r="350" s="13" customFormat="1" x14ac:dyDescent="0.25"/>
    <row r="351" s="13" customFormat="1" x14ac:dyDescent="0.25"/>
    <row r="352" s="13" customFormat="1" x14ac:dyDescent="0.25"/>
    <row r="353" s="13" customFormat="1" x14ac:dyDescent="0.25"/>
    <row r="354" s="13" customFormat="1" x14ac:dyDescent="0.25"/>
    <row r="355" s="13" customFormat="1" x14ac:dyDescent="0.25"/>
    <row r="356" s="13" customFormat="1" x14ac:dyDescent="0.25"/>
    <row r="357" s="13" customFormat="1" x14ac:dyDescent="0.25"/>
    <row r="358" s="13" customFormat="1" x14ac:dyDescent="0.25"/>
    <row r="359" s="13" customFormat="1" x14ac:dyDescent="0.25"/>
    <row r="360" s="13" customFormat="1" x14ac:dyDescent="0.25"/>
    <row r="361" s="13" customFormat="1" x14ac:dyDescent="0.25"/>
    <row r="362" s="13" customFormat="1" x14ac:dyDescent="0.25"/>
    <row r="363" s="13" customFormat="1" x14ac:dyDescent="0.25"/>
    <row r="364" s="13" customFormat="1" x14ac:dyDescent="0.25"/>
    <row r="365" s="13" customFormat="1" x14ac:dyDescent="0.25"/>
    <row r="366" s="13" customFormat="1" x14ac:dyDescent="0.25"/>
    <row r="367" s="13" customFormat="1" x14ac:dyDescent="0.25"/>
    <row r="368" s="13" customFormat="1" x14ac:dyDescent="0.25"/>
    <row r="369" s="13" customFormat="1" x14ac:dyDescent="0.25"/>
    <row r="370" s="13" customFormat="1" x14ac:dyDescent="0.25"/>
    <row r="371" s="13" customFormat="1" x14ac:dyDescent="0.25"/>
    <row r="372" s="13" customFormat="1" x14ac:dyDescent="0.25"/>
    <row r="373" s="13" customFormat="1" x14ac:dyDescent="0.25"/>
    <row r="374" s="13" customFormat="1" x14ac:dyDescent="0.25"/>
    <row r="375" s="13" customFormat="1" x14ac:dyDescent="0.25"/>
    <row r="376" s="13" customFormat="1" x14ac:dyDescent="0.25"/>
    <row r="377" s="13" customFormat="1" x14ac:dyDescent="0.25"/>
    <row r="378" s="13" customFormat="1" x14ac:dyDescent="0.25"/>
    <row r="379" s="13" customFormat="1" x14ac:dyDescent="0.25"/>
    <row r="380" s="13" customFormat="1" x14ac:dyDescent="0.25"/>
    <row r="381" s="13" customFormat="1" x14ac:dyDescent="0.25"/>
    <row r="382" s="13" customFormat="1" x14ac:dyDescent="0.25"/>
    <row r="383" s="13" customFormat="1" x14ac:dyDescent="0.25"/>
    <row r="384" s="13" customFormat="1" x14ac:dyDescent="0.25"/>
    <row r="385" s="13" customFormat="1" x14ac:dyDescent="0.25"/>
    <row r="386" s="13" customFormat="1" x14ac:dyDescent="0.25"/>
    <row r="387" s="13" customFormat="1" x14ac:dyDescent="0.25"/>
    <row r="388" s="13" customFormat="1" x14ac:dyDescent="0.25"/>
    <row r="389" s="13" customFormat="1" x14ac:dyDescent="0.25"/>
    <row r="390" s="13" customFormat="1" x14ac:dyDescent="0.25"/>
    <row r="391" s="13" customFormat="1" x14ac:dyDescent="0.25"/>
    <row r="392" s="13" customFormat="1" x14ac:dyDescent="0.25"/>
    <row r="393" s="13" customFormat="1" x14ac:dyDescent="0.25"/>
    <row r="394" s="13" customFormat="1" x14ac:dyDescent="0.25"/>
    <row r="395" s="13" customFormat="1" x14ac:dyDescent="0.25"/>
    <row r="396" s="13" customFormat="1" x14ac:dyDescent="0.25"/>
    <row r="397" s="13" customFormat="1" x14ac:dyDescent="0.25"/>
    <row r="398" s="13" customFormat="1" x14ac:dyDescent="0.25"/>
    <row r="399" s="13" customFormat="1" x14ac:dyDescent="0.25"/>
    <row r="400"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13" customFormat="1" x14ac:dyDescent="0.25"/>
    <row r="409" s="13" customFormat="1" x14ac:dyDescent="0.25"/>
    <row r="410" s="13" customFormat="1" x14ac:dyDescent="0.25"/>
    <row r="411" s="13" customFormat="1" x14ac:dyDescent="0.25"/>
    <row r="412" s="13" customFormat="1" x14ac:dyDescent="0.25"/>
    <row r="413" s="13" customFormat="1" x14ac:dyDescent="0.25"/>
    <row r="414" s="13" customFormat="1" x14ac:dyDescent="0.25"/>
    <row r="415" s="13" customFormat="1" x14ac:dyDescent="0.25"/>
    <row r="416" s="13" customFormat="1" x14ac:dyDescent="0.25"/>
    <row r="417" s="13" customFormat="1" x14ac:dyDescent="0.25"/>
    <row r="418" s="13" customFormat="1" x14ac:dyDescent="0.25"/>
    <row r="419" s="13" customFormat="1" x14ac:dyDescent="0.25"/>
    <row r="420" s="13" customFormat="1" x14ac:dyDescent="0.25"/>
    <row r="421" s="13" customFormat="1" x14ac:dyDescent="0.25"/>
    <row r="422" s="13" customFormat="1" x14ac:dyDescent="0.25"/>
    <row r="423" s="13" customFormat="1" x14ac:dyDescent="0.25"/>
    <row r="424" s="13" customFormat="1" x14ac:dyDescent="0.25"/>
    <row r="425" s="13" customFormat="1" x14ac:dyDescent="0.25"/>
    <row r="426" s="13" customFormat="1" x14ac:dyDescent="0.25"/>
    <row r="427" s="13" customFormat="1" x14ac:dyDescent="0.25"/>
    <row r="428" s="13" customFormat="1" x14ac:dyDescent="0.25"/>
    <row r="429" s="13" customFormat="1" x14ac:dyDescent="0.25"/>
    <row r="430" s="13" customFormat="1" x14ac:dyDescent="0.25"/>
    <row r="431" s="13" customFormat="1" x14ac:dyDescent="0.25"/>
    <row r="432" s="13" customFormat="1" x14ac:dyDescent="0.25"/>
    <row r="433" s="13" customFormat="1" x14ac:dyDescent="0.25"/>
    <row r="434" s="13" customFormat="1" x14ac:dyDescent="0.25"/>
    <row r="435" s="13" customFormat="1" x14ac:dyDescent="0.25"/>
    <row r="436" s="13" customFormat="1" x14ac:dyDescent="0.25"/>
    <row r="437" s="13" customFormat="1" x14ac:dyDescent="0.25"/>
    <row r="438" s="13" customFormat="1" x14ac:dyDescent="0.25"/>
    <row r="439" s="13" customFormat="1" x14ac:dyDescent="0.25"/>
    <row r="440" s="13" customFormat="1" x14ac:dyDescent="0.25"/>
    <row r="441" s="13" customFormat="1" x14ac:dyDescent="0.25"/>
    <row r="442" s="13" customFormat="1" x14ac:dyDescent="0.25"/>
    <row r="443" s="13" customFormat="1" x14ac:dyDescent="0.25"/>
    <row r="444" s="13" customFormat="1" x14ac:dyDescent="0.25"/>
    <row r="445" s="13" customFormat="1" x14ac:dyDescent="0.25"/>
    <row r="446" s="13" customFormat="1" x14ac:dyDescent="0.25"/>
    <row r="447" s="13" customFormat="1" x14ac:dyDescent="0.25"/>
    <row r="448" s="13" customFormat="1" x14ac:dyDescent="0.25"/>
    <row r="449" s="13" customFormat="1" x14ac:dyDescent="0.25"/>
    <row r="450" s="13" customFormat="1" x14ac:dyDescent="0.25"/>
    <row r="451" s="13" customFormat="1" x14ac:dyDescent="0.25"/>
    <row r="452" s="13" customFormat="1" x14ac:dyDescent="0.25"/>
    <row r="453" s="13" customFormat="1" x14ac:dyDescent="0.25"/>
    <row r="454" s="13" customFormat="1" x14ac:dyDescent="0.25"/>
    <row r="455" s="13" customFormat="1" x14ac:dyDescent="0.25"/>
    <row r="456" s="13" customFormat="1" x14ac:dyDescent="0.25"/>
    <row r="457" s="13" customFormat="1" x14ac:dyDescent="0.25"/>
    <row r="458" s="13" customFormat="1" x14ac:dyDescent="0.25"/>
    <row r="459" s="13" customFormat="1" x14ac:dyDescent="0.25"/>
    <row r="460" s="13" customFormat="1" x14ac:dyDescent="0.25"/>
    <row r="461" s="13" customFormat="1" x14ac:dyDescent="0.25"/>
    <row r="462" s="13" customFormat="1" x14ac:dyDescent="0.25"/>
    <row r="463" s="13" customFormat="1" x14ac:dyDescent="0.25"/>
    <row r="464" s="13" customFormat="1" x14ac:dyDescent="0.25"/>
    <row r="465" s="13" customFormat="1" x14ac:dyDescent="0.25"/>
    <row r="466" s="13" customFormat="1" x14ac:dyDescent="0.25"/>
    <row r="467" s="13" customFormat="1" x14ac:dyDescent="0.25"/>
    <row r="468" s="13" customFormat="1" x14ac:dyDescent="0.25"/>
    <row r="469" s="13" customFormat="1" x14ac:dyDescent="0.25"/>
    <row r="470" s="13" customFormat="1" x14ac:dyDescent="0.25"/>
    <row r="471" s="13" customFormat="1" x14ac:dyDescent="0.25"/>
    <row r="472" s="13" customFormat="1" x14ac:dyDescent="0.25"/>
    <row r="473" s="13" customFormat="1" x14ac:dyDescent="0.25"/>
    <row r="474" s="13" customFormat="1" x14ac:dyDescent="0.25"/>
    <row r="475" s="13" customFormat="1" x14ac:dyDescent="0.25"/>
    <row r="476" s="13" customFormat="1" x14ac:dyDescent="0.25"/>
    <row r="477" s="13" customFormat="1" x14ac:dyDescent="0.25"/>
    <row r="478" s="13" customFormat="1" x14ac:dyDescent="0.25"/>
    <row r="479" s="13" customFormat="1" x14ac:dyDescent="0.25"/>
    <row r="480" s="13" customFormat="1" x14ac:dyDescent="0.25"/>
    <row r="481" s="13" customFormat="1" x14ac:dyDescent="0.25"/>
    <row r="482" s="13" customFormat="1" x14ac:dyDescent="0.25"/>
    <row r="483" s="13" customFormat="1" x14ac:dyDescent="0.25"/>
    <row r="484" s="13" customFormat="1" x14ac:dyDescent="0.25"/>
    <row r="485" s="13" customFormat="1" x14ac:dyDescent="0.25"/>
    <row r="486" s="13" customFormat="1" x14ac:dyDescent="0.25"/>
    <row r="487" s="13" customFormat="1" x14ac:dyDescent="0.25"/>
    <row r="488" s="13" customFormat="1" x14ac:dyDescent="0.25"/>
    <row r="489" s="13" customFormat="1" x14ac:dyDescent="0.25"/>
    <row r="490" s="13" customFormat="1" x14ac:dyDescent="0.25"/>
    <row r="491" s="13" customFormat="1" x14ac:dyDescent="0.25"/>
    <row r="492" s="13" customFormat="1" x14ac:dyDescent="0.25"/>
    <row r="493" s="13" customFormat="1" x14ac:dyDescent="0.25"/>
    <row r="494" s="13" customFormat="1" x14ac:dyDescent="0.25"/>
    <row r="495" s="13" customFormat="1" x14ac:dyDescent="0.25"/>
    <row r="496" s="13" customFormat="1" x14ac:dyDescent="0.25"/>
    <row r="497" s="13" customFormat="1" x14ac:dyDescent="0.25"/>
    <row r="498" s="13" customFormat="1" x14ac:dyDescent="0.25"/>
    <row r="499" s="13" customFormat="1" x14ac:dyDescent="0.25"/>
    <row r="500" s="13" customFormat="1" x14ac:dyDescent="0.25"/>
    <row r="501" s="13" customFormat="1" x14ac:dyDescent="0.25"/>
    <row r="502" s="13" customFormat="1" x14ac:dyDescent="0.25"/>
    <row r="503" s="13" customFormat="1" x14ac:dyDescent="0.25"/>
    <row r="504" s="13" customFormat="1" x14ac:dyDescent="0.25"/>
    <row r="505" s="13" customFormat="1" x14ac:dyDescent="0.25"/>
    <row r="506" s="13" customFormat="1" x14ac:dyDescent="0.25"/>
    <row r="507" s="13" customFormat="1" x14ac:dyDescent="0.25"/>
    <row r="508" s="13" customFormat="1" x14ac:dyDescent="0.25"/>
    <row r="509" s="13" customFormat="1" x14ac:dyDescent="0.25"/>
    <row r="510" s="13" customFormat="1" x14ac:dyDescent="0.25"/>
    <row r="511" s="13" customFormat="1" x14ac:dyDescent="0.25"/>
    <row r="512" s="13" customFormat="1" x14ac:dyDescent="0.25"/>
    <row r="513" s="13" customFormat="1" x14ac:dyDescent="0.25"/>
    <row r="514" s="13" customFormat="1" x14ac:dyDescent="0.25"/>
    <row r="515" s="13" customFormat="1" x14ac:dyDescent="0.25"/>
    <row r="516" s="13" customFormat="1" x14ac:dyDescent="0.25"/>
    <row r="517" s="13" customFormat="1" x14ac:dyDescent="0.25"/>
    <row r="518" s="13" customFormat="1" x14ac:dyDescent="0.25"/>
    <row r="519" s="13" customFormat="1" x14ac:dyDescent="0.25"/>
    <row r="520" s="13" customFormat="1" x14ac:dyDescent="0.25"/>
    <row r="521" s="13" customFormat="1" x14ac:dyDescent="0.25"/>
    <row r="522" s="13" customFormat="1" x14ac:dyDescent="0.25"/>
    <row r="523" s="13" customFormat="1" x14ac:dyDescent="0.25"/>
    <row r="524" s="13" customFormat="1" x14ac:dyDescent="0.25"/>
    <row r="525" s="13" customFormat="1" x14ac:dyDescent="0.25"/>
    <row r="526" s="13" customFormat="1" x14ac:dyDescent="0.25"/>
    <row r="527" s="13" customFormat="1" x14ac:dyDescent="0.25"/>
    <row r="528" s="13" customFormat="1" x14ac:dyDescent="0.25"/>
    <row r="529" s="13" customFormat="1" x14ac:dyDescent="0.25"/>
    <row r="530" s="13" customFormat="1" x14ac:dyDescent="0.25"/>
    <row r="531" s="13" customFormat="1" x14ac:dyDescent="0.25"/>
    <row r="532" s="13" customFormat="1" x14ac:dyDescent="0.25"/>
    <row r="533" s="13" customFormat="1" x14ac:dyDescent="0.25"/>
    <row r="534" s="13" customFormat="1" x14ac:dyDescent="0.25"/>
    <row r="535" s="13" customFormat="1" x14ac:dyDescent="0.25"/>
    <row r="536" s="13" customFormat="1" x14ac:dyDescent="0.25"/>
    <row r="537" s="13" customFormat="1" x14ac:dyDescent="0.25"/>
    <row r="538" s="13" customFormat="1" x14ac:dyDescent="0.25"/>
    <row r="539" s="13" customFormat="1" x14ac:dyDescent="0.25"/>
    <row r="540" s="13" customFormat="1" x14ac:dyDescent="0.25"/>
    <row r="541" s="13" customFormat="1" x14ac:dyDescent="0.25"/>
    <row r="542" s="13" customFormat="1" x14ac:dyDescent="0.25"/>
    <row r="543" s="13" customFormat="1" x14ac:dyDescent="0.25"/>
    <row r="544" s="13" customFormat="1" x14ac:dyDescent="0.25"/>
    <row r="545" s="13" customFormat="1" x14ac:dyDescent="0.25"/>
    <row r="546" s="13" customFormat="1" x14ac:dyDescent="0.25"/>
    <row r="547" s="13" customFormat="1" x14ac:dyDescent="0.25"/>
    <row r="548" s="13" customFormat="1" x14ac:dyDescent="0.25"/>
    <row r="549" s="13" customFormat="1" x14ac:dyDescent="0.25"/>
    <row r="550" s="13" customFormat="1" x14ac:dyDescent="0.25"/>
    <row r="551" s="13" customFormat="1" x14ac:dyDescent="0.25"/>
    <row r="552" s="13" customFormat="1" x14ac:dyDescent="0.25"/>
    <row r="553" s="13" customFormat="1" x14ac:dyDescent="0.25"/>
    <row r="554" s="13" customFormat="1" x14ac:dyDescent="0.25"/>
    <row r="555" s="13" customFormat="1" x14ac:dyDescent="0.25"/>
    <row r="556" s="13" customFormat="1" x14ac:dyDescent="0.25"/>
    <row r="557" s="13" customFormat="1" x14ac:dyDescent="0.25"/>
    <row r="558" s="13" customFormat="1" x14ac:dyDescent="0.25"/>
    <row r="559" s="13" customFormat="1" x14ac:dyDescent="0.25"/>
    <row r="560" s="13" customFormat="1" x14ac:dyDescent="0.25"/>
    <row r="561" s="13" customFormat="1" x14ac:dyDescent="0.25"/>
    <row r="562" s="13" customFormat="1" x14ac:dyDescent="0.25"/>
    <row r="563" s="13" customFormat="1" x14ac:dyDescent="0.25"/>
    <row r="564" s="13" customFormat="1" x14ac:dyDescent="0.25"/>
    <row r="565" s="13" customFormat="1" x14ac:dyDescent="0.25"/>
    <row r="566" s="13" customFormat="1" x14ac:dyDescent="0.25"/>
    <row r="567" s="13" customFormat="1" x14ac:dyDescent="0.25"/>
    <row r="568" s="13" customFormat="1" x14ac:dyDescent="0.25"/>
    <row r="569" s="13" customFormat="1" x14ac:dyDescent="0.25"/>
    <row r="570" s="13" customFormat="1" x14ac:dyDescent="0.25"/>
    <row r="571" s="13" customFormat="1" x14ac:dyDescent="0.25"/>
    <row r="572" s="13" customFormat="1" x14ac:dyDescent="0.25"/>
    <row r="573" s="13" customFormat="1" x14ac:dyDescent="0.25"/>
    <row r="574" s="13" customFormat="1" x14ac:dyDescent="0.25"/>
    <row r="575" s="13" customFormat="1" x14ac:dyDescent="0.25"/>
    <row r="576" s="13" customFormat="1" x14ac:dyDescent="0.25"/>
    <row r="577" s="13" customFormat="1" x14ac:dyDescent="0.25"/>
    <row r="578" s="13" customFormat="1" x14ac:dyDescent="0.25"/>
    <row r="579" s="13" customFormat="1" x14ac:dyDescent="0.25"/>
    <row r="580" s="13" customFormat="1" x14ac:dyDescent="0.25"/>
    <row r="581" s="13" customFormat="1" x14ac:dyDescent="0.25"/>
    <row r="582" s="13" customFormat="1" x14ac:dyDescent="0.25"/>
    <row r="583" s="13" customFormat="1" x14ac:dyDescent="0.25"/>
    <row r="584" s="13" customFormat="1" x14ac:dyDescent="0.25"/>
    <row r="585" s="13" customFormat="1" x14ac:dyDescent="0.25"/>
    <row r="586" s="13" customFormat="1" x14ac:dyDescent="0.25"/>
    <row r="587" s="13" customFormat="1" x14ac:dyDescent="0.25"/>
    <row r="588" s="13" customFormat="1" x14ac:dyDescent="0.25"/>
    <row r="589" s="13" customFormat="1" x14ac:dyDescent="0.25"/>
    <row r="590" s="13" customFormat="1" x14ac:dyDescent="0.25"/>
    <row r="591" s="13" customFormat="1" x14ac:dyDescent="0.25"/>
    <row r="592" s="13" customFormat="1" x14ac:dyDescent="0.25"/>
    <row r="593" s="13" customFormat="1" x14ac:dyDescent="0.25"/>
    <row r="594" s="13" customFormat="1" x14ac:dyDescent="0.25"/>
    <row r="595" s="13" customFormat="1" x14ac:dyDescent="0.25"/>
    <row r="596" s="13" customFormat="1" x14ac:dyDescent="0.25"/>
    <row r="597" s="13" customFormat="1" x14ac:dyDescent="0.25"/>
    <row r="598" s="13" customFormat="1" x14ac:dyDescent="0.25"/>
    <row r="599" s="13" customFormat="1" x14ac:dyDescent="0.25"/>
    <row r="600" s="13" customFormat="1" x14ac:dyDescent="0.25"/>
    <row r="601" s="13" customFormat="1" x14ac:dyDescent="0.25"/>
    <row r="602" s="13" customFormat="1" x14ac:dyDescent="0.25"/>
    <row r="603" s="13" customFormat="1" x14ac:dyDescent="0.25"/>
    <row r="604" s="13" customFormat="1" x14ac:dyDescent="0.25"/>
    <row r="605" s="13" customFormat="1" x14ac:dyDescent="0.25"/>
    <row r="606" s="13" customFormat="1" x14ac:dyDescent="0.25"/>
    <row r="607" s="13" customFormat="1" x14ac:dyDescent="0.25"/>
    <row r="608" s="13" customFormat="1" x14ac:dyDescent="0.25"/>
    <row r="609" s="13" customFormat="1" x14ac:dyDescent="0.25"/>
    <row r="610" s="13" customFormat="1" x14ac:dyDescent="0.25"/>
    <row r="611" s="13" customFormat="1" x14ac:dyDescent="0.25"/>
    <row r="612" s="13" customFormat="1" x14ac:dyDescent="0.25"/>
    <row r="613" s="13" customFormat="1" x14ac:dyDescent="0.25"/>
    <row r="614" s="13" customFormat="1" x14ac:dyDescent="0.25"/>
    <row r="615" s="13" customFormat="1" x14ac:dyDescent="0.25"/>
    <row r="616" s="13" customFormat="1" x14ac:dyDescent="0.25"/>
    <row r="617" s="13" customFormat="1" x14ac:dyDescent="0.25"/>
    <row r="618" s="13" customFormat="1" x14ac:dyDescent="0.25"/>
    <row r="619" s="13" customFormat="1" x14ac:dyDescent="0.25"/>
    <row r="620" s="13" customFormat="1" x14ac:dyDescent="0.25"/>
    <row r="621" s="13" customFormat="1" x14ac:dyDescent="0.25"/>
    <row r="622" s="13" customFormat="1" x14ac:dyDescent="0.25"/>
    <row r="623" s="13" customFormat="1" x14ac:dyDescent="0.25"/>
    <row r="624" s="13" customFormat="1" x14ac:dyDescent="0.25"/>
    <row r="625" s="13" customFormat="1" x14ac:dyDescent="0.25"/>
    <row r="626" s="13" customFormat="1" x14ac:dyDescent="0.25"/>
    <row r="627" s="13" customFormat="1" x14ac:dyDescent="0.25"/>
    <row r="628" s="13" customFormat="1" x14ac:dyDescent="0.25"/>
    <row r="629" s="13" customFormat="1" x14ac:dyDescent="0.25"/>
    <row r="630" s="13" customFormat="1" x14ac:dyDescent="0.25"/>
    <row r="631" s="13" customFormat="1" x14ac:dyDescent="0.25"/>
    <row r="632" s="13" customFormat="1" x14ac:dyDescent="0.25"/>
    <row r="633" s="13" customFormat="1" x14ac:dyDescent="0.25"/>
    <row r="634" s="13" customFormat="1" x14ac:dyDescent="0.25"/>
    <row r="635" s="13" customFormat="1" x14ac:dyDescent="0.25"/>
    <row r="636" s="13" customFormat="1" x14ac:dyDescent="0.25"/>
    <row r="637" s="13" customFormat="1" x14ac:dyDescent="0.25"/>
    <row r="638" s="13" customFormat="1" x14ac:dyDescent="0.25"/>
    <row r="639" s="13" customFormat="1" x14ac:dyDescent="0.25"/>
    <row r="640" s="13" customFormat="1" x14ac:dyDescent="0.25"/>
    <row r="641" s="13" customFormat="1" x14ac:dyDescent="0.25"/>
    <row r="642" s="13" customFormat="1" x14ac:dyDescent="0.25"/>
    <row r="643" s="13" customFormat="1" x14ac:dyDescent="0.25"/>
    <row r="644" s="13" customFormat="1" x14ac:dyDescent="0.25"/>
    <row r="645" s="13" customFormat="1" x14ac:dyDescent="0.25"/>
    <row r="646" s="13" customFormat="1" x14ac:dyDescent="0.25"/>
    <row r="647" s="13" customFormat="1" x14ac:dyDescent="0.25"/>
    <row r="648" s="13" customFormat="1" x14ac:dyDescent="0.25"/>
    <row r="649" s="13" customFormat="1" x14ac:dyDescent="0.25"/>
    <row r="650" s="13" customFormat="1" x14ac:dyDescent="0.25"/>
    <row r="651" s="13" customFormat="1" x14ac:dyDescent="0.25"/>
    <row r="652" s="13" customFormat="1" x14ac:dyDescent="0.25"/>
    <row r="653" s="13" customFormat="1" x14ac:dyDescent="0.25"/>
    <row r="654" s="13" customFormat="1" x14ac:dyDescent="0.25"/>
    <row r="655" s="13" customFormat="1" x14ac:dyDescent="0.25"/>
    <row r="656" s="13" customFormat="1" x14ac:dyDescent="0.25"/>
    <row r="657" s="13" customFormat="1" x14ac:dyDescent="0.25"/>
    <row r="658" s="13" customFormat="1" x14ac:dyDescent="0.25"/>
    <row r="659" s="13" customFormat="1" x14ac:dyDescent="0.25"/>
    <row r="660" s="13" customFormat="1" x14ac:dyDescent="0.25"/>
    <row r="661" s="13" customFormat="1" x14ac:dyDescent="0.25"/>
    <row r="662" s="13" customFormat="1" x14ac:dyDescent="0.25"/>
    <row r="663" s="13" customFormat="1" x14ac:dyDescent="0.25"/>
    <row r="664" s="13" customFormat="1" x14ac:dyDescent="0.25"/>
    <row r="665" s="13" customFormat="1" x14ac:dyDescent="0.25"/>
    <row r="666" s="13" customFormat="1" x14ac:dyDescent="0.25"/>
    <row r="667" s="13" customFormat="1" x14ac:dyDescent="0.25"/>
    <row r="668" s="13" customFormat="1" x14ac:dyDescent="0.25"/>
    <row r="669" s="13" customFormat="1" x14ac:dyDescent="0.25"/>
    <row r="670" s="13" customFormat="1" x14ac:dyDescent="0.25"/>
    <row r="671" s="13" customFormat="1" x14ac:dyDescent="0.25"/>
    <row r="672" s="13" customFormat="1" x14ac:dyDescent="0.25"/>
    <row r="673" s="13" customFormat="1" x14ac:dyDescent="0.25"/>
    <row r="674" s="13" customFormat="1" x14ac:dyDescent="0.25"/>
    <row r="675" s="13" customFormat="1" x14ac:dyDescent="0.25"/>
    <row r="676" s="13" customFormat="1" x14ac:dyDescent="0.25"/>
    <row r="677" s="13" customFormat="1" x14ac:dyDescent="0.25"/>
    <row r="678" s="13" customFormat="1" x14ac:dyDescent="0.25"/>
    <row r="679" s="13" customFormat="1" x14ac:dyDescent="0.25"/>
    <row r="680" s="13" customFormat="1" x14ac:dyDescent="0.25"/>
    <row r="681" s="13" customFormat="1" x14ac:dyDescent="0.25"/>
    <row r="682" s="13" customFormat="1" x14ac:dyDescent="0.25"/>
    <row r="683" s="13" customFormat="1" x14ac:dyDescent="0.25"/>
    <row r="684" s="13" customFormat="1" x14ac:dyDescent="0.25"/>
    <row r="685" s="13" customFormat="1" x14ac:dyDescent="0.25"/>
    <row r="686" s="13" customFormat="1" x14ac:dyDescent="0.25"/>
    <row r="687" s="13" customFormat="1" x14ac:dyDescent="0.25"/>
    <row r="688" s="13" customFormat="1" x14ac:dyDescent="0.25"/>
    <row r="689" s="13" customFormat="1" x14ac:dyDescent="0.25"/>
    <row r="690" s="13" customFormat="1" x14ac:dyDescent="0.25"/>
    <row r="691" s="13" customFormat="1" x14ac:dyDescent="0.25"/>
    <row r="692" s="13" customFormat="1" x14ac:dyDescent="0.25"/>
    <row r="693" s="13" customFormat="1" x14ac:dyDescent="0.25"/>
    <row r="694" s="13" customFormat="1" x14ac:dyDescent="0.25"/>
    <row r="695" s="13" customFormat="1" x14ac:dyDescent="0.25"/>
    <row r="696" s="13" customFormat="1" x14ac:dyDescent="0.25"/>
    <row r="697" s="13" customFormat="1" x14ac:dyDescent="0.25"/>
    <row r="698" s="13" customFormat="1" x14ac:dyDescent="0.25"/>
    <row r="699" s="13" customFormat="1" x14ac:dyDescent="0.25"/>
    <row r="700" s="13" customFormat="1" x14ac:dyDescent="0.25"/>
    <row r="701" s="13" customFormat="1" x14ac:dyDescent="0.25"/>
    <row r="702" s="13" customFormat="1" x14ac:dyDescent="0.25"/>
    <row r="703" s="13" customFormat="1" x14ac:dyDescent="0.25"/>
    <row r="704" s="13" customFormat="1" x14ac:dyDescent="0.25"/>
    <row r="705" s="13" customFormat="1" x14ac:dyDescent="0.25"/>
    <row r="706" s="13" customFormat="1" x14ac:dyDescent="0.25"/>
    <row r="707" s="13" customFormat="1" x14ac:dyDescent="0.25"/>
    <row r="708" s="13" customFormat="1" x14ac:dyDescent="0.25"/>
    <row r="709" s="13" customFormat="1" x14ac:dyDescent="0.25"/>
    <row r="710" s="13" customFormat="1" x14ac:dyDescent="0.25"/>
    <row r="711" s="13" customFormat="1" x14ac:dyDescent="0.25"/>
    <row r="712" s="13" customFormat="1" x14ac:dyDescent="0.25"/>
    <row r="713" s="13" customFormat="1" x14ac:dyDescent="0.25"/>
    <row r="714" s="13" customFormat="1" x14ac:dyDescent="0.25"/>
    <row r="715" s="13" customFormat="1" x14ac:dyDescent="0.25"/>
    <row r="716" s="13" customFormat="1" x14ac:dyDescent="0.25"/>
    <row r="717" s="13" customFormat="1" x14ac:dyDescent="0.25"/>
    <row r="718" s="13" customFormat="1" x14ac:dyDescent="0.25"/>
    <row r="719" s="13" customFormat="1" x14ac:dyDescent="0.25"/>
    <row r="720" s="13" customFormat="1" x14ac:dyDescent="0.25"/>
    <row r="721" s="13" customFormat="1" x14ac:dyDescent="0.25"/>
    <row r="722" s="13" customFormat="1" x14ac:dyDescent="0.25"/>
    <row r="723" s="13" customFormat="1" x14ac:dyDescent="0.25"/>
    <row r="724" s="13" customFormat="1" x14ac:dyDescent="0.25"/>
    <row r="725" s="13" customFormat="1" x14ac:dyDescent="0.25"/>
    <row r="726" s="13" customFormat="1" x14ac:dyDescent="0.25"/>
    <row r="727" s="13" customFormat="1" x14ac:dyDescent="0.25"/>
    <row r="728" s="13" customFormat="1" x14ac:dyDescent="0.25"/>
    <row r="729" s="13" customFormat="1" x14ac:dyDescent="0.25"/>
    <row r="730" s="13" customFormat="1" x14ac:dyDescent="0.25"/>
    <row r="731" s="13" customFormat="1" x14ac:dyDescent="0.25"/>
    <row r="732" s="13" customFormat="1" x14ac:dyDescent="0.25"/>
    <row r="733" s="13" customFormat="1" x14ac:dyDescent="0.25"/>
    <row r="734" s="13" customFormat="1" x14ac:dyDescent="0.25"/>
    <row r="735" s="13" customFormat="1" x14ac:dyDescent="0.25"/>
    <row r="736" s="13" customFormat="1" x14ac:dyDescent="0.25"/>
    <row r="737" s="13" customFormat="1" x14ac:dyDescent="0.25"/>
    <row r="738" s="13" customFormat="1" x14ac:dyDescent="0.25"/>
    <row r="739" s="13" customFormat="1" x14ac:dyDescent="0.25"/>
    <row r="740" s="13" customFormat="1" x14ac:dyDescent="0.25"/>
    <row r="741" s="13" customFormat="1" x14ac:dyDescent="0.25"/>
    <row r="742" s="13" customFormat="1" x14ac:dyDescent="0.25"/>
    <row r="743" s="13" customFormat="1" x14ac:dyDescent="0.25"/>
    <row r="744" s="13" customFormat="1" x14ac:dyDescent="0.25"/>
    <row r="745" s="13" customFormat="1" x14ac:dyDescent="0.25"/>
    <row r="746" s="13" customFormat="1" x14ac:dyDescent="0.25"/>
    <row r="747" s="13" customFormat="1" x14ac:dyDescent="0.25"/>
    <row r="748" s="13" customFormat="1" x14ac:dyDescent="0.25"/>
    <row r="749" s="13" customFormat="1" x14ac:dyDescent="0.25"/>
    <row r="750" s="13" customFormat="1" x14ac:dyDescent="0.25"/>
    <row r="751" s="13" customFormat="1" x14ac:dyDescent="0.25"/>
    <row r="752" s="13" customFormat="1" x14ac:dyDescent="0.25"/>
    <row r="753" s="13" customFormat="1" x14ac:dyDescent="0.25"/>
    <row r="754" s="13" customFormat="1" x14ac:dyDescent="0.25"/>
    <row r="755" s="13" customFormat="1" x14ac:dyDescent="0.25"/>
    <row r="756" s="13" customFormat="1" x14ac:dyDescent="0.25"/>
    <row r="757" s="13" customFormat="1" x14ac:dyDescent="0.25"/>
    <row r="758" s="13" customFormat="1" x14ac:dyDescent="0.25"/>
    <row r="759" s="13" customFormat="1" x14ac:dyDescent="0.25"/>
    <row r="760" s="13" customFormat="1" x14ac:dyDescent="0.25"/>
    <row r="761" s="13" customFormat="1" x14ac:dyDescent="0.25"/>
    <row r="762" s="13" customFormat="1" x14ac:dyDescent="0.25"/>
    <row r="763" s="13" customFormat="1" x14ac:dyDescent="0.25"/>
    <row r="764" s="13" customFormat="1" x14ac:dyDescent="0.25"/>
    <row r="765" s="13" customFormat="1" x14ac:dyDescent="0.25"/>
    <row r="766" s="13" customFormat="1" x14ac:dyDescent="0.25"/>
    <row r="767" s="13" customFormat="1" x14ac:dyDescent="0.25"/>
    <row r="768" s="13" customFormat="1" x14ac:dyDescent="0.25"/>
    <row r="769" s="13" customFormat="1" x14ac:dyDescent="0.25"/>
    <row r="770" s="13" customFormat="1" x14ac:dyDescent="0.25"/>
    <row r="771" s="13" customFormat="1" x14ac:dyDescent="0.25"/>
    <row r="772" s="13" customFormat="1" x14ac:dyDescent="0.25"/>
    <row r="773" s="13" customFormat="1" x14ac:dyDescent="0.25"/>
    <row r="774" s="13" customFormat="1" x14ac:dyDescent="0.25"/>
    <row r="775" s="13" customFormat="1" x14ac:dyDescent="0.25"/>
    <row r="776" s="13" customFormat="1" x14ac:dyDescent="0.25"/>
    <row r="777" s="13" customFormat="1" x14ac:dyDescent="0.25"/>
    <row r="778" s="13" customFormat="1" x14ac:dyDescent="0.25"/>
    <row r="779" s="13" customFormat="1" x14ac:dyDescent="0.25"/>
    <row r="780" s="13" customFormat="1" x14ac:dyDescent="0.25"/>
    <row r="781" s="13" customFormat="1" x14ac:dyDescent="0.25"/>
    <row r="782" s="13" customFormat="1" x14ac:dyDescent="0.25"/>
    <row r="783" s="13" customFormat="1" x14ac:dyDescent="0.25"/>
    <row r="784" s="13" customFormat="1" x14ac:dyDescent="0.25"/>
    <row r="785" s="13" customFormat="1" x14ac:dyDescent="0.25"/>
    <row r="786" s="13" customFormat="1" x14ac:dyDescent="0.25"/>
    <row r="787" s="13" customFormat="1" x14ac:dyDescent="0.25"/>
    <row r="788" s="13" customFormat="1" x14ac:dyDescent="0.25"/>
    <row r="789" s="13" customFormat="1" x14ac:dyDescent="0.25"/>
    <row r="790" s="13" customFormat="1" x14ac:dyDescent="0.25"/>
    <row r="791" s="13" customFormat="1" x14ac:dyDescent="0.25"/>
    <row r="792" s="13" customFormat="1" x14ac:dyDescent="0.25"/>
    <row r="793" s="13" customFormat="1" x14ac:dyDescent="0.25"/>
    <row r="794" s="13" customFormat="1" x14ac:dyDescent="0.25"/>
    <row r="795" s="13" customFormat="1" x14ac:dyDescent="0.25"/>
    <row r="796" s="13" customFormat="1" x14ac:dyDescent="0.25"/>
    <row r="797" s="13" customFormat="1" x14ac:dyDescent="0.25"/>
    <row r="798" s="13" customFormat="1" x14ac:dyDescent="0.25"/>
    <row r="799" s="13" customFormat="1" x14ac:dyDescent="0.25"/>
    <row r="800" s="13" customFormat="1" x14ac:dyDescent="0.25"/>
    <row r="801" s="13" customFormat="1" x14ac:dyDescent="0.25"/>
    <row r="802" s="13" customFormat="1" x14ac:dyDescent="0.25"/>
    <row r="803" s="13" customFormat="1" x14ac:dyDescent="0.25"/>
    <row r="804" s="13" customFormat="1" x14ac:dyDescent="0.25"/>
    <row r="805" s="13" customFormat="1" x14ac:dyDescent="0.25"/>
    <row r="806" s="13" customFormat="1" x14ac:dyDescent="0.25"/>
    <row r="807" s="13" customFormat="1" x14ac:dyDescent="0.25"/>
    <row r="808" s="13" customFormat="1" x14ac:dyDescent="0.25"/>
    <row r="809" s="13" customFormat="1" x14ac:dyDescent="0.25"/>
    <row r="810" s="13" customFormat="1" x14ac:dyDescent="0.25"/>
    <row r="811" s="13" customFormat="1" x14ac:dyDescent="0.25"/>
    <row r="812" s="13" customFormat="1" x14ac:dyDescent="0.25"/>
    <row r="813" s="13" customFormat="1" x14ac:dyDescent="0.25"/>
    <row r="814" s="13" customFormat="1" x14ac:dyDescent="0.25"/>
    <row r="815" s="13" customFormat="1" x14ac:dyDescent="0.25"/>
    <row r="816" s="13" customFormat="1" x14ac:dyDescent="0.25"/>
    <row r="817" s="13" customFormat="1" x14ac:dyDescent="0.25"/>
    <row r="818" s="13" customFormat="1" x14ac:dyDescent="0.25"/>
    <row r="819" s="13" customFormat="1" x14ac:dyDescent="0.25"/>
    <row r="820" s="13" customFormat="1" x14ac:dyDescent="0.25"/>
    <row r="821" s="13" customFormat="1" x14ac:dyDescent="0.25"/>
    <row r="822" s="13" customFormat="1" x14ac:dyDescent="0.25"/>
    <row r="823" s="13" customFormat="1" x14ac:dyDescent="0.25"/>
    <row r="824" s="13" customFormat="1" x14ac:dyDescent="0.25"/>
    <row r="825" s="13" customFormat="1" x14ac:dyDescent="0.25"/>
    <row r="826" s="13" customFormat="1" x14ac:dyDescent="0.25"/>
    <row r="827" s="13" customFormat="1" x14ac:dyDescent="0.25"/>
    <row r="828" s="13" customFormat="1" x14ac:dyDescent="0.25"/>
    <row r="829" s="13" customFormat="1" x14ac:dyDescent="0.25"/>
    <row r="830" s="13" customFormat="1" x14ac:dyDescent="0.25"/>
    <row r="831" s="13" customFormat="1" x14ac:dyDescent="0.25"/>
    <row r="832" s="13" customFormat="1" x14ac:dyDescent="0.25"/>
    <row r="833" s="13" customFormat="1" x14ac:dyDescent="0.25"/>
    <row r="834" s="13" customFormat="1" x14ac:dyDescent="0.25"/>
    <row r="835" s="13" customFormat="1" x14ac:dyDescent="0.25"/>
    <row r="836" s="13" customFormat="1" x14ac:dyDescent="0.25"/>
    <row r="837" s="13" customFormat="1" x14ac:dyDescent="0.25"/>
    <row r="838" s="13" customFormat="1" x14ac:dyDescent="0.25"/>
    <row r="839" s="13" customFormat="1" x14ac:dyDescent="0.25"/>
    <row r="840" s="13" customFormat="1" x14ac:dyDescent="0.25"/>
    <row r="841" s="13" customFormat="1" x14ac:dyDescent="0.25"/>
    <row r="842" s="13" customFormat="1" x14ac:dyDescent="0.25"/>
    <row r="843" s="13" customFormat="1" x14ac:dyDescent="0.25"/>
    <row r="844" s="13" customFormat="1" x14ac:dyDescent="0.25"/>
    <row r="845" s="13" customFormat="1" x14ac:dyDescent="0.25"/>
    <row r="846" s="13" customFormat="1" x14ac:dyDescent="0.25"/>
    <row r="847" s="13" customFormat="1" x14ac:dyDescent="0.25"/>
    <row r="848" s="13" customFormat="1" x14ac:dyDescent="0.25"/>
    <row r="849" s="13" customFormat="1" x14ac:dyDescent="0.25"/>
    <row r="850" s="13" customFormat="1" x14ac:dyDescent="0.25"/>
    <row r="851" s="13" customFormat="1" x14ac:dyDescent="0.25"/>
    <row r="852" s="13" customFormat="1" x14ac:dyDescent="0.25"/>
    <row r="853" s="13" customFormat="1" x14ac:dyDescent="0.25"/>
    <row r="854" s="13" customFormat="1" x14ac:dyDescent="0.25"/>
    <row r="855" s="13" customFormat="1" x14ac:dyDescent="0.25"/>
    <row r="856" s="13" customFormat="1" x14ac:dyDescent="0.25"/>
    <row r="857" s="13" customFormat="1" x14ac:dyDescent="0.25"/>
    <row r="858" s="13" customFormat="1" x14ac:dyDescent="0.25"/>
    <row r="859" s="13" customFormat="1" x14ac:dyDescent="0.25"/>
    <row r="860" s="13" customFormat="1" x14ac:dyDescent="0.25"/>
    <row r="861" s="13" customFormat="1" x14ac:dyDescent="0.25"/>
    <row r="862" s="13" customFormat="1" x14ac:dyDescent="0.25"/>
    <row r="863" s="13" customFormat="1" x14ac:dyDescent="0.25"/>
    <row r="864" s="13" customFormat="1" x14ac:dyDescent="0.25"/>
    <row r="865" s="13" customFormat="1" x14ac:dyDescent="0.25"/>
    <row r="866" s="13" customFormat="1" x14ac:dyDescent="0.25"/>
    <row r="867" s="13" customFormat="1" x14ac:dyDescent="0.25"/>
    <row r="868" s="13" customFormat="1" x14ac:dyDescent="0.25"/>
    <row r="869" s="13" customFormat="1" x14ac:dyDescent="0.25"/>
    <row r="870" s="13" customFormat="1" x14ac:dyDescent="0.25"/>
    <row r="871" s="13" customFormat="1" x14ac:dyDescent="0.25"/>
    <row r="872" s="13" customFormat="1" x14ac:dyDescent="0.25"/>
    <row r="873" s="13" customFormat="1" x14ac:dyDescent="0.25"/>
    <row r="874" s="13" customFormat="1" x14ac:dyDescent="0.25"/>
    <row r="875" s="13" customFormat="1" x14ac:dyDescent="0.25"/>
    <row r="876" s="13" customFormat="1" x14ac:dyDescent="0.25"/>
    <row r="877" s="13" customFormat="1" x14ac:dyDescent="0.25"/>
    <row r="878" s="13" customFormat="1" x14ac:dyDescent="0.25"/>
    <row r="879" s="13" customFormat="1" x14ac:dyDescent="0.25"/>
    <row r="880" s="13" customFormat="1" x14ac:dyDescent="0.25"/>
    <row r="881" s="13" customFormat="1" x14ac:dyDescent="0.25"/>
    <row r="882" s="13" customFormat="1" x14ac:dyDescent="0.25"/>
    <row r="883" s="13" customFormat="1" x14ac:dyDescent="0.25"/>
    <row r="884" s="13" customFormat="1" x14ac:dyDescent="0.25"/>
    <row r="885" s="13" customFormat="1" x14ac:dyDescent="0.25"/>
    <row r="886" s="13" customFormat="1" x14ac:dyDescent="0.25"/>
    <row r="887" s="13" customFormat="1" x14ac:dyDescent="0.25"/>
    <row r="888" s="13" customFormat="1" x14ac:dyDescent="0.25"/>
    <row r="889" s="13" customFormat="1" x14ac:dyDescent="0.25"/>
    <row r="890" s="13" customFormat="1" x14ac:dyDescent="0.25"/>
    <row r="891" s="13" customFormat="1" x14ac:dyDescent="0.25"/>
    <row r="892" s="13" customFormat="1" x14ac:dyDescent="0.25"/>
    <row r="893" s="13" customFormat="1" x14ac:dyDescent="0.25"/>
    <row r="894" s="13" customFormat="1" x14ac:dyDescent="0.25"/>
    <row r="895" s="13" customFormat="1" x14ac:dyDescent="0.25"/>
    <row r="896" s="13" customFormat="1" x14ac:dyDescent="0.25"/>
    <row r="897" s="13" customFormat="1" x14ac:dyDescent="0.25"/>
    <row r="898" s="13" customFormat="1" x14ac:dyDescent="0.25"/>
    <row r="899" s="13" customFormat="1" x14ac:dyDescent="0.25"/>
    <row r="900" s="13" customFormat="1" x14ac:dyDescent="0.25"/>
    <row r="901" s="13" customFormat="1" x14ac:dyDescent="0.25"/>
    <row r="902" s="13" customFormat="1" x14ac:dyDescent="0.25"/>
    <row r="903" s="13" customFormat="1" x14ac:dyDescent="0.25"/>
    <row r="904" s="13" customFormat="1" x14ac:dyDescent="0.25"/>
    <row r="905" s="13" customFormat="1" x14ac:dyDescent="0.25"/>
    <row r="906" s="13" customFormat="1" x14ac:dyDescent="0.25"/>
    <row r="907" s="13" customFormat="1" x14ac:dyDescent="0.25"/>
    <row r="908" s="13" customFormat="1" x14ac:dyDescent="0.25"/>
    <row r="909" s="13" customFormat="1" x14ac:dyDescent="0.25"/>
    <row r="910" s="13" customFormat="1" x14ac:dyDescent="0.25"/>
    <row r="911" s="13" customFormat="1" x14ac:dyDescent="0.25"/>
    <row r="912" s="13" customFormat="1" x14ac:dyDescent="0.25"/>
    <row r="913" s="13" customFormat="1" x14ac:dyDescent="0.25"/>
    <row r="914" s="13" customFormat="1" x14ac:dyDescent="0.25"/>
    <row r="915" s="13" customFormat="1" x14ac:dyDescent="0.25"/>
    <row r="916" s="13" customFormat="1" x14ac:dyDescent="0.25"/>
    <row r="917" s="13" customFormat="1" x14ac:dyDescent="0.25"/>
    <row r="918" s="13" customFormat="1" x14ac:dyDescent="0.25"/>
    <row r="919" s="13" customFormat="1" x14ac:dyDescent="0.25"/>
    <row r="920" s="13" customFormat="1" x14ac:dyDescent="0.25"/>
    <row r="921" s="13" customFormat="1" x14ac:dyDescent="0.25"/>
    <row r="922" s="13" customFormat="1" x14ac:dyDescent="0.25"/>
    <row r="923" s="13" customFormat="1" x14ac:dyDescent="0.25"/>
    <row r="924" s="13" customFormat="1" x14ac:dyDescent="0.25"/>
    <row r="925" s="13" customFormat="1" x14ac:dyDescent="0.25"/>
    <row r="926" s="13" customFormat="1" x14ac:dyDescent="0.25"/>
    <row r="927" s="13" customFormat="1" x14ac:dyDescent="0.25"/>
    <row r="928" s="13" customFormat="1" x14ac:dyDescent="0.25"/>
    <row r="929" s="13" customFormat="1" x14ac:dyDescent="0.25"/>
    <row r="930" s="13" customFormat="1" x14ac:dyDescent="0.25"/>
    <row r="931" s="13" customFormat="1" x14ac:dyDescent="0.25"/>
    <row r="932" s="13" customFormat="1" x14ac:dyDescent="0.25"/>
    <row r="933" s="13" customFormat="1" x14ac:dyDescent="0.25"/>
    <row r="934" s="13" customFormat="1" x14ac:dyDescent="0.25"/>
    <row r="935" s="13" customFormat="1" x14ac:dyDescent="0.25"/>
    <row r="936" s="13" customFormat="1" x14ac:dyDescent="0.25"/>
    <row r="937" s="13" customFormat="1" x14ac:dyDescent="0.25"/>
    <row r="938" s="13" customFormat="1" x14ac:dyDescent="0.25"/>
    <row r="939" s="13" customFormat="1" x14ac:dyDescent="0.25"/>
    <row r="940" s="13" customFormat="1" x14ac:dyDescent="0.25"/>
    <row r="941" s="13" customFormat="1" x14ac:dyDescent="0.25"/>
    <row r="942" s="13" customFormat="1" x14ac:dyDescent="0.25"/>
    <row r="943" s="13" customFormat="1" x14ac:dyDescent="0.25"/>
    <row r="944" s="13" customFormat="1" x14ac:dyDescent="0.25"/>
    <row r="945" s="13" customFormat="1" x14ac:dyDescent="0.25"/>
    <row r="946" s="13" customFormat="1" x14ac:dyDescent="0.25"/>
    <row r="947" s="13" customFormat="1" x14ac:dyDescent="0.25"/>
    <row r="948" s="13" customFormat="1" x14ac:dyDescent="0.25"/>
    <row r="949" s="13" customFormat="1" x14ac:dyDescent="0.25"/>
    <row r="950" s="13" customFormat="1" x14ac:dyDescent="0.25"/>
    <row r="951" s="13" customFormat="1" x14ac:dyDescent="0.25"/>
    <row r="952" s="13" customFormat="1" x14ac:dyDescent="0.25"/>
    <row r="953" s="13" customFormat="1" x14ac:dyDescent="0.25"/>
    <row r="954" s="13" customFormat="1" x14ac:dyDescent="0.25"/>
    <row r="955" s="13" customFormat="1" x14ac:dyDescent="0.25"/>
    <row r="956" s="13" customFormat="1" x14ac:dyDescent="0.25"/>
    <row r="957" s="13" customFormat="1" x14ac:dyDescent="0.25"/>
    <row r="958" s="13" customFormat="1" x14ac:dyDescent="0.25"/>
    <row r="959" s="13" customFormat="1" x14ac:dyDescent="0.25"/>
    <row r="960" s="13" customFormat="1" x14ac:dyDescent="0.25"/>
    <row r="961" s="13" customFormat="1" x14ac:dyDescent="0.25"/>
    <row r="962" s="13" customFormat="1" x14ac:dyDescent="0.25"/>
    <row r="963" s="13" customFormat="1" x14ac:dyDescent="0.25"/>
    <row r="964" s="13" customFormat="1" x14ac:dyDescent="0.25"/>
    <row r="965" s="13" customFormat="1" x14ac:dyDescent="0.25"/>
    <row r="966" s="13" customFormat="1" x14ac:dyDescent="0.25"/>
    <row r="967" s="13" customFormat="1" x14ac:dyDescent="0.25"/>
    <row r="968" s="13" customFormat="1" x14ac:dyDescent="0.25"/>
    <row r="969" s="13" customFormat="1" x14ac:dyDescent="0.25"/>
    <row r="970" s="13" customFormat="1" x14ac:dyDescent="0.25"/>
    <row r="971" s="13" customFormat="1" x14ac:dyDescent="0.25"/>
    <row r="972" s="13" customFormat="1" x14ac:dyDescent="0.25"/>
    <row r="973" s="13" customFormat="1" x14ac:dyDescent="0.25"/>
    <row r="974" s="13" customFormat="1" x14ac:dyDescent="0.25"/>
    <row r="975" s="13" customFormat="1" x14ac:dyDescent="0.25"/>
    <row r="976" s="13" customFormat="1" x14ac:dyDescent="0.25"/>
    <row r="977" s="13" customFormat="1" x14ac:dyDescent="0.25"/>
    <row r="978" s="13" customFormat="1" x14ac:dyDescent="0.25"/>
    <row r="979" s="13" customFormat="1" x14ac:dyDescent="0.25"/>
    <row r="980" s="13" customFormat="1" x14ac:dyDescent="0.25"/>
    <row r="981" s="13" customFormat="1" x14ac:dyDescent="0.25"/>
    <row r="982" s="13" customFormat="1" x14ac:dyDescent="0.25"/>
    <row r="983" s="13" customFormat="1" x14ac:dyDescent="0.25"/>
    <row r="984" s="13" customFormat="1" x14ac:dyDescent="0.25"/>
    <row r="985" s="13" customFormat="1" x14ac:dyDescent="0.25"/>
    <row r="986" s="13" customFormat="1" x14ac:dyDescent="0.25"/>
    <row r="987" s="13" customFormat="1" x14ac:dyDescent="0.25"/>
    <row r="988" s="13" customFormat="1" x14ac:dyDescent="0.25"/>
    <row r="989" s="13" customFormat="1" x14ac:dyDescent="0.25"/>
    <row r="990" s="13" customFormat="1" x14ac:dyDescent="0.25"/>
    <row r="991" s="13" customFormat="1" x14ac:dyDescent="0.25"/>
    <row r="992" s="13" customFormat="1" x14ac:dyDescent="0.25"/>
    <row r="993" s="13" customFormat="1" x14ac:dyDescent="0.25"/>
    <row r="994" s="13" customFormat="1" x14ac:dyDescent="0.25"/>
    <row r="995" s="13" customFormat="1" x14ac:dyDescent="0.25"/>
    <row r="996" s="13" customFormat="1" x14ac:dyDescent="0.25"/>
    <row r="997" s="13" customFormat="1" x14ac:dyDescent="0.25"/>
    <row r="998" s="13" customFormat="1" x14ac:dyDescent="0.25"/>
    <row r="999" s="13" customFormat="1" x14ac:dyDescent="0.25"/>
    <row r="1000" s="13" customFormat="1" x14ac:dyDescent="0.25"/>
    <row r="1001" s="13" customFormat="1" x14ac:dyDescent="0.25"/>
    <row r="1002" s="13" customFormat="1" x14ac:dyDescent="0.25"/>
    <row r="1003" s="13" customFormat="1" x14ac:dyDescent="0.25"/>
    <row r="1004" s="13" customFormat="1" x14ac:dyDescent="0.25"/>
    <row r="1005" s="13" customFormat="1" x14ac:dyDescent="0.25"/>
    <row r="1006" s="13" customFormat="1" x14ac:dyDescent="0.25"/>
    <row r="1007" s="13" customFormat="1" x14ac:dyDescent="0.25"/>
    <row r="1008" s="13" customFormat="1" x14ac:dyDescent="0.25"/>
    <row r="1009" s="13" customFormat="1" x14ac:dyDescent="0.25"/>
    <row r="1010" s="13" customFormat="1" x14ac:dyDescent="0.25"/>
    <row r="1011" s="13" customFormat="1" x14ac:dyDescent="0.25"/>
    <row r="1012" s="13" customFormat="1" x14ac:dyDescent="0.25"/>
    <row r="1013" s="13" customFormat="1" x14ac:dyDescent="0.25"/>
    <row r="1014" s="13" customFormat="1" x14ac:dyDescent="0.25"/>
    <row r="1015" s="13" customFormat="1" x14ac:dyDescent="0.25"/>
    <row r="1016" s="13" customFormat="1" x14ac:dyDescent="0.25"/>
    <row r="1017" s="13" customFormat="1" x14ac:dyDescent="0.25"/>
    <row r="1018" s="13" customFormat="1" x14ac:dyDescent="0.25"/>
    <row r="1019" s="13" customFormat="1" x14ac:dyDescent="0.25"/>
    <row r="1020" s="13" customFormat="1" x14ac:dyDescent="0.25"/>
    <row r="1021" s="13" customFormat="1" x14ac:dyDescent="0.25"/>
    <row r="1022" s="13" customFormat="1" x14ac:dyDescent="0.25"/>
    <row r="1023" s="13" customFormat="1" x14ac:dyDescent="0.25"/>
    <row r="1024" s="13" customFormat="1" x14ac:dyDescent="0.25"/>
    <row r="1025" s="13" customFormat="1" x14ac:dyDescent="0.25"/>
    <row r="1026" s="13" customFormat="1" x14ac:dyDescent="0.25"/>
    <row r="1027" s="13" customFormat="1" x14ac:dyDescent="0.25"/>
    <row r="1028" s="13" customFormat="1" x14ac:dyDescent="0.25"/>
    <row r="1029" s="13" customFormat="1" x14ac:dyDescent="0.25"/>
    <row r="1030" s="13" customFormat="1" x14ac:dyDescent="0.25"/>
    <row r="1031" s="13" customFormat="1" x14ac:dyDescent="0.25"/>
    <row r="1032" s="13" customFormat="1" x14ac:dyDescent="0.25"/>
    <row r="1033" s="13" customFormat="1" x14ac:dyDescent="0.25"/>
    <row r="1034" s="13" customFormat="1" x14ac:dyDescent="0.25"/>
    <row r="1035" s="13" customFormat="1" x14ac:dyDescent="0.25"/>
    <row r="1036" s="13" customFormat="1" x14ac:dyDescent="0.25"/>
    <row r="1037" s="13" customFormat="1" x14ac:dyDescent="0.25"/>
    <row r="1038" s="13" customFormat="1" x14ac:dyDescent="0.25"/>
    <row r="1039" s="13" customFormat="1" x14ac:dyDescent="0.25"/>
    <row r="1040" s="13" customFormat="1" x14ac:dyDescent="0.25"/>
    <row r="1041" s="13" customFormat="1" x14ac:dyDescent="0.25"/>
    <row r="1042" s="13" customFormat="1" x14ac:dyDescent="0.25"/>
    <row r="1043" s="13" customFormat="1" x14ac:dyDescent="0.25"/>
    <row r="1044" s="13" customFormat="1" x14ac:dyDescent="0.25"/>
    <row r="1045" s="13" customFormat="1" x14ac:dyDescent="0.25"/>
    <row r="1046" s="13" customFormat="1" x14ac:dyDescent="0.25"/>
    <row r="1047" s="13" customFormat="1" x14ac:dyDescent="0.25"/>
    <row r="1048" s="13" customFormat="1" x14ac:dyDescent="0.25"/>
    <row r="1049" s="13" customFormat="1" x14ac:dyDescent="0.25"/>
    <row r="1050" s="13" customFormat="1" x14ac:dyDescent="0.25"/>
    <row r="1051" s="13" customFormat="1" x14ac:dyDescent="0.25"/>
    <row r="1052" s="13" customFormat="1" x14ac:dyDescent="0.25"/>
    <row r="1053" s="13" customFormat="1" x14ac:dyDescent="0.25"/>
    <row r="1054" s="13" customFormat="1" x14ac:dyDescent="0.25"/>
    <row r="1055" s="13" customFormat="1" x14ac:dyDescent="0.25"/>
    <row r="1056" s="13" customFormat="1" x14ac:dyDescent="0.25"/>
    <row r="1057" s="13" customFormat="1" x14ac:dyDescent="0.25"/>
    <row r="1058" s="13" customFormat="1" x14ac:dyDescent="0.25"/>
    <row r="1059" s="13" customFormat="1" x14ac:dyDescent="0.25"/>
    <row r="1060" s="13" customFormat="1" x14ac:dyDescent="0.25"/>
    <row r="1061" s="13" customFormat="1" x14ac:dyDescent="0.25"/>
    <row r="1062" s="13" customFormat="1" x14ac:dyDescent="0.25"/>
    <row r="1063" s="13" customFormat="1" x14ac:dyDescent="0.25"/>
    <row r="1064" s="13" customFormat="1" x14ac:dyDescent="0.25"/>
    <row r="1065" s="13" customFormat="1" x14ac:dyDescent="0.25"/>
    <row r="1066" s="13" customFormat="1" x14ac:dyDescent="0.25"/>
    <row r="1067" s="13" customFormat="1" x14ac:dyDescent="0.25"/>
    <row r="1068" s="13" customFormat="1" x14ac:dyDescent="0.25"/>
    <row r="1069" s="13" customFormat="1" x14ac:dyDescent="0.25"/>
    <row r="1070" s="13" customFormat="1" x14ac:dyDescent="0.25"/>
    <row r="1071" s="13" customFormat="1" x14ac:dyDescent="0.25"/>
    <row r="1072" s="13" customFormat="1" x14ac:dyDescent="0.25"/>
    <row r="1073" s="13" customFormat="1" x14ac:dyDescent="0.25"/>
    <row r="1074" s="13" customFormat="1" x14ac:dyDescent="0.25"/>
    <row r="1075" s="13" customFormat="1" x14ac:dyDescent="0.25"/>
    <row r="1076" s="13" customFormat="1" x14ac:dyDescent="0.25"/>
    <row r="1077" s="13" customFormat="1" x14ac:dyDescent="0.25"/>
    <row r="1078" s="13" customFormat="1" x14ac:dyDescent="0.25"/>
    <row r="1079" s="13" customFormat="1" x14ac:dyDescent="0.25"/>
    <row r="1080" s="13" customFormat="1" x14ac:dyDescent="0.25"/>
    <row r="1081" s="13" customFormat="1" x14ac:dyDescent="0.25"/>
    <row r="1082" s="13" customFormat="1" x14ac:dyDescent="0.25"/>
    <row r="1083" s="13" customFormat="1" x14ac:dyDescent="0.25"/>
    <row r="1084" s="13" customFormat="1" x14ac:dyDescent="0.25"/>
    <row r="1085" s="13" customFormat="1" x14ac:dyDescent="0.25"/>
    <row r="1086" s="13" customFormat="1" x14ac:dyDescent="0.25"/>
    <row r="1087" s="13" customFormat="1" x14ac:dyDescent="0.25"/>
    <row r="1088" s="13" customFormat="1" x14ac:dyDescent="0.25"/>
    <row r="1089" s="13" customFormat="1" x14ac:dyDescent="0.25"/>
    <row r="1090" s="13" customFormat="1" x14ac:dyDescent="0.25"/>
    <row r="1091" s="13" customFormat="1" x14ac:dyDescent="0.25"/>
    <row r="1092" s="13" customFormat="1" x14ac:dyDescent="0.25"/>
    <row r="1093" s="13" customFormat="1" x14ac:dyDescent="0.25"/>
    <row r="1094" s="13" customFormat="1" x14ac:dyDescent="0.25"/>
    <row r="1095" s="13" customFormat="1" x14ac:dyDescent="0.25"/>
    <row r="1096" s="13" customFormat="1" x14ac:dyDescent="0.25"/>
    <row r="1097" s="13" customFormat="1" x14ac:dyDescent="0.25"/>
    <row r="1098" s="13" customFormat="1" x14ac:dyDescent="0.25"/>
    <row r="1099" s="13" customFormat="1" x14ac:dyDescent="0.25"/>
    <row r="1100" s="13" customFormat="1" x14ac:dyDescent="0.25"/>
    <row r="1101" s="13" customFormat="1" x14ac:dyDescent="0.25"/>
    <row r="1102" s="13" customFormat="1" x14ac:dyDescent="0.25"/>
    <row r="1103" s="13" customFormat="1" x14ac:dyDescent="0.25"/>
    <row r="1104" s="13" customFormat="1" x14ac:dyDescent="0.25"/>
    <row r="1105" s="13" customFormat="1" x14ac:dyDescent="0.25"/>
    <row r="1106" s="13" customFormat="1" x14ac:dyDescent="0.25"/>
    <row r="1107" s="13" customFormat="1" x14ac:dyDescent="0.25"/>
    <row r="1108" s="13" customFormat="1" x14ac:dyDescent="0.25"/>
    <row r="1109" s="13" customFormat="1" x14ac:dyDescent="0.25"/>
    <row r="1110" s="13" customFormat="1" x14ac:dyDescent="0.25"/>
    <row r="1111" s="13" customFormat="1" x14ac:dyDescent="0.25"/>
    <row r="1112" s="13" customFormat="1" x14ac:dyDescent="0.25"/>
    <row r="1113" s="13" customFormat="1" x14ac:dyDescent="0.25"/>
    <row r="1114" s="13" customFormat="1" x14ac:dyDescent="0.25"/>
    <row r="1115" s="13" customFormat="1" x14ac:dyDescent="0.25"/>
    <row r="1116" s="13" customFormat="1" x14ac:dyDescent="0.25"/>
    <row r="1117" s="13" customFormat="1" x14ac:dyDescent="0.25"/>
    <row r="1118" s="13" customFormat="1" x14ac:dyDescent="0.25"/>
    <row r="1119" s="13" customFormat="1" x14ac:dyDescent="0.25"/>
    <row r="1120" s="13" customFormat="1" x14ac:dyDescent="0.25"/>
    <row r="1121" s="13" customFormat="1" x14ac:dyDescent="0.25"/>
    <row r="1122" s="13" customFormat="1" x14ac:dyDescent="0.25"/>
    <row r="1123" s="13" customFormat="1" x14ac:dyDescent="0.25"/>
    <row r="1124" s="13" customFormat="1" x14ac:dyDescent="0.25"/>
    <row r="1125" s="13" customFormat="1" x14ac:dyDescent="0.25"/>
    <row r="1126" s="13" customFormat="1" x14ac:dyDescent="0.25"/>
    <row r="1127" s="13" customFormat="1" x14ac:dyDescent="0.25"/>
    <row r="1128" s="13" customFormat="1" x14ac:dyDescent="0.25"/>
    <row r="1129" s="13" customFormat="1" x14ac:dyDescent="0.25"/>
    <row r="1130" s="13" customFormat="1" x14ac:dyDescent="0.25"/>
    <row r="1131" s="13" customFormat="1" x14ac:dyDescent="0.25"/>
    <row r="1132" s="13" customFormat="1" x14ac:dyDescent="0.25"/>
    <row r="1133" s="13" customFormat="1" x14ac:dyDescent="0.25"/>
    <row r="1134" s="13" customFormat="1" x14ac:dyDescent="0.25"/>
    <row r="1135" s="13" customFormat="1" x14ac:dyDescent="0.25"/>
    <row r="1136" s="13" customFormat="1" x14ac:dyDescent="0.25"/>
    <row r="1137" s="13" customFormat="1" x14ac:dyDescent="0.25"/>
    <row r="1138" s="13" customFormat="1" x14ac:dyDescent="0.25"/>
    <row r="1139" s="13" customFormat="1" x14ac:dyDescent="0.25"/>
    <row r="1140" s="13" customFormat="1" x14ac:dyDescent="0.25"/>
    <row r="1141" s="13" customFormat="1" x14ac:dyDescent="0.25"/>
    <row r="1142" s="13" customFormat="1" x14ac:dyDescent="0.25"/>
    <row r="1143" s="13" customFormat="1" x14ac:dyDescent="0.25"/>
    <row r="1144" s="13" customFormat="1" x14ac:dyDescent="0.25"/>
    <row r="1145" s="13" customFormat="1" x14ac:dyDescent="0.25"/>
    <row r="1146" s="13" customFormat="1" x14ac:dyDescent="0.25"/>
    <row r="1147" s="13" customFormat="1" x14ac:dyDescent="0.25"/>
    <row r="1148" s="13" customFormat="1" x14ac:dyDescent="0.25"/>
    <row r="1149" s="13" customFormat="1" x14ac:dyDescent="0.25"/>
    <row r="1150" s="13" customFormat="1" x14ac:dyDescent="0.25"/>
    <row r="1151" s="13" customFormat="1" x14ac:dyDescent="0.25"/>
    <row r="1152" s="13" customFormat="1" x14ac:dyDescent="0.25"/>
    <row r="1153" s="13" customFormat="1" x14ac:dyDescent="0.25"/>
    <row r="1154" s="13" customFormat="1" x14ac:dyDescent="0.25"/>
    <row r="1155" s="13" customFormat="1" x14ac:dyDescent="0.25"/>
    <row r="1156" s="13" customFormat="1" x14ac:dyDescent="0.25"/>
    <row r="1157" s="13" customFormat="1" x14ac:dyDescent="0.25"/>
    <row r="1158" s="13" customFormat="1" x14ac:dyDescent="0.25"/>
    <row r="1159" s="13" customFormat="1" x14ac:dyDescent="0.25"/>
    <row r="1160" s="13" customFormat="1" x14ac:dyDescent="0.25"/>
    <row r="1161" s="13" customFormat="1" x14ac:dyDescent="0.25"/>
    <row r="1162" s="13" customFormat="1" x14ac:dyDescent="0.25"/>
    <row r="1163" s="13" customFormat="1" x14ac:dyDescent="0.25"/>
    <row r="1164" s="13" customFormat="1" x14ac:dyDescent="0.25"/>
    <row r="1165" s="13" customFormat="1" x14ac:dyDescent="0.25"/>
    <row r="1166" s="13" customFormat="1" x14ac:dyDescent="0.25"/>
    <row r="1167" s="13" customFormat="1" x14ac:dyDescent="0.25"/>
    <row r="1168" s="13" customFormat="1" x14ac:dyDescent="0.25"/>
    <row r="1169" s="13" customFormat="1" x14ac:dyDescent="0.25"/>
    <row r="1170" s="13" customFormat="1" x14ac:dyDescent="0.25"/>
    <row r="1171" s="13" customFormat="1" x14ac:dyDescent="0.25"/>
    <row r="1172" s="13" customFormat="1" x14ac:dyDescent="0.25"/>
    <row r="1173" s="13" customFormat="1" x14ac:dyDescent="0.25"/>
    <row r="1174" s="13" customFormat="1" x14ac:dyDescent="0.25"/>
    <row r="1175" s="13" customFormat="1" x14ac:dyDescent="0.25"/>
    <row r="1176" s="13" customFormat="1" x14ac:dyDescent="0.25"/>
    <row r="1177" s="13" customFormat="1" x14ac:dyDescent="0.25"/>
    <row r="1178" s="13" customFormat="1" x14ac:dyDescent="0.25"/>
    <row r="1179" s="13" customFormat="1" x14ac:dyDescent="0.25"/>
    <row r="1180" s="13" customFormat="1" x14ac:dyDescent="0.25"/>
    <row r="1181" s="13" customFormat="1" x14ac:dyDescent="0.25"/>
    <row r="1182" s="13" customFormat="1" x14ac:dyDescent="0.25"/>
    <row r="1183" s="13" customFormat="1" x14ac:dyDescent="0.25"/>
    <row r="1184" s="13" customFormat="1" x14ac:dyDescent="0.25"/>
    <row r="1185" s="13" customFormat="1" x14ac:dyDescent="0.25"/>
    <row r="1186" s="13" customFormat="1" x14ac:dyDescent="0.25"/>
    <row r="1187" s="13" customFormat="1" x14ac:dyDescent="0.25"/>
    <row r="1188" s="13" customFormat="1" x14ac:dyDescent="0.25"/>
    <row r="1189" s="13" customFormat="1" x14ac:dyDescent="0.25"/>
    <row r="1190" s="13" customFormat="1" x14ac:dyDescent="0.25"/>
    <row r="1191" s="13" customFormat="1" x14ac:dyDescent="0.25"/>
    <row r="1192" s="13" customFormat="1" x14ac:dyDescent="0.25"/>
    <row r="1193" s="13" customFormat="1" x14ac:dyDescent="0.25"/>
    <row r="1194" s="13" customFormat="1" x14ac:dyDescent="0.25"/>
    <row r="1195" s="13" customFormat="1" x14ac:dyDescent="0.25"/>
    <row r="1196" s="13" customFormat="1" x14ac:dyDescent="0.25"/>
    <row r="1197" s="13" customFormat="1" x14ac:dyDescent="0.25"/>
    <row r="1198" s="13" customFormat="1" x14ac:dyDescent="0.25"/>
    <row r="1199" s="13" customFormat="1" x14ac:dyDescent="0.25"/>
    <row r="1200" s="13" customFormat="1" x14ac:dyDescent="0.25"/>
    <row r="1201" s="13" customFormat="1" x14ac:dyDescent="0.25"/>
    <row r="1202" s="13" customFormat="1" x14ac:dyDescent="0.25"/>
    <row r="1203" s="13" customFormat="1" x14ac:dyDescent="0.25"/>
    <row r="1204" s="13" customFormat="1" x14ac:dyDescent="0.25"/>
    <row r="1205" s="13" customFormat="1" x14ac:dyDescent="0.25"/>
    <row r="1206" s="13" customFormat="1" x14ac:dyDescent="0.25"/>
    <row r="1207" s="13" customFormat="1" x14ac:dyDescent="0.25"/>
    <row r="1208" s="13" customFormat="1" x14ac:dyDescent="0.25"/>
    <row r="1209" s="13" customFormat="1" x14ac:dyDescent="0.25"/>
    <row r="1210" s="13" customFormat="1" x14ac:dyDescent="0.25"/>
    <row r="1211" s="13" customFormat="1" x14ac:dyDescent="0.25"/>
    <row r="1212" s="13" customFormat="1" x14ac:dyDescent="0.25"/>
    <row r="1213" s="13" customFormat="1" x14ac:dyDescent="0.25"/>
    <row r="1214" s="13" customFormat="1" x14ac:dyDescent="0.25"/>
    <row r="1215" s="13" customFormat="1" x14ac:dyDescent="0.25"/>
    <row r="1216" s="13" customFormat="1" x14ac:dyDescent="0.25"/>
    <row r="1217" s="13" customFormat="1" x14ac:dyDescent="0.25"/>
    <row r="1218" s="13" customFormat="1" x14ac:dyDescent="0.25"/>
    <row r="1219" s="13" customFormat="1" x14ac:dyDescent="0.25"/>
    <row r="1220" s="13" customFormat="1" x14ac:dyDescent="0.25"/>
    <row r="1221" s="13" customFormat="1" x14ac:dyDescent="0.25"/>
    <row r="1222" s="13" customFormat="1" x14ac:dyDescent="0.25"/>
    <row r="1223" s="13" customFormat="1" x14ac:dyDescent="0.25"/>
    <row r="1224" s="13" customFormat="1" x14ac:dyDescent="0.25"/>
    <row r="1225" s="13" customFormat="1" x14ac:dyDescent="0.25"/>
    <row r="1226" s="13" customFormat="1" x14ac:dyDescent="0.25"/>
    <row r="1227" s="13" customFormat="1" x14ac:dyDescent="0.25"/>
    <row r="1228" s="13" customFormat="1" x14ac:dyDescent="0.25"/>
    <row r="1229" s="13" customFormat="1" x14ac:dyDescent="0.25"/>
    <row r="1230" s="13" customFormat="1" x14ac:dyDescent="0.25"/>
    <row r="1231" s="13" customFormat="1" x14ac:dyDescent="0.25"/>
    <row r="1232" s="13" customFormat="1" x14ac:dyDescent="0.25"/>
    <row r="1233" s="13" customFormat="1" x14ac:dyDescent="0.25"/>
    <row r="1234" s="13" customFormat="1" x14ac:dyDescent="0.25"/>
    <row r="1235" s="13" customFormat="1" x14ac:dyDescent="0.25"/>
    <row r="1236" s="13" customFormat="1" x14ac:dyDescent="0.25"/>
    <row r="1237" s="13" customFormat="1" x14ac:dyDescent="0.25"/>
    <row r="1238" s="13" customFormat="1" x14ac:dyDescent="0.25"/>
    <row r="1239" s="13" customFormat="1" x14ac:dyDescent="0.25"/>
    <row r="1240" s="13" customFormat="1" x14ac:dyDescent="0.25"/>
    <row r="1241" s="13" customFormat="1" x14ac:dyDescent="0.25"/>
    <row r="1242" s="13" customFormat="1" x14ac:dyDescent="0.25"/>
    <row r="1243" s="13" customFormat="1" x14ac:dyDescent="0.25"/>
    <row r="1244" s="13" customFormat="1" x14ac:dyDescent="0.25"/>
    <row r="1245" s="13" customFormat="1" x14ac:dyDescent="0.25"/>
    <row r="1246" s="13" customFormat="1" x14ac:dyDescent="0.25"/>
    <row r="1247" s="13" customFormat="1" x14ac:dyDescent="0.25"/>
    <row r="1248" s="13" customFormat="1" x14ac:dyDescent="0.25"/>
    <row r="1249" s="13" customFormat="1" x14ac:dyDescent="0.25"/>
    <row r="1250" s="13" customFormat="1" x14ac:dyDescent="0.25"/>
    <row r="1251" s="13" customFormat="1" x14ac:dyDescent="0.25"/>
    <row r="1252" s="13" customFormat="1" x14ac:dyDescent="0.25"/>
    <row r="1253" s="13" customFormat="1" x14ac:dyDescent="0.25"/>
    <row r="1254" s="13" customFormat="1" x14ac:dyDescent="0.25"/>
    <row r="1255" s="13" customFormat="1" x14ac:dyDescent="0.25"/>
    <row r="1256" s="13" customFormat="1" x14ac:dyDescent="0.25"/>
    <row r="1257" s="13" customFormat="1" x14ac:dyDescent="0.25"/>
    <row r="1258" s="13" customFormat="1" x14ac:dyDescent="0.25"/>
    <row r="1259" s="13" customFormat="1" x14ac:dyDescent="0.25"/>
    <row r="1260" s="13" customFormat="1" x14ac:dyDescent="0.25"/>
    <row r="1261" s="13" customFormat="1" x14ac:dyDescent="0.25"/>
    <row r="1262" s="13" customFormat="1" x14ac:dyDescent="0.25"/>
    <row r="1263" s="13" customFormat="1" x14ac:dyDescent="0.25"/>
    <row r="1264" s="13" customFormat="1" x14ac:dyDescent="0.25"/>
    <row r="1265" s="13" customFormat="1" x14ac:dyDescent="0.25"/>
    <row r="1266" s="13" customFormat="1" x14ac:dyDescent="0.25"/>
    <row r="1267" s="13" customFormat="1" x14ac:dyDescent="0.25"/>
    <row r="1268" s="13" customFormat="1" x14ac:dyDescent="0.25"/>
    <row r="1269" s="13" customFormat="1" x14ac:dyDescent="0.25"/>
    <row r="1270" s="13" customFormat="1" x14ac:dyDescent="0.25"/>
    <row r="1271" s="13" customFormat="1" x14ac:dyDescent="0.25"/>
    <row r="1272" s="13" customFormat="1" x14ac:dyDescent="0.25"/>
    <row r="1273" s="13" customFormat="1" x14ac:dyDescent="0.25"/>
  </sheetData>
  <mergeCells count="82">
    <mergeCell ref="C68:H68"/>
    <mergeCell ref="B22:B30"/>
    <mergeCell ref="C37:H37"/>
    <mergeCell ref="B35:B43"/>
    <mergeCell ref="C22:H22"/>
    <mergeCell ref="C23:H23"/>
    <mergeCell ref="C29:H29"/>
    <mergeCell ref="C35:H35"/>
    <mergeCell ref="C28:H28"/>
    <mergeCell ref="C30:H30"/>
    <mergeCell ref="C43:H43"/>
    <mergeCell ref="C38:H38"/>
    <mergeCell ref="C39:H39"/>
    <mergeCell ref="C42:H42"/>
    <mergeCell ref="C41:H41"/>
    <mergeCell ref="C62:H62"/>
    <mergeCell ref="C9:H9"/>
    <mergeCell ref="C8:H8"/>
    <mergeCell ref="C7:H7"/>
    <mergeCell ref="C36:H36"/>
    <mergeCell ref="C16:H16"/>
    <mergeCell ref="C25:H25"/>
    <mergeCell ref="C12:H12"/>
    <mergeCell ref="C13:H13"/>
    <mergeCell ref="C14:H14"/>
    <mergeCell ref="C31:H31"/>
    <mergeCell ref="C10:H10"/>
    <mergeCell ref="C17:H17"/>
    <mergeCell ref="C15:H15"/>
    <mergeCell ref="C2:H2"/>
    <mergeCell ref="B1:I1"/>
    <mergeCell ref="B3:B5"/>
    <mergeCell ref="C4:H4"/>
    <mergeCell ref="C5:H5"/>
    <mergeCell ref="I3:I4"/>
    <mergeCell ref="C3:H3"/>
    <mergeCell ref="C66:H66"/>
    <mergeCell ref="C61:H61"/>
    <mergeCell ref="C51:H51"/>
    <mergeCell ref="C52:H52"/>
    <mergeCell ref="C55:H55"/>
    <mergeCell ref="C54:H54"/>
    <mergeCell ref="C65:H65"/>
    <mergeCell ref="A145:E145"/>
    <mergeCell ref="A138:F138"/>
    <mergeCell ref="A139:F139"/>
    <mergeCell ref="A140:F140"/>
    <mergeCell ref="A141:F141"/>
    <mergeCell ref="A142:F142"/>
    <mergeCell ref="A143:F143"/>
    <mergeCell ref="B61:B68"/>
    <mergeCell ref="C56:H56"/>
    <mergeCell ref="C67:H67"/>
    <mergeCell ref="C27:H27"/>
    <mergeCell ref="B74:E74"/>
    <mergeCell ref="C40:H40"/>
    <mergeCell ref="C50:H50"/>
    <mergeCell ref="C53:H53"/>
    <mergeCell ref="C63:H63"/>
    <mergeCell ref="C64:H64"/>
    <mergeCell ref="C48:H48"/>
    <mergeCell ref="B70:B72"/>
    <mergeCell ref="C49:H49"/>
    <mergeCell ref="C70:H70"/>
    <mergeCell ref="C71:H71"/>
    <mergeCell ref="C72:H72"/>
    <mergeCell ref="B48:B58"/>
    <mergeCell ref="B7:B10"/>
    <mergeCell ref="B12:B20"/>
    <mergeCell ref="C57:H57"/>
    <mergeCell ref="C59:H59"/>
    <mergeCell ref="C58:H58"/>
    <mergeCell ref="C18:H18"/>
    <mergeCell ref="C20:H20"/>
    <mergeCell ref="C19:H19"/>
    <mergeCell ref="C33:H33"/>
    <mergeCell ref="C32:H32"/>
    <mergeCell ref="C44:H44"/>
    <mergeCell ref="C46:H46"/>
    <mergeCell ref="C45:H45"/>
    <mergeCell ref="C26:H26"/>
    <mergeCell ref="C24:H24"/>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DH978"/>
  <sheetViews>
    <sheetView zoomScale="50" zoomScaleNormal="50" workbookViewId="0">
      <pane ySplit="2" topLeftCell="A3" activePane="bottomLeft" state="frozen"/>
      <selection pane="bottomLeft" activeCell="K222" sqref="H210:K222"/>
    </sheetView>
  </sheetViews>
  <sheetFormatPr defaultColWidth="8.85546875" defaultRowHeight="15" x14ac:dyDescent="0.25"/>
  <cols>
    <col min="1" max="1" width="8.85546875" style="18"/>
    <col min="2" max="2" width="25" style="18" customWidth="1"/>
    <col min="3" max="3" width="18.140625" style="18" customWidth="1"/>
    <col min="4" max="4" width="9.42578125" style="18" customWidth="1"/>
    <col min="5" max="5" width="8.85546875" style="18" customWidth="1"/>
    <col min="6" max="6" width="9.42578125" style="18" customWidth="1"/>
    <col min="7" max="7" width="85.42578125" style="18" bestFit="1" customWidth="1"/>
    <col min="8" max="12" width="15.140625" style="16" customWidth="1"/>
    <col min="13" max="13" width="19" style="16" customWidth="1"/>
    <col min="14" max="14" width="17.140625" style="16" customWidth="1"/>
    <col min="15" max="15" width="64.140625" style="18" customWidth="1"/>
    <col min="16" max="16" width="18.140625" style="16" hidden="1" customWidth="1"/>
    <col min="17" max="17" width="8.85546875" style="357"/>
    <col min="18" max="18" width="25.140625" style="357" bestFit="1" customWidth="1"/>
    <col min="19" max="19" width="13.140625" style="357" bestFit="1" customWidth="1"/>
    <col min="20" max="20" width="14" style="357" customWidth="1"/>
    <col min="21" max="26" width="8.85546875" style="357"/>
    <col min="27" max="27" width="9.42578125" style="357" bestFit="1" customWidth="1"/>
    <col min="28" max="112" width="8.85546875" style="357"/>
    <col min="113" max="16384" width="8.85546875" style="18"/>
  </cols>
  <sheetData>
    <row r="1" spans="1:16" ht="24.6" customHeight="1" x14ac:dyDescent="0.25">
      <c r="A1" s="476" t="s">
        <v>19</v>
      </c>
      <c r="B1" s="477"/>
      <c r="C1" s="477"/>
      <c r="D1" s="477"/>
      <c r="E1" s="477"/>
      <c r="F1" s="477"/>
      <c r="G1" s="480" t="s">
        <v>2</v>
      </c>
      <c r="H1" s="468" t="s">
        <v>56</v>
      </c>
      <c r="I1" s="462" t="s">
        <v>20</v>
      </c>
      <c r="J1" s="462" t="s">
        <v>53</v>
      </c>
      <c r="K1" s="468" t="s">
        <v>193</v>
      </c>
      <c r="L1" s="468" t="s">
        <v>132</v>
      </c>
      <c r="M1" s="468" t="s">
        <v>286</v>
      </c>
      <c r="N1" s="462" t="s">
        <v>84</v>
      </c>
      <c r="O1" s="466" t="s">
        <v>55</v>
      </c>
      <c r="P1" s="466" t="s">
        <v>128</v>
      </c>
    </row>
    <row r="2" spans="1:16" ht="52.9" customHeight="1" thickBot="1" x14ac:dyDescent="0.3">
      <c r="A2" s="478"/>
      <c r="B2" s="479"/>
      <c r="C2" s="479"/>
      <c r="D2" s="479"/>
      <c r="E2" s="479"/>
      <c r="F2" s="479"/>
      <c r="G2" s="481"/>
      <c r="H2" s="469"/>
      <c r="I2" s="463"/>
      <c r="J2" s="463"/>
      <c r="K2" s="469"/>
      <c r="L2" s="463"/>
      <c r="M2" s="463"/>
      <c r="N2" s="463"/>
      <c r="O2" s="467"/>
      <c r="P2" s="467"/>
    </row>
    <row r="3" spans="1:16" ht="28.9" customHeight="1" thickBot="1" x14ac:dyDescent="0.3">
      <c r="A3" s="470" t="s">
        <v>181</v>
      </c>
      <c r="B3" s="471"/>
      <c r="C3" s="471"/>
      <c r="D3" s="471"/>
      <c r="E3" s="471"/>
      <c r="F3" s="471"/>
      <c r="G3" s="471"/>
      <c r="H3" s="471"/>
      <c r="I3" s="471"/>
      <c r="J3" s="471"/>
      <c r="K3" s="471"/>
      <c r="L3" s="471"/>
      <c r="M3" s="471"/>
      <c r="N3" s="471"/>
      <c r="O3" s="471"/>
      <c r="P3" s="472"/>
    </row>
    <row r="4" spans="1:16" ht="18.75" x14ac:dyDescent="0.3">
      <c r="A4" s="443" t="s">
        <v>21</v>
      </c>
      <c r="B4" s="444"/>
      <c r="C4" s="444"/>
      <c r="D4" s="444"/>
      <c r="E4" s="444"/>
      <c r="F4" s="444"/>
      <c r="G4" s="22" t="s">
        <v>146</v>
      </c>
      <c r="H4" s="28"/>
      <c r="I4" s="29"/>
      <c r="J4" s="28"/>
      <c r="K4" s="29"/>
      <c r="L4" s="28"/>
      <c r="M4" s="29"/>
      <c r="N4" s="86">
        <f>IF(H4&gt;0, ($I4+$J4+$K4)/$H4,0)</f>
        <v>0</v>
      </c>
      <c r="O4" s="340"/>
      <c r="P4" s="338"/>
    </row>
    <row r="5" spans="1:16" ht="14.45" customHeight="1" x14ac:dyDescent="0.3">
      <c r="A5" s="437" t="s">
        <v>22</v>
      </c>
      <c r="B5" s="438"/>
      <c r="C5" s="438"/>
      <c r="D5" s="438"/>
      <c r="E5" s="438"/>
      <c r="F5" s="438"/>
      <c r="G5" s="20" t="s">
        <v>145</v>
      </c>
      <c r="H5" s="31"/>
      <c r="I5" s="32"/>
      <c r="J5" s="31"/>
      <c r="K5" s="32"/>
      <c r="L5" s="31"/>
      <c r="M5" s="32"/>
      <c r="N5" s="87">
        <f t="shared" ref="N5:N40" si="0">IF(H5&gt;0, ($I5+$J5+$K5)/$H5,0)</f>
        <v>0</v>
      </c>
      <c r="O5" s="20" t="s">
        <v>96</v>
      </c>
      <c r="P5" s="32"/>
    </row>
    <row r="6" spans="1:16" ht="14.45" customHeight="1" x14ac:dyDescent="0.3">
      <c r="A6" s="440" t="s">
        <v>23</v>
      </c>
      <c r="B6" s="441"/>
      <c r="C6" s="441"/>
      <c r="D6" s="441"/>
      <c r="E6" s="441"/>
      <c r="F6" s="441"/>
      <c r="G6" s="21" t="s">
        <v>145</v>
      </c>
      <c r="H6" s="33"/>
      <c r="I6" s="34"/>
      <c r="J6" s="33"/>
      <c r="K6" s="34"/>
      <c r="L6" s="33"/>
      <c r="M6" s="34"/>
      <c r="N6" s="88">
        <f t="shared" si="0"/>
        <v>0</v>
      </c>
      <c r="O6" s="21"/>
      <c r="P6" s="34"/>
    </row>
    <row r="7" spans="1:16" ht="14.45" customHeight="1" x14ac:dyDescent="0.3">
      <c r="A7" s="437" t="s">
        <v>24</v>
      </c>
      <c r="B7" s="438"/>
      <c r="C7" s="438"/>
      <c r="D7" s="438"/>
      <c r="E7" s="438"/>
      <c r="F7" s="438"/>
      <c r="G7" s="20" t="s">
        <v>145</v>
      </c>
      <c r="H7" s="31"/>
      <c r="I7" s="32"/>
      <c r="J7" s="31"/>
      <c r="K7" s="32"/>
      <c r="L7" s="31"/>
      <c r="M7" s="32"/>
      <c r="N7" s="87">
        <f t="shared" si="0"/>
        <v>0</v>
      </c>
      <c r="O7" s="20" t="s">
        <v>95</v>
      </c>
      <c r="P7" s="32"/>
    </row>
    <row r="8" spans="1:16" ht="14.45" customHeight="1" x14ac:dyDescent="0.3">
      <c r="A8" s="440" t="s">
        <v>161</v>
      </c>
      <c r="B8" s="441"/>
      <c r="C8" s="441"/>
      <c r="D8" s="441"/>
      <c r="E8" s="441"/>
      <c r="F8" s="441"/>
      <c r="G8" s="21" t="s">
        <v>160</v>
      </c>
      <c r="H8" s="33"/>
      <c r="I8" s="34"/>
      <c r="J8" s="33"/>
      <c r="K8" s="34"/>
      <c r="L8" s="33"/>
      <c r="M8" s="34"/>
      <c r="N8" s="88">
        <f t="shared" si="0"/>
        <v>0</v>
      </c>
      <c r="O8" s="21"/>
      <c r="P8" s="34"/>
    </row>
    <row r="9" spans="1:16" ht="15" customHeight="1" x14ac:dyDescent="0.3">
      <c r="A9" s="437"/>
      <c r="B9" s="438"/>
      <c r="C9" s="438"/>
      <c r="D9" s="438"/>
      <c r="E9" s="438"/>
      <c r="F9" s="438"/>
      <c r="G9" s="20"/>
      <c r="H9" s="31"/>
      <c r="I9" s="32"/>
      <c r="J9" s="31"/>
      <c r="K9" s="32"/>
      <c r="L9" s="31"/>
      <c r="M9" s="32"/>
      <c r="N9" s="87">
        <f t="shared" si="0"/>
        <v>0</v>
      </c>
      <c r="O9" s="20"/>
      <c r="P9" s="32"/>
    </row>
    <row r="10" spans="1:16" ht="15" customHeight="1" x14ac:dyDescent="0.3">
      <c r="A10" s="440"/>
      <c r="B10" s="441"/>
      <c r="C10" s="441"/>
      <c r="D10" s="441"/>
      <c r="E10" s="441"/>
      <c r="F10" s="441"/>
      <c r="G10" s="21"/>
      <c r="H10" s="33"/>
      <c r="I10" s="34"/>
      <c r="J10" s="33"/>
      <c r="K10" s="34"/>
      <c r="L10" s="33"/>
      <c r="M10" s="34"/>
      <c r="N10" s="88">
        <f t="shared" si="0"/>
        <v>0</v>
      </c>
      <c r="O10" s="21"/>
      <c r="P10" s="34"/>
    </row>
    <row r="11" spans="1:16" ht="15" customHeight="1" x14ac:dyDescent="0.3">
      <c r="A11" s="443" t="s">
        <v>25</v>
      </c>
      <c r="B11" s="444"/>
      <c r="C11" s="444"/>
      <c r="D11" s="444"/>
      <c r="E11" s="444"/>
      <c r="F11" s="444"/>
      <c r="G11" s="22" t="s">
        <v>57</v>
      </c>
      <c r="H11" s="28"/>
      <c r="I11" s="29"/>
      <c r="J11" s="28"/>
      <c r="K11" s="29"/>
      <c r="L11" s="28"/>
      <c r="M11" s="29"/>
      <c r="N11" s="86">
        <f t="shared" si="0"/>
        <v>0</v>
      </c>
      <c r="O11" s="22"/>
      <c r="P11" s="29"/>
    </row>
    <row r="12" spans="1:16" ht="15" customHeight="1" x14ac:dyDescent="0.3">
      <c r="A12" s="437"/>
      <c r="B12" s="438"/>
      <c r="C12" s="438"/>
      <c r="D12" s="438"/>
      <c r="E12" s="438"/>
      <c r="F12" s="438"/>
      <c r="G12" s="20"/>
      <c r="H12" s="31"/>
      <c r="I12" s="32"/>
      <c r="J12" s="31"/>
      <c r="K12" s="32"/>
      <c r="L12" s="31"/>
      <c r="M12" s="32"/>
      <c r="N12" s="87">
        <f t="shared" si="0"/>
        <v>0</v>
      </c>
      <c r="O12" s="20"/>
      <c r="P12" s="32"/>
    </row>
    <row r="13" spans="1:16" ht="15" customHeight="1" x14ac:dyDescent="0.3">
      <c r="A13" s="440"/>
      <c r="B13" s="441"/>
      <c r="C13" s="441"/>
      <c r="D13" s="441"/>
      <c r="E13" s="441"/>
      <c r="F13" s="441"/>
      <c r="G13" s="21"/>
      <c r="H13" s="33"/>
      <c r="I13" s="34"/>
      <c r="J13" s="33"/>
      <c r="K13" s="34"/>
      <c r="L13" s="33"/>
      <c r="M13" s="34"/>
      <c r="N13" s="88">
        <f t="shared" si="0"/>
        <v>0</v>
      </c>
      <c r="O13" s="21"/>
      <c r="P13" s="34"/>
    </row>
    <row r="14" spans="1:16" ht="14.45" customHeight="1" x14ac:dyDescent="0.3">
      <c r="A14" s="443" t="s">
        <v>75</v>
      </c>
      <c r="B14" s="444"/>
      <c r="C14" s="444"/>
      <c r="D14" s="444"/>
      <c r="E14" s="444"/>
      <c r="F14" s="444"/>
      <c r="G14" s="22" t="s">
        <v>63</v>
      </c>
      <c r="H14" s="28"/>
      <c r="I14" s="29"/>
      <c r="J14" s="28"/>
      <c r="K14" s="29"/>
      <c r="L14" s="28"/>
      <c r="M14" s="29"/>
      <c r="N14" s="86">
        <f t="shared" si="0"/>
        <v>0</v>
      </c>
      <c r="O14" s="22" t="s">
        <v>97</v>
      </c>
      <c r="P14" s="29"/>
    </row>
    <row r="15" spans="1:16" ht="15" customHeight="1" x14ac:dyDescent="0.3">
      <c r="A15" s="437"/>
      <c r="B15" s="438"/>
      <c r="C15" s="438"/>
      <c r="D15" s="438"/>
      <c r="E15" s="438"/>
      <c r="F15" s="438"/>
      <c r="G15" s="20"/>
      <c r="H15" s="31"/>
      <c r="I15" s="32"/>
      <c r="J15" s="31"/>
      <c r="K15" s="32"/>
      <c r="L15" s="31"/>
      <c r="M15" s="32"/>
      <c r="N15" s="87">
        <f t="shared" si="0"/>
        <v>0</v>
      </c>
      <c r="O15" s="20"/>
      <c r="P15" s="32"/>
    </row>
    <row r="16" spans="1:16" ht="15" customHeight="1" x14ac:dyDescent="0.3">
      <c r="A16" s="440"/>
      <c r="B16" s="441"/>
      <c r="C16" s="441"/>
      <c r="D16" s="441"/>
      <c r="E16" s="441"/>
      <c r="F16" s="441"/>
      <c r="G16" s="21"/>
      <c r="H16" s="33"/>
      <c r="I16" s="34"/>
      <c r="J16" s="33"/>
      <c r="K16" s="34"/>
      <c r="L16" s="33"/>
      <c r="M16" s="34"/>
      <c r="N16" s="88">
        <f t="shared" si="0"/>
        <v>0</v>
      </c>
      <c r="O16" s="21"/>
      <c r="P16" s="34"/>
    </row>
    <row r="17" spans="1:16" ht="15" customHeight="1" x14ac:dyDescent="0.3">
      <c r="A17" s="437"/>
      <c r="B17" s="438"/>
      <c r="C17" s="438"/>
      <c r="D17" s="438"/>
      <c r="E17" s="438"/>
      <c r="F17" s="438"/>
      <c r="G17" s="20"/>
      <c r="H17" s="31"/>
      <c r="I17" s="32"/>
      <c r="J17" s="31"/>
      <c r="K17" s="32"/>
      <c r="L17" s="31"/>
      <c r="M17" s="32"/>
      <c r="N17" s="87">
        <f t="shared" si="0"/>
        <v>0</v>
      </c>
      <c r="O17" s="20"/>
      <c r="P17" s="32"/>
    </row>
    <row r="18" spans="1:16" ht="15" customHeight="1" x14ac:dyDescent="0.3">
      <c r="A18" s="440"/>
      <c r="B18" s="441"/>
      <c r="C18" s="441"/>
      <c r="D18" s="441"/>
      <c r="E18" s="441"/>
      <c r="F18" s="441"/>
      <c r="G18" s="21"/>
      <c r="H18" s="33"/>
      <c r="I18" s="34"/>
      <c r="J18" s="33"/>
      <c r="K18" s="34"/>
      <c r="L18" s="33"/>
      <c r="M18" s="34"/>
      <c r="N18" s="88">
        <f t="shared" si="0"/>
        <v>0</v>
      </c>
      <c r="O18" s="21"/>
      <c r="P18" s="34"/>
    </row>
    <row r="19" spans="1:16" ht="15" customHeight="1" x14ac:dyDescent="0.3">
      <c r="A19" s="437"/>
      <c r="B19" s="438"/>
      <c r="C19" s="438"/>
      <c r="D19" s="438"/>
      <c r="E19" s="438"/>
      <c r="F19" s="438"/>
      <c r="G19" s="20"/>
      <c r="H19" s="31"/>
      <c r="I19" s="32"/>
      <c r="J19" s="31"/>
      <c r="K19" s="32"/>
      <c r="L19" s="31"/>
      <c r="M19" s="32"/>
      <c r="N19" s="87">
        <f t="shared" si="0"/>
        <v>0</v>
      </c>
      <c r="O19" s="20"/>
      <c r="P19" s="32"/>
    </row>
    <row r="20" spans="1:16" ht="15" customHeight="1" thickBot="1" x14ac:dyDescent="0.35">
      <c r="A20" s="440"/>
      <c r="B20" s="441"/>
      <c r="C20" s="441"/>
      <c r="D20" s="441"/>
      <c r="E20" s="441"/>
      <c r="F20" s="441"/>
      <c r="G20" s="21"/>
      <c r="H20" s="33"/>
      <c r="I20" s="34"/>
      <c r="J20" s="33"/>
      <c r="K20" s="34"/>
      <c r="L20" s="33"/>
      <c r="M20" s="34"/>
      <c r="N20" s="88">
        <f t="shared" si="0"/>
        <v>0</v>
      </c>
      <c r="O20" s="21"/>
      <c r="P20" s="34"/>
    </row>
    <row r="21" spans="1:16" ht="15" customHeight="1" thickBot="1" x14ac:dyDescent="0.35">
      <c r="A21" s="464" t="s">
        <v>76</v>
      </c>
      <c r="B21" s="465"/>
      <c r="C21" s="465"/>
      <c r="D21" s="465"/>
      <c r="E21" s="465"/>
      <c r="F21" s="465"/>
      <c r="G21" s="23" t="s">
        <v>59</v>
      </c>
      <c r="H21" s="35"/>
      <c r="I21" s="36"/>
      <c r="J21" s="35"/>
      <c r="K21" s="36"/>
      <c r="L21" s="35"/>
      <c r="M21" s="36"/>
      <c r="N21" s="89">
        <f t="shared" si="0"/>
        <v>0</v>
      </c>
      <c r="O21" s="346"/>
      <c r="P21" s="339"/>
    </row>
    <row r="22" spans="1:16" ht="15" customHeight="1" x14ac:dyDescent="0.3">
      <c r="A22" s="437" t="s">
        <v>26</v>
      </c>
      <c r="B22" s="438"/>
      <c r="C22" s="438"/>
      <c r="D22" s="438"/>
      <c r="E22" s="438"/>
      <c r="F22" s="438"/>
      <c r="G22" s="20" t="s">
        <v>58</v>
      </c>
      <c r="H22" s="31"/>
      <c r="I22" s="32"/>
      <c r="J22" s="31"/>
      <c r="K22" s="32"/>
      <c r="L22" s="31"/>
      <c r="M22" s="32"/>
      <c r="N22" s="87">
        <f t="shared" si="0"/>
        <v>0</v>
      </c>
      <c r="O22" s="20"/>
      <c r="P22" s="32"/>
    </row>
    <row r="23" spans="1:16" ht="15" customHeight="1" x14ac:dyDescent="0.3">
      <c r="A23" s="440" t="s">
        <v>27</v>
      </c>
      <c r="B23" s="441"/>
      <c r="C23" s="441"/>
      <c r="D23" s="441"/>
      <c r="E23" s="441"/>
      <c r="F23" s="441"/>
      <c r="G23" s="21" t="s">
        <v>59</v>
      </c>
      <c r="H23" s="33"/>
      <c r="I23" s="34"/>
      <c r="J23" s="33"/>
      <c r="K23" s="34"/>
      <c r="L23" s="33"/>
      <c r="M23" s="34"/>
      <c r="N23" s="88">
        <f t="shared" si="0"/>
        <v>0</v>
      </c>
      <c r="O23" s="21"/>
      <c r="P23" s="34"/>
    </row>
    <row r="24" spans="1:16" ht="15" customHeight="1" x14ac:dyDescent="0.3">
      <c r="A24" s="437" t="s">
        <v>28</v>
      </c>
      <c r="B24" s="438"/>
      <c r="C24" s="438"/>
      <c r="D24" s="438"/>
      <c r="E24" s="438"/>
      <c r="F24" s="438"/>
      <c r="G24" s="20" t="s">
        <v>59</v>
      </c>
      <c r="H24" s="31"/>
      <c r="I24" s="32"/>
      <c r="J24" s="31"/>
      <c r="K24" s="32"/>
      <c r="L24" s="31"/>
      <c r="M24" s="32"/>
      <c r="N24" s="87">
        <f t="shared" si="0"/>
        <v>0</v>
      </c>
      <c r="O24" s="20"/>
      <c r="P24" s="32"/>
    </row>
    <row r="25" spans="1:16" ht="15" customHeight="1" x14ac:dyDescent="0.3">
      <c r="A25" s="440" t="s">
        <v>162</v>
      </c>
      <c r="B25" s="441"/>
      <c r="C25" s="441"/>
      <c r="D25" s="441"/>
      <c r="E25" s="441"/>
      <c r="F25" s="441"/>
      <c r="G25" s="21"/>
      <c r="H25" s="33"/>
      <c r="I25" s="34"/>
      <c r="J25" s="33"/>
      <c r="K25" s="34"/>
      <c r="L25" s="33"/>
      <c r="M25" s="34"/>
      <c r="N25" s="88">
        <f t="shared" si="0"/>
        <v>0</v>
      </c>
      <c r="O25" s="21"/>
      <c r="P25" s="34"/>
    </row>
    <row r="26" spans="1:16" ht="15" customHeight="1" x14ac:dyDescent="0.3">
      <c r="A26" s="437"/>
      <c r="B26" s="438"/>
      <c r="C26" s="438"/>
      <c r="D26" s="438"/>
      <c r="E26" s="438"/>
      <c r="F26" s="438"/>
      <c r="G26" s="20"/>
      <c r="H26" s="31"/>
      <c r="I26" s="32"/>
      <c r="J26" s="31"/>
      <c r="K26" s="32"/>
      <c r="L26" s="31"/>
      <c r="M26" s="32"/>
      <c r="N26" s="87">
        <f t="shared" si="0"/>
        <v>0</v>
      </c>
      <c r="O26" s="20"/>
      <c r="P26" s="32"/>
    </row>
    <row r="27" spans="1:16" ht="15" customHeight="1" x14ac:dyDescent="0.3">
      <c r="A27" s="440"/>
      <c r="B27" s="441"/>
      <c r="C27" s="441"/>
      <c r="D27" s="441"/>
      <c r="E27" s="441"/>
      <c r="F27" s="441"/>
      <c r="G27" s="21"/>
      <c r="H27" s="33"/>
      <c r="I27" s="34"/>
      <c r="J27" s="33"/>
      <c r="K27" s="34"/>
      <c r="L27" s="33"/>
      <c r="M27" s="34"/>
      <c r="N27" s="88">
        <f t="shared" si="0"/>
        <v>0</v>
      </c>
      <c r="O27" s="21"/>
      <c r="P27" s="34"/>
    </row>
    <row r="28" spans="1:16" ht="15" customHeight="1" x14ac:dyDescent="0.3">
      <c r="A28" s="443" t="s">
        <v>77</v>
      </c>
      <c r="B28" s="444"/>
      <c r="C28" s="444"/>
      <c r="D28" s="444"/>
      <c r="E28" s="444"/>
      <c r="F28" s="444"/>
      <c r="G28" s="22" t="s">
        <v>59</v>
      </c>
      <c r="H28" s="28"/>
      <c r="I28" s="29"/>
      <c r="J28" s="28"/>
      <c r="K28" s="29"/>
      <c r="L28" s="28"/>
      <c r="M28" s="29"/>
      <c r="N28" s="86">
        <f t="shared" si="0"/>
        <v>0</v>
      </c>
      <c r="O28" s="19"/>
      <c r="P28" s="39"/>
    </row>
    <row r="29" spans="1:16" ht="15" customHeight="1" x14ac:dyDescent="0.3">
      <c r="A29" s="437" t="s">
        <v>83</v>
      </c>
      <c r="B29" s="438"/>
      <c r="C29" s="438"/>
      <c r="D29" s="438"/>
      <c r="E29" s="438"/>
      <c r="F29" s="438"/>
      <c r="G29" s="20" t="s">
        <v>59</v>
      </c>
      <c r="H29" s="31"/>
      <c r="I29" s="32"/>
      <c r="J29" s="31"/>
      <c r="K29" s="32"/>
      <c r="L29" s="31"/>
      <c r="M29" s="32"/>
      <c r="N29" s="87">
        <f t="shared" si="0"/>
        <v>0</v>
      </c>
      <c r="O29" s="20"/>
      <c r="P29" s="32"/>
    </row>
    <row r="30" spans="1:16" ht="14.45" customHeight="1" x14ac:dyDescent="0.3">
      <c r="A30" s="440" t="s">
        <v>29</v>
      </c>
      <c r="B30" s="441"/>
      <c r="C30" s="441"/>
      <c r="D30" s="441"/>
      <c r="E30" s="441"/>
      <c r="F30" s="441"/>
      <c r="G30" s="21" t="s">
        <v>60</v>
      </c>
      <c r="H30" s="37"/>
      <c r="I30" s="34"/>
      <c r="J30" s="33"/>
      <c r="K30" s="34"/>
      <c r="L30" s="33"/>
      <c r="M30" s="34"/>
      <c r="N30" s="88">
        <f t="shared" si="0"/>
        <v>0</v>
      </c>
      <c r="O30" s="21"/>
      <c r="P30" s="34"/>
    </row>
    <row r="31" spans="1:16" ht="15" customHeight="1" x14ac:dyDescent="0.3">
      <c r="A31" s="437" t="s">
        <v>54</v>
      </c>
      <c r="B31" s="438"/>
      <c r="C31" s="438"/>
      <c r="D31" s="438"/>
      <c r="E31" s="438"/>
      <c r="F31" s="438"/>
      <c r="G31" s="20" t="s">
        <v>60</v>
      </c>
      <c r="H31" s="31"/>
      <c r="I31" s="32"/>
      <c r="J31" s="31"/>
      <c r="K31" s="32"/>
      <c r="L31" s="31"/>
      <c r="M31" s="32"/>
      <c r="N31" s="87">
        <f t="shared" si="0"/>
        <v>0</v>
      </c>
      <c r="O31" s="20"/>
      <c r="P31" s="32"/>
    </row>
    <row r="32" spans="1:16" ht="15" customHeight="1" x14ac:dyDescent="0.3">
      <c r="A32" s="440" t="s">
        <v>163</v>
      </c>
      <c r="B32" s="441"/>
      <c r="C32" s="441"/>
      <c r="D32" s="441"/>
      <c r="E32" s="441"/>
      <c r="F32" s="441"/>
      <c r="G32" s="21" t="s">
        <v>165</v>
      </c>
      <c r="H32" s="33"/>
      <c r="I32" s="34"/>
      <c r="J32" s="33"/>
      <c r="K32" s="34"/>
      <c r="L32" s="33"/>
      <c r="M32" s="34"/>
      <c r="N32" s="88">
        <f t="shared" si="0"/>
        <v>0</v>
      </c>
      <c r="O32" s="21"/>
      <c r="P32" s="34"/>
    </row>
    <row r="33" spans="1:16" ht="15" customHeight="1" x14ac:dyDescent="0.3">
      <c r="A33" s="437" t="s">
        <v>164</v>
      </c>
      <c r="B33" s="438"/>
      <c r="C33" s="438"/>
      <c r="D33" s="438"/>
      <c r="E33" s="438"/>
      <c r="F33" s="438"/>
      <c r="G33" s="20"/>
      <c r="H33" s="31"/>
      <c r="I33" s="32"/>
      <c r="J33" s="31"/>
      <c r="K33" s="32"/>
      <c r="L33" s="31"/>
      <c r="M33" s="32"/>
      <c r="N33" s="87">
        <f t="shared" si="0"/>
        <v>0</v>
      </c>
      <c r="O33" s="20"/>
      <c r="P33" s="32"/>
    </row>
    <row r="34" spans="1:16" ht="15" customHeight="1" x14ac:dyDescent="0.3">
      <c r="A34" s="440"/>
      <c r="B34" s="441"/>
      <c r="C34" s="441"/>
      <c r="D34" s="441"/>
      <c r="E34" s="441"/>
      <c r="F34" s="442"/>
      <c r="G34" s="21"/>
      <c r="H34" s="33"/>
      <c r="I34" s="34"/>
      <c r="J34" s="33"/>
      <c r="K34" s="34"/>
      <c r="L34" s="33"/>
      <c r="M34" s="34"/>
      <c r="N34" s="88">
        <f t="shared" si="0"/>
        <v>0</v>
      </c>
      <c r="O34" s="21"/>
      <c r="P34" s="34"/>
    </row>
    <row r="35" spans="1:16" ht="15" customHeight="1" x14ac:dyDescent="0.3">
      <c r="A35" s="434"/>
      <c r="B35" s="435"/>
      <c r="C35" s="435"/>
      <c r="D35" s="435"/>
      <c r="E35" s="435"/>
      <c r="F35" s="436"/>
      <c r="G35" s="20"/>
      <c r="H35" s="31"/>
      <c r="I35" s="32"/>
      <c r="J35" s="31"/>
      <c r="K35" s="32"/>
      <c r="L35" s="31"/>
      <c r="M35" s="32"/>
      <c r="N35" s="87">
        <f t="shared" si="0"/>
        <v>0</v>
      </c>
      <c r="O35" s="20"/>
      <c r="P35" s="32"/>
    </row>
    <row r="36" spans="1:16" ht="15" customHeight="1" x14ac:dyDescent="0.3">
      <c r="A36" s="440"/>
      <c r="B36" s="441"/>
      <c r="C36" s="441"/>
      <c r="D36" s="441"/>
      <c r="E36" s="441"/>
      <c r="F36" s="441"/>
      <c r="G36" s="21"/>
      <c r="H36" s="33"/>
      <c r="I36" s="34"/>
      <c r="J36" s="33"/>
      <c r="K36" s="34"/>
      <c r="L36" s="33"/>
      <c r="M36" s="34"/>
      <c r="N36" s="88">
        <f t="shared" si="0"/>
        <v>0</v>
      </c>
      <c r="O36" s="21"/>
      <c r="P36" s="34"/>
    </row>
    <row r="37" spans="1:16" ht="15" customHeight="1" x14ac:dyDescent="0.3">
      <c r="A37" s="437"/>
      <c r="B37" s="438"/>
      <c r="C37" s="438"/>
      <c r="D37" s="438"/>
      <c r="E37" s="438"/>
      <c r="F37" s="439"/>
      <c r="G37" s="20"/>
      <c r="H37" s="31"/>
      <c r="I37" s="32"/>
      <c r="J37" s="31"/>
      <c r="K37" s="32"/>
      <c r="L37" s="31"/>
      <c r="M37" s="32"/>
      <c r="N37" s="87">
        <f t="shared" si="0"/>
        <v>0</v>
      </c>
      <c r="O37" s="20"/>
      <c r="P37" s="32"/>
    </row>
    <row r="38" spans="1:16" ht="15" customHeight="1" x14ac:dyDescent="0.3">
      <c r="A38" s="443" t="s">
        <v>174</v>
      </c>
      <c r="B38" s="444"/>
      <c r="C38" s="444"/>
      <c r="D38" s="444"/>
      <c r="E38" s="444"/>
      <c r="F38" s="444"/>
      <c r="G38" s="19" t="s">
        <v>60</v>
      </c>
      <c r="H38" s="28"/>
      <c r="I38" s="29"/>
      <c r="J38" s="28"/>
      <c r="K38" s="29"/>
      <c r="L38" s="28"/>
      <c r="M38" s="29"/>
      <c r="N38" s="86">
        <f t="shared" si="0"/>
        <v>0</v>
      </c>
      <c r="O38" s="19"/>
      <c r="P38" s="39"/>
    </row>
    <row r="39" spans="1:16" ht="14.45" customHeight="1" x14ac:dyDescent="0.3">
      <c r="A39" s="437"/>
      <c r="B39" s="438"/>
      <c r="C39" s="438"/>
      <c r="D39" s="438"/>
      <c r="E39" s="438"/>
      <c r="F39" s="438"/>
      <c r="G39" s="20" t="s">
        <v>166</v>
      </c>
      <c r="H39" s="38"/>
      <c r="I39" s="32"/>
      <c r="J39" s="31"/>
      <c r="K39" s="32"/>
      <c r="L39" s="31"/>
      <c r="M39" s="32"/>
      <c r="N39" s="87">
        <f t="shared" si="0"/>
        <v>0</v>
      </c>
      <c r="O39" s="20"/>
      <c r="P39" s="32"/>
    </row>
    <row r="40" spans="1:16" ht="15" customHeight="1" thickBot="1" x14ac:dyDescent="0.35">
      <c r="A40" s="440"/>
      <c r="B40" s="441"/>
      <c r="C40" s="441"/>
      <c r="D40" s="441"/>
      <c r="E40" s="441"/>
      <c r="F40" s="441"/>
      <c r="G40" s="21"/>
      <c r="H40" s="33"/>
      <c r="I40" s="34"/>
      <c r="J40" s="33"/>
      <c r="K40" s="34"/>
      <c r="L40" s="33"/>
      <c r="M40" s="34"/>
      <c r="N40" s="88">
        <f t="shared" si="0"/>
        <v>0</v>
      </c>
      <c r="O40" s="27"/>
      <c r="P40" s="43"/>
    </row>
    <row r="41" spans="1:16" ht="45.6" customHeight="1" thickBot="1" x14ac:dyDescent="0.3">
      <c r="A41" s="473" t="s">
        <v>180</v>
      </c>
      <c r="B41" s="474"/>
      <c r="C41" s="474"/>
      <c r="D41" s="474"/>
      <c r="E41" s="474"/>
      <c r="F41" s="474"/>
      <c r="G41" s="474"/>
      <c r="H41" s="474"/>
      <c r="I41" s="474"/>
      <c r="J41" s="474"/>
      <c r="K41" s="474"/>
      <c r="L41" s="474"/>
      <c r="M41" s="474"/>
      <c r="N41" s="474"/>
      <c r="O41" s="474"/>
      <c r="P41" s="475"/>
    </row>
    <row r="42" spans="1:16" ht="15" customHeight="1" x14ac:dyDescent="0.3">
      <c r="A42" s="443" t="s">
        <v>175</v>
      </c>
      <c r="B42" s="444"/>
      <c r="C42" s="444"/>
      <c r="D42" s="444"/>
      <c r="E42" s="444"/>
      <c r="F42" s="444"/>
      <c r="G42" s="22" t="s">
        <v>60</v>
      </c>
      <c r="H42" s="28"/>
      <c r="I42" s="29"/>
      <c r="J42" s="28"/>
      <c r="K42" s="29"/>
      <c r="L42" s="28"/>
      <c r="M42" s="29"/>
      <c r="N42" s="86">
        <f t="shared" ref="N42:N57" si="1">IF(H42&gt;0, ($I42+$J42+$K42)/$H42,0)</f>
        <v>0</v>
      </c>
      <c r="O42" s="340"/>
      <c r="P42" s="338"/>
    </row>
    <row r="43" spans="1:16" ht="15" customHeight="1" x14ac:dyDescent="0.3">
      <c r="A43" s="437" t="s">
        <v>32</v>
      </c>
      <c r="B43" s="438"/>
      <c r="C43" s="438"/>
      <c r="D43" s="438"/>
      <c r="E43" s="438"/>
      <c r="F43" s="438"/>
      <c r="G43" s="20" t="s">
        <v>60</v>
      </c>
      <c r="H43" s="38"/>
      <c r="I43" s="32"/>
      <c r="J43" s="31"/>
      <c r="K43" s="32"/>
      <c r="L43" s="31"/>
      <c r="M43" s="32"/>
      <c r="N43" s="87">
        <f t="shared" si="1"/>
        <v>0</v>
      </c>
      <c r="O43" s="20" t="s">
        <v>99</v>
      </c>
      <c r="P43" s="32"/>
    </row>
    <row r="44" spans="1:16" ht="14.45" customHeight="1" x14ac:dyDescent="0.3">
      <c r="A44" s="440" t="s">
        <v>33</v>
      </c>
      <c r="B44" s="441"/>
      <c r="C44" s="441"/>
      <c r="D44" s="441"/>
      <c r="E44" s="441"/>
      <c r="F44" s="441"/>
      <c r="G44" s="21" t="s">
        <v>61</v>
      </c>
      <c r="H44" s="37"/>
      <c r="I44" s="34"/>
      <c r="J44" s="33"/>
      <c r="K44" s="34"/>
      <c r="L44" s="33"/>
      <c r="M44" s="34"/>
      <c r="N44" s="88">
        <f t="shared" si="1"/>
        <v>0</v>
      </c>
      <c r="O44" s="21" t="s">
        <v>98</v>
      </c>
      <c r="P44" s="34"/>
    </row>
    <row r="45" spans="1:16" ht="14.45" customHeight="1" x14ac:dyDescent="0.3">
      <c r="A45" s="437" t="s">
        <v>34</v>
      </c>
      <c r="B45" s="438"/>
      <c r="C45" s="438"/>
      <c r="D45" s="438"/>
      <c r="E45" s="438"/>
      <c r="F45" s="438"/>
      <c r="G45" s="20" t="s">
        <v>61</v>
      </c>
      <c r="H45" s="31"/>
      <c r="I45" s="32"/>
      <c r="J45" s="31"/>
      <c r="K45" s="32"/>
      <c r="L45" s="31"/>
      <c r="M45" s="32"/>
      <c r="N45" s="87">
        <f t="shared" si="1"/>
        <v>0</v>
      </c>
      <c r="O45" s="20" t="s">
        <v>100</v>
      </c>
      <c r="P45" s="32"/>
    </row>
    <row r="46" spans="1:16" ht="14.45" customHeight="1" x14ac:dyDescent="0.3">
      <c r="A46" s="440" t="s">
        <v>92</v>
      </c>
      <c r="B46" s="441"/>
      <c r="C46" s="441"/>
      <c r="D46" s="441"/>
      <c r="E46" s="441"/>
      <c r="F46" s="441"/>
      <c r="G46" s="21"/>
      <c r="H46" s="33"/>
      <c r="I46" s="34"/>
      <c r="J46" s="33"/>
      <c r="K46" s="34"/>
      <c r="L46" s="33"/>
      <c r="M46" s="34"/>
      <c r="N46" s="88">
        <f t="shared" si="1"/>
        <v>0</v>
      </c>
      <c r="O46" s="21"/>
      <c r="P46" s="34"/>
    </row>
    <row r="47" spans="1:16" ht="14.45" customHeight="1" x14ac:dyDescent="0.3">
      <c r="A47" s="437"/>
      <c r="B47" s="438"/>
      <c r="C47" s="438"/>
      <c r="D47" s="438"/>
      <c r="E47" s="438"/>
      <c r="F47" s="438"/>
      <c r="G47" s="20"/>
      <c r="H47" s="31"/>
      <c r="I47" s="32"/>
      <c r="J47" s="31"/>
      <c r="K47" s="32"/>
      <c r="L47" s="31"/>
      <c r="M47" s="32"/>
      <c r="N47" s="87">
        <f t="shared" si="1"/>
        <v>0</v>
      </c>
      <c r="O47" s="20"/>
      <c r="P47" s="32"/>
    </row>
    <row r="48" spans="1:16" ht="14.45" customHeight="1" x14ac:dyDescent="0.3">
      <c r="A48" s="443" t="str">
        <f>IF('Breeding Inputs'!I17="Y", "2.2 MAB","")</f>
        <v/>
      </c>
      <c r="B48" s="444"/>
      <c r="C48" s="444"/>
      <c r="D48" s="444"/>
      <c r="E48" s="444"/>
      <c r="F48" s="444"/>
      <c r="G48" s="19" t="s">
        <v>63</v>
      </c>
      <c r="H48" s="30"/>
      <c r="I48" s="39"/>
      <c r="J48" s="30"/>
      <c r="K48" s="39"/>
      <c r="L48" s="30"/>
      <c r="M48" s="39"/>
      <c r="N48" s="90">
        <f t="shared" si="1"/>
        <v>0</v>
      </c>
      <c r="O48" s="19"/>
      <c r="P48" s="39"/>
    </row>
    <row r="49" spans="1:16" ht="15" customHeight="1" x14ac:dyDescent="0.3">
      <c r="A49" s="437" t="s">
        <v>78</v>
      </c>
      <c r="B49" s="438"/>
      <c r="C49" s="438"/>
      <c r="D49" s="438"/>
      <c r="E49" s="438"/>
      <c r="F49" s="438"/>
      <c r="G49" s="20" t="s">
        <v>63</v>
      </c>
      <c r="H49" s="31"/>
      <c r="I49" s="32"/>
      <c r="J49" s="31"/>
      <c r="K49" s="32"/>
      <c r="L49" s="31"/>
      <c r="M49" s="32"/>
      <c r="N49" s="87">
        <f t="shared" si="1"/>
        <v>0</v>
      </c>
      <c r="O49" s="20"/>
      <c r="P49" s="32"/>
    </row>
    <row r="50" spans="1:16" ht="15" customHeight="1" x14ac:dyDescent="0.3">
      <c r="A50" s="440" t="s">
        <v>79</v>
      </c>
      <c r="B50" s="441"/>
      <c r="C50" s="441"/>
      <c r="D50" s="441"/>
      <c r="E50" s="441"/>
      <c r="F50" s="441"/>
      <c r="G50" s="21" t="s">
        <v>63</v>
      </c>
      <c r="H50" s="33"/>
      <c r="I50" s="34"/>
      <c r="J50" s="33"/>
      <c r="K50" s="34"/>
      <c r="L50" s="33"/>
      <c r="M50" s="34"/>
      <c r="N50" s="88">
        <f t="shared" si="1"/>
        <v>0</v>
      </c>
      <c r="O50" s="21"/>
      <c r="P50" s="34"/>
    </row>
    <row r="51" spans="1:16" ht="15" customHeight="1" x14ac:dyDescent="0.3">
      <c r="A51" s="437" t="s">
        <v>80</v>
      </c>
      <c r="B51" s="438"/>
      <c r="C51" s="438"/>
      <c r="D51" s="438"/>
      <c r="E51" s="438"/>
      <c r="F51" s="438"/>
      <c r="G51" s="20" t="s">
        <v>63</v>
      </c>
      <c r="H51" s="31"/>
      <c r="I51" s="32"/>
      <c r="J51" s="31"/>
      <c r="K51" s="32"/>
      <c r="L51" s="31"/>
      <c r="M51" s="32"/>
      <c r="N51" s="87">
        <f t="shared" si="1"/>
        <v>0</v>
      </c>
      <c r="O51" s="20"/>
      <c r="P51" s="32"/>
    </row>
    <row r="52" spans="1:16" ht="15" customHeight="1" x14ac:dyDescent="0.3">
      <c r="A52" s="440" t="s">
        <v>81</v>
      </c>
      <c r="B52" s="441"/>
      <c r="C52" s="441"/>
      <c r="D52" s="441"/>
      <c r="E52" s="441"/>
      <c r="F52" s="441"/>
      <c r="G52" s="21"/>
      <c r="H52" s="33"/>
      <c r="I52" s="34"/>
      <c r="J52" s="33"/>
      <c r="K52" s="34"/>
      <c r="L52" s="33"/>
      <c r="M52" s="34"/>
      <c r="N52" s="88">
        <f t="shared" si="1"/>
        <v>0</v>
      </c>
      <c r="O52" s="21"/>
      <c r="P52" s="34"/>
    </row>
    <row r="53" spans="1:16" ht="15" customHeight="1" x14ac:dyDescent="0.3">
      <c r="A53" s="437"/>
      <c r="B53" s="438"/>
      <c r="C53" s="438"/>
      <c r="D53" s="438"/>
      <c r="E53" s="438"/>
      <c r="F53" s="438"/>
      <c r="G53" s="20"/>
      <c r="H53" s="31"/>
      <c r="I53" s="32"/>
      <c r="J53" s="31"/>
      <c r="K53" s="32"/>
      <c r="L53" s="31"/>
      <c r="M53" s="32"/>
      <c r="N53" s="87">
        <f t="shared" si="1"/>
        <v>0</v>
      </c>
      <c r="O53" s="20"/>
      <c r="P53" s="32"/>
    </row>
    <row r="54" spans="1:16" ht="15" customHeight="1" x14ac:dyDescent="0.3">
      <c r="A54" s="440"/>
      <c r="B54" s="441"/>
      <c r="C54" s="441"/>
      <c r="D54" s="441"/>
      <c r="E54" s="441"/>
      <c r="F54" s="441"/>
      <c r="G54" s="21"/>
      <c r="H54" s="33"/>
      <c r="I54" s="34"/>
      <c r="J54" s="33"/>
      <c r="K54" s="34"/>
      <c r="L54" s="33"/>
      <c r="M54" s="34"/>
      <c r="N54" s="88">
        <f t="shared" si="1"/>
        <v>0</v>
      </c>
      <c r="O54" s="21"/>
      <c r="P54" s="34"/>
    </row>
    <row r="55" spans="1:16" ht="15" customHeight="1" x14ac:dyDescent="0.3">
      <c r="A55" s="443" t="s">
        <v>176</v>
      </c>
      <c r="B55" s="444"/>
      <c r="C55" s="444"/>
      <c r="D55" s="444"/>
      <c r="E55" s="444"/>
      <c r="F55" s="444"/>
      <c r="G55" s="19" t="s">
        <v>61</v>
      </c>
      <c r="H55" s="28"/>
      <c r="I55" s="29"/>
      <c r="J55" s="28"/>
      <c r="K55" s="29"/>
      <c r="L55" s="28"/>
      <c r="M55" s="29"/>
      <c r="N55" s="86">
        <f t="shared" si="1"/>
        <v>0</v>
      </c>
      <c r="O55" s="19"/>
      <c r="P55" s="39"/>
    </row>
    <row r="56" spans="1:16" ht="15" customHeight="1" x14ac:dyDescent="0.3">
      <c r="A56" s="437"/>
      <c r="B56" s="438"/>
      <c r="C56" s="438"/>
      <c r="D56" s="438"/>
      <c r="E56" s="438"/>
      <c r="F56" s="438"/>
      <c r="G56" s="20"/>
      <c r="H56" s="31"/>
      <c r="I56" s="32"/>
      <c r="J56" s="31"/>
      <c r="K56" s="32"/>
      <c r="L56" s="31"/>
      <c r="M56" s="32"/>
      <c r="N56" s="87">
        <f t="shared" si="1"/>
        <v>0</v>
      </c>
      <c r="O56" s="20"/>
      <c r="P56" s="32"/>
    </row>
    <row r="57" spans="1:16" ht="15" customHeight="1" thickBot="1" x14ac:dyDescent="0.35">
      <c r="A57" s="440"/>
      <c r="B57" s="441"/>
      <c r="C57" s="441"/>
      <c r="D57" s="441"/>
      <c r="E57" s="441"/>
      <c r="F57" s="441"/>
      <c r="G57" s="21"/>
      <c r="H57" s="33"/>
      <c r="I57" s="34"/>
      <c r="J57" s="33"/>
      <c r="K57" s="34"/>
      <c r="L57" s="33"/>
      <c r="M57" s="34"/>
      <c r="N57" s="88">
        <f t="shared" si="1"/>
        <v>0</v>
      </c>
      <c r="O57" s="27"/>
      <c r="P57" s="43"/>
    </row>
    <row r="58" spans="1:16" ht="45.6" customHeight="1" thickBot="1" x14ac:dyDescent="0.3">
      <c r="A58" s="473" t="s">
        <v>177</v>
      </c>
      <c r="B58" s="484"/>
      <c r="C58" s="484"/>
      <c r="D58" s="484"/>
      <c r="E58" s="484"/>
      <c r="F58" s="484"/>
      <c r="G58" s="484"/>
      <c r="H58" s="484"/>
      <c r="I58" s="484"/>
      <c r="J58" s="484"/>
      <c r="K58" s="484"/>
      <c r="L58" s="484"/>
      <c r="M58" s="484"/>
      <c r="N58" s="484"/>
      <c r="O58" s="484"/>
      <c r="P58" s="485"/>
    </row>
    <row r="59" spans="1:16" ht="15" customHeight="1" x14ac:dyDescent="0.3">
      <c r="A59" s="443" t="s">
        <v>103</v>
      </c>
      <c r="B59" s="444"/>
      <c r="C59" s="444"/>
      <c r="D59" s="444"/>
      <c r="E59" s="444"/>
      <c r="F59" s="444"/>
      <c r="G59" s="22" t="s">
        <v>61</v>
      </c>
      <c r="H59" s="28"/>
      <c r="I59" s="29"/>
      <c r="J59" s="28"/>
      <c r="K59" s="29"/>
      <c r="L59" s="28"/>
      <c r="M59" s="29"/>
      <c r="N59" s="86">
        <f t="shared" ref="N59:N86" si="2">IF(H59&gt;0, ($I59+$J59+$K59)/$H59,0)</f>
        <v>0</v>
      </c>
      <c r="O59" s="340"/>
      <c r="P59" s="338"/>
    </row>
    <row r="60" spans="1:16" ht="14.45" customHeight="1" x14ac:dyDescent="0.3">
      <c r="A60" s="437" t="s">
        <v>101</v>
      </c>
      <c r="B60" s="438"/>
      <c r="C60" s="438"/>
      <c r="D60" s="438"/>
      <c r="E60" s="438"/>
      <c r="F60" s="438"/>
      <c r="G60" s="20" t="s">
        <v>61</v>
      </c>
      <c r="H60" s="31"/>
      <c r="I60" s="32"/>
      <c r="J60" s="31"/>
      <c r="K60" s="32"/>
      <c r="L60" s="31"/>
      <c r="M60" s="32"/>
      <c r="N60" s="87">
        <f t="shared" si="2"/>
        <v>0</v>
      </c>
      <c r="O60" s="20"/>
      <c r="P60" s="32"/>
    </row>
    <row r="61" spans="1:16" ht="15" customHeight="1" x14ac:dyDescent="0.3">
      <c r="A61" s="440" t="s">
        <v>82</v>
      </c>
      <c r="B61" s="441"/>
      <c r="C61" s="441"/>
      <c r="D61" s="441"/>
      <c r="E61" s="441"/>
      <c r="F61" s="441"/>
      <c r="G61" s="21" t="s">
        <v>61</v>
      </c>
      <c r="H61" s="33"/>
      <c r="I61" s="34"/>
      <c r="J61" s="33"/>
      <c r="K61" s="34"/>
      <c r="L61" s="33"/>
      <c r="M61" s="34"/>
      <c r="N61" s="88">
        <f t="shared" si="2"/>
        <v>0</v>
      </c>
      <c r="O61" s="21" t="s">
        <v>102</v>
      </c>
      <c r="P61" s="34"/>
    </row>
    <row r="62" spans="1:16" ht="15" customHeight="1" x14ac:dyDescent="0.3">
      <c r="A62" s="437" t="s">
        <v>35</v>
      </c>
      <c r="B62" s="438"/>
      <c r="C62" s="438"/>
      <c r="D62" s="438"/>
      <c r="E62" s="438"/>
      <c r="F62" s="438"/>
      <c r="G62" s="20" t="s">
        <v>61</v>
      </c>
      <c r="H62" s="31"/>
      <c r="I62" s="32"/>
      <c r="J62" s="31"/>
      <c r="K62" s="32"/>
      <c r="L62" s="31"/>
      <c r="M62" s="32"/>
      <c r="N62" s="87">
        <f t="shared" si="2"/>
        <v>0</v>
      </c>
      <c r="O62" s="20"/>
      <c r="P62" s="32"/>
    </row>
    <row r="63" spans="1:16" ht="14.45" customHeight="1" x14ac:dyDescent="0.3">
      <c r="A63" s="440" t="s">
        <v>36</v>
      </c>
      <c r="B63" s="441"/>
      <c r="C63" s="441"/>
      <c r="D63" s="441"/>
      <c r="E63" s="441"/>
      <c r="F63" s="441"/>
      <c r="G63" s="21" t="s">
        <v>61</v>
      </c>
      <c r="H63" s="33"/>
      <c r="I63" s="34"/>
      <c r="J63" s="33"/>
      <c r="K63" s="34"/>
      <c r="L63" s="33"/>
      <c r="M63" s="34"/>
      <c r="N63" s="88">
        <f t="shared" si="2"/>
        <v>0</v>
      </c>
      <c r="O63" s="21" t="s">
        <v>104</v>
      </c>
      <c r="P63" s="34"/>
    </row>
    <row r="64" spans="1:16" ht="14.45" customHeight="1" x14ac:dyDescent="0.3">
      <c r="A64" s="437" t="s">
        <v>117</v>
      </c>
      <c r="B64" s="438"/>
      <c r="C64" s="438"/>
      <c r="D64" s="438"/>
      <c r="E64" s="438"/>
      <c r="F64" s="438"/>
      <c r="G64" s="20" t="s">
        <v>61</v>
      </c>
      <c r="H64" s="31"/>
      <c r="I64" s="32"/>
      <c r="J64" s="31"/>
      <c r="K64" s="32"/>
      <c r="L64" s="31"/>
      <c r="M64" s="32"/>
      <c r="N64" s="87">
        <f t="shared" si="2"/>
        <v>0</v>
      </c>
      <c r="O64" s="20" t="s">
        <v>104</v>
      </c>
      <c r="P64" s="32"/>
    </row>
    <row r="65" spans="1:16" ht="14.45" customHeight="1" x14ac:dyDescent="0.3">
      <c r="A65" s="440"/>
      <c r="B65" s="441"/>
      <c r="C65" s="441"/>
      <c r="D65" s="441"/>
      <c r="E65" s="441"/>
      <c r="F65" s="441"/>
      <c r="G65" s="21"/>
      <c r="H65" s="33"/>
      <c r="I65" s="34"/>
      <c r="J65" s="33"/>
      <c r="K65" s="34"/>
      <c r="L65" s="33"/>
      <c r="M65" s="34"/>
      <c r="N65" s="88">
        <f t="shared" si="2"/>
        <v>0</v>
      </c>
      <c r="O65" s="21"/>
      <c r="P65" s="34"/>
    </row>
    <row r="66" spans="1:16" ht="15" customHeight="1" x14ac:dyDescent="0.3">
      <c r="A66" s="437"/>
      <c r="B66" s="438"/>
      <c r="C66" s="438"/>
      <c r="D66" s="438"/>
      <c r="E66" s="438"/>
      <c r="F66" s="438"/>
      <c r="G66" s="20"/>
      <c r="H66" s="31"/>
      <c r="I66" s="32"/>
      <c r="J66" s="31"/>
      <c r="K66" s="32"/>
      <c r="L66" s="31"/>
      <c r="M66" s="32"/>
      <c r="N66" s="87">
        <f t="shared" si="2"/>
        <v>0</v>
      </c>
      <c r="O66" s="20"/>
      <c r="P66" s="32"/>
    </row>
    <row r="67" spans="1:16" ht="16.7" customHeight="1" x14ac:dyDescent="0.3">
      <c r="A67" s="443" t="s">
        <v>148</v>
      </c>
      <c r="B67" s="444"/>
      <c r="C67" s="444"/>
      <c r="D67" s="444"/>
      <c r="E67" s="444"/>
      <c r="F67" s="444"/>
      <c r="G67" s="22" t="s">
        <v>61</v>
      </c>
      <c r="H67" s="28"/>
      <c r="I67" s="29"/>
      <c r="J67" s="28"/>
      <c r="K67" s="29"/>
      <c r="L67" s="28"/>
      <c r="M67" s="29"/>
      <c r="N67" s="86">
        <f t="shared" si="2"/>
        <v>0</v>
      </c>
      <c r="O67" s="19"/>
      <c r="P67" s="39"/>
    </row>
    <row r="68" spans="1:16" ht="14.45" customHeight="1" x14ac:dyDescent="0.3">
      <c r="A68" s="437" t="s">
        <v>37</v>
      </c>
      <c r="B68" s="438"/>
      <c r="C68" s="438"/>
      <c r="D68" s="438"/>
      <c r="E68" s="438"/>
      <c r="F68" s="438"/>
      <c r="G68" s="20" t="s">
        <v>61</v>
      </c>
      <c r="H68" s="31"/>
      <c r="I68" s="32"/>
      <c r="J68" s="31"/>
      <c r="K68" s="32"/>
      <c r="L68" s="31"/>
      <c r="M68" s="32"/>
      <c r="N68" s="87">
        <f t="shared" si="2"/>
        <v>0</v>
      </c>
      <c r="O68" s="20" t="s">
        <v>104</v>
      </c>
      <c r="P68" s="32"/>
    </row>
    <row r="69" spans="1:16" ht="14.45" customHeight="1" x14ac:dyDescent="0.3">
      <c r="A69" s="440" t="s">
        <v>38</v>
      </c>
      <c r="B69" s="441"/>
      <c r="C69" s="441"/>
      <c r="D69" s="441"/>
      <c r="E69" s="441"/>
      <c r="F69" s="441"/>
      <c r="G69" s="21" t="s">
        <v>61</v>
      </c>
      <c r="H69" s="33"/>
      <c r="I69" s="34"/>
      <c r="J69" s="33"/>
      <c r="K69" s="34"/>
      <c r="L69" s="33"/>
      <c r="M69" s="34"/>
      <c r="N69" s="88">
        <f t="shared" si="2"/>
        <v>0</v>
      </c>
      <c r="O69" s="21" t="s">
        <v>105</v>
      </c>
      <c r="P69" s="34"/>
    </row>
    <row r="70" spans="1:16" ht="14.45" customHeight="1" x14ac:dyDescent="0.3">
      <c r="A70" s="437"/>
      <c r="B70" s="438"/>
      <c r="C70" s="438"/>
      <c r="D70" s="438"/>
      <c r="E70" s="438"/>
      <c r="F70" s="438"/>
      <c r="G70" s="20"/>
      <c r="H70" s="31"/>
      <c r="I70" s="32"/>
      <c r="J70" s="31"/>
      <c r="K70" s="32"/>
      <c r="L70" s="31"/>
      <c r="M70" s="32"/>
      <c r="N70" s="87">
        <f t="shared" si="2"/>
        <v>0</v>
      </c>
      <c r="O70" s="20"/>
      <c r="P70" s="32"/>
    </row>
    <row r="71" spans="1:16" ht="14.45" customHeight="1" x14ac:dyDescent="0.3">
      <c r="A71" s="440"/>
      <c r="B71" s="441"/>
      <c r="C71" s="441"/>
      <c r="D71" s="441"/>
      <c r="E71" s="441"/>
      <c r="F71" s="441"/>
      <c r="G71" s="21"/>
      <c r="H71" s="33"/>
      <c r="I71" s="34"/>
      <c r="J71" s="33"/>
      <c r="K71" s="34"/>
      <c r="L71" s="33"/>
      <c r="M71" s="34"/>
      <c r="N71" s="88">
        <f t="shared" si="2"/>
        <v>0</v>
      </c>
      <c r="O71" s="21"/>
      <c r="P71" s="34"/>
    </row>
    <row r="72" spans="1:16" ht="14.45" customHeight="1" x14ac:dyDescent="0.3">
      <c r="A72" s="443" t="s">
        <v>134</v>
      </c>
      <c r="B72" s="444"/>
      <c r="C72" s="444"/>
      <c r="D72" s="444"/>
      <c r="E72" s="444"/>
      <c r="F72" s="444"/>
      <c r="G72" s="19" t="s">
        <v>61</v>
      </c>
      <c r="H72" s="28"/>
      <c r="I72" s="29"/>
      <c r="J72" s="28"/>
      <c r="K72" s="39"/>
      <c r="L72" s="28"/>
      <c r="M72" s="39"/>
      <c r="N72" s="90">
        <f t="shared" si="2"/>
        <v>0</v>
      </c>
      <c r="O72" s="19" t="s">
        <v>106</v>
      </c>
      <c r="P72" s="39"/>
    </row>
    <row r="73" spans="1:16" ht="15" customHeight="1" x14ac:dyDescent="0.3">
      <c r="A73" s="437"/>
      <c r="B73" s="438"/>
      <c r="C73" s="438"/>
      <c r="D73" s="438"/>
      <c r="E73" s="438"/>
      <c r="F73" s="438"/>
      <c r="G73" s="20"/>
      <c r="H73" s="31"/>
      <c r="I73" s="32"/>
      <c r="J73" s="31"/>
      <c r="K73" s="32"/>
      <c r="L73" s="31"/>
      <c r="M73" s="32"/>
      <c r="N73" s="87">
        <f t="shared" si="2"/>
        <v>0</v>
      </c>
      <c r="O73" s="20"/>
      <c r="P73" s="32"/>
    </row>
    <row r="74" spans="1:16" ht="15" customHeight="1" x14ac:dyDescent="0.3">
      <c r="A74" s="440"/>
      <c r="B74" s="441"/>
      <c r="C74" s="441"/>
      <c r="D74" s="441"/>
      <c r="E74" s="441"/>
      <c r="F74" s="441"/>
      <c r="G74" s="21"/>
      <c r="H74" s="33"/>
      <c r="I74" s="34"/>
      <c r="J74" s="33"/>
      <c r="K74" s="34"/>
      <c r="L74" s="33"/>
      <c r="M74" s="34"/>
      <c r="N74" s="88">
        <f t="shared" si="2"/>
        <v>0</v>
      </c>
      <c r="O74" s="21"/>
      <c r="P74" s="34"/>
    </row>
    <row r="75" spans="1:16" ht="15" customHeight="1" x14ac:dyDescent="0.3">
      <c r="A75" s="437"/>
      <c r="B75" s="438"/>
      <c r="C75" s="438"/>
      <c r="D75" s="438"/>
      <c r="E75" s="438"/>
      <c r="F75" s="439"/>
      <c r="G75" s="20"/>
      <c r="H75" s="31"/>
      <c r="I75" s="32"/>
      <c r="J75" s="31"/>
      <c r="K75" s="32"/>
      <c r="L75" s="31"/>
      <c r="M75" s="32"/>
      <c r="N75" s="87">
        <f t="shared" si="2"/>
        <v>0</v>
      </c>
      <c r="O75" s="20"/>
      <c r="P75" s="32"/>
    </row>
    <row r="76" spans="1:16" ht="15" customHeight="1" x14ac:dyDescent="0.3">
      <c r="A76" s="440"/>
      <c r="B76" s="441"/>
      <c r="C76" s="441"/>
      <c r="D76" s="441"/>
      <c r="E76" s="441"/>
      <c r="F76" s="442"/>
      <c r="G76" s="21"/>
      <c r="H76" s="33"/>
      <c r="I76" s="34"/>
      <c r="J76" s="33"/>
      <c r="K76" s="34"/>
      <c r="L76" s="33"/>
      <c r="M76" s="34"/>
      <c r="N76" s="88">
        <f t="shared" si="2"/>
        <v>0</v>
      </c>
      <c r="O76" s="21"/>
      <c r="P76" s="34"/>
    </row>
    <row r="77" spans="1:16" ht="15" customHeight="1" x14ac:dyDescent="0.3">
      <c r="A77" s="443" t="s">
        <v>129</v>
      </c>
      <c r="B77" s="444"/>
      <c r="C77" s="444"/>
      <c r="D77" s="444"/>
      <c r="E77" s="444"/>
      <c r="F77" s="444"/>
      <c r="G77" s="19" t="s">
        <v>63</v>
      </c>
      <c r="H77" s="28"/>
      <c r="I77" s="29"/>
      <c r="J77" s="28"/>
      <c r="K77" s="29"/>
      <c r="L77" s="28"/>
      <c r="M77" s="29"/>
      <c r="N77" s="86">
        <f t="shared" si="2"/>
        <v>0</v>
      </c>
      <c r="O77" s="19"/>
      <c r="P77" s="39"/>
    </row>
    <row r="78" spans="1:16" ht="15" customHeight="1" x14ac:dyDescent="0.3">
      <c r="A78" s="437" t="s">
        <v>78</v>
      </c>
      <c r="B78" s="438"/>
      <c r="C78" s="438"/>
      <c r="D78" s="438"/>
      <c r="E78" s="438"/>
      <c r="F78" s="438"/>
      <c r="G78" s="20"/>
      <c r="H78" s="31"/>
      <c r="I78" s="32"/>
      <c r="J78" s="31"/>
      <c r="K78" s="32"/>
      <c r="L78" s="31"/>
      <c r="M78" s="32"/>
      <c r="N78" s="87">
        <f t="shared" si="2"/>
        <v>0</v>
      </c>
      <c r="O78" s="20"/>
      <c r="P78" s="32"/>
    </row>
    <row r="79" spans="1:16" ht="15" customHeight="1" x14ac:dyDescent="0.3">
      <c r="A79" s="440" t="s">
        <v>79</v>
      </c>
      <c r="B79" s="441"/>
      <c r="C79" s="441"/>
      <c r="D79" s="441"/>
      <c r="E79" s="441"/>
      <c r="F79" s="441"/>
      <c r="G79" s="21"/>
      <c r="H79" s="33"/>
      <c r="I79" s="34"/>
      <c r="J79" s="33"/>
      <c r="K79" s="34"/>
      <c r="L79" s="33"/>
      <c r="M79" s="34"/>
      <c r="N79" s="88">
        <f t="shared" si="2"/>
        <v>0</v>
      </c>
      <c r="O79" s="21"/>
      <c r="P79" s="34"/>
    </row>
    <row r="80" spans="1:16" ht="15" customHeight="1" x14ac:dyDescent="0.3">
      <c r="A80" s="437" t="s">
        <v>80</v>
      </c>
      <c r="B80" s="438"/>
      <c r="C80" s="438"/>
      <c r="D80" s="438"/>
      <c r="E80" s="438"/>
      <c r="F80" s="438"/>
      <c r="G80" s="20"/>
      <c r="H80" s="31"/>
      <c r="I80" s="32"/>
      <c r="J80" s="31"/>
      <c r="K80" s="32"/>
      <c r="L80" s="31"/>
      <c r="M80" s="32"/>
      <c r="N80" s="87">
        <f t="shared" si="2"/>
        <v>0</v>
      </c>
      <c r="O80" s="20"/>
      <c r="P80" s="32"/>
    </row>
    <row r="81" spans="1:17" ht="15" customHeight="1" x14ac:dyDescent="0.3">
      <c r="A81" s="440" t="s">
        <v>81</v>
      </c>
      <c r="B81" s="441"/>
      <c r="C81" s="441"/>
      <c r="D81" s="441"/>
      <c r="E81" s="441"/>
      <c r="F81" s="441"/>
      <c r="G81" s="21"/>
      <c r="H81" s="33"/>
      <c r="I81" s="34"/>
      <c r="J81" s="33"/>
      <c r="K81" s="34"/>
      <c r="L81" s="33"/>
      <c r="M81" s="34"/>
      <c r="N81" s="88">
        <f t="shared" si="2"/>
        <v>0</v>
      </c>
      <c r="O81" s="21"/>
      <c r="P81" s="34"/>
    </row>
    <row r="82" spans="1:17" ht="15" customHeight="1" x14ac:dyDescent="0.3">
      <c r="A82" s="437"/>
      <c r="B82" s="438"/>
      <c r="C82" s="438"/>
      <c r="D82" s="438"/>
      <c r="E82" s="438"/>
      <c r="F82" s="438"/>
      <c r="G82" s="20"/>
      <c r="H82" s="31"/>
      <c r="I82" s="32"/>
      <c r="J82" s="31"/>
      <c r="K82" s="32"/>
      <c r="L82" s="31"/>
      <c r="M82" s="32"/>
      <c r="N82" s="87">
        <f t="shared" si="2"/>
        <v>0</v>
      </c>
      <c r="O82" s="20"/>
      <c r="P82" s="32"/>
    </row>
    <row r="83" spans="1:17" ht="15" customHeight="1" x14ac:dyDescent="0.3">
      <c r="A83" s="440"/>
      <c r="B83" s="441"/>
      <c r="C83" s="441"/>
      <c r="D83" s="441"/>
      <c r="E83" s="441"/>
      <c r="F83" s="441"/>
      <c r="G83" s="21"/>
      <c r="H83" s="33"/>
      <c r="I83" s="34"/>
      <c r="J83" s="33"/>
      <c r="K83" s="34"/>
      <c r="L83" s="33"/>
      <c r="M83" s="34"/>
      <c r="N83" s="88">
        <f t="shared" si="2"/>
        <v>0</v>
      </c>
      <c r="O83" s="21"/>
      <c r="P83" s="34"/>
    </row>
    <row r="84" spans="1:17" ht="15" customHeight="1" x14ac:dyDescent="0.3">
      <c r="A84" s="443" t="s">
        <v>73</v>
      </c>
      <c r="B84" s="444"/>
      <c r="C84" s="444"/>
      <c r="D84" s="444"/>
      <c r="E84" s="444"/>
      <c r="F84" s="444"/>
      <c r="G84" s="19" t="s">
        <v>61</v>
      </c>
      <c r="H84" s="28"/>
      <c r="I84" s="29"/>
      <c r="J84" s="28"/>
      <c r="K84" s="29"/>
      <c r="L84" s="28"/>
      <c r="M84" s="29"/>
      <c r="N84" s="86">
        <f t="shared" si="2"/>
        <v>0</v>
      </c>
      <c r="O84" s="19"/>
      <c r="P84" s="39"/>
      <c r="Q84" s="369" t="e">
        <f>IF(S1_SelPer&lt;&gt;(('Cost Inputs'!H59-'Cost Inputs'!H84)/'Cost Inputs'!H59), "Error: Seedling Test Cost Inputs entries do no agree with Seedling Test Breeding Inputs (F).","")</f>
        <v>#DIV/0!</v>
      </c>
    </row>
    <row r="85" spans="1:17" ht="15" customHeight="1" x14ac:dyDescent="0.3">
      <c r="A85" s="437"/>
      <c r="B85" s="438"/>
      <c r="C85" s="438"/>
      <c r="D85" s="438"/>
      <c r="E85" s="438"/>
      <c r="F85" s="438"/>
      <c r="G85" s="20"/>
      <c r="H85" s="31"/>
      <c r="I85" s="32"/>
      <c r="J85" s="31"/>
      <c r="K85" s="32"/>
      <c r="L85" s="31"/>
      <c r="M85" s="32"/>
      <c r="N85" s="87">
        <f t="shared" si="2"/>
        <v>0</v>
      </c>
      <c r="O85" s="20"/>
      <c r="P85" s="32"/>
    </row>
    <row r="86" spans="1:17" ht="15" customHeight="1" thickBot="1" x14ac:dyDescent="0.35">
      <c r="A86" s="440"/>
      <c r="B86" s="441"/>
      <c r="C86" s="441"/>
      <c r="D86" s="441"/>
      <c r="E86" s="441"/>
      <c r="F86" s="441"/>
      <c r="G86" s="21"/>
      <c r="H86" s="33"/>
      <c r="I86" s="34"/>
      <c r="J86" s="33"/>
      <c r="K86" s="34"/>
      <c r="L86" s="33"/>
      <c r="M86" s="34"/>
      <c r="N86" s="88">
        <f t="shared" si="2"/>
        <v>0</v>
      </c>
      <c r="O86" s="27"/>
      <c r="P86" s="43"/>
    </row>
    <row r="87" spans="1:17" ht="45.6" customHeight="1" thickBot="1" x14ac:dyDescent="0.3">
      <c r="A87" s="473" t="s">
        <v>179</v>
      </c>
      <c r="B87" s="484"/>
      <c r="C87" s="484"/>
      <c r="D87" s="484"/>
      <c r="E87" s="484"/>
      <c r="F87" s="484"/>
      <c r="G87" s="484"/>
      <c r="H87" s="484"/>
      <c r="I87" s="484"/>
      <c r="J87" s="484"/>
      <c r="K87" s="484"/>
      <c r="L87" s="484"/>
      <c r="M87" s="484"/>
      <c r="N87" s="484"/>
      <c r="O87" s="484"/>
      <c r="P87" s="485"/>
    </row>
    <row r="88" spans="1:17" ht="15" customHeight="1" x14ac:dyDescent="0.3">
      <c r="A88" s="443" t="s">
        <v>107</v>
      </c>
      <c r="B88" s="444"/>
      <c r="C88" s="444"/>
      <c r="D88" s="444"/>
      <c r="E88" s="444"/>
      <c r="F88" s="444"/>
      <c r="G88" s="22" t="s">
        <v>62</v>
      </c>
      <c r="H88" s="28"/>
      <c r="I88" s="430"/>
      <c r="J88" s="445"/>
      <c r="K88" s="430"/>
      <c r="L88" s="445"/>
      <c r="M88" s="430"/>
      <c r="N88" s="452">
        <f t="shared" ref="N88:N126" si="3">IF(H88&gt;0, ($I88+$J88+$K88)/$H88,0)</f>
        <v>0</v>
      </c>
      <c r="O88" s="340"/>
      <c r="P88" s="338"/>
    </row>
    <row r="89" spans="1:17" ht="15" customHeight="1" x14ac:dyDescent="0.3">
      <c r="A89" s="443"/>
      <c r="B89" s="444"/>
      <c r="C89" s="444"/>
      <c r="D89" s="444"/>
      <c r="E89" s="444"/>
      <c r="F89" s="444"/>
      <c r="G89" s="22" t="s">
        <v>178</v>
      </c>
      <c r="H89" s="28"/>
      <c r="I89" s="430"/>
      <c r="J89" s="445"/>
      <c r="K89" s="430"/>
      <c r="L89" s="445"/>
      <c r="M89" s="430"/>
      <c r="N89" s="452">
        <f t="shared" si="3"/>
        <v>0</v>
      </c>
      <c r="O89" s="19"/>
      <c r="P89" s="39"/>
    </row>
    <row r="90" spans="1:17" ht="14.45" customHeight="1" x14ac:dyDescent="0.3">
      <c r="A90" s="437" t="s">
        <v>130</v>
      </c>
      <c r="B90" s="438"/>
      <c r="C90" s="438"/>
      <c r="D90" s="438"/>
      <c r="E90" s="438"/>
      <c r="F90" s="438"/>
      <c r="G90" s="20" t="s">
        <v>62</v>
      </c>
      <c r="H90" s="31"/>
      <c r="I90" s="447"/>
      <c r="J90" s="435"/>
      <c r="K90" s="447"/>
      <c r="L90" s="435"/>
      <c r="M90" s="447"/>
      <c r="N90" s="455">
        <f t="shared" si="3"/>
        <v>0</v>
      </c>
      <c r="O90" s="20" t="s">
        <v>109</v>
      </c>
      <c r="P90" s="341"/>
    </row>
    <row r="91" spans="1:17" ht="14.45" customHeight="1" x14ac:dyDescent="0.3">
      <c r="A91" s="437"/>
      <c r="B91" s="438"/>
      <c r="C91" s="438"/>
      <c r="D91" s="438"/>
      <c r="E91" s="438"/>
      <c r="F91" s="438"/>
      <c r="G91" s="20" t="s">
        <v>178</v>
      </c>
      <c r="H91" s="31"/>
      <c r="I91" s="447"/>
      <c r="J91" s="435"/>
      <c r="K91" s="447"/>
      <c r="L91" s="435"/>
      <c r="M91" s="447"/>
      <c r="N91" s="455">
        <f t="shared" si="3"/>
        <v>0</v>
      </c>
      <c r="O91" s="20" t="s">
        <v>110</v>
      </c>
      <c r="P91" s="341"/>
    </row>
    <row r="92" spans="1:17" ht="14.45" customHeight="1" x14ac:dyDescent="0.3">
      <c r="A92" s="440" t="s">
        <v>38</v>
      </c>
      <c r="B92" s="482"/>
      <c r="C92" s="482"/>
      <c r="D92" s="482"/>
      <c r="E92" s="482"/>
      <c r="F92" s="482"/>
      <c r="G92" s="24"/>
      <c r="H92" s="33"/>
      <c r="I92" s="446"/>
      <c r="J92" s="432"/>
      <c r="K92" s="446"/>
      <c r="L92" s="432"/>
      <c r="M92" s="446"/>
      <c r="N92" s="453">
        <f t="shared" si="3"/>
        <v>0</v>
      </c>
      <c r="O92" s="21"/>
      <c r="P92" s="342"/>
    </row>
    <row r="93" spans="1:17" ht="14.45" customHeight="1" x14ac:dyDescent="0.3">
      <c r="A93" s="483"/>
      <c r="B93" s="482"/>
      <c r="C93" s="482"/>
      <c r="D93" s="482"/>
      <c r="E93" s="482"/>
      <c r="F93" s="482"/>
      <c r="G93" s="24"/>
      <c r="H93" s="33"/>
      <c r="I93" s="446"/>
      <c r="J93" s="432"/>
      <c r="K93" s="446"/>
      <c r="L93" s="432"/>
      <c r="M93" s="446"/>
      <c r="N93" s="453">
        <f t="shared" si="3"/>
        <v>0</v>
      </c>
      <c r="O93" s="21"/>
      <c r="P93" s="342"/>
    </row>
    <row r="94" spans="1:17" ht="14.45" customHeight="1" x14ac:dyDescent="0.3">
      <c r="A94" s="460"/>
      <c r="B94" s="461"/>
      <c r="C94" s="461"/>
      <c r="D94" s="461"/>
      <c r="E94" s="461"/>
      <c r="F94" s="461"/>
      <c r="G94" s="25"/>
      <c r="H94" s="31"/>
      <c r="I94" s="447"/>
      <c r="J94" s="435"/>
      <c r="K94" s="447"/>
      <c r="L94" s="40"/>
      <c r="M94" s="447"/>
      <c r="N94" s="455">
        <f t="shared" si="3"/>
        <v>0</v>
      </c>
      <c r="O94" s="20"/>
      <c r="P94" s="341"/>
    </row>
    <row r="95" spans="1:17" ht="14.45" customHeight="1" x14ac:dyDescent="0.3">
      <c r="A95" s="460"/>
      <c r="B95" s="461"/>
      <c r="C95" s="461"/>
      <c r="D95" s="461"/>
      <c r="E95" s="461"/>
      <c r="F95" s="461"/>
      <c r="G95" s="25"/>
      <c r="H95" s="31"/>
      <c r="I95" s="447"/>
      <c r="J95" s="435"/>
      <c r="K95" s="447"/>
      <c r="L95" s="40"/>
      <c r="M95" s="447"/>
      <c r="N95" s="455">
        <f t="shared" si="3"/>
        <v>0</v>
      </c>
      <c r="O95" s="20"/>
      <c r="P95" s="341"/>
    </row>
    <row r="96" spans="1:17" ht="14.45" customHeight="1" x14ac:dyDescent="0.3">
      <c r="A96" s="440"/>
      <c r="B96" s="441"/>
      <c r="C96" s="441"/>
      <c r="D96" s="441"/>
      <c r="E96" s="441"/>
      <c r="F96" s="441"/>
      <c r="G96" s="21"/>
      <c r="H96" s="33"/>
      <c r="I96" s="34"/>
      <c r="J96" s="33"/>
      <c r="K96" s="34"/>
      <c r="L96" s="33"/>
      <c r="M96" s="34"/>
      <c r="N96" s="88">
        <f t="shared" si="3"/>
        <v>0</v>
      </c>
      <c r="O96" s="21"/>
      <c r="P96" s="34"/>
    </row>
    <row r="97" spans="1:16" ht="14.45" customHeight="1" x14ac:dyDescent="0.3">
      <c r="A97" s="443" t="s">
        <v>113</v>
      </c>
      <c r="B97" s="444"/>
      <c r="C97" s="444"/>
      <c r="D97" s="444"/>
      <c r="E97" s="444"/>
      <c r="F97" s="444"/>
      <c r="G97" s="22" t="s">
        <v>62</v>
      </c>
      <c r="H97" s="28"/>
      <c r="I97" s="430"/>
      <c r="J97" s="445"/>
      <c r="K97" s="430"/>
      <c r="L97" s="445"/>
      <c r="M97" s="430"/>
      <c r="N97" s="452">
        <f t="shared" si="3"/>
        <v>0</v>
      </c>
      <c r="O97" s="19"/>
      <c r="P97" s="39"/>
    </row>
    <row r="98" spans="1:16" ht="15" customHeight="1" x14ac:dyDescent="0.3">
      <c r="A98" s="443"/>
      <c r="B98" s="444"/>
      <c r="C98" s="444"/>
      <c r="D98" s="444"/>
      <c r="E98" s="444"/>
      <c r="F98" s="444"/>
      <c r="G98" s="22" t="s">
        <v>121</v>
      </c>
      <c r="H98" s="28"/>
      <c r="I98" s="430"/>
      <c r="J98" s="445"/>
      <c r="K98" s="430"/>
      <c r="L98" s="445"/>
      <c r="M98" s="430"/>
      <c r="N98" s="452">
        <f t="shared" si="3"/>
        <v>0</v>
      </c>
      <c r="O98" s="19"/>
      <c r="P98" s="39"/>
    </row>
    <row r="99" spans="1:16" ht="15" customHeight="1" x14ac:dyDescent="0.3">
      <c r="A99" s="437" t="s">
        <v>131</v>
      </c>
      <c r="B99" s="438"/>
      <c r="C99" s="438"/>
      <c r="D99" s="438"/>
      <c r="E99" s="438"/>
      <c r="F99" s="438"/>
      <c r="G99" s="20" t="s">
        <v>62</v>
      </c>
      <c r="H99" s="31"/>
      <c r="I99" s="447"/>
      <c r="J99" s="435"/>
      <c r="K99" s="74"/>
      <c r="L99" s="435"/>
      <c r="M99" s="447"/>
      <c r="N99" s="455">
        <f t="shared" si="3"/>
        <v>0</v>
      </c>
      <c r="O99" s="20" t="s">
        <v>112</v>
      </c>
      <c r="P99" s="341"/>
    </row>
    <row r="100" spans="1:16" ht="15" customHeight="1" x14ac:dyDescent="0.3">
      <c r="A100" s="437"/>
      <c r="B100" s="438"/>
      <c r="C100" s="438"/>
      <c r="D100" s="438"/>
      <c r="E100" s="438"/>
      <c r="F100" s="438"/>
      <c r="G100" s="20" t="s">
        <v>121</v>
      </c>
      <c r="H100" s="31"/>
      <c r="I100" s="447"/>
      <c r="J100" s="435"/>
      <c r="K100" s="74"/>
      <c r="L100" s="435"/>
      <c r="M100" s="447"/>
      <c r="N100" s="455">
        <f t="shared" si="3"/>
        <v>0</v>
      </c>
      <c r="O100" s="20"/>
      <c r="P100" s="341"/>
    </row>
    <row r="101" spans="1:16" ht="15" customHeight="1" x14ac:dyDescent="0.3">
      <c r="A101" s="440" t="s">
        <v>38</v>
      </c>
      <c r="B101" s="441"/>
      <c r="C101" s="441"/>
      <c r="D101" s="441"/>
      <c r="E101" s="441"/>
      <c r="F101" s="441"/>
      <c r="G101" s="21" t="s">
        <v>62</v>
      </c>
      <c r="H101" s="33"/>
      <c r="I101" s="446"/>
      <c r="J101" s="432"/>
      <c r="K101" s="73"/>
      <c r="L101" s="432"/>
      <c r="M101" s="446"/>
      <c r="N101" s="453">
        <f t="shared" si="3"/>
        <v>0</v>
      </c>
      <c r="O101" s="21"/>
      <c r="P101" s="342"/>
    </row>
    <row r="102" spans="1:16" ht="15" customHeight="1" x14ac:dyDescent="0.3">
      <c r="A102" s="440"/>
      <c r="B102" s="441"/>
      <c r="C102" s="441"/>
      <c r="D102" s="441"/>
      <c r="E102" s="441"/>
      <c r="F102" s="441"/>
      <c r="G102" s="21" t="s">
        <v>121</v>
      </c>
      <c r="H102" s="33"/>
      <c r="I102" s="446"/>
      <c r="J102" s="432"/>
      <c r="K102" s="73"/>
      <c r="L102" s="432"/>
      <c r="M102" s="446"/>
      <c r="N102" s="453">
        <f t="shared" si="3"/>
        <v>0</v>
      </c>
      <c r="O102" s="21"/>
      <c r="P102" s="342"/>
    </row>
    <row r="103" spans="1:16" ht="15" customHeight="1" x14ac:dyDescent="0.3">
      <c r="A103" s="437"/>
      <c r="B103" s="438"/>
      <c r="C103" s="438"/>
      <c r="D103" s="438"/>
      <c r="E103" s="438"/>
      <c r="F103" s="438"/>
      <c r="G103" s="20"/>
      <c r="H103" s="31"/>
      <c r="I103" s="32"/>
      <c r="J103" s="31"/>
      <c r="K103" s="32"/>
      <c r="L103" s="31"/>
      <c r="M103" s="32"/>
      <c r="N103" s="87">
        <f t="shared" si="3"/>
        <v>0</v>
      </c>
      <c r="O103" s="20"/>
      <c r="P103" s="32"/>
    </row>
    <row r="104" spans="1:16" ht="15" customHeight="1" x14ac:dyDescent="0.3">
      <c r="A104" s="440"/>
      <c r="B104" s="441"/>
      <c r="C104" s="441"/>
      <c r="D104" s="441"/>
      <c r="E104" s="441"/>
      <c r="F104" s="441"/>
      <c r="G104" s="21"/>
      <c r="H104" s="33"/>
      <c r="I104" s="34"/>
      <c r="J104" s="33"/>
      <c r="K104" s="34"/>
      <c r="L104" s="33"/>
      <c r="M104" s="34"/>
      <c r="N104" s="88">
        <f t="shared" si="3"/>
        <v>0</v>
      </c>
      <c r="O104" s="21"/>
      <c r="P104" s="34"/>
    </row>
    <row r="105" spans="1:16" ht="15" customHeight="1" x14ac:dyDescent="0.3">
      <c r="A105" s="443" t="s">
        <v>147</v>
      </c>
      <c r="B105" s="444"/>
      <c r="C105" s="444"/>
      <c r="D105" s="444"/>
      <c r="E105" s="444"/>
      <c r="F105" s="444"/>
      <c r="G105" s="22" t="s">
        <v>62</v>
      </c>
      <c r="H105" s="28"/>
      <c r="I105" s="430"/>
      <c r="J105" s="445"/>
      <c r="K105" s="71"/>
      <c r="L105" s="430"/>
      <c r="M105" s="430"/>
      <c r="N105" s="452">
        <f t="shared" si="3"/>
        <v>0</v>
      </c>
      <c r="O105" s="19"/>
      <c r="P105" s="343"/>
    </row>
    <row r="106" spans="1:16" ht="15" customHeight="1" x14ac:dyDescent="0.3">
      <c r="A106" s="443"/>
      <c r="B106" s="444"/>
      <c r="C106" s="444"/>
      <c r="D106" s="444"/>
      <c r="E106" s="444"/>
      <c r="F106" s="444"/>
      <c r="G106" s="22" t="s">
        <v>121</v>
      </c>
      <c r="H106" s="28"/>
      <c r="I106" s="430"/>
      <c r="J106" s="445"/>
      <c r="K106" s="71"/>
      <c r="L106" s="430"/>
      <c r="M106" s="430"/>
      <c r="N106" s="452">
        <f t="shared" si="3"/>
        <v>0</v>
      </c>
      <c r="O106" s="19"/>
      <c r="P106" s="343"/>
    </row>
    <row r="107" spans="1:16" ht="14.45" customHeight="1" x14ac:dyDescent="0.3">
      <c r="A107" s="437"/>
      <c r="B107" s="438"/>
      <c r="C107" s="438"/>
      <c r="D107" s="438"/>
      <c r="E107" s="438"/>
      <c r="F107" s="438"/>
      <c r="G107" s="20"/>
      <c r="H107" s="31"/>
      <c r="I107" s="32"/>
      <c r="J107" s="31"/>
      <c r="K107" s="32"/>
      <c r="L107" s="31"/>
      <c r="M107" s="32"/>
      <c r="N107" s="87">
        <f t="shared" si="3"/>
        <v>0</v>
      </c>
      <c r="O107" s="20"/>
      <c r="P107" s="32"/>
    </row>
    <row r="108" spans="1:16" ht="14.45" customHeight="1" x14ac:dyDescent="0.3">
      <c r="A108" s="440"/>
      <c r="B108" s="441"/>
      <c r="C108" s="441"/>
      <c r="D108" s="441"/>
      <c r="E108" s="441"/>
      <c r="F108" s="441"/>
      <c r="G108" s="21"/>
      <c r="H108" s="33"/>
      <c r="I108" s="34"/>
      <c r="J108" s="33"/>
      <c r="K108" s="34"/>
      <c r="L108" s="33"/>
      <c r="M108" s="34"/>
      <c r="N108" s="88">
        <f t="shared" si="3"/>
        <v>0</v>
      </c>
      <c r="O108" s="21"/>
      <c r="P108" s="34"/>
    </row>
    <row r="109" spans="1:16" ht="15" customHeight="1" x14ac:dyDescent="0.3">
      <c r="A109" s="443" t="s">
        <v>70</v>
      </c>
      <c r="B109" s="444"/>
      <c r="C109" s="444"/>
      <c r="D109" s="444"/>
      <c r="E109" s="444"/>
      <c r="F109" s="444"/>
      <c r="G109" s="19" t="s">
        <v>63</v>
      </c>
      <c r="H109" s="30"/>
      <c r="I109" s="39"/>
      <c r="J109" s="30"/>
      <c r="K109" s="39"/>
      <c r="L109" s="30"/>
      <c r="M109" s="39"/>
      <c r="N109" s="90">
        <f t="shared" si="3"/>
        <v>0</v>
      </c>
      <c r="O109" s="19"/>
      <c r="P109" s="39"/>
    </row>
    <row r="110" spans="1:16" ht="15" customHeight="1" x14ac:dyDescent="0.3">
      <c r="A110" s="437" t="s">
        <v>78</v>
      </c>
      <c r="B110" s="438"/>
      <c r="C110" s="438"/>
      <c r="D110" s="438"/>
      <c r="E110" s="438"/>
      <c r="F110" s="438"/>
      <c r="G110" s="20"/>
      <c r="H110" s="31"/>
      <c r="I110" s="32"/>
      <c r="J110" s="31"/>
      <c r="K110" s="32"/>
      <c r="L110" s="31"/>
      <c r="M110" s="32"/>
      <c r="N110" s="87">
        <f t="shared" si="3"/>
        <v>0</v>
      </c>
      <c r="O110" s="20"/>
      <c r="P110" s="32"/>
    </row>
    <row r="111" spans="1:16" ht="15" customHeight="1" x14ac:dyDescent="0.3">
      <c r="A111" s="440" t="s">
        <v>79</v>
      </c>
      <c r="B111" s="441"/>
      <c r="C111" s="441"/>
      <c r="D111" s="441"/>
      <c r="E111" s="441"/>
      <c r="F111" s="441"/>
      <c r="G111" s="21"/>
      <c r="H111" s="33"/>
      <c r="I111" s="34"/>
      <c r="J111" s="33"/>
      <c r="K111" s="34"/>
      <c r="L111" s="33"/>
      <c r="M111" s="34"/>
      <c r="N111" s="88">
        <f t="shared" si="3"/>
        <v>0</v>
      </c>
      <c r="O111" s="21"/>
      <c r="P111" s="34"/>
    </row>
    <row r="112" spans="1:16" ht="15" customHeight="1" x14ac:dyDescent="0.3">
      <c r="A112" s="437" t="s">
        <v>80</v>
      </c>
      <c r="B112" s="438"/>
      <c r="C112" s="438"/>
      <c r="D112" s="438"/>
      <c r="E112" s="438"/>
      <c r="F112" s="438"/>
      <c r="G112" s="20"/>
      <c r="H112" s="31"/>
      <c r="I112" s="32"/>
      <c r="J112" s="31"/>
      <c r="K112" s="32"/>
      <c r="L112" s="31"/>
      <c r="M112" s="32"/>
      <c r="N112" s="87">
        <f t="shared" si="3"/>
        <v>0</v>
      </c>
      <c r="O112" s="20"/>
      <c r="P112" s="32"/>
    </row>
    <row r="113" spans="1:16" ht="15" customHeight="1" x14ac:dyDescent="0.3">
      <c r="A113" s="440" t="s">
        <v>81</v>
      </c>
      <c r="B113" s="441"/>
      <c r="C113" s="441"/>
      <c r="D113" s="441"/>
      <c r="E113" s="441"/>
      <c r="F113" s="441"/>
      <c r="G113" s="21"/>
      <c r="H113" s="33"/>
      <c r="I113" s="34"/>
      <c r="J113" s="33"/>
      <c r="K113" s="34"/>
      <c r="L113" s="33"/>
      <c r="M113" s="34"/>
      <c r="N113" s="88">
        <f t="shared" si="3"/>
        <v>0</v>
      </c>
      <c r="O113" s="21"/>
      <c r="P113" s="34"/>
    </row>
    <row r="114" spans="1:16" ht="14.45" customHeight="1" x14ac:dyDescent="0.3">
      <c r="A114" s="437"/>
      <c r="B114" s="438"/>
      <c r="C114" s="438"/>
      <c r="D114" s="438"/>
      <c r="E114" s="438"/>
      <c r="F114" s="438"/>
      <c r="G114" s="20"/>
      <c r="H114" s="31"/>
      <c r="I114" s="32"/>
      <c r="J114" s="31"/>
      <c r="K114" s="32"/>
      <c r="L114" s="31"/>
      <c r="M114" s="32"/>
      <c r="N114" s="87">
        <f t="shared" si="3"/>
        <v>0</v>
      </c>
      <c r="O114" s="20"/>
      <c r="P114" s="32"/>
    </row>
    <row r="115" spans="1:16" ht="14.45" customHeight="1" x14ac:dyDescent="0.3">
      <c r="A115" s="440"/>
      <c r="B115" s="441"/>
      <c r="C115" s="441"/>
      <c r="D115" s="441"/>
      <c r="E115" s="441"/>
      <c r="F115" s="442"/>
      <c r="G115" s="21"/>
      <c r="H115" s="33"/>
      <c r="I115" s="34"/>
      <c r="J115" s="33"/>
      <c r="K115" s="34"/>
      <c r="L115" s="33"/>
      <c r="M115" s="34"/>
      <c r="N115" s="88">
        <f t="shared" si="3"/>
        <v>0</v>
      </c>
      <c r="O115" s="21"/>
      <c r="P115" s="34"/>
    </row>
    <row r="116" spans="1:16" ht="14.45" customHeight="1" x14ac:dyDescent="0.3">
      <c r="A116" s="443" t="s">
        <v>71</v>
      </c>
      <c r="B116" s="444"/>
      <c r="C116" s="444"/>
      <c r="D116" s="444"/>
      <c r="E116" s="444"/>
      <c r="F116" s="444"/>
      <c r="G116" s="22" t="s">
        <v>62</v>
      </c>
      <c r="H116" s="28"/>
      <c r="I116" s="430"/>
      <c r="J116" s="445"/>
      <c r="K116" s="71"/>
      <c r="L116" s="445"/>
      <c r="M116" s="430"/>
      <c r="N116" s="452">
        <f>IF(H116&gt;0, ($I116+$J116+$K116)/$H116,0)</f>
        <v>0</v>
      </c>
      <c r="O116" s="19"/>
      <c r="P116" s="39"/>
    </row>
    <row r="117" spans="1:16" ht="15" customHeight="1" x14ac:dyDescent="0.3">
      <c r="A117" s="443"/>
      <c r="B117" s="444"/>
      <c r="C117" s="444"/>
      <c r="D117" s="444"/>
      <c r="E117" s="444"/>
      <c r="F117" s="444"/>
      <c r="G117" s="22" t="s">
        <v>121</v>
      </c>
      <c r="H117" s="28"/>
      <c r="I117" s="430"/>
      <c r="J117" s="445"/>
      <c r="K117" s="71"/>
      <c r="L117" s="445"/>
      <c r="M117" s="430"/>
      <c r="N117" s="452">
        <f>IF(H117&gt;0, ($I117+$J117+$K117)/$H117,0)</f>
        <v>0</v>
      </c>
      <c r="O117" s="19"/>
      <c r="P117" s="39"/>
    </row>
    <row r="118" spans="1:16" ht="14.45" customHeight="1" x14ac:dyDescent="0.3">
      <c r="A118" s="437" t="s">
        <v>40</v>
      </c>
      <c r="B118" s="438"/>
      <c r="C118" s="438"/>
      <c r="D118" s="438"/>
      <c r="E118" s="438"/>
      <c r="F118" s="438"/>
      <c r="G118" s="20" t="s">
        <v>62</v>
      </c>
      <c r="H118" s="31"/>
      <c r="I118" s="447"/>
      <c r="J118" s="435"/>
      <c r="K118" s="74"/>
      <c r="L118" s="435"/>
      <c r="M118" s="447"/>
      <c r="N118" s="455">
        <f t="shared" si="3"/>
        <v>0</v>
      </c>
      <c r="O118" s="20" t="s">
        <v>114</v>
      </c>
      <c r="P118" s="447"/>
    </row>
    <row r="119" spans="1:16" ht="15" customHeight="1" x14ac:dyDescent="0.3">
      <c r="A119" s="437"/>
      <c r="B119" s="438"/>
      <c r="C119" s="438"/>
      <c r="D119" s="438"/>
      <c r="E119" s="438"/>
      <c r="F119" s="438"/>
      <c r="G119" s="20" t="s">
        <v>121</v>
      </c>
      <c r="H119" s="31"/>
      <c r="I119" s="447"/>
      <c r="J119" s="435"/>
      <c r="K119" s="74"/>
      <c r="L119" s="435"/>
      <c r="M119" s="447"/>
      <c r="N119" s="455">
        <f t="shared" si="3"/>
        <v>0</v>
      </c>
      <c r="O119" s="20"/>
      <c r="P119" s="447"/>
    </row>
    <row r="120" spans="1:16" ht="14.45" customHeight="1" x14ac:dyDescent="0.3">
      <c r="A120" s="440"/>
      <c r="B120" s="441"/>
      <c r="C120" s="441"/>
      <c r="D120" s="441"/>
      <c r="E120" s="441"/>
      <c r="F120" s="441"/>
      <c r="G120" s="21"/>
      <c r="H120" s="33"/>
      <c r="I120" s="34"/>
      <c r="J120" s="33"/>
      <c r="K120" s="34"/>
      <c r="L120" s="33"/>
      <c r="M120" s="34"/>
      <c r="N120" s="88">
        <f t="shared" si="3"/>
        <v>0</v>
      </c>
      <c r="O120" s="21"/>
      <c r="P120" s="34"/>
    </row>
    <row r="121" spans="1:16" ht="15" customHeight="1" x14ac:dyDescent="0.3">
      <c r="A121" s="437"/>
      <c r="B121" s="438"/>
      <c r="C121" s="438"/>
      <c r="D121" s="438"/>
      <c r="E121" s="438"/>
      <c r="F121" s="438"/>
      <c r="G121" s="20"/>
      <c r="H121" s="31"/>
      <c r="I121" s="32"/>
      <c r="J121" s="31"/>
      <c r="K121" s="32"/>
      <c r="L121" s="31"/>
      <c r="M121" s="32"/>
      <c r="N121" s="87">
        <f t="shared" si="3"/>
        <v>0</v>
      </c>
      <c r="O121" s="20"/>
      <c r="P121" s="32"/>
    </row>
    <row r="122" spans="1:16" ht="15" customHeight="1" x14ac:dyDescent="0.3">
      <c r="A122" s="431"/>
      <c r="B122" s="432"/>
      <c r="C122" s="432"/>
      <c r="D122" s="432"/>
      <c r="E122" s="432"/>
      <c r="F122" s="433"/>
      <c r="G122" s="21"/>
      <c r="H122" s="33"/>
      <c r="I122" s="34"/>
      <c r="J122" s="33"/>
      <c r="K122" s="34"/>
      <c r="L122" s="33"/>
      <c r="M122" s="34"/>
      <c r="N122" s="88">
        <f t="shared" si="3"/>
        <v>0</v>
      </c>
      <c r="O122" s="21"/>
      <c r="P122" s="34"/>
    </row>
    <row r="123" spans="1:16" ht="15" customHeight="1" x14ac:dyDescent="0.3">
      <c r="A123" s="434"/>
      <c r="B123" s="435"/>
      <c r="C123" s="435"/>
      <c r="D123" s="435"/>
      <c r="E123" s="435"/>
      <c r="F123" s="436"/>
      <c r="G123" s="20"/>
      <c r="H123" s="31"/>
      <c r="I123" s="32"/>
      <c r="J123" s="31"/>
      <c r="K123" s="32"/>
      <c r="L123" s="31"/>
      <c r="M123" s="32"/>
      <c r="N123" s="87">
        <f t="shared" si="3"/>
        <v>0</v>
      </c>
      <c r="O123" s="20"/>
      <c r="P123" s="32"/>
    </row>
    <row r="124" spans="1:16" ht="14.45" customHeight="1" x14ac:dyDescent="0.3">
      <c r="A124" s="443" t="s">
        <v>72</v>
      </c>
      <c r="B124" s="444"/>
      <c r="C124" s="444"/>
      <c r="D124" s="444"/>
      <c r="E124" s="444"/>
      <c r="F124" s="444"/>
      <c r="G124" s="19" t="s">
        <v>62</v>
      </c>
      <c r="H124" s="72"/>
      <c r="I124" s="71"/>
      <c r="J124" s="72"/>
      <c r="K124" s="29"/>
      <c r="L124" s="28"/>
      <c r="M124" s="29"/>
      <c r="N124" s="86">
        <f t="shared" si="3"/>
        <v>0</v>
      </c>
      <c r="O124" s="19"/>
      <c r="P124" s="39"/>
    </row>
    <row r="125" spans="1:16" ht="14.45" customHeight="1" x14ac:dyDescent="0.3">
      <c r="A125" s="437"/>
      <c r="B125" s="438"/>
      <c r="C125" s="438"/>
      <c r="D125" s="438"/>
      <c r="E125" s="438"/>
      <c r="F125" s="438"/>
      <c r="G125" s="20"/>
      <c r="H125" s="40"/>
      <c r="I125" s="74"/>
      <c r="J125" s="40"/>
      <c r="K125" s="32"/>
      <c r="L125" s="31"/>
      <c r="M125" s="32"/>
      <c r="N125" s="87">
        <f t="shared" si="3"/>
        <v>0</v>
      </c>
      <c r="O125" s="20"/>
      <c r="P125" s="32"/>
    </row>
    <row r="126" spans="1:16" ht="14.45" customHeight="1" thickBot="1" x14ac:dyDescent="0.35">
      <c r="A126" s="440"/>
      <c r="B126" s="441"/>
      <c r="C126" s="441"/>
      <c r="D126" s="441"/>
      <c r="E126" s="441"/>
      <c r="F126" s="441"/>
      <c r="G126" s="21"/>
      <c r="H126" s="33"/>
      <c r="I126" s="34"/>
      <c r="J126" s="33"/>
      <c r="K126" s="34"/>
      <c r="L126" s="33"/>
      <c r="M126" s="34"/>
      <c r="N126" s="88">
        <f t="shared" si="3"/>
        <v>0</v>
      </c>
      <c r="O126" s="27"/>
      <c r="P126" s="43"/>
    </row>
    <row r="127" spans="1:16" ht="45.6" customHeight="1" thickBot="1" x14ac:dyDescent="0.3">
      <c r="A127" s="473" t="s">
        <v>282</v>
      </c>
      <c r="B127" s="484"/>
      <c r="C127" s="484"/>
      <c r="D127" s="484"/>
      <c r="E127" s="484"/>
      <c r="F127" s="484"/>
      <c r="G127" s="484"/>
      <c r="H127" s="484"/>
      <c r="I127" s="484"/>
      <c r="J127" s="484"/>
      <c r="K127" s="484"/>
      <c r="L127" s="484"/>
      <c r="M127" s="484"/>
      <c r="N127" s="484"/>
      <c r="O127" s="484"/>
      <c r="P127" s="485"/>
    </row>
    <row r="128" spans="1:16" ht="15" customHeight="1" x14ac:dyDescent="0.3">
      <c r="A128" s="457" t="s">
        <v>41</v>
      </c>
      <c r="B128" s="458"/>
      <c r="C128" s="458"/>
      <c r="D128" s="458"/>
      <c r="E128" s="458"/>
      <c r="F128" s="459"/>
      <c r="G128" s="349" t="s">
        <v>62</v>
      </c>
      <c r="H128" s="345"/>
      <c r="I128" s="456"/>
      <c r="J128" s="456"/>
      <c r="K128" s="350"/>
      <c r="L128" s="456"/>
      <c r="M128" s="456"/>
      <c r="N128" s="454">
        <f t="shared" ref="N128:N166" si="4">IF(H128&gt;0, ($I128+$J128+$K128)/$H128,0)</f>
        <v>0</v>
      </c>
      <c r="O128" s="340" t="s">
        <v>115</v>
      </c>
      <c r="P128" s="338"/>
    </row>
    <row r="129" spans="1:16" ht="15" customHeight="1" x14ac:dyDescent="0.3">
      <c r="A129" s="443"/>
      <c r="B129" s="444"/>
      <c r="C129" s="444"/>
      <c r="D129" s="444"/>
      <c r="E129" s="444"/>
      <c r="F129" s="451"/>
      <c r="G129" s="22" t="s">
        <v>121</v>
      </c>
      <c r="H129" s="29"/>
      <c r="I129" s="430"/>
      <c r="J129" s="430"/>
      <c r="K129" s="71"/>
      <c r="L129" s="430"/>
      <c r="M129" s="430"/>
      <c r="N129" s="452">
        <f t="shared" si="4"/>
        <v>0</v>
      </c>
      <c r="O129" s="19"/>
      <c r="P129" s="39"/>
    </row>
    <row r="130" spans="1:16" ht="14.45" customHeight="1" x14ac:dyDescent="0.3">
      <c r="A130" s="437" t="s">
        <v>42</v>
      </c>
      <c r="B130" s="438"/>
      <c r="C130" s="438"/>
      <c r="D130" s="438"/>
      <c r="E130" s="438"/>
      <c r="F130" s="439"/>
      <c r="G130" s="20" t="s">
        <v>62</v>
      </c>
      <c r="H130" s="32"/>
      <c r="I130" s="447"/>
      <c r="J130" s="447"/>
      <c r="K130" s="74"/>
      <c r="L130" s="447"/>
      <c r="M130" s="447"/>
      <c r="N130" s="455">
        <f t="shared" si="4"/>
        <v>0</v>
      </c>
      <c r="O130" s="20" t="s">
        <v>114</v>
      </c>
      <c r="P130" s="341"/>
    </row>
    <row r="131" spans="1:16" ht="15" customHeight="1" x14ac:dyDescent="0.3">
      <c r="A131" s="437"/>
      <c r="B131" s="438"/>
      <c r="C131" s="438"/>
      <c r="D131" s="438"/>
      <c r="E131" s="438"/>
      <c r="F131" s="439"/>
      <c r="G131" s="20" t="s">
        <v>121</v>
      </c>
      <c r="H131" s="32"/>
      <c r="I131" s="447"/>
      <c r="J131" s="447"/>
      <c r="K131" s="74"/>
      <c r="L131" s="447"/>
      <c r="M131" s="447"/>
      <c r="N131" s="455">
        <f t="shared" si="4"/>
        <v>0</v>
      </c>
      <c r="O131" s="20"/>
      <c r="P131" s="341"/>
    </row>
    <row r="132" spans="1:16" ht="14.45" customHeight="1" x14ac:dyDescent="0.3">
      <c r="A132" s="440" t="s">
        <v>43</v>
      </c>
      <c r="B132" s="441"/>
      <c r="C132" s="441"/>
      <c r="D132" s="441"/>
      <c r="E132" s="441"/>
      <c r="F132" s="442"/>
      <c r="G132" s="21" t="s">
        <v>62</v>
      </c>
      <c r="H132" s="34"/>
      <c r="I132" s="446"/>
      <c r="J132" s="446"/>
      <c r="K132" s="73"/>
      <c r="L132" s="446"/>
      <c r="M132" s="446"/>
      <c r="N132" s="453">
        <f t="shared" si="4"/>
        <v>0</v>
      </c>
      <c r="O132" s="21"/>
      <c r="P132" s="342"/>
    </row>
    <row r="133" spans="1:16" ht="15" customHeight="1" x14ac:dyDescent="0.3">
      <c r="A133" s="440"/>
      <c r="B133" s="441"/>
      <c r="C133" s="441"/>
      <c r="D133" s="441"/>
      <c r="E133" s="441"/>
      <c r="F133" s="442"/>
      <c r="G133" s="21" t="s">
        <v>121</v>
      </c>
      <c r="H133" s="34"/>
      <c r="I133" s="446"/>
      <c r="J133" s="446"/>
      <c r="K133" s="73"/>
      <c r="L133" s="446"/>
      <c r="M133" s="446"/>
      <c r="N133" s="453">
        <f t="shared" si="4"/>
        <v>0</v>
      </c>
      <c r="O133" s="21"/>
      <c r="P133" s="342"/>
    </row>
    <row r="134" spans="1:16" ht="14.45" customHeight="1" x14ac:dyDescent="0.3">
      <c r="A134" s="437" t="s">
        <v>52</v>
      </c>
      <c r="B134" s="438"/>
      <c r="C134" s="438"/>
      <c r="D134" s="438"/>
      <c r="E134" s="438"/>
      <c r="F134" s="439"/>
      <c r="G134" s="20" t="s">
        <v>62</v>
      </c>
      <c r="H134" s="32"/>
      <c r="I134" s="447"/>
      <c r="J134" s="447"/>
      <c r="K134" s="74"/>
      <c r="L134" s="447"/>
      <c r="M134" s="447"/>
      <c r="N134" s="455">
        <f t="shared" si="4"/>
        <v>0</v>
      </c>
      <c r="O134" s="20"/>
      <c r="P134" s="447"/>
    </row>
    <row r="135" spans="1:16" ht="14.45" customHeight="1" x14ac:dyDescent="0.3">
      <c r="A135" s="437"/>
      <c r="B135" s="438"/>
      <c r="C135" s="438"/>
      <c r="D135" s="438"/>
      <c r="E135" s="438"/>
      <c r="F135" s="439"/>
      <c r="G135" s="20" t="s">
        <v>121</v>
      </c>
      <c r="H135" s="32"/>
      <c r="I135" s="447"/>
      <c r="J135" s="447"/>
      <c r="K135" s="74"/>
      <c r="L135" s="447"/>
      <c r="M135" s="447"/>
      <c r="N135" s="455">
        <f t="shared" si="4"/>
        <v>0</v>
      </c>
      <c r="O135" s="20"/>
      <c r="P135" s="447"/>
    </row>
    <row r="136" spans="1:16" ht="14.45" customHeight="1" x14ac:dyDescent="0.3">
      <c r="A136" s="440" t="s">
        <v>167</v>
      </c>
      <c r="B136" s="441"/>
      <c r="C136" s="441"/>
      <c r="D136" s="441"/>
      <c r="E136" s="441"/>
      <c r="F136" s="442"/>
      <c r="G136" s="21"/>
      <c r="H136" s="34"/>
      <c r="I136" s="34"/>
      <c r="J136" s="34"/>
      <c r="K136" s="34"/>
      <c r="L136" s="34"/>
      <c r="M136" s="34"/>
      <c r="N136" s="88">
        <f t="shared" si="4"/>
        <v>0</v>
      </c>
      <c r="O136" s="21"/>
      <c r="P136" s="34"/>
    </row>
    <row r="137" spans="1:16" ht="14.45" customHeight="1" x14ac:dyDescent="0.3">
      <c r="A137" s="437" t="s">
        <v>168</v>
      </c>
      <c r="B137" s="438"/>
      <c r="C137" s="438"/>
      <c r="D137" s="438"/>
      <c r="E137" s="438"/>
      <c r="F137" s="439"/>
      <c r="G137" s="20"/>
      <c r="H137" s="32"/>
      <c r="I137" s="32"/>
      <c r="J137" s="32"/>
      <c r="K137" s="32"/>
      <c r="L137" s="32"/>
      <c r="M137" s="32"/>
      <c r="N137" s="87">
        <f t="shared" si="4"/>
        <v>0</v>
      </c>
      <c r="O137" s="20"/>
      <c r="P137" s="32"/>
    </row>
    <row r="138" spans="1:16" ht="14.45" customHeight="1" x14ac:dyDescent="0.3">
      <c r="A138" s="443" t="s">
        <v>44</v>
      </c>
      <c r="B138" s="444"/>
      <c r="C138" s="444"/>
      <c r="D138" s="444"/>
      <c r="E138" s="444"/>
      <c r="F138" s="451"/>
      <c r="G138" s="22" t="s">
        <v>62</v>
      </c>
      <c r="H138" s="29"/>
      <c r="I138" s="430"/>
      <c r="J138" s="430"/>
      <c r="K138" s="71"/>
      <c r="L138" s="430"/>
      <c r="M138" s="430"/>
      <c r="N138" s="452">
        <f t="shared" si="4"/>
        <v>0</v>
      </c>
      <c r="O138" s="19"/>
      <c r="P138" s="39"/>
    </row>
    <row r="139" spans="1:16" ht="14.45" customHeight="1" x14ac:dyDescent="0.3">
      <c r="A139" s="443"/>
      <c r="B139" s="444"/>
      <c r="C139" s="444"/>
      <c r="D139" s="444"/>
      <c r="E139" s="444"/>
      <c r="F139" s="451"/>
      <c r="G139" s="22" t="s">
        <v>121</v>
      </c>
      <c r="H139" s="29"/>
      <c r="I139" s="430"/>
      <c r="J139" s="430"/>
      <c r="K139" s="71"/>
      <c r="L139" s="430"/>
      <c r="M139" s="430"/>
      <c r="N139" s="452">
        <f t="shared" si="4"/>
        <v>0</v>
      </c>
      <c r="O139" s="19"/>
      <c r="P139" s="39"/>
    </row>
    <row r="140" spans="1:16" ht="14.45" customHeight="1" x14ac:dyDescent="0.3">
      <c r="A140" s="437" t="s">
        <v>120</v>
      </c>
      <c r="B140" s="438"/>
      <c r="C140" s="438"/>
      <c r="D140" s="438"/>
      <c r="E140" s="438"/>
      <c r="F140" s="439"/>
      <c r="G140" s="20" t="s">
        <v>62</v>
      </c>
      <c r="H140" s="32"/>
      <c r="I140" s="447"/>
      <c r="J140" s="447"/>
      <c r="K140" s="74"/>
      <c r="L140" s="447"/>
      <c r="M140" s="447"/>
      <c r="N140" s="455">
        <f t="shared" si="4"/>
        <v>0</v>
      </c>
      <c r="O140" s="20"/>
      <c r="P140" s="341"/>
    </row>
    <row r="141" spans="1:16" ht="15" customHeight="1" x14ac:dyDescent="0.3">
      <c r="A141" s="437"/>
      <c r="B141" s="438"/>
      <c r="C141" s="438"/>
      <c r="D141" s="438"/>
      <c r="E141" s="438"/>
      <c r="F141" s="439"/>
      <c r="G141" s="20" t="s">
        <v>121</v>
      </c>
      <c r="H141" s="32"/>
      <c r="I141" s="447"/>
      <c r="J141" s="447"/>
      <c r="K141" s="74"/>
      <c r="L141" s="447"/>
      <c r="M141" s="447"/>
      <c r="N141" s="455">
        <f t="shared" si="4"/>
        <v>0</v>
      </c>
      <c r="O141" s="20"/>
      <c r="P141" s="341"/>
    </row>
    <row r="142" spans="1:16" ht="14.45" customHeight="1" x14ac:dyDescent="0.3">
      <c r="A142" s="440" t="s">
        <v>38</v>
      </c>
      <c r="B142" s="441"/>
      <c r="C142" s="441"/>
      <c r="D142" s="441"/>
      <c r="E142" s="441"/>
      <c r="F142" s="442"/>
      <c r="G142" s="21" t="s">
        <v>62</v>
      </c>
      <c r="H142" s="34"/>
      <c r="I142" s="446"/>
      <c r="J142" s="446"/>
      <c r="K142" s="73"/>
      <c r="L142" s="446"/>
      <c r="M142" s="446"/>
      <c r="N142" s="453">
        <f t="shared" si="4"/>
        <v>0</v>
      </c>
      <c r="O142" s="21"/>
      <c r="P142" s="342"/>
    </row>
    <row r="143" spans="1:16" ht="15" customHeight="1" x14ac:dyDescent="0.3">
      <c r="A143" s="440"/>
      <c r="B143" s="441"/>
      <c r="C143" s="441"/>
      <c r="D143" s="441"/>
      <c r="E143" s="441"/>
      <c r="F143" s="442"/>
      <c r="G143" s="21" t="s">
        <v>121</v>
      </c>
      <c r="H143" s="34"/>
      <c r="I143" s="446"/>
      <c r="J143" s="446"/>
      <c r="K143" s="73"/>
      <c r="L143" s="446"/>
      <c r="M143" s="446"/>
      <c r="N143" s="453">
        <f t="shared" si="4"/>
        <v>0</v>
      </c>
      <c r="O143" s="21"/>
      <c r="P143" s="342"/>
    </row>
    <row r="144" spans="1:16" ht="14.45" customHeight="1" x14ac:dyDescent="0.3">
      <c r="A144" s="437"/>
      <c r="B144" s="438"/>
      <c r="C144" s="438"/>
      <c r="D144" s="438"/>
      <c r="E144" s="438"/>
      <c r="F144" s="439"/>
      <c r="G144" s="20"/>
      <c r="H144" s="32"/>
      <c r="I144" s="32"/>
      <c r="J144" s="32"/>
      <c r="K144" s="32"/>
      <c r="L144" s="32"/>
      <c r="M144" s="32"/>
      <c r="N144" s="87">
        <f t="shared" si="4"/>
        <v>0</v>
      </c>
      <c r="O144" s="20"/>
      <c r="P144" s="32"/>
    </row>
    <row r="145" spans="1:16" ht="14.45" customHeight="1" x14ac:dyDescent="0.3">
      <c r="A145" s="440"/>
      <c r="B145" s="441"/>
      <c r="C145" s="441"/>
      <c r="D145" s="441"/>
      <c r="E145" s="441"/>
      <c r="F145" s="442"/>
      <c r="G145" s="21"/>
      <c r="H145" s="34"/>
      <c r="I145" s="34"/>
      <c r="J145" s="34"/>
      <c r="K145" s="34"/>
      <c r="L145" s="34"/>
      <c r="M145" s="34"/>
      <c r="N145" s="88">
        <f t="shared" si="4"/>
        <v>0</v>
      </c>
      <c r="O145" s="21"/>
      <c r="P145" s="34"/>
    </row>
    <row r="146" spans="1:16" ht="14.45" customHeight="1" x14ac:dyDescent="0.3">
      <c r="A146" s="443" t="s">
        <v>185</v>
      </c>
      <c r="B146" s="444"/>
      <c r="C146" s="444"/>
      <c r="D146" s="444"/>
      <c r="E146" s="444"/>
      <c r="F146" s="451"/>
      <c r="G146" s="19" t="s">
        <v>62</v>
      </c>
      <c r="H146" s="29"/>
      <c r="I146" s="430"/>
      <c r="J146" s="430"/>
      <c r="K146" s="71"/>
      <c r="L146" s="430"/>
      <c r="M146" s="430"/>
      <c r="N146" s="452">
        <f t="shared" si="4"/>
        <v>0</v>
      </c>
      <c r="O146" s="19"/>
      <c r="P146" s="39"/>
    </row>
    <row r="147" spans="1:16" ht="14.45" customHeight="1" x14ac:dyDescent="0.3">
      <c r="A147" s="443"/>
      <c r="B147" s="444"/>
      <c r="C147" s="444"/>
      <c r="D147" s="444"/>
      <c r="E147" s="444"/>
      <c r="F147" s="451"/>
      <c r="G147" s="19" t="s">
        <v>121</v>
      </c>
      <c r="H147" s="29"/>
      <c r="I147" s="430"/>
      <c r="J147" s="430"/>
      <c r="K147" s="71"/>
      <c r="L147" s="430"/>
      <c r="M147" s="430"/>
      <c r="N147" s="452">
        <f t="shared" si="4"/>
        <v>0</v>
      </c>
      <c r="O147" s="19"/>
      <c r="P147" s="39"/>
    </row>
    <row r="148" spans="1:16" ht="14.45" customHeight="1" x14ac:dyDescent="0.3">
      <c r="A148" s="437"/>
      <c r="B148" s="438"/>
      <c r="C148" s="438"/>
      <c r="D148" s="438"/>
      <c r="E148" s="438"/>
      <c r="F148" s="439"/>
      <c r="G148" s="20"/>
      <c r="H148" s="32"/>
      <c r="I148" s="32"/>
      <c r="J148" s="32"/>
      <c r="K148" s="32"/>
      <c r="L148" s="32"/>
      <c r="M148" s="32"/>
      <c r="N148" s="87">
        <f t="shared" si="4"/>
        <v>0</v>
      </c>
      <c r="O148" s="20"/>
      <c r="P148" s="32"/>
    </row>
    <row r="149" spans="1:16" ht="14.45" customHeight="1" x14ac:dyDescent="0.3">
      <c r="A149" s="440"/>
      <c r="B149" s="441"/>
      <c r="C149" s="441"/>
      <c r="D149" s="441"/>
      <c r="E149" s="441"/>
      <c r="F149" s="442"/>
      <c r="G149" s="21"/>
      <c r="H149" s="34"/>
      <c r="I149" s="34"/>
      <c r="J149" s="34"/>
      <c r="K149" s="34"/>
      <c r="L149" s="34"/>
      <c r="M149" s="34"/>
      <c r="N149" s="88">
        <f t="shared" si="4"/>
        <v>0</v>
      </c>
      <c r="O149" s="21"/>
      <c r="P149" s="34"/>
    </row>
    <row r="150" spans="1:16" ht="15" customHeight="1" x14ac:dyDescent="0.3">
      <c r="A150" s="443" t="s">
        <v>183</v>
      </c>
      <c r="B150" s="444"/>
      <c r="C150" s="444"/>
      <c r="D150" s="444"/>
      <c r="E150" s="444"/>
      <c r="F150" s="451"/>
      <c r="G150" s="19" t="s">
        <v>63</v>
      </c>
      <c r="H150" s="39"/>
      <c r="I150" s="39"/>
      <c r="J150" s="39"/>
      <c r="K150" s="39"/>
      <c r="L150" s="39"/>
      <c r="M150" s="39"/>
      <c r="N150" s="90">
        <f t="shared" si="4"/>
        <v>0</v>
      </c>
      <c r="O150" s="19"/>
      <c r="P150" s="39"/>
    </row>
    <row r="151" spans="1:16" ht="15" customHeight="1" x14ac:dyDescent="0.3">
      <c r="A151" s="437" t="s">
        <v>78</v>
      </c>
      <c r="B151" s="438"/>
      <c r="C151" s="438"/>
      <c r="D151" s="438"/>
      <c r="E151" s="438"/>
      <c r="F151" s="439"/>
      <c r="G151" s="20"/>
      <c r="H151" s="32"/>
      <c r="I151" s="32"/>
      <c r="J151" s="32"/>
      <c r="K151" s="32"/>
      <c r="L151" s="32"/>
      <c r="M151" s="32"/>
      <c r="N151" s="87">
        <f t="shared" si="4"/>
        <v>0</v>
      </c>
      <c r="O151" s="20"/>
      <c r="P151" s="32"/>
    </row>
    <row r="152" spans="1:16" ht="15" customHeight="1" x14ac:dyDescent="0.3">
      <c r="A152" s="440" t="s">
        <v>79</v>
      </c>
      <c r="B152" s="441"/>
      <c r="C152" s="441"/>
      <c r="D152" s="441"/>
      <c r="E152" s="441"/>
      <c r="F152" s="442"/>
      <c r="G152" s="21"/>
      <c r="H152" s="34"/>
      <c r="I152" s="34"/>
      <c r="J152" s="34"/>
      <c r="K152" s="34"/>
      <c r="L152" s="34"/>
      <c r="M152" s="34"/>
      <c r="N152" s="88">
        <f t="shared" si="4"/>
        <v>0</v>
      </c>
      <c r="O152" s="21"/>
      <c r="P152" s="34"/>
    </row>
    <row r="153" spans="1:16" ht="15" customHeight="1" x14ac:dyDescent="0.3">
      <c r="A153" s="437" t="s">
        <v>80</v>
      </c>
      <c r="B153" s="438"/>
      <c r="C153" s="438"/>
      <c r="D153" s="438"/>
      <c r="E153" s="438"/>
      <c r="F153" s="439"/>
      <c r="G153" s="20"/>
      <c r="H153" s="32"/>
      <c r="I153" s="32"/>
      <c r="J153" s="32"/>
      <c r="K153" s="32"/>
      <c r="L153" s="32"/>
      <c r="M153" s="32"/>
      <c r="N153" s="87">
        <f t="shared" si="4"/>
        <v>0</v>
      </c>
      <c r="O153" s="20"/>
      <c r="P153" s="32"/>
    </row>
    <row r="154" spans="1:16" ht="15" customHeight="1" x14ac:dyDescent="0.3">
      <c r="A154" s="440" t="s">
        <v>81</v>
      </c>
      <c r="B154" s="441"/>
      <c r="C154" s="441"/>
      <c r="D154" s="441"/>
      <c r="E154" s="441"/>
      <c r="F154" s="442"/>
      <c r="G154" s="21"/>
      <c r="H154" s="34"/>
      <c r="I154" s="34"/>
      <c r="J154" s="34"/>
      <c r="K154" s="34"/>
      <c r="L154" s="34"/>
      <c r="M154" s="34"/>
      <c r="N154" s="88">
        <f t="shared" si="4"/>
        <v>0</v>
      </c>
      <c r="O154" s="21"/>
      <c r="P154" s="34"/>
    </row>
    <row r="155" spans="1:16" ht="14.45" customHeight="1" x14ac:dyDescent="0.3">
      <c r="A155" s="437"/>
      <c r="B155" s="438"/>
      <c r="C155" s="438"/>
      <c r="D155" s="438"/>
      <c r="E155" s="438"/>
      <c r="F155" s="439"/>
      <c r="G155" s="20"/>
      <c r="H155" s="32"/>
      <c r="I155" s="32"/>
      <c r="J155" s="32"/>
      <c r="K155" s="32"/>
      <c r="L155" s="32"/>
      <c r="M155" s="32"/>
      <c r="N155" s="87">
        <f t="shared" si="4"/>
        <v>0</v>
      </c>
      <c r="O155" s="20"/>
      <c r="P155" s="32"/>
    </row>
    <row r="156" spans="1:16" ht="14.45" customHeight="1" x14ac:dyDescent="0.3">
      <c r="A156" s="440"/>
      <c r="B156" s="441"/>
      <c r="C156" s="441"/>
      <c r="D156" s="441"/>
      <c r="E156" s="441"/>
      <c r="F156" s="442"/>
      <c r="G156" s="21"/>
      <c r="H156" s="34"/>
      <c r="I156" s="34"/>
      <c r="J156" s="34"/>
      <c r="K156" s="34"/>
      <c r="L156" s="34"/>
      <c r="M156" s="34"/>
      <c r="N156" s="88">
        <f t="shared" si="4"/>
        <v>0</v>
      </c>
      <c r="O156" s="21"/>
      <c r="P156" s="34"/>
    </row>
    <row r="157" spans="1:16" ht="15" customHeight="1" x14ac:dyDescent="0.3">
      <c r="A157" s="443" t="s">
        <v>184</v>
      </c>
      <c r="B157" s="444"/>
      <c r="C157" s="444"/>
      <c r="D157" s="444"/>
      <c r="E157" s="444"/>
      <c r="F157" s="451"/>
      <c r="G157" s="22" t="s">
        <v>62</v>
      </c>
      <c r="H157" s="29"/>
      <c r="I157" s="430"/>
      <c r="J157" s="430"/>
      <c r="K157" s="71"/>
      <c r="L157" s="430"/>
      <c r="M157" s="430"/>
      <c r="N157" s="452">
        <f t="shared" si="4"/>
        <v>0</v>
      </c>
      <c r="O157" s="19"/>
      <c r="P157" s="39"/>
    </row>
    <row r="158" spans="1:16" ht="14.45" customHeight="1" x14ac:dyDescent="0.3">
      <c r="A158" s="443"/>
      <c r="B158" s="444"/>
      <c r="C158" s="444"/>
      <c r="D158" s="444"/>
      <c r="E158" s="444"/>
      <c r="F158" s="451"/>
      <c r="G158" s="22" t="s">
        <v>121</v>
      </c>
      <c r="H158" s="29"/>
      <c r="I158" s="430"/>
      <c r="J158" s="430"/>
      <c r="K158" s="71"/>
      <c r="L158" s="430"/>
      <c r="M158" s="430"/>
      <c r="N158" s="452">
        <f t="shared" si="4"/>
        <v>0</v>
      </c>
      <c r="O158" s="347"/>
      <c r="P158" s="39"/>
    </row>
    <row r="159" spans="1:16" ht="15" customHeight="1" x14ac:dyDescent="0.3">
      <c r="A159" s="437" t="s">
        <v>40</v>
      </c>
      <c r="B159" s="438"/>
      <c r="C159" s="438"/>
      <c r="D159" s="438"/>
      <c r="E159" s="438"/>
      <c r="F159" s="439"/>
      <c r="G159" s="20" t="s">
        <v>62</v>
      </c>
      <c r="H159" s="32"/>
      <c r="I159" s="447"/>
      <c r="J159" s="447"/>
      <c r="K159" s="74"/>
      <c r="L159" s="447"/>
      <c r="M159" s="447"/>
      <c r="N159" s="455">
        <f t="shared" si="4"/>
        <v>0</v>
      </c>
      <c r="O159" s="20" t="s">
        <v>114</v>
      </c>
      <c r="P159" s="341"/>
    </row>
    <row r="160" spans="1:16" ht="15" customHeight="1" x14ac:dyDescent="0.3">
      <c r="A160" s="437"/>
      <c r="B160" s="438"/>
      <c r="C160" s="438"/>
      <c r="D160" s="438"/>
      <c r="E160" s="438"/>
      <c r="F160" s="439"/>
      <c r="G160" s="20" t="s">
        <v>121</v>
      </c>
      <c r="H160" s="32"/>
      <c r="I160" s="447"/>
      <c r="J160" s="447"/>
      <c r="K160" s="74"/>
      <c r="L160" s="447"/>
      <c r="M160" s="447"/>
      <c r="N160" s="455">
        <f t="shared" si="4"/>
        <v>0</v>
      </c>
      <c r="O160" s="348"/>
      <c r="P160" s="341"/>
    </row>
    <row r="161" spans="1:16" ht="14.45" customHeight="1" x14ac:dyDescent="0.3">
      <c r="A161" s="440"/>
      <c r="B161" s="441"/>
      <c r="C161" s="441"/>
      <c r="D161" s="441"/>
      <c r="E161" s="441"/>
      <c r="F161" s="442"/>
      <c r="G161" s="21"/>
      <c r="H161" s="34"/>
      <c r="I161" s="34"/>
      <c r="J161" s="34"/>
      <c r="K161" s="34"/>
      <c r="L161" s="34"/>
      <c r="M161" s="34"/>
      <c r="N161" s="88">
        <f t="shared" si="4"/>
        <v>0</v>
      </c>
      <c r="O161" s="21"/>
      <c r="P161" s="34"/>
    </row>
    <row r="162" spans="1:16" ht="14.45" customHeight="1" x14ac:dyDescent="0.3">
      <c r="A162" s="434"/>
      <c r="B162" s="435"/>
      <c r="C162" s="435"/>
      <c r="D162" s="435"/>
      <c r="E162" s="435"/>
      <c r="F162" s="436"/>
      <c r="G162" s="20"/>
      <c r="H162" s="32"/>
      <c r="I162" s="32"/>
      <c r="J162" s="32"/>
      <c r="K162" s="32"/>
      <c r="L162" s="32"/>
      <c r="M162" s="32"/>
      <c r="N162" s="87">
        <f t="shared" si="4"/>
        <v>0</v>
      </c>
      <c r="O162" s="20"/>
      <c r="P162" s="32"/>
    </row>
    <row r="163" spans="1:16" ht="14.45" customHeight="1" x14ac:dyDescent="0.3">
      <c r="A163" s="431"/>
      <c r="B163" s="432"/>
      <c r="C163" s="432"/>
      <c r="D163" s="432"/>
      <c r="E163" s="432"/>
      <c r="F163" s="433"/>
      <c r="G163" s="21"/>
      <c r="H163" s="34"/>
      <c r="I163" s="34"/>
      <c r="J163" s="34"/>
      <c r="K163" s="34"/>
      <c r="L163" s="34"/>
      <c r="M163" s="34"/>
      <c r="N163" s="88">
        <f t="shared" si="4"/>
        <v>0</v>
      </c>
      <c r="O163" s="21"/>
      <c r="P163" s="34"/>
    </row>
    <row r="164" spans="1:16" ht="15" customHeight="1" x14ac:dyDescent="0.3">
      <c r="A164" s="437"/>
      <c r="B164" s="438"/>
      <c r="C164" s="438"/>
      <c r="D164" s="438"/>
      <c r="E164" s="438"/>
      <c r="F164" s="439"/>
      <c r="G164" s="20"/>
      <c r="H164" s="32"/>
      <c r="I164" s="32"/>
      <c r="J164" s="32"/>
      <c r="K164" s="32"/>
      <c r="L164" s="32"/>
      <c r="M164" s="32"/>
      <c r="N164" s="87">
        <f t="shared" si="4"/>
        <v>0</v>
      </c>
      <c r="O164" s="20"/>
      <c r="P164" s="32"/>
    </row>
    <row r="165" spans="1:16" ht="14.45" customHeight="1" x14ac:dyDescent="0.3">
      <c r="A165" s="443" t="s">
        <v>47</v>
      </c>
      <c r="B165" s="444"/>
      <c r="C165" s="444"/>
      <c r="D165" s="444"/>
      <c r="E165" s="444"/>
      <c r="F165" s="451"/>
      <c r="G165" s="19" t="s">
        <v>122</v>
      </c>
      <c r="H165" s="29"/>
      <c r="I165" s="29"/>
      <c r="J165" s="29"/>
      <c r="K165" s="29"/>
      <c r="L165" s="29"/>
      <c r="M165" s="29"/>
      <c r="N165" s="86">
        <f t="shared" si="4"/>
        <v>0</v>
      </c>
      <c r="O165" s="19"/>
      <c r="P165" s="39"/>
    </row>
    <row r="166" spans="1:16" ht="14.45" customHeight="1" x14ac:dyDescent="0.3">
      <c r="A166" s="437"/>
      <c r="B166" s="438"/>
      <c r="C166" s="438"/>
      <c r="D166" s="438"/>
      <c r="E166" s="438"/>
      <c r="F166" s="439"/>
      <c r="G166" s="20"/>
      <c r="H166" s="32"/>
      <c r="I166" s="32"/>
      <c r="J166" s="32"/>
      <c r="K166" s="32"/>
      <c r="L166" s="32"/>
      <c r="M166" s="32"/>
      <c r="N166" s="87">
        <f t="shared" si="4"/>
        <v>0</v>
      </c>
      <c r="O166" s="20"/>
      <c r="P166" s="32"/>
    </row>
    <row r="167" spans="1:16" ht="14.45" customHeight="1" thickBot="1" x14ac:dyDescent="0.35">
      <c r="A167" s="486"/>
      <c r="B167" s="487"/>
      <c r="C167" s="487"/>
      <c r="D167" s="487"/>
      <c r="E167" s="487"/>
      <c r="F167" s="488"/>
      <c r="G167" s="27"/>
      <c r="H167" s="43"/>
      <c r="I167" s="43"/>
      <c r="J167" s="43"/>
      <c r="K167" s="43"/>
      <c r="L167" s="43"/>
      <c r="M167" s="43"/>
      <c r="N167" s="91"/>
      <c r="O167" s="27"/>
      <c r="P167" s="43"/>
    </row>
    <row r="168" spans="1:16" ht="45.6" customHeight="1" thickBot="1" x14ac:dyDescent="0.3">
      <c r="A168" s="470" t="s">
        <v>255</v>
      </c>
      <c r="B168" s="471"/>
      <c r="C168" s="471"/>
      <c r="D168" s="471"/>
      <c r="E168" s="471"/>
      <c r="F168" s="471"/>
      <c r="G168" s="471"/>
      <c r="H168" s="471"/>
      <c r="I168" s="471"/>
      <c r="J168" s="471"/>
      <c r="K168" s="471"/>
      <c r="L168" s="471"/>
      <c r="M168" s="471"/>
      <c r="N168" s="471"/>
      <c r="O168" s="471"/>
      <c r="P168" s="472"/>
    </row>
    <row r="169" spans="1:16" ht="14.45" customHeight="1" x14ac:dyDescent="0.3">
      <c r="A169" s="443" t="s">
        <v>123</v>
      </c>
      <c r="B169" s="444"/>
      <c r="C169" s="444"/>
      <c r="D169" s="444"/>
      <c r="E169" s="444"/>
      <c r="F169" s="444"/>
      <c r="G169" s="22" t="s">
        <v>62</v>
      </c>
      <c r="H169" s="28"/>
      <c r="I169" s="430"/>
      <c r="J169" s="445"/>
      <c r="K169" s="71"/>
      <c r="L169" s="72"/>
      <c r="M169" s="430"/>
      <c r="N169" s="452">
        <f t="shared" ref="N169:N208" si="5">IF(H169&gt;0, ($I169+$J169+$K169)/$H169,0)</f>
        <v>0</v>
      </c>
      <c r="O169" s="340"/>
      <c r="P169" s="39"/>
    </row>
    <row r="170" spans="1:16" ht="14.45" customHeight="1" x14ac:dyDescent="0.3">
      <c r="A170" s="443"/>
      <c r="B170" s="444"/>
      <c r="C170" s="444"/>
      <c r="D170" s="444"/>
      <c r="E170" s="444"/>
      <c r="F170" s="444"/>
      <c r="G170" s="22" t="s">
        <v>121</v>
      </c>
      <c r="H170" s="28"/>
      <c r="I170" s="430"/>
      <c r="J170" s="445"/>
      <c r="K170" s="71"/>
      <c r="L170" s="72"/>
      <c r="M170" s="430"/>
      <c r="N170" s="452">
        <f t="shared" si="5"/>
        <v>0</v>
      </c>
      <c r="O170" s="19"/>
      <c r="P170" s="39"/>
    </row>
    <row r="171" spans="1:16" ht="14.45" customHeight="1" x14ac:dyDescent="0.3">
      <c r="A171" s="437" t="s">
        <v>108</v>
      </c>
      <c r="B171" s="438"/>
      <c r="C171" s="438"/>
      <c r="D171" s="438"/>
      <c r="E171" s="438"/>
      <c r="F171" s="438"/>
      <c r="G171" s="20" t="s">
        <v>62</v>
      </c>
      <c r="H171" s="31"/>
      <c r="I171" s="447"/>
      <c r="J171" s="447"/>
      <c r="K171" s="447"/>
      <c r="L171" s="447"/>
      <c r="M171" s="447"/>
      <c r="N171" s="455">
        <f t="shared" si="5"/>
        <v>0</v>
      </c>
      <c r="O171" s="20" t="s">
        <v>109</v>
      </c>
      <c r="P171" s="341"/>
    </row>
    <row r="172" spans="1:16" ht="15" customHeight="1" x14ac:dyDescent="0.3">
      <c r="A172" s="437"/>
      <c r="B172" s="438"/>
      <c r="C172" s="438"/>
      <c r="D172" s="438"/>
      <c r="E172" s="438"/>
      <c r="F172" s="438"/>
      <c r="G172" s="20" t="s">
        <v>121</v>
      </c>
      <c r="H172" s="31"/>
      <c r="I172" s="447"/>
      <c r="J172" s="447"/>
      <c r="K172" s="447"/>
      <c r="L172" s="447"/>
      <c r="M172" s="447"/>
      <c r="N172" s="455">
        <f t="shared" si="5"/>
        <v>0</v>
      </c>
      <c r="O172" s="20" t="s">
        <v>110</v>
      </c>
      <c r="P172" s="341"/>
    </row>
    <row r="173" spans="1:16" ht="13.7" customHeight="1" x14ac:dyDescent="0.3">
      <c r="A173" s="440" t="s">
        <v>18</v>
      </c>
      <c r="B173" s="441"/>
      <c r="C173" s="441"/>
      <c r="D173" s="441"/>
      <c r="E173" s="441"/>
      <c r="F173" s="441"/>
      <c r="G173" s="21" t="s">
        <v>62</v>
      </c>
      <c r="H173" s="33"/>
      <c r="I173" s="446"/>
      <c r="J173" s="446"/>
      <c r="K173" s="446"/>
      <c r="L173" s="446"/>
      <c r="M173" s="446"/>
      <c r="N173" s="453">
        <f t="shared" si="5"/>
        <v>0</v>
      </c>
      <c r="O173" s="21"/>
      <c r="P173" s="342"/>
    </row>
    <row r="174" spans="1:16" ht="13.7" customHeight="1" x14ac:dyDescent="0.3">
      <c r="A174" s="440"/>
      <c r="B174" s="441"/>
      <c r="C174" s="441"/>
      <c r="D174" s="441"/>
      <c r="E174" s="441"/>
      <c r="F174" s="441"/>
      <c r="G174" s="21" t="s">
        <v>121</v>
      </c>
      <c r="H174" s="33"/>
      <c r="I174" s="446"/>
      <c r="J174" s="446"/>
      <c r="K174" s="446"/>
      <c r="L174" s="446"/>
      <c r="M174" s="446"/>
      <c r="N174" s="453">
        <f t="shared" si="5"/>
        <v>0</v>
      </c>
      <c r="O174" s="21"/>
      <c r="P174" s="342"/>
    </row>
    <row r="175" spans="1:16" ht="15" customHeight="1" x14ac:dyDescent="0.3">
      <c r="A175" s="460"/>
      <c r="B175" s="461"/>
      <c r="C175" s="461"/>
      <c r="D175" s="461"/>
      <c r="E175" s="461"/>
      <c r="F175" s="461"/>
      <c r="G175" s="25"/>
      <c r="H175" s="31"/>
      <c r="I175" s="447"/>
      <c r="J175" s="447"/>
      <c r="K175" s="447"/>
      <c r="L175" s="447"/>
      <c r="M175" s="447"/>
      <c r="N175" s="455">
        <f t="shared" si="5"/>
        <v>0</v>
      </c>
      <c r="O175" s="20"/>
      <c r="P175" s="32"/>
    </row>
    <row r="176" spans="1:16" ht="15" customHeight="1" x14ac:dyDescent="0.3">
      <c r="A176" s="460"/>
      <c r="B176" s="461"/>
      <c r="C176" s="461"/>
      <c r="D176" s="461"/>
      <c r="E176" s="461"/>
      <c r="F176" s="461"/>
      <c r="G176" s="25"/>
      <c r="H176" s="31"/>
      <c r="I176" s="447"/>
      <c r="J176" s="447"/>
      <c r="K176" s="447"/>
      <c r="L176" s="447"/>
      <c r="M176" s="447"/>
      <c r="N176" s="455">
        <f t="shared" si="5"/>
        <v>0</v>
      </c>
      <c r="O176" s="20"/>
      <c r="P176" s="32"/>
    </row>
    <row r="177" spans="1:16" ht="15" customHeight="1" x14ac:dyDescent="0.3">
      <c r="A177" s="440"/>
      <c r="B177" s="441"/>
      <c r="C177" s="441"/>
      <c r="D177" s="441"/>
      <c r="E177" s="441"/>
      <c r="F177" s="441"/>
      <c r="G177" s="21"/>
      <c r="H177" s="33"/>
      <c r="I177" s="34"/>
      <c r="J177" s="33"/>
      <c r="K177" s="34"/>
      <c r="L177" s="33"/>
      <c r="M177" s="34"/>
      <c r="N177" s="88">
        <f t="shared" si="5"/>
        <v>0</v>
      </c>
      <c r="O177" s="21"/>
      <c r="P177" s="34"/>
    </row>
    <row r="178" spans="1:16" ht="14.45" customHeight="1" x14ac:dyDescent="0.3">
      <c r="A178" s="437"/>
      <c r="B178" s="438"/>
      <c r="C178" s="438"/>
      <c r="D178" s="438"/>
      <c r="E178" s="438"/>
      <c r="F178" s="438"/>
      <c r="G178" s="20"/>
      <c r="H178" s="31"/>
      <c r="I178" s="32"/>
      <c r="J178" s="31"/>
      <c r="K178" s="32"/>
      <c r="L178" s="31"/>
      <c r="M178" s="32"/>
      <c r="N178" s="87">
        <f t="shared" si="5"/>
        <v>0</v>
      </c>
      <c r="O178" s="20"/>
      <c r="P178" s="32"/>
    </row>
    <row r="179" spans="1:16" ht="14.45" customHeight="1" x14ac:dyDescent="0.3">
      <c r="A179" s="443" t="s">
        <v>124</v>
      </c>
      <c r="B179" s="444"/>
      <c r="C179" s="444"/>
      <c r="D179" s="444"/>
      <c r="E179" s="444"/>
      <c r="F179" s="444"/>
      <c r="G179" s="22" t="s">
        <v>62</v>
      </c>
      <c r="H179" s="28"/>
      <c r="I179" s="430"/>
      <c r="J179" s="430"/>
      <c r="K179" s="430"/>
      <c r="L179" s="430"/>
      <c r="M179" s="430"/>
      <c r="N179" s="452">
        <f t="shared" si="5"/>
        <v>0</v>
      </c>
      <c r="O179" s="19"/>
      <c r="P179" s="39"/>
    </row>
    <row r="180" spans="1:16" ht="14.45" customHeight="1" x14ac:dyDescent="0.3">
      <c r="A180" s="443"/>
      <c r="B180" s="444"/>
      <c r="C180" s="444"/>
      <c r="D180" s="444"/>
      <c r="E180" s="444"/>
      <c r="F180" s="444"/>
      <c r="G180" s="22" t="s">
        <v>121</v>
      </c>
      <c r="H180" s="28"/>
      <c r="I180" s="430"/>
      <c r="J180" s="430"/>
      <c r="K180" s="430"/>
      <c r="L180" s="430"/>
      <c r="M180" s="430"/>
      <c r="N180" s="452">
        <f t="shared" si="5"/>
        <v>0</v>
      </c>
      <c r="O180" s="19"/>
      <c r="P180" s="39"/>
    </row>
    <row r="181" spans="1:16" ht="14.45" customHeight="1" x14ac:dyDescent="0.3">
      <c r="A181" s="437" t="s">
        <v>135</v>
      </c>
      <c r="B181" s="438"/>
      <c r="C181" s="438"/>
      <c r="D181" s="438"/>
      <c r="E181" s="438"/>
      <c r="F181" s="438"/>
      <c r="G181" s="20" t="s">
        <v>62</v>
      </c>
      <c r="H181" s="31"/>
      <c r="I181" s="447"/>
      <c r="J181" s="447"/>
      <c r="K181" s="447"/>
      <c r="L181" s="447"/>
      <c r="M181" s="447"/>
      <c r="N181" s="455">
        <f t="shared" si="5"/>
        <v>0</v>
      </c>
      <c r="O181" s="20" t="s">
        <v>112</v>
      </c>
      <c r="P181" s="341"/>
    </row>
    <row r="182" spans="1:16" ht="14.45" customHeight="1" x14ac:dyDescent="0.3">
      <c r="A182" s="437"/>
      <c r="B182" s="438"/>
      <c r="C182" s="438"/>
      <c r="D182" s="438"/>
      <c r="E182" s="438"/>
      <c r="F182" s="438"/>
      <c r="G182" s="20" t="s">
        <v>121</v>
      </c>
      <c r="H182" s="31"/>
      <c r="I182" s="447"/>
      <c r="J182" s="447"/>
      <c r="K182" s="447"/>
      <c r="L182" s="447"/>
      <c r="M182" s="447"/>
      <c r="N182" s="455">
        <f t="shared" si="5"/>
        <v>0</v>
      </c>
      <c r="O182" s="20"/>
      <c r="P182" s="341"/>
    </row>
    <row r="183" spans="1:16" ht="14.45" customHeight="1" x14ac:dyDescent="0.3">
      <c r="A183" s="440" t="s">
        <v>38</v>
      </c>
      <c r="B183" s="441"/>
      <c r="C183" s="441"/>
      <c r="D183" s="441"/>
      <c r="E183" s="441"/>
      <c r="F183" s="441"/>
      <c r="G183" s="21" t="s">
        <v>62</v>
      </c>
      <c r="H183" s="33"/>
      <c r="I183" s="446"/>
      <c r="J183" s="446"/>
      <c r="K183" s="446"/>
      <c r="L183" s="446"/>
      <c r="M183" s="446"/>
      <c r="N183" s="453">
        <f t="shared" si="5"/>
        <v>0</v>
      </c>
      <c r="O183" s="21"/>
      <c r="P183" s="342"/>
    </row>
    <row r="184" spans="1:16" ht="14.45" customHeight="1" x14ac:dyDescent="0.3">
      <c r="A184" s="440"/>
      <c r="B184" s="441"/>
      <c r="C184" s="441"/>
      <c r="D184" s="441"/>
      <c r="E184" s="441"/>
      <c r="F184" s="441"/>
      <c r="G184" s="21" t="s">
        <v>121</v>
      </c>
      <c r="H184" s="33"/>
      <c r="I184" s="446"/>
      <c r="J184" s="446"/>
      <c r="K184" s="446"/>
      <c r="L184" s="446"/>
      <c r="M184" s="446"/>
      <c r="N184" s="453">
        <f t="shared" si="5"/>
        <v>0</v>
      </c>
      <c r="O184" s="21"/>
      <c r="P184" s="342"/>
    </row>
    <row r="185" spans="1:16" ht="14.45" customHeight="1" x14ac:dyDescent="0.3">
      <c r="A185" s="437"/>
      <c r="B185" s="438"/>
      <c r="C185" s="438"/>
      <c r="D185" s="438"/>
      <c r="E185" s="438"/>
      <c r="F185" s="438"/>
      <c r="G185" s="20"/>
      <c r="H185" s="31"/>
      <c r="I185" s="32"/>
      <c r="J185" s="31"/>
      <c r="K185" s="32"/>
      <c r="L185" s="31"/>
      <c r="M185" s="32"/>
      <c r="N185" s="87">
        <f t="shared" si="5"/>
        <v>0</v>
      </c>
      <c r="O185" s="20"/>
      <c r="P185" s="32"/>
    </row>
    <row r="186" spans="1:16" ht="14.45" customHeight="1" x14ac:dyDescent="0.3">
      <c r="A186" s="440"/>
      <c r="B186" s="441"/>
      <c r="C186" s="441"/>
      <c r="D186" s="441"/>
      <c r="E186" s="441"/>
      <c r="F186" s="441"/>
      <c r="G186" s="21"/>
      <c r="H186" s="33"/>
      <c r="I186" s="34"/>
      <c r="J186" s="33"/>
      <c r="K186" s="34"/>
      <c r="L186" s="33"/>
      <c r="M186" s="34"/>
      <c r="N186" s="88">
        <f t="shared" si="5"/>
        <v>0</v>
      </c>
      <c r="O186" s="21"/>
      <c r="P186" s="34"/>
    </row>
    <row r="187" spans="1:16" ht="14.45" customHeight="1" x14ac:dyDescent="0.25">
      <c r="A187" s="443" t="s">
        <v>189</v>
      </c>
      <c r="B187" s="444"/>
      <c r="C187" s="444"/>
      <c r="D187" s="444"/>
      <c r="E187" s="444"/>
      <c r="F187" s="444"/>
      <c r="G187" s="26" t="s">
        <v>62</v>
      </c>
      <c r="H187" s="41"/>
      <c r="I187" s="430"/>
      <c r="J187" s="430"/>
      <c r="K187" s="430"/>
      <c r="L187" s="430"/>
      <c r="M187" s="430"/>
      <c r="N187" s="452">
        <f t="shared" si="5"/>
        <v>0</v>
      </c>
      <c r="O187" s="26"/>
      <c r="P187" s="344"/>
    </row>
    <row r="188" spans="1:16" ht="14.45" customHeight="1" x14ac:dyDescent="0.25">
      <c r="A188" s="443"/>
      <c r="B188" s="444"/>
      <c r="C188" s="444"/>
      <c r="D188" s="444"/>
      <c r="E188" s="444"/>
      <c r="F188" s="444"/>
      <c r="G188" s="26" t="s">
        <v>121</v>
      </c>
      <c r="H188" s="41"/>
      <c r="I188" s="430"/>
      <c r="J188" s="430"/>
      <c r="K188" s="430"/>
      <c r="L188" s="430"/>
      <c r="M188" s="430"/>
      <c r="N188" s="452">
        <f t="shared" si="5"/>
        <v>0</v>
      </c>
      <c r="O188" s="26"/>
      <c r="P188" s="344"/>
    </row>
    <row r="189" spans="1:16" ht="14.45" customHeight="1" x14ac:dyDescent="0.3">
      <c r="A189" s="437"/>
      <c r="B189" s="438"/>
      <c r="C189" s="438"/>
      <c r="D189" s="438"/>
      <c r="E189" s="438"/>
      <c r="F189" s="438"/>
      <c r="G189" s="20"/>
      <c r="H189" s="31"/>
      <c r="I189" s="32"/>
      <c r="J189" s="31"/>
      <c r="K189" s="32"/>
      <c r="L189" s="31"/>
      <c r="M189" s="32"/>
      <c r="N189" s="87">
        <f t="shared" si="5"/>
        <v>0</v>
      </c>
      <c r="O189" s="20"/>
      <c r="P189" s="32"/>
    </row>
    <row r="190" spans="1:16" ht="14.45" customHeight="1" x14ac:dyDescent="0.3">
      <c r="A190" s="440"/>
      <c r="B190" s="441"/>
      <c r="C190" s="441"/>
      <c r="D190" s="441"/>
      <c r="E190" s="441"/>
      <c r="F190" s="441"/>
      <c r="G190" s="21"/>
      <c r="H190" s="33"/>
      <c r="I190" s="34"/>
      <c r="J190" s="33"/>
      <c r="K190" s="34"/>
      <c r="L190" s="33"/>
      <c r="M190" s="34"/>
      <c r="N190" s="88">
        <f t="shared" si="5"/>
        <v>0</v>
      </c>
      <c r="O190" s="21"/>
      <c r="P190" s="34"/>
    </row>
    <row r="191" spans="1:16" ht="15" customHeight="1" x14ac:dyDescent="0.3">
      <c r="A191" s="443" t="s">
        <v>186</v>
      </c>
      <c r="B191" s="444"/>
      <c r="C191" s="444"/>
      <c r="D191" s="444"/>
      <c r="E191" s="444"/>
      <c r="F191" s="444"/>
      <c r="G191" s="19" t="s">
        <v>63</v>
      </c>
      <c r="H191" s="30"/>
      <c r="I191" s="39"/>
      <c r="J191" s="30"/>
      <c r="K191" s="39"/>
      <c r="L191" s="30"/>
      <c r="M191" s="39"/>
      <c r="N191" s="90">
        <f t="shared" si="5"/>
        <v>0</v>
      </c>
      <c r="O191" s="19"/>
      <c r="P191" s="39"/>
    </row>
    <row r="192" spans="1:16" ht="15" customHeight="1" x14ac:dyDescent="0.3">
      <c r="A192" s="437" t="s">
        <v>78</v>
      </c>
      <c r="B192" s="438"/>
      <c r="C192" s="438"/>
      <c r="D192" s="438"/>
      <c r="E192" s="438"/>
      <c r="F192" s="438"/>
      <c r="G192" s="20"/>
      <c r="H192" s="31"/>
      <c r="I192" s="32"/>
      <c r="J192" s="31"/>
      <c r="K192" s="32"/>
      <c r="L192" s="31"/>
      <c r="M192" s="32"/>
      <c r="N192" s="87">
        <f t="shared" si="5"/>
        <v>0</v>
      </c>
      <c r="O192" s="20"/>
      <c r="P192" s="32"/>
    </row>
    <row r="193" spans="1:16" ht="15" customHeight="1" x14ac:dyDescent="0.3">
      <c r="A193" s="440" t="s">
        <v>79</v>
      </c>
      <c r="B193" s="441"/>
      <c r="C193" s="441"/>
      <c r="D193" s="441"/>
      <c r="E193" s="441"/>
      <c r="F193" s="441"/>
      <c r="G193" s="21"/>
      <c r="H193" s="33"/>
      <c r="I193" s="34"/>
      <c r="J193" s="33"/>
      <c r="K193" s="34"/>
      <c r="L193" s="33"/>
      <c r="M193" s="34"/>
      <c r="N193" s="88">
        <f t="shared" si="5"/>
        <v>0</v>
      </c>
      <c r="O193" s="21"/>
      <c r="P193" s="34"/>
    </row>
    <row r="194" spans="1:16" ht="15" customHeight="1" x14ac:dyDescent="0.3">
      <c r="A194" s="437" t="s">
        <v>80</v>
      </c>
      <c r="B194" s="438"/>
      <c r="C194" s="438"/>
      <c r="D194" s="438"/>
      <c r="E194" s="438"/>
      <c r="F194" s="438"/>
      <c r="G194" s="20"/>
      <c r="H194" s="31"/>
      <c r="I194" s="32"/>
      <c r="J194" s="31"/>
      <c r="K194" s="32"/>
      <c r="L194" s="31"/>
      <c r="M194" s="32"/>
      <c r="N194" s="87">
        <f t="shared" si="5"/>
        <v>0</v>
      </c>
      <c r="O194" s="20"/>
      <c r="P194" s="32"/>
    </row>
    <row r="195" spans="1:16" ht="15" customHeight="1" x14ac:dyDescent="0.3">
      <c r="A195" s="440" t="s">
        <v>81</v>
      </c>
      <c r="B195" s="441"/>
      <c r="C195" s="441"/>
      <c r="D195" s="441"/>
      <c r="E195" s="441"/>
      <c r="F195" s="441"/>
      <c r="G195" s="21"/>
      <c r="H195" s="33"/>
      <c r="I195" s="34"/>
      <c r="J195" s="33"/>
      <c r="K195" s="34"/>
      <c r="L195" s="33"/>
      <c r="M195" s="34"/>
      <c r="N195" s="88">
        <f t="shared" si="5"/>
        <v>0</v>
      </c>
      <c r="O195" s="21"/>
      <c r="P195" s="34"/>
    </row>
    <row r="196" spans="1:16" ht="14.45" customHeight="1" x14ac:dyDescent="0.3">
      <c r="A196" s="437"/>
      <c r="B196" s="438"/>
      <c r="C196" s="438"/>
      <c r="D196" s="438"/>
      <c r="E196" s="438"/>
      <c r="F196" s="438"/>
      <c r="G196" s="20"/>
      <c r="H196" s="31"/>
      <c r="I196" s="32"/>
      <c r="J196" s="31"/>
      <c r="K196" s="32"/>
      <c r="L196" s="31"/>
      <c r="M196" s="32"/>
      <c r="N196" s="87">
        <f t="shared" si="5"/>
        <v>0</v>
      </c>
      <c r="O196" s="20"/>
      <c r="P196" s="32"/>
    </row>
    <row r="197" spans="1:16" ht="14.45" customHeight="1" x14ac:dyDescent="0.3">
      <c r="A197" s="440"/>
      <c r="B197" s="441"/>
      <c r="C197" s="441"/>
      <c r="D197" s="441"/>
      <c r="E197" s="441"/>
      <c r="F197" s="442"/>
      <c r="G197" s="21"/>
      <c r="H197" s="33"/>
      <c r="I197" s="34"/>
      <c r="J197" s="33"/>
      <c r="K197" s="34"/>
      <c r="L197" s="33"/>
      <c r="M197" s="34"/>
      <c r="N197" s="88">
        <f t="shared" si="5"/>
        <v>0</v>
      </c>
      <c r="O197" s="21"/>
      <c r="P197" s="34"/>
    </row>
    <row r="198" spans="1:16" ht="14.45" customHeight="1" x14ac:dyDescent="0.3">
      <c r="A198" s="443" t="s">
        <v>187</v>
      </c>
      <c r="B198" s="444"/>
      <c r="C198" s="444"/>
      <c r="D198" s="444"/>
      <c r="E198" s="444"/>
      <c r="F198" s="444"/>
      <c r="G198" s="22" t="s">
        <v>62</v>
      </c>
      <c r="H198" s="28"/>
      <c r="I198" s="430"/>
      <c r="J198" s="430"/>
      <c r="K198" s="430"/>
      <c r="L198" s="430"/>
      <c r="M198" s="430"/>
      <c r="N198" s="452">
        <f t="shared" si="5"/>
        <v>0</v>
      </c>
      <c r="O198" s="19"/>
      <c r="P198" s="39"/>
    </row>
    <row r="199" spans="1:16" ht="15" customHeight="1" x14ac:dyDescent="0.3">
      <c r="A199" s="443"/>
      <c r="B199" s="444"/>
      <c r="C199" s="444"/>
      <c r="D199" s="444"/>
      <c r="E199" s="444"/>
      <c r="F199" s="444"/>
      <c r="G199" s="22" t="s">
        <v>121</v>
      </c>
      <c r="H199" s="28"/>
      <c r="I199" s="430"/>
      <c r="J199" s="430"/>
      <c r="K199" s="430"/>
      <c r="L199" s="430"/>
      <c r="M199" s="430"/>
      <c r="N199" s="452">
        <f t="shared" si="5"/>
        <v>0</v>
      </c>
      <c r="O199" s="19"/>
      <c r="P199" s="39"/>
    </row>
    <row r="200" spans="1:16" ht="18.75" x14ac:dyDescent="0.3">
      <c r="A200" s="437" t="s">
        <v>40</v>
      </c>
      <c r="B200" s="438"/>
      <c r="C200" s="438"/>
      <c r="D200" s="438"/>
      <c r="E200" s="438"/>
      <c r="F200" s="438"/>
      <c r="G200" s="20" t="s">
        <v>62</v>
      </c>
      <c r="H200" s="31"/>
      <c r="I200" s="447"/>
      <c r="J200" s="447"/>
      <c r="K200" s="447"/>
      <c r="L200" s="447"/>
      <c r="M200" s="447"/>
      <c r="N200" s="455">
        <f t="shared" si="5"/>
        <v>0</v>
      </c>
      <c r="O200" s="20" t="s">
        <v>114</v>
      </c>
      <c r="P200" s="341"/>
    </row>
    <row r="201" spans="1:16" ht="18.75" x14ac:dyDescent="0.3">
      <c r="A201" s="437"/>
      <c r="B201" s="438"/>
      <c r="C201" s="438"/>
      <c r="D201" s="438"/>
      <c r="E201" s="438"/>
      <c r="F201" s="438"/>
      <c r="G201" s="20" t="s">
        <v>121</v>
      </c>
      <c r="H201" s="31"/>
      <c r="I201" s="447"/>
      <c r="J201" s="447"/>
      <c r="K201" s="447"/>
      <c r="L201" s="447"/>
      <c r="M201" s="447"/>
      <c r="N201" s="455">
        <f t="shared" si="5"/>
        <v>0</v>
      </c>
      <c r="O201" s="20"/>
      <c r="P201" s="341"/>
    </row>
    <row r="202" spans="1:16" ht="18.75" x14ac:dyDescent="0.3">
      <c r="A202" s="440"/>
      <c r="B202" s="441"/>
      <c r="C202" s="441"/>
      <c r="D202" s="441"/>
      <c r="E202" s="441"/>
      <c r="F202" s="441"/>
      <c r="G202" s="21"/>
      <c r="H202" s="33"/>
      <c r="I202" s="34"/>
      <c r="J202" s="33"/>
      <c r="K202" s="34"/>
      <c r="L202" s="33"/>
      <c r="M202" s="34"/>
      <c r="N202" s="88">
        <f t="shared" si="5"/>
        <v>0</v>
      </c>
      <c r="O202" s="21"/>
      <c r="P202" s="34"/>
    </row>
    <row r="203" spans="1:16" ht="18.75" x14ac:dyDescent="0.3">
      <c r="A203" s="437"/>
      <c r="B203" s="438"/>
      <c r="C203" s="438"/>
      <c r="D203" s="438"/>
      <c r="E203" s="438"/>
      <c r="F203" s="438"/>
      <c r="G203" s="20"/>
      <c r="H203" s="31"/>
      <c r="I203" s="32"/>
      <c r="J203" s="31"/>
      <c r="K203" s="32"/>
      <c r="L203" s="31"/>
      <c r="M203" s="32"/>
      <c r="N203" s="87">
        <f t="shared" si="5"/>
        <v>0</v>
      </c>
      <c r="O203" s="20"/>
      <c r="P203" s="32"/>
    </row>
    <row r="204" spans="1:16" ht="18.75" x14ac:dyDescent="0.3">
      <c r="A204" s="431"/>
      <c r="B204" s="432"/>
      <c r="C204" s="432"/>
      <c r="D204" s="432"/>
      <c r="E204" s="432"/>
      <c r="F204" s="433"/>
      <c r="G204" s="21"/>
      <c r="H204" s="33"/>
      <c r="I204" s="34"/>
      <c r="J204" s="33"/>
      <c r="K204" s="34"/>
      <c r="L204" s="33"/>
      <c r="M204" s="34"/>
      <c r="N204" s="88">
        <f t="shared" si="5"/>
        <v>0</v>
      </c>
      <c r="O204" s="21"/>
      <c r="P204" s="34"/>
    </row>
    <row r="205" spans="1:16" ht="18.75" x14ac:dyDescent="0.3">
      <c r="A205" s="434"/>
      <c r="B205" s="435"/>
      <c r="C205" s="435"/>
      <c r="D205" s="435"/>
      <c r="E205" s="435"/>
      <c r="F205" s="436"/>
      <c r="G205" s="20"/>
      <c r="H205" s="31"/>
      <c r="I205" s="32"/>
      <c r="J205" s="31"/>
      <c r="K205" s="32"/>
      <c r="L205" s="31"/>
      <c r="M205" s="32"/>
      <c r="N205" s="87">
        <f t="shared" si="5"/>
        <v>0</v>
      </c>
      <c r="O205" s="20"/>
      <c r="P205" s="32"/>
    </row>
    <row r="206" spans="1:16" ht="18.75" x14ac:dyDescent="0.3">
      <c r="A206" s="443" t="s">
        <v>188</v>
      </c>
      <c r="B206" s="444"/>
      <c r="C206" s="444"/>
      <c r="D206" s="444"/>
      <c r="E206" s="444"/>
      <c r="F206" s="444"/>
      <c r="G206" s="22" t="s">
        <v>122</v>
      </c>
      <c r="H206" s="28"/>
      <c r="I206" s="29"/>
      <c r="J206" s="28"/>
      <c r="K206" s="29"/>
      <c r="L206" s="28"/>
      <c r="M206" s="29"/>
      <c r="N206" s="86">
        <f t="shared" si="5"/>
        <v>0</v>
      </c>
      <c r="O206" s="22"/>
      <c r="P206" s="29"/>
    </row>
    <row r="207" spans="1:16" ht="18.75" x14ac:dyDescent="0.3">
      <c r="A207" s="437"/>
      <c r="B207" s="438"/>
      <c r="C207" s="438"/>
      <c r="D207" s="438"/>
      <c r="E207" s="438"/>
      <c r="F207" s="438"/>
      <c r="G207" s="20"/>
      <c r="H207" s="31"/>
      <c r="I207" s="32"/>
      <c r="J207" s="31"/>
      <c r="K207" s="32"/>
      <c r="L207" s="31"/>
      <c r="M207" s="32"/>
      <c r="N207" s="87">
        <f t="shared" si="5"/>
        <v>0</v>
      </c>
      <c r="O207" s="20"/>
      <c r="P207" s="32"/>
    </row>
    <row r="208" spans="1:16" ht="19.5" thickBot="1" x14ac:dyDescent="0.35">
      <c r="A208" s="440"/>
      <c r="B208" s="441"/>
      <c r="C208" s="441"/>
      <c r="D208" s="441"/>
      <c r="E208" s="441"/>
      <c r="F208" s="441"/>
      <c r="G208" s="21"/>
      <c r="H208" s="33"/>
      <c r="I208" s="34"/>
      <c r="J208" s="33"/>
      <c r="K208" s="34"/>
      <c r="L208" s="33"/>
      <c r="M208" s="34"/>
      <c r="N208" s="88">
        <f t="shared" si="5"/>
        <v>0</v>
      </c>
      <c r="O208" s="27"/>
      <c r="P208" s="43"/>
    </row>
    <row r="209" spans="1:16" ht="45.6" customHeight="1" thickBot="1" x14ac:dyDescent="0.3">
      <c r="A209" s="473" t="s">
        <v>182</v>
      </c>
      <c r="B209" s="484"/>
      <c r="C209" s="484"/>
      <c r="D209" s="484"/>
      <c r="E209" s="484"/>
      <c r="F209" s="484"/>
      <c r="G209" s="484"/>
      <c r="H209" s="484"/>
      <c r="I209" s="484"/>
      <c r="J209" s="484"/>
      <c r="K209" s="484"/>
      <c r="L209" s="484"/>
      <c r="M209" s="484"/>
      <c r="N209" s="484"/>
      <c r="O209" s="484"/>
      <c r="P209" s="485"/>
    </row>
    <row r="210" spans="1:16" ht="18.75" x14ac:dyDescent="0.3">
      <c r="A210" s="443" t="s">
        <v>136</v>
      </c>
      <c r="B210" s="444"/>
      <c r="C210" s="444"/>
      <c r="D210" s="444"/>
      <c r="E210" s="444"/>
      <c r="F210" s="444"/>
      <c r="G210" s="22" t="s">
        <v>62</v>
      </c>
      <c r="H210" s="28"/>
      <c r="I210" s="29"/>
      <c r="J210" s="28"/>
      <c r="K210" s="29"/>
      <c r="L210" s="28"/>
      <c r="M210" s="29"/>
      <c r="N210" s="86">
        <f t="shared" ref="N210:N235" si="6">IF(H210&gt;0, ($I210+$J210+$K210)/$H210,0)</f>
        <v>0</v>
      </c>
      <c r="O210" s="349"/>
      <c r="P210" s="345"/>
    </row>
    <row r="211" spans="1:16" ht="18.75" x14ac:dyDescent="0.3">
      <c r="A211" s="437"/>
      <c r="B211" s="438"/>
      <c r="C211" s="438"/>
      <c r="D211" s="438"/>
      <c r="E211" s="438"/>
      <c r="F211" s="438"/>
      <c r="G211" s="20"/>
      <c r="H211" s="31"/>
      <c r="I211" s="32"/>
      <c r="J211" s="31"/>
      <c r="K211" s="32"/>
      <c r="L211" s="31"/>
      <c r="M211" s="32"/>
      <c r="N211" s="87">
        <f t="shared" si="6"/>
        <v>0</v>
      </c>
      <c r="O211" s="20"/>
      <c r="P211" s="32"/>
    </row>
    <row r="212" spans="1:16" ht="18.75" x14ac:dyDescent="0.3">
      <c r="A212" s="443" t="s">
        <v>137</v>
      </c>
      <c r="B212" s="444"/>
      <c r="C212" s="444"/>
      <c r="D212" s="444"/>
      <c r="E212" s="444"/>
      <c r="F212" s="444"/>
      <c r="G212" s="22" t="s">
        <v>122</v>
      </c>
      <c r="H212" s="28"/>
      <c r="I212" s="29"/>
      <c r="J212" s="28"/>
      <c r="K212" s="29"/>
      <c r="L212" s="28"/>
      <c r="M212" s="29"/>
      <c r="N212" s="86">
        <f t="shared" si="6"/>
        <v>0</v>
      </c>
      <c r="O212" s="22"/>
      <c r="P212" s="29"/>
    </row>
    <row r="213" spans="1:16" ht="18.75" x14ac:dyDescent="0.3">
      <c r="A213" s="437"/>
      <c r="B213" s="438"/>
      <c r="C213" s="438"/>
      <c r="D213" s="438"/>
      <c r="E213" s="438"/>
      <c r="F213" s="438"/>
      <c r="G213" s="20"/>
      <c r="H213" s="31"/>
      <c r="I213" s="32"/>
      <c r="J213" s="31"/>
      <c r="K213" s="32"/>
      <c r="L213" s="31"/>
      <c r="M213" s="32"/>
      <c r="N213" s="87">
        <f t="shared" si="6"/>
        <v>0</v>
      </c>
      <c r="O213" s="20"/>
      <c r="P213" s="32"/>
    </row>
    <row r="214" spans="1:16" ht="18.75" x14ac:dyDescent="0.3">
      <c r="A214" s="443" t="s">
        <v>138</v>
      </c>
      <c r="B214" s="444"/>
      <c r="C214" s="444"/>
      <c r="D214" s="444"/>
      <c r="E214" s="444"/>
      <c r="F214" s="444"/>
      <c r="G214" s="22" t="s">
        <v>64</v>
      </c>
      <c r="H214" s="28"/>
      <c r="I214" s="29"/>
      <c r="J214" s="28"/>
      <c r="K214" s="29"/>
      <c r="L214" s="28"/>
      <c r="M214" s="29"/>
      <c r="N214" s="86">
        <f t="shared" si="6"/>
        <v>0</v>
      </c>
      <c r="O214" s="22"/>
      <c r="P214" s="29"/>
    </row>
    <row r="215" spans="1:16" ht="18.75" x14ac:dyDescent="0.3">
      <c r="A215" s="437"/>
      <c r="B215" s="438"/>
      <c r="C215" s="438"/>
      <c r="D215" s="438"/>
      <c r="E215" s="438"/>
      <c r="F215" s="438"/>
      <c r="G215" s="20"/>
      <c r="H215" s="31"/>
      <c r="I215" s="32"/>
      <c r="J215" s="31"/>
      <c r="K215" s="32"/>
      <c r="L215" s="31"/>
      <c r="M215" s="32"/>
      <c r="N215" s="87">
        <f t="shared" si="6"/>
        <v>0</v>
      </c>
      <c r="O215" s="20"/>
      <c r="P215" s="32"/>
    </row>
    <row r="216" spans="1:16" ht="18.75" x14ac:dyDescent="0.3">
      <c r="A216" s="440"/>
      <c r="B216" s="441"/>
      <c r="C216" s="441"/>
      <c r="D216" s="441"/>
      <c r="E216" s="441"/>
      <c r="F216" s="441"/>
      <c r="G216" s="21"/>
      <c r="H216" s="33"/>
      <c r="I216" s="34"/>
      <c r="J216" s="33"/>
      <c r="K216" s="34"/>
      <c r="L216" s="33"/>
      <c r="M216" s="34"/>
      <c r="N216" s="88">
        <f t="shared" si="6"/>
        <v>0</v>
      </c>
      <c r="O216" s="21"/>
      <c r="P216" s="34"/>
    </row>
    <row r="217" spans="1:16" ht="18.75" x14ac:dyDescent="0.3">
      <c r="A217" s="443" t="s">
        <v>139</v>
      </c>
      <c r="B217" s="444"/>
      <c r="C217" s="444"/>
      <c r="D217" s="444"/>
      <c r="E217" s="444"/>
      <c r="F217" s="444"/>
      <c r="G217" s="22" t="s">
        <v>64</v>
      </c>
      <c r="H217" s="28"/>
      <c r="I217" s="29"/>
      <c r="J217" s="28"/>
      <c r="K217" s="29"/>
      <c r="L217" s="28"/>
      <c r="M217" s="29"/>
      <c r="N217" s="86">
        <f t="shared" si="6"/>
        <v>0</v>
      </c>
      <c r="O217" s="22"/>
      <c r="P217" s="29"/>
    </row>
    <row r="218" spans="1:16" ht="18.75" x14ac:dyDescent="0.3">
      <c r="A218" s="437"/>
      <c r="B218" s="438"/>
      <c r="C218" s="438"/>
      <c r="D218" s="438"/>
      <c r="E218" s="438"/>
      <c r="F218" s="438"/>
      <c r="G218" s="20"/>
      <c r="H218" s="31"/>
      <c r="I218" s="32"/>
      <c r="J218" s="31"/>
      <c r="K218" s="32"/>
      <c r="L218" s="31"/>
      <c r="M218" s="32"/>
      <c r="N218" s="87">
        <f t="shared" si="6"/>
        <v>0</v>
      </c>
      <c r="O218" s="20"/>
      <c r="P218" s="32"/>
    </row>
    <row r="219" spans="1:16" ht="18.75" x14ac:dyDescent="0.3">
      <c r="A219" s="440"/>
      <c r="B219" s="441"/>
      <c r="C219" s="441"/>
      <c r="D219" s="441"/>
      <c r="E219" s="441"/>
      <c r="F219" s="441"/>
      <c r="G219" s="21"/>
      <c r="H219" s="33"/>
      <c r="I219" s="34"/>
      <c r="J219" s="33"/>
      <c r="K219" s="34"/>
      <c r="L219" s="33"/>
      <c r="M219" s="34"/>
      <c r="N219" s="88">
        <f t="shared" si="6"/>
        <v>0</v>
      </c>
      <c r="O219" s="21"/>
      <c r="P219" s="34"/>
    </row>
    <row r="220" spans="1:16" ht="18.75" x14ac:dyDescent="0.3">
      <c r="A220" s="443" t="s">
        <v>140</v>
      </c>
      <c r="B220" s="444"/>
      <c r="C220" s="444"/>
      <c r="D220" s="444"/>
      <c r="E220" s="444"/>
      <c r="F220" s="444"/>
      <c r="G220" s="22" t="s">
        <v>64</v>
      </c>
      <c r="H220" s="28"/>
      <c r="I220" s="29"/>
      <c r="J220" s="28"/>
      <c r="K220" s="29"/>
      <c r="L220" s="28"/>
      <c r="M220" s="29"/>
      <c r="N220" s="86">
        <f t="shared" si="6"/>
        <v>0</v>
      </c>
      <c r="O220" s="22"/>
      <c r="P220" s="29"/>
    </row>
    <row r="221" spans="1:16" ht="18.75" x14ac:dyDescent="0.3">
      <c r="A221" s="437"/>
      <c r="B221" s="438"/>
      <c r="C221" s="438"/>
      <c r="D221" s="438"/>
      <c r="E221" s="438"/>
      <c r="F221" s="438"/>
      <c r="G221" s="20"/>
      <c r="H221" s="31"/>
      <c r="I221" s="32"/>
      <c r="J221" s="31"/>
      <c r="K221" s="32"/>
      <c r="L221" s="31"/>
      <c r="M221" s="32"/>
      <c r="N221" s="87">
        <f t="shared" si="6"/>
        <v>0</v>
      </c>
      <c r="O221" s="20"/>
      <c r="P221" s="32"/>
    </row>
    <row r="222" spans="1:16" ht="18.75" x14ac:dyDescent="0.3">
      <c r="A222" s="440"/>
      <c r="B222" s="441"/>
      <c r="C222" s="441"/>
      <c r="D222" s="441"/>
      <c r="E222" s="441"/>
      <c r="F222" s="442"/>
      <c r="G222" s="21"/>
      <c r="H222" s="33"/>
      <c r="I222" s="34"/>
      <c r="J222" s="33"/>
      <c r="K222" s="34"/>
      <c r="L222" s="33"/>
      <c r="M222" s="34"/>
      <c r="N222" s="88">
        <f t="shared" si="6"/>
        <v>0</v>
      </c>
      <c r="O222" s="21"/>
      <c r="P222" s="34"/>
    </row>
    <row r="223" spans="1:16" ht="18.75" x14ac:dyDescent="0.3">
      <c r="A223" s="443" t="s">
        <v>141</v>
      </c>
      <c r="B223" s="444"/>
      <c r="C223" s="444"/>
      <c r="D223" s="444"/>
      <c r="E223" s="444"/>
      <c r="F223" s="444"/>
      <c r="G223" s="22" t="s">
        <v>68</v>
      </c>
      <c r="H223" s="28"/>
      <c r="I223" s="29"/>
      <c r="J223" s="28"/>
      <c r="K223" s="29"/>
      <c r="L223" s="28"/>
      <c r="M223" s="29"/>
      <c r="N223" s="86">
        <f t="shared" si="6"/>
        <v>0</v>
      </c>
      <c r="O223" s="22"/>
      <c r="P223" s="29"/>
    </row>
    <row r="224" spans="1:16" ht="18.75" x14ac:dyDescent="0.3">
      <c r="A224" s="437"/>
      <c r="B224" s="438"/>
      <c r="C224" s="438"/>
      <c r="D224" s="438"/>
      <c r="E224" s="438"/>
      <c r="F224" s="438"/>
      <c r="G224" s="20"/>
      <c r="H224" s="31"/>
      <c r="I224" s="32"/>
      <c r="J224" s="31"/>
      <c r="K224" s="32"/>
      <c r="L224" s="31"/>
      <c r="M224" s="32"/>
      <c r="N224" s="87">
        <f t="shared" si="6"/>
        <v>0</v>
      </c>
      <c r="O224" s="20"/>
      <c r="P224" s="32"/>
    </row>
    <row r="225" spans="1:16" ht="18.75" x14ac:dyDescent="0.3">
      <c r="A225" s="443" t="s">
        <v>142</v>
      </c>
      <c r="B225" s="444"/>
      <c r="C225" s="444"/>
      <c r="D225" s="444"/>
      <c r="E225" s="444"/>
      <c r="F225" s="444"/>
      <c r="G225" s="22" t="s">
        <v>68</v>
      </c>
      <c r="H225" s="28"/>
      <c r="I225" s="29"/>
      <c r="J225" s="28"/>
      <c r="K225" s="29"/>
      <c r="L225" s="28"/>
      <c r="M225" s="29"/>
      <c r="N225" s="86">
        <f t="shared" si="6"/>
        <v>0</v>
      </c>
      <c r="O225" s="22"/>
      <c r="P225" s="29"/>
    </row>
    <row r="226" spans="1:16" ht="18.75" x14ac:dyDescent="0.3">
      <c r="A226" s="437"/>
      <c r="B226" s="438"/>
      <c r="C226" s="438"/>
      <c r="D226" s="438"/>
      <c r="E226" s="438"/>
      <c r="F226" s="438"/>
      <c r="G226" s="20"/>
      <c r="H226" s="31"/>
      <c r="I226" s="32"/>
      <c r="J226" s="31"/>
      <c r="K226" s="32"/>
      <c r="L226" s="31"/>
      <c r="M226" s="32"/>
      <c r="N226" s="87">
        <f t="shared" si="6"/>
        <v>0</v>
      </c>
      <c r="O226" s="20"/>
      <c r="P226" s="32"/>
    </row>
    <row r="227" spans="1:16" ht="18.75" x14ac:dyDescent="0.3">
      <c r="A227" s="443" t="s">
        <v>143</v>
      </c>
      <c r="B227" s="444"/>
      <c r="C227" s="444"/>
      <c r="D227" s="444"/>
      <c r="E227" s="444"/>
      <c r="F227" s="444"/>
      <c r="G227" s="22" t="s">
        <v>68</v>
      </c>
      <c r="H227" s="28"/>
      <c r="I227" s="29"/>
      <c r="J227" s="28"/>
      <c r="K227" s="29"/>
      <c r="L227" s="28"/>
      <c r="M227" s="29"/>
      <c r="N227" s="86">
        <f t="shared" si="6"/>
        <v>0</v>
      </c>
      <c r="O227" s="22"/>
      <c r="P227" s="29"/>
    </row>
    <row r="228" spans="1:16" ht="18.75" x14ac:dyDescent="0.3">
      <c r="A228" s="437"/>
      <c r="B228" s="438"/>
      <c r="C228" s="438"/>
      <c r="D228" s="438"/>
      <c r="E228" s="438"/>
      <c r="F228" s="438"/>
      <c r="G228" s="20"/>
      <c r="H228" s="31"/>
      <c r="I228" s="32"/>
      <c r="J228" s="31"/>
      <c r="K228" s="32"/>
      <c r="L228" s="31"/>
      <c r="M228" s="32"/>
      <c r="N228" s="87">
        <f t="shared" si="6"/>
        <v>0</v>
      </c>
      <c r="O228" s="20"/>
      <c r="P228" s="32"/>
    </row>
    <row r="229" spans="1:16" ht="18.75" x14ac:dyDescent="0.3">
      <c r="A229" s="443" t="s">
        <v>144</v>
      </c>
      <c r="B229" s="444"/>
      <c r="C229" s="444"/>
      <c r="D229" s="444"/>
      <c r="E229" s="444"/>
      <c r="F229" s="444"/>
      <c r="G229" s="22" t="s">
        <v>63</v>
      </c>
      <c r="H229" s="28"/>
      <c r="I229" s="29"/>
      <c r="J229" s="28"/>
      <c r="K229" s="29"/>
      <c r="L229" s="28"/>
      <c r="M229" s="29"/>
      <c r="N229" s="86">
        <f t="shared" si="6"/>
        <v>0</v>
      </c>
      <c r="O229" s="22"/>
      <c r="P229" s="29"/>
    </row>
    <row r="230" spans="1:16" ht="18.75" x14ac:dyDescent="0.3">
      <c r="A230" s="437" t="s">
        <v>78</v>
      </c>
      <c r="B230" s="438"/>
      <c r="C230" s="438"/>
      <c r="D230" s="438"/>
      <c r="E230" s="438"/>
      <c r="F230" s="438"/>
      <c r="G230" s="20"/>
      <c r="H230" s="31"/>
      <c r="I230" s="32"/>
      <c r="J230" s="31"/>
      <c r="K230" s="32"/>
      <c r="L230" s="31"/>
      <c r="M230" s="32"/>
      <c r="N230" s="87">
        <f t="shared" si="6"/>
        <v>0</v>
      </c>
      <c r="O230" s="20"/>
      <c r="P230" s="32"/>
    </row>
    <row r="231" spans="1:16" ht="18.75" x14ac:dyDescent="0.3">
      <c r="A231" s="440" t="s">
        <v>79</v>
      </c>
      <c r="B231" s="441"/>
      <c r="C231" s="441"/>
      <c r="D231" s="441"/>
      <c r="E231" s="441"/>
      <c r="F231" s="441"/>
      <c r="G231" s="21"/>
      <c r="H231" s="33"/>
      <c r="I231" s="34"/>
      <c r="J231" s="33"/>
      <c r="K231" s="34"/>
      <c r="L231" s="33"/>
      <c r="M231" s="34"/>
      <c r="N231" s="88">
        <f t="shared" si="6"/>
        <v>0</v>
      </c>
      <c r="O231" s="21"/>
      <c r="P231" s="34"/>
    </row>
    <row r="232" spans="1:16" ht="18.75" x14ac:dyDescent="0.3">
      <c r="A232" s="437" t="s">
        <v>80</v>
      </c>
      <c r="B232" s="438"/>
      <c r="C232" s="438"/>
      <c r="D232" s="438"/>
      <c r="E232" s="438"/>
      <c r="F232" s="438"/>
      <c r="G232" s="20"/>
      <c r="H232" s="31"/>
      <c r="I232" s="32"/>
      <c r="J232" s="31"/>
      <c r="K232" s="32"/>
      <c r="L232" s="31"/>
      <c r="M232" s="32"/>
      <c r="N232" s="87">
        <f t="shared" si="6"/>
        <v>0</v>
      </c>
      <c r="O232" s="20"/>
      <c r="P232" s="32"/>
    </row>
    <row r="233" spans="1:16" ht="18.75" x14ac:dyDescent="0.3">
      <c r="A233" s="440" t="s">
        <v>81</v>
      </c>
      <c r="B233" s="441"/>
      <c r="C233" s="441"/>
      <c r="D233" s="441"/>
      <c r="E233" s="441"/>
      <c r="F233" s="441"/>
      <c r="G233" s="21"/>
      <c r="H233" s="33"/>
      <c r="I233" s="34"/>
      <c r="J233" s="33"/>
      <c r="K233" s="34"/>
      <c r="L233" s="33"/>
      <c r="M233" s="34"/>
      <c r="N233" s="88">
        <f t="shared" si="6"/>
        <v>0</v>
      </c>
      <c r="O233" s="21"/>
      <c r="P233" s="34"/>
    </row>
    <row r="234" spans="1:16" ht="18.75" x14ac:dyDescent="0.3">
      <c r="A234" s="437"/>
      <c r="B234" s="438"/>
      <c r="C234" s="438"/>
      <c r="D234" s="438"/>
      <c r="E234" s="438"/>
      <c r="F234" s="439"/>
      <c r="G234" s="20"/>
      <c r="H234" s="31"/>
      <c r="I234" s="32"/>
      <c r="J234" s="31"/>
      <c r="K234" s="32"/>
      <c r="L234" s="31"/>
      <c r="M234" s="32"/>
      <c r="N234" s="87">
        <f t="shared" si="6"/>
        <v>0</v>
      </c>
      <c r="O234" s="20"/>
      <c r="P234" s="32"/>
    </row>
    <row r="235" spans="1:16" ht="19.5" thickBot="1" x14ac:dyDescent="0.35">
      <c r="A235" s="448"/>
      <c r="B235" s="449"/>
      <c r="C235" s="449"/>
      <c r="D235" s="449"/>
      <c r="E235" s="449"/>
      <c r="F235" s="450"/>
      <c r="G235" s="27"/>
      <c r="H235" s="42"/>
      <c r="I235" s="43"/>
      <c r="J235" s="42"/>
      <c r="K235" s="43"/>
      <c r="L235" s="42"/>
      <c r="M235" s="43"/>
      <c r="N235" s="91">
        <f t="shared" si="6"/>
        <v>0</v>
      </c>
      <c r="O235" s="27"/>
      <c r="P235" s="43"/>
    </row>
    <row r="236" spans="1:16" s="357" customFormat="1" x14ac:dyDescent="0.25">
      <c r="H236" s="322"/>
      <c r="I236" s="322"/>
      <c r="J236" s="322"/>
      <c r="K236" s="322"/>
      <c r="L236" s="322"/>
      <c r="M236" s="322"/>
      <c r="N236" s="322"/>
      <c r="P236" s="322"/>
    </row>
    <row r="237" spans="1:16" s="357" customFormat="1" x14ac:dyDescent="0.25">
      <c r="H237" s="322"/>
      <c r="I237" s="322"/>
      <c r="J237" s="322"/>
      <c r="K237" s="322"/>
      <c r="L237" s="322"/>
      <c r="M237" s="322"/>
      <c r="N237" s="322"/>
      <c r="P237" s="322"/>
    </row>
    <row r="238" spans="1:16" s="357" customFormat="1" x14ac:dyDescent="0.25">
      <c r="H238" s="322"/>
      <c r="I238" s="322"/>
      <c r="J238" s="322"/>
      <c r="K238" s="322"/>
      <c r="L238" s="322"/>
      <c r="M238" s="322"/>
      <c r="N238" s="322"/>
      <c r="P238" s="322"/>
    </row>
    <row r="239" spans="1:16" s="357" customFormat="1" x14ac:dyDescent="0.25">
      <c r="H239" s="322"/>
      <c r="I239" s="322"/>
      <c r="J239" s="322"/>
      <c r="K239" s="322"/>
      <c r="L239" s="322"/>
      <c r="M239" s="322"/>
      <c r="N239" s="322"/>
      <c r="P239" s="322"/>
    </row>
    <row r="240" spans="1:16" s="357" customFormat="1" x14ac:dyDescent="0.25">
      <c r="H240" s="322"/>
      <c r="I240" s="322"/>
      <c r="J240" s="322"/>
      <c r="K240" s="322"/>
      <c r="L240" s="322"/>
      <c r="M240" s="322"/>
      <c r="N240" s="322"/>
      <c r="P240" s="322"/>
    </row>
    <row r="241" spans="8:16" s="357" customFormat="1" x14ac:dyDescent="0.25">
      <c r="H241" s="322"/>
      <c r="I241" s="322"/>
      <c r="J241" s="322"/>
      <c r="K241" s="322"/>
      <c r="L241" s="322"/>
      <c r="M241" s="322"/>
      <c r="N241" s="322"/>
      <c r="P241" s="322"/>
    </row>
    <row r="242" spans="8:16" s="357" customFormat="1" ht="14.45" customHeight="1" x14ac:dyDescent="0.25">
      <c r="H242" s="322"/>
      <c r="I242" s="322"/>
      <c r="J242" s="322"/>
      <c r="K242" s="322"/>
      <c r="L242" s="322"/>
      <c r="M242" s="322"/>
      <c r="N242" s="322"/>
      <c r="P242" s="322"/>
    </row>
    <row r="243" spans="8:16" s="357" customFormat="1" x14ac:dyDescent="0.25">
      <c r="H243" s="322"/>
      <c r="I243" s="322"/>
      <c r="J243" s="322"/>
      <c r="K243" s="322"/>
      <c r="L243" s="322"/>
      <c r="M243" s="322"/>
      <c r="N243" s="322"/>
      <c r="P243" s="322"/>
    </row>
    <row r="244" spans="8:16" s="357" customFormat="1" x14ac:dyDescent="0.25">
      <c r="H244" s="322"/>
      <c r="I244" s="322"/>
      <c r="J244" s="322"/>
      <c r="K244" s="322"/>
      <c r="L244" s="322"/>
      <c r="M244" s="322"/>
      <c r="N244" s="322"/>
      <c r="P244" s="322"/>
    </row>
    <row r="245" spans="8:16" s="357" customFormat="1" x14ac:dyDescent="0.25">
      <c r="H245" s="322"/>
      <c r="I245" s="322"/>
      <c r="J245" s="322"/>
      <c r="K245" s="322"/>
      <c r="L245" s="322"/>
      <c r="M245" s="322"/>
      <c r="N245" s="322"/>
      <c r="P245" s="322"/>
    </row>
    <row r="246" spans="8:16" s="357" customFormat="1" x14ac:dyDescent="0.25">
      <c r="H246" s="322"/>
      <c r="I246" s="322"/>
      <c r="J246" s="322"/>
      <c r="K246" s="322"/>
      <c r="L246" s="322"/>
      <c r="M246" s="322"/>
      <c r="N246" s="322"/>
      <c r="P246" s="322"/>
    </row>
    <row r="247" spans="8:16" s="357" customFormat="1" x14ac:dyDescent="0.25">
      <c r="H247" s="322"/>
      <c r="I247" s="322"/>
      <c r="J247" s="322"/>
      <c r="K247" s="322"/>
      <c r="L247" s="322"/>
      <c r="M247" s="322"/>
      <c r="N247" s="322"/>
      <c r="P247" s="322"/>
    </row>
    <row r="248" spans="8:16" s="357" customFormat="1" x14ac:dyDescent="0.25">
      <c r="H248" s="322"/>
      <c r="I248" s="322"/>
      <c r="J248" s="322"/>
      <c r="K248" s="322"/>
      <c r="L248" s="322"/>
      <c r="M248" s="322"/>
      <c r="N248" s="322"/>
      <c r="P248" s="322"/>
    </row>
    <row r="249" spans="8:16" s="357" customFormat="1" x14ac:dyDescent="0.25">
      <c r="H249" s="322"/>
      <c r="I249" s="322"/>
      <c r="J249" s="322"/>
      <c r="K249" s="322"/>
      <c r="L249" s="322"/>
      <c r="M249" s="322"/>
      <c r="N249" s="322"/>
      <c r="P249" s="322"/>
    </row>
    <row r="250" spans="8:16" s="357" customFormat="1" x14ac:dyDescent="0.25">
      <c r="H250" s="322"/>
      <c r="I250" s="322"/>
      <c r="J250" s="322"/>
      <c r="K250" s="322"/>
      <c r="L250" s="322"/>
      <c r="M250" s="322"/>
      <c r="N250" s="322"/>
      <c r="P250" s="322"/>
    </row>
    <row r="251" spans="8:16" s="357" customFormat="1" x14ac:dyDescent="0.25">
      <c r="H251" s="322"/>
      <c r="I251" s="322"/>
      <c r="J251" s="322"/>
      <c r="K251" s="322"/>
      <c r="L251" s="322"/>
      <c r="M251" s="322"/>
      <c r="N251" s="322"/>
      <c r="P251" s="322"/>
    </row>
    <row r="252" spans="8:16" s="357" customFormat="1" x14ac:dyDescent="0.25">
      <c r="H252" s="322"/>
      <c r="I252" s="322"/>
      <c r="J252" s="322"/>
      <c r="K252" s="322"/>
      <c r="L252" s="322"/>
      <c r="M252" s="322"/>
      <c r="N252" s="322"/>
      <c r="P252" s="322"/>
    </row>
    <row r="253" spans="8:16" s="357" customFormat="1" x14ac:dyDescent="0.25">
      <c r="H253" s="322"/>
      <c r="I253" s="322"/>
      <c r="J253" s="322"/>
      <c r="K253" s="322"/>
      <c r="L253" s="322"/>
      <c r="M253" s="322"/>
      <c r="N253" s="322"/>
      <c r="P253" s="322"/>
    </row>
    <row r="254" spans="8:16" s="357" customFormat="1" x14ac:dyDescent="0.25">
      <c r="H254" s="322"/>
      <c r="I254" s="322"/>
      <c r="J254" s="322"/>
      <c r="K254" s="322"/>
      <c r="L254" s="322"/>
      <c r="M254" s="322"/>
      <c r="N254" s="322"/>
      <c r="P254" s="322"/>
    </row>
    <row r="255" spans="8:16" s="357" customFormat="1" x14ac:dyDescent="0.25">
      <c r="H255" s="322"/>
      <c r="I255" s="322"/>
      <c r="J255" s="322"/>
      <c r="K255" s="322"/>
      <c r="L255" s="322"/>
      <c r="M255" s="322"/>
      <c r="N255" s="322"/>
      <c r="P255" s="322"/>
    </row>
    <row r="256" spans="8:16" s="357" customFormat="1" x14ac:dyDescent="0.25">
      <c r="H256" s="322"/>
      <c r="I256" s="322"/>
      <c r="J256" s="322"/>
      <c r="K256" s="322"/>
      <c r="L256" s="322"/>
      <c r="M256" s="322"/>
      <c r="N256" s="322"/>
      <c r="P256" s="322"/>
    </row>
    <row r="257" spans="8:16" s="357" customFormat="1" x14ac:dyDescent="0.25">
      <c r="H257" s="322"/>
      <c r="I257" s="322"/>
      <c r="J257" s="322"/>
      <c r="K257" s="322"/>
      <c r="L257" s="322"/>
      <c r="M257" s="322"/>
      <c r="N257" s="322"/>
      <c r="P257" s="322"/>
    </row>
    <row r="258" spans="8:16" s="357" customFormat="1" x14ac:dyDescent="0.25">
      <c r="H258" s="322"/>
      <c r="I258" s="322"/>
      <c r="J258" s="322"/>
      <c r="K258" s="322"/>
      <c r="L258" s="322"/>
      <c r="M258" s="322"/>
      <c r="N258" s="322"/>
      <c r="P258" s="322"/>
    </row>
    <row r="259" spans="8:16" s="357" customFormat="1" x14ac:dyDescent="0.25">
      <c r="H259" s="322"/>
      <c r="I259" s="322"/>
      <c r="J259" s="322"/>
      <c r="K259" s="322"/>
      <c r="L259" s="322"/>
      <c r="M259" s="322"/>
      <c r="N259" s="322"/>
      <c r="P259" s="322"/>
    </row>
    <row r="260" spans="8:16" s="357" customFormat="1" x14ac:dyDescent="0.25">
      <c r="H260" s="322"/>
      <c r="I260" s="322"/>
      <c r="J260" s="322"/>
      <c r="K260" s="322"/>
      <c r="L260" s="322"/>
      <c r="M260" s="322"/>
      <c r="N260" s="322"/>
      <c r="P260" s="322"/>
    </row>
    <row r="261" spans="8:16" s="357" customFormat="1" x14ac:dyDescent="0.25">
      <c r="H261" s="322"/>
      <c r="I261" s="322"/>
      <c r="J261" s="322"/>
      <c r="K261" s="322"/>
      <c r="L261" s="322"/>
      <c r="M261" s="322"/>
      <c r="N261" s="322"/>
      <c r="P261" s="322"/>
    </row>
    <row r="262" spans="8:16" s="357" customFormat="1" x14ac:dyDescent="0.25">
      <c r="H262" s="322"/>
      <c r="I262" s="322"/>
      <c r="J262" s="322"/>
      <c r="K262" s="322"/>
      <c r="L262" s="322"/>
      <c r="M262" s="322"/>
      <c r="N262" s="322"/>
      <c r="P262" s="322"/>
    </row>
    <row r="263" spans="8:16" s="357" customFormat="1" x14ac:dyDescent="0.25">
      <c r="H263" s="322"/>
      <c r="I263" s="322"/>
      <c r="J263" s="322"/>
      <c r="K263" s="322"/>
      <c r="L263" s="322"/>
      <c r="M263" s="322"/>
      <c r="N263" s="322"/>
      <c r="P263" s="322"/>
    </row>
    <row r="264" spans="8:16" s="357" customFormat="1" x14ac:dyDescent="0.25">
      <c r="H264" s="322"/>
      <c r="I264" s="322"/>
      <c r="J264" s="322"/>
      <c r="K264" s="322"/>
      <c r="L264" s="322"/>
      <c r="M264" s="322"/>
      <c r="N264" s="322"/>
      <c r="P264" s="322"/>
    </row>
    <row r="265" spans="8:16" s="357" customFormat="1" x14ac:dyDescent="0.25">
      <c r="H265" s="322"/>
      <c r="I265" s="322"/>
      <c r="J265" s="322"/>
      <c r="K265" s="322"/>
      <c r="L265" s="322"/>
      <c r="M265" s="322"/>
      <c r="N265" s="322"/>
      <c r="P265" s="322"/>
    </row>
    <row r="266" spans="8:16" s="357" customFormat="1" x14ac:dyDescent="0.25">
      <c r="H266" s="322"/>
      <c r="I266" s="322"/>
      <c r="J266" s="322"/>
      <c r="K266" s="322"/>
      <c r="L266" s="322"/>
      <c r="M266" s="322"/>
      <c r="N266" s="322"/>
      <c r="P266" s="322"/>
    </row>
    <row r="267" spans="8:16" s="357" customFormat="1" x14ac:dyDescent="0.25">
      <c r="H267" s="322"/>
      <c r="I267" s="322"/>
      <c r="J267" s="322"/>
      <c r="K267" s="322"/>
      <c r="L267" s="322"/>
      <c r="M267" s="322"/>
      <c r="N267" s="322"/>
      <c r="P267" s="322"/>
    </row>
    <row r="268" spans="8:16" s="357" customFormat="1" x14ac:dyDescent="0.25">
      <c r="H268" s="322"/>
      <c r="I268" s="322"/>
      <c r="J268" s="322"/>
      <c r="K268" s="322"/>
      <c r="L268" s="322"/>
      <c r="M268" s="322"/>
      <c r="N268" s="322"/>
      <c r="P268" s="322"/>
    </row>
    <row r="269" spans="8:16" s="357" customFormat="1" x14ac:dyDescent="0.25">
      <c r="H269" s="322"/>
      <c r="I269" s="322"/>
      <c r="J269" s="322"/>
      <c r="K269" s="322"/>
      <c r="L269" s="322"/>
      <c r="M269" s="322"/>
      <c r="N269" s="322"/>
      <c r="P269" s="322"/>
    </row>
    <row r="270" spans="8:16" s="357" customFormat="1" x14ac:dyDescent="0.25">
      <c r="H270" s="322"/>
      <c r="I270" s="322"/>
      <c r="J270" s="322"/>
      <c r="K270" s="322"/>
      <c r="L270" s="322"/>
      <c r="M270" s="322"/>
      <c r="N270" s="322"/>
      <c r="P270" s="322"/>
    </row>
    <row r="271" spans="8:16" s="357" customFormat="1" x14ac:dyDescent="0.25">
      <c r="H271" s="322"/>
      <c r="I271" s="322"/>
      <c r="J271" s="322"/>
      <c r="K271" s="322"/>
      <c r="L271" s="322"/>
      <c r="M271" s="322"/>
      <c r="N271" s="322"/>
      <c r="P271" s="322"/>
    </row>
    <row r="272" spans="8:16" s="357" customFormat="1" x14ac:dyDescent="0.25">
      <c r="H272" s="322"/>
      <c r="I272" s="322"/>
      <c r="J272" s="322"/>
      <c r="K272" s="322"/>
      <c r="L272" s="322"/>
      <c r="M272" s="322"/>
      <c r="N272" s="322"/>
      <c r="P272" s="322"/>
    </row>
    <row r="273" spans="8:16" s="357" customFormat="1" x14ac:dyDescent="0.25">
      <c r="H273" s="322"/>
      <c r="I273" s="322"/>
      <c r="J273" s="322"/>
      <c r="K273" s="322"/>
      <c r="L273" s="322"/>
      <c r="M273" s="322"/>
      <c r="N273" s="322"/>
      <c r="P273" s="322"/>
    </row>
    <row r="274" spans="8:16" s="357" customFormat="1" x14ac:dyDescent="0.25">
      <c r="H274" s="322"/>
      <c r="I274" s="322"/>
      <c r="J274" s="322"/>
      <c r="K274" s="322"/>
      <c r="L274" s="322"/>
      <c r="M274" s="322"/>
      <c r="N274" s="322"/>
      <c r="P274" s="322"/>
    </row>
    <row r="275" spans="8:16" s="357" customFormat="1" x14ac:dyDescent="0.25">
      <c r="H275" s="322"/>
      <c r="I275" s="322"/>
      <c r="J275" s="322"/>
      <c r="K275" s="322"/>
      <c r="L275" s="322"/>
      <c r="M275" s="322"/>
      <c r="N275" s="322"/>
      <c r="P275" s="322"/>
    </row>
    <row r="276" spans="8:16" s="357" customFormat="1" x14ac:dyDescent="0.25">
      <c r="H276" s="322"/>
      <c r="I276" s="322"/>
      <c r="J276" s="322"/>
      <c r="K276" s="322"/>
      <c r="L276" s="322"/>
      <c r="M276" s="322"/>
      <c r="N276" s="322"/>
      <c r="P276" s="322"/>
    </row>
    <row r="277" spans="8:16" s="357" customFormat="1" x14ac:dyDescent="0.25">
      <c r="H277" s="322"/>
      <c r="I277" s="322"/>
      <c r="J277" s="322"/>
      <c r="K277" s="322"/>
      <c r="L277" s="322"/>
      <c r="M277" s="322"/>
      <c r="N277" s="322"/>
      <c r="P277" s="322"/>
    </row>
    <row r="278" spans="8:16" s="357" customFormat="1" x14ac:dyDescent="0.25">
      <c r="H278" s="322"/>
      <c r="I278" s="322"/>
      <c r="J278" s="322"/>
      <c r="K278" s="322"/>
      <c r="L278" s="322"/>
      <c r="M278" s="322"/>
      <c r="N278" s="322"/>
      <c r="P278" s="322"/>
    </row>
    <row r="279" spans="8:16" s="357" customFormat="1" x14ac:dyDescent="0.25">
      <c r="H279" s="322"/>
      <c r="I279" s="322"/>
      <c r="J279" s="322"/>
      <c r="K279" s="322"/>
      <c r="L279" s="322"/>
      <c r="M279" s="322"/>
      <c r="N279" s="322"/>
      <c r="P279" s="322"/>
    </row>
    <row r="280" spans="8:16" s="357" customFormat="1" x14ac:dyDescent="0.25">
      <c r="H280" s="322"/>
      <c r="I280" s="322"/>
      <c r="J280" s="322"/>
      <c r="K280" s="322"/>
      <c r="L280" s="322"/>
      <c r="M280" s="322"/>
      <c r="N280" s="322"/>
      <c r="P280" s="322"/>
    </row>
    <row r="281" spans="8:16" s="357" customFormat="1" x14ac:dyDescent="0.25">
      <c r="H281" s="322"/>
      <c r="I281" s="322"/>
      <c r="J281" s="322"/>
      <c r="K281" s="322"/>
      <c r="L281" s="322"/>
      <c r="M281" s="322"/>
      <c r="N281" s="322"/>
      <c r="P281" s="322"/>
    </row>
    <row r="282" spans="8:16" s="357" customFormat="1" x14ac:dyDescent="0.25">
      <c r="H282" s="322"/>
      <c r="I282" s="322"/>
      <c r="J282" s="322"/>
      <c r="K282" s="322"/>
      <c r="L282" s="322"/>
      <c r="M282" s="322"/>
      <c r="N282" s="322"/>
      <c r="P282" s="322"/>
    </row>
    <row r="283" spans="8:16" s="357" customFormat="1" x14ac:dyDescent="0.25">
      <c r="H283" s="322"/>
      <c r="I283" s="322"/>
      <c r="J283" s="322"/>
      <c r="K283" s="322"/>
      <c r="L283" s="322"/>
      <c r="M283" s="322"/>
      <c r="N283" s="322"/>
      <c r="P283" s="322"/>
    </row>
    <row r="284" spans="8:16" s="357" customFormat="1" x14ac:dyDescent="0.25">
      <c r="H284" s="322"/>
      <c r="I284" s="322"/>
      <c r="J284" s="322"/>
      <c r="K284" s="322"/>
      <c r="L284" s="322"/>
      <c r="M284" s="322"/>
      <c r="N284" s="322"/>
      <c r="P284" s="322"/>
    </row>
    <row r="285" spans="8:16" s="357" customFormat="1" x14ac:dyDescent="0.25">
      <c r="H285" s="322"/>
      <c r="I285" s="322"/>
      <c r="J285" s="322"/>
      <c r="K285" s="322"/>
      <c r="L285" s="322"/>
      <c r="M285" s="322"/>
      <c r="N285" s="322"/>
      <c r="P285" s="322"/>
    </row>
    <row r="286" spans="8:16" s="357" customFormat="1" x14ac:dyDescent="0.25">
      <c r="H286" s="322"/>
      <c r="I286" s="322"/>
      <c r="J286" s="322"/>
      <c r="K286" s="322"/>
      <c r="L286" s="322"/>
      <c r="M286" s="322"/>
      <c r="N286" s="322"/>
      <c r="P286" s="322"/>
    </row>
    <row r="287" spans="8:16" s="357" customFormat="1" x14ac:dyDescent="0.25">
      <c r="H287" s="322"/>
      <c r="I287" s="322"/>
      <c r="J287" s="322"/>
      <c r="K287" s="322"/>
      <c r="L287" s="322"/>
      <c r="M287" s="322"/>
      <c r="N287" s="322"/>
      <c r="P287" s="322"/>
    </row>
    <row r="288" spans="8:16" s="357" customFormat="1" x14ac:dyDescent="0.25">
      <c r="H288" s="322"/>
      <c r="I288" s="322"/>
      <c r="J288" s="322"/>
      <c r="K288" s="322"/>
      <c r="L288" s="322"/>
      <c r="M288" s="322"/>
      <c r="N288" s="322"/>
      <c r="P288" s="322"/>
    </row>
    <row r="289" spans="8:16" s="357" customFormat="1" x14ac:dyDescent="0.25">
      <c r="H289" s="322"/>
      <c r="I289" s="322"/>
      <c r="J289" s="322"/>
      <c r="K289" s="322"/>
      <c r="L289" s="322"/>
      <c r="M289" s="322"/>
      <c r="N289" s="322"/>
      <c r="P289" s="322"/>
    </row>
    <row r="290" spans="8:16" s="357" customFormat="1" x14ac:dyDescent="0.25">
      <c r="H290" s="322"/>
      <c r="I290" s="322"/>
      <c r="J290" s="322"/>
      <c r="K290" s="322"/>
      <c r="L290" s="322"/>
      <c r="M290" s="322"/>
      <c r="N290" s="322"/>
      <c r="P290" s="322"/>
    </row>
    <row r="291" spans="8:16" s="357" customFormat="1" x14ac:dyDescent="0.25">
      <c r="H291" s="322"/>
      <c r="I291" s="322"/>
      <c r="J291" s="322"/>
      <c r="K291" s="322"/>
      <c r="L291" s="322"/>
      <c r="M291" s="322"/>
      <c r="N291" s="322"/>
      <c r="P291" s="322"/>
    </row>
    <row r="292" spans="8:16" s="357" customFormat="1" x14ac:dyDescent="0.25">
      <c r="H292" s="322"/>
      <c r="I292" s="322"/>
      <c r="J292" s="322"/>
      <c r="K292" s="322"/>
      <c r="L292" s="322"/>
      <c r="M292" s="322"/>
      <c r="N292" s="322"/>
      <c r="P292" s="322"/>
    </row>
    <row r="293" spans="8:16" s="357" customFormat="1" x14ac:dyDescent="0.25">
      <c r="H293" s="322"/>
      <c r="I293" s="322"/>
      <c r="J293" s="322"/>
      <c r="K293" s="322"/>
      <c r="L293" s="322"/>
      <c r="M293" s="322"/>
      <c r="N293" s="322"/>
      <c r="P293" s="322"/>
    </row>
    <row r="294" spans="8:16" s="357" customFormat="1" x14ac:dyDescent="0.25">
      <c r="H294" s="322"/>
      <c r="I294" s="322"/>
      <c r="J294" s="322"/>
      <c r="K294" s="322"/>
      <c r="L294" s="322"/>
      <c r="M294" s="322"/>
      <c r="N294" s="322"/>
      <c r="P294" s="322"/>
    </row>
    <row r="295" spans="8:16" s="357" customFormat="1" x14ac:dyDescent="0.25">
      <c r="H295" s="322"/>
      <c r="I295" s="322"/>
      <c r="J295" s="322"/>
      <c r="K295" s="322"/>
      <c r="L295" s="322"/>
      <c r="M295" s="322"/>
      <c r="N295" s="322"/>
      <c r="P295" s="322"/>
    </row>
    <row r="296" spans="8:16" s="357" customFormat="1" x14ac:dyDescent="0.25">
      <c r="H296" s="322"/>
      <c r="I296" s="322"/>
      <c r="J296" s="322"/>
      <c r="K296" s="322"/>
      <c r="L296" s="322"/>
      <c r="M296" s="322"/>
      <c r="N296" s="322"/>
      <c r="P296" s="322"/>
    </row>
    <row r="297" spans="8:16" s="357" customFormat="1" x14ac:dyDescent="0.25">
      <c r="H297" s="322"/>
      <c r="I297" s="322"/>
      <c r="J297" s="322"/>
      <c r="K297" s="322"/>
      <c r="L297" s="322"/>
      <c r="M297" s="322"/>
      <c r="N297" s="322"/>
      <c r="P297" s="322"/>
    </row>
    <row r="298" spans="8:16" s="357" customFormat="1" x14ac:dyDescent="0.25">
      <c r="H298" s="322"/>
      <c r="I298" s="322"/>
      <c r="J298" s="322"/>
      <c r="K298" s="322"/>
      <c r="L298" s="322"/>
      <c r="M298" s="322"/>
      <c r="N298" s="322"/>
      <c r="P298" s="322"/>
    </row>
    <row r="299" spans="8:16" s="357" customFormat="1" x14ac:dyDescent="0.25">
      <c r="H299" s="322"/>
      <c r="I299" s="322"/>
      <c r="J299" s="322"/>
      <c r="K299" s="322"/>
      <c r="L299" s="322"/>
      <c r="M299" s="322"/>
      <c r="N299" s="322"/>
      <c r="P299" s="322"/>
    </row>
    <row r="300" spans="8:16" s="357" customFormat="1" x14ac:dyDescent="0.25">
      <c r="H300" s="322"/>
      <c r="I300" s="322"/>
      <c r="J300" s="322"/>
      <c r="K300" s="322"/>
      <c r="L300" s="322"/>
      <c r="M300" s="322"/>
      <c r="N300" s="322"/>
      <c r="P300" s="322"/>
    </row>
    <row r="301" spans="8:16" s="357" customFormat="1" x14ac:dyDescent="0.25">
      <c r="H301" s="322"/>
      <c r="I301" s="322"/>
      <c r="J301" s="322"/>
      <c r="K301" s="322"/>
      <c r="L301" s="322"/>
      <c r="M301" s="322"/>
      <c r="N301" s="322"/>
      <c r="P301" s="322"/>
    </row>
    <row r="302" spans="8:16" s="357" customFormat="1" x14ac:dyDescent="0.25">
      <c r="H302" s="322"/>
      <c r="I302" s="322"/>
      <c r="J302" s="322"/>
      <c r="K302" s="322"/>
      <c r="L302" s="322"/>
      <c r="M302" s="322"/>
      <c r="N302" s="322"/>
      <c r="P302" s="322"/>
    </row>
    <row r="303" spans="8:16" s="357" customFormat="1" x14ac:dyDescent="0.25">
      <c r="H303" s="322"/>
      <c r="I303" s="322"/>
      <c r="J303" s="322"/>
      <c r="K303" s="322"/>
      <c r="L303" s="322"/>
      <c r="M303" s="322"/>
      <c r="N303" s="322"/>
      <c r="P303" s="322"/>
    </row>
    <row r="304" spans="8:16" s="357" customFormat="1" x14ac:dyDescent="0.25">
      <c r="H304" s="322"/>
      <c r="I304" s="322"/>
      <c r="J304" s="322"/>
      <c r="K304" s="322"/>
      <c r="L304" s="322"/>
      <c r="M304" s="322"/>
      <c r="N304" s="322"/>
      <c r="P304" s="322"/>
    </row>
    <row r="305" spans="8:16" s="357" customFormat="1" x14ac:dyDescent="0.25">
      <c r="H305" s="322"/>
      <c r="I305" s="322"/>
      <c r="J305" s="322"/>
      <c r="K305" s="322"/>
      <c r="L305" s="322"/>
      <c r="M305" s="322"/>
      <c r="N305" s="322"/>
      <c r="P305" s="322"/>
    </row>
    <row r="306" spans="8:16" s="357" customFormat="1" x14ac:dyDescent="0.25">
      <c r="H306" s="322"/>
      <c r="I306" s="322"/>
      <c r="J306" s="322"/>
      <c r="K306" s="322"/>
      <c r="L306" s="322"/>
      <c r="M306" s="322"/>
      <c r="N306" s="322"/>
      <c r="P306" s="322"/>
    </row>
    <row r="307" spans="8:16" s="357" customFormat="1" x14ac:dyDescent="0.25">
      <c r="H307" s="322"/>
      <c r="I307" s="322"/>
      <c r="J307" s="322"/>
      <c r="K307" s="322"/>
      <c r="L307" s="322"/>
      <c r="M307" s="322"/>
      <c r="N307" s="322"/>
      <c r="P307" s="322"/>
    </row>
    <row r="308" spans="8:16" s="357" customFormat="1" x14ac:dyDescent="0.25">
      <c r="H308" s="322"/>
      <c r="I308" s="322"/>
      <c r="J308" s="322"/>
      <c r="K308" s="322"/>
      <c r="L308" s="322"/>
      <c r="M308" s="322"/>
      <c r="N308" s="322"/>
      <c r="P308" s="322"/>
    </row>
    <row r="309" spans="8:16" s="357" customFormat="1" x14ac:dyDescent="0.25">
      <c r="H309" s="322"/>
      <c r="I309" s="322"/>
      <c r="J309" s="322"/>
      <c r="K309" s="322"/>
      <c r="L309" s="322"/>
      <c r="M309" s="322"/>
      <c r="N309" s="322"/>
      <c r="P309" s="322"/>
    </row>
    <row r="310" spans="8:16" s="357" customFormat="1" x14ac:dyDescent="0.25">
      <c r="H310" s="322"/>
      <c r="I310" s="322"/>
      <c r="J310" s="322"/>
      <c r="K310" s="322"/>
      <c r="L310" s="322"/>
      <c r="M310" s="322"/>
      <c r="N310" s="322"/>
      <c r="P310" s="322"/>
    </row>
    <row r="311" spans="8:16" s="357" customFormat="1" x14ac:dyDescent="0.25">
      <c r="H311" s="322"/>
      <c r="I311" s="322"/>
      <c r="J311" s="322"/>
      <c r="K311" s="322"/>
      <c r="L311" s="322"/>
      <c r="M311" s="322"/>
      <c r="N311" s="322"/>
      <c r="P311" s="322"/>
    </row>
    <row r="312" spans="8:16" s="357" customFormat="1" x14ac:dyDescent="0.25">
      <c r="H312" s="322"/>
      <c r="I312" s="322"/>
      <c r="J312" s="322"/>
      <c r="K312" s="322"/>
      <c r="L312" s="322"/>
      <c r="M312" s="322"/>
      <c r="N312" s="322"/>
      <c r="P312" s="322"/>
    </row>
    <row r="313" spans="8:16" s="357" customFormat="1" x14ac:dyDescent="0.25">
      <c r="H313" s="322"/>
      <c r="I313" s="322"/>
      <c r="J313" s="322"/>
      <c r="K313" s="322"/>
      <c r="L313" s="322"/>
      <c r="M313" s="322"/>
      <c r="N313" s="322"/>
      <c r="P313" s="322"/>
    </row>
    <row r="314" spans="8:16" s="357" customFormat="1" x14ac:dyDescent="0.25">
      <c r="H314" s="322"/>
      <c r="I314" s="322"/>
      <c r="J314" s="322"/>
      <c r="K314" s="322"/>
      <c r="L314" s="322"/>
      <c r="M314" s="322"/>
      <c r="N314" s="322"/>
      <c r="P314" s="322"/>
    </row>
    <row r="315" spans="8:16" s="357" customFormat="1" x14ac:dyDescent="0.25">
      <c r="H315" s="322"/>
      <c r="I315" s="322"/>
      <c r="J315" s="322"/>
      <c r="K315" s="322"/>
      <c r="L315" s="322"/>
      <c r="M315" s="322"/>
      <c r="N315" s="322"/>
      <c r="P315" s="322"/>
    </row>
    <row r="316" spans="8:16" s="357" customFormat="1" x14ac:dyDescent="0.25">
      <c r="H316" s="322"/>
      <c r="I316" s="322"/>
      <c r="J316" s="322"/>
      <c r="K316" s="322"/>
      <c r="L316" s="322"/>
      <c r="M316" s="322"/>
      <c r="N316" s="322"/>
      <c r="P316" s="322"/>
    </row>
    <row r="317" spans="8:16" s="357" customFormat="1" x14ac:dyDescent="0.25">
      <c r="H317" s="322"/>
      <c r="I317" s="322"/>
      <c r="J317" s="322"/>
      <c r="K317" s="322"/>
      <c r="L317" s="322"/>
      <c r="M317" s="322"/>
      <c r="N317" s="322"/>
      <c r="P317" s="322"/>
    </row>
    <row r="318" spans="8:16" s="357" customFormat="1" x14ac:dyDescent="0.25">
      <c r="H318" s="322"/>
      <c r="I318" s="322"/>
      <c r="J318" s="322"/>
      <c r="K318" s="322"/>
      <c r="L318" s="322"/>
      <c r="M318" s="322"/>
      <c r="N318" s="322"/>
      <c r="P318" s="322"/>
    </row>
    <row r="319" spans="8:16" s="357" customFormat="1" x14ac:dyDescent="0.25">
      <c r="H319" s="322"/>
      <c r="I319" s="322"/>
      <c r="J319" s="322"/>
      <c r="K319" s="322"/>
      <c r="L319" s="322"/>
      <c r="M319" s="322"/>
      <c r="N319" s="322"/>
      <c r="P319" s="322"/>
    </row>
    <row r="320" spans="8:16" s="357" customFormat="1" x14ac:dyDescent="0.25">
      <c r="H320" s="322"/>
      <c r="I320" s="322"/>
      <c r="J320" s="322"/>
      <c r="K320" s="322"/>
      <c r="L320" s="322"/>
      <c r="M320" s="322"/>
      <c r="N320" s="322"/>
      <c r="P320" s="322"/>
    </row>
    <row r="321" spans="8:16" s="357" customFormat="1" x14ac:dyDescent="0.25">
      <c r="H321" s="322"/>
      <c r="I321" s="322"/>
      <c r="J321" s="322"/>
      <c r="K321" s="322"/>
      <c r="L321" s="322"/>
      <c r="M321" s="322"/>
      <c r="N321" s="322"/>
      <c r="P321" s="322"/>
    </row>
    <row r="322" spans="8:16" s="357" customFormat="1" x14ac:dyDescent="0.25">
      <c r="H322" s="322"/>
      <c r="I322" s="322"/>
      <c r="J322" s="322"/>
      <c r="K322" s="322"/>
      <c r="L322" s="322"/>
      <c r="M322" s="322"/>
      <c r="N322" s="322"/>
      <c r="P322" s="322"/>
    </row>
    <row r="323" spans="8:16" s="357" customFormat="1" x14ac:dyDescent="0.25">
      <c r="H323" s="322"/>
      <c r="I323" s="322"/>
      <c r="J323" s="322"/>
      <c r="K323" s="322"/>
      <c r="L323" s="322"/>
      <c r="M323" s="322"/>
      <c r="N323" s="322"/>
      <c r="P323" s="322"/>
    </row>
    <row r="324" spans="8:16" s="357" customFormat="1" x14ac:dyDescent="0.25">
      <c r="H324" s="322"/>
      <c r="I324" s="322"/>
      <c r="J324" s="322"/>
      <c r="K324" s="322"/>
      <c r="L324" s="322"/>
      <c r="M324" s="322"/>
      <c r="N324" s="322"/>
      <c r="P324" s="322"/>
    </row>
    <row r="325" spans="8:16" s="357" customFormat="1" x14ac:dyDescent="0.25">
      <c r="H325" s="322"/>
      <c r="I325" s="322"/>
      <c r="J325" s="322"/>
      <c r="K325" s="322"/>
      <c r="L325" s="322"/>
      <c r="M325" s="322"/>
      <c r="N325" s="322"/>
      <c r="P325" s="322"/>
    </row>
    <row r="326" spans="8:16" s="357" customFormat="1" x14ac:dyDescent="0.25">
      <c r="H326" s="322"/>
      <c r="I326" s="322"/>
      <c r="J326" s="322"/>
      <c r="K326" s="322"/>
      <c r="L326" s="322"/>
      <c r="M326" s="322"/>
      <c r="N326" s="322"/>
      <c r="P326" s="322"/>
    </row>
    <row r="327" spans="8:16" s="357" customFormat="1" x14ac:dyDescent="0.25">
      <c r="H327" s="322"/>
      <c r="I327" s="322"/>
      <c r="J327" s="322"/>
      <c r="K327" s="322"/>
      <c r="L327" s="322"/>
      <c r="M327" s="322"/>
      <c r="N327" s="322"/>
      <c r="P327" s="322"/>
    </row>
    <row r="328" spans="8:16" s="357" customFormat="1" x14ac:dyDescent="0.25">
      <c r="H328" s="322"/>
      <c r="I328" s="322"/>
      <c r="J328" s="322"/>
      <c r="K328" s="322"/>
      <c r="L328" s="322"/>
      <c r="M328" s="322"/>
      <c r="N328" s="322"/>
      <c r="P328" s="322"/>
    </row>
    <row r="329" spans="8:16" s="357" customFormat="1" x14ac:dyDescent="0.25">
      <c r="H329" s="322"/>
      <c r="I329" s="322"/>
      <c r="J329" s="322"/>
      <c r="K329" s="322"/>
      <c r="L329" s="322"/>
      <c r="M329" s="322"/>
      <c r="N329" s="322"/>
      <c r="P329" s="322"/>
    </row>
    <row r="330" spans="8:16" s="357" customFormat="1" x14ac:dyDescent="0.25">
      <c r="H330" s="322"/>
      <c r="I330" s="322"/>
      <c r="J330" s="322"/>
      <c r="K330" s="322"/>
      <c r="L330" s="322"/>
      <c r="M330" s="322"/>
      <c r="N330" s="322"/>
      <c r="P330" s="322"/>
    </row>
    <row r="331" spans="8:16" s="357" customFormat="1" x14ac:dyDescent="0.25">
      <c r="H331" s="322"/>
      <c r="I331" s="322"/>
      <c r="J331" s="322"/>
      <c r="K331" s="322"/>
      <c r="L331" s="322"/>
      <c r="M331" s="322"/>
      <c r="N331" s="322"/>
      <c r="P331" s="322"/>
    </row>
    <row r="332" spans="8:16" s="357" customFormat="1" x14ac:dyDescent="0.25">
      <c r="H332" s="322"/>
      <c r="I332" s="322"/>
      <c r="J332" s="322"/>
      <c r="K332" s="322"/>
      <c r="L332" s="322"/>
      <c r="M332" s="322"/>
      <c r="N332" s="322"/>
      <c r="P332" s="322"/>
    </row>
    <row r="333" spans="8:16" s="357" customFormat="1" x14ac:dyDescent="0.25">
      <c r="H333" s="322"/>
      <c r="I333" s="322"/>
      <c r="J333" s="322"/>
      <c r="K333" s="322"/>
      <c r="L333" s="322"/>
      <c r="M333" s="322"/>
      <c r="N333" s="322"/>
      <c r="P333" s="322"/>
    </row>
    <row r="334" spans="8:16" s="357" customFormat="1" x14ac:dyDescent="0.25">
      <c r="H334" s="322"/>
      <c r="I334" s="322"/>
      <c r="J334" s="322"/>
      <c r="K334" s="322"/>
      <c r="L334" s="322"/>
      <c r="M334" s="322"/>
      <c r="N334" s="322"/>
      <c r="P334" s="322"/>
    </row>
    <row r="335" spans="8:16" s="357" customFormat="1" x14ac:dyDescent="0.25">
      <c r="H335" s="322"/>
      <c r="I335" s="322"/>
      <c r="J335" s="322"/>
      <c r="K335" s="322"/>
      <c r="L335" s="322"/>
      <c r="M335" s="322"/>
      <c r="N335" s="322"/>
      <c r="P335" s="322"/>
    </row>
    <row r="336" spans="8:16" s="357" customFormat="1" x14ac:dyDescent="0.25">
      <c r="H336" s="322"/>
      <c r="I336" s="322"/>
      <c r="J336" s="322"/>
      <c r="K336" s="322"/>
      <c r="L336" s="322"/>
      <c r="M336" s="322"/>
      <c r="N336" s="322"/>
      <c r="P336" s="322"/>
    </row>
    <row r="337" spans="8:16" s="357" customFormat="1" x14ac:dyDescent="0.25">
      <c r="H337" s="322"/>
      <c r="I337" s="322"/>
      <c r="J337" s="322"/>
      <c r="K337" s="322"/>
      <c r="L337" s="322"/>
      <c r="M337" s="322"/>
      <c r="N337" s="322"/>
      <c r="P337" s="322"/>
    </row>
    <row r="338" spans="8:16" s="357" customFormat="1" x14ac:dyDescent="0.25">
      <c r="H338" s="322"/>
      <c r="I338" s="322"/>
      <c r="J338" s="322"/>
      <c r="K338" s="322"/>
      <c r="L338" s="322"/>
      <c r="M338" s="322"/>
      <c r="N338" s="322"/>
      <c r="P338" s="322"/>
    </row>
    <row r="339" spans="8:16" s="357" customFormat="1" x14ac:dyDescent="0.25">
      <c r="H339" s="322"/>
      <c r="I339" s="322"/>
      <c r="J339" s="322"/>
      <c r="K339" s="322"/>
      <c r="L339" s="322"/>
      <c r="M339" s="322"/>
      <c r="N339" s="322"/>
      <c r="P339" s="322"/>
    </row>
    <row r="340" spans="8:16" s="357" customFormat="1" x14ac:dyDescent="0.25">
      <c r="H340" s="322"/>
      <c r="I340" s="322"/>
      <c r="J340" s="322"/>
      <c r="K340" s="322"/>
      <c r="L340" s="322"/>
      <c r="M340" s="322"/>
      <c r="N340" s="322"/>
      <c r="P340" s="322"/>
    </row>
    <row r="341" spans="8:16" s="357" customFormat="1" x14ac:dyDescent="0.25">
      <c r="H341" s="322"/>
      <c r="I341" s="322"/>
      <c r="J341" s="322"/>
      <c r="K341" s="322"/>
      <c r="L341" s="322"/>
      <c r="M341" s="322"/>
      <c r="N341" s="322"/>
      <c r="P341" s="322"/>
    </row>
    <row r="342" spans="8:16" s="357" customFormat="1" x14ac:dyDescent="0.25">
      <c r="H342" s="322"/>
      <c r="I342" s="322"/>
      <c r="J342" s="322"/>
      <c r="K342" s="322"/>
      <c r="L342" s="322"/>
      <c r="M342" s="322"/>
      <c r="N342" s="322"/>
      <c r="P342" s="322"/>
    </row>
    <row r="343" spans="8:16" s="357" customFormat="1" x14ac:dyDescent="0.25">
      <c r="H343" s="322"/>
      <c r="I343" s="322"/>
      <c r="J343" s="322"/>
      <c r="K343" s="322"/>
      <c r="L343" s="322"/>
      <c r="M343" s="322"/>
      <c r="N343" s="322"/>
      <c r="P343" s="322"/>
    </row>
    <row r="344" spans="8:16" s="357" customFormat="1" x14ac:dyDescent="0.25">
      <c r="H344" s="322"/>
      <c r="I344" s="322"/>
      <c r="J344" s="322"/>
      <c r="K344" s="322"/>
      <c r="L344" s="322"/>
      <c r="M344" s="322"/>
      <c r="N344" s="322"/>
      <c r="P344" s="322"/>
    </row>
    <row r="345" spans="8:16" s="357" customFormat="1" x14ac:dyDescent="0.25">
      <c r="H345" s="322"/>
      <c r="I345" s="322"/>
      <c r="J345" s="322"/>
      <c r="K345" s="322"/>
      <c r="L345" s="322"/>
      <c r="M345" s="322"/>
      <c r="N345" s="322"/>
      <c r="P345" s="322"/>
    </row>
    <row r="346" spans="8:16" s="357" customFormat="1" x14ac:dyDescent="0.25">
      <c r="H346" s="322"/>
      <c r="I346" s="322"/>
      <c r="J346" s="322"/>
      <c r="K346" s="322"/>
      <c r="L346" s="322"/>
      <c r="M346" s="322"/>
      <c r="N346" s="322"/>
      <c r="P346" s="322"/>
    </row>
    <row r="347" spans="8:16" s="357" customFormat="1" x14ac:dyDescent="0.25">
      <c r="H347" s="322"/>
      <c r="I347" s="322"/>
      <c r="J347" s="322"/>
      <c r="K347" s="322"/>
      <c r="L347" s="322"/>
      <c r="M347" s="322"/>
      <c r="N347" s="322"/>
      <c r="P347" s="322"/>
    </row>
    <row r="348" spans="8:16" s="357" customFormat="1" x14ac:dyDescent="0.25">
      <c r="H348" s="322"/>
      <c r="I348" s="322"/>
      <c r="J348" s="322"/>
      <c r="K348" s="322"/>
      <c r="L348" s="322"/>
      <c r="M348" s="322"/>
      <c r="N348" s="322"/>
      <c r="P348" s="322"/>
    </row>
    <row r="349" spans="8:16" s="357" customFormat="1" x14ac:dyDescent="0.25">
      <c r="H349" s="322"/>
      <c r="I349" s="322"/>
      <c r="J349" s="322"/>
      <c r="K349" s="322"/>
      <c r="L349" s="322"/>
      <c r="M349" s="322"/>
      <c r="N349" s="322"/>
      <c r="P349" s="322"/>
    </row>
    <row r="350" spans="8:16" s="357" customFormat="1" x14ac:dyDescent="0.25">
      <c r="H350" s="322"/>
      <c r="I350" s="322"/>
      <c r="J350" s="322"/>
      <c r="K350" s="322"/>
      <c r="L350" s="322"/>
      <c r="M350" s="322"/>
      <c r="N350" s="322"/>
      <c r="P350" s="322"/>
    </row>
    <row r="351" spans="8:16" s="357" customFormat="1" x14ac:dyDescent="0.25">
      <c r="H351" s="322"/>
      <c r="I351" s="322"/>
      <c r="J351" s="322"/>
      <c r="K351" s="322"/>
      <c r="L351" s="322"/>
      <c r="M351" s="322"/>
      <c r="N351" s="322"/>
      <c r="P351" s="322"/>
    </row>
    <row r="352" spans="8:16" s="357" customFormat="1" x14ac:dyDescent="0.25">
      <c r="H352" s="322"/>
      <c r="I352" s="322"/>
      <c r="J352" s="322"/>
      <c r="K352" s="322"/>
      <c r="L352" s="322"/>
      <c r="M352" s="322"/>
      <c r="N352" s="322"/>
      <c r="P352" s="322"/>
    </row>
    <row r="353" spans="8:16" s="357" customFormat="1" x14ac:dyDescent="0.25">
      <c r="H353" s="322"/>
      <c r="I353" s="322"/>
      <c r="J353" s="322"/>
      <c r="K353" s="322"/>
      <c r="L353" s="322"/>
      <c r="M353" s="322"/>
      <c r="N353" s="322"/>
      <c r="P353" s="322"/>
    </row>
    <row r="354" spans="8:16" s="357" customFormat="1" x14ac:dyDescent="0.25">
      <c r="H354" s="322"/>
      <c r="I354" s="322"/>
      <c r="J354" s="322"/>
      <c r="K354" s="322"/>
      <c r="L354" s="322"/>
      <c r="M354" s="322"/>
      <c r="N354" s="322"/>
      <c r="P354" s="322"/>
    </row>
    <row r="355" spans="8:16" s="357" customFormat="1" x14ac:dyDescent="0.25">
      <c r="H355" s="322"/>
      <c r="I355" s="322"/>
      <c r="J355" s="322"/>
      <c r="K355" s="322"/>
      <c r="L355" s="322"/>
      <c r="M355" s="322"/>
      <c r="N355" s="322"/>
      <c r="P355" s="322"/>
    </row>
    <row r="356" spans="8:16" s="357" customFormat="1" x14ac:dyDescent="0.25">
      <c r="H356" s="322"/>
      <c r="I356" s="322"/>
      <c r="J356" s="322"/>
      <c r="K356" s="322"/>
      <c r="L356" s="322"/>
      <c r="M356" s="322"/>
      <c r="N356" s="322"/>
      <c r="P356" s="322"/>
    </row>
    <row r="357" spans="8:16" s="357" customFormat="1" x14ac:dyDescent="0.25">
      <c r="H357" s="322"/>
      <c r="I357" s="322"/>
      <c r="J357" s="322"/>
      <c r="K357" s="322"/>
      <c r="L357" s="322"/>
      <c r="M357" s="322"/>
      <c r="N357" s="322"/>
      <c r="P357" s="322"/>
    </row>
    <row r="358" spans="8:16" s="357" customFormat="1" x14ac:dyDescent="0.25">
      <c r="H358" s="322"/>
      <c r="I358" s="322"/>
      <c r="J358" s="322"/>
      <c r="K358" s="322"/>
      <c r="L358" s="322"/>
      <c r="M358" s="322"/>
      <c r="N358" s="322"/>
      <c r="P358" s="322"/>
    </row>
    <row r="359" spans="8:16" s="357" customFormat="1" x14ac:dyDescent="0.25">
      <c r="H359" s="322"/>
      <c r="I359" s="322"/>
      <c r="J359" s="322"/>
      <c r="K359" s="322"/>
      <c r="L359" s="322"/>
      <c r="M359" s="322"/>
      <c r="N359" s="322"/>
      <c r="P359" s="322"/>
    </row>
    <row r="360" spans="8:16" s="357" customFormat="1" x14ac:dyDescent="0.25">
      <c r="H360" s="322"/>
      <c r="I360" s="322"/>
      <c r="J360" s="322"/>
      <c r="K360" s="322"/>
      <c r="L360" s="322"/>
      <c r="M360" s="322"/>
      <c r="N360" s="322"/>
      <c r="P360" s="322"/>
    </row>
    <row r="361" spans="8:16" s="357" customFormat="1" x14ac:dyDescent="0.25">
      <c r="H361" s="322"/>
      <c r="I361" s="322"/>
      <c r="J361" s="322"/>
      <c r="K361" s="322"/>
      <c r="L361" s="322"/>
      <c r="M361" s="322"/>
      <c r="N361" s="322"/>
      <c r="P361" s="322"/>
    </row>
    <row r="362" spans="8:16" s="357" customFormat="1" x14ac:dyDescent="0.25">
      <c r="H362" s="322"/>
      <c r="I362" s="322"/>
      <c r="J362" s="322"/>
      <c r="K362" s="322"/>
      <c r="L362" s="322"/>
      <c r="M362" s="322"/>
      <c r="N362" s="322"/>
      <c r="P362" s="322"/>
    </row>
    <row r="363" spans="8:16" s="357" customFormat="1" x14ac:dyDescent="0.25">
      <c r="H363" s="322"/>
      <c r="I363" s="322"/>
      <c r="J363" s="322"/>
      <c r="K363" s="322"/>
      <c r="L363" s="322"/>
      <c r="M363" s="322"/>
      <c r="N363" s="322"/>
      <c r="P363" s="322"/>
    </row>
    <row r="364" spans="8:16" s="357" customFormat="1" x14ac:dyDescent="0.25">
      <c r="H364" s="322"/>
      <c r="I364" s="322"/>
      <c r="J364" s="322"/>
      <c r="K364" s="322"/>
      <c r="L364" s="322"/>
      <c r="M364" s="322"/>
      <c r="N364" s="322"/>
      <c r="P364" s="322"/>
    </row>
    <row r="365" spans="8:16" s="357" customFormat="1" x14ac:dyDescent="0.25">
      <c r="H365" s="322"/>
      <c r="I365" s="322"/>
      <c r="J365" s="322"/>
      <c r="K365" s="322"/>
      <c r="L365" s="322"/>
      <c r="M365" s="322"/>
      <c r="N365" s="322"/>
      <c r="P365" s="322"/>
    </row>
    <row r="366" spans="8:16" s="357" customFormat="1" x14ac:dyDescent="0.25">
      <c r="H366" s="322"/>
      <c r="I366" s="322"/>
      <c r="J366" s="322"/>
      <c r="K366" s="322"/>
      <c r="L366" s="322"/>
      <c r="M366" s="322"/>
      <c r="N366" s="322"/>
      <c r="P366" s="322"/>
    </row>
    <row r="367" spans="8:16" s="357" customFormat="1" x14ac:dyDescent="0.25">
      <c r="H367" s="322"/>
      <c r="I367" s="322"/>
      <c r="J367" s="322"/>
      <c r="K367" s="322"/>
      <c r="L367" s="322"/>
      <c r="M367" s="322"/>
      <c r="N367" s="322"/>
      <c r="P367" s="322"/>
    </row>
    <row r="368" spans="8:16" s="357" customFormat="1" x14ac:dyDescent="0.25">
      <c r="H368" s="322"/>
      <c r="I368" s="322"/>
      <c r="J368" s="322"/>
      <c r="K368" s="322"/>
      <c r="L368" s="322"/>
      <c r="M368" s="322"/>
      <c r="N368" s="322"/>
      <c r="P368" s="322"/>
    </row>
    <row r="369" spans="8:16" s="357" customFormat="1" x14ac:dyDescent="0.25">
      <c r="H369" s="322"/>
      <c r="I369" s="322"/>
      <c r="J369" s="322"/>
      <c r="K369" s="322"/>
      <c r="L369" s="322"/>
      <c r="M369" s="322"/>
      <c r="N369" s="322"/>
      <c r="P369" s="322"/>
    </row>
    <row r="370" spans="8:16" s="357" customFormat="1" x14ac:dyDescent="0.25">
      <c r="H370" s="322"/>
      <c r="I370" s="322"/>
      <c r="J370" s="322"/>
      <c r="K370" s="322"/>
      <c r="L370" s="322"/>
      <c r="M370" s="322"/>
      <c r="N370" s="322"/>
      <c r="P370" s="322"/>
    </row>
    <row r="371" spans="8:16" s="357" customFormat="1" x14ac:dyDescent="0.25">
      <c r="H371" s="322"/>
      <c r="I371" s="322"/>
      <c r="J371" s="322"/>
      <c r="K371" s="322"/>
      <c r="L371" s="322"/>
      <c r="M371" s="322"/>
      <c r="N371" s="322"/>
      <c r="P371" s="322"/>
    </row>
    <row r="372" spans="8:16" s="357" customFormat="1" x14ac:dyDescent="0.25">
      <c r="H372" s="322"/>
      <c r="I372" s="322"/>
      <c r="J372" s="322"/>
      <c r="K372" s="322"/>
      <c r="L372" s="322"/>
      <c r="M372" s="322"/>
      <c r="N372" s="322"/>
      <c r="P372" s="322"/>
    </row>
    <row r="373" spans="8:16" s="357" customFormat="1" x14ac:dyDescent="0.25">
      <c r="H373" s="322"/>
      <c r="I373" s="322"/>
      <c r="J373" s="322"/>
      <c r="K373" s="322"/>
      <c r="L373" s="322"/>
      <c r="M373" s="322"/>
      <c r="N373" s="322"/>
      <c r="P373" s="322"/>
    </row>
    <row r="374" spans="8:16" s="357" customFormat="1" x14ac:dyDescent="0.25">
      <c r="H374" s="322"/>
      <c r="I374" s="322"/>
      <c r="J374" s="322"/>
      <c r="K374" s="322"/>
      <c r="L374" s="322"/>
      <c r="M374" s="322"/>
      <c r="N374" s="322"/>
      <c r="P374" s="322"/>
    </row>
    <row r="375" spans="8:16" s="357" customFormat="1" x14ac:dyDescent="0.25">
      <c r="H375" s="322"/>
      <c r="I375" s="322"/>
      <c r="J375" s="322"/>
      <c r="K375" s="322"/>
      <c r="L375" s="322"/>
      <c r="M375" s="322"/>
      <c r="N375" s="322"/>
      <c r="P375" s="322"/>
    </row>
    <row r="376" spans="8:16" s="357" customFormat="1" x14ac:dyDescent="0.25">
      <c r="H376" s="322"/>
      <c r="I376" s="322"/>
      <c r="J376" s="322"/>
      <c r="K376" s="322"/>
      <c r="L376" s="322"/>
      <c r="M376" s="322"/>
      <c r="N376" s="322"/>
      <c r="P376" s="322"/>
    </row>
    <row r="377" spans="8:16" s="357" customFormat="1" x14ac:dyDescent="0.25">
      <c r="H377" s="322"/>
      <c r="I377" s="322"/>
      <c r="J377" s="322"/>
      <c r="K377" s="322"/>
      <c r="L377" s="322"/>
      <c r="M377" s="322"/>
      <c r="N377" s="322"/>
      <c r="P377" s="322"/>
    </row>
    <row r="378" spans="8:16" s="357" customFormat="1" x14ac:dyDescent="0.25">
      <c r="H378" s="322"/>
      <c r="I378" s="322"/>
      <c r="J378" s="322"/>
      <c r="K378" s="322"/>
      <c r="L378" s="322"/>
      <c r="M378" s="322"/>
      <c r="N378" s="322"/>
      <c r="P378" s="322"/>
    </row>
    <row r="379" spans="8:16" s="357" customFormat="1" x14ac:dyDescent="0.25">
      <c r="H379" s="322"/>
      <c r="I379" s="322"/>
      <c r="J379" s="322"/>
      <c r="K379" s="322"/>
      <c r="L379" s="322"/>
      <c r="M379" s="322"/>
      <c r="N379" s="322"/>
      <c r="P379" s="322"/>
    </row>
    <row r="380" spans="8:16" s="357" customFormat="1" x14ac:dyDescent="0.25">
      <c r="H380" s="322"/>
      <c r="I380" s="322"/>
      <c r="J380" s="322"/>
      <c r="K380" s="322"/>
      <c r="L380" s="322"/>
      <c r="M380" s="322"/>
      <c r="N380" s="322"/>
      <c r="P380" s="322"/>
    </row>
    <row r="381" spans="8:16" s="357" customFormat="1" x14ac:dyDescent="0.25">
      <c r="H381" s="322"/>
      <c r="I381" s="322"/>
      <c r="J381" s="322"/>
      <c r="K381" s="322"/>
      <c r="L381" s="322"/>
      <c r="M381" s="322"/>
      <c r="N381" s="322"/>
      <c r="P381" s="322"/>
    </row>
    <row r="382" spans="8:16" s="357" customFormat="1" x14ac:dyDescent="0.25">
      <c r="H382" s="322"/>
      <c r="I382" s="322"/>
      <c r="J382" s="322"/>
      <c r="K382" s="322"/>
      <c r="L382" s="322"/>
      <c r="M382" s="322"/>
      <c r="N382" s="322"/>
      <c r="P382" s="322"/>
    </row>
    <row r="383" spans="8:16" s="357" customFormat="1" x14ac:dyDescent="0.25">
      <c r="H383" s="322"/>
      <c r="I383" s="322"/>
      <c r="J383" s="322"/>
      <c r="K383" s="322"/>
      <c r="L383" s="322"/>
      <c r="M383" s="322"/>
      <c r="N383" s="322"/>
      <c r="P383" s="322"/>
    </row>
    <row r="384" spans="8:16" s="357" customFormat="1" x14ac:dyDescent="0.25">
      <c r="H384" s="322"/>
      <c r="I384" s="322"/>
      <c r="J384" s="322"/>
      <c r="K384" s="322"/>
      <c r="L384" s="322"/>
      <c r="M384" s="322"/>
      <c r="N384" s="322"/>
      <c r="P384" s="322"/>
    </row>
    <row r="385" spans="8:16" s="357" customFormat="1" x14ac:dyDescent="0.25">
      <c r="H385" s="322"/>
      <c r="I385" s="322"/>
      <c r="J385" s="322"/>
      <c r="K385" s="322"/>
      <c r="L385" s="322"/>
      <c r="M385" s="322"/>
      <c r="N385" s="322"/>
      <c r="P385" s="322"/>
    </row>
    <row r="386" spans="8:16" s="357" customFormat="1" x14ac:dyDescent="0.25">
      <c r="H386" s="322"/>
      <c r="I386" s="322"/>
      <c r="J386" s="322"/>
      <c r="K386" s="322"/>
      <c r="L386" s="322"/>
      <c r="M386" s="322"/>
      <c r="N386" s="322"/>
      <c r="P386" s="322"/>
    </row>
    <row r="387" spans="8:16" s="357" customFormat="1" x14ac:dyDescent="0.25">
      <c r="H387" s="322"/>
      <c r="I387" s="322"/>
      <c r="J387" s="322"/>
      <c r="K387" s="322"/>
      <c r="L387" s="322"/>
      <c r="M387" s="322"/>
      <c r="N387" s="322"/>
      <c r="P387" s="322"/>
    </row>
    <row r="388" spans="8:16" s="357" customFormat="1" x14ac:dyDescent="0.25">
      <c r="H388" s="322"/>
      <c r="I388" s="322"/>
      <c r="J388" s="322"/>
      <c r="K388" s="322"/>
      <c r="L388" s="322"/>
      <c r="M388" s="322"/>
      <c r="N388" s="322"/>
      <c r="P388" s="322"/>
    </row>
    <row r="389" spans="8:16" s="357" customFormat="1" x14ac:dyDescent="0.25">
      <c r="H389" s="322"/>
      <c r="I389" s="322"/>
      <c r="J389" s="322"/>
      <c r="K389" s="322"/>
      <c r="L389" s="322"/>
      <c r="M389" s="322"/>
      <c r="N389" s="322"/>
      <c r="P389" s="322"/>
    </row>
    <row r="390" spans="8:16" s="357" customFormat="1" x14ac:dyDescent="0.25">
      <c r="H390" s="322"/>
      <c r="I390" s="322"/>
      <c r="J390" s="322"/>
      <c r="K390" s="322"/>
      <c r="L390" s="322"/>
      <c r="M390" s="322"/>
      <c r="N390" s="322"/>
      <c r="P390" s="322"/>
    </row>
    <row r="391" spans="8:16" s="357" customFormat="1" x14ac:dyDescent="0.25">
      <c r="H391" s="322"/>
      <c r="I391" s="322"/>
      <c r="J391" s="322"/>
      <c r="K391" s="322"/>
      <c r="L391" s="322"/>
      <c r="M391" s="322"/>
      <c r="N391" s="322"/>
      <c r="P391" s="322"/>
    </row>
    <row r="392" spans="8:16" s="357" customFormat="1" x14ac:dyDescent="0.25">
      <c r="H392" s="322"/>
      <c r="I392" s="322"/>
      <c r="J392" s="322"/>
      <c r="K392" s="322"/>
      <c r="L392" s="322"/>
      <c r="M392" s="322"/>
      <c r="N392" s="322"/>
      <c r="P392" s="322"/>
    </row>
    <row r="393" spans="8:16" s="357" customFormat="1" x14ac:dyDescent="0.25">
      <c r="H393" s="322"/>
      <c r="I393" s="322"/>
      <c r="J393" s="322"/>
      <c r="K393" s="322"/>
      <c r="L393" s="322"/>
      <c r="M393" s="322"/>
      <c r="N393" s="322"/>
      <c r="P393" s="322"/>
    </row>
    <row r="394" spans="8:16" s="357" customFormat="1" x14ac:dyDescent="0.25">
      <c r="H394" s="322"/>
      <c r="I394" s="322"/>
      <c r="J394" s="322"/>
      <c r="K394" s="322"/>
      <c r="L394" s="322"/>
      <c r="M394" s="322"/>
      <c r="N394" s="322"/>
      <c r="P394" s="322"/>
    </row>
    <row r="395" spans="8:16" s="357" customFormat="1" x14ac:dyDescent="0.25">
      <c r="H395" s="322"/>
      <c r="I395" s="322"/>
      <c r="J395" s="322"/>
      <c r="K395" s="322"/>
      <c r="L395" s="322"/>
      <c r="M395" s="322"/>
      <c r="N395" s="322"/>
      <c r="P395" s="322"/>
    </row>
    <row r="396" spans="8:16" s="357" customFormat="1" x14ac:dyDescent="0.25">
      <c r="H396" s="322"/>
      <c r="I396" s="322"/>
      <c r="J396" s="322"/>
      <c r="K396" s="322"/>
      <c r="L396" s="322"/>
      <c r="M396" s="322"/>
      <c r="N396" s="322"/>
      <c r="P396" s="322"/>
    </row>
    <row r="397" spans="8:16" s="357" customFormat="1" x14ac:dyDescent="0.25">
      <c r="H397" s="322"/>
      <c r="I397" s="322"/>
      <c r="J397" s="322"/>
      <c r="K397" s="322"/>
      <c r="L397" s="322"/>
      <c r="M397" s="322"/>
      <c r="N397" s="322"/>
      <c r="P397" s="322"/>
    </row>
    <row r="398" spans="8:16" s="357" customFormat="1" x14ac:dyDescent="0.25">
      <c r="H398" s="322"/>
      <c r="I398" s="322"/>
      <c r="J398" s="322"/>
      <c r="K398" s="322"/>
      <c r="L398" s="322"/>
      <c r="M398" s="322"/>
      <c r="N398" s="322"/>
      <c r="P398" s="322"/>
    </row>
    <row r="399" spans="8:16" s="357" customFormat="1" x14ac:dyDescent="0.25">
      <c r="H399" s="322"/>
      <c r="I399" s="322"/>
      <c r="J399" s="322"/>
      <c r="K399" s="322"/>
      <c r="L399" s="322"/>
      <c r="M399" s="322"/>
      <c r="N399" s="322"/>
      <c r="P399" s="322"/>
    </row>
    <row r="400" spans="8:16" s="357" customFormat="1" x14ac:dyDescent="0.25">
      <c r="H400" s="322"/>
      <c r="I400" s="322"/>
      <c r="J400" s="322"/>
      <c r="K400" s="322"/>
      <c r="L400" s="322"/>
      <c r="M400" s="322"/>
      <c r="N400" s="322"/>
      <c r="P400" s="322"/>
    </row>
    <row r="401" spans="8:16" s="357" customFormat="1" x14ac:dyDescent="0.25">
      <c r="H401" s="322"/>
      <c r="I401" s="322"/>
      <c r="J401" s="322"/>
      <c r="K401" s="322"/>
      <c r="L401" s="322"/>
      <c r="M401" s="322"/>
      <c r="N401" s="322"/>
      <c r="P401" s="322"/>
    </row>
    <row r="402" spans="8:16" s="357" customFormat="1" x14ac:dyDescent="0.25">
      <c r="H402" s="322"/>
      <c r="I402" s="322"/>
      <c r="J402" s="322"/>
      <c r="K402" s="322"/>
      <c r="L402" s="322"/>
      <c r="M402" s="322"/>
      <c r="N402" s="322"/>
      <c r="P402" s="322"/>
    </row>
    <row r="403" spans="8:16" s="357" customFormat="1" x14ac:dyDescent="0.25">
      <c r="H403" s="322"/>
      <c r="I403" s="322"/>
      <c r="J403" s="322"/>
      <c r="K403" s="322"/>
      <c r="L403" s="322"/>
      <c r="M403" s="322"/>
      <c r="N403" s="322"/>
      <c r="P403" s="322"/>
    </row>
    <row r="404" spans="8:16" s="357" customFormat="1" x14ac:dyDescent="0.25">
      <c r="H404" s="322"/>
      <c r="I404" s="322"/>
      <c r="J404" s="322"/>
      <c r="K404" s="322"/>
      <c r="L404" s="322"/>
      <c r="M404" s="322"/>
      <c r="N404" s="322"/>
      <c r="P404" s="322"/>
    </row>
    <row r="405" spans="8:16" s="357" customFormat="1" x14ac:dyDescent="0.25">
      <c r="H405" s="322"/>
      <c r="I405" s="322"/>
      <c r="J405" s="322"/>
      <c r="K405" s="322"/>
      <c r="L405" s="322"/>
      <c r="M405" s="322"/>
      <c r="N405" s="322"/>
      <c r="P405" s="322"/>
    </row>
    <row r="406" spans="8:16" s="357" customFormat="1" x14ac:dyDescent="0.25">
      <c r="H406" s="322"/>
      <c r="I406" s="322"/>
      <c r="J406" s="322"/>
      <c r="K406" s="322"/>
      <c r="L406" s="322"/>
      <c r="M406" s="322"/>
      <c r="N406" s="322"/>
      <c r="P406" s="322"/>
    </row>
    <row r="407" spans="8:16" s="357" customFormat="1" x14ac:dyDescent="0.25">
      <c r="H407" s="322"/>
      <c r="I407" s="322"/>
      <c r="J407" s="322"/>
      <c r="K407" s="322"/>
      <c r="L407" s="322"/>
      <c r="M407" s="322"/>
      <c r="N407" s="322"/>
      <c r="P407" s="322"/>
    </row>
    <row r="408" spans="8:16" s="357" customFormat="1" x14ac:dyDescent="0.25">
      <c r="H408" s="322"/>
      <c r="I408" s="322"/>
      <c r="J408" s="322"/>
      <c r="K408" s="322"/>
      <c r="L408" s="322"/>
      <c r="M408" s="322"/>
      <c r="N408" s="322"/>
      <c r="P408" s="322"/>
    </row>
    <row r="409" spans="8:16" s="357" customFormat="1" x14ac:dyDescent="0.25">
      <c r="H409" s="322"/>
      <c r="I409" s="322"/>
      <c r="J409" s="322"/>
      <c r="K409" s="322"/>
      <c r="L409" s="322"/>
      <c r="M409" s="322"/>
      <c r="N409" s="322"/>
      <c r="P409" s="322"/>
    </row>
    <row r="410" spans="8:16" s="357" customFormat="1" x14ac:dyDescent="0.25">
      <c r="H410" s="322"/>
      <c r="I410" s="322"/>
      <c r="J410" s="322"/>
      <c r="K410" s="322"/>
      <c r="L410" s="322"/>
      <c r="M410" s="322"/>
      <c r="N410" s="322"/>
      <c r="P410" s="322"/>
    </row>
    <row r="411" spans="8:16" s="357" customFormat="1" x14ac:dyDescent="0.25">
      <c r="H411" s="322"/>
      <c r="I411" s="322"/>
      <c r="J411" s="322"/>
      <c r="K411" s="322"/>
      <c r="L411" s="322"/>
      <c r="M411" s="322"/>
      <c r="N411" s="322"/>
      <c r="P411" s="322"/>
    </row>
    <row r="412" spans="8:16" s="357" customFormat="1" x14ac:dyDescent="0.25">
      <c r="H412" s="322"/>
      <c r="I412" s="322"/>
      <c r="J412" s="322"/>
      <c r="K412" s="322"/>
      <c r="L412" s="322"/>
      <c r="M412" s="322"/>
      <c r="N412" s="322"/>
      <c r="P412" s="322"/>
    </row>
    <row r="413" spans="8:16" s="357" customFormat="1" x14ac:dyDescent="0.25">
      <c r="H413" s="322"/>
      <c r="I413" s="322"/>
      <c r="J413" s="322"/>
      <c r="K413" s="322"/>
      <c r="L413" s="322"/>
      <c r="M413" s="322"/>
      <c r="N413" s="322"/>
      <c r="P413" s="322"/>
    </row>
    <row r="414" spans="8:16" s="357" customFormat="1" x14ac:dyDescent="0.25">
      <c r="H414" s="322"/>
      <c r="I414" s="322"/>
      <c r="J414" s="322"/>
      <c r="K414" s="322"/>
      <c r="L414" s="322"/>
      <c r="M414" s="322"/>
      <c r="N414" s="322"/>
      <c r="P414" s="322"/>
    </row>
    <row r="415" spans="8:16" s="357" customFormat="1" x14ac:dyDescent="0.25">
      <c r="H415" s="322"/>
      <c r="I415" s="322"/>
      <c r="J415" s="322"/>
      <c r="K415" s="322"/>
      <c r="L415" s="322"/>
      <c r="M415" s="322"/>
      <c r="N415" s="322"/>
      <c r="P415" s="322"/>
    </row>
    <row r="416" spans="8:16" s="357" customFormat="1" x14ac:dyDescent="0.25">
      <c r="H416" s="322"/>
      <c r="I416" s="322"/>
      <c r="J416" s="322"/>
      <c r="K416" s="322"/>
      <c r="L416" s="322"/>
      <c r="M416" s="322"/>
      <c r="N416" s="322"/>
      <c r="P416" s="322"/>
    </row>
    <row r="417" spans="8:16" s="357" customFormat="1" x14ac:dyDescent="0.25">
      <c r="H417" s="322"/>
      <c r="I417" s="322"/>
      <c r="J417" s="322"/>
      <c r="K417" s="322"/>
      <c r="L417" s="322"/>
      <c r="M417" s="322"/>
      <c r="N417" s="322"/>
      <c r="P417" s="322"/>
    </row>
    <row r="418" spans="8:16" s="357" customFormat="1" x14ac:dyDescent="0.25">
      <c r="H418" s="322"/>
      <c r="I418" s="322"/>
      <c r="J418" s="322"/>
      <c r="K418" s="322"/>
      <c r="L418" s="322"/>
      <c r="M418" s="322"/>
      <c r="N418" s="322"/>
      <c r="P418" s="322"/>
    </row>
    <row r="419" spans="8:16" s="357" customFormat="1" x14ac:dyDescent="0.25">
      <c r="H419" s="322"/>
      <c r="I419" s="322"/>
      <c r="J419" s="322"/>
      <c r="K419" s="322"/>
      <c r="L419" s="322"/>
      <c r="M419" s="322"/>
      <c r="N419" s="322"/>
      <c r="P419" s="322"/>
    </row>
    <row r="420" spans="8:16" s="357" customFormat="1" x14ac:dyDescent="0.25">
      <c r="H420" s="322"/>
      <c r="I420" s="322"/>
      <c r="J420" s="322"/>
      <c r="K420" s="322"/>
      <c r="L420" s="322"/>
      <c r="M420" s="322"/>
      <c r="N420" s="322"/>
      <c r="P420" s="322"/>
    </row>
    <row r="421" spans="8:16" s="357" customFormat="1" x14ac:dyDescent="0.25">
      <c r="H421" s="322"/>
      <c r="I421" s="322"/>
      <c r="J421" s="322"/>
      <c r="K421" s="322"/>
      <c r="L421" s="322"/>
      <c r="M421" s="322"/>
      <c r="N421" s="322"/>
      <c r="P421" s="322"/>
    </row>
    <row r="422" spans="8:16" s="357" customFormat="1" x14ac:dyDescent="0.25">
      <c r="H422" s="322"/>
      <c r="I422" s="322"/>
      <c r="J422" s="322"/>
      <c r="K422" s="322"/>
      <c r="L422" s="322"/>
      <c r="M422" s="322"/>
      <c r="N422" s="322"/>
      <c r="P422" s="322"/>
    </row>
    <row r="423" spans="8:16" s="357" customFormat="1" x14ac:dyDescent="0.25">
      <c r="H423" s="322"/>
      <c r="I423" s="322"/>
      <c r="J423" s="322"/>
      <c r="K423" s="322"/>
      <c r="L423" s="322"/>
      <c r="M423" s="322"/>
      <c r="N423" s="322"/>
      <c r="P423" s="322"/>
    </row>
    <row r="424" spans="8:16" s="357" customFormat="1" x14ac:dyDescent="0.25">
      <c r="H424" s="322"/>
      <c r="I424" s="322"/>
      <c r="J424" s="322"/>
      <c r="K424" s="322"/>
      <c r="L424" s="322"/>
      <c r="M424" s="322"/>
      <c r="N424" s="322"/>
      <c r="P424" s="322"/>
    </row>
    <row r="425" spans="8:16" s="357" customFormat="1" x14ac:dyDescent="0.25">
      <c r="H425" s="322"/>
      <c r="I425" s="322"/>
      <c r="J425" s="322"/>
      <c r="K425" s="322"/>
      <c r="L425" s="322"/>
      <c r="M425" s="322"/>
      <c r="N425" s="322"/>
      <c r="P425" s="322"/>
    </row>
    <row r="426" spans="8:16" s="357" customFormat="1" x14ac:dyDescent="0.25">
      <c r="H426" s="322"/>
      <c r="I426" s="322"/>
      <c r="J426" s="322"/>
      <c r="K426" s="322"/>
      <c r="L426" s="322"/>
      <c r="M426" s="322"/>
      <c r="N426" s="322"/>
      <c r="P426" s="322"/>
    </row>
    <row r="427" spans="8:16" s="357" customFormat="1" x14ac:dyDescent="0.25">
      <c r="H427" s="322"/>
      <c r="I427" s="322"/>
      <c r="J427" s="322"/>
      <c r="K427" s="322"/>
      <c r="L427" s="322"/>
      <c r="M427" s="322"/>
      <c r="N427" s="322"/>
      <c r="P427" s="322"/>
    </row>
    <row r="428" spans="8:16" s="357" customFormat="1" x14ac:dyDescent="0.25">
      <c r="H428" s="322"/>
      <c r="I428" s="322"/>
      <c r="J428" s="322"/>
      <c r="K428" s="322"/>
      <c r="L428" s="322"/>
      <c r="M428" s="322"/>
      <c r="N428" s="322"/>
      <c r="P428" s="322"/>
    </row>
    <row r="429" spans="8:16" s="357" customFormat="1" x14ac:dyDescent="0.25">
      <c r="H429" s="322"/>
      <c r="I429" s="322"/>
      <c r="J429" s="322"/>
      <c r="K429" s="322"/>
      <c r="L429" s="322"/>
      <c r="M429" s="322"/>
      <c r="N429" s="322"/>
      <c r="P429" s="322"/>
    </row>
    <row r="430" spans="8:16" s="357" customFormat="1" x14ac:dyDescent="0.25">
      <c r="H430" s="322"/>
      <c r="I430" s="322"/>
      <c r="J430" s="322"/>
      <c r="K430" s="322"/>
      <c r="L430" s="322"/>
      <c r="M430" s="322"/>
      <c r="N430" s="322"/>
      <c r="P430" s="322"/>
    </row>
    <row r="431" spans="8:16" s="357" customFormat="1" x14ac:dyDescent="0.25">
      <c r="H431" s="322"/>
      <c r="I431" s="322"/>
      <c r="J431" s="322"/>
      <c r="K431" s="322"/>
      <c r="L431" s="322"/>
      <c r="M431" s="322"/>
      <c r="N431" s="322"/>
      <c r="P431" s="322"/>
    </row>
    <row r="432" spans="8:16" s="357" customFormat="1" x14ac:dyDescent="0.25">
      <c r="H432" s="322"/>
      <c r="I432" s="322"/>
      <c r="J432" s="322"/>
      <c r="K432" s="322"/>
      <c r="L432" s="322"/>
      <c r="M432" s="322"/>
      <c r="N432" s="322"/>
      <c r="P432" s="322"/>
    </row>
    <row r="433" spans="8:16" s="357" customFormat="1" x14ac:dyDescent="0.25">
      <c r="H433" s="322"/>
      <c r="I433" s="322"/>
      <c r="J433" s="322"/>
      <c r="K433" s="322"/>
      <c r="L433" s="322"/>
      <c r="M433" s="322"/>
      <c r="N433" s="322"/>
      <c r="P433" s="322"/>
    </row>
    <row r="434" spans="8:16" s="357" customFormat="1" x14ac:dyDescent="0.25">
      <c r="H434" s="322"/>
      <c r="I434" s="322"/>
      <c r="J434" s="322"/>
      <c r="K434" s="322"/>
      <c r="L434" s="322"/>
      <c r="M434" s="322"/>
      <c r="N434" s="322"/>
      <c r="P434" s="322"/>
    </row>
    <row r="435" spans="8:16" s="357" customFormat="1" x14ac:dyDescent="0.25">
      <c r="H435" s="322"/>
      <c r="I435" s="322"/>
      <c r="J435" s="322"/>
      <c r="K435" s="322"/>
      <c r="L435" s="322"/>
      <c r="M435" s="322"/>
      <c r="N435" s="322"/>
      <c r="P435" s="322"/>
    </row>
    <row r="436" spans="8:16" s="357" customFormat="1" x14ac:dyDescent="0.25">
      <c r="H436" s="322"/>
      <c r="I436" s="322"/>
      <c r="J436" s="322"/>
      <c r="K436" s="322"/>
      <c r="L436" s="322"/>
      <c r="M436" s="322"/>
      <c r="N436" s="322"/>
      <c r="P436" s="322"/>
    </row>
    <row r="437" spans="8:16" s="357" customFormat="1" x14ac:dyDescent="0.25">
      <c r="H437" s="322"/>
      <c r="I437" s="322"/>
      <c r="J437" s="322"/>
      <c r="K437" s="322"/>
      <c r="L437" s="322"/>
      <c r="M437" s="322"/>
      <c r="N437" s="322"/>
      <c r="P437" s="322"/>
    </row>
    <row r="438" spans="8:16" s="357" customFormat="1" x14ac:dyDescent="0.25">
      <c r="H438" s="322"/>
      <c r="I438" s="322"/>
      <c r="J438" s="322"/>
      <c r="K438" s="322"/>
      <c r="L438" s="322"/>
      <c r="M438" s="322"/>
      <c r="N438" s="322"/>
      <c r="P438" s="322"/>
    </row>
    <row r="439" spans="8:16" s="357" customFormat="1" x14ac:dyDescent="0.25">
      <c r="H439" s="322"/>
      <c r="I439" s="322"/>
      <c r="J439" s="322"/>
      <c r="K439" s="322"/>
      <c r="L439" s="322"/>
      <c r="M439" s="322"/>
      <c r="N439" s="322"/>
      <c r="P439" s="322"/>
    </row>
    <row r="440" spans="8:16" s="357" customFormat="1" x14ac:dyDescent="0.25">
      <c r="H440" s="322"/>
      <c r="I440" s="322"/>
      <c r="J440" s="322"/>
      <c r="K440" s="322"/>
      <c r="L440" s="322"/>
      <c r="M440" s="322"/>
      <c r="N440" s="322"/>
      <c r="P440" s="322"/>
    </row>
    <row r="441" spans="8:16" s="357" customFormat="1" x14ac:dyDescent="0.25">
      <c r="H441" s="322"/>
      <c r="I441" s="322"/>
      <c r="J441" s="322"/>
      <c r="K441" s="322"/>
      <c r="L441" s="322"/>
      <c r="M441" s="322"/>
      <c r="N441" s="322"/>
      <c r="P441" s="322"/>
    </row>
    <row r="442" spans="8:16" s="357" customFormat="1" x14ac:dyDescent="0.25">
      <c r="H442" s="322"/>
      <c r="I442" s="322"/>
      <c r="J442" s="322"/>
      <c r="K442" s="322"/>
      <c r="L442" s="322"/>
      <c r="M442" s="322"/>
      <c r="N442" s="322"/>
      <c r="P442" s="322"/>
    </row>
    <row r="443" spans="8:16" s="357" customFormat="1" x14ac:dyDescent="0.25">
      <c r="H443" s="322"/>
      <c r="I443" s="322"/>
      <c r="J443" s="322"/>
      <c r="K443" s="322"/>
      <c r="L443" s="322"/>
      <c r="M443" s="322"/>
      <c r="N443" s="322"/>
      <c r="P443" s="322"/>
    </row>
    <row r="444" spans="8:16" s="357" customFormat="1" x14ac:dyDescent="0.25">
      <c r="H444" s="322"/>
      <c r="I444" s="322"/>
      <c r="J444" s="322"/>
      <c r="K444" s="322"/>
      <c r="L444" s="322"/>
      <c r="M444" s="322"/>
      <c r="N444" s="322"/>
      <c r="P444" s="322"/>
    </row>
    <row r="445" spans="8:16" s="357" customFormat="1" x14ac:dyDescent="0.25">
      <c r="H445" s="322"/>
      <c r="I445" s="322"/>
      <c r="J445" s="322"/>
      <c r="K445" s="322"/>
      <c r="L445" s="322"/>
      <c r="M445" s="322"/>
      <c r="N445" s="322"/>
      <c r="P445" s="322"/>
    </row>
    <row r="446" spans="8:16" s="357" customFormat="1" x14ac:dyDescent="0.25">
      <c r="H446" s="322"/>
      <c r="I446" s="322"/>
      <c r="J446" s="322"/>
      <c r="K446" s="322"/>
      <c r="L446" s="322"/>
      <c r="M446" s="322"/>
      <c r="N446" s="322"/>
      <c r="P446" s="322"/>
    </row>
    <row r="447" spans="8:16" s="357" customFormat="1" x14ac:dyDescent="0.25">
      <c r="H447" s="322"/>
      <c r="I447" s="322"/>
      <c r="J447" s="322"/>
      <c r="K447" s="322"/>
      <c r="L447" s="322"/>
      <c r="M447" s="322"/>
      <c r="N447" s="322"/>
      <c r="P447" s="322"/>
    </row>
    <row r="448" spans="8:16" s="357" customFormat="1" x14ac:dyDescent="0.25">
      <c r="H448" s="322"/>
      <c r="I448" s="322"/>
      <c r="J448" s="322"/>
      <c r="K448" s="322"/>
      <c r="L448" s="322"/>
      <c r="M448" s="322"/>
      <c r="N448" s="322"/>
      <c r="P448" s="322"/>
    </row>
    <row r="449" spans="8:16" s="357" customFormat="1" x14ac:dyDescent="0.25">
      <c r="H449" s="322"/>
      <c r="I449" s="322"/>
      <c r="J449" s="322"/>
      <c r="K449" s="322"/>
      <c r="L449" s="322"/>
      <c r="M449" s="322"/>
      <c r="N449" s="322"/>
      <c r="P449" s="322"/>
    </row>
    <row r="450" spans="8:16" s="357" customFormat="1" x14ac:dyDescent="0.25">
      <c r="H450" s="322"/>
      <c r="I450" s="322"/>
      <c r="J450" s="322"/>
      <c r="K450" s="322"/>
      <c r="L450" s="322"/>
      <c r="M450" s="322"/>
      <c r="N450" s="322"/>
      <c r="P450" s="322"/>
    </row>
    <row r="451" spans="8:16" s="357" customFormat="1" x14ac:dyDescent="0.25">
      <c r="H451" s="322"/>
      <c r="I451" s="322"/>
      <c r="J451" s="322"/>
      <c r="K451" s="322"/>
      <c r="L451" s="322"/>
      <c r="M451" s="322"/>
      <c r="N451" s="322"/>
      <c r="P451" s="322"/>
    </row>
    <row r="452" spans="8:16" s="357" customFormat="1" x14ac:dyDescent="0.25">
      <c r="H452" s="322"/>
      <c r="I452" s="322"/>
      <c r="J452" s="322"/>
      <c r="K452" s="322"/>
      <c r="L452" s="322"/>
      <c r="M452" s="322"/>
      <c r="N452" s="322"/>
      <c r="P452" s="322"/>
    </row>
    <row r="453" spans="8:16" s="357" customFormat="1" x14ac:dyDescent="0.25">
      <c r="H453" s="322"/>
      <c r="I453" s="322"/>
      <c r="J453" s="322"/>
      <c r="K453" s="322"/>
      <c r="L453" s="322"/>
      <c r="M453" s="322"/>
      <c r="N453" s="322"/>
      <c r="P453" s="322"/>
    </row>
    <row r="454" spans="8:16" s="357" customFormat="1" x14ac:dyDescent="0.25">
      <c r="H454" s="322"/>
      <c r="I454" s="322"/>
      <c r="J454" s="322"/>
      <c r="K454" s="322"/>
      <c r="L454" s="322"/>
      <c r="M454" s="322"/>
      <c r="N454" s="322"/>
      <c r="P454" s="322"/>
    </row>
    <row r="455" spans="8:16" s="357" customFormat="1" x14ac:dyDescent="0.25">
      <c r="H455" s="322"/>
      <c r="I455" s="322"/>
      <c r="J455" s="322"/>
      <c r="K455" s="322"/>
      <c r="L455" s="322"/>
      <c r="M455" s="322"/>
      <c r="N455" s="322"/>
      <c r="P455" s="322"/>
    </row>
    <row r="456" spans="8:16" s="357" customFormat="1" x14ac:dyDescent="0.25">
      <c r="H456" s="322"/>
      <c r="I456" s="322"/>
      <c r="J456" s="322"/>
      <c r="K456" s="322"/>
      <c r="L456" s="322"/>
      <c r="M456" s="322"/>
      <c r="N456" s="322"/>
      <c r="P456" s="322"/>
    </row>
    <row r="457" spans="8:16" s="357" customFormat="1" x14ac:dyDescent="0.25">
      <c r="H457" s="322"/>
      <c r="I457" s="322"/>
      <c r="J457" s="322"/>
      <c r="K457" s="322"/>
      <c r="L457" s="322"/>
      <c r="M457" s="322"/>
      <c r="N457" s="322"/>
      <c r="P457" s="322"/>
    </row>
    <row r="458" spans="8:16" s="357" customFormat="1" x14ac:dyDescent="0.25">
      <c r="H458" s="322"/>
      <c r="I458" s="322"/>
      <c r="J458" s="322"/>
      <c r="K458" s="322"/>
      <c r="L458" s="322"/>
      <c r="M458" s="322"/>
      <c r="N458" s="322"/>
      <c r="P458" s="322"/>
    </row>
    <row r="459" spans="8:16" s="357" customFormat="1" x14ac:dyDescent="0.25">
      <c r="H459" s="322"/>
      <c r="I459" s="322"/>
      <c r="J459" s="322"/>
      <c r="K459" s="322"/>
      <c r="L459" s="322"/>
      <c r="M459" s="322"/>
      <c r="N459" s="322"/>
      <c r="P459" s="322"/>
    </row>
    <row r="460" spans="8:16" s="357" customFormat="1" x14ac:dyDescent="0.25">
      <c r="H460" s="322"/>
      <c r="I460" s="322"/>
      <c r="J460" s="322"/>
      <c r="K460" s="322"/>
      <c r="L460" s="322"/>
      <c r="M460" s="322"/>
      <c r="N460" s="322"/>
      <c r="P460" s="322"/>
    </row>
    <row r="461" spans="8:16" s="357" customFormat="1" x14ac:dyDescent="0.25">
      <c r="H461" s="322"/>
      <c r="I461" s="322"/>
      <c r="J461" s="322"/>
      <c r="K461" s="322"/>
      <c r="L461" s="322"/>
      <c r="M461" s="322"/>
      <c r="N461" s="322"/>
      <c r="P461" s="322"/>
    </row>
    <row r="462" spans="8:16" s="357" customFormat="1" x14ac:dyDescent="0.25">
      <c r="H462" s="322"/>
      <c r="I462" s="322"/>
      <c r="J462" s="322"/>
      <c r="K462" s="322"/>
      <c r="L462" s="322"/>
      <c r="M462" s="322"/>
      <c r="N462" s="322"/>
      <c r="P462" s="322"/>
    </row>
    <row r="463" spans="8:16" s="357" customFormat="1" x14ac:dyDescent="0.25">
      <c r="H463" s="322"/>
      <c r="I463" s="322"/>
      <c r="J463" s="322"/>
      <c r="K463" s="322"/>
      <c r="L463" s="322"/>
      <c r="M463" s="322"/>
      <c r="N463" s="322"/>
      <c r="P463" s="322"/>
    </row>
    <row r="464" spans="8:16" s="357" customFormat="1" x14ac:dyDescent="0.25">
      <c r="H464" s="322"/>
      <c r="I464" s="322"/>
      <c r="J464" s="322"/>
      <c r="K464" s="322"/>
      <c r="L464" s="322"/>
      <c r="M464" s="322"/>
      <c r="N464" s="322"/>
      <c r="P464" s="322"/>
    </row>
    <row r="465" spans="8:16" s="357" customFormat="1" x14ac:dyDescent="0.25">
      <c r="H465" s="322"/>
      <c r="I465" s="322"/>
      <c r="J465" s="322"/>
      <c r="K465" s="322"/>
      <c r="L465" s="322"/>
      <c r="M465" s="322"/>
      <c r="N465" s="322"/>
      <c r="P465" s="322"/>
    </row>
    <row r="466" spans="8:16" s="357" customFormat="1" x14ac:dyDescent="0.25">
      <c r="H466" s="322"/>
      <c r="I466" s="322"/>
      <c r="J466" s="322"/>
      <c r="K466" s="322"/>
      <c r="L466" s="322"/>
      <c r="M466" s="322"/>
      <c r="N466" s="322"/>
      <c r="P466" s="322"/>
    </row>
    <row r="467" spans="8:16" s="357" customFormat="1" x14ac:dyDescent="0.25">
      <c r="H467" s="322"/>
      <c r="I467" s="322"/>
      <c r="J467" s="322"/>
      <c r="K467" s="322"/>
      <c r="L467" s="322"/>
      <c r="M467" s="322"/>
      <c r="N467" s="322"/>
      <c r="P467" s="322"/>
    </row>
    <row r="468" spans="8:16" s="357" customFormat="1" x14ac:dyDescent="0.25">
      <c r="H468" s="322"/>
      <c r="I468" s="322"/>
      <c r="J468" s="322"/>
      <c r="K468" s="322"/>
      <c r="L468" s="322"/>
      <c r="M468" s="322"/>
      <c r="N468" s="322"/>
      <c r="P468" s="322"/>
    </row>
    <row r="469" spans="8:16" s="357" customFormat="1" x14ac:dyDescent="0.25">
      <c r="H469" s="322"/>
      <c r="I469" s="322"/>
      <c r="J469" s="322"/>
      <c r="K469" s="322"/>
      <c r="L469" s="322"/>
      <c r="M469" s="322"/>
      <c r="N469" s="322"/>
      <c r="P469" s="322"/>
    </row>
    <row r="470" spans="8:16" s="357" customFormat="1" x14ac:dyDescent="0.25">
      <c r="H470" s="322"/>
      <c r="I470" s="322"/>
      <c r="J470" s="322"/>
      <c r="K470" s="322"/>
      <c r="L470" s="322"/>
      <c r="M470" s="322"/>
      <c r="N470" s="322"/>
      <c r="P470" s="322"/>
    </row>
    <row r="471" spans="8:16" s="357" customFormat="1" x14ac:dyDescent="0.25">
      <c r="H471" s="322"/>
      <c r="I471" s="322"/>
      <c r="J471" s="322"/>
      <c r="K471" s="322"/>
      <c r="L471" s="322"/>
      <c r="M471" s="322"/>
      <c r="N471" s="322"/>
      <c r="P471" s="322"/>
    </row>
    <row r="472" spans="8:16" s="357" customFormat="1" x14ac:dyDescent="0.25">
      <c r="H472" s="322"/>
      <c r="I472" s="322"/>
      <c r="J472" s="322"/>
      <c r="K472" s="322"/>
      <c r="L472" s="322"/>
      <c r="M472" s="322"/>
      <c r="N472" s="322"/>
      <c r="P472" s="322"/>
    </row>
    <row r="473" spans="8:16" s="357" customFormat="1" x14ac:dyDescent="0.25">
      <c r="H473" s="322"/>
      <c r="I473" s="322"/>
      <c r="J473" s="322"/>
      <c r="K473" s="322"/>
      <c r="L473" s="322"/>
      <c r="M473" s="322"/>
      <c r="N473" s="322"/>
      <c r="P473" s="322"/>
    </row>
    <row r="474" spans="8:16" s="357" customFormat="1" x14ac:dyDescent="0.25">
      <c r="H474" s="322"/>
      <c r="I474" s="322"/>
      <c r="J474" s="322"/>
      <c r="K474" s="322"/>
      <c r="L474" s="322"/>
      <c r="M474" s="322"/>
      <c r="N474" s="322"/>
      <c r="P474" s="322"/>
    </row>
    <row r="475" spans="8:16" s="357" customFormat="1" x14ac:dyDescent="0.25">
      <c r="H475" s="322"/>
      <c r="I475" s="322"/>
      <c r="J475" s="322"/>
      <c r="K475" s="322"/>
      <c r="L475" s="322"/>
      <c r="M475" s="322"/>
      <c r="N475" s="322"/>
      <c r="P475" s="322"/>
    </row>
    <row r="476" spans="8:16" s="357" customFormat="1" x14ac:dyDescent="0.25">
      <c r="H476" s="322"/>
      <c r="I476" s="322"/>
      <c r="J476" s="322"/>
      <c r="K476" s="322"/>
      <c r="L476" s="322"/>
      <c r="M476" s="322"/>
      <c r="N476" s="322"/>
      <c r="P476" s="322"/>
    </row>
    <row r="477" spans="8:16" s="357" customFormat="1" x14ac:dyDescent="0.25">
      <c r="H477" s="322"/>
      <c r="I477" s="322"/>
      <c r="J477" s="322"/>
      <c r="K477" s="322"/>
      <c r="L477" s="322"/>
      <c r="M477" s="322"/>
      <c r="N477" s="322"/>
      <c r="P477" s="322"/>
    </row>
    <row r="478" spans="8:16" s="357" customFormat="1" x14ac:dyDescent="0.25">
      <c r="H478" s="322"/>
      <c r="I478" s="322"/>
      <c r="J478" s="322"/>
      <c r="K478" s="322"/>
      <c r="L478" s="322"/>
      <c r="M478" s="322"/>
      <c r="N478" s="322"/>
      <c r="P478" s="322"/>
    </row>
    <row r="479" spans="8:16" s="357" customFormat="1" x14ac:dyDescent="0.25">
      <c r="H479" s="322"/>
      <c r="I479" s="322"/>
      <c r="J479" s="322"/>
      <c r="K479" s="322"/>
      <c r="L479" s="322"/>
      <c r="M479" s="322"/>
      <c r="N479" s="322"/>
      <c r="P479" s="322"/>
    </row>
    <row r="480" spans="8:16" s="357" customFormat="1" x14ac:dyDescent="0.25">
      <c r="H480" s="322"/>
      <c r="I480" s="322"/>
      <c r="J480" s="322"/>
      <c r="K480" s="322"/>
      <c r="L480" s="322"/>
      <c r="M480" s="322"/>
      <c r="N480" s="322"/>
      <c r="P480" s="322"/>
    </row>
    <row r="481" spans="8:16" s="357" customFormat="1" x14ac:dyDescent="0.25">
      <c r="H481" s="322"/>
      <c r="I481" s="322"/>
      <c r="J481" s="322"/>
      <c r="K481" s="322"/>
      <c r="L481" s="322"/>
      <c r="M481" s="322"/>
      <c r="N481" s="322"/>
      <c r="P481" s="322"/>
    </row>
    <row r="482" spans="8:16" s="357" customFormat="1" x14ac:dyDescent="0.25">
      <c r="H482" s="322"/>
      <c r="I482" s="322"/>
      <c r="J482" s="322"/>
      <c r="K482" s="322"/>
      <c r="L482" s="322"/>
      <c r="M482" s="322"/>
      <c r="N482" s="322"/>
      <c r="P482" s="322"/>
    </row>
    <row r="483" spans="8:16" s="357" customFormat="1" x14ac:dyDescent="0.25">
      <c r="H483" s="322"/>
      <c r="I483" s="322"/>
      <c r="J483" s="322"/>
      <c r="K483" s="322"/>
      <c r="L483" s="322"/>
      <c r="M483" s="322"/>
      <c r="N483" s="322"/>
      <c r="P483" s="322"/>
    </row>
    <row r="484" spans="8:16" s="357" customFormat="1" x14ac:dyDescent="0.25">
      <c r="H484" s="322"/>
      <c r="I484" s="322"/>
      <c r="J484" s="322"/>
      <c r="K484" s="322"/>
      <c r="L484" s="322"/>
      <c r="M484" s="322"/>
      <c r="N484" s="322"/>
      <c r="P484" s="322"/>
    </row>
    <row r="485" spans="8:16" s="357" customFormat="1" x14ac:dyDescent="0.25">
      <c r="H485" s="322"/>
      <c r="I485" s="322"/>
      <c r="J485" s="322"/>
      <c r="K485" s="322"/>
      <c r="L485" s="322"/>
      <c r="M485" s="322"/>
      <c r="N485" s="322"/>
      <c r="P485" s="322"/>
    </row>
    <row r="486" spans="8:16" s="357" customFormat="1" x14ac:dyDescent="0.25">
      <c r="H486" s="322"/>
      <c r="I486" s="322"/>
      <c r="J486" s="322"/>
      <c r="K486" s="322"/>
      <c r="L486" s="322"/>
      <c r="M486" s="322"/>
      <c r="N486" s="322"/>
      <c r="P486" s="322"/>
    </row>
    <row r="487" spans="8:16" s="357" customFormat="1" x14ac:dyDescent="0.25">
      <c r="H487" s="322"/>
      <c r="I487" s="322"/>
      <c r="J487" s="322"/>
      <c r="K487" s="322"/>
      <c r="L487" s="322"/>
      <c r="M487" s="322"/>
      <c r="N487" s="322"/>
      <c r="P487" s="322"/>
    </row>
    <row r="488" spans="8:16" s="357" customFormat="1" x14ac:dyDescent="0.25">
      <c r="H488" s="322"/>
      <c r="I488" s="322"/>
      <c r="J488" s="322"/>
      <c r="K488" s="322"/>
      <c r="L488" s="322"/>
      <c r="M488" s="322"/>
      <c r="N488" s="322"/>
      <c r="P488" s="322"/>
    </row>
    <row r="489" spans="8:16" s="357" customFormat="1" x14ac:dyDescent="0.25">
      <c r="H489" s="322"/>
      <c r="I489" s="322"/>
      <c r="J489" s="322"/>
      <c r="K489" s="322"/>
      <c r="L489" s="322"/>
      <c r="M489" s="322"/>
      <c r="N489" s="322"/>
      <c r="P489" s="322"/>
    </row>
    <row r="490" spans="8:16" s="357" customFormat="1" x14ac:dyDescent="0.25">
      <c r="H490" s="322"/>
      <c r="I490" s="322"/>
      <c r="J490" s="322"/>
      <c r="K490" s="322"/>
      <c r="L490" s="322"/>
      <c r="M490" s="322"/>
      <c r="N490" s="322"/>
      <c r="P490" s="322"/>
    </row>
    <row r="491" spans="8:16" s="357" customFormat="1" x14ac:dyDescent="0.25">
      <c r="H491" s="322"/>
      <c r="I491" s="322"/>
      <c r="J491" s="322"/>
      <c r="K491" s="322"/>
      <c r="L491" s="322"/>
      <c r="M491" s="322"/>
      <c r="N491" s="322"/>
      <c r="P491" s="322"/>
    </row>
    <row r="492" spans="8:16" s="357" customFormat="1" x14ac:dyDescent="0.25">
      <c r="H492" s="322"/>
      <c r="I492" s="322"/>
      <c r="J492" s="322"/>
      <c r="K492" s="322"/>
      <c r="L492" s="322"/>
      <c r="M492" s="322"/>
      <c r="N492" s="322"/>
      <c r="P492" s="322"/>
    </row>
    <row r="493" spans="8:16" s="357" customFormat="1" x14ac:dyDescent="0.25">
      <c r="H493" s="322"/>
      <c r="I493" s="322"/>
      <c r="J493" s="322"/>
      <c r="K493" s="322"/>
      <c r="L493" s="322"/>
      <c r="M493" s="322"/>
      <c r="N493" s="322"/>
      <c r="P493" s="322"/>
    </row>
    <row r="494" spans="8:16" s="357" customFormat="1" x14ac:dyDescent="0.25">
      <c r="H494" s="322"/>
      <c r="I494" s="322"/>
      <c r="J494" s="322"/>
      <c r="K494" s="322"/>
      <c r="L494" s="322"/>
      <c r="M494" s="322"/>
      <c r="N494" s="322"/>
      <c r="P494" s="322"/>
    </row>
    <row r="495" spans="8:16" s="357" customFormat="1" x14ac:dyDescent="0.25">
      <c r="H495" s="322"/>
      <c r="I495" s="322"/>
      <c r="J495" s="322"/>
      <c r="K495" s="322"/>
      <c r="L495" s="322"/>
      <c r="M495" s="322"/>
      <c r="N495" s="322"/>
      <c r="P495" s="322"/>
    </row>
    <row r="496" spans="8:16" s="357" customFormat="1" x14ac:dyDescent="0.25">
      <c r="H496" s="322"/>
      <c r="I496" s="322"/>
      <c r="J496" s="322"/>
      <c r="K496" s="322"/>
      <c r="L496" s="322"/>
      <c r="M496" s="322"/>
      <c r="N496" s="322"/>
      <c r="P496" s="322"/>
    </row>
    <row r="497" spans="8:16" s="357" customFormat="1" x14ac:dyDescent="0.25">
      <c r="H497" s="322"/>
      <c r="I497" s="322"/>
      <c r="J497" s="322"/>
      <c r="K497" s="322"/>
      <c r="L497" s="322"/>
      <c r="M497" s="322"/>
      <c r="N497" s="322"/>
      <c r="P497" s="322"/>
    </row>
    <row r="498" spans="8:16" s="357" customFormat="1" x14ac:dyDescent="0.25">
      <c r="H498" s="322"/>
      <c r="I498" s="322"/>
      <c r="J498" s="322"/>
      <c r="K498" s="322"/>
      <c r="L498" s="322"/>
      <c r="M498" s="322"/>
      <c r="N498" s="322"/>
      <c r="P498" s="322"/>
    </row>
    <row r="499" spans="8:16" s="357" customFormat="1" x14ac:dyDescent="0.25">
      <c r="H499" s="322"/>
      <c r="I499" s="322"/>
      <c r="J499" s="322"/>
      <c r="K499" s="322"/>
      <c r="L499" s="322"/>
      <c r="M499" s="322"/>
      <c r="N499" s="322"/>
      <c r="P499" s="322"/>
    </row>
    <row r="500" spans="8:16" s="357" customFormat="1" x14ac:dyDescent="0.25">
      <c r="H500" s="322"/>
      <c r="I500" s="322"/>
      <c r="J500" s="322"/>
      <c r="K500" s="322"/>
      <c r="L500" s="322"/>
      <c r="M500" s="322"/>
      <c r="N500" s="322"/>
      <c r="P500" s="322"/>
    </row>
    <row r="501" spans="8:16" s="357" customFormat="1" x14ac:dyDescent="0.25">
      <c r="H501" s="322"/>
      <c r="I501" s="322"/>
      <c r="J501" s="322"/>
      <c r="K501" s="322"/>
      <c r="L501" s="322"/>
      <c r="M501" s="322"/>
      <c r="N501" s="322"/>
      <c r="P501" s="322"/>
    </row>
    <row r="502" spans="8:16" s="357" customFormat="1" x14ac:dyDescent="0.25">
      <c r="H502" s="322"/>
      <c r="I502" s="322"/>
      <c r="J502" s="322"/>
      <c r="K502" s="322"/>
      <c r="L502" s="322"/>
      <c r="M502" s="322"/>
      <c r="N502" s="322"/>
      <c r="P502" s="322"/>
    </row>
    <row r="503" spans="8:16" s="357" customFormat="1" x14ac:dyDescent="0.25">
      <c r="H503" s="322"/>
      <c r="I503" s="322"/>
      <c r="J503" s="322"/>
      <c r="K503" s="322"/>
      <c r="L503" s="322"/>
      <c r="M503" s="322"/>
      <c r="N503" s="322"/>
      <c r="P503" s="322"/>
    </row>
    <row r="504" spans="8:16" s="357" customFormat="1" x14ac:dyDescent="0.25">
      <c r="H504" s="322"/>
      <c r="I504" s="322"/>
      <c r="J504" s="322"/>
      <c r="K504" s="322"/>
      <c r="L504" s="322"/>
      <c r="M504" s="322"/>
      <c r="N504" s="322"/>
      <c r="P504" s="322"/>
    </row>
    <row r="505" spans="8:16" s="357" customFormat="1" x14ac:dyDescent="0.25">
      <c r="H505" s="322"/>
      <c r="I505" s="322"/>
      <c r="J505" s="322"/>
      <c r="K505" s="322"/>
      <c r="L505" s="322"/>
      <c r="M505" s="322"/>
      <c r="N505" s="322"/>
      <c r="P505" s="322"/>
    </row>
    <row r="506" spans="8:16" s="357" customFormat="1" x14ac:dyDescent="0.25">
      <c r="H506" s="322"/>
      <c r="I506" s="322"/>
      <c r="J506" s="322"/>
      <c r="K506" s="322"/>
      <c r="L506" s="322"/>
      <c r="M506" s="322"/>
      <c r="N506" s="322"/>
      <c r="P506" s="322"/>
    </row>
    <row r="507" spans="8:16" s="357" customFormat="1" x14ac:dyDescent="0.25">
      <c r="H507" s="322"/>
      <c r="I507" s="322"/>
      <c r="J507" s="322"/>
      <c r="K507" s="322"/>
      <c r="L507" s="322"/>
      <c r="M507" s="322"/>
      <c r="N507" s="322"/>
      <c r="P507" s="322"/>
    </row>
    <row r="508" spans="8:16" s="357" customFormat="1" x14ac:dyDescent="0.25">
      <c r="H508" s="322"/>
      <c r="I508" s="322"/>
      <c r="J508" s="322"/>
      <c r="K508" s="322"/>
      <c r="L508" s="322"/>
      <c r="M508" s="322"/>
      <c r="N508" s="322"/>
      <c r="P508" s="322"/>
    </row>
    <row r="509" spans="8:16" s="357" customFormat="1" x14ac:dyDescent="0.25">
      <c r="H509" s="322"/>
      <c r="I509" s="322"/>
      <c r="J509" s="322"/>
      <c r="K509" s="322"/>
      <c r="L509" s="322"/>
      <c r="M509" s="322"/>
      <c r="N509" s="322"/>
      <c r="P509" s="322"/>
    </row>
    <row r="510" spans="8:16" s="357" customFormat="1" x14ac:dyDescent="0.25">
      <c r="H510" s="322"/>
      <c r="I510" s="322"/>
      <c r="J510" s="322"/>
      <c r="K510" s="322"/>
      <c r="L510" s="322"/>
      <c r="M510" s="322"/>
      <c r="N510" s="322"/>
      <c r="P510" s="322"/>
    </row>
    <row r="511" spans="8:16" s="357" customFormat="1" x14ac:dyDescent="0.25">
      <c r="H511" s="322"/>
      <c r="I511" s="322"/>
      <c r="J511" s="322"/>
      <c r="K511" s="322"/>
      <c r="L511" s="322"/>
      <c r="M511" s="322"/>
      <c r="N511" s="322"/>
      <c r="P511" s="322"/>
    </row>
    <row r="512" spans="8:16" s="357" customFormat="1" x14ac:dyDescent="0.25">
      <c r="H512" s="322"/>
      <c r="I512" s="322"/>
      <c r="J512" s="322"/>
      <c r="K512" s="322"/>
      <c r="L512" s="322"/>
      <c r="M512" s="322"/>
      <c r="N512" s="322"/>
      <c r="P512" s="322"/>
    </row>
    <row r="513" spans="8:16" s="357" customFormat="1" x14ac:dyDescent="0.25">
      <c r="H513" s="322"/>
      <c r="I513" s="322"/>
      <c r="J513" s="322"/>
      <c r="K513" s="322"/>
      <c r="L513" s="322"/>
      <c r="M513" s="322"/>
      <c r="N513" s="322"/>
      <c r="P513" s="322"/>
    </row>
    <row r="514" spans="8:16" s="357" customFormat="1" x14ac:dyDescent="0.25">
      <c r="H514" s="322"/>
      <c r="I514" s="322"/>
      <c r="J514" s="322"/>
      <c r="K514" s="322"/>
      <c r="L514" s="322"/>
      <c r="M514" s="322"/>
      <c r="N514" s="322"/>
      <c r="P514" s="322"/>
    </row>
    <row r="515" spans="8:16" s="357" customFormat="1" x14ac:dyDescent="0.25">
      <c r="H515" s="322"/>
      <c r="I515" s="322"/>
      <c r="J515" s="322"/>
      <c r="K515" s="322"/>
      <c r="L515" s="322"/>
      <c r="M515" s="322"/>
      <c r="N515" s="322"/>
      <c r="P515" s="322"/>
    </row>
    <row r="516" spans="8:16" s="357" customFormat="1" x14ac:dyDescent="0.25">
      <c r="H516" s="322"/>
      <c r="I516" s="322"/>
      <c r="J516" s="322"/>
      <c r="K516" s="322"/>
      <c r="L516" s="322"/>
      <c r="M516" s="322"/>
      <c r="N516" s="322"/>
      <c r="P516" s="322"/>
    </row>
    <row r="517" spans="8:16" s="357" customFormat="1" x14ac:dyDescent="0.25">
      <c r="H517" s="322"/>
      <c r="I517" s="322"/>
      <c r="J517" s="322"/>
      <c r="K517" s="322"/>
      <c r="L517" s="322"/>
      <c r="M517" s="322"/>
      <c r="N517" s="322"/>
      <c r="P517" s="322"/>
    </row>
    <row r="518" spans="8:16" s="357" customFormat="1" x14ac:dyDescent="0.25">
      <c r="H518" s="322"/>
      <c r="I518" s="322"/>
      <c r="J518" s="322"/>
      <c r="K518" s="322"/>
      <c r="L518" s="322"/>
      <c r="M518" s="322"/>
      <c r="N518" s="322"/>
      <c r="P518" s="322"/>
    </row>
    <row r="519" spans="8:16" s="357" customFormat="1" x14ac:dyDescent="0.25">
      <c r="H519" s="322"/>
      <c r="I519" s="322"/>
      <c r="J519" s="322"/>
      <c r="K519" s="322"/>
      <c r="L519" s="322"/>
      <c r="M519" s="322"/>
      <c r="N519" s="322"/>
      <c r="P519" s="322"/>
    </row>
    <row r="520" spans="8:16" s="357" customFormat="1" x14ac:dyDescent="0.25">
      <c r="H520" s="322"/>
      <c r="I520" s="322"/>
      <c r="J520" s="322"/>
      <c r="K520" s="322"/>
      <c r="L520" s="322"/>
      <c r="M520" s="322"/>
      <c r="N520" s="322"/>
      <c r="P520" s="322"/>
    </row>
    <row r="521" spans="8:16" s="357" customFormat="1" x14ac:dyDescent="0.25">
      <c r="H521" s="322"/>
      <c r="I521" s="322"/>
      <c r="J521" s="322"/>
      <c r="K521" s="322"/>
      <c r="L521" s="322"/>
      <c r="M521" s="322"/>
      <c r="N521" s="322"/>
      <c r="P521" s="322"/>
    </row>
    <row r="522" spans="8:16" s="357" customFormat="1" x14ac:dyDescent="0.25">
      <c r="H522" s="322"/>
      <c r="I522" s="322"/>
      <c r="J522" s="322"/>
      <c r="K522" s="322"/>
      <c r="L522" s="322"/>
      <c r="M522" s="322"/>
      <c r="N522" s="322"/>
      <c r="P522" s="322"/>
    </row>
    <row r="523" spans="8:16" s="357" customFormat="1" x14ac:dyDescent="0.25">
      <c r="H523" s="322"/>
      <c r="I523" s="322"/>
      <c r="J523" s="322"/>
      <c r="K523" s="322"/>
      <c r="L523" s="322"/>
      <c r="M523" s="322"/>
      <c r="N523" s="322"/>
      <c r="P523" s="322"/>
    </row>
    <row r="524" spans="8:16" s="357" customFormat="1" x14ac:dyDescent="0.25">
      <c r="H524" s="322"/>
      <c r="I524" s="322"/>
      <c r="J524" s="322"/>
      <c r="K524" s="322"/>
      <c r="L524" s="322"/>
      <c r="M524" s="322"/>
      <c r="N524" s="322"/>
      <c r="P524" s="322"/>
    </row>
    <row r="525" spans="8:16" s="357" customFormat="1" x14ac:dyDescent="0.25">
      <c r="H525" s="322"/>
      <c r="I525" s="322"/>
      <c r="J525" s="322"/>
      <c r="K525" s="322"/>
      <c r="L525" s="322"/>
      <c r="M525" s="322"/>
      <c r="N525" s="322"/>
      <c r="P525" s="322"/>
    </row>
    <row r="526" spans="8:16" s="357" customFormat="1" x14ac:dyDescent="0.25">
      <c r="H526" s="322"/>
      <c r="I526" s="322"/>
      <c r="J526" s="322"/>
      <c r="K526" s="322"/>
      <c r="L526" s="322"/>
      <c r="M526" s="322"/>
      <c r="N526" s="322"/>
      <c r="P526" s="322"/>
    </row>
    <row r="527" spans="8:16" s="357" customFormat="1" x14ac:dyDescent="0.25">
      <c r="H527" s="322"/>
      <c r="I527" s="322"/>
      <c r="J527" s="322"/>
      <c r="K527" s="322"/>
      <c r="L527" s="322"/>
      <c r="M527" s="322"/>
      <c r="N527" s="322"/>
      <c r="P527" s="322"/>
    </row>
    <row r="528" spans="8:16" s="357" customFormat="1" x14ac:dyDescent="0.25">
      <c r="H528" s="322"/>
      <c r="I528" s="322"/>
      <c r="J528" s="322"/>
      <c r="K528" s="322"/>
      <c r="L528" s="322"/>
      <c r="M528" s="322"/>
      <c r="N528" s="322"/>
      <c r="P528" s="322"/>
    </row>
    <row r="529" spans="8:16" s="357" customFormat="1" x14ac:dyDescent="0.25">
      <c r="H529" s="322"/>
      <c r="I529" s="322"/>
      <c r="J529" s="322"/>
      <c r="K529" s="322"/>
      <c r="L529" s="322"/>
      <c r="M529" s="322"/>
      <c r="N529" s="322"/>
      <c r="P529" s="322"/>
    </row>
    <row r="530" spans="8:16" s="357" customFormat="1" x14ac:dyDescent="0.25">
      <c r="H530" s="322"/>
      <c r="I530" s="322"/>
      <c r="J530" s="322"/>
      <c r="K530" s="322"/>
      <c r="L530" s="322"/>
      <c r="M530" s="322"/>
      <c r="N530" s="322"/>
      <c r="P530" s="322"/>
    </row>
    <row r="531" spans="8:16" s="357" customFormat="1" x14ac:dyDescent="0.25">
      <c r="H531" s="322"/>
      <c r="I531" s="322"/>
      <c r="J531" s="322"/>
      <c r="K531" s="322"/>
      <c r="L531" s="322"/>
      <c r="M531" s="322"/>
      <c r="N531" s="322"/>
      <c r="P531" s="322"/>
    </row>
    <row r="532" spans="8:16" s="357" customFormat="1" x14ac:dyDescent="0.25">
      <c r="H532" s="322"/>
      <c r="I532" s="322"/>
      <c r="J532" s="322"/>
      <c r="K532" s="322"/>
      <c r="L532" s="322"/>
      <c r="M532" s="322"/>
      <c r="N532" s="322"/>
      <c r="P532" s="322"/>
    </row>
    <row r="533" spans="8:16" s="357" customFormat="1" x14ac:dyDescent="0.25">
      <c r="H533" s="322"/>
      <c r="I533" s="322"/>
      <c r="J533" s="322"/>
      <c r="K533" s="322"/>
      <c r="L533" s="322"/>
      <c r="M533" s="322"/>
      <c r="N533" s="322"/>
      <c r="P533" s="322"/>
    </row>
    <row r="534" spans="8:16" s="357" customFormat="1" x14ac:dyDescent="0.25">
      <c r="H534" s="322"/>
      <c r="I534" s="322"/>
      <c r="J534" s="322"/>
      <c r="K534" s="322"/>
      <c r="L534" s="322"/>
      <c r="M534" s="322"/>
      <c r="N534" s="322"/>
      <c r="P534" s="322"/>
    </row>
    <row r="535" spans="8:16" s="357" customFormat="1" x14ac:dyDescent="0.25">
      <c r="H535" s="322"/>
      <c r="I535" s="322"/>
      <c r="J535" s="322"/>
      <c r="K535" s="322"/>
      <c r="L535" s="322"/>
      <c r="M535" s="322"/>
      <c r="N535" s="322"/>
      <c r="P535" s="322"/>
    </row>
    <row r="536" spans="8:16" s="357" customFormat="1" x14ac:dyDescent="0.25">
      <c r="H536" s="322"/>
      <c r="I536" s="322"/>
      <c r="J536" s="322"/>
      <c r="K536" s="322"/>
      <c r="L536" s="322"/>
      <c r="M536" s="322"/>
      <c r="N536" s="322"/>
      <c r="P536" s="322"/>
    </row>
    <row r="537" spans="8:16" s="357" customFormat="1" x14ac:dyDescent="0.25">
      <c r="H537" s="322"/>
      <c r="I537" s="322"/>
      <c r="J537" s="322"/>
      <c r="K537" s="322"/>
      <c r="L537" s="322"/>
      <c r="M537" s="322"/>
      <c r="N537" s="322"/>
      <c r="P537" s="322"/>
    </row>
    <row r="538" spans="8:16" s="357" customFormat="1" x14ac:dyDescent="0.25">
      <c r="H538" s="322"/>
      <c r="I538" s="322"/>
      <c r="J538" s="322"/>
      <c r="K538" s="322"/>
      <c r="L538" s="322"/>
      <c r="M538" s="322"/>
      <c r="N538" s="322"/>
      <c r="P538" s="322"/>
    </row>
    <row r="539" spans="8:16" s="357" customFormat="1" x14ac:dyDescent="0.25">
      <c r="H539" s="322"/>
      <c r="I539" s="322"/>
      <c r="J539" s="322"/>
      <c r="K539" s="322"/>
      <c r="L539" s="322"/>
      <c r="M539" s="322"/>
      <c r="N539" s="322"/>
      <c r="P539" s="322"/>
    </row>
    <row r="540" spans="8:16" s="357" customFormat="1" x14ac:dyDescent="0.25">
      <c r="H540" s="322"/>
      <c r="I540" s="322"/>
      <c r="J540" s="322"/>
      <c r="K540" s="322"/>
      <c r="L540" s="322"/>
      <c r="M540" s="322"/>
      <c r="N540" s="322"/>
      <c r="P540" s="322"/>
    </row>
    <row r="541" spans="8:16" s="357" customFormat="1" x14ac:dyDescent="0.25">
      <c r="H541" s="322"/>
      <c r="I541" s="322"/>
      <c r="J541" s="322"/>
      <c r="K541" s="322"/>
      <c r="L541" s="322"/>
      <c r="M541" s="322"/>
      <c r="N541" s="322"/>
      <c r="P541" s="322"/>
    </row>
    <row r="542" spans="8:16" s="357" customFormat="1" x14ac:dyDescent="0.25">
      <c r="H542" s="322"/>
      <c r="I542" s="322"/>
      <c r="J542" s="322"/>
      <c r="K542" s="322"/>
      <c r="L542" s="322"/>
      <c r="M542" s="322"/>
      <c r="N542" s="322"/>
      <c r="P542" s="322"/>
    </row>
    <row r="543" spans="8:16" s="357" customFormat="1" x14ac:dyDescent="0.25">
      <c r="H543" s="322"/>
      <c r="I543" s="322"/>
      <c r="J543" s="322"/>
      <c r="K543" s="322"/>
      <c r="L543" s="322"/>
      <c r="M543" s="322"/>
      <c r="N543" s="322"/>
      <c r="P543" s="322"/>
    </row>
    <row r="544" spans="8:16" s="357" customFormat="1" x14ac:dyDescent="0.25">
      <c r="H544" s="322"/>
      <c r="I544" s="322"/>
      <c r="J544" s="322"/>
      <c r="K544" s="322"/>
      <c r="L544" s="322"/>
      <c r="M544" s="322"/>
      <c r="N544" s="322"/>
      <c r="P544" s="322"/>
    </row>
    <row r="545" spans="8:16" s="357" customFormat="1" x14ac:dyDescent="0.25">
      <c r="H545" s="322"/>
      <c r="I545" s="322"/>
      <c r="J545" s="322"/>
      <c r="K545" s="322"/>
      <c r="L545" s="322"/>
      <c r="M545" s="322"/>
      <c r="N545" s="322"/>
      <c r="P545" s="322"/>
    </row>
    <row r="546" spans="8:16" s="357" customFormat="1" x14ac:dyDescent="0.25">
      <c r="H546" s="322"/>
      <c r="I546" s="322"/>
      <c r="J546" s="322"/>
      <c r="K546" s="322"/>
      <c r="L546" s="322"/>
      <c r="M546" s="322"/>
      <c r="N546" s="322"/>
      <c r="P546" s="322"/>
    </row>
    <row r="547" spans="8:16" s="357" customFormat="1" x14ac:dyDescent="0.25">
      <c r="H547" s="322"/>
      <c r="I547" s="322"/>
      <c r="J547" s="322"/>
      <c r="K547" s="322"/>
      <c r="L547" s="322"/>
      <c r="M547" s="322"/>
      <c r="N547" s="322"/>
      <c r="P547" s="322"/>
    </row>
    <row r="548" spans="8:16" s="357" customFormat="1" x14ac:dyDescent="0.25">
      <c r="H548" s="322"/>
      <c r="I548" s="322"/>
      <c r="J548" s="322"/>
      <c r="K548" s="322"/>
      <c r="L548" s="322"/>
      <c r="M548" s="322"/>
      <c r="N548" s="322"/>
      <c r="P548" s="322"/>
    </row>
    <row r="549" spans="8:16" s="357" customFormat="1" x14ac:dyDescent="0.25">
      <c r="H549" s="322"/>
      <c r="I549" s="322"/>
      <c r="J549" s="322"/>
      <c r="K549" s="322"/>
      <c r="L549" s="322"/>
      <c r="M549" s="322"/>
      <c r="N549" s="322"/>
      <c r="P549" s="322"/>
    </row>
    <row r="550" spans="8:16" s="357" customFormat="1" x14ac:dyDescent="0.25">
      <c r="H550" s="322"/>
      <c r="I550" s="322"/>
      <c r="J550" s="322"/>
      <c r="K550" s="322"/>
      <c r="L550" s="322"/>
      <c r="M550" s="322"/>
      <c r="N550" s="322"/>
      <c r="P550" s="322"/>
    </row>
    <row r="551" spans="8:16" s="357" customFormat="1" x14ac:dyDescent="0.25">
      <c r="H551" s="322"/>
      <c r="I551" s="322"/>
      <c r="J551" s="322"/>
      <c r="K551" s="322"/>
      <c r="L551" s="322"/>
      <c r="M551" s="322"/>
      <c r="N551" s="322"/>
      <c r="P551" s="322"/>
    </row>
    <row r="552" spans="8:16" s="357" customFormat="1" x14ac:dyDescent="0.25">
      <c r="H552" s="322"/>
      <c r="I552" s="322"/>
      <c r="J552" s="322"/>
      <c r="K552" s="322"/>
      <c r="L552" s="322"/>
      <c r="M552" s="322"/>
      <c r="N552" s="322"/>
      <c r="P552" s="322"/>
    </row>
    <row r="553" spans="8:16" s="357" customFormat="1" x14ac:dyDescent="0.25">
      <c r="H553" s="322"/>
      <c r="I553" s="322"/>
      <c r="J553" s="322"/>
      <c r="K553" s="322"/>
      <c r="L553" s="322"/>
      <c r="M553" s="322"/>
      <c r="N553" s="322"/>
      <c r="P553" s="322"/>
    </row>
    <row r="554" spans="8:16" s="357" customFormat="1" x14ac:dyDescent="0.25">
      <c r="H554" s="322"/>
      <c r="I554" s="322"/>
      <c r="J554" s="322"/>
      <c r="K554" s="322"/>
      <c r="L554" s="322"/>
      <c r="M554" s="322"/>
      <c r="N554" s="322"/>
      <c r="P554" s="322"/>
    </row>
    <row r="555" spans="8:16" s="357" customFormat="1" x14ac:dyDescent="0.25">
      <c r="H555" s="322"/>
      <c r="I555" s="322"/>
      <c r="J555" s="322"/>
      <c r="K555" s="322"/>
      <c r="L555" s="322"/>
      <c r="M555" s="322"/>
      <c r="N555" s="322"/>
      <c r="P555" s="322"/>
    </row>
    <row r="556" spans="8:16" s="357" customFormat="1" x14ac:dyDescent="0.25">
      <c r="H556" s="322"/>
      <c r="I556" s="322"/>
      <c r="J556" s="322"/>
      <c r="K556" s="322"/>
      <c r="L556" s="322"/>
      <c r="M556" s="322"/>
      <c r="N556" s="322"/>
      <c r="P556" s="322"/>
    </row>
    <row r="557" spans="8:16" s="357" customFormat="1" x14ac:dyDescent="0.25">
      <c r="H557" s="322"/>
      <c r="I557" s="322"/>
      <c r="J557" s="322"/>
      <c r="K557" s="322"/>
      <c r="L557" s="322"/>
      <c r="M557" s="322"/>
      <c r="N557" s="322"/>
      <c r="P557" s="322"/>
    </row>
    <row r="558" spans="8:16" s="357" customFormat="1" x14ac:dyDescent="0.25">
      <c r="H558" s="322"/>
      <c r="I558" s="322"/>
      <c r="J558" s="322"/>
      <c r="K558" s="322"/>
      <c r="L558" s="322"/>
      <c r="M558" s="322"/>
      <c r="N558" s="322"/>
      <c r="P558" s="322"/>
    </row>
    <row r="559" spans="8:16" s="357" customFormat="1" x14ac:dyDescent="0.25">
      <c r="H559" s="322"/>
      <c r="I559" s="322"/>
      <c r="J559" s="322"/>
      <c r="K559" s="322"/>
      <c r="L559" s="322"/>
      <c r="M559" s="322"/>
      <c r="N559" s="322"/>
      <c r="P559" s="322"/>
    </row>
    <row r="560" spans="8:16" s="357" customFormat="1" x14ac:dyDescent="0.25">
      <c r="H560" s="322"/>
      <c r="I560" s="322"/>
      <c r="J560" s="322"/>
      <c r="K560" s="322"/>
      <c r="L560" s="322"/>
      <c r="M560" s="322"/>
      <c r="N560" s="322"/>
      <c r="P560" s="322"/>
    </row>
    <row r="561" spans="8:16" s="357" customFormat="1" x14ac:dyDescent="0.25">
      <c r="H561" s="322"/>
      <c r="I561" s="322"/>
      <c r="J561" s="322"/>
      <c r="K561" s="322"/>
      <c r="L561" s="322"/>
      <c r="M561" s="322"/>
      <c r="N561" s="322"/>
      <c r="P561" s="322"/>
    </row>
    <row r="562" spans="8:16" s="357" customFormat="1" x14ac:dyDescent="0.25">
      <c r="H562" s="322"/>
      <c r="I562" s="322"/>
      <c r="J562" s="322"/>
      <c r="K562" s="322"/>
      <c r="L562" s="322"/>
      <c r="M562" s="322"/>
      <c r="N562" s="322"/>
      <c r="P562" s="322"/>
    </row>
    <row r="563" spans="8:16" s="357" customFormat="1" x14ac:dyDescent="0.25">
      <c r="H563" s="322"/>
      <c r="I563" s="322"/>
      <c r="J563" s="322"/>
      <c r="K563" s="322"/>
      <c r="L563" s="322"/>
      <c r="M563" s="322"/>
      <c r="N563" s="322"/>
      <c r="P563" s="322"/>
    </row>
    <row r="564" spans="8:16" s="357" customFormat="1" x14ac:dyDescent="0.25">
      <c r="H564" s="322"/>
      <c r="I564" s="322"/>
      <c r="J564" s="322"/>
      <c r="K564" s="322"/>
      <c r="L564" s="322"/>
      <c r="M564" s="322"/>
      <c r="N564" s="322"/>
      <c r="P564" s="322"/>
    </row>
    <row r="565" spans="8:16" s="357" customFormat="1" x14ac:dyDescent="0.25">
      <c r="H565" s="322"/>
      <c r="I565" s="322"/>
      <c r="J565" s="322"/>
      <c r="K565" s="322"/>
      <c r="L565" s="322"/>
      <c r="M565" s="322"/>
      <c r="N565" s="322"/>
      <c r="P565" s="322"/>
    </row>
    <row r="566" spans="8:16" s="357" customFormat="1" x14ac:dyDescent="0.25">
      <c r="H566" s="322"/>
      <c r="I566" s="322"/>
      <c r="J566" s="322"/>
      <c r="K566" s="322"/>
      <c r="L566" s="322"/>
      <c r="M566" s="322"/>
      <c r="N566" s="322"/>
      <c r="P566" s="322"/>
    </row>
    <row r="567" spans="8:16" s="357" customFormat="1" x14ac:dyDescent="0.25">
      <c r="H567" s="322"/>
      <c r="I567" s="322"/>
      <c r="J567" s="322"/>
      <c r="K567" s="322"/>
      <c r="L567" s="322"/>
      <c r="M567" s="322"/>
      <c r="N567" s="322"/>
      <c r="P567" s="322"/>
    </row>
    <row r="568" spans="8:16" s="357" customFormat="1" x14ac:dyDescent="0.25">
      <c r="H568" s="322"/>
      <c r="I568" s="322"/>
      <c r="J568" s="322"/>
      <c r="K568" s="322"/>
      <c r="L568" s="322"/>
      <c r="M568" s="322"/>
      <c r="N568" s="322"/>
      <c r="P568" s="322"/>
    </row>
    <row r="569" spans="8:16" s="357" customFormat="1" x14ac:dyDescent="0.25">
      <c r="H569" s="322"/>
      <c r="I569" s="322"/>
      <c r="J569" s="322"/>
      <c r="K569" s="322"/>
      <c r="L569" s="322"/>
      <c r="M569" s="322"/>
      <c r="N569" s="322"/>
      <c r="P569" s="322"/>
    </row>
    <row r="570" spans="8:16" s="357" customFormat="1" x14ac:dyDescent="0.25">
      <c r="H570" s="322"/>
      <c r="I570" s="322"/>
      <c r="J570" s="322"/>
      <c r="K570" s="322"/>
      <c r="L570" s="322"/>
      <c r="M570" s="322"/>
      <c r="N570" s="322"/>
      <c r="P570" s="322"/>
    </row>
    <row r="571" spans="8:16" s="357" customFormat="1" x14ac:dyDescent="0.25">
      <c r="H571" s="322"/>
      <c r="I571" s="322"/>
      <c r="J571" s="322"/>
      <c r="K571" s="322"/>
      <c r="L571" s="322"/>
      <c r="M571" s="322"/>
      <c r="N571" s="322"/>
      <c r="P571" s="322"/>
    </row>
    <row r="572" spans="8:16" s="357" customFormat="1" x14ac:dyDescent="0.25">
      <c r="H572" s="322"/>
      <c r="I572" s="322"/>
      <c r="J572" s="322"/>
      <c r="K572" s="322"/>
      <c r="L572" s="322"/>
      <c r="M572" s="322"/>
      <c r="N572" s="322"/>
      <c r="P572" s="322"/>
    </row>
    <row r="573" spans="8:16" s="357" customFormat="1" x14ac:dyDescent="0.25">
      <c r="H573" s="322"/>
      <c r="I573" s="322"/>
      <c r="J573" s="322"/>
      <c r="K573" s="322"/>
      <c r="L573" s="322"/>
      <c r="M573" s="322"/>
      <c r="N573" s="322"/>
      <c r="P573" s="322"/>
    </row>
    <row r="574" spans="8:16" s="357" customFormat="1" x14ac:dyDescent="0.25">
      <c r="H574" s="322"/>
      <c r="I574" s="322"/>
      <c r="J574" s="322"/>
      <c r="K574" s="322"/>
      <c r="L574" s="322"/>
      <c r="M574" s="322"/>
      <c r="N574" s="322"/>
      <c r="P574" s="322"/>
    </row>
    <row r="575" spans="8:16" s="357" customFormat="1" x14ac:dyDescent="0.25">
      <c r="H575" s="322"/>
      <c r="I575" s="322"/>
      <c r="J575" s="322"/>
      <c r="K575" s="322"/>
      <c r="L575" s="322"/>
      <c r="M575" s="322"/>
      <c r="N575" s="322"/>
      <c r="P575" s="322"/>
    </row>
    <row r="576" spans="8:16" s="357" customFormat="1" x14ac:dyDescent="0.25">
      <c r="H576" s="322"/>
      <c r="I576" s="322"/>
      <c r="J576" s="322"/>
      <c r="K576" s="322"/>
      <c r="L576" s="322"/>
      <c r="M576" s="322"/>
      <c r="N576" s="322"/>
      <c r="P576" s="322"/>
    </row>
    <row r="577" spans="8:16" s="357" customFormat="1" x14ac:dyDescent="0.25">
      <c r="H577" s="322"/>
      <c r="I577" s="322"/>
      <c r="J577" s="322"/>
      <c r="K577" s="322"/>
      <c r="L577" s="322"/>
      <c r="M577" s="322"/>
      <c r="N577" s="322"/>
      <c r="P577" s="322"/>
    </row>
    <row r="578" spans="8:16" s="357" customFormat="1" x14ac:dyDescent="0.25">
      <c r="H578" s="322"/>
      <c r="I578" s="322"/>
      <c r="J578" s="322"/>
      <c r="K578" s="322"/>
      <c r="L578" s="322"/>
      <c r="M578" s="322"/>
      <c r="N578" s="322"/>
      <c r="P578" s="322"/>
    </row>
    <row r="579" spans="8:16" s="357" customFormat="1" x14ac:dyDescent="0.25">
      <c r="H579" s="322"/>
      <c r="I579" s="322"/>
      <c r="J579" s="322"/>
      <c r="K579" s="322"/>
      <c r="L579" s="322"/>
      <c r="M579" s="322"/>
      <c r="N579" s="322"/>
      <c r="P579" s="322"/>
    </row>
    <row r="580" spans="8:16" s="357" customFormat="1" x14ac:dyDescent="0.25">
      <c r="H580" s="322"/>
      <c r="I580" s="322"/>
      <c r="J580" s="322"/>
      <c r="K580" s="322"/>
      <c r="L580" s="322"/>
      <c r="M580" s="322"/>
      <c r="N580" s="322"/>
      <c r="P580" s="322"/>
    </row>
    <row r="581" spans="8:16" s="357" customFormat="1" x14ac:dyDescent="0.25">
      <c r="H581" s="322"/>
      <c r="I581" s="322"/>
      <c r="J581" s="322"/>
      <c r="K581" s="322"/>
      <c r="L581" s="322"/>
      <c r="M581" s="322"/>
      <c r="N581" s="322"/>
      <c r="P581" s="322"/>
    </row>
    <row r="582" spans="8:16" s="357" customFormat="1" x14ac:dyDescent="0.25">
      <c r="H582" s="322"/>
      <c r="I582" s="322"/>
      <c r="J582" s="322"/>
      <c r="K582" s="322"/>
      <c r="L582" s="322"/>
      <c r="M582" s="322"/>
      <c r="N582" s="322"/>
      <c r="P582" s="322"/>
    </row>
    <row r="583" spans="8:16" s="357" customFormat="1" x14ac:dyDescent="0.25">
      <c r="H583" s="322"/>
      <c r="I583" s="322"/>
      <c r="J583" s="322"/>
      <c r="K583" s="322"/>
      <c r="L583" s="322"/>
      <c r="M583" s="322"/>
      <c r="N583" s="322"/>
      <c r="P583" s="322"/>
    </row>
    <row r="584" spans="8:16" s="357" customFormat="1" x14ac:dyDescent="0.25">
      <c r="H584" s="322"/>
      <c r="I584" s="322"/>
      <c r="J584" s="322"/>
      <c r="K584" s="322"/>
      <c r="L584" s="322"/>
      <c r="M584" s="322"/>
      <c r="N584" s="322"/>
      <c r="P584" s="322"/>
    </row>
    <row r="585" spans="8:16" s="357" customFormat="1" x14ac:dyDescent="0.25">
      <c r="H585" s="322"/>
      <c r="I585" s="322"/>
      <c r="J585" s="322"/>
      <c r="K585" s="322"/>
      <c r="L585" s="322"/>
      <c r="M585" s="322"/>
      <c r="N585" s="322"/>
      <c r="P585" s="322"/>
    </row>
    <row r="586" spans="8:16" s="357" customFormat="1" x14ac:dyDescent="0.25">
      <c r="H586" s="322"/>
      <c r="I586" s="322"/>
      <c r="J586" s="322"/>
      <c r="K586" s="322"/>
      <c r="L586" s="322"/>
      <c r="M586" s="322"/>
      <c r="N586" s="322"/>
      <c r="P586" s="322"/>
    </row>
    <row r="587" spans="8:16" s="357" customFormat="1" x14ac:dyDescent="0.25">
      <c r="H587" s="322"/>
      <c r="I587" s="322"/>
      <c r="J587" s="322"/>
      <c r="K587" s="322"/>
      <c r="L587" s="322"/>
      <c r="M587" s="322"/>
      <c r="N587" s="322"/>
      <c r="P587" s="322"/>
    </row>
    <row r="588" spans="8:16" s="357" customFormat="1" x14ac:dyDescent="0.25">
      <c r="H588" s="322"/>
      <c r="I588" s="322"/>
      <c r="J588" s="322"/>
      <c r="K588" s="322"/>
      <c r="L588" s="322"/>
      <c r="M588" s="322"/>
      <c r="N588" s="322"/>
      <c r="P588" s="322"/>
    </row>
    <row r="589" spans="8:16" s="357" customFormat="1" x14ac:dyDescent="0.25">
      <c r="H589" s="322"/>
      <c r="I589" s="322"/>
      <c r="J589" s="322"/>
      <c r="K589" s="322"/>
      <c r="L589" s="322"/>
      <c r="M589" s="322"/>
      <c r="N589" s="322"/>
      <c r="P589" s="322"/>
    </row>
    <row r="590" spans="8:16" s="357" customFormat="1" x14ac:dyDescent="0.25">
      <c r="H590" s="322"/>
      <c r="I590" s="322"/>
      <c r="J590" s="322"/>
      <c r="K590" s="322"/>
      <c r="L590" s="322"/>
      <c r="M590" s="322"/>
      <c r="N590" s="322"/>
      <c r="P590" s="322"/>
    </row>
    <row r="591" spans="8:16" s="357" customFormat="1" x14ac:dyDescent="0.25">
      <c r="H591" s="322"/>
      <c r="I591" s="322"/>
      <c r="J591" s="322"/>
      <c r="K591" s="322"/>
      <c r="L591" s="322"/>
      <c r="M591" s="322"/>
      <c r="N591" s="322"/>
      <c r="P591" s="322"/>
    </row>
    <row r="592" spans="8:16" s="357" customFormat="1" x14ac:dyDescent="0.25">
      <c r="H592" s="322"/>
      <c r="I592" s="322"/>
      <c r="J592" s="322"/>
      <c r="K592" s="322"/>
      <c r="L592" s="322"/>
      <c r="M592" s="322"/>
      <c r="N592" s="322"/>
      <c r="P592" s="322"/>
    </row>
    <row r="593" spans="8:16" s="357" customFormat="1" x14ac:dyDescent="0.25">
      <c r="H593" s="322"/>
      <c r="I593" s="322"/>
      <c r="J593" s="322"/>
      <c r="K593" s="322"/>
      <c r="L593" s="322"/>
      <c r="M593" s="322"/>
      <c r="N593" s="322"/>
      <c r="P593" s="322"/>
    </row>
    <row r="594" spans="8:16" s="357" customFormat="1" x14ac:dyDescent="0.25">
      <c r="H594" s="322"/>
      <c r="I594" s="322"/>
      <c r="J594" s="322"/>
      <c r="K594" s="322"/>
      <c r="L594" s="322"/>
      <c r="M594" s="322"/>
      <c r="N594" s="322"/>
      <c r="P594" s="322"/>
    </row>
    <row r="595" spans="8:16" s="357" customFormat="1" x14ac:dyDescent="0.25">
      <c r="H595" s="322"/>
      <c r="I595" s="322"/>
      <c r="J595" s="322"/>
      <c r="K595" s="322"/>
      <c r="L595" s="322"/>
      <c r="M595" s="322"/>
      <c r="N595" s="322"/>
      <c r="P595" s="322"/>
    </row>
    <row r="596" spans="8:16" s="357" customFormat="1" x14ac:dyDescent="0.25">
      <c r="H596" s="322"/>
      <c r="I596" s="322"/>
      <c r="J596" s="322"/>
      <c r="K596" s="322"/>
      <c r="L596" s="322"/>
      <c r="M596" s="322"/>
      <c r="N596" s="322"/>
      <c r="P596" s="322"/>
    </row>
    <row r="597" spans="8:16" s="357" customFormat="1" x14ac:dyDescent="0.25">
      <c r="H597" s="322"/>
      <c r="I597" s="322"/>
      <c r="J597" s="322"/>
      <c r="K597" s="322"/>
      <c r="L597" s="322"/>
      <c r="M597" s="322"/>
      <c r="N597" s="322"/>
      <c r="P597" s="322"/>
    </row>
    <row r="598" spans="8:16" s="357" customFormat="1" x14ac:dyDescent="0.25">
      <c r="H598" s="322"/>
      <c r="I598" s="322"/>
      <c r="J598" s="322"/>
      <c r="K598" s="322"/>
      <c r="L598" s="322"/>
      <c r="M598" s="322"/>
      <c r="N598" s="322"/>
      <c r="P598" s="322"/>
    </row>
    <row r="599" spans="8:16" s="357" customFormat="1" x14ac:dyDescent="0.25">
      <c r="H599" s="322"/>
      <c r="I599" s="322"/>
      <c r="J599" s="322"/>
      <c r="K599" s="322"/>
      <c r="L599" s="322"/>
      <c r="M599" s="322"/>
      <c r="N599" s="322"/>
      <c r="P599" s="322"/>
    </row>
    <row r="600" spans="8:16" s="357" customFormat="1" x14ac:dyDescent="0.25">
      <c r="H600" s="322"/>
      <c r="I600" s="322"/>
      <c r="J600" s="322"/>
      <c r="K600" s="322"/>
      <c r="L600" s="322"/>
      <c r="M600" s="322"/>
      <c r="N600" s="322"/>
      <c r="P600" s="322"/>
    </row>
    <row r="601" spans="8:16" s="357" customFormat="1" x14ac:dyDescent="0.25">
      <c r="H601" s="322"/>
      <c r="I601" s="322"/>
      <c r="J601" s="322"/>
      <c r="K601" s="322"/>
      <c r="L601" s="322"/>
      <c r="M601" s="322"/>
      <c r="N601" s="322"/>
      <c r="P601" s="322"/>
    </row>
    <row r="602" spans="8:16" s="357" customFormat="1" x14ac:dyDescent="0.25">
      <c r="H602" s="322"/>
      <c r="I602" s="322"/>
      <c r="J602" s="322"/>
      <c r="K602" s="322"/>
      <c r="L602" s="322"/>
      <c r="M602" s="322"/>
      <c r="N602" s="322"/>
      <c r="P602" s="322"/>
    </row>
    <row r="603" spans="8:16" s="357" customFormat="1" x14ac:dyDescent="0.25">
      <c r="H603" s="322"/>
      <c r="I603" s="322"/>
      <c r="J603" s="322"/>
      <c r="K603" s="322"/>
      <c r="L603" s="322"/>
      <c r="M603" s="322"/>
      <c r="N603" s="322"/>
      <c r="P603" s="322"/>
    </row>
    <row r="604" spans="8:16" s="357" customFormat="1" x14ac:dyDescent="0.25">
      <c r="H604" s="322"/>
      <c r="I604" s="322"/>
      <c r="J604" s="322"/>
      <c r="K604" s="322"/>
      <c r="L604" s="322"/>
      <c r="M604" s="322"/>
      <c r="N604" s="322"/>
      <c r="P604" s="322"/>
    </row>
    <row r="605" spans="8:16" s="357" customFormat="1" x14ac:dyDescent="0.25">
      <c r="H605" s="322"/>
      <c r="I605" s="322"/>
      <c r="J605" s="322"/>
      <c r="K605" s="322"/>
      <c r="L605" s="322"/>
      <c r="M605" s="322"/>
      <c r="N605" s="322"/>
      <c r="P605" s="322"/>
    </row>
    <row r="606" spans="8:16" s="357" customFormat="1" x14ac:dyDescent="0.25">
      <c r="H606" s="322"/>
      <c r="I606" s="322"/>
      <c r="J606" s="322"/>
      <c r="K606" s="322"/>
      <c r="L606" s="322"/>
      <c r="M606" s="322"/>
      <c r="N606" s="322"/>
      <c r="P606" s="322"/>
    </row>
    <row r="607" spans="8:16" s="357" customFormat="1" x14ac:dyDescent="0.25">
      <c r="H607" s="322"/>
      <c r="I607" s="322"/>
      <c r="J607" s="322"/>
      <c r="K607" s="322"/>
      <c r="L607" s="322"/>
      <c r="M607" s="322"/>
      <c r="N607" s="322"/>
      <c r="P607" s="322"/>
    </row>
    <row r="608" spans="8:16" s="357" customFormat="1" x14ac:dyDescent="0.25">
      <c r="H608" s="322"/>
      <c r="I608" s="322"/>
      <c r="J608" s="322"/>
      <c r="K608" s="322"/>
      <c r="L608" s="322"/>
      <c r="M608" s="322"/>
      <c r="N608" s="322"/>
      <c r="P608" s="322"/>
    </row>
    <row r="609" spans="8:16" s="357" customFormat="1" x14ac:dyDescent="0.25">
      <c r="H609" s="322"/>
      <c r="I609" s="322"/>
      <c r="J609" s="322"/>
      <c r="K609" s="322"/>
      <c r="L609" s="322"/>
      <c r="M609" s="322"/>
      <c r="N609" s="322"/>
      <c r="P609" s="322"/>
    </row>
    <row r="610" spans="8:16" s="357" customFormat="1" x14ac:dyDescent="0.25">
      <c r="H610" s="322"/>
      <c r="I610" s="322"/>
      <c r="J610" s="322"/>
      <c r="K610" s="322"/>
      <c r="L610" s="322"/>
      <c r="M610" s="322"/>
      <c r="N610" s="322"/>
      <c r="P610" s="322"/>
    </row>
    <row r="611" spans="8:16" s="357" customFormat="1" x14ac:dyDescent="0.25">
      <c r="H611" s="322"/>
      <c r="I611" s="322"/>
      <c r="J611" s="322"/>
      <c r="K611" s="322"/>
      <c r="L611" s="322"/>
      <c r="M611" s="322"/>
      <c r="N611" s="322"/>
      <c r="P611" s="322"/>
    </row>
    <row r="612" spans="8:16" s="357" customFormat="1" x14ac:dyDescent="0.25">
      <c r="H612" s="322"/>
      <c r="I612" s="322"/>
      <c r="J612" s="322"/>
      <c r="K612" s="322"/>
      <c r="L612" s="322"/>
      <c r="M612" s="322"/>
      <c r="N612" s="322"/>
      <c r="P612" s="322"/>
    </row>
    <row r="613" spans="8:16" s="357" customFormat="1" x14ac:dyDescent="0.25">
      <c r="H613" s="322"/>
      <c r="I613" s="322"/>
      <c r="J613" s="322"/>
      <c r="K613" s="322"/>
      <c r="L613" s="322"/>
      <c r="M613" s="322"/>
      <c r="N613" s="322"/>
      <c r="P613" s="322"/>
    </row>
    <row r="614" spans="8:16" s="357" customFormat="1" x14ac:dyDescent="0.25">
      <c r="H614" s="322"/>
      <c r="I614" s="322"/>
      <c r="J614" s="322"/>
      <c r="K614" s="322"/>
      <c r="L614" s="322"/>
      <c r="M614" s="322"/>
      <c r="N614" s="322"/>
      <c r="P614" s="322"/>
    </row>
    <row r="615" spans="8:16" s="357" customFormat="1" x14ac:dyDescent="0.25">
      <c r="H615" s="322"/>
      <c r="I615" s="322"/>
      <c r="J615" s="322"/>
      <c r="K615" s="322"/>
      <c r="L615" s="322"/>
      <c r="M615" s="322"/>
      <c r="N615" s="322"/>
      <c r="P615" s="322"/>
    </row>
    <row r="616" spans="8:16" s="357" customFormat="1" x14ac:dyDescent="0.25">
      <c r="H616" s="322"/>
      <c r="I616" s="322"/>
      <c r="J616" s="322"/>
      <c r="K616" s="322"/>
      <c r="L616" s="322"/>
      <c r="M616" s="322"/>
      <c r="N616" s="322"/>
      <c r="P616" s="322"/>
    </row>
    <row r="617" spans="8:16" s="357" customFormat="1" x14ac:dyDescent="0.25">
      <c r="H617" s="322"/>
      <c r="I617" s="322"/>
      <c r="J617" s="322"/>
      <c r="K617" s="322"/>
      <c r="L617" s="322"/>
      <c r="M617" s="322"/>
      <c r="N617" s="322"/>
      <c r="P617" s="322"/>
    </row>
    <row r="618" spans="8:16" s="357" customFormat="1" x14ac:dyDescent="0.25">
      <c r="H618" s="322"/>
      <c r="I618" s="322"/>
      <c r="J618" s="322"/>
      <c r="K618" s="322"/>
      <c r="L618" s="322"/>
      <c r="M618" s="322"/>
      <c r="N618" s="322"/>
      <c r="P618" s="322"/>
    </row>
    <row r="619" spans="8:16" s="357" customFormat="1" x14ac:dyDescent="0.25">
      <c r="H619" s="322"/>
      <c r="I619" s="322"/>
      <c r="J619" s="322"/>
      <c r="K619" s="322"/>
      <c r="L619" s="322"/>
      <c r="M619" s="322"/>
      <c r="N619" s="322"/>
      <c r="P619" s="322"/>
    </row>
    <row r="620" spans="8:16" s="357" customFormat="1" x14ac:dyDescent="0.25">
      <c r="H620" s="322"/>
      <c r="I620" s="322"/>
      <c r="J620" s="322"/>
      <c r="K620" s="322"/>
      <c r="L620" s="322"/>
      <c r="M620" s="322"/>
      <c r="N620" s="322"/>
      <c r="P620" s="322"/>
    </row>
    <row r="621" spans="8:16" s="357" customFormat="1" x14ac:dyDescent="0.25">
      <c r="H621" s="322"/>
      <c r="I621" s="322"/>
      <c r="J621" s="322"/>
      <c r="K621" s="322"/>
      <c r="L621" s="322"/>
      <c r="M621" s="322"/>
      <c r="N621" s="322"/>
      <c r="P621" s="322"/>
    </row>
    <row r="622" spans="8:16" s="357" customFormat="1" x14ac:dyDescent="0.25">
      <c r="H622" s="322"/>
      <c r="I622" s="322"/>
      <c r="J622" s="322"/>
      <c r="K622" s="322"/>
      <c r="L622" s="322"/>
      <c r="M622" s="322"/>
      <c r="N622" s="322"/>
      <c r="P622" s="322"/>
    </row>
    <row r="623" spans="8:16" s="357" customFormat="1" x14ac:dyDescent="0.25">
      <c r="H623" s="322"/>
      <c r="I623" s="322"/>
      <c r="J623" s="322"/>
      <c r="K623" s="322"/>
      <c r="L623" s="322"/>
      <c r="M623" s="322"/>
      <c r="N623" s="322"/>
      <c r="P623" s="322"/>
    </row>
    <row r="624" spans="8:16" s="357" customFormat="1" x14ac:dyDescent="0.25">
      <c r="H624" s="322"/>
      <c r="I624" s="322"/>
      <c r="J624" s="322"/>
      <c r="K624" s="322"/>
      <c r="L624" s="322"/>
      <c r="M624" s="322"/>
      <c r="N624" s="322"/>
      <c r="P624" s="322"/>
    </row>
    <row r="625" spans="8:16" s="357" customFormat="1" x14ac:dyDescent="0.25">
      <c r="H625" s="322"/>
      <c r="I625" s="322"/>
      <c r="J625" s="322"/>
      <c r="K625" s="322"/>
      <c r="L625" s="322"/>
      <c r="M625" s="322"/>
      <c r="N625" s="322"/>
      <c r="P625" s="322"/>
    </row>
    <row r="626" spans="8:16" s="357" customFormat="1" x14ac:dyDescent="0.25">
      <c r="H626" s="322"/>
      <c r="I626" s="322"/>
      <c r="J626" s="322"/>
      <c r="K626" s="322"/>
      <c r="L626" s="322"/>
      <c r="M626" s="322"/>
      <c r="N626" s="322"/>
      <c r="P626" s="322"/>
    </row>
    <row r="627" spans="8:16" s="357" customFormat="1" x14ac:dyDescent="0.25">
      <c r="H627" s="322"/>
      <c r="I627" s="322"/>
      <c r="J627" s="322"/>
      <c r="K627" s="322"/>
      <c r="L627" s="322"/>
      <c r="M627" s="322"/>
      <c r="N627" s="322"/>
      <c r="P627" s="322"/>
    </row>
    <row r="628" spans="8:16" s="357" customFormat="1" x14ac:dyDescent="0.25">
      <c r="H628" s="322"/>
      <c r="I628" s="322"/>
      <c r="J628" s="322"/>
      <c r="K628" s="322"/>
      <c r="L628" s="322"/>
      <c r="M628" s="322"/>
      <c r="N628" s="322"/>
      <c r="P628" s="322"/>
    </row>
    <row r="629" spans="8:16" s="357" customFormat="1" x14ac:dyDescent="0.25">
      <c r="H629" s="322"/>
      <c r="I629" s="322"/>
      <c r="J629" s="322"/>
      <c r="K629" s="322"/>
      <c r="L629" s="322"/>
      <c r="M629" s="322"/>
      <c r="N629" s="322"/>
      <c r="P629" s="322"/>
    </row>
    <row r="630" spans="8:16" s="357" customFormat="1" x14ac:dyDescent="0.25">
      <c r="H630" s="322"/>
      <c r="I630" s="322"/>
      <c r="J630" s="322"/>
      <c r="K630" s="322"/>
      <c r="L630" s="322"/>
      <c r="M630" s="322"/>
      <c r="N630" s="322"/>
      <c r="P630" s="322"/>
    </row>
    <row r="631" spans="8:16" s="357" customFormat="1" x14ac:dyDescent="0.25">
      <c r="H631" s="322"/>
      <c r="I631" s="322"/>
      <c r="J631" s="322"/>
      <c r="K631" s="322"/>
      <c r="L631" s="322"/>
      <c r="M631" s="322"/>
      <c r="N631" s="322"/>
      <c r="P631" s="322"/>
    </row>
    <row r="632" spans="8:16" s="357" customFormat="1" x14ac:dyDescent="0.25">
      <c r="H632" s="322"/>
      <c r="I632" s="322"/>
      <c r="J632" s="322"/>
      <c r="K632" s="322"/>
      <c r="L632" s="322"/>
      <c r="M632" s="322"/>
      <c r="N632" s="322"/>
      <c r="P632" s="322"/>
    </row>
    <row r="633" spans="8:16" s="357" customFormat="1" x14ac:dyDescent="0.25">
      <c r="H633" s="322"/>
      <c r="I633" s="322"/>
      <c r="J633" s="322"/>
      <c r="K633" s="322"/>
      <c r="L633" s="322"/>
      <c r="M633" s="322"/>
      <c r="N633" s="322"/>
      <c r="P633" s="322"/>
    </row>
    <row r="634" spans="8:16" s="357" customFormat="1" x14ac:dyDescent="0.25">
      <c r="H634" s="322"/>
      <c r="I634" s="322"/>
      <c r="J634" s="322"/>
      <c r="K634" s="322"/>
      <c r="L634" s="322"/>
      <c r="M634" s="322"/>
      <c r="N634" s="322"/>
      <c r="P634" s="322"/>
    </row>
    <row r="635" spans="8:16" s="357" customFormat="1" x14ac:dyDescent="0.25">
      <c r="H635" s="322"/>
      <c r="I635" s="322"/>
      <c r="J635" s="322"/>
      <c r="K635" s="322"/>
      <c r="L635" s="322"/>
      <c r="M635" s="322"/>
      <c r="N635" s="322"/>
      <c r="P635" s="322"/>
    </row>
    <row r="636" spans="8:16" s="357" customFormat="1" x14ac:dyDescent="0.25">
      <c r="H636" s="322"/>
      <c r="I636" s="322"/>
      <c r="J636" s="322"/>
      <c r="K636" s="322"/>
      <c r="L636" s="322"/>
      <c r="M636" s="322"/>
      <c r="N636" s="322"/>
      <c r="P636" s="322"/>
    </row>
    <row r="637" spans="8:16" s="357" customFormat="1" x14ac:dyDescent="0.25">
      <c r="H637" s="322"/>
      <c r="I637" s="322"/>
      <c r="J637" s="322"/>
      <c r="K637" s="322"/>
      <c r="L637" s="322"/>
      <c r="M637" s="322"/>
      <c r="N637" s="322"/>
      <c r="P637" s="322"/>
    </row>
    <row r="638" spans="8:16" s="357" customFormat="1" x14ac:dyDescent="0.25">
      <c r="H638" s="322"/>
      <c r="I638" s="322"/>
      <c r="J638" s="322"/>
      <c r="K638" s="322"/>
      <c r="L638" s="322"/>
      <c r="M638" s="322"/>
      <c r="N638" s="322"/>
      <c r="P638" s="322"/>
    </row>
    <row r="639" spans="8:16" s="357" customFormat="1" x14ac:dyDescent="0.25">
      <c r="H639" s="322"/>
      <c r="I639" s="322"/>
      <c r="J639" s="322"/>
      <c r="K639" s="322"/>
      <c r="L639" s="322"/>
      <c r="M639" s="322"/>
      <c r="N639" s="322"/>
      <c r="P639" s="322"/>
    </row>
    <row r="640" spans="8:16" s="357" customFormat="1" x14ac:dyDescent="0.25">
      <c r="H640" s="322"/>
      <c r="I640" s="322"/>
      <c r="J640" s="322"/>
      <c r="K640" s="322"/>
      <c r="L640" s="322"/>
      <c r="M640" s="322"/>
      <c r="N640" s="322"/>
      <c r="P640" s="322"/>
    </row>
    <row r="641" spans="8:16" s="357" customFormat="1" x14ac:dyDescent="0.25">
      <c r="H641" s="322"/>
      <c r="I641" s="322"/>
      <c r="J641" s="322"/>
      <c r="K641" s="322"/>
      <c r="L641" s="322"/>
      <c r="M641" s="322"/>
      <c r="N641" s="322"/>
      <c r="P641" s="322"/>
    </row>
    <row r="642" spans="8:16" s="357" customFormat="1" x14ac:dyDescent="0.25">
      <c r="H642" s="322"/>
      <c r="I642" s="322"/>
      <c r="J642" s="322"/>
      <c r="K642" s="322"/>
      <c r="L642" s="322"/>
      <c r="M642" s="322"/>
      <c r="N642" s="322"/>
      <c r="P642" s="322"/>
    </row>
    <row r="643" spans="8:16" s="357" customFormat="1" x14ac:dyDescent="0.25">
      <c r="H643" s="322"/>
      <c r="I643" s="322"/>
      <c r="J643" s="322"/>
      <c r="K643" s="322"/>
      <c r="L643" s="322"/>
      <c r="M643" s="322"/>
      <c r="N643" s="322"/>
      <c r="P643" s="322"/>
    </row>
    <row r="644" spans="8:16" s="357" customFormat="1" x14ac:dyDescent="0.25">
      <c r="H644" s="322"/>
      <c r="I644" s="322"/>
      <c r="J644" s="322"/>
      <c r="K644" s="322"/>
      <c r="L644" s="322"/>
      <c r="M644" s="322"/>
      <c r="N644" s="322"/>
      <c r="P644" s="322"/>
    </row>
    <row r="645" spans="8:16" s="357" customFormat="1" x14ac:dyDescent="0.25">
      <c r="H645" s="322"/>
      <c r="I645" s="322"/>
      <c r="J645" s="322"/>
      <c r="K645" s="322"/>
      <c r="L645" s="322"/>
      <c r="M645" s="322"/>
      <c r="N645" s="322"/>
      <c r="P645" s="322"/>
    </row>
    <row r="646" spans="8:16" s="357" customFormat="1" x14ac:dyDescent="0.25">
      <c r="H646" s="322"/>
      <c r="I646" s="322"/>
      <c r="J646" s="322"/>
      <c r="K646" s="322"/>
      <c r="L646" s="322"/>
      <c r="M646" s="322"/>
      <c r="N646" s="322"/>
      <c r="P646" s="322"/>
    </row>
    <row r="647" spans="8:16" s="357" customFormat="1" x14ac:dyDescent="0.25">
      <c r="H647" s="322"/>
      <c r="I647" s="322"/>
      <c r="J647" s="322"/>
      <c r="K647" s="322"/>
      <c r="L647" s="322"/>
      <c r="M647" s="322"/>
      <c r="N647" s="322"/>
      <c r="P647" s="322"/>
    </row>
    <row r="648" spans="8:16" s="357" customFormat="1" x14ac:dyDescent="0.25">
      <c r="H648" s="322"/>
      <c r="I648" s="322"/>
      <c r="J648" s="322"/>
      <c r="K648" s="322"/>
      <c r="L648" s="322"/>
      <c r="M648" s="322"/>
      <c r="N648" s="322"/>
      <c r="P648" s="322"/>
    </row>
    <row r="649" spans="8:16" s="357" customFormat="1" x14ac:dyDescent="0.25">
      <c r="H649" s="322"/>
      <c r="I649" s="322"/>
      <c r="J649" s="322"/>
      <c r="K649" s="322"/>
      <c r="L649" s="322"/>
      <c r="M649" s="322"/>
      <c r="N649" s="322"/>
      <c r="P649" s="322"/>
    </row>
    <row r="650" spans="8:16" s="357" customFormat="1" x14ac:dyDescent="0.25">
      <c r="H650" s="322"/>
      <c r="I650" s="322"/>
      <c r="J650" s="322"/>
      <c r="K650" s="322"/>
      <c r="L650" s="322"/>
      <c r="M650" s="322"/>
      <c r="N650" s="322"/>
      <c r="P650" s="322"/>
    </row>
    <row r="651" spans="8:16" s="357" customFormat="1" x14ac:dyDescent="0.25">
      <c r="H651" s="322"/>
      <c r="I651" s="322"/>
      <c r="J651" s="322"/>
      <c r="K651" s="322"/>
      <c r="L651" s="322"/>
      <c r="M651" s="322"/>
      <c r="N651" s="322"/>
      <c r="P651" s="322"/>
    </row>
    <row r="652" spans="8:16" s="357" customFormat="1" x14ac:dyDescent="0.25">
      <c r="H652" s="322"/>
      <c r="I652" s="322"/>
      <c r="J652" s="322"/>
      <c r="K652" s="322"/>
      <c r="L652" s="322"/>
      <c r="M652" s="322"/>
      <c r="N652" s="322"/>
      <c r="P652" s="322"/>
    </row>
    <row r="653" spans="8:16" s="357" customFormat="1" x14ac:dyDescent="0.25">
      <c r="H653" s="322"/>
      <c r="I653" s="322"/>
      <c r="J653" s="322"/>
      <c r="K653" s="322"/>
      <c r="L653" s="322"/>
      <c r="M653" s="322"/>
      <c r="N653" s="322"/>
      <c r="P653" s="322"/>
    </row>
    <row r="654" spans="8:16" s="357" customFormat="1" x14ac:dyDescent="0.25">
      <c r="H654" s="322"/>
      <c r="I654" s="322"/>
      <c r="J654" s="322"/>
      <c r="K654" s="322"/>
      <c r="L654" s="322"/>
      <c r="M654" s="322"/>
      <c r="N654" s="322"/>
      <c r="P654" s="322"/>
    </row>
    <row r="655" spans="8:16" s="357" customFormat="1" x14ac:dyDescent="0.25">
      <c r="H655" s="322"/>
      <c r="I655" s="322"/>
      <c r="J655" s="322"/>
      <c r="K655" s="322"/>
      <c r="L655" s="322"/>
      <c r="M655" s="322"/>
      <c r="N655" s="322"/>
      <c r="P655" s="322"/>
    </row>
    <row r="656" spans="8:16" s="357" customFormat="1" x14ac:dyDescent="0.25">
      <c r="H656" s="322"/>
      <c r="I656" s="322"/>
      <c r="J656" s="322"/>
      <c r="K656" s="322"/>
      <c r="L656" s="322"/>
      <c r="M656" s="322"/>
      <c r="N656" s="322"/>
      <c r="P656" s="322"/>
    </row>
    <row r="657" spans="8:16" s="357" customFormat="1" x14ac:dyDescent="0.25">
      <c r="H657" s="322"/>
      <c r="I657" s="322"/>
      <c r="J657" s="322"/>
      <c r="K657" s="322"/>
      <c r="L657" s="322"/>
      <c r="M657" s="322"/>
      <c r="N657" s="322"/>
      <c r="P657" s="322"/>
    </row>
    <row r="658" spans="8:16" s="357" customFormat="1" x14ac:dyDescent="0.25">
      <c r="H658" s="322"/>
      <c r="I658" s="322"/>
      <c r="J658" s="322"/>
      <c r="K658" s="322"/>
      <c r="L658" s="322"/>
      <c r="M658" s="322"/>
      <c r="N658" s="322"/>
      <c r="P658" s="322"/>
    </row>
    <row r="659" spans="8:16" s="357" customFormat="1" x14ac:dyDescent="0.25">
      <c r="H659" s="322"/>
      <c r="I659" s="322"/>
      <c r="J659" s="322"/>
      <c r="K659" s="322"/>
      <c r="L659" s="322"/>
      <c r="M659" s="322"/>
      <c r="N659" s="322"/>
      <c r="P659" s="322"/>
    </row>
    <row r="660" spans="8:16" s="357" customFormat="1" x14ac:dyDescent="0.25">
      <c r="H660" s="322"/>
      <c r="I660" s="322"/>
      <c r="J660" s="322"/>
      <c r="K660" s="322"/>
      <c r="L660" s="322"/>
      <c r="M660" s="322"/>
      <c r="N660" s="322"/>
      <c r="P660" s="322"/>
    </row>
    <row r="661" spans="8:16" s="357" customFormat="1" x14ac:dyDescent="0.25">
      <c r="H661" s="322"/>
      <c r="I661" s="322"/>
      <c r="J661" s="322"/>
      <c r="K661" s="322"/>
      <c r="L661" s="322"/>
      <c r="M661" s="322"/>
      <c r="N661" s="322"/>
      <c r="P661" s="322"/>
    </row>
    <row r="662" spans="8:16" s="357" customFormat="1" x14ac:dyDescent="0.25">
      <c r="H662" s="322"/>
      <c r="I662" s="322"/>
      <c r="J662" s="322"/>
      <c r="K662" s="322"/>
      <c r="L662" s="322"/>
      <c r="M662" s="322"/>
      <c r="N662" s="322"/>
      <c r="P662" s="322"/>
    </row>
    <row r="663" spans="8:16" s="357" customFormat="1" x14ac:dyDescent="0.25">
      <c r="H663" s="322"/>
      <c r="I663" s="322"/>
      <c r="J663" s="322"/>
      <c r="K663" s="322"/>
      <c r="L663" s="322"/>
      <c r="M663" s="322"/>
      <c r="N663" s="322"/>
      <c r="P663" s="322"/>
    </row>
    <row r="664" spans="8:16" s="357" customFormat="1" x14ac:dyDescent="0.25">
      <c r="H664" s="322"/>
      <c r="I664" s="322"/>
      <c r="J664" s="322"/>
      <c r="K664" s="322"/>
      <c r="L664" s="322"/>
      <c r="M664" s="322"/>
      <c r="N664" s="322"/>
      <c r="P664" s="322"/>
    </row>
    <row r="665" spans="8:16" s="357" customFormat="1" x14ac:dyDescent="0.25">
      <c r="H665" s="322"/>
      <c r="I665" s="322"/>
      <c r="J665" s="322"/>
      <c r="K665" s="322"/>
      <c r="L665" s="322"/>
      <c r="M665" s="322"/>
      <c r="N665" s="322"/>
      <c r="P665" s="322"/>
    </row>
    <row r="666" spans="8:16" s="357" customFormat="1" x14ac:dyDescent="0.25">
      <c r="H666" s="322"/>
      <c r="I666" s="322"/>
      <c r="J666" s="322"/>
      <c r="K666" s="322"/>
      <c r="L666" s="322"/>
      <c r="M666" s="322"/>
      <c r="N666" s="322"/>
      <c r="P666" s="322"/>
    </row>
    <row r="667" spans="8:16" s="357" customFormat="1" x14ac:dyDescent="0.25">
      <c r="H667" s="322"/>
      <c r="I667" s="322"/>
      <c r="J667" s="322"/>
      <c r="K667" s="322"/>
      <c r="L667" s="322"/>
      <c r="M667" s="322"/>
      <c r="N667" s="322"/>
      <c r="P667" s="322"/>
    </row>
    <row r="668" spans="8:16" s="357" customFormat="1" x14ac:dyDescent="0.25">
      <c r="H668" s="322"/>
      <c r="I668" s="322"/>
      <c r="J668" s="322"/>
      <c r="K668" s="322"/>
      <c r="L668" s="322"/>
      <c r="M668" s="322"/>
      <c r="N668" s="322"/>
      <c r="P668" s="322"/>
    </row>
    <row r="669" spans="8:16" s="357" customFormat="1" x14ac:dyDescent="0.25">
      <c r="H669" s="322"/>
      <c r="I669" s="322"/>
      <c r="J669" s="322"/>
      <c r="K669" s="322"/>
      <c r="L669" s="322"/>
      <c r="M669" s="322"/>
      <c r="N669" s="322"/>
      <c r="P669" s="322"/>
    </row>
    <row r="670" spans="8:16" s="357" customFormat="1" x14ac:dyDescent="0.25">
      <c r="H670" s="322"/>
      <c r="I670" s="322"/>
      <c r="J670" s="322"/>
      <c r="K670" s="322"/>
      <c r="L670" s="322"/>
      <c r="M670" s="322"/>
      <c r="N670" s="322"/>
      <c r="P670" s="322"/>
    </row>
    <row r="671" spans="8:16" s="357" customFormat="1" x14ac:dyDescent="0.25">
      <c r="H671" s="322"/>
      <c r="I671" s="322"/>
      <c r="J671" s="322"/>
      <c r="K671" s="322"/>
      <c r="L671" s="322"/>
      <c r="M671" s="322"/>
      <c r="N671" s="322"/>
      <c r="P671" s="322"/>
    </row>
    <row r="672" spans="8:16" s="357" customFormat="1" x14ac:dyDescent="0.25">
      <c r="H672" s="322"/>
      <c r="I672" s="322"/>
      <c r="J672" s="322"/>
      <c r="K672" s="322"/>
      <c r="L672" s="322"/>
      <c r="M672" s="322"/>
      <c r="N672" s="322"/>
      <c r="P672" s="322"/>
    </row>
    <row r="673" spans="8:16" s="357" customFormat="1" x14ac:dyDescent="0.25">
      <c r="H673" s="322"/>
      <c r="I673" s="322"/>
      <c r="J673" s="322"/>
      <c r="K673" s="322"/>
      <c r="L673" s="322"/>
      <c r="M673" s="322"/>
      <c r="N673" s="322"/>
      <c r="P673" s="322"/>
    </row>
    <row r="674" spans="8:16" s="357" customFormat="1" x14ac:dyDescent="0.25">
      <c r="H674" s="322"/>
      <c r="I674" s="322"/>
      <c r="J674" s="322"/>
      <c r="K674" s="322"/>
      <c r="L674" s="322"/>
      <c r="M674" s="322"/>
      <c r="N674" s="322"/>
      <c r="P674" s="322"/>
    </row>
    <row r="675" spans="8:16" s="357" customFormat="1" x14ac:dyDescent="0.25">
      <c r="H675" s="322"/>
      <c r="I675" s="322"/>
      <c r="J675" s="322"/>
      <c r="K675" s="322"/>
      <c r="L675" s="322"/>
      <c r="M675" s="322"/>
      <c r="N675" s="322"/>
      <c r="P675" s="322"/>
    </row>
    <row r="676" spans="8:16" s="357" customFormat="1" x14ac:dyDescent="0.25">
      <c r="H676" s="322"/>
      <c r="I676" s="322"/>
      <c r="J676" s="322"/>
      <c r="K676" s="322"/>
      <c r="L676" s="322"/>
      <c r="M676" s="322"/>
      <c r="N676" s="322"/>
      <c r="P676" s="322"/>
    </row>
    <row r="677" spans="8:16" s="357" customFormat="1" x14ac:dyDescent="0.25">
      <c r="H677" s="322"/>
      <c r="I677" s="322"/>
      <c r="J677" s="322"/>
      <c r="K677" s="322"/>
      <c r="L677" s="322"/>
      <c r="M677" s="322"/>
      <c r="N677" s="322"/>
      <c r="P677" s="322"/>
    </row>
    <row r="678" spans="8:16" s="357" customFormat="1" x14ac:dyDescent="0.25">
      <c r="H678" s="322"/>
      <c r="I678" s="322"/>
      <c r="J678" s="322"/>
      <c r="K678" s="322"/>
      <c r="L678" s="322"/>
      <c r="M678" s="322"/>
      <c r="N678" s="322"/>
      <c r="P678" s="322"/>
    </row>
    <row r="679" spans="8:16" s="357" customFormat="1" x14ac:dyDescent="0.25">
      <c r="H679" s="322"/>
      <c r="I679" s="322"/>
      <c r="J679" s="322"/>
      <c r="K679" s="322"/>
      <c r="L679" s="322"/>
      <c r="M679" s="322"/>
      <c r="N679" s="322"/>
      <c r="P679" s="322"/>
    </row>
    <row r="680" spans="8:16" s="357" customFormat="1" x14ac:dyDescent="0.25">
      <c r="H680" s="322"/>
      <c r="I680" s="322"/>
      <c r="J680" s="322"/>
      <c r="K680" s="322"/>
      <c r="L680" s="322"/>
      <c r="M680" s="322"/>
      <c r="N680" s="322"/>
      <c r="P680" s="322"/>
    </row>
    <row r="681" spans="8:16" s="357" customFormat="1" x14ac:dyDescent="0.25">
      <c r="H681" s="322"/>
      <c r="I681" s="322"/>
      <c r="J681" s="322"/>
      <c r="K681" s="322"/>
      <c r="L681" s="322"/>
      <c r="M681" s="322"/>
      <c r="N681" s="322"/>
      <c r="P681" s="322"/>
    </row>
    <row r="682" spans="8:16" s="357" customFormat="1" x14ac:dyDescent="0.25">
      <c r="H682" s="322"/>
      <c r="I682" s="322"/>
      <c r="J682" s="322"/>
      <c r="K682" s="322"/>
      <c r="L682" s="322"/>
      <c r="M682" s="322"/>
      <c r="N682" s="322"/>
      <c r="P682" s="322"/>
    </row>
    <row r="683" spans="8:16" s="357" customFormat="1" x14ac:dyDescent="0.25">
      <c r="H683" s="322"/>
      <c r="I683" s="322"/>
      <c r="J683" s="322"/>
      <c r="K683" s="322"/>
      <c r="L683" s="322"/>
      <c r="M683" s="322"/>
      <c r="N683" s="322"/>
      <c r="P683" s="322"/>
    </row>
    <row r="684" spans="8:16" s="357" customFormat="1" x14ac:dyDescent="0.25">
      <c r="H684" s="322"/>
      <c r="I684" s="322"/>
      <c r="J684" s="322"/>
      <c r="K684" s="322"/>
      <c r="L684" s="322"/>
      <c r="M684" s="322"/>
      <c r="N684" s="322"/>
      <c r="P684" s="322"/>
    </row>
    <row r="685" spans="8:16" s="357" customFormat="1" x14ac:dyDescent="0.25">
      <c r="H685" s="322"/>
      <c r="I685" s="322"/>
      <c r="J685" s="322"/>
      <c r="K685" s="322"/>
      <c r="L685" s="322"/>
      <c r="M685" s="322"/>
      <c r="N685" s="322"/>
      <c r="P685" s="322"/>
    </row>
    <row r="686" spans="8:16" s="357" customFormat="1" x14ac:dyDescent="0.25">
      <c r="H686" s="322"/>
      <c r="I686" s="322"/>
      <c r="J686" s="322"/>
      <c r="K686" s="322"/>
      <c r="L686" s="322"/>
      <c r="M686" s="322"/>
      <c r="N686" s="322"/>
      <c r="P686" s="322"/>
    </row>
    <row r="687" spans="8:16" s="357" customFormat="1" x14ac:dyDescent="0.25">
      <c r="H687" s="322"/>
      <c r="I687" s="322"/>
      <c r="J687" s="322"/>
      <c r="K687" s="322"/>
      <c r="L687" s="322"/>
      <c r="M687" s="322"/>
      <c r="N687" s="322"/>
      <c r="P687" s="322"/>
    </row>
    <row r="688" spans="8:16" s="357" customFormat="1" x14ac:dyDescent="0.25">
      <c r="H688" s="322"/>
      <c r="I688" s="322"/>
      <c r="J688" s="322"/>
      <c r="K688" s="322"/>
      <c r="L688" s="322"/>
      <c r="M688" s="322"/>
      <c r="N688" s="322"/>
      <c r="P688" s="322"/>
    </row>
    <row r="689" spans="8:16" s="357" customFormat="1" x14ac:dyDescent="0.25">
      <c r="H689" s="322"/>
      <c r="I689" s="322"/>
      <c r="J689" s="322"/>
      <c r="K689" s="322"/>
      <c r="L689" s="322"/>
      <c r="M689" s="322"/>
      <c r="N689" s="322"/>
      <c r="P689" s="322"/>
    </row>
    <row r="690" spans="8:16" s="357" customFormat="1" x14ac:dyDescent="0.25">
      <c r="H690" s="322"/>
      <c r="I690" s="322"/>
      <c r="J690" s="322"/>
      <c r="K690" s="322"/>
      <c r="L690" s="322"/>
      <c r="M690" s="322"/>
      <c r="N690" s="322"/>
      <c r="P690" s="322"/>
    </row>
    <row r="691" spans="8:16" s="357" customFormat="1" x14ac:dyDescent="0.25">
      <c r="H691" s="322"/>
      <c r="I691" s="322"/>
      <c r="J691" s="322"/>
      <c r="K691" s="322"/>
      <c r="L691" s="322"/>
      <c r="M691" s="322"/>
      <c r="N691" s="322"/>
      <c r="P691" s="322"/>
    </row>
    <row r="692" spans="8:16" s="357" customFormat="1" x14ac:dyDescent="0.25">
      <c r="H692" s="322"/>
      <c r="I692" s="322"/>
      <c r="J692" s="322"/>
      <c r="K692" s="322"/>
      <c r="L692" s="322"/>
      <c r="M692" s="322"/>
      <c r="N692" s="322"/>
      <c r="P692" s="322"/>
    </row>
    <row r="693" spans="8:16" s="357" customFormat="1" x14ac:dyDescent="0.25">
      <c r="H693" s="322"/>
      <c r="I693" s="322"/>
      <c r="J693" s="322"/>
      <c r="K693" s="322"/>
      <c r="L693" s="322"/>
      <c r="M693" s="322"/>
      <c r="N693" s="322"/>
      <c r="P693" s="322"/>
    </row>
    <row r="694" spans="8:16" s="357" customFormat="1" x14ac:dyDescent="0.25">
      <c r="H694" s="322"/>
      <c r="I694" s="322"/>
      <c r="J694" s="322"/>
      <c r="K694" s="322"/>
      <c r="L694" s="322"/>
      <c r="M694" s="322"/>
      <c r="N694" s="322"/>
      <c r="P694" s="322"/>
    </row>
    <row r="695" spans="8:16" s="357" customFormat="1" x14ac:dyDescent="0.25">
      <c r="H695" s="322"/>
      <c r="I695" s="322"/>
      <c r="J695" s="322"/>
      <c r="K695" s="322"/>
      <c r="L695" s="322"/>
      <c r="M695" s="322"/>
      <c r="N695" s="322"/>
      <c r="P695" s="322"/>
    </row>
    <row r="696" spans="8:16" s="357" customFormat="1" x14ac:dyDescent="0.25">
      <c r="H696" s="322"/>
      <c r="I696" s="322"/>
      <c r="J696" s="322"/>
      <c r="K696" s="322"/>
      <c r="L696" s="322"/>
      <c r="M696" s="322"/>
      <c r="N696" s="322"/>
      <c r="P696" s="322"/>
    </row>
    <row r="697" spans="8:16" s="357" customFormat="1" x14ac:dyDescent="0.25">
      <c r="H697" s="322"/>
      <c r="I697" s="322"/>
      <c r="J697" s="322"/>
      <c r="K697" s="322"/>
      <c r="L697" s="322"/>
      <c r="M697" s="322"/>
      <c r="N697" s="322"/>
      <c r="P697" s="322"/>
    </row>
    <row r="698" spans="8:16" s="357" customFormat="1" x14ac:dyDescent="0.25">
      <c r="H698" s="322"/>
      <c r="I698" s="322"/>
      <c r="J698" s="322"/>
      <c r="K698" s="322"/>
      <c r="L698" s="322"/>
      <c r="M698" s="322"/>
      <c r="N698" s="322"/>
      <c r="P698" s="322"/>
    </row>
    <row r="699" spans="8:16" s="357" customFormat="1" x14ac:dyDescent="0.25">
      <c r="H699" s="322"/>
      <c r="I699" s="322"/>
      <c r="J699" s="322"/>
      <c r="K699" s="322"/>
      <c r="L699" s="322"/>
      <c r="M699" s="322"/>
      <c r="N699" s="322"/>
      <c r="P699" s="322"/>
    </row>
    <row r="700" spans="8:16" s="357" customFormat="1" x14ac:dyDescent="0.25">
      <c r="H700" s="322"/>
      <c r="I700" s="322"/>
      <c r="J700" s="322"/>
      <c r="K700" s="322"/>
      <c r="L700" s="322"/>
      <c r="M700" s="322"/>
      <c r="N700" s="322"/>
      <c r="P700" s="322"/>
    </row>
    <row r="701" spans="8:16" s="357" customFormat="1" x14ac:dyDescent="0.25">
      <c r="H701" s="322"/>
      <c r="I701" s="322"/>
      <c r="J701" s="322"/>
      <c r="K701" s="322"/>
      <c r="L701" s="322"/>
      <c r="M701" s="322"/>
      <c r="N701" s="322"/>
      <c r="P701" s="322"/>
    </row>
    <row r="702" spans="8:16" s="357" customFormat="1" x14ac:dyDescent="0.25">
      <c r="H702" s="322"/>
      <c r="I702" s="322"/>
      <c r="J702" s="322"/>
      <c r="K702" s="322"/>
      <c r="L702" s="322"/>
      <c r="M702" s="322"/>
      <c r="N702" s="322"/>
      <c r="P702" s="322"/>
    </row>
    <row r="703" spans="8:16" s="357" customFormat="1" x14ac:dyDescent="0.25">
      <c r="H703" s="322"/>
      <c r="I703" s="322"/>
      <c r="J703" s="322"/>
      <c r="K703" s="322"/>
      <c r="L703" s="322"/>
      <c r="M703" s="322"/>
      <c r="N703" s="322"/>
      <c r="P703" s="322"/>
    </row>
    <row r="704" spans="8:16" s="357" customFormat="1" x14ac:dyDescent="0.25">
      <c r="H704" s="322"/>
      <c r="I704" s="322"/>
      <c r="J704" s="322"/>
      <c r="K704" s="322"/>
      <c r="L704" s="322"/>
      <c r="M704" s="322"/>
      <c r="N704" s="322"/>
      <c r="P704" s="322"/>
    </row>
    <row r="705" spans="8:16" s="357" customFormat="1" x14ac:dyDescent="0.25">
      <c r="H705" s="322"/>
      <c r="I705" s="322"/>
      <c r="J705" s="322"/>
      <c r="K705" s="322"/>
      <c r="L705" s="322"/>
      <c r="M705" s="322"/>
      <c r="N705" s="322"/>
      <c r="P705" s="322"/>
    </row>
    <row r="706" spans="8:16" s="357" customFormat="1" x14ac:dyDescent="0.25">
      <c r="H706" s="322"/>
      <c r="I706" s="322"/>
      <c r="J706" s="322"/>
      <c r="K706" s="322"/>
      <c r="L706" s="322"/>
      <c r="M706" s="322"/>
      <c r="N706" s="322"/>
      <c r="P706" s="322"/>
    </row>
    <row r="707" spans="8:16" s="357" customFormat="1" x14ac:dyDescent="0.25">
      <c r="H707" s="322"/>
      <c r="I707" s="322"/>
      <c r="J707" s="322"/>
      <c r="K707" s="322"/>
      <c r="L707" s="322"/>
      <c r="M707" s="322"/>
      <c r="N707" s="322"/>
      <c r="P707" s="322"/>
    </row>
    <row r="708" spans="8:16" s="357" customFormat="1" x14ac:dyDescent="0.25">
      <c r="H708" s="322"/>
      <c r="I708" s="322"/>
      <c r="J708" s="322"/>
      <c r="K708" s="322"/>
      <c r="L708" s="322"/>
      <c r="M708" s="322"/>
      <c r="N708" s="322"/>
      <c r="P708" s="322"/>
    </row>
    <row r="709" spans="8:16" s="357" customFormat="1" x14ac:dyDescent="0.25">
      <c r="H709" s="322"/>
      <c r="I709" s="322"/>
      <c r="J709" s="322"/>
      <c r="K709" s="322"/>
      <c r="L709" s="322"/>
      <c r="M709" s="322"/>
      <c r="N709" s="322"/>
      <c r="P709" s="322"/>
    </row>
    <row r="710" spans="8:16" s="357" customFormat="1" x14ac:dyDescent="0.25">
      <c r="H710" s="322"/>
      <c r="I710" s="322"/>
      <c r="J710" s="322"/>
      <c r="K710" s="322"/>
      <c r="L710" s="322"/>
      <c r="M710" s="322"/>
      <c r="N710" s="322"/>
      <c r="P710" s="322"/>
    </row>
    <row r="711" spans="8:16" s="357" customFormat="1" x14ac:dyDescent="0.25">
      <c r="H711" s="322"/>
      <c r="I711" s="322"/>
      <c r="J711" s="322"/>
      <c r="K711" s="322"/>
      <c r="L711" s="322"/>
      <c r="M711" s="322"/>
      <c r="N711" s="322"/>
      <c r="P711" s="322"/>
    </row>
    <row r="712" spans="8:16" s="357" customFormat="1" x14ac:dyDescent="0.25">
      <c r="H712" s="322"/>
      <c r="I712" s="322"/>
      <c r="J712" s="322"/>
      <c r="K712" s="322"/>
      <c r="L712" s="322"/>
      <c r="M712" s="322"/>
      <c r="N712" s="322"/>
      <c r="P712" s="322"/>
    </row>
    <row r="713" spans="8:16" s="357" customFormat="1" x14ac:dyDescent="0.25">
      <c r="H713" s="322"/>
      <c r="I713" s="322"/>
      <c r="J713" s="322"/>
      <c r="K713" s="322"/>
      <c r="L713" s="322"/>
      <c r="M713" s="322"/>
      <c r="N713" s="322"/>
      <c r="P713" s="322"/>
    </row>
    <row r="714" spans="8:16" s="357" customFormat="1" x14ac:dyDescent="0.25">
      <c r="H714" s="322"/>
      <c r="I714" s="322"/>
      <c r="J714" s="322"/>
      <c r="K714" s="322"/>
      <c r="L714" s="322"/>
      <c r="M714" s="322"/>
      <c r="N714" s="322"/>
      <c r="P714" s="322"/>
    </row>
    <row r="715" spans="8:16" s="357" customFormat="1" x14ac:dyDescent="0.25">
      <c r="H715" s="322"/>
      <c r="I715" s="322"/>
      <c r="J715" s="322"/>
      <c r="K715" s="322"/>
      <c r="L715" s="322"/>
      <c r="M715" s="322"/>
      <c r="N715" s="322"/>
      <c r="P715" s="322"/>
    </row>
    <row r="716" spans="8:16" s="357" customFormat="1" x14ac:dyDescent="0.25">
      <c r="H716" s="322"/>
      <c r="I716" s="322"/>
      <c r="J716" s="322"/>
      <c r="K716" s="322"/>
      <c r="L716" s="322"/>
      <c r="M716" s="322"/>
      <c r="N716" s="322"/>
      <c r="P716" s="322"/>
    </row>
    <row r="717" spans="8:16" s="357" customFormat="1" x14ac:dyDescent="0.25">
      <c r="H717" s="322"/>
      <c r="I717" s="322"/>
      <c r="J717" s="322"/>
      <c r="K717" s="322"/>
      <c r="L717" s="322"/>
      <c r="M717" s="322"/>
      <c r="N717" s="322"/>
      <c r="P717" s="322"/>
    </row>
    <row r="718" spans="8:16" s="357" customFormat="1" x14ac:dyDescent="0.25">
      <c r="H718" s="322"/>
      <c r="I718" s="322"/>
      <c r="J718" s="322"/>
      <c r="K718" s="322"/>
      <c r="L718" s="322"/>
      <c r="M718" s="322"/>
      <c r="N718" s="322"/>
      <c r="P718" s="322"/>
    </row>
    <row r="719" spans="8:16" s="357" customFormat="1" x14ac:dyDescent="0.25">
      <c r="H719" s="322"/>
      <c r="I719" s="322"/>
      <c r="J719" s="322"/>
      <c r="K719" s="322"/>
      <c r="L719" s="322"/>
      <c r="M719" s="322"/>
      <c r="N719" s="322"/>
      <c r="P719" s="322"/>
    </row>
    <row r="720" spans="8:16" s="357" customFormat="1" x14ac:dyDescent="0.25">
      <c r="H720" s="322"/>
      <c r="I720" s="322"/>
      <c r="J720" s="322"/>
      <c r="K720" s="322"/>
      <c r="L720" s="322"/>
      <c r="M720" s="322"/>
      <c r="N720" s="322"/>
      <c r="P720" s="322"/>
    </row>
    <row r="721" spans="8:16" s="357" customFormat="1" x14ac:dyDescent="0.25">
      <c r="H721" s="322"/>
      <c r="I721" s="322"/>
      <c r="J721" s="322"/>
      <c r="K721" s="322"/>
      <c r="L721" s="322"/>
      <c r="M721" s="322"/>
      <c r="N721" s="322"/>
      <c r="P721" s="322"/>
    </row>
    <row r="722" spans="8:16" s="357" customFormat="1" x14ac:dyDescent="0.25">
      <c r="H722" s="322"/>
      <c r="I722" s="322"/>
      <c r="J722" s="322"/>
      <c r="K722" s="322"/>
      <c r="L722" s="322"/>
      <c r="M722" s="322"/>
      <c r="N722" s="322"/>
      <c r="P722" s="322"/>
    </row>
    <row r="723" spans="8:16" s="357" customFormat="1" x14ac:dyDescent="0.25">
      <c r="H723" s="322"/>
      <c r="I723" s="322"/>
      <c r="J723" s="322"/>
      <c r="K723" s="322"/>
      <c r="L723" s="322"/>
      <c r="M723" s="322"/>
      <c r="N723" s="322"/>
      <c r="P723" s="322"/>
    </row>
    <row r="724" spans="8:16" s="357" customFormat="1" x14ac:dyDescent="0.25">
      <c r="H724" s="322"/>
      <c r="I724" s="322"/>
      <c r="J724" s="322"/>
      <c r="K724" s="322"/>
      <c r="L724" s="322"/>
      <c r="M724" s="322"/>
      <c r="N724" s="322"/>
      <c r="P724" s="322"/>
    </row>
    <row r="725" spans="8:16" s="357" customFormat="1" x14ac:dyDescent="0.25">
      <c r="H725" s="322"/>
      <c r="I725" s="322"/>
      <c r="J725" s="322"/>
      <c r="K725" s="322"/>
      <c r="L725" s="322"/>
      <c r="M725" s="322"/>
      <c r="N725" s="322"/>
      <c r="P725" s="322"/>
    </row>
    <row r="726" spans="8:16" s="357" customFormat="1" x14ac:dyDescent="0.25">
      <c r="H726" s="322"/>
      <c r="I726" s="322"/>
      <c r="J726" s="322"/>
      <c r="K726" s="322"/>
      <c r="L726" s="322"/>
      <c r="M726" s="322"/>
      <c r="N726" s="322"/>
      <c r="P726" s="322"/>
    </row>
    <row r="727" spans="8:16" s="357" customFormat="1" x14ac:dyDescent="0.25">
      <c r="H727" s="322"/>
      <c r="I727" s="322"/>
      <c r="J727" s="322"/>
      <c r="K727" s="322"/>
      <c r="L727" s="322"/>
      <c r="M727" s="322"/>
      <c r="N727" s="322"/>
      <c r="P727" s="322"/>
    </row>
    <row r="728" spans="8:16" s="357" customFormat="1" x14ac:dyDescent="0.25">
      <c r="H728" s="322"/>
      <c r="I728" s="322"/>
      <c r="J728" s="322"/>
      <c r="K728" s="322"/>
      <c r="L728" s="322"/>
      <c r="M728" s="322"/>
      <c r="N728" s="322"/>
      <c r="P728" s="322"/>
    </row>
    <row r="729" spans="8:16" s="357" customFormat="1" x14ac:dyDescent="0.25">
      <c r="H729" s="322"/>
      <c r="I729" s="322"/>
      <c r="J729" s="322"/>
      <c r="K729" s="322"/>
      <c r="L729" s="322"/>
      <c r="M729" s="322"/>
      <c r="N729" s="322"/>
      <c r="P729" s="322"/>
    </row>
    <row r="730" spans="8:16" s="357" customFormat="1" x14ac:dyDescent="0.25">
      <c r="H730" s="322"/>
      <c r="I730" s="322"/>
      <c r="J730" s="322"/>
      <c r="K730" s="322"/>
      <c r="L730" s="322"/>
      <c r="M730" s="322"/>
      <c r="N730" s="322"/>
      <c r="P730" s="322"/>
    </row>
    <row r="731" spans="8:16" s="357" customFormat="1" x14ac:dyDescent="0.25">
      <c r="H731" s="322"/>
      <c r="I731" s="322"/>
      <c r="J731" s="322"/>
      <c r="K731" s="322"/>
      <c r="L731" s="322"/>
      <c r="M731" s="322"/>
      <c r="N731" s="322"/>
      <c r="P731" s="322"/>
    </row>
    <row r="732" spans="8:16" s="357" customFormat="1" x14ac:dyDescent="0.25">
      <c r="H732" s="322"/>
      <c r="I732" s="322"/>
      <c r="J732" s="322"/>
      <c r="K732" s="322"/>
      <c r="L732" s="322"/>
      <c r="M732" s="322"/>
      <c r="N732" s="322"/>
      <c r="P732" s="322"/>
    </row>
    <row r="733" spans="8:16" s="357" customFormat="1" x14ac:dyDescent="0.25">
      <c r="H733" s="322"/>
      <c r="I733" s="322"/>
      <c r="J733" s="322"/>
      <c r="K733" s="322"/>
      <c r="L733" s="322"/>
      <c r="M733" s="322"/>
      <c r="N733" s="322"/>
      <c r="P733" s="322"/>
    </row>
    <row r="734" spans="8:16" s="357" customFormat="1" x14ac:dyDescent="0.25">
      <c r="H734" s="322"/>
      <c r="I734" s="322"/>
      <c r="J734" s="322"/>
      <c r="K734" s="322"/>
      <c r="L734" s="322"/>
      <c r="M734" s="322"/>
      <c r="N734" s="322"/>
      <c r="P734" s="322"/>
    </row>
    <row r="735" spans="8:16" s="357" customFormat="1" x14ac:dyDescent="0.25">
      <c r="H735" s="322"/>
      <c r="I735" s="322"/>
      <c r="J735" s="322"/>
      <c r="K735" s="322"/>
      <c r="L735" s="322"/>
      <c r="M735" s="322"/>
      <c r="N735" s="322"/>
      <c r="P735" s="322"/>
    </row>
    <row r="736" spans="8:16" s="357" customFormat="1" x14ac:dyDescent="0.25">
      <c r="H736" s="322"/>
      <c r="I736" s="322"/>
      <c r="J736" s="322"/>
      <c r="K736" s="322"/>
      <c r="L736" s="322"/>
      <c r="M736" s="322"/>
      <c r="N736" s="322"/>
      <c r="P736" s="322"/>
    </row>
    <row r="737" spans="8:16" s="357" customFormat="1" x14ac:dyDescent="0.25">
      <c r="H737" s="322"/>
      <c r="I737" s="322"/>
      <c r="J737" s="322"/>
      <c r="K737" s="322"/>
      <c r="L737" s="322"/>
      <c r="M737" s="322"/>
      <c r="N737" s="322"/>
      <c r="P737" s="322"/>
    </row>
    <row r="738" spans="8:16" s="357" customFormat="1" x14ac:dyDescent="0.25">
      <c r="H738" s="322"/>
      <c r="I738" s="322"/>
      <c r="J738" s="322"/>
      <c r="K738" s="322"/>
      <c r="L738" s="322"/>
      <c r="M738" s="322"/>
      <c r="N738" s="322"/>
      <c r="P738" s="322"/>
    </row>
    <row r="739" spans="8:16" s="357" customFormat="1" x14ac:dyDescent="0.25">
      <c r="H739" s="322"/>
      <c r="I739" s="322"/>
      <c r="J739" s="322"/>
      <c r="K739" s="322"/>
      <c r="L739" s="322"/>
      <c r="M739" s="322"/>
      <c r="N739" s="322"/>
      <c r="P739" s="322"/>
    </row>
    <row r="740" spans="8:16" s="357" customFormat="1" x14ac:dyDescent="0.25">
      <c r="H740" s="322"/>
      <c r="I740" s="322"/>
      <c r="J740" s="322"/>
      <c r="K740" s="322"/>
      <c r="L740" s="322"/>
      <c r="M740" s="322"/>
      <c r="N740" s="322"/>
      <c r="P740" s="322"/>
    </row>
    <row r="741" spans="8:16" s="357" customFormat="1" x14ac:dyDescent="0.25">
      <c r="H741" s="322"/>
      <c r="I741" s="322"/>
      <c r="J741" s="322"/>
      <c r="K741" s="322"/>
      <c r="L741" s="322"/>
      <c r="M741" s="322"/>
      <c r="N741" s="322"/>
      <c r="P741" s="322"/>
    </row>
    <row r="742" spans="8:16" s="357" customFormat="1" x14ac:dyDescent="0.25">
      <c r="H742" s="322"/>
      <c r="I742" s="322"/>
      <c r="J742" s="322"/>
      <c r="K742" s="322"/>
      <c r="L742" s="322"/>
      <c r="M742" s="322"/>
      <c r="N742" s="322"/>
      <c r="P742" s="322"/>
    </row>
    <row r="743" spans="8:16" s="357" customFormat="1" x14ac:dyDescent="0.25">
      <c r="H743" s="322"/>
      <c r="I743" s="322"/>
      <c r="J743" s="322"/>
      <c r="K743" s="322"/>
      <c r="L743" s="322"/>
      <c r="M743" s="322"/>
      <c r="N743" s="322"/>
      <c r="P743" s="322"/>
    </row>
    <row r="744" spans="8:16" s="357" customFormat="1" x14ac:dyDescent="0.25">
      <c r="H744" s="322"/>
      <c r="I744" s="322"/>
      <c r="J744" s="322"/>
      <c r="K744" s="322"/>
      <c r="L744" s="322"/>
      <c r="M744" s="322"/>
      <c r="N744" s="322"/>
      <c r="P744" s="322"/>
    </row>
    <row r="745" spans="8:16" s="357" customFormat="1" x14ac:dyDescent="0.25">
      <c r="H745" s="322"/>
      <c r="I745" s="322"/>
      <c r="J745" s="322"/>
      <c r="K745" s="322"/>
      <c r="L745" s="322"/>
      <c r="M745" s="322"/>
      <c r="N745" s="322"/>
      <c r="P745" s="322"/>
    </row>
    <row r="746" spans="8:16" s="357" customFormat="1" x14ac:dyDescent="0.25">
      <c r="H746" s="322"/>
      <c r="I746" s="322"/>
      <c r="J746" s="322"/>
      <c r="K746" s="322"/>
      <c r="L746" s="322"/>
      <c r="M746" s="322"/>
      <c r="N746" s="322"/>
      <c r="P746" s="322"/>
    </row>
    <row r="747" spans="8:16" s="357" customFormat="1" x14ac:dyDescent="0.25">
      <c r="H747" s="322"/>
      <c r="I747" s="322"/>
      <c r="J747" s="322"/>
      <c r="K747" s="322"/>
      <c r="L747" s="322"/>
      <c r="M747" s="322"/>
      <c r="N747" s="322"/>
      <c r="P747" s="322"/>
    </row>
    <row r="748" spans="8:16" s="357" customFormat="1" x14ac:dyDescent="0.25">
      <c r="H748" s="322"/>
      <c r="I748" s="322"/>
      <c r="J748" s="322"/>
      <c r="K748" s="322"/>
      <c r="L748" s="322"/>
      <c r="M748" s="322"/>
      <c r="N748" s="322"/>
      <c r="P748" s="322"/>
    </row>
    <row r="749" spans="8:16" s="357" customFormat="1" x14ac:dyDescent="0.25">
      <c r="H749" s="322"/>
      <c r="I749" s="322"/>
      <c r="J749" s="322"/>
      <c r="K749" s="322"/>
      <c r="L749" s="322"/>
      <c r="M749" s="322"/>
      <c r="N749" s="322"/>
      <c r="P749" s="322"/>
    </row>
    <row r="750" spans="8:16" s="357" customFormat="1" x14ac:dyDescent="0.25">
      <c r="H750" s="322"/>
      <c r="I750" s="322"/>
      <c r="J750" s="322"/>
      <c r="K750" s="322"/>
      <c r="L750" s="322"/>
      <c r="M750" s="322"/>
      <c r="N750" s="322"/>
      <c r="P750" s="322"/>
    </row>
    <row r="751" spans="8:16" s="357" customFormat="1" x14ac:dyDescent="0.25">
      <c r="H751" s="322"/>
      <c r="I751" s="322"/>
      <c r="J751" s="322"/>
      <c r="K751" s="322"/>
      <c r="L751" s="322"/>
      <c r="M751" s="322"/>
      <c r="N751" s="322"/>
      <c r="P751" s="322"/>
    </row>
    <row r="752" spans="8:16" s="357" customFormat="1" x14ac:dyDescent="0.25">
      <c r="H752" s="322"/>
      <c r="I752" s="322"/>
      <c r="J752" s="322"/>
      <c r="K752" s="322"/>
      <c r="L752" s="322"/>
      <c r="M752" s="322"/>
      <c r="N752" s="322"/>
      <c r="P752" s="322"/>
    </row>
    <row r="753" spans="8:16" s="357" customFormat="1" x14ac:dyDescent="0.25">
      <c r="H753" s="322"/>
      <c r="I753" s="322"/>
      <c r="J753" s="322"/>
      <c r="K753" s="322"/>
      <c r="L753" s="322"/>
      <c r="M753" s="322"/>
      <c r="N753" s="322"/>
      <c r="P753" s="322"/>
    </row>
    <row r="754" spans="8:16" s="357" customFormat="1" x14ac:dyDescent="0.25">
      <c r="H754" s="322"/>
      <c r="I754" s="322"/>
      <c r="J754" s="322"/>
      <c r="K754" s="322"/>
      <c r="L754" s="322"/>
      <c r="M754" s="322"/>
      <c r="N754" s="322"/>
      <c r="P754" s="322"/>
    </row>
    <row r="755" spans="8:16" s="357" customFormat="1" x14ac:dyDescent="0.25">
      <c r="H755" s="322"/>
      <c r="I755" s="322"/>
      <c r="J755" s="322"/>
      <c r="K755" s="322"/>
      <c r="L755" s="322"/>
      <c r="M755" s="322"/>
      <c r="N755" s="322"/>
      <c r="P755" s="322"/>
    </row>
    <row r="756" spans="8:16" s="357" customFormat="1" x14ac:dyDescent="0.25">
      <c r="H756" s="322"/>
      <c r="I756" s="322"/>
      <c r="J756" s="322"/>
      <c r="K756" s="322"/>
      <c r="L756" s="322"/>
      <c r="M756" s="322"/>
      <c r="N756" s="322"/>
      <c r="P756" s="322"/>
    </row>
    <row r="757" spans="8:16" s="357" customFormat="1" x14ac:dyDescent="0.25">
      <c r="H757" s="322"/>
      <c r="I757" s="322"/>
      <c r="J757" s="322"/>
      <c r="K757" s="322"/>
      <c r="L757" s="322"/>
      <c r="M757" s="322"/>
      <c r="N757" s="322"/>
      <c r="P757" s="322"/>
    </row>
    <row r="758" spans="8:16" s="357" customFormat="1" x14ac:dyDescent="0.25">
      <c r="H758" s="322"/>
      <c r="I758" s="322"/>
      <c r="J758" s="322"/>
      <c r="K758" s="322"/>
      <c r="L758" s="322"/>
      <c r="M758" s="322"/>
      <c r="N758" s="322"/>
      <c r="P758" s="322"/>
    </row>
    <row r="759" spans="8:16" s="357" customFormat="1" x14ac:dyDescent="0.25">
      <c r="H759" s="322"/>
      <c r="I759" s="322"/>
      <c r="J759" s="322"/>
      <c r="K759" s="322"/>
      <c r="L759" s="322"/>
      <c r="M759" s="322"/>
      <c r="N759" s="322"/>
      <c r="P759" s="322"/>
    </row>
    <row r="760" spans="8:16" s="357" customFormat="1" x14ac:dyDescent="0.25">
      <c r="H760" s="322"/>
      <c r="I760" s="322"/>
      <c r="J760" s="322"/>
      <c r="K760" s="322"/>
      <c r="L760" s="322"/>
      <c r="M760" s="322"/>
      <c r="N760" s="322"/>
      <c r="P760" s="322"/>
    </row>
    <row r="761" spans="8:16" s="357" customFormat="1" x14ac:dyDescent="0.25">
      <c r="H761" s="322"/>
      <c r="I761" s="322"/>
      <c r="J761" s="322"/>
      <c r="K761" s="322"/>
      <c r="L761" s="322"/>
      <c r="M761" s="322"/>
      <c r="N761" s="322"/>
      <c r="P761" s="322"/>
    </row>
    <row r="762" spans="8:16" s="357" customFormat="1" x14ac:dyDescent="0.25">
      <c r="H762" s="322"/>
      <c r="I762" s="322"/>
      <c r="J762" s="322"/>
      <c r="K762" s="322"/>
      <c r="L762" s="322"/>
      <c r="M762" s="322"/>
      <c r="N762" s="322"/>
      <c r="P762" s="322"/>
    </row>
    <row r="763" spans="8:16" s="357" customFormat="1" x14ac:dyDescent="0.25">
      <c r="H763" s="322"/>
      <c r="I763" s="322"/>
      <c r="J763" s="322"/>
      <c r="K763" s="322"/>
      <c r="L763" s="322"/>
      <c r="M763" s="322"/>
      <c r="N763" s="322"/>
      <c r="P763" s="322"/>
    </row>
    <row r="764" spans="8:16" s="357" customFormat="1" x14ac:dyDescent="0.25">
      <c r="H764" s="322"/>
      <c r="I764" s="322"/>
      <c r="J764" s="322"/>
      <c r="K764" s="322"/>
      <c r="L764" s="322"/>
      <c r="M764" s="322"/>
      <c r="N764" s="322"/>
      <c r="P764" s="322"/>
    </row>
    <row r="765" spans="8:16" s="357" customFormat="1" x14ac:dyDescent="0.25">
      <c r="H765" s="322"/>
      <c r="I765" s="322"/>
      <c r="J765" s="322"/>
      <c r="K765" s="322"/>
      <c r="L765" s="322"/>
      <c r="M765" s="322"/>
      <c r="N765" s="322"/>
      <c r="P765" s="322"/>
    </row>
    <row r="766" spans="8:16" s="357" customFormat="1" x14ac:dyDescent="0.25">
      <c r="H766" s="322"/>
      <c r="I766" s="322"/>
      <c r="J766" s="322"/>
      <c r="K766" s="322"/>
      <c r="L766" s="322"/>
      <c r="M766" s="322"/>
      <c r="N766" s="322"/>
      <c r="P766" s="322"/>
    </row>
    <row r="767" spans="8:16" s="357" customFormat="1" x14ac:dyDescent="0.25">
      <c r="H767" s="322"/>
      <c r="I767" s="322"/>
      <c r="J767" s="322"/>
      <c r="K767" s="322"/>
      <c r="L767" s="322"/>
      <c r="M767" s="322"/>
      <c r="N767" s="322"/>
      <c r="P767" s="322"/>
    </row>
    <row r="768" spans="8:16" s="357" customFormat="1" x14ac:dyDescent="0.25">
      <c r="H768" s="322"/>
      <c r="I768" s="322"/>
      <c r="J768" s="322"/>
      <c r="K768" s="322"/>
      <c r="L768" s="322"/>
      <c r="M768" s="322"/>
      <c r="N768" s="322"/>
      <c r="P768" s="322"/>
    </row>
    <row r="769" spans="8:16" s="357" customFormat="1" x14ac:dyDescent="0.25">
      <c r="H769" s="322"/>
      <c r="I769" s="322"/>
      <c r="J769" s="322"/>
      <c r="K769" s="322"/>
      <c r="L769" s="322"/>
      <c r="M769" s="322"/>
      <c r="N769" s="322"/>
      <c r="P769" s="322"/>
    </row>
    <row r="770" spans="8:16" s="357" customFormat="1" x14ac:dyDescent="0.25">
      <c r="H770" s="322"/>
      <c r="I770" s="322"/>
      <c r="J770" s="322"/>
      <c r="K770" s="322"/>
      <c r="L770" s="322"/>
      <c r="M770" s="322"/>
      <c r="N770" s="322"/>
      <c r="P770" s="322"/>
    </row>
    <row r="771" spans="8:16" s="357" customFormat="1" x14ac:dyDescent="0.25">
      <c r="H771" s="322"/>
      <c r="I771" s="322"/>
      <c r="J771" s="322"/>
      <c r="K771" s="322"/>
      <c r="L771" s="322"/>
      <c r="M771" s="322"/>
      <c r="N771" s="322"/>
      <c r="P771" s="322"/>
    </row>
    <row r="772" spans="8:16" s="357" customFormat="1" x14ac:dyDescent="0.25">
      <c r="H772" s="322"/>
      <c r="I772" s="322"/>
      <c r="J772" s="322"/>
      <c r="K772" s="322"/>
      <c r="L772" s="322"/>
      <c r="M772" s="322"/>
      <c r="N772" s="322"/>
      <c r="P772" s="322"/>
    </row>
    <row r="773" spans="8:16" s="357" customFormat="1" x14ac:dyDescent="0.25">
      <c r="H773" s="322"/>
      <c r="I773" s="322"/>
      <c r="J773" s="322"/>
      <c r="K773" s="322"/>
      <c r="L773" s="322"/>
      <c r="M773" s="322"/>
      <c r="N773" s="322"/>
      <c r="P773" s="322"/>
    </row>
    <row r="774" spans="8:16" s="357" customFormat="1" x14ac:dyDescent="0.25">
      <c r="H774" s="322"/>
      <c r="I774" s="322"/>
      <c r="J774" s="322"/>
      <c r="K774" s="322"/>
      <c r="L774" s="322"/>
      <c r="M774" s="322"/>
      <c r="N774" s="322"/>
      <c r="P774" s="322"/>
    </row>
    <row r="775" spans="8:16" s="357" customFormat="1" x14ac:dyDescent="0.25">
      <c r="H775" s="322"/>
      <c r="I775" s="322"/>
      <c r="J775" s="322"/>
      <c r="K775" s="322"/>
      <c r="L775" s="322"/>
      <c r="M775" s="322"/>
      <c r="N775" s="322"/>
      <c r="P775" s="322"/>
    </row>
    <row r="776" spans="8:16" s="357" customFormat="1" x14ac:dyDescent="0.25">
      <c r="H776" s="322"/>
      <c r="I776" s="322"/>
      <c r="J776" s="322"/>
      <c r="K776" s="322"/>
      <c r="L776" s="322"/>
      <c r="M776" s="322"/>
      <c r="N776" s="322"/>
      <c r="P776" s="322"/>
    </row>
    <row r="777" spans="8:16" s="357" customFormat="1" x14ac:dyDescent="0.25">
      <c r="H777" s="322"/>
      <c r="I777" s="322"/>
      <c r="J777" s="322"/>
      <c r="K777" s="322"/>
      <c r="L777" s="322"/>
      <c r="M777" s="322"/>
      <c r="N777" s="322"/>
      <c r="P777" s="322"/>
    </row>
    <row r="778" spans="8:16" s="357" customFormat="1" x14ac:dyDescent="0.25">
      <c r="H778" s="322"/>
      <c r="I778" s="322"/>
      <c r="J778" s="322"/>
      <c r="K778" s="322"/>
      <c r="L778" s="322"/>
      <c r="M778" s="322"/>
      <c r="N778" s="322"/>
      <c r="P778" s="322"/>
    </row>
    <row r="779" spans="8:16" s="357" customFormat="1" x14ac:dyDescent="0.25">
      <c r="H779" s="322"/>
      <c r="I779" s="322"/>
      <c r="J779" s="322"/>
      <c r="K779" s="322"/>
      <c r="L779" s="322"/>
      <c r="M779" s="322"/>
      <c r="N779" s="322"/>
      <c r="P779" s="322"/>
    </row>
    <row r="780" spans="8:16" s="357" customFormat="1" x14ac:dyDescent="0.25">
      <c r="H780" s="322"/>
      <c r="I780" s="322"/>
      <c r="J780" s="322"/>
      <c r="K780" s="322"/>
      <c r="L780" s="322"/>
      <c r="M780" s="322"/>
      <c r="N780" s="322"/>
      <c r="P780" s="322"/>
    </row>
    <row r="781" spans="8:16" s="357" customFormat="1" x14ac:dyDescent="0.25">
      <c r="H781" s="322"/>
      <c r="I781" s="322"/>
      <c r="J781" s="322"/>
      <c r="K781" s="322"/>
      <c r="L781" s="322"/>
      <c r="M781" s="322"/>
      <c r="N781" s="322"/>
      <c r="P781" s="322"/>
    </row>
    <row r="782" spans="8:16" s="357" customFormat="1" x14ac:dyDescent="0.25">
      <c r="H782" s="322"/>
      <c r="I782" s="322"/>
      <c r="J782" s="322"/>
      <c r="K782" s="322"/>
      <c r="L782" s="322"/>
      <c r="M782" s="322"/>
      <c r="N782" s="322"/>
      <c r="P782" s="322"/>
    </row>
    <row r="783" spans="8:16" s="357" customFormat="1" x14ac:dyDescent="0.25">
      <c r="H783" s="322"/>
      <c r="I783" s="322"/>
      <c r="J783" s="322"/>
      <c r="K783" s="322"/>
      <c r="L783" s="322"/>
      <c r="M783" s="322"/>
      <c r="N783" s="322"/>
      <c r="P783" s="322"/>
    </row>
    <row r="784" spans="8:16" s="357" customFormat="1" x14ac:dyDescent="0.25">
      <c r="H784" s="322"/>
      <c r="I784" s="322"/>
      <c r="J784" s="322"/>
      <c r="K784" s="322"/>
      <c r="L784" s="322"/>
      <c r="M784" s="322"/>
      <c r="N784" s="322"/>
      <c r="P784" s="322"/>
    </row>
    <row r="785" spans="8:16" s="357" customFormat="1" x14ac:dyDescent="0.25">
      <c r="H785" s="322"/>
      <c r="I785" s="322"/>
      <c r="J785" s="322"/>
      <c r="K785" s="322"/>
      <c r="L785" s="322"/>
      <c r="M785" s="322"/>
      <c r="N785" s="322"/>
      <c r="P785" s="322"/>
    </row>
    <row r="786" spans="8:16" s="357" customFormat="1" x14ac:dyDescent="0.25">
      <c r="H786" s="322"/>
      <c r="I786" s="322"/>
      <c r="J786" s="322"/>
      <c r="K786" s="322"/>
      <c r="L786" s="322"/>
      <c r="M786" s="322"/>
      <c r="N786" s="322"/>
      <c r="P786" s="322"/>
    </row>
    <row r="787" spans="8:16" s="357" customFormat="1" x14ac:dyDescent="0.25">
      <c r="H787" s="322"/>
      <c r="I787" s="322"/>
      <c r="J787" s="322"/>
      <c r="K787" s="322"/>
      <c r="L787" s="322"/>
      <c r="M787" s="322"/>
      <c r="N787" s="322"/>
      <c r="P787" s="322"/>
    </row>
    <row r="788" spans="8:16" s="357" customFormat="1" x14ac:dyDescent="0.25">
      <c r="H788" s="322"/>
      <c r="I788" s="322"/>
      <c r="J788" s="322"/>
      <c r="K788" s="322"/>
      <c r="L788" s="322"/>
      <c r="M788" s="322"/>
      <c r="N788" s="322"/>
      <c r="P788" s="322"/>
    </row>
    <row r="789" spans="8:16" s="357" customFormat="1" x14ac:dyDescent="0.25">
      <c r="H789" s="322"/>
      <c r="I789" s="322"/>
      <c r="J789" s="322"/>
      <c r="K789" s="322"/>
      <c r="L789" s="322"/>
      <c r="M789" s="322"/>
      <c r="N789" s="322"/>
      <c r="P789" s="322"/>
    </row>
    <row r="790" spans="8:16" s="357" customFormat="1" x14ac:dyDescent="0.25">
      <c r="H790" s="322"/>
      <c r="I790" s="322"/>
      <c r="J790" s="322"/>
      <c r="K790" s="322"/>
      <c r="L790" s="322"/>
      <c r="M790" s="322"/>
      <c r="N790" s="322"/>
      <c r="P790" s="322"/>
    </row>
    <row r="791" spans="8:16" s="357" customFormat="1" x14ac:dyDescent="0.25">
      <c r="H791" s="322"/>
      <c r="I791" s="322"/>
      <c r="J791" s="322"/>
      <c r="K791" s="322"/>
      <c r="L791" s="322"/>
      <c r="M791" s="322"/>
      <c r="N791" s="322"/>
      <c r="P791" s="322"/>
    </row>
    <row r="792" spans="8:16" s="357" customFormat="1" x14ac:dyDescent="0.25">
      <c r="H792" s="322"/>
      <c r="I792" s="322"/>
      <c r="J792" s="322"/>
      <c r="K792" s="322"/>
      <c r="L792" s="322"/>
      <c r="M792" s="322"/>
      <c r="N792" s="322"/>
      <c r="P792" s="322"/>
    </row>
    <row r="793" spans="8:16" s="357" customFormat="1" x14ac:dyDescent="0.25">
      <c r="H793" s="322"/>
      <c r="I793" s="322"/>
      <c r="J793" s="322"/>
      <c r="K793" s="322"/>
      <c r="L793" s="322"/>
      <c r="M793" s="322"/>
      <c r="N793" s="322"/>
      <c r="P793" s="322"/>
    </row>
    <row r="794" spans="8:16" s="357" customFormat="1" x14ac:dyDescent="0.25">
      <c r="H794" s="322"/>
      <c r="I794" s="322"/>
      <c r="J794" s="322"/>
      <c r="K794" s="322"/>
      <c r="L794" s="322"/>
      <c r="M794" s="322"/>
      <c r="N794" s="322"/>
      <c r="P794" s="322"/>
    </row>
    <row r="795" spans="8:16" s="357" customFormat="1" x14ac:dyDescent="0.25">
      <c r="H795" s="322"/>
      <c r="I795" s="322"/>
      <c r="J795" s="322"/>
      <c r="K795" s="322"/>
      <c r="L795" s="322"/>
      <c r="M795" s="322"/>
      <c r="N795" s="322"/>
      <c r="P795" s="322"/>
    </row>
    <row r="796" spans="8:16" s="357" customFormat="1" x14ac:dyDescent="0.25">
      <c r="H796" s="322"/>
      <c r="I796" s="322"/>
      <c r="J796" s="322"/>
      <c r="K796" s="322"/>
      <c r="L796" s="322"/>
      <c r="M796" s="322"/>
      <c r="N796" s="322"/>
      <c r="P796" s="322"/>
    </row>
    <row r="797" spans="8:16" s="357" customFormat="1" x14ac:dyDescent="0.25">
      <c r="H797" s="322"/>
      <c r="I797" s="322"/>
      <c r="J797" s="322"/>
      <c r="K797" s="322"/>
      <c r="L797" s="322"/>
      <c r="M797" s="322"/>
      <c r="N797" s="322"/>
      <c r="P797" s="322"/>
    </row>
    <row r="798" spans="8:16" s="357" customFormat="1" x14ac:dyDescent="0.25">
      <c r="H798" s="322"/>
      <c r="I798" s="322"/>
      <c r="J798" s="322"/>
      <c r="K798" s="322"/>
      <c r="L798" s="322"/>
      <c r="M798" s="322"/>
      <c r="N798" s="322"/>
      <c r="P798" s="322"/>
    </row>
    <row r="799" spans="8:16" s="357" customFormat="1" x14ac:dyDescent="0.25">
      <c r="H799" s="322"/>
      <c r="I799" s="322"/>
      <c r="J799" s="322"/>
      <c r="K799" s="322"/>
      <c r="L799" s="322"/>
      <c r="M799" s="322"/>
      <c r="N799" s="322"/>
      <c r="P799" s="322"/>
    </row>
    <row r="800" spans="8:16" s="357" customFormat="1" x14ac:dyDescent="0.25">
      <c r="H800" s="322"/>
      <c r="I800" s="322"/>
      <c r="J800" s="322"/>
      <c r="K800" s="322"/>
      <c r="L800" s="322"/>
      <c r="M800" s="322"/>
      <c r="N800" s="322"/>
      <c r="P800" s="322"/>
    </row>
    <row r="801" spans="8:16" s="357" customFormat="1" x14ac:dyDescent="0.25">
      <c r="H801" s="322"/>
      <c r="I801" s="322"/>
      <c r="J801" s="322"/>
      <c r="K801" s="322"/>
      <c r="L801" s="322"/>
      <c r="M801" s="322"/>
      <c r="N801" s="322"/>
      <c r="P801" s="322"/>
    </row>
    <row r="802" spans="8:16" s="357" customFormat="1" x14ac:dyDescent="0.25">
      <c r="H802" s="322"/>
      <c r="I802" s="322"/>
      <c r="J802" s="322"/>
      <c r="K802" s="322"/>
      <c r="L802" s="322"/>
      <c r="M802" s="322"/>
      <c r="N802" s="322"/>
      <c r="P802" s="322"/>
    </row>
    <row r="803" spans="8:16" s="357" customFormat="1" x14ac:dyDescent="0.25">
      <c r="H803" s="322"/>
      <c r="I803" s="322"/>
      <c r="J803" s="322"/>
      <c r="K803" s="322"/>
      <c r="L803" s="322"/>
      <c r="M803" s="322"/>
      <c r="N803" s="322"/>
      <c r="P803" s="322"/>
    </row>
    <row r="804" spans="8:16" s="357" customFormat="1" x14ac:dyDescent="0.25">
      <c r="H804" s="322"/>
      <c r="I804" s="322"/>
      <c r="J804" s="322"/>
      <c r="K804" s="322"/>
      <c r="L804" s="322"/>
      <c r="M804" s="322"/>
      <c r="N804" s="322"/>
      <c r="P804" s="322"/>
    </row>
    <row r="805" spans="8:16" s="357" customFormat="1" x14ac:dyDescent="0.25">
      <c r="H805" s="322"/>
      <c r="I805" s="322"/>
      <c r="J805" s="322"/>
      <c r="K805" s="322"/>
      <c r="L805" s="322"/>
      <c r="M805" s="322"/>
      <c r="N805" s="322"/>
      <c r="P805" s="322"/>
    </row>
    <row r="806" spans="8:16" s="357" customFormat="1" x14ac:dyDescent="0.25">
      <c r="H806" s="322"/>
      <c r="I806" s="322"/>
      <c r="J806" s="322"/>
      <c r="K806" s="322"/>
      <c r="L806" s="322"/>
      <c r="M806" s="322"/>
      <c r="N806" s="322"/>
      <c r="P806" s="322"/>
    </row>
    <row r="807" spans="8:16" s="357" customFormat="1" x14ac:dyDescent="0.25">
      <c r="H807" s="322"/>
      <c r="I807" s="322"/>
      <c r="J807" s="322"/>
      <c r="K807" s="322"/>
      <c r="L807" s="322"/>
      <c r="M807" s="322"/>
      <c r="N807" s="322"/>
      <c r="P807" s="322"/>
    </row>
    <row r="808" spans="8:16" s="357" customFormat="1" x14ac:dyDescent="0.25">
      <c r="H808" s="322"/>
      <c r="I808" s="322"/>
      <c r="J808" s="322"/>
      <c r="K808" s="322"/>
      <c r="L808" s="322"/>
      <c r="M808" s="322"/>
      <c r="N808" s="322"/>
      <c r="P808" s="322"/>
    </row>
    <row r="809" spans="8:16" s="357" customFormat="1" x14ac:dyDescent="0.25">
      <c r="H809" s="322"/>
      <c r="I809" s="322"/>
      <c r="J809" s="322"/>
      <c r="K809" s="322"/>
      <c r="L809" s="322"/>
      <c r="M809" s="322"/>
      <c r="N809" s="322"/>
      <c r="P809" s="322"/>
    </row>
    <row r="810" spans="8:16" s="357" customFormat="1" x14ac:dyDescent="0.25">
      <c r="H810" s="322"/>
      <c r="I810" s="322"/>
      <c r="J810" s="322"/>
      <c r="K810" s="322"/>
      <c r="L810" s="322"/>
      <c r="M810" s="322"/>
      <c r="N810" s="322"/>
      <c r="P810" s="322"/>
    </row>
    <row r="811" spans="8:16" s="357" customFormat="1" x14ac:dyDescent="0.25">
      <c r="H811" s="322"/>
      <c r="I811" s="322"/>
      <c r="J811" s="322"/>
      <c r="K811" s="322"/>
      <c r="L811" s="322"/>
      <c r="M811" s="322"/>
      <c r="N811" s="322"/>
      <c r="P811" s="322"/>
    </row>
    <row r="812" spans="8:16" s="357" customFormat="1" x14ac:dyDescent="0.25">
      <c r="H812" s="322"/>
      <c r="I812" s="322"/>
      <c r="J812" s="322"/>
      <c r="K812" s="322"/>
      <c r="L812" s="322"/>
      <c r="M812" s="322"/>
      <c r="N812" s="322"/>
      <c r="P812" s="322"/>
    </row>
    <row r="813" spans="8:16" s="357" customFormat="1" x14ac:dyDescent="0.25">
      <c r="H813" s="322"/>
      <c r="I813" s="322"/>
      <c r="J813" s="322"/>
      <c r="K813" s="322"/>
      <c r="L813" s="322"/>
      <c r="M813" s="322"/>
      <c r="N813" s="322"/>
      <c r="P813" s="322"/>
    </row>
    <row r="814" spans="8:16" s="357" customFormat="1" x14ac:dyDescent="0.25">
      <c r="H814" s="322"/>
      <c r="I814" s="322"/>
      <c r="J814" s="322"/>
      <c r="K814" s="322"/>
      <c r="L814" s="322"/>
      <c r="M814" s="322"/>
      <c r="N814" s="322"/>
      <c r="P814" s="322"/>
    </row>
    <row r="815" spans="8:16" s="357" customFormat="1" x14ac:dyDescent="0.25">
      <c r="H815" s="322"/>
      <c r="I815" s="322"/>
      <c r="J815" s="322"/>
      <c r="K815" s="322"/>
      <c r="L815" s="322"/>
      <c r="M815" s="322"/>
      <c r="N815" s="322"/>
      <c r="P815" s="322"/>
    </row>
    <row r="816" spans="8:16" s="357" customFormat="1" x14ac:dyDescent="0.25">
      <c r="H816" s="322"/>
      <c r="I816" s="322"/>
      <c r="J816" s="322"/>
      <c r="K816" s="322"/>
      <c r="L816" s="322"/>
      <c r="M816" s="322"/>
      <c r="N816" s="322"/>
      <c r="P816" s="322"/>
    </row>
    <row r="817" spans="8:16" s="357" customFormat="1" x14ac:dyDescent="0.25">
      <c r="H817" s="322"/>
      <c r="I817" s="322"/>
      <c r="J817" s="322"/>
      <c r="K817" s="322"/>
      <c r="L817" s="322"/>
      <c r="M817" s="322"/>
      <c r="N817" s="322"/>
      <c r="P817" s="322"/>
    </row>
    <row r="818" spans="8:16" s="357" customFormat="1" x14ac:dyDescent="0.25">
      <c r="H818" s="322"/>
      <c r="I818" s="322"/>
      <c r="J818" s="322"/>
      <c r="K818" s="322"/>
      <c r="L818" s="322"/>
      <c r="M818" s="322"/>
      <c r="N818" s="322"/>
      <c r="P818" s="322"/>
    </row>
    <row r="819" spans="8:16" s="357" customFormat="1" x14ac:dyDescent="0.25">
      <c r="H819" s="322"/>
      <c r="I819" s="322"/>
      <c r="J819" s="322"/>
      <c r="K819" s="322"/>
      <c r="L819" s="322"/>
      <c r="M819" s="322"/>
      <c r="N819" s="322"/>
      <c r="P819" s="322"/>
    </row>
    <row r="820" spans="8:16" s="357" customFormat="1" x14ac:dyDescent="0.25">
      <c r="H820" s="322"/>
      <c r="I820" s="322"/>
      <c r="J820" s="322"/>
      <c r="K820" s="322"/>
      <c r="L820" s="322"/>
      <c r="M820" s="322"/>
      <c r="N820" s="322"/>
      <c r="P820" s="322"/>
    </row>
    <row r="821" spans="8:16" s="357" customFormat="1" x14ac:dyDescent="0.25">
      <c r="H821" s="322"/>
      <c r="I821" s="322"/>
      <c r="J821" s="322"/>
      <c r="K821" s="322"/>
      <c r="L821" s="322"/>
      <c r="M821" s="322"/>
      <c r="N821" s="322"/>
      <c r="P821" s="322"/>
    </row>
    <row r="822" spans="8:16" s="357" customFormat="1" x14ac:dyDescent="0.25">
      <c r="H822" s="322"/>
      <c r="I822" s="322"/>
      <c r="J822" s="322"/>
      <c r="K822" s="322"/>
      <c r="L822" s="322"/>
      <c r="M822" s="322"/>
      <c r="N822" s="322"/>
      <c r="P822" s="322"/>
    </row>
    <row r="823" spans="8:16" s="357" customFormat="1" x14ac:dyDescent="0.25">
      <c r="H823" s="322"/>
      <c r="I823" s="322"/>
      <c r="J823" s="322"/>
      <c r="K823" s="322"/>
      <c r="L823" s="322"/>
      <c r="M823" s="322"/>
      <c r="N823" s="322"/>
      <c r="P823" s="322"/>
    </row>
    <row r="824" spans="8:16" s="357" customFormat="1" x14ac:dyDescent="0.25">
      <c r="H824" s="322"/>
      <c r="I824" s="322"/>
      <c r="J824" s="322"/>
      <c r="K824" s="322"/>
      <c r="L824" s="322"/>
      <c r="M824" s="322"/>
      <c r="N824" s="322"/>
      <c r="P824" s="322"/>
    </row>
    <row r="825" spans="8:16" s="357" customFormat="1" x14ac:dyDescent="0.25">
      <c r="H825" s="322"/>
      <c r="I825" s="322"/>
      <c r="J825" s="322"/>
      <c r="K825" s="322"/>
      <c r="L825" s="322"/>
      <c r="M825" s="322"/>
      <c r="N825" s="322"/>
      <c r="P825" s="322"/>
    </row>
    <row r="826" spans="8:16" s="357" customFormat="1" x14ac:dyDescent="0.25">
      <c r="H826" s="322"/>
      <c r="I826" s="322"/>
      <c r="J826" s="322"/>
      <c r="K826" s="322"/>
      <c r="L826" s="322"/>
      <c r="M826" s="322"/>
      <c r="N826" s="322"/>
      <c r="P826" s="322"/>
    </row>
    <row r="827" spans="8:16" s="357" customFormat="1" x14ac:dyDescent="0.25">
      <c r="H827" s="322"/>
      <c r="I827" s="322"/>
      <c r="J827" s="322"/>
      <c r="K827" s="322"/>
      <c r="L827" s="322"/>
      <c r="M827" s="322"/>
      <c r="N827" s="322"/>
      <c r="P827" s="322"/>
    </row>
    <row r="828" spans="8:16" s="357" customFormat="1" x14ac:dyDescent="0.25">
      <c r="H828" s="322"/>
      <c r="I828" s="322"/>
      <c r="J828" s="322"/>
      <c r="K828" s="322"/>
      <c r="L828" s="322"/>
      <c r="M828" s="322"/>
      <c r="N828" s="322"/>
      <c r="P828" s="322"/>
    </row>
    <row r="829" spans="8:16" s="357" customFormat="1" x14ac:dyDescent="0.25">
      <c r="H829" s="322"/>
      <c r="I829" s="322"/>
      <c r="J829" s="322"/>
      <c r="K829" s="322"/>
      <c r="L829" s="322"/>
      <c r="M829" s="322"/>
      <c r="N829" s="322"/>
      <c r="P829" s="322"/>
    </row>
    <row r="830" spans="8:16" s="357" customFormat="1" x14ac:dyDescent="0.25">
      <c r="H830" s="322"/>
      <c r="I830" s="322"/>
      <c r="J830" s="322"/>
      <c r="K830" s="322"/>
      <c r="L830" s="322"/>
      <c r="M830" s="322"/>
      <c r="N830" s="322"/>
      <c r="P830" s="322"/>
    </row>
    <row r="831" spans="8:16" s="357" customFormat="1" x14ac:dyDescent="0.25">
      <c r="H831" s="322"/>
      <c r="I831" s="322"/>
      <c r="J831" s="322"/>
      <c r="K831" s="322"/>
      <c r="L831" s="322"/>
      <c r="M831" s="322"/>
      <c r="N831" s="322"/>
      <c r="P831" s="322"/>
    </row>
    <row r="832" spans="8:16" s="357" customFormat="1" x14ac:dyDescent="0.25">
      <c r="H832" s="322"/>
      <c r="I832" s="322"/>
      <c r="J832" s="322"/>
      <c r="K832" s="322"/>
      <c r="L832" s="322"/>
      <c r="M832" s="322"/>
      <c r="N832" s="322"/>
      <c r="P832" s="322"/>
    </row>
    <row r="833" spans="8:16" s="357" customFormat="1" x14ac:dyDescent="0.25">
      <c r="H833" s="322"/>
      <c r="I833" s="322"/>
      <c r="J833" s="322"/>
      <c r="K833" s="322"/>
      <c r="L833" s="322"/>
      <c r="M833" s="322"/>
      <c r="N833" s="322"/>
      <c r="P833" s="322"/>
    </row>
    <row r="834" spans="8:16" s="357" customFormat="1" x14ac:dyDescent="0.25">
      <c r="H834" s="322"/>
      <c r="I834" s="322"/>
      <c r="J834" s="322"/>
      <c r="K834" s="322"/>
      <c r="L834" s="322"/>
      <c r="M834" s="322"/>
      <c r="N834" s="322"/>
      <c r="P834" s="322"/>
    </row>
    <row r="835" spans="8:16" s="357" customFormat="1" x14ac:dyDescent="0.25">
      <c r="H835" s="322"/>
      <c r="I835" s="322"/>
      <c r="J835" s="322"/>
      <c r="K835" s="322"/>
      <c r="L835" s="322"/>
      <c r="M835" s="322"/>
      <c r="N835" s="322"/>
      <c r="P835" s="322"/>
    </row>
    <row r="836" spans="8:16" s="357" customFormat="1" x14ac:dyDescent="0.25">
      <c r="H836" s="322"/>
      <c r="I836" s="322"/>
      <c r="J836" s="322"/>
      <c r="K836" s="322"/>
      <c r="L836" s="322"/>
      <c r="M836" s="322"/>
      <c r="N836" s="322"/>
      <c r="P836" s="322"/>
    </row>
    <row r="837" spans="8:16" s="357" customFormat="1" x14ac:dyDescent="0.25">
      <c r="H837" s="322"/>
      <c r="I837" s="322"/>
      <c r="J837" s="322"/>
      <c r="K837" s="322"/>
      <c r="L837" s="322"/>
      <c r="M837" s="322"/>
      <c r="N837" s="322"/>
      <c r="P837" s="322"/>
    </row>
    <row r="838" spans="8:16" s="357" customFormat="1" x14ac:dyDescent="0.25">
      <c r="H838" s="322"/>
      <c r="I838" s="322"/>
      <c r="J838" s="322"/>
      <c r="K838" s="322"/>
      <c r="L838" s="322"/>
      <c r="M838" s="322"/>
      <c r="N838" s="322"/>
      <c r="P838" s="322"/>
    </row>
    <row r="839" spans="8:16" s="357" customFormat="1" x14ac:dyDescent="0.25">
      <c r="H839" s="322"/>
      <c r="I839" s="322"/>
      <c r="J839" s="322"/>
      <c r="K839" s="322"/>
      <c r="L839" s="322"/>
      <c r="M839" s="322"/>
      <c r="N839" s="322"/>
      <c r="P839" s="322"/>
    </row>
    <row r="840" spans="8:16" s="357" customFormat="1" x14ac:dyDescent="0.25">
      <c r="H840" s="322"/>
      <c r="I840" s="322"/>
      <c r="J840" s="322"/>
      <c r="K840" s="322"/>
      <c r="L840" s="322"/>
      <c r="M840" s="322"/>
      <c r="N840" s="322"/>
      <c r="P840" s="322"/>
    </row>
    <row r="841" spans="8:16" s="357" customFormat="1" x14ac:dyDescent="0.25">
      <c r="H841" s="322"/>
      <c r="I841" s="322"/>
      <c r="J841" s="322"/>
      <c r="K841" s="322"/>
      <c r="L841" s="322"/>
      <c r="M841" s="322"/>
      <c r="N841" s="322"/>
      <c r="P841" s="322"/>
    </row>
    <row r="842" spans="8:16" s="357" customFormat="1" x14ac:dyDescent="0.25">
      <c r="H842" s="322"/>
      <c r="I842" s="322"/>
      <c r="J842" s="322"/>
      <c r="K842" s="322"/>
      <c r="L842" s="322"/>
      <c r="M842" s="322"/>
      <c r="N842" s="322"/>
      <c r="P842" s="322"/>
    </row>
    <row r="843" spans="8:16" s="357" customFormat="1" x14ac:dyDescent="0.25">
      <c r="H843" s="322"/>
      <c r="I843" s="322"/>
      <c r="J843" s="322"/>
      <c r="K843" s="322"/>
      <c r="L843" s="322"/>
      <c r="M843" s="322"/>
      <c r="N843" s="322"/>
      <c r="P843" s="322"/>
    </row>
    <row r="844" spans="8:16" s="357" customFormat="1" x14ac:dyDescent="0.25">
      <c r="H844" s="322"/>
      <c r="I844" s="322"/>
      <c r="J844" s="322"/>
      <c r="K844" s="322"/>
      <c r="L844" s="322"/>
      <c r="M844" s="322"/>
      <c r="N844" s="322"/>
      <c r="P844" s="322"/>
    </row>
    <row r="845" spans="8:16" s="357" customFormat="1" x14ac:dyDescent="0.25">
      <c r="H845" s="322"/>
      <c r="I845" s="322"/>
      <c r="J845" s="322"/>
      <c r="K845" s="322"/>
      <c r="L845" s="322"/>
      <c r="M845" s="322"/>
      <c r="N845" s="322"/>
      <c r="P845" s="322"/>
    </row>
    <row r="846" spans="8:16" s="357" customFormat="1" x14ac:dyDescent="0.25">
      <c r="H846" s="322"/>
      <c r="I846" s="322"/>
      <c r="J846" s="322"/>
      <c r="K846" s="322"/>
      <c r="L846" s="322"/>
      <c r="M846" s="322"/>
      <c r="N846" s="322"/>
      <c r="P846" s="322"/>
    </row>
    <row r="847" spans="8:16" s="357" customFormat="1" x14ac:dyDescent="0.25">
      <c r="H847" s="322"/>
      <c r="I847" s="322"/>
      <c r="J847" s="322"/>
      <c r="K847" s="322"/>
      <c r="L847" s="322"/>
      <c r="M847" s="322"/>
      <c r="N847" s="322"/>
      <c r="P847" s="322"/>
    </row>
    <row r="848" spans="8:16" s="357" customFormat="1" x14ac:dyDescent="0.25">
      <c r="H848" s="322"/>
      <c r="I848" s="322"/>
      <c r="J848" s="322"/>
      <c r="K848" s="322"/>
      <c r="L848" s="322"/>
      <c r="M848" s="322"/>
      <c r="N848" s="322"/>
      <c r="P848" s="322"/>
    </row>
    <row r="849" spans="8:16" s="357" customFormat="1" x14ac:dyDescent="0.25">
      <c r="H849" s="322"/>
      <c r="I849" s="322"/>
      <c r="J849" s="322"/>
      <c r="K849" s="322"/>
      <c r="L849" s="322"/>
      <c r="M849" s="322"/>
      <c r="N849" s="322"/>
      <c r="P849" s="322"/>
    </row>
    <row r="850" spans="8:16" s="357" customFormat="1" x14ac:dyDescent="0.25">
      <c r="H850" s="322"/>
      <c r="I850" s="322"/>
      <c r="J850" s="322"/>
      <c r="K850" s="322"/>
      <c r="L850" s="322"/>
      <c r="M850" s="322"/>
      <c r="N850" s="322"/>
      <c r="P850" s="322"/>
    </row>
    <row r="851" spans="8:16" s="357" customFormat="1" x14ac:dyDescent="0.25">
      <c r="H851" s="322"/>
      <c r="I851" s="322"/>
      <c r="J851" s="322"/>
      <c r="K851" s="322"/>
      <c r="L851" s="322"/>
      <c r="M851" s="322"/>
      <c r="N851" s="322"/>
      <c r="P851" s="322"/>
    </row>
    <row r="852" spans="8:16" s="357" customFormat="1" x14ac:dyDescent="0.25">
      <c r="H852" s="322"/>
      <c r="I852" s="322"/>
      <c r="J852" s="322"/>
      <c r="K852" s="322"/>
      <c r="L852" s="322"/>
      <c r="M852" s="322"/>
      <c r="N852" s="322"/>
      <c r="P852" s="322"/>
    </row>
    <row r="853" spans="8:16" s="357" customFormat="1" x14ac:dyDescent="0.25">
      <c r="H853" s="322"/>
      <c r="I853" s="322"/>
      <c r="J853" s="322"/>
      <c r="K853" s="322"/>
      <c r="L853" s="322"/>
      <c r="M853" s="322"/>
      <c r="N853" s="322"/>
      <c r="P853" s="322"/>
    </row>
    <row r="854" spans="8:16" s="357" customFormat="1" x14ac:dyDescent="0.25">
      <c r="H854" s="322"/>
      <c r="I854" s="322"/>
      <c r="J854" s="322"/>
      <c r="K854" s="322"/>
      <c r="L854" s="322"/>
      <c r="M854" s="322"/>
      <c r="N854" s="322"/>
      <c r="P854" s="322"/>
    </row>
    <row r="855" spans="8:16" s="357" customFormat="1" x14ac:dyDescent="0.25">
      <c r="H855" s="322"/>
      <c r="I855" s="322"/>
      <c r="J855" s="322"/>
      <c r="K855" s="322"/>
      <c r="L855" s="322"/>
      <c r="M855" s="322"/>
      <c r="N855" s="322"/>
      <c r="P855" s="322"/>
    </row>
    <row r="856" spans="8:16" s="357" customFormat="1" x14ac:dyDescent="0.25">
      <c r="H856" s="322"/>
      <c r="I856" s="322"/>
      <c r="J856" s="322"/>
      <c r="K856" s="322"/>
      <c r="L856" s="322"/>
      <c r="M856" s="322"/>
      <c r="N856" s="322"/>
      <c r="P856" s="322"/>
    </row>
    <row r="857" spans="8:16" s="357" customFormat="1" x14ac:dyDescent="0.25">
      <c r="H857" s="322"/>
      <c r="I857" s="322"/>
      <c r="J857" s="322"/>
      <c r="K857" s="322"/>
      <c r="L857" s="322"/>
      <c r="M857" s="322"/>
      <c r="N857" s="322"/>
      <c r="P857" s="322"/>
    </row>
    <row r="858" spans="8:16" s="357" customFormat="1" x14ac:dyDescent="0.25">
      <c r="H858" s="322"/>
      <c r="I858" s="322"/>
      <c r="J858" s="322"/>
      <c r="K858" s="322"/>
      <c r="L858" s="322"/>
      <c r="M858" s="322"/>
      <c r="N858" s="322"/>
      <c r="P858" s="322"/>
    </row>
    <row r="859" spans="8:16" s="357" customFormat="1" x14ac:dyDescent="0.25">
      <c r="H859" s="322"/>
      <c r="I859" s="322"/>
      <c r="J859" s="322"/>
      <c r="K859" s="322"/>
      <c r="L859" s="322"/>
      <c r="M859" s="322"/>
      <c r="N859" s="322"/>
      <c r="P859" s="322"/>
    </row>
    <row r="860" spans="8:16" s="357" customFormat="1" x14ac:dyDescent="0.25">
      <c r="H860" s="322"/>
      <c r="I860" s="322"/>
      <c r="J860" s="322"/>
      <c r="K860" s="322"/>
      <c r="L860" s="322"/>
      <c r="M860" s="322"/>
      <c r="N860" s="322"/>
      <c r="P860" s="322"/>
    </row>
    <row r="861" spans="8:16" s="357" customFormat="1" x14ac:dyDescent="0.25">
      <c r="H861" s="322"/>
      <c r="I861" s="322"/>
      <c r="J861" s="322"/>
      <c r="K861" s="322"/>
      <c r="L861" s="322"/>
      <c r="M861" s="322"/>
      <c r="N861" s="322"/>
      <c r="P861" s="322"/>
    </row>
    <row r="862" spans="8:16" s="357" customFormat="1" x14ac:dyDescent="0.25">
      <c r="H862" s="322"/>
      <c r="I862" s="322"/>
      <c r="J862" s="322"/>
      <c r="K862" s="322"/>
      <c r="L862" s="322"/>
      <c r="M862" s="322"/>
      <c r="N862" s="322"/>
      <c r="P862" s="322"/>
    </row>
    <row r="863" spans="8:16" s="357" customFormat="1" x14ac:dyDescent="0.25">
      <c r="H863" s="322"/>
      <c r="I863" s="322"/>
      <c r="J863" s="322"/>
      <c r="K863" s="322"/>
      <c r="L863" s="322"/>
      <c r="M863" s="322"/>
      <c r="N863" s="322"/>
      <c r="P863" s="322"/>
    </row>
    <row r="864" spans="8:16" s="357" customFormat="1" x14ac:dyDescent="0.25">
      <c r="H864" s="322"/>
      <c r="I864" s="322"/>
      <c r="J864" s="322"/>
      <c r="K864" s="322"/>
      <c r="L864" s="322"/>
      <c r="M864" s="322"/>
      <c r="N864" s="322"/>
      <c r="P864" s="322"/>
    </row>
    <row r="865" spans="8:16" s="357" customFormat="1" x14ac:dyDescent="0.25">
      <c r="H865" s="322"/>
      <c r="I865" s="322"/>
      <c r="J865" s="322"/>
      <c r="K865" s="322"/>
      <c r="L865" s="322"/>
      <c r="M865" s="322"/>
      <c r="N865" s="322"/>
      <c r="P865" s="322"/>
    </row>
    <row r="866" spans="8:16" s="357" customFormat="1" x14ac:dyDescent="0.25">
      <c r="H866" s="322"/>
      <c r="I866" s="322"/>
      <c r="J866" s="322"/>
      <c r="K866" s="322"/>
      <c r="L866" s="322"/>
      <c r="M866" s="322"/>
      <c r="N866" s="322"/>
      <c r="P866" s="322"/>
    </row>
    <row r="867" spans="8:16" s="357" customFormat="1" x14ac:dyDescent="0.25">
      <c r="H867" s="322"/>
      <c r="I867" s="322"/>
      <c r="J867" s="322"/>
      <c r="K867" s="322"/>
      <c r="L867" s="322"/>
      <c r="M867" s="322"/>
      <c r="N867" s="322"/>
      <c r="P867" s="322"/>
    </row>
    <row r="868" spans="8:16" s="357" customFormat="1" x14ac:dyDescent="0.25">
      <c r="H868" s="322"/>
      <c r="I868" s="322"/>
      <c r="J868" s="322"/>
      <c r="K868" s="322"/>
      <c r="L868" s="322"/>
      <c r="M868" s="322"/>
      <c r="N868" s="322"/>
      <c r="P868" s="322"/>
    </row>
    <row r="869" spans="8:16" s="357" customFormat="1" x14ac:dyDescent="0.25">
      <c r="H869" s="322"/>
      <c r="I869" s="322"/>
      <c r="J869" s="322"/>
      <c r="K869" s="322"/>
      <c r="L869" s="322"/>
      <c r="M869" s="322"/>
      <c r="N869" s="322"/>
      <c r="P869" s="322"/>
    </row>
    <row r="870" spans="8:16" s="357" customFormat="1" x14ac:dyDescent="0.25">
      <c r="H870" s="322"/>
      <c r="I870" s="322"/>
      <c r="J870" s="322"/>
      <c r="K870" s="322"/>
      <c r="L870" s="322"/>
      <c r="M870" s="322"/>
      <c r="N870" s="322"/>
      <c r="P870" s="322"/>
    </row>
    <row r="871" spans="8:16" s="357" customFormat="1" x14ac:dyDescent="0.25">
      <c r="H871" s="322"/>
      <c r="I871" s="322"/>
      <c r="J871" s="322"/>
      <c r="K871" s="322"/>
      <c r="L871" s="322"/>
      <c r="M871" s="322"/>
      <c r="N871" s="322"/>
      <c r="P871" s="322"/>
    </row>
    <row r="872" spans="8:16" s="357" customFormat="1" x14ac:dyDescent="0.25">
      <c r="H872" s="322"/>
      <c r="I872" s="322"/>
      <c r="J872" s="322"/>
      <c r="K872" s="322"/>
      <c r="L872" s="322"/>
      <c r="M872" s="322"/>
      <c r="N872" s="322"/>
      <c r="P872" s="322"/>
    </row>
    <row r="873" spans="8:16" s="357" customFormat="1" x14ac:dyDescent="0.25">
      <c r="H873" s="322"/>
      <c r="I873" s="322"/>
      <c r="J873" s="322"/>
      <c r="K873" s="322"/>
      <c r="L873" s="322"/>
      <c r="M873" s="322"/>
      <c r="N873" s="322"/>
      <c r="P873" s="322"/>
    </row>
    <row r="874" spans="8:16" s="357" customFormat="1" x14ac:dyDescent="0.25">
      <c r="H874" s="322"/>
      <c r="I874" s="322"/>
      <c r="J874" s="322"/>
      <c r="K874" s="322"/>
      <c r="L874" s="322"/>
      <c r="M874" s="322"/>
      <c r="N874" s="322"/>
      <c r="P874" s="322"/>
    </row>
    <row r="875" spans="8:16" s="357" customFormat="1" x14ac:dyDescent="0.25">
      <c r="H875" s="322"/>
      <c r="I875" s="322"/>
      <c r="J875" s="322"/>
      <c r="K875" s="322"/>
      <c r="L875" s="322"/>
      <c r="M875" s="322"/>
      <c r="N875" s="322"/>
      <c r="P875" s="322"/>
    </row>
    <row r="876" spans="8:16" s="357" customFormat="1" x14ac:dyDescent="0.25">
      <c r="H876" s="322"/>
      <c r="I876" s="322"/>
      <c r="J876" s="322"/>
      <c r="K876" s="322"/>
      <c r="L876" s="322"/>
      <c r="M876" s="322"/>
      <c r="N876" s="322"/>
      <c r="P876" s="322"/>
    </row>
    <row r="877" spans="8:16" s="357" customFormat="1" x14ac:dyDescent="0.25">
      <c r="H877" s="322"/>
      <c r="I877" s="322"/>
      <c r="J877" s="322"/>
      <c r="K877" s="322"/>
      <c r="L877" s="322"/>
      <c r="M877" s="322"/>
      <c r="N877" s="322"/>
      <c r="P877" s="322"/>
    </row>
    <row r="878" spans="8:16" s="357" customFormat="1" x14ac:dyDescent="0.25">
      <c r="H878" s="322"/>
      <c r="I878" s="322"/>
      <c r="J878" s="322"/>
      <c r="K878" s="322"/>
      <c r="L878" s="322"/>
      <c r="M878" s="322"/>
      <c r="N878" s="322"/>
      <c r="P878" s="322"/>
    </row>
    <row r="879" spans="8:16" s="357" customFormat="1" x14ac:dyDescent="0.25">
      <c r="H879" s="322"/>
      <c r="I879" s="322"/>
      <c r="J879" s="322"/>
      <c r="K879" s="322"/>
      <c r="L879" s="322"/>
      <c r="M879" s="322"/>
      <c r="N879" s="322"/>
      <c r="P879" s="322"/>
    </row>
    <row r="880" spans="8:16" s="357" customFormat="1" x14ac:dyDescent="0.25">
      <c r="H880" s="322"/>
      <c r="I880" s="322"/>
      <c r="J880" s="322"/>
      <c r="K880" s="322"/>
      <c r="L880" s="322"/>
      <c r="M880" s="322"/>
      <c r="N880" s="322"/>
      <c r="P880" s="322"/>
    </row>
    <row r="881" spans="8:16" s="357" customFormat="1" x14ac:dyDescent="0.25">
      <c r="H881" s="322"/>
      <c r="I881" s="322"/>
      <c r="J881" s="322"/>
      <c r="K881" s="322"/>
      <c r="L881" s="322"/>
      <c r="M881" s="322"/>
      <c r="N881" s="322"/>
      <c r="P881" s="322"/>
    </row>
    <row r="882" spans="8:16" s="357" customFormat="1" x14ac:dyDescent="0.25">
      <c r="H882" s="322"/>
      <c r="I882" s="322"/>
      <c r="J882" s="322"/>
      <c r="K882" s="322"/>
      <c r="L882" s="322"/>
      <c r="M882" s="322"/>
      <c r="N882" s="322"/>
      <c r="P882" s="322"/>
    </row>
    <row r="883" spans="8:16" s="357" customFormat="1" x14ac:dyDescent="0.25">
      <c r="H883" s="322"/>
      <c r="I883" s="322"/>
      <c r="J883" s="322"/>
      <c r="K883" s="322"/>
      <c r="L883" s="322"/>
      <c r="M883" s="322"/>
      <c r="N883" s="322"/>
      <c r="P883" s="322"/>
    </row>
    <row r="884" spans="8:16" s="357" customFormat="1" x14ac:dyDescent="0.25">
      <c r="H884" s="322"/>
      <c r="I884" s="322"/>
      <c r="J884" s="322"/>
      <c r="K884" s="322"/>
      <c r="L884" s="322"/>
      <c r="M884" s="322"/>
      <c r="N884" s="322"/>
      <c r="P884" s="322"/>
    </row>
    <row r="885" spans="8:16" s="357" customFormat="1" x14ac:dyDescent="0.25">
      <c r="H885" s="322"/>
      <c r="I885" s="322"/>
      <c r="J885" s="322"/>
      <c r="K885" s="322"/>
      <c r="L885" s="322"/>
      <c r="M885" s="322"/>
      <c r="N885" s="322"/>
      <c r="P885" s="322"/>
    </row>
    <row r="886" spans="8:16" s="357" customFormat="1" x14ac:dyDescent="0.25">
      <c r="H886" s="322"/>
      <c r="I886" s="322"/>
      <c r="J886" s="322"/>
      <c r="K886" s="322"/>
      <c r="L886" s="322"/>
      <c r="M886" s="322"/>
      <c r="N886" s="322"/>
      <c r="P886" s="322"/>
    </row>
    <row r="887" spans="8:16" s="357" customFormat="1" x14ac:dyDescent="0.25">
      <c r="H887" s="322"/>
      <c r="I887" s="322"/>
      <c r="J887" s="322"/>
      <c r="K887" s="322"/>
      <c r="L887" s="322"/>
      <c r="M887" s="322"/>
      <c r="N887" s="322"/>
      <c r="P887" s="322"/>
    </row>
    <row r="888" spans="8:16" s="357" customFormat="1" x14ac:dyDescent="0.25">
      <c r="H888" s="322"/>
      <c r="I888" s="322"/>
      <c r="J888" s="322"/>
      <c r="K888" s="322"/>
      <c r="L888" s="322"/>
      <c r="M888" s="322"/>
      <c r="N888" s="322"/>
      <c r="P888" s="322"/>
    </row>
    <row r="889" spans="8:16" s="357" customFormat="1" x14ac:dyDescent="0.25">
      <c r="H889" s="322"/>
      <c r="I889" s="322"/>
      <c r="J889" s="322"/>
      <c r="K889" s="322"/>
      <c r="L889" s="322"/>
      <c r="M889" s="322"/>
      <c r="N889" s="322"/>
      <c r="P889" s="322"/>
    </row>
    <row r="890" spans="8:16" s="357" customFormat="1" x14ac:dyDescent="0.25">
      <c r="H890" s="322"/>
      <c r="I890" s="322"/>
      <c r="J890" s="322"/>
      <c r="K890" s="322"/>
      <c r="L890" s="322"/>
      <c r="M890" s="322"/>
      <c r="N890" s="322"/>
      <c r="P890" s="322"/>
    </row>
    <row r="891" spans="8:16" s="357" customFormat="1" x14ac:dyDescent="0.25">
      <c r="H891" s="322"/>
      <c r="I891" s="322"/>
      <c r="J891" s="322"/>
      <c r="K891" s="322"/>
      <c r="L891" s="322"/>
      <c r="M891" s="322"/>
      <c r="N891" s="322"/>
      <c r="P891" s="322"/>
    </row>
    <row r="892" spans="8:16" s="357" customFormat="1" x14ac:dyDescent="0.25">
      <c r="H892" s="322"/>
      <c r="I892" s="322"/>
      <c r="J892" s="322"/>
      <c r="K892" s="322"/>
      <c r="L892" s="322"/>
      <c r="M892" s="322"/>
      <c r="N892" s="322"/>
      <c r="P892" s="322"/>
    </row>
    <row r="893" spans="8:16" s="357" customFormat="1" x14ac:dyDescent="0.25">
      <c r="H893" s="322"/>
      <c r="I893" s="322"/>
      <c r="J893" s="322"/>
      <c r="K893" s="322"/>
      <c r="L893" s="322"/>
      <c r="M893" s="322"/>
      <c r="N893" s="322"/>
      <c r="P893" s="322"/>
    </row>
    <row r="894" spans="8:16" s="357" customFormat="1" x14ac:dyDescent="0.25">
      <c r="H894" s="322"/>
      <c r="I894" s="322"/>
      <c r="J894" s="322"/>
      <c r="K894" s="322"/>
      <c r="L894" s="322"/>
      <c r="M894" s="322"/>
      <c r="N894" s="322"/>
      <c r="P894" s="322"/>
    </row>
    <row r="895" spans="8:16" s="357" customFormat="1" x14ac:dyDescent="0.25">
      <c r="H895" s="322"/>
      <c r="I895" s="322"/>
      <c r="J895" s="322"/>
      <c r="K895" s="322"/>
      <c r="L895" s="322"/>
      <c r="M895" s="322"/>
      <c r="N895" s="322"/>
      <c r="P895" s="322"/>
    </row>
    <row r="896" spans="8:16" s="357" customFormat="1" x14ac:dyDescent="0.25">
      <c r="H896" s="322"/>
      <c r="I896" s="322"/>
      <c r="J896" s="322"/>
      <c r="K896" s="322"/>
      <c r="L896" s="322"/>
      <c r="M896" s="322"/>
      <c r="N896" s="322"/>
      <c r="P896" s="322"/>
    </row>
    <row r="897" spans="8:16" s="357" customFormat="1" x14ac:dyDescent="0.25">
      <c r="H897" s="322"/>
      <c r="I897" s="322"/>
      <c r="J897" s="322"/>
      <c r="K897" s="322"/>
      <c r="L897" s="322"/>
      <c r="M897" s="322"/>
      <c r="N897" s="322"/>
      <c r="P897" s="322"/>
    </row>
    <row r="898" spans="8:16" s="357" customFormat="1" x14ac:dyDescent="0.25">
      <c r="H898" s="322"/>
      <c r="I898" s="322"/>
      <c r="J898" s="322"/>
      <c r="K898" s="322"/>
      <c r="L898" s="322"/>
      <c r="M898" s="322"/>
      <c r="N898" s="322"/>
      <c r="P898" s="322"/>
    </row>
    <row r="899" spans="8:16" s="357" customFormat="1" x14ac:dyDescent="0.25">
      <c r="H899" s="322"/>
      <c r="I899" s="322"/>
      <c r="J899" s="322"/>
      <c r="K899" s="322"/>
      <c r="L899" s="322"/>
      <c r="M899" s="322"/>
      <c r="N899" s="322"/>
      <c r="P899" s="322"/>
    </row>
    <row r="900" spans="8:16" s="357" customFormat="1" x14ac:dyDescent="0.25">
      <c r="H900" s="322"/>
      <c r="I900" s="322"/>
      <c r="J900" s="322"/>
      <c r="K900" s="322"/>
      <c r="L900" s="322"/>
      <c r="M900" s="322"/>
      <c r="N900" s="322"/>
      <c r="P900" s="322"/>
    </row>
    <row r="901" spans="8:16" s="357" customFormat="1" x14ac:dyDescent="0.25">
      <c r="H901" s="322"/>
      <c r="I901" s="322"/>
      <c r="J901" s="322"/>
      <c r="K901" s="322"/>
      <c r="L901" s="322"/>
      <c r="M901" s="322"/>
      <c r="N901" s="322"/>
      <c r="P901" s="322"/>
    </row>
    <row r="902" spans="8:16" s="357" customFormat="1" x14ac:dyDescent="0.25">
      <c r="H902" s="322"/>
      <c r="I902" s="322"/>
      <c r="J902" s="322"/>
      <c r="K902" s="322"/>
      <c r="L902" s="322"/>
      <c r="M902" s="322"/>
      <c r="N902" s="322"/>
      <c r="P902" s="322"/>
    </row>
    <row r="903" spans="8:16" s="357" customFormat="1" x14ac:dyDescent="0.25">
      <c r="H903" s="322"/>
      <c r="I903" s="322"/>
      <c r="J903" s="322"/>
      <c r="K903" s="322"/>
      <c r="L903" s="322"/>
      <c r="M903" s="322"/>
      <c r="N903" s="322"/>
      <c r="P903" s="322"/>
    </row>
    <row r="904" spans="8:16" s="357" customFormat="1" x14ac:dyDescent="0.25">
      <c r="H904" s="322"/>
      <c r="I904" s="322"/>
      <c r="J904" s="322"/>
      <c r="K904" s="322"/>
      <c r="L904" s="322"/>
      <c r="M904" s="322"/>
      <c r="N904" s="322"/>
      <c r="P904" s="322"/>
    </row>
    <row r="905" spans="8:16" s="357" customFormat="1" x14ac:dyDescent="0.25">
      <c r="H905" s="322"/>
      <c r="I905" s="322"/>
      <c r="J905" s="322"/>
      <c r="K905" s="322"/>
      <c r="L905" s="322"/>
      <c r="M905" s="322"/>
      <c r="N905" s="322"/>
      <c r="P905" s="322"/>
    </row>
    <row r="906" spans="8:16" s="357" customFormat="1" x14ac:dyDescent="0.25">
      <c r="H906" s="322"/>
      <c r="I906" s="322"/>
      <c r="J906" s="322"/>
      <c r="K906" s="322"/>
      <c r="L906" s="322"/>
      <c r="M906" s="322"/>
      <c r="N906" s="322"/>
      <c r="P906" s="322"/>
    </row>
    <row r="907" spans="8:16" s="357" customFormat="1" x14ac:dyDescent="0.25">
      <c r="H907" s="322"/>
      <c r="I907" s="322"/>
      <c r="J907" s="322"/>
      <c r="K907" s="322"/>
      <c r="L907" s="322"/>
      <c r="M907" s="322"/>
      <c r="N907" s="322"/>
      <c r="P907" s="322"/>
    </row>
    <row r="908" spans="8:16" s="357" customFormat="1" x14ac:dyDescent="0.25">
      <c r="H908" s="322"/>
      <c r="I908" s="322"/>
      <c r="J908" s="322"/>
      <c r="K908" s="322"/>
      <c r="L908" s="322"/>
      <c r="M908" s="322"/>
      <c r="N908" s="322"/>
      <c r="P908" s="322"/>
    </row>
    <row r="909" spans="8:16" s="357" customFormat="1" x14ac:dyDescent="0.25">
      <c r="H909" s="322"/>
      <c r="I909" s="322"/>
      <c r="J909" s="322"/>
      <c r="K909" s="322"/>
      <c r="L909" s="322"/>
      <c r="M909" s="322"/>
      <c r="N909" s="322"/>
      <c r="P909" s="322"/>
    </row>
    <row r="910" spans="8:16" s="357" customFormat="1" x14ac:dyDescent="0.25">
      <c r="H910" s="322"/>
      <c r="I910" s="322"/>
      <c r="J910" s="322"/>
      <c r="K910" s="322"/>
      <c r="L910" s="322"/>
      <c r="M910" s="322"/>
      <c r="N910" s="322"/>
      <c r="P910" s="322"/>
    </row>
    <row r="911" spans="8:16" s="357" customFormat="1" x14ac:dyDescent="0.25">
      <c r="H911" s="322"/>
      <c r="I911" s="322"/>
      <c r="J911" s="322"/>
      <c r="K911" s="322"/>
      <c r="L911" s="322"/>
      <c r="M911" s="322"/>
      <c r="N911" s="322"/>
      <c r="P911" s="322"/>
    </row>
    <row r="912" spans="8:16" s="357" customFormat="1" x14ac:dyDescent="0.25">
      <c r="H912" s="322"/>
      <c r="I912" s="322"/>
      <c r="J912" s="322"/>
      <c r="K912" s="322"/>
      <c r="L912" s="322"/>
      <c r="M912" s="322"/>
      <c r="N912" s="322"/>
      <c r="P912" s="322"/>
    </row>
    <row r="913" spans="8:16" s="357" customFormat="1" x14ac:dyDescent="0.25">
      <c r="H913" s="322"/>
      <c r="I913" s="322"/>
      <c r="J913" s="322"/>
      <c r="K913" s="322"/>
      <c r="L913" s="322"/>
      <c r="M913" s="322"/>
      <c r="N913" s="322"/>
      <c r="P913" s="322"/>
    </row>
    <row r="914" spans="8:16" s="357" customFormat="1" x14ac:dyDescent="0.25">
      <c r="H914" s="322"/>
      <c r="I914" s="322"/>
      <c r="J914" s="322"/>
      <c r="K914" s="322"/>
      <c r="L914" s="322"/>
      <c r="M914" s="322"/>
      <c r="N914" s="322"/>
      <c r="P914" s="322"/>
    </row>
    <row r="915" spans="8:16" s="357" customFormat="1" x14ac:dyDescent="0.25">
      <c r="H915" s="322"/>
      <c r="I915" s="322"/>
      <c r="J915" s="322"/>
      <c r="K915" s="322"/>
      <c r="L915" s="322"/>
      <c r="M915" s="322"/>
      <c r="N915" s="322"/>
      <c r="P915" s="322"/>
    </row>
    <row r="916" spans="8:16" s="357" customFormat="1" x14ac:dyDescent="0.25">
      <c r="H916" s="322"/>
      <c r="I916" s="322"/>
      <c r="J916" s="322"/>
      <c r="K916" s="322"/>
      <c r="L916" s="322"/>
      <c r="M916" s="322"/>
      <c r="N916" s="322"/>
      <c r="P916" s="322"/>
    </row>
    <row r="917" spans="8:16" s="357" customFormat="1" x14ac:dyDescent="0.25">
      <c r="H917" s="322"/>
      <c r="I917" s="322"/>
      <c r="J917" s="322"/>
      <c r="K917" s="322"/>
      <c r="L917" s="322"/>
      <c r="M917" s="322"/>
      <c r="N917" s="322"/>
      <c r="P917" s="322"/>
    </row>
    <row r="918" spans="8:16" s="357" customFormat="1" x14ac:dyDescent="0.25">
      <c r="H918" s="322"/>
      <c r="I918" s="322"/>
      <c r="J918" s="322"/>
      <c r="K918" s="322"/>
      <c r="L918" s="322"/>
      <c r="M918" s="322"/>
      <c r="N918" s="322"/>
      <c r="P918" s="322"/>
    </row>
    <row r="919" spans="8:16" s="357" customFormat="1" x14ac:dyDescent="0.25">
      <c r="H919" s="322"/>
      <c r="I919" s="322"/>
      <c r="J919" s="322"/>
      <c r="K919" s="322"/>
      <c r="L919" s="322"/>
      <c r="M919" s="322"/>
      <c r="N919" s="322"/>
      <c r="P919" s="322"/>
    </row>
    <row r="920" spans="8:16" s="357" customFormat="1" x14ac:dyDescent="0.25">
      <c r="H920" s="322"/>
      <c r="I920" s="322"/>
      <c r="J920" s="322"/>
      <c r="K920" s="322"/>
      <c r="L920" s="322"/>
      <c r="M920" s="322"/>
      <c r="N920" s="322"/>
      <c r="P920" s="322"/>
    </row>
    <row r="921" spans="8:16" s="357" customFormat="1" x14ac:dyDescent="0.25">
      <c r="H921" s="322"/>
      <c r="I921" s="322"/>
      <c r="J921" s="322"/>
      <c r="K921" s="322"/>
      <c r="L921" s="322"/>
      <c r="M921" s="322"/>
      <c r="N921" s="322"/>
      <c r="P921" s="322"/>
    </row>
    <row r="922" spans="8:16" s="357" customFormat="1" x14ac:dyDescent="0.25">
      <c r="H922" s="322"/>
      <c r="I922" s="322"/>
      <c r="J922" s="322"/>
      <c r="K922" s="322"/>
      <c r="L922" s="322"/>
      <c r="M922" s="322"/>
      <c r="N922" s="322"/>
      <c r="P922" s="322"/>
    </row>
    <row r="923" spans="8:16" s="357" customFormat="1" x14ac:dyDescent="0.25">
      <c r="H923" s="322"/>
      <c r="I923" s="322"/>
      <c r="J923" s="322"/>
      <c r="K923" s="322"/>
      <c r="L923" s="322"/>
      <c r="M923" s="322"/>
      <c r="N923" s="322"/>
      <c r="P923" s="322"/>
    </row>
    <row r="924" spans="8:16" s="357" customFormat="1" x14ac:dyDescent="0.25">
      <c r="H924" s="322"/>
      <c r="I924" s="322"/>
      <c r="J924" s="322"/>
      <c r="K924" s="322"/>
      <c r="L924" s="322"/>
      <c r="M924" s="322"/>
      <c r="N924" s="322"/>
      <c r="P924" s="322"/>
    </row>
    <row r="925" spans="8:16" s="357" customFormat="1" x14ac:dyDescent="0.25">
      <c r="H925" s="322"/>
      <c r="I925" s="322"/>
      <c r="J925" s="322"/>
      <c r="K925" s="322"/>
      <c r="L925" s="322"/>
      <c r="M925" s="322"/>
      <c r="N925" s="322"/>
      <c r="P925" s="322"/>
    </row>
    <row r="926" spans="8:16" s="357" customFormat="1" x14ac:dyDescent="0.25">
      <c r="H926" s="322"/>
      <c r="I926" s="322"/>
      <c r="J926" s="322"/>
      <c r="K926" s="322"/>
      <c r="L926" s="322"/>
      <c r="M926" s="322"/>
      <c r="N926" s="322"/>
      <c r="P926" s="322"/>
    </row>
    <row r="927" spans="8:16" s="357" customFormat="1" x14ac:dyDescent="0.25">
      <c r="H927" s="322"/>
      <c r="I927" s="322"/>
      <c r="J927" s="322"/>
      <c r="K927" s="322"/>
      <c r="L927" s="322"/>
      <c r="M927" s="322"/>
      <c r="N927" s="322"/>
      <c r="P927" s="322"/>
    </row>
    <row r="928" spans="8:16" s="357" customFormat="1" x14ac:dyDescent="0.25">
      <c r="H928" s="322"/>
      <c r="I928" s="322"/>
      <c r="J928" s="322"/>
      <c r="K928" s="322"/>
      <c r="L928" s="322"/>
      <c r="M928" s="322"/>
      <c r="N928" s="322"/>
      <c r="P928" s="322"/>
    </row>
    <row r="929" spans="8:16" s="357" customFormat="1" x14ac:dyDescent="0.25">
      <c r="H929" s="322"/>
      <c r="I929" s="322"/>
      <c r="J929" s="322"/>
      <c r="K929" s="322"/>
      <c r="L929" s="322"/>
      <c r="M929" s="322"/>
      <c r="N929" s="322"/>
      <c r="P929" s="322"/>
    </row>
    <row r="930" spans="8:16" s="357" customFormat="1" x14ac:dyDescent="0.25">
      <c r="H930" s="322"/>
      <c r="I930" s="322"/>
      <c r="J930" s="322"/>
      <c r="K930" s="322"/>
      <c r="L930" s="322"/>
      <c r="M930" s="322"/>
      <c r="N930" s="322"/>
      <c r="P930" s="322"/>
    </row>
    <row r="931" spans="8:16" s="357" customFormat="1" x14ac:dyDescent="0.25">
      <c r="H931" s="322"/>
      <c r="I931" s="322"/>
      <c r="J931" s="322"/>
      <c r="K931" s="322"/>
      <c r="L931" s="322"/>
      <c r="M931" s="322"/>
      <c r="N931" s="322"/>
      <c r="P931" s="322"/>
    </row>
    <row r="932" spans="8:16" s="357" customFormat="1" x14ac:dyDescent="0.25">
      <c r="H932" s="322"/>
      <c r="I932" s="322"/>
      <c r="J932" s="322"/>
      <c r="K932" s="322"/>
      <c r="L932" s="322"/>
      <c r="M932" s="322"/>
      <c r="N932" s="322"/>
      <c r="P932" s="322"/>
    </row>
    <row r="933" spans="8:16" s="357" customFormat="1" x14ac:dyDescent="0.25">
      <c r="H933" s="322"/>
      <c r="I933" s="322"/>
      <c r="J933" s="322"/>
      <c r="K933" s="322"/>
      <c r="L933" s="322"/>
      <c r="M933" s="322"/>
      <c r="N933" s="322"/>
      <c r="P933" s="322"/>
    </row>
    <row r="934" spans="8:16" s="357" customFormat="1" x14ac:dyDescent="0.25">
      <c r="H934" s="322"/>
      <c r="I934" s="322"/>
      <c r="J934" s="322"/>
      <c r="K934" s="322"/>
      <c r="L934" s="322"/>
      <c r="M934" s="322"/>
      <c r="N934" s="322"/>
      <c r="P934" s="322"/>
    </row>
    <row r="935" spans="8:16" s="357" customFormat="1" x14ac:dyDescent="0.25">
      <c r="H935" s="322"/>
      <c r="I935" s="322"/>
      <c r="J935" s="322"/>
      <c r="K935" s="322"/>
      <c r="L935" s="322"/>
      <c r="M935" s="322"/>
      <c r="N935" s="322"/>
      <c r="P935" s="322"/>
    </row>
    <row r="936" spans="8:16" s="357" customFormat="1" x14ac:dyDescent="0.25">
      <c r="H936" s="322"/>
      <c r="I936" s="322"/>
      <c r="J936" s="322"/>
      <c r="K936" s="322"/>
      <c r="L936" s="322"/>
      <c r="M936" s="322"/>
      <c r="N936" s="322"/>
      <c r="P936" s="322"/>
    </row>
    <row r="937" spans="8:16" s="357" customFormat="1" x14ac:dyDescent="0.25">
      <c r="H937" s="322"/>
      <c r="I937" s="322"/>
      <c r="J937" s="322"/>
      <c r="K937" s="322"/>
      <c r="L937" s="322"/>
      <c r="M937" s="322"/>
      <c r="N937" s="322"/>
      <c r="P937" s="322"/>
    </row>
    <row r="938" spans="8:16" s="357" customFormat="1" x14ac:dyDescent="0.25">
      <c r="H938" s="322"/>
      <c r="I938" s="322"/>
      <c r="J938" s="322"/>
      <c r="K938" s="322"/>
      <c r="L938" s="322"/>
      <c r="M938" s="322"/>
      <c r="N938" s="322"/>
      <c r="P938" s="322"/>
    </row>
    <row r="939" spans="8:16" s="357" customFormat="1" x14ac:dyDescent="0.25">
      <c r="H939" s="322"/>
      <c r="I939" s="322"/>
      <c r="J939" s="322"/>
      <c r="K939" s="322"/>
      <c r="L939" s="322"/>
      <c r="M939" s="322"/>
      <c r="N939" s="322"/>
      <c r="P939" s="322"/>
    </row>
    <row r="940" spans="8:16" s="357" customFormat="1" x14ac:dyDescent="0.25">
      <c r="H940" s="322"/>
      <c r="I940" s="322"/>
      <c r="J940" s="322"/>
      <c r="K940" s="322"/>
      <c r="L940" s="322"/>
      <c r="M940" s="322"/>
      <c r="N940" s="322"/>
      <c r="P940" s="322"/>
    </row>
    <row r="941" spans="8:16" s="357" customFormat="1" x14ac:dyDescent="0.25">
      <c r="H941" s="322"/>
      <c r="I941" s="322"/>
      <c r="J941" s="322"/>
      <c r="K941" s="322"/>
      <c r="L941" s="322"/>
      <c r="M941" s="322"/>
      <c r="N941" s="322"/>
      <c r="P941" s="322"/>
    </row>
    <row r="942" spans="8:16" s="357" customFormat="1" x14ac:dyDescent="0.25">
      <c r="H942" s="322"/>
      <c r="I942" s="322"/>
      <c r="J942" s="322"/>
      <c r="K942" s="322"/>
      <c r="L942" s="322"/>
      <c r="M942" s="322"/>
      <c r="N942" s="322"/>
      <c r="P942" s="322"/>
    </row>
    <row r="943" spans="8:16" s="357" customFormat="1" x14ac:dyDescent="0.25">
      <c r="H943" s="322"/>
      <c r="I943" s="322"/>
      <c r="J943" s="322"/>
      <c r="K943" s="322"/>
      <c r="L943" s="322"/>
      <c r="M943" s="322"/>
      <c r="N943" s="322"/>
      <c r="P943" s="322"/>
    </row>
    <row r="944" spans="8:16" s="357" customFormat="1" x14ac:dyDescent="0.25">
      <c r="H944" s="322"/>
      <c r="I944" s="322"/>
      <c r="J944" s="322"/>
      <c r="K944" s="322"/>
      <c r="L944" s="322"/>
      <c r="M944" s="322"/>
      <c r="N944" s="322"/>
      <c r="P944" s="322"/>
    </row>
    <row r="945" spans="8:16" s="357" customFormat="1" x14ac:dyDescent="0.25">
      <c r="H945" s="322"/>
      <c r="I945" s="322"/>
      <c r="J945" s="322"/>
      <c r="K945" s="322"/>
      <c r="L945" s="322"/>
      <c r="M945" s="322"/>
      <c r="N945" s="322"/>
      <c r="P945" s="322"/>
    </row>
    <row r="946" spans="8:16" s="357" customFormat="1" x14ac:dyDescent="0.25">
      <c r="H946" s="322"/>
      <c r="I946" s="322"/>
      <c r="J946" s="322"/>
      <c r="K946" s="322"/>
      <c r="L946" s="322"/>
      <c r="M946" s="322"/>
      <c r="N946" s="322"/>
      <c r="P946" s="322"/>
    </row>
    <row r="947" spans="8:16" s="357" customFormat="1" x14ac:dyDescent="0.25">
      <c r="H947" s="322"/>
      <c r="I947" s="322"/>
      <c r="J947" s="322"/>
      <c r="K947" s="322"/>
      <c r="L947" s="322"/>
      <c r="M947" s="322"/>
      <c r="N947" s="322"/>
      <c r="P947" s="322"/>
    </row>
    <row r="948" spans="8:16" s="357" customFormat="1" x14ac:dyDescent="0.25">
      <c r="H948" s="322"/>
      <c r="I948" s="322"/>
      <c r="J948" s="322"/>
      <c r="K948" s="322"/>
      <c r="L948" s="322"/>
      <c r="M948" s="322"/>
      <c r="N948" s="322"/>
      <c r="P948" s="322"/>
    </row>
    <row r="949" spans="8:16" s="357" customFormat="1" x14ac:dyDescent="0.25">
      <c r="H949" s="322"/>
      <c r="I949" s="322"/>
      <c r="J949" s="322"/>
      <c r="K949" s="322"/>
      <c r="L949" s="322"/>
      <c r="M949" s="322"/>
      <c r="N949" s="322"/>
      <c r="P949" s="322"/>
    </row>
    <row r="950" spans="8:16" s="357" customFormat="1" x14ac:dyDescent="0.25">
      <c r="H950" s="322"/>
      <c r="I950" s="322"/>
      <c r="J950" s="322"/>
      <c r="K950" s="322"/>
      <c r="L950" s="322"/>
      <c r="M950" s="322"/>
      <c r="N950" s="322"/>
      <c r="P950" s="322"/>
    </row>
    <row r="951" spans="8:16" s="357" customFormat="1" x14ac:dyDescent="0.25">
      <c r="H951" s="322"/>
      <c r="I951" s="322"/>
      <c r="J951" s="322"/>
      <c r="K951" s="322"/>
      <c r="L951" s="322"/>
      <c r="M951" s="322"/>
      <c r="N951" s="322"/>
      <c r="P951" s="322"/>
    </row>
    <row r="952" spans="8:16" s="357" customFormat="1" x14ac:dyDescent="0.25">
      <c r="H952" s="322"/>
      <c r="I952" s="322"/>
      <c r="J952" s="322"/>
      <c r="K952" s="322"/>
      <c r="L952" s="322"/>
      <c r="M952" s="322"/>
      <c r="N952" s="322"/>
      <c r="P952" s="322"/>
    </row>
    <row r="953" spans="8:16" s="357" customFormat="1" x14ac:dyDescent="0.25">
      <c r="H953" s="322"/>
      <c r="I953" s="322"/>
      <c r="J953" s="322"/>
      <c r="K953" s="322"/>
      <c r="L953" s="322"/>
      <c r="M953" s="322"/>
      <c r="N953" s="322"/>
      <c r="P953" s="322"/>
    </row>
    <row r="954" spans="8:16" s="357" customFormat="1" x14ac:dyDescent="0.25">
      <c r="H954" s="322"/>
      <c r="I954" s="322"/>
      <c r="J954" s="322"/>
      <c r="K954" s="322"/>
      <c r="L954" s="322"/>
      <c r="M954" s="322"/>
      <c r="N954" s="322"/>
      <c r="P954" s="322"/>
    </row>
    <row r="955" spans="8:16" s="357" customFormat="1" x14ac:dyDescent="0.25">
      <c r="H955" s="322"/>
      <c r="I955" s="322"/>
      <c r="J955" s="322"/>
      <c r="K955" s="322"/>
      <c r="L955" s="322"/>
      <c r="M955" s="322"/>
      <c r="N955" s="322"/>
      <c r="P955" s="322"/>
    </row>
    <row r="956" spans="8:16" s="357" customFormat="1" x14ac:dyDescent="0.25">
      <c r="H956" s="322"/>
      <c r="I956" s="322"/>
      <c r="J956" s="322"/>
      <c r="K956" s="322"/>
      <c r="L956" s="322"/>
      <c r="M956" s="322"/>
      <c r="N956" s="322"/>
      <c r="P956" s="322"/>
    </row>
    <row r="957" spans="8:16" s="357" customFormat="1" x14ac:dyDescent="0.25">
      <c r="H957" s="322"/>
      <c r="I957" s="322"/>
      <c r="J957" s="322"/>
      <c r="K957" s="322"/>
      <c r="L957" s="322"/>
      <c r="M957" s="322"/>
      <c r="N957" s="322"/>
      <c r="P957" s="322"/>
    </row>
    <row r="958" spans="8:16" s="357" customFormat="1" x14ac:dyDescent="0.25">
      <c r="H958" s="322"/>
      <c r="I958" s="322"/>
      <c r="J958" s="322"/>
      <c r="K958" s="322"/>
      <c r="L958" s="322"/>
      <c r="M958" s="322"/>
      <c r="N958" s="322"/>
      <c r="P958" s="322"/>
    </row>
    <row r="959" spans="8:16" s="357" customFormat="1" x14ac:dyDescent="0.25">
      <c r="H959" s="322"/>
      <c r="I959" s="322"/>
      <c r="J959" s="322"/>
      <c r="K959" s="322"/>
      <c r="L959" s="322"/>
      <c r="M959" s="322"/>
      <c r="N959" s="322"/>
      <c r="P959" s="322"/>
    </row>
    <row r="960" spans="8:16" s="357" customFormat="1" x14ac:dyDescent="0.25">
      <c r="H960" s="322"/>
      <c r="I960" s="322"/>
      <c r="J960" s="322"/>
      <c r="K960" s="322"/>
      <c r="L960" s="322"/>
      <c r="M960" s="322"/>
      <c r="N960" s="322"/>
      <c r="P960" s="322"/>
    </row>
    <row r="961" spans="8:16" s="357" customFormat="1" x14ac:dyDescent="0.25">
      <c r="H961" s="322"/>
      <c r="I961" s="322"/>
      <c r="J961" s="322"/>
      <c r="K961" s="322"/>
      <c r="L961" s="322"/>
      <c r="M961" s="322"/>
      <c r="N961" s="322"/>
      <c r="P961" s="322"/>
    </row>
    <row r="962" spans="8:16" s="357" customFormat="1" x14ac:dyDescent="0.25">
      <c r="H962" s="322"/>
      <c r="I962" s="322"/>
      <c r="J962" s="322"/>
      <c r="K962" s="322"/>
      <c r="L962" s="322"/>
      <c r="M962" s="322"/>
      <c r="N962" s="322"/>
      <c r="P962" s="322"/>
    </row>
    <row r="963" spans="8:16" s="357" customFormat="1" x14ac:dyDescent="0.25">
      <c r="H963" s="322"/>
      <c r="I963" s="322"/>
      <c r="J963" s="322"/>
      <c r="K963" s="322"/>
      <c r="L963" s="322"/>
      <c r="M963" s="322"/>
      <c r="N963" s="322"/>
      <c r="P963" s="322"/>
    </row>
    <row r="964" spans="8:16" s="357" customFormat="1" x14ac:dyDescent="0.25">
      <c r="H964" s="322"/>
      <c r="I964" s="322"/>
      <c r="J964" s="322"/>
      <c r="K964" s="322"/>
      <c r="L964" s="322"/>
      <c r="M964" s="322"/>
      <c r="N964" s="322"/>
      <c r="P964" s="322"/>
    </row>
    <row r="965" spans="8:16" s="357" customFormat="1" x14ac:dyDescent="0.25">
      <c r="H965" s="322"/>
      <c r="I965" s="322"/>
      <c r="J965" s="322"/>
      <c r="K965" s="322"/>
      <c r="L965" s="322"/>
      <c r="M965" s="322"/>
      <c r="N965" s="322"/>
      <c r="P965" s="322"/>
    </row>
    <row r="966" spans="8:16" s="357" customFormat="1" x14ac:dyDescent="0.25">
      <c r="H966" s="322"/>
      <c r="I966" s="322"/>
      <c r="J966" s="322"/>
      <c r="K966" s="322"/>
      <c r="L966" s="322"/>
      <c r="M966" s="322"/>
      <c r="N966" s="322"/>
      <c r="P966" s="322"/>
    </row>
    <row r="967" spans="8:16" s="357" customFormat="1" x14ac:dyDescent="0.25">
      <c r="H967" s="322"/>
      <c r="I967" s="322"/>
      <c r="J967" s="322"/>
      <c r="K967" s="322"/>
      <c r="L967" s="322"/>
      <c r="M967" s="322"/>
      <c r="N967" s="322"/>
      <c r="P967" s="322"/>
    </row>
    <row r="968" spans="8:16" s="357" customFormat="1" x14ac:dyDescent="0.25">
      <c r="H968" s="322"/>
      <c r="I968" s="322"/>
      <c r="J968" s="322"/>
      <c r="K968" s="322"/>
      <c r="L968" s="322"/>
      <c r="M968" s="322"/>
      <c r="N968" s="322"/>
      <c r="P968" s="322"/>
    </row>
    <row r="969" spans="8:16" s="357" customFormat="1" x14ac:dyDescent="0.25">
      <c r="H969" s="322"/>
      <c r="I969" s="322"/>
      <c r="J969" s="322"/>
      <c r="K969" s="322"/>
      <c r="L969" s="322"/>
      <c r="M969" s="322"/>
      <c r="N969" s="322"/>
      <c r="P969" s="322"/>
    </row>
    <row r="970" spans="8:16" s="357" customFormat="1" x14ac:dyDescent="0.25">
      <c r="H970" s="322"/>
      <c r="I970" s="322"/>
      <c r="J970" s="322"/>
      <c r="K970" s="322"/>
      <c r="L970" s="322"/>
      <c r="M970" s="322"/>
      <c r="N970" s="322"/>
      <c r="P970" s="322"/>
    </row>
    <row r="971" spans="8:16" s="357" customFormat="1" x14ac:dyDescent="0.25">
      <c r="H971" s="322"/>
      <c r="I971" s="322"/>
      <c r="J971" s="322"/>
      <c r="K971" s="322"/>
      <c r="L971" s="322"/>
      <c r="M971" s="322"/>
      <c r="N971" s="322"/>
      <c r="P971" s="322"/>
    </row>
    <row r="972" spans="8:16" s="357" customFormat="1" x14ac:dyDescent="0.25">
      <c r="H972" s="322"/>
      <c r="I972" s="322"/>
      <c r="J972" s="322"/>
      <c r="K972" s="322"/>
      <c r="L972" s="322"/>
      <c r="M972" s="322"/>
      <c r="N972" s="322"/>
      <c r="P972" s="322"/>
    </row>
    <row r="973" spans="8:16" s="357" customFormat="1" x14ac:dyDescent="0.25">
      <c r="H973" s="322"/>
      <c r="I973" s="322"/>
      <c r="J973" s="322"/>
      <c r="K973" s="322"/>
      <c r="L973" s="322"/>
      <c r="M973" s="322"/>
      <c r="N973" s="322"/>
      <c r="P973" s="322"/>
    </row>
    <row r="974" spans="8:16" s="357" customFormat="1" x14ac:dyDescent="0.25">
      <c r="H974" s="322"/>
      <c r="I974" s="322"/>
      <c r="J974" s="322"/>
      <c r="K974" s="322"/>
      <c r="L974" s="322"/>
      <c r="M974" s="322"/>
      <c r="N974" s="322"/>
      <c r="P974" s="322"/>
    </row>
    <row r="975" spans="8:16" s="357" customFormat="1" x14ac:dyDescent="0.25">
      <c r="H975" s="322"/>
      <c r="I975" s="322"/>
      <c r="J975" s="322"/>
      <c r="K975" s="322"/>
      <c r="L975" s="322"/>
      <c r="M975" s="322"/>
      <c r="N975" s="322"/>
      <c r="P975" s="322"/>
    </row>
    <row r="976" spans="8:16" s="357" customFormat="1" x14ac:dyDescent="0.25">
      <c r="H976" s="322"/>
      <c r="I976" s="322"/>
      <c r="J976" s="322"/>
      <c r="K976" s="322"/>
      <c r="L976" s="322"/>
      <c r="M976" s="322"/>
      <c r="N976" s="322"/>
      <c r="P976" s="322"/>
    </row>
    <row r="977" spans="8:16" s="357" customFormat="1" x14ac:dyDescent="0.25">
      <c r="H977" s="322"/>
      <c r="I977" s="322"/>
      <c r="J977" s="322"/>
      <c r="K977" s="322"/>
      <c r="L977" s="322"/>
      <c r="M977" s="322"/>
      <c r="N977" s="322"/>
      <c r="P977" s="322"/>
    </row>
    <row r="978" spans="8:16" s="357" customFormat="1" x14ac:dyDescent="0.25">
      <c r="H978" s="322"/>
      <c r="I978" s="322"/>
      <c r="J978" s="322"/>
      <c r="K978" s="322"/>
      <c r="L978" s="322"/>
      <c r="M978" s="322"/>
      <c r="N978" s="322"/>
      <c r="P978" s="322"/>
    </row>
  </sheetData>
  <mergeCells count="378">
    <mergeCell ref="A58:P58"/>
    <mergeCell ref="A87:P87"/>
    <mergeCell ref="A127:P127"/>
    <mergeCell ref="A168:P168"/>
    <mergeCell ref="A209:P209"/>
    <mergeCell ref="A148:F148"/>
    <mergeCell ref="A150:F150"/>
    <mergeCell ref="A149:F149"/>
    <mergeCell ref="A151:F151"/>
    <mergeCell ref="A155:F155"/>
    <mergeCell ref="A156:F156"/>
    <mergeCell ref="A154:F154"/>
    <mergeCell ref="A153:F153"/>
    <mergeCell ref="A162:F162"/>
    <mergeCell ref="A163:F163"/>
    <mergeCell ref="A167:F167"/>
    <mergeCell ref="A190:F190"/>
    <mergeCell ref="A191:F191"/>
    <mergeCell ref="A192:F192"/>
    <mergeCell ref="A193:F193"/>
    <mergeCell ref="A194:F194"/>
    <mergeCell ref="A195:F195"/>
    <mergeCell ref="A204:F204"/>
    <mergeCell ref="I200:I201"/>
    <mergeCell ref="M200:M201"/>
    <mergeCell ref="L183:L184"/>
    <mergeCell ref="M183:M184"/>
    <mergeCell ref="I187:I188"/>
    <mergeCell ref="J187:J188"/>
    <mergeCell ref="K187:K188"/>
    <mergeCell ref="L187:L188"/>
    <mergeCell ref="M187:M188"/>
    <mergeCell ref="I198:I199"/>
    <mergeCell ref="J198:J199"/>
    <mergeCell ref="K198:K199"/>
    <mergeCell ref="L198:L199"/>
    <mergeCell ref="M198:M199"/>
    <mergeCell ref="A228:F228"/>
    <mergeCell ref="A225:F225"/>
    <mergeCell ref="A227:F227"/>
    <mergeCell ref="A206:F206"/>
    <mergeCell ref="A177:F177"/>
    <mergeCell ref="A178:F178"/>
    <mergeCell ref="A196:F196"/>
    <mergeCell ref="A197:F197"/>
    <mergeCell ref="A189:F189"/>
    <mergeCell ref="A187:F188"/>
    <mergeCell ref="A207:F207"/>
    <mergeCell ref="A208:F208"/>
    <mergeCell ref="A210:F210"/>
    <mergeCell ref="A223:F223"/>
    <mergeCell ref="A224:F224"/>
    <mergeCell ref="A226:F226"/>
    <mergeCell ref="A211:F211"/>
    <mergeCell ref="A213:F213"/>
    <mergeCell ref="A217:F217"/>
    <mergeCell ref="A220:F220"/>
    <mergeCell ref="A214:F214"/>
    <mergeCell ref="A205:F205"/>
    <mergeCell ref="A183:F184"/>
    <mergeCell ref="A179:F180"/>
    <mergeCell ref="N88:N89"/>
    <mergeCell ref="N97:N98"/>
    <mergeCell ref="N105:N106"/>
    <mergeCell ref="N169:N170"/>
    <mergeCell ref="N140:N141"/>
    <mergeCell ref="N138:N139"/>
    <mergeCell ref="N92:N93"/>
    <mergeCell ref="N159:N160"/>
    <mergeCell ref="N99:N100"/>
    <mergeCell ref="N94:N95"/>
    <mergeCell ref="N116:N117"/>
    <mergeCell ref="N90:N91"/>
    <mergeCell ref="N101:N102"/>
    <mergeCell ref="P118:P119"/>
    <mergeCell ref="P134:P135"/>
    <mergeCell ref="L90:L91"/>
    <mergeCell ref="L92:L93"/>
    <mergeCell ref="L88:L89"/>
    <mergeCell ref="L99:L100"/>
    <mergeCell ref="L101:L102"/>
    <mergeCell ref="A17:F17"/>
    <mergeCell ref="A25:F25"/>
    <mergeCell ref="A24:F24"/>
    <mergeCell ref="A20:F20"/>
    <mergeCell ref="A28:F28"/>
    <mergeCell ref="A90:F91"/>
    <mergeCell ref="A92:F93"/>
    <mergeCell ref="A94:F95"/>
    <mergeCell ref="A88:F89"/>
    <mergeCell ref="A101:F102"/>
    <mergeCell ref="A59:F59"/>
    <mergeCell ref="A60:F60"/>
    <mergeCell ref="A61:F61"/>
    <mergeCell ref="A62:F62"/>
    <mergeCell ref="A57:F57"/>
    <mergeCell ref="A49:F49"/>
    <mergeCell ref="A48:F48"/>
    <mergeCell ref="A56:F56"/>
    <mergeCell ref="A29:F29"/>
    <mergeCell ref="A80:F80"/>
    <mergeCell ref="A81:F81"/>
    <mergeCell ref="A110:F110"/>
    <mergeCell ref="A111:F111"/>
    <mergeCell ref="A16:F16"/>
    <mergeCell ref="A19:F19"/>
    <mergeCell ref="A10:F10"/>
    <mergeCell ref="A13:F13"/>
    <mergeCell ref="A36:F36"/>
    <mergeCell ref="A108:F108"/>
    <mergeCell ref="A104:F104"/>
    <mergeCell ref="A103:F103"/>
    <mergeCell ref="A30:F30"/>
    <mergeCell ref="A31:F31"/>
    <mergeCell ref="A38:F38"/>
    <mergeCell ref="A39:F39"/>
    <mergeCell ref="A32:F32"/>
    <mergeCell ref="A52:F52"/>
    <mergeCell ref="A54:F54"/>
    <mergeCell ref="A53:F53"/>
    <mergeCell ref="A47:F47"/>
    <mergeCell ref="A42:F42"/>
    <mergeCell ref="A44:F44"/>
    <mergeCell ref="A45:F45"/>
    <mergeCell ref="O1:O2"/>
    <mergeCell ref="A14:F14"/>
    <mergeCell ref="A15:F15"/>
    <mergeCell ref="L1:L2"/>
    <mergeCell ref="K1:K2"/>
    <mergeCell ref="A18:F18"/>
    <mergeCell ref="A11:F11"/>
    <mergeCell ref="A9:F9"/>
    <mergeCell ref="A34:F34"/>
    <mergeCell ref="A35:F35"/>
    <mergeCell ref="A33:F33"/>
    <mergeCell ref="A3:P3"/>
    <mergeCell ref="A41:P41"/>
    <mergeCell ref="P1:P2"/>
    <mergeCell ref="M1:M2"/>
    <mergeCell ref="A8:F8"/>
    <mergeCell ref="A26:F26"/>
    <mergeCell ref="A27:F27"/>
    <mergeCell ref="A1:F2"/>
    <mergeCell ref="G1:G2"/>
    <mergeCell ref="I1:I2"/>
    <mergeCell ref="H1:H2"/>
    <mergeCell ref="N1:N2"/>
    <mergeCell ref="J1:J2"/>
    <mergeCell ref="A4:F4"/>
    <mergeCell ref="A5:F5"/>
    <mergeCell ref="A6:F6"/>
    <mergeCell ref="A12:F12"/>
    <mergeCell ref="A21:F21"/>
    <mergeCell ref="A22:F22"/>
    <mergeCell ref="A23:F23"/>
    <mergeCell ref="A7:F7"/>
    <mergeCell ref="A229:F229"/>
    <mergeCell ref="M116:M117"/>
    <mergeCell ref="M118:M119"/>
    <mergeCell ref="M128:M129"/>
    <mergeCell ref="M130:M131"/>
    <mergeCell ref="M132:M133"/>
    <mergeCell ref="A136:F136"/>
    <mergeCell ref="A186:F186"/>
    <mergeCell ref="A203:F203"/>
    <mergeCell ref="A216:F216"/>
    <mergeCell ref="A215:F215"/>
    <mergeCell ref="A218:F218"/>
    <mergeCell ref="A200:F201"/>
    <mergeCell ref="A221:F221"/>
    <mergeCell ref="A219:F219"/>
    <mergeCell ref="A202:F202"/>
    <mergeCell ref="A198:F199"/>
    <mergeCell ref="A132:F133"/>
    <mergeCell ref="A181:F182"/>
    <mergeCell ref="A185:F185"/>
    <mergeCell ref="M157:M158"/>
    <mergeCell ref="M159:M160"/>
    <mergeCell ref="I171:I172"/>
    <mergeCell ref="J171:J172"/>
    <mergeCell ref="A171:F172"/>
    <mergeCell ref="A175:F176"/>
    <mergeCell ref="A173:F174"/>
    <mergeCell ref="I169:I170"/>
    <mergeCell ref="J169:J170"/>
    <mergeCell ref="M169:M170"/>
    <mergeCell ref="I173:I174"/>
    <mergeCell ref="J173:J174"/>
    <mergeCell ref="K173:K174"/>
    <mergeCell ref="L173:L174"/>
    <mergeCell ref="M173:M174"/>
    <mergeCell ref="I175:I176"/>
    <mergeCell ref="J175:J176"/>
    <mergeCell ref="K175:K176"/>
    <mergeCell ref="L175:L176"/>
    <mergeCell ref="A126:F126"/>
    <mergeCell ref="L128:L129"/>
    <mergeCell ref="A134:F135"/>
    <mergeCell ref="A169:F170"/>
    <mergeCell ref="A157:F158"/>
    <mergeCell ref="A159:F160"/>
    <mergeCell ref="J140:J141"/>
    <mergeCell ref="I142:I143"/>
    <mergeCell ref="I138:I139"/>
    <mergeCell ref="J138:J139"/>
    <mergeCell ref="L157:L158"/>
    <mergeCell ref="I130:I131"/>
    <mergeCell ref="J130:J131"/>
    <mergeCell ref="I140:I141"/>
    <mergeCell ref="A142:F143"/>
    <mergeCell ref="L134:L135"/>
    <mergeCell ref="L138:L139"/>
    <mergeCell ref="L140:L141"/>
    <mergeCell ref="L142:L143"/>
    <mergeCell ref="L146:L147"/>
    <mergeCell ref="L130:L131"/>
    <mergeCell ref="L132:L133"/>
    <mergeCell ref="I128:I129"/>
    <mergeCell ref="M88:M89"/>
    <mergeCell ref="M90:M91"/>
    <mergeCell ref="M92:M93"/>
    <mergeCell ref="M94:M95"/>
    <mergeCell ref="M97:M98"/>
    <mergeCell ref="M99:M100"/>
    <mergeCell ref="A137:F137"/>
    <mergeCell ref="A166:F166"/>
    <mergeCell ref="J105:J106"/>
    <mergeCell ref="A105:F106"/>
    <mergeCell ref="L97:L98"/>
    <mergeCell ref="A107:F107"/>
    <mergeCell ref="A164:F164"/>
    <mergeCell ref="A161:F161"/>
    <mergeCell ref="A165:F165"/>
    <mergeCell ref="A140:F141"/>
    <mergeCell ref="I105:I106"/>
    <mergeCell ref="I97:I98"/>
    <mergeCell ref="J97:J98"/>
    <mergeCell ref="A145:F145"/>
    <mergeCell ref="A124:F124"/>
    <mergeCell ref="A125:F125"/>
    <mergeCell ref="A128:F129"/>
    <mergeCell ref="A130:F131"/>
    <mergeCell ref="A112:F112"/>
    <mergeCell ref="A113:F113"/>
    <mergeCell ref="I99:I100"/>
    <mergeCell ref="J99:J100"/>
    <mergeCell ref="M101:M102"/>
    <mergeCell ref="M105:M106"/>
    <mergeCell ref="L116:L117"/>
    <mergeCell ref="L105:L106"/>
    <mergeCell ref="A114:F114"/>
    <mergeCell ref="I116:I117"/>
    <mergeCell ref="J116:J117"/>
    <mergeCell ref="A55:F55"/>
    <mergeCell ref="A46:F46"/>
    <mergeCell ref="I88:I89"/>
    <mergeCell ref="A40:F40"/>
    <mergeCell ref="A63:F63"/>
    <mergeCell ref="A83:F83"/>
    <mergeCell ref="A86:F86"/>
    <mergeCell ref="A71:F71"/>
    <mergeCell ref="A74:F74"/>
    <mergeCell ref="A79:F79"/>
    <mergeCell ref="A82:F82"/>
    <mergeCell ref="A85:F85"/>
    <mergeCell ref="A64:F64"/>
    <mergeCell ref="A67:F67"/>
    <mergeCell ref="A68:F68"/>
    <mergeCell ref="A69:F69"/>
    <mergeCell ref="A77:F77"/>
    <mergeCell ref="A73:F73"/>
    <mergeCell ref="A65:F65"/>
    <mergeCell ref="A66:F66"/>
    <mergeCell ref="A72:F72"/>
    <mergeCell ref="A50:F50"/>
    <mergeCell ref="A51:F51"/>
    <mergeCell ref="A43:F43"/>
    <mergeCell ref="N200:N201"/>
    <mergeCell ref="M134:M135"/>
    <mergeCell ref="M138:M139"/>
    <mergeCell ref="I132:I133"/>
    <mergeCell ref="J132:J133"/>
    <mergeCell ref="N132:N133"/>
    <mergeCell ref="I134:I135"/>
    <mergeCell ref="J134:J135"/>
    <mergeCell ref="N134:N135"/>
    <mergeCell ref="I179:I180"/>
    <mergeCell ref="I181:I182"/>
    <mergeCell ref="I183:I184"/>
    <mergeCell ref="L159:L160"/>
    <mergeCell ref="K171:K172"/>
    <mergeCell ref="L171:L172"/>
    <mergeCell ref="M171:M172"/>
    <mergeCell ref="N171:N172"/>
    <mergeCell ref="N173:N174"/>
    <mergeCell ref="N175:N176"/>
    <mergeCell ref="N179:N180"/>
    <mergeCell ref="N146:N147"/>
    <mergeCell ref="J200:J201"/>
    <mergeCell ref="K200:K201"/>
    <mergeCell ref="L200:L201"/>
    <mergeCell ref="I92:I93"/>
    <mergeCell ref="J92:J93"/>
    <mergeCell ref="J118:J119"/>
    <mergeCell ref="N118:N119"/>
    <mergeCell ref="K90:K91"/>
    <mergeCell ref="K92:K93"/>
    <mergeCell ref="K94:K95"/>
    <mergeCell ref="J128:J129"/>
    <mergeCell ref="N187:N188"/>
    <mergeCell ref="N198:N199"/>
    <mergeCell ref="N157:N158"/>
    <mergeCell ref="N142:N143"/>
    <mergeCell ref="N128:N129"/>
    <mergeCell ref="N130:N131"/>
    <mergeCell ref="N181:N182"/>
    <mergeCell ref="N183:N184"/>
    <mergeCell ref="J179:J180"/>
    <mergeCell ref="K179:K180"/>
    <mergeCell ref="L179:L180"/>
    <mergeCell ref="M179:M180"/>
    <mergeCell ref="J181:J182"/>
    <mergeCell ref="K181:K182"/>
    <mergeCell ref="L181:L182"/>
    <mergeCell ref="M181:M182"/>
    <mergeCell ref="J183:J184"/>
    <mergeCell ref="K183:K184"/>
    <mergeCell ref="M140:M141"/>
    <mergeCell ref="M142:M143"/>
    <mergeCell ref="M146:M147"/>
    <mergeCell ref="A37:F37"/>
    <mergeCell ref="M175:M176"/>
    <mergeCell ref="A234:F234"/>
    <mergeCell ref="A235:F235"/>
    <mergeCell ref="A222:F222"/>
    <mergeCell ref="A115:F115"/>
    <mergeCell ref="A230:F230"/>
    <mergeCell ref="A231:F231"/>
    <mergeCell ref="A232:F232"/>
    <mergeCell ref="A233:F233"/>
    <mergeCell ref="J159:J160"/>
    <mergeCell ref="I146:I147"/>
    <mergeCell ref="J146:J147"/>
    <mergeCell ref="A212:F212"/>
    <mergeCell ref="A138:F139"/>
    <mergeCell ref="A146:F147"/>
    <mergeCell ref="A144:F144"/>
    <mergeCell ref="A152:F152"/>
    <mergeCell ref="I157:I158"/>
    <mergeCell ref="J157:J158"/>
    <mergeCell ref="I159:I160"/>
    <mergeCell ref="J142:J143"/>
    <mergeCell ref="L118:L119"/>
    <mergeCell ref="A70:F70"/>
    <mergeCell ref="K88:K89"/>
    <mergeCell ref="K97:K98"/>
    <mergeCell ref="A122:F122"/>
    <mergeCell ref="A123:F123"/>
    <mergeCell ref="A75:F75"/>
    <mergeCell ref="A76:F76"/>
    <mergeCell ref="A78:F78"/>
    <mergeCell ref="A84:F84"/>
    <mergeCell ref="A99:F100"/>
    <mergeCell ref="A96:F96"/>
    <mergeCell ref="J88:J89"/>
    <mergeCell ref="A120:F120"/>
    <mergeCell ref="A121:F121"/>
    <mergeCell ref="A118:F119"/>
    <mergeCell ref="I101:I102"/>
    <mergeCell ref="J101:J102"/>
    <mergeCell ref="I94:I95"/>
    <mergeCell ref="J94:J95"/>
    <mergeCell ref="A97:F98"/>
    <mergeCell ref="A109:F109"/>
    <mergeCell ref="A116:F117"/>
    <mergeCell ref="I118:I119"/>
    <mergeCell ref="I90:I91"/>
    <mergeCell ref="J90:J91"/>
  </mergeCells>
  <dataValidations xWindow="1489" yWindow="393" count="4">
    <dataValidation type="whole" allowBlank="1" showInputMessage="1" showErrorMessage="1" errorTitle="Activity Occurance" error="Input values for this column must be between 2 and 10." promptTitle="Activity Occurance" prompt="Input values for this column must be between 2 and 10." sqref="M4" xr:uid="{00000000-0002-0000-0200-000000000000}">
      <formula1>2</formula1>
      <formula2>10</formula2>
    </dataValidation>
    <dataValidation type="whole" allowBlank="1" showInputMessage="1" showErrorMessage="1" errorTitle="Activity Occurance" error="Input values for this column must be between 2 and 10." sqref="M169:M171 M173 M175 M177:M179 M181 M183 M185:M187 M128:M167 M200 M5:M40 M42:M57 M59:M86 M88:M126 M210:M235 M202:M208 M189:M198" xr:uid="{00000000-0002-0000-0200-000001000000}">
      <formula1>2</formula1>
      <formula2>10</formula2>
    </dataValidation>
    <dataValidation type="custom" allowBlank="1" showInputMessage="1" showErrorMessage="1" errorTitle="Yearly Activity" error="Put a 'Y' in this column if the activity occurs yearly and a 'N' if it does not." promptTitle="Yearly Activity" prompt="Put a 'Y' in this column if the activity occurs yearly and a 'N' if it does not. If 'N' then please proceed to column M. " sqref="L4" xr:uid="{00000000-0002-0000-0200-000002000000}">
      <formula1>(OR(L4="Y", L4="N"))</formula1>
    </dataValidation>
    <dataValidation type="custom" allowBlank="1" showInputMessage="1" showErrorMessage="1" error="Put a 'Y' in this column if the activity occurs yearly and a 'N' if it does not." sqref="L169:L171 L173 L175 L177:L179 L181 L183 L185:L187 L59:L86 L200 L5:L40 L42:L57 L189:L198 L88:L126 L210:L235 L202:L208 L134 L136:L138 L140 L142 L144:L146 L128:L130 L132 L148:L159 L161:L167" xr:uid="{00000000-0002-0000-0200-000003000000}">
      <formula1>(OR(L5="Y", L5="N"))</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1014"/>
  <sheetViews>
    <sheetView zoomScale="42" zoomScaleNormal="42" workbookViewId="0">
      <pane ySplit="2" topLeftCell="A3" activePane="bottomLeft" state="frozen"/>
      <selection pane="bottomLeft" activeCell="Z240" sqref="Z240"/>
    </sheetView>
  </sheetViews>
  <sheetFormatPr defaultColWidth="8.85546875" defaultRowHeight="15" x14ac:dyDescent="0.25"/>
  <cols>
    <col min="1" max="1" width="8.85546875" style="4"/>
    <col min="2" max="2" width="19.28515625" style="4" customWidth="1"/>
    <col min="3" max="3" width="53.28515625" style="17" bestFit="1" customWidth="1"/>
    <col min="4" max="4" width="76.5703125" style="17" bestFit="1" customWidth="1"/>
    <col min="5" max="5" width="10.85546875" style="17" customWidth="1"/>
    <col min="6" max="6" width="9.5703125" style="17" bestFit="1" customWidth="1"/>
    <col min="7" max="9" width="16" style="17" customWidth="1"/>
    <col min="10" max="11" width="13.7109375" style="17" customWidth="1"/>
    <col min="12" max="12" width="14.85546875" style="17" bestFit="1" customWidth="1"/>
    <col min="13" max="13" width="11.85546875" style="17" customWidth="1"/>
    <col min="14" max="14" width="11.28515625" style="4" customWidth="1"/>
    <col min="15" max="15" width="9.85546875" style="4" bestFit="1" customWidth="1"/>
    <col min="16" max="29" width="9.140625" style="4" customWidth="1"/>
    <col min="30" max="31" width="8.85546875" style="4"/>
    <col min="32" max="32" width="9.7109375" style="4" bestFit="1" customWidth="1"/>
    <col min="33" max="42" width="8.85546875" style="4"/>
    <col min="43" max="43" width="10.42578125" style="4" bestFit="1" customWidth="1"/>
    <col min="44" max="16384" width="8.85546875" style="4"/>
  </cols>
  <sheetData>
    <row r="1" spans="1:45" ht="29.45" customHeight="1" x14ac:dyDescent="0.35">
      <c r="A1" s="509" t="s">
        <v>0</v>
      </c>
      <c r="B1" s="511" t="s">
        <v>12</v>
      </c>
      <c r="C1" s="513" t="s">
        <v>1</v>
      </c>
      <c r="D1" s="515" t="s">
        <v>2</v>
      </c>
      <c r="E1" s="507" t="s">
        <v>171</v>
      </c>
      <c r="F1" s="507" t="s">
        <v>199</v>
      </c>
      <c r="G1" s="507" t="s">
        <v>169</v>
      </c>
      <c r="H1" s="507" t="s">
        <v>198</v>
      </c>
      <c r="I1" s="507" t="s">
        <v>170</v>
      </c>
      <c r="J1" s="507" t="s">
        <v>173</v>
      </c>
      <c r="K1" s="507" t="s">
        <v>172</v>
      </c>
      <c r="L1" s="507" t="s">
        <v>190</v>
      </c>
      <c r="M1" s="498" t="s">
        <v>191</v>
      </c>
      <c r="N1" s="500"/>
      <c r="O1" s="260">
        <v>1</v>
      </c>
      <c r="P1" s="261">
        <v>2</v>
      </c>
      <c r="Q1" s="262">
        <v>3</v>
      </c>
      <c r="R1" s="261">
        <v>4</v>
      </c>
      <c r="S1" s="262">
        <v>5</v>
      </c>
      <c r="T1" s="261">
        <v>6</v>
      </c>
      <c r="U1" s="262">
        <v>7</v>
      </c>
      <c r="V1" s="261">
        <v>8</v>
      </c>
      <c r="W1" s="262">
        <v>9</v>
      </c>
      <c r="X1" s="261">
        <v>10</v>
      </c>
      <c r="Y1" s="262">
        <v>11</v>
      </c>
      <c r="Z1" s="261">
        <v>12</v>
      </c>
      <c r="AA1" s="262">
        <v>13</v>
      </c>
      <c r="AB1" s="261">
        <v>14</v>
      </c>
      <c r="AC1" s="262">
        <v>15</v>
      </c>
      <c r="AD1" s="261">
        <v>16</v>
      </c>
      <c r="AE1" s="262">
        <v>17</v>
      </c>
      <c r="AF1" s="261">
        <v>18</v>
      </c>
      <c r="AG1" s="262">
        <v>19</v>
      </c>
      <c r="AH1" s="261">
        <v>20</v>
      </c>
      <c r="AI1" s="262">
        <v>21</v>
      </c>
      <c r="AJ1" s="261">
        <v>22</v>
      </c>
      <c r="AK1" s="262">
        <v>23</v>
      </c>
      <c r="AL1" s="261">
        <v>24</v>
      </c>
      <c r="AM1" s="262">
        <v>25</v>
      </c>
      <c r="AN1" s="261">
        <v>26</v>
      </c>
      <c r="AO1" s="262">
        <v>27</v>
      </c>
      <c r="AP1" s="261">
        <v>28</v>
      </c>
      <c r="AQ1" s="262">
        <v>29</v>
      </c>
      <c r="AR1" s="263">
        <v>30</v>
      </c>
    </row>
    <row r="2" spans="1:45" ht="28.15" customHeight="1" thickBot="1" x14ac:dyDescent="0.4">
      <c r="A2" s="510"/>
      <c r="B2" s="512"/>
      <c r="C2" s="514"/>
      <c r="D2" s="516"/>
      <c r="E2" s="508"/>
      <c r="F2" s="508"/>
      <c r="G2" s="508"/>
      <c r="H2" s="508"/>
      <c r="I2" s="508"/>
      <c r="J2" s="508"/>
      <c r="K2" s="508"/>
      <c r="L2" s="508"/>
      <c r="M2" s="499"/>
      <c r="N2" s="500"/>
      <c r="O2" s="259">
        <f>IF(O3="N.B.C.", 1, 0)</f>
        <v>0</v>
      </c>
      <c r="P2" s="264">
        <f t="shared" ref="P2:X2" si="0">IF(P3="N.B.C.", 1, 0)</f>
        <v>0</v>
      </c>
      <c r="Q2" s="264">
        <f t="shared" si="0"/>
        <v>0</v>
      </c>
      <c r="R2" s="264">
        <f t="shared" si="0"/>
        <v>0</v>
      </c>
      <c r="S2" s="264">
        <f t="shared" si="0"/>
        <v>0</v>
      </c>
      <c r="T2" s="264">
        <f t="shared" si="0"/>
        <v>0</v>
      </c>
      <c r="U2" s="264">
        <f t="shared" si="0"/>
        <v>0</v>
      </c>
      <c r="V2" s="264">
        <f t="shared" si="0"/>
        <v>0</v>
      </c>
      <c r="W2" s="264">
        <f t="shared" si="0"/>
        <v>0</v>
      </c>
      <c r="X2" s="264">
        <f t="shared" si="0"/>
        <v>0</v>
      </c>
      <c r="Y2" s="265"/>
      <c r="Z2" s="265"/>
      <c r="AA2" s="265"/>
      <c r="AB2" s="265"/>
      <c r="AC2" s="265"/>
      <c r="AD2" s="265"/>
      <c r="AE2" s="265"/>
      <c r="AF2" s="265"/>
      <c r="AG2" s="265"/>
      <c r="AH2" s="265"/>
      <c r="AI2" s="265"/>
      <c r="AJ2" s="265"/>
      <c r="AK2" s="265"/>
      <c r="AL2" s="265"/>
      <c r="AM2" s="265"/>
      <c r="AN2" s="265"/>
      <c r="AO2" s="265"/>
      <c r="AP2" s="265"/>
      <c r="AQ2" s="265"/>
      <c r="AR2" s="266"/>
    </row>
    <row r="3" spans="1:45" ht="44.45" customHeight="1" thickBot="1" x14ac:dyDescent="0.3">
      <c r="A3" s="98"/>
      <c r="B3" s="99"/>
      <c r="C3" s="114"/>
      <c r="D3" s="114"/>
      <c r="E3" s="114"/>
      <c r="F3" s="114"/>
      <c r="G3" s="114"/>
      <c r="H3" s="114"/>
      <c r="I3" s="114"/>
      <c r="J3" s="114"/>
      <c r="K3" s="114"/>
      <c r="L3" s="114"/>
      <c r="M3" s="115"/>
      <c r="O3" s="136" t="str">
        <f>IF(AND(ISNUMBER(Number_of_breeding_cycles), ISNUMBER(Frequency_of_breeding_cycle), Frequency_of_breeding_cycle&gt;0), "N.B.C.", "Error")</f>
        <v>Error</v>
      </c>
      <c r="P3" s="270" t="str">
        <f>IF(AND(ISNUMBER(Number_of_breeding_cycles), ISNUMBER(Frequency_of_breeding_cycle), Frequency_of_breeding_cycle=1), IF(O2&lt;Number_of_breeding_cycles, "N.B.C.", ""), "")</f>
        <v/>
      </c>
      <c r="Q3" s="270" t="str">
        <f>IF(AND(ISNUMBER(Number_of_breeding_cycles), ISNUMBER(Frequency_of_breeding_cycle), OR(Frequency_of_breeding_cycle=1,Frequency_of_breeding_cycle=2)), IF((O2+P2)&lt;Number_of_breeding_cycles,"N.B.C.", ""),"")</f>
        <v/>
      </c>
      <c r="R3" s="270" t="str">
        <f>IF(AND(ISNUMBER(Number_of_breeding_cycles), ISNUMBER(Frequency_of_breeding_cycle), OR(Frequency_of_breeding_cycle=1,Frequency_of_breeding_cycle=3)),  IF((O2+P2+Q2)&lt;Number_of_breeding_cycles, "N.B.C.", ""),"")</f>
        <v/>
      </c>
      <c r="S3" s="270" t="str">
        <f>IF(AND(ISNUMBER(Number_of_breeding_cycles),ISNUMBER(Frequency_of_breeding_cycle), OR(Frequency_of_breeding_cycle=1,Frequency_of_breeding_cycle=2,Frequency_of_breeding_cycle=4)),  IF((O2+P2+Q2+R2)&lt;Number_of_breeding_cycles, "N.B.C.", ""),"")</f>
        <v/>
      </c>
      <c r="T3" s="270" t="str">
        <f>IF(AND(ISNUMBER(Number_of_breeding_cycles), ISNUMBER(Frequency_of_breeding_cycle), OR(Frequency_of_breeding_cycle=1,Frequency_of_breeding_cycle=5)),  IF((O2+P2+Q2+R2+S2)&lt;Number_of_breeding_cycles, "N.B.C.", ""),"")</f>
        <v/>
      </c>
      <c r="U3" s="270" t="str">
        <f>IF(AND(ISNUMBER(Number_of_breeding_cycles), ISNUMBER(Frequency_of_breeding_cycle), OR(Frequency_of_breeding_cycle=1,Frequency_of_breeding_cycle=2, Frequency_of_breeding_cycle=3,Frequency_of_breeding_cycle=6)), IF((O2+P2+Q2+R2+S2+T2)&lt;Number_of_breeding_cycles, "N.B.C.", ""),"")</f>
        <v/>
      </c>
      <c r="V3" s="270" t="str">
        <f>IF(AND(ISNUMBER(Number_of_breeding_cycles), ISNUMBER(Frequency_of_breeding_cycle), OR(Frequency_of_breeding_cycle=1, Frequency_of_breeding_cycle=7)), IF((O2+P2+Q2+R2+S2+T2+U2)&lt;Number_of_breeding_cycles, "N.B.C.", ""),"")</f>
        <v/>
      </c>
      <c r="W3" s="270" t="str">
        <f>IF(AND(ISNUMBER(Number_of_breeding_cycles), ISNUMBER(Frequency_of_breeding_cycle), OR(Frequency_of_breeding_cycle=1,Frequency_of_breeding_cycle=2,Frequency_of_breeding_cycle=4,Frequency_of_breeding_cycle=8)), IF((O2+P2+Q2+R2+S2+T2+U2+V2)&lt;Number_of_breeding_cycles, "N.B.C.", ""),"")</f>
        <v/>
      </c>
      <c r="X3" s="270" t="str">
        <f>IF(AND(ISNUMBER(Number_of_breeding_cycles), ISNUMBER(Frequency_of_breeding_cycle), OR(Frequency_of_breeding_cycle=1,Frequency_of_breeding_cycle=3,Frequency_of_breeding_cycle=9)), IF((O2+P2+Q2+R2+S2+T2+U2+V2+W2)&lt;Number_of_breeding_cycles, "N.B.C.", ""),"")</f>
        <v/>
      </c>
      <c r="Y3" s="317"/>
      <c r="Z3" s="317"/>
      <c r="AA3" s="317"/>
      <c r="AB3" s="317"/>
      <c r="AC3" s="317"/>
      <c r="AD3" s="317"/>
      <c r="AE3" s="317"/>
      <c r="AF3" s="317"/>
      <c r="AG3" s="317"/>
      <c r="AH3" s="317"/>
      <c r="AI3" s="317"/>
      <c r="AJ3" s="99"/>
      <c r="AK3" s="99"/>
      <c r="AL3" s="99"/>
      <c r="AM3" s="99"/>
      <c r="AN3" s="99"/>
      <c r="AO3" s="99"/>
      <c r="AP3" s="99"/>
      <c r="AQ3" s="99"/>
      <c r="AR3" s="286"/>
    </row>
    <row r="4" spans="1:45" x14ac:dyDescent="0.25">
      <c r="A4" s="501" t="str">
        <f>First_Stage</f>
        <v>Crossing Stage</v>
      </c>
      <c r="B4" s="503">
        <f>'Breeding Inputs'!I7</f>
        <v>0</v>
      </c>
      <c r="C4" s="116" t="str">
        <f>IF(OR(AND('Cost Inputs'!A4&lt;&gt;"",'Cost Inputs'!H4&lt;&gt;""), AND('Cost Inputs'!A4&lt;&gt;"",'Cost Inputs'!A5&lt;&gt;"")), 'Cost Inputs'!A4, "")</f>
        <v>1.1 Germplasm Collection</v>
      </c>
      <c r="D4" s="92" t="str">
        <f>IF(OR('Cost Inputs'!H4&lt;&gt;"", 'Cost Inputs'!I4&lt;&gt;"", 'Cost Inputs'!J4&lt;&gt;""), 'Cost Inputs'!G4,"")</f>
        <v/>
      </c>
      <c r="E4" s="92" t="str">
        <f>IF(AND(C4&lt;&gt;"", 'Cost Inputs'!H4&lt;&gt;""), 'Cost Inputs'!H4, "")</f>
        <v/>
      </c>
      <c r="F4" s="92" t="str">
        <f>IF('Cost Inputs'!$I4&lt;&gt;"", 'Cost Inputs'!$I4, "")</f>
        <v/>
      </c>
      <c r="G4" s="92" t="str">
        <f t="shared" ref="G4:G68" si="1">IF(AND($E4&lt;&gt;"", $E4&gt;0, F4&lt;&gt;""), F4/$E4, "")</f>
        <v/>
      </c>
      <c r="H4" s="92" t="str">
        <f>IF('Cost Inputs'!$J4&lt;&gt;"", 'Cost Inputs'!$J4, "")</f>
        <v/>
      </c>
      <c r="I4" s="92" t="str">
        <f>IF(AND($E4&lt;&gt;"", $H4&lt;&gt;""), $H4/$E4, "")</f>
        <v/>
      </c>
      <c r="J4" s="92" t="str">
        <f>IF(('Cost Inputs'!I4+'Cost Inputs'!J4+'Cost Inputs'!K4)&gt;0, 'Cost Inputs'!I4+'Cost Inputs'!J4+'Cost Inputs'!K4, "")</f>
        <v/>
      </c>
      <c r="K4" s="92" t="str">
        <f>IF('Cost Inputs'!$N4&gt;0,'Cost Inputs'!$N4,"")</f>
        <v/>
      </c>
      <c r="L4" s="92"/>
      <c r="M4" s="101"/>
      <c r="O4" s="116" t="str">
        <f>IF(O$3="N.B.C.", IF('Cost Inputs'!$L4="Y", $E4, IF('Cost Inputs'!$L4="N", IF(ISNUMBER('Cost Inputs'!$M4), $E4,""),"")),"")</f>
        <v/>
      </c>
      <c r="P4" s="92" t="str">
        <f>IF(P$3="N.B.C.", IF('Cost Inputs'!$L4="Y", $E4, IF('Cost Inputs'!$L4="N", "","")),"")</f>
        <v/>
      </c>
      <c r="Q4" s="92" t="str">
        <f>IF(Q$3="N.B.C.", IF('Cost Inputs'!$L4="Y", $E4, IF('Cost Inputs'!$L4="N", IF(AND(ISNUMBER('Cost Inputs'!$M4), OR('Cost Inputs'!$M4=1,'Cost Inputs'!$M4=2)), $E4,""),"")),"")</f>
        <v/>
      </c>
      <c r="R4" s="92" t="str">
        <f>IF(R$3="N.B.C.", IF('Cost Inputs'!$L4="Y", $E4, IF('Cost Inputs'!$L4="N", IF(AND(ISNUMBER('Cost Inputs'!$M4), OR('Cost Inputs'!$M4=1, 'Cost Inputs'!$M4=3)), $E4,""),"")),"")</f>
        <v/>
      </c>
      <c r="S4" s="92" t="str">
        <f>IF(S$3="N.B.C.", IF('Cost Inputs'!$L4="Y", $E4, IF('Cost Inputs'!$L4="N", IF(AND(ISNUMBER('Cost Inputs'!$M4), OR('Cost Inputs'!$M4=1, 'Cost Inputs'!$M4=2, 'Cost Inputs'!$M4=4)), $E4,""),"")),"")</f>
        <v/>
      </c>
      <c r="T4" s="92" t="str">
        <f>IF(T$3="N.B.C.", IF('Cost Inputs'!$L4="Y", $E4, IF('Cost Inputs'!$L4="N", IF(AND(ISNUMBER('Cost Inputs'!$M4), OR('Cost Inputs'!$M4=1, 'Cost Inputs'!$M4=5)), $E4,""),"")),"")</f>
        <v/>
      </c>
      <c r="U4" s="92" t="str">
        <f>IF(U$3="N.B.C.", IF('Cost Inputs'!$L4="Y", $E4, IF('Cost Inputs'!$L4="N", IF(AND(ISNUMBER('Cost Inputs'!$M4), OR('Cost Inputs'!$M4=1, 'Cost Inputs'!$M4=2, 'Cost Inputs'!$M4=3, 'Cost Inputs'!$M4=6)), $E4,""),"")),"")</f>
        <v/>
      </c>
      <c r="V4" s="92" t="str">
        <f>IF(V$3="N.B.C.", IF('Cost Inputs'!$L4="Y", $E4, IF('Cost Inputs'!$L4="N", IF(AND(ISNUMBER('Cost Inputs'!$M4), OR('Cost Inputs'!$M4=1, 'Cost Inputs'!$M4=7)), $E4,""),"")),"")</f>
        <v/>
      </c>
      <c r="W4" s="92" t="str">
        <f>IF(W$3="N.B.C.", IF('Cost Inputs'!$L4="Y", $E4, IF('Cost Inputs'!$L4="N", IF(AND(ISNUMBER('Cost Inputs'!$M4), OR('Cost Inputs'!$M4=1, 'Cost Inputs'!$M4=2,'Cost Inputs'!$M4=4,'Cost Inputs'!$M4=8)), $E4,""),"")),"")</f>
        <v/>
      </c>
      <c r="X4" s="101" t="str">
        <f>IF($X$3="N.B.C.", IF('Cost Inputs'!$L4="Y", $E4, IF('Cost Inputs'!$L4="N", IF(AND(ISNUMBER('Cost Inputs'!$M4), OR('Cost Inputs'!$M4=1, 'Cost Inputs'!$M4=3,'Cost Inputs'!$M4=9)), $E4,""),"")),"")</f>
        <v/>
      </c>
    </row>
    <row r="5" spans="1:45" x14ac:dyDescent="0.25">
      <c r="A5" s="501"/>
      <c r="B5" s="504"/>
      <c r="C5" s="104" t="str">
        <f>IF(OR('Cost Inputs'!H5&lt;&gt;"", 'Cost Inputs'!I5&lt;&gt;"", 'Cost Inputs'!J5&lt;&gt;""), 'Cost Inputs'!A5, "")</f>
        <v/>
      </c>
      <c r="D5" s="17" t="str">
        <f>IF(AND(C5&lt;&gt;"", 'Cost Inputs'!G5&lt;&gt;""), 'Cost Inputs'!G5, "")</f>
        <v/>
      </c>
      <c r="E5" s="17" t="str">
        <f>IF(AND(C5&lt;&gt;"", 'Cost Inputs'!H5&lt;&gt;""), 'Cost Inputs'!H5, "")</f>
        <v/>
      </c>
      <c r="F5" s="105" t="str">
        <f>IF('Cost Inputs'!$I5&lt;&gt;"", 'Cost Inputs'!$I5, "")</f>
        <v/>
      </c>
      <c r="G5" s="105" t="str">
        <f t="shared" si="1"/>
        <v/>
      </c>
      <c r="H5" s="105" t="str">
        <f>IF('Cost Inputs'!$J5&lt;&gt;"", 'Cost Inputs'!$J5, "")</f>
        <v/>
      </c>
      <c r="I5" s="105" t="str">
        <f t="shared" ref="I5:I40" si="2">IF(AND($E5&lt;&gt;"", $H5&lt;&gt;""), $H5/$E5, "")</f>
        <v/>
      </c>
      <c r="J5" s="105" t="str">
        <f>IF(('Cost Inputs'!I5+'Cost Inputs'!J5+'Cost Inputs'!K5)&gt;0, 'Cost Inputs'!I5+'Cost Inputs'!J5+'Cost Inputs'!K5, "")</f>
        <v/>
      </c>
      <c r="K5" s="105" t="str">
        <f>IF('Cost Inputs'!$N5&gt;0,'Cost Inputs'!$N5,"")</f>
        <v/>
      </c>
      <c r="M5" s="106"/>
      <c r="O5" s="104" t="str">
        <f>IF(O$3="N.B.C.", IF('Cost Inputs'!$L5="Y", $E5, IF('Cost Inputs'!$L5="N", IF(ISNUMBER('Cost Inputs'!$M5), $E5,""),"")),"")</f>
        <v/>
      </c>
      <c r="P5" s="17" t="str">
        <f>IF(P$3="N.B.C.", IF('Cost Inputs'!$L5="Y", $E5, IF('Cost Inputs'!$L5="N", "","")),"")</f>
        <v/>
      </c>
      <c r="Q5" s="17" t="str">
        <f>IF(Q$3="N.B.C.", IF('Cost Inputs'!$L5="Y", $E5, IF('Cost Inputs'!$L5="N", IF(AND(ISNUMBER('Cost Inputs'!$M5), OR('Cost Inputs'!$M5=1,'Cost Inputs'!$M5=2)), $E5,""),"")),"")</f>
        <v/>
      </c>
      <c r="R5" s="17" t="str">
        <f>IF(R$3="N.B.C.", IF('Cost Inputs'!$L5="Y", $E5, IF('Cost Inputs'!$L5="N", IF(AND(ISNUMBER('Cost Inputs'!$M5), OR('Cost Inputs'!$M5=1, 'Cost Inputs'!$M5=3)), $E5,""),"")),"")</f>
        <v/>
      </c>
      <c r="S5" s="17" t="str">
        <f>IF(S$3="N.B.C.", IF('Cost Inputs'!$L5="Y", $E5, IF('Cost Inputs'!$L5="N", IF(AND(ISNUMBER('Cost Inputs'!$M5), OR('Cost Inputs'!$M5=1, 'Cost Inputs'!$M5=2, 'Cost Inputs'!$M5=4)), $E5,""),"")),"")</f>
        <v/>
      </c>
      <c r="T5" s="17" t="str">
        <f>IF(T$3="N.B.C.", IF('Cost Inputs'!$L5="Y", $E5, IF('Cost Inputs'!$L5="N", IF(AND(ISNUMBER('Cost Inputs'!$M5), OR('Cost Inputs'!$M5=1, 'Cost Inputs'!$M5=5)), $E5,""),"")),"")</f>
        <v/>
      </c>
      <c r="U5" s="17" t="str">
        <f>IF(U$3="N.B.C.", IF('Cost Inputs'!$L5="Y", $E5, IF('Cost Inputs'!$L5="N", IF(AND(ISNUMBER('Cost Inputs'!$M5), OR('Cost Inputs'!$M5=1, 'Cost Inputs'!$M5=2, 'Cost Inputs'!$M5=3, 'Cost Inputs'!$M5=6)), $E5,""),"")),"")</f>
        <v/>
      </c>
      <c r="V5" s="17" t="str">
        <f>IF(V$3="N.B.C.", IF('Cost Inputs'!$L5="Y", $E5, IF('Cost Inputs'!$L5="N", IF(AND(ISNUMBER('Cost Inputs'!$M5), OR('Cost Inputs'!$M5=1, 'Cost Inputs'!$M5=7)), $E5,""),"")),"")</f>
        <v/>
      </c>
      <c r="W5" s="17" t="str">
        <f>IF(W$3="N.B.C.", IF('Cost Inputs'!$L5="Y", $E5, IF('Cost Inputs'!$L5="N", IF(AND(ISNUMBER('Cost Inputs'!$M5), OR('Cost Inputs'!$M5=1, 'Cost Inputs'!$M5=2,'Cost Inputs'!$M5=4,'Cost Inputs'!$M5=8)), $E5,""),"")),"")</f>
        <v/>
      </c>
      <c r="X5" s="106" t="str">
        <f>IF($X$3="N.B.C.", IF('Cost Inputs'!$L5="Y", $E5, IF('Cost Inputs'!$L5="N", IF(AND(ISNUMBER('Cost Inputs'!$M5), OR('Cost Inputs'!$M5=1, 'Cost Inputs'!$M5=3,'Cost Inputs'!$M5=9)), $E5,""),"")),"")</f>
        <v/>
      </c>
    </row>
    <row r="6" spans="1:45" x14ac:dyDescent="0.25">
      <c r="A6" s="501"/>
      <c r="B6" s="504"/>
      <c r="C6" s="107" t="str">
        <f>IF(OR('Cost Inputs'!H6&lt;&gt;"", 'Cost Inputs'!I6&lt;&gt;"", 'Cost Inputs'!J6&lt;&gt;""), 'Cost Inputs'!A6, "")</f>
        <v/>
      </c>
      <c r="D6" s="93" t="str">
        <f>IF(AND(C6&lt;&gt;"", 'Cost Inputs'!G6&lt;&gt;""), 'Cost Inputs'!G6, "")</f>
        <v/>
      </c>
      <c r="E6" s="93" t="str">
        <f>IF(AND(C6&lt;&gt;"", 'Cost Inputs'!H6&lt;&gt;""), 'Cost Inputs'!H6, "")</f>
        <v/>
      </c>
      <c r="F6" s="108" t="str">
        <f>IF('Cost Inputs'!$I6&lt;&gt;"", 'Cost Inputs'!$I6, "")</f>
        <v/>
      </c>
      <c r="G6" s="108" t="str">
        <f t="shared" si="1"/>
        <v/>
      </c>
      <c r="H6" s="108" t="str">
        <f>IF('Cost Inputs'!$J6&lt;&gt;"", 'Cost Inputs'!$J6, "")</f>
        <v/>
      </c>
      <c r="I6" s="108" t="str">
        <f t="shared" si="2"/>
        <v/>
      </c>
      <c r="J6" s="108" t="str">
        <f>IF(('Cost Inputs'!I6+'Cost Inputs'!J6+'Cost Inputs'!K6)&gt;0, 'Cost Inputs'!I6+'Cost Inputs'!J6+'Cost Inputs'!K6, "")</f>
        <v/>
      </c>
      <c r="K6" s="108" t="str">
        <f>IF('Cost Inputs'!$N6&gt;0,'Cost Inputs'!$N6,"")</f>
        <v/>
      </c>
      <c r="L6" s="93"/>
      <c r="M6" s="109"/>
      <c r="O6" s="107" t="str">
        <f>IF(O$3="N.B.C.", IF('Cost Inputs'!$L6="Y", $E6, IF('Cost Inputs'!$L6="N", IF(ISNUMBER('Cost Inputs'!$M6), $E6,""),"")),"")</f>
        <v/>
      </c>
      <c r="P6" s="93" t="str">
        <f>IF(P$3="N.B.C.", IF('Cost Inputs'!$L6="Y", $E6, IF('Cost Inputs'!$L6="N", "","")),"")</f>
        <v/>
      </c>
      <c r="Q6" s="93" t="str">
        <f>IF(Q$3="N.B.C.", IF('Cost Inputs'!$L6="Y", $E6, IF('Cost Inputs'!$L6="N", IF(AND(ISNUMBER('Cost Inputs'!$M6), OR('Cost Inputs'!$M6=1,'Cost Inputs'!$M6=2)), $E6,""),"")),"")</f>
        <v/>
      </c>
      <c r="R6" s="93" t="str">
        <f>IF(R$3="N.B.C.", IF('Cost Inputs'!$L6="Y", $E6, IF('Cost Inputs'!$L6="N", IF(AND(ISNUMBER('Cost Inputs'!$M6), OR('Cost Inputs'!$M6=1, 'Cost Inputs'!$M6=3)), $E6,""),"")),"")</f>
        <v/>
      </c>
      <c r="S6" s="93" t="str">
        <f>IF(S$3="N.B.C.", IF('Cost Inputs'!$L6="Y", $E6, IF('Cost Inputs'!$L6="N", IF(AND(ISNUMBER('Cost Inputs'!$M6), OR('Cost Inputs'!$M6=1, 'Cost Inputs'!$M6=2, 'Cost Inputs'!$M6=4)), $E6,""),"")),"")</f>
        <v/>
      </c>
      <c r="T6" s="93" t="str">
        <f>IF(T$3="N.B.C.", IF('Cost Inputs'!$L6="Y", $E6, IF('Cost Inputs'!$L6="N", IF(AND(ISNUMBER('Cost Inputs'!$M6), OR('Cost Inputs'!$M6=1, 'Cost Inputs'!$M6=5)), $E6,""),"")),"")</f>
        <v/>
      </c>
      <c r="U6" s="93" t="str">
        <f>IF(U$3="N.B.C.", IF('Cost Inputs'!$L6="Y", $E6, IF('Cost Inputs'!$L6="N", IF(AND(ISNUMBER('Cost Inputs'!$M6), OR('Cost Inputs'!$M6=1, 'Cost Inputs'!$M6=2, 'Cost Inputs'!$M6=3, 'Cost Inputs'!$M6=6)), $E6,""),"")),"")</f>
        <v/>
      </c>
      <c r="V6" s="93" t="str">
        <f>IF(V$3="N.B.C.", IF('Cost Inputs'!$L6="Y", $E6, IF('Cost Inputs'!$L6="N", IF(AND(ISNUMBER('Cost Inputs'!$M6), OR('Cost Inputs'!$M6=1, 'Cost Inputs'!$M6=7)), $E6,""),"")),"")</f>
        <v/>
      </c>
      <c r="W6" s="93" t="str">
        <f>IF(W$3="N.B.C.", IF('Cost Inputs'!$L6="Y", $E6, IF('Cost Inputs'!$L6="N", IF(AND(ISNUMBER('Cost Inputs'!$M6), OR('Cost Inputs'!$M6=1, 'Cost Inputs'!$M6=2,'Cost Inputs'!$M6=4,'Cost Inputs'!$M6=8)), $E6,""),"")),"")</f>
        <v/>
      </c>
      <c r="X6" s="109" t="str">
        <f>IF($X$3="N.B.C.", IF('Cost Inputs'!$L6="Y", $E6, IF('Cost Inputs'!$L6="N", IF(AND(ISNUMBER('Cost Inputs'!$M6), OR('Cost Inputs'!$M6=1, 'Cost Inputs'!$M6=3,'Cost Inputs'!$M6=9)), $E6,""),"")),"")</f>
        <v/>
      </c>
      <c r="AS6" s="4">
        <f>SUM(O5:X40)</f>
        <v>0</v>
      </c>
    </row>
    <row r="7" spans="1:45" x14ac:dyDescent="0.25">
      <c r="A7" s="501"/>
      <c r="B7" s="504"/>
      <c r="C7" s="104" t="str">
        <f>IF(OR('Cost Inputs'!H7&lt;&gt;"", 'Cost Inputs'!I7&lt;&gt;"", 'Cost Inputs'!J7&lt;&gt;""), 'Cost Inputs'!A7, "")</f>
        <v/>
      </c>
      <c r="D7" s="17" t="str">
        <f>IF(AND(C7&lt;&gt;"", 'Cost Inputs'!G7&lt;&gt;""), 'Cost Inputs'!G7, "")</f>
        <v/>
      </c>
      <c r="E7" s="17" t="str">
        <f>IF(AND(C7&lt;&gt;"", 'Cost Inputs'!H7&lt;&gt;""), 'Cost Inputs'!H7, "")</f>
        <v/>
      </c>
      <c r="F7" s="105" t="str">
        <f>IF('Cost Inputs'!$I7&lt;&gt;"", 'Cost Inputs'!$I7, "")</f>
        <v/>
      </c>
      <c r="G7" s="105" t="str">
        <f t="shared" si="1"/>
        <v/>
      </c>
      <c r="H7" s="105" t="str">
        <f>IF('Cost Inputs'!$J7&lt;&gt;"", 'Cost Inputs'!$J7, "")</f>
        <v/>
      </c>
      <c r="I7" s="105" t="str">
        <f t="shared" si="2"/>
        <v/>
      </c>
      <c r="J7" s="105" t="str">
        <f>IF(('Cost Inputs'!I7+'Cost Inputs'!J7+'Cost Inputs'!K7)&gt;0, 'Cost Inputs'!I7+'Cost Inputs'!J7+'Cost Inputs'!K7, "")</f>
        <v/>
      </c>
      <c r="K7" s="105" t="str">
        <f>IF('Cost Inputs'!$N7&gt;0,'Cost Inputs'!$N7,"")</f>
        <v/>
      </c>
      <c r="M7" s="106"/>
      <c r="O7" s="104" t="str">
        <f>IF(O$3="N.B.C.", IF('Cost Inputs'!$L7="Y", $E7, IF('Cost Inputs'!$L7="N", IF(ISNUMBER('Cost Inputs'!$M7), $E7,""),"")),"")</f>
        <v/>
      </c>
      <c r="P7" s="17" t="str">
        <f>IF(P$3="N.B.C.", IF('Cost Inputs'!$L7="Y", $E7, IF('Cost Inputs'!$L7="N", "","")),"")</f>
        <v/>
      </c>
      <c r="Q7" s="17" t="str">
        <f>IF(Q$3="N.B.C.", IF('Cost Inputs'!$L7="Y", $E7, IF('Cost Inputs'!$L7="N", IF(AND(ISNUMBER('Cost Inputs'!$M7), OR('Cost Inputs'!$M7=1,'Cost Inputs'!$M7=2)), $E7,""),"")),"")</f>
        <v/>
      </c>
      <c r="R7" s="17" t="str">
        <f>IF(R$3="N.B.C.", IF('Cost Inputs'!$L7="Y", $E7, IF('Cost Inputs'!$L7="N", IF(AND(ISNUMBER('Cost Inputs'!$M7), OR('Cost Inputs'!$M7=1, 'Cost Inputs'!$M7=3)), $E7,""),"")),"")</f>
        <v/>
      </c>
      <c r="S7" s="17" t="str">
        <f>IF(S$3="N.B.C.", IF('Cost Inputs'!$L7="Y", $E7, IF('Cost Inputs'!$L7="N", IF(AND(ISNUMBER('Cost Inputs'!$M7), OR('Cost Inputs'!$M7=1, 'Cost Inputs'!$M7=2, 'Cost Inputs'!$M7=4)), $E7,""),"")),"")</f>
        <v/>
      </c>
      <c r="T7" s="17" t="str">
        <f>IF(T$3="N.B.C.", IF('Cost Inputs'!$L7="Y", $E7, IF('Cost Inputs'!$L7="N", IF(AND(ISNUMBER('Cost Inputs'!$M7), OR('Cost Inputs'!$M7=1, 'Cost Inputs'!$M7=5)), $E7,""),"")),"")</f>
        <v/>
      </c>
      <c r="U7" s="17" t="str">
        <f>IF(U$3="N.B.C.", IF('Cost Inputs'!$L7="Y", $E7, IF('Cost Inputs'!$L7="N", IF(AND(ISNUMBER('Cost Inputs'!$M7), OR('Cost Inputs'!$M7=1, 'Cost Inputs'!$M7=2, 'Cost Inputs'!$M7=3, 'Cost Inputs'!$M7=6)), $E7,""),"")),"")</f>
        <v/>
      </c>
      <c r="V7" s="17" t="str">
        <f>IF(V$3="N.B.C.", IF('Cost Inputs'!$L7="Y", $E7, IF('Cost Inputs'!$L7="N", IF(AND(ISNUMBER('Cost Inputs'!$M7), OR('Cost Inputs'!$M7=1, 'Cost Inputs'!$M7=7)), $E7,""),"")),"")</f>
        <v/>
      </c>
      <c r="W7" s="17" t="str">
        <f>IF(W$3="N.B.C.", IF('Cost Inputs'!$L7="Y", $E7, IF('Cost Inputs'!$L7="N", IF(AND(ISNUMBER('Cost Inputs'!$M7), OR('Cost Inputs'!$M7=1, 'Cost Inputs'!$M7=2,'Cost Inputs'!$M7=4,'Cost Inputs'!$M7=8)), $E7,""),"")),"")</f>
        <v/>
      </c>
      <c r="X7" s="106" t="str">
        <f>IF($X$3="N.B.C.", IF('Cost Inputs'!$L7="Y", $E7, IF('Cost Inputs'!$L7="N", IF(AND(ISNUMBER('Cost Inputs'!$M7), OR('Cost Inputs'!$M7=1, 'Cost Inputs'!$M7=3,'Cost Inputs'!$M7=9)), $E7,""),"")),"")</f>
        <v/>
      </c>
    </row>
    <row r="8" spans="1:45" x14ac:dyDescent="0.25">
      <c r="A8" s="501"/>
      <c r="B8" s="504"/>
      <c r="C8" s="107" t="str">
        <f>IF(OR('Cost Inputs'!H8&lt;&gt;"", 'Cost Inputs'!I8&lt;&gt;"", 'Cost Inputs'!J8&lt;&gt;""), 'Cost Inputs'!A8, "")</f>
        <v/>
      </c>
      <c r="D8" s="93" t="str">
        <f>IF(AND(C8&lt;&gt;"", 'Cost Inputs'!G8&lt;&gt;""), 'Cost Inputs'!G8, "")</f>
        <v/>
      </c>
      <c r="E8" s="93" t="str">
        <f>IF(AND(C8&lt;&gt;"", 'Cost Inputs'!H8&lt;&gt;""), 'Cost Inputs'!H8, "")</f>
        <v/>
      </c>
      <c r="F8" s="108" t="str">
        <f>IF('Cost Inputs'!$I8&lt;&gt;"", 'Cost Inputs'!$I8, "")</f>
        <v/>
      </c>
      <c r="G8" s="108" t="str">
        <f t="shared" si="1"/>
        <v/>
      </c>
      <c r="H8" s="108" t="str">
        <f>IF('Cost Inputs'!$J8&lt;&gt;"", 'Cost Inputs'!$J8, "")</f>
        <v/>
      </c>
      <c r="I8" s="108" t="str">
        <f t="shared" si="2"/>
        <v/>
      </c>
      <c r="J8" s="108" t="str">
        <f>IF(('Cost Inputs'!I8+'Cost Inputs'!J8+'Cost Inputs'!K8)&gt;0, 'Cost Inputs'!I8+'Cost Inputs'!J8+'Cost Inputs'!K8, "")</f>
        <v/>
      </c>
      <c r="K8" s="108" t="str">
        <f>IF('Cost Inputs'!$N8&gt;0,'Cost Inputs'!$N8,"")</f>
        <v/>
      </c>
      <c r="L8" s="93"/>
      <c r="M8" s="109"/>
      <c r="O8" s="107" t="str">
        <f>IF(O$3="N.B.C.", IF('Cost Inputs'!$L8="Y", $E8, IF('Cost Inputs'!$L8="N", IF(ISNUMBER('Cost Inputs'!$M8), $E8,""),"")),"")</f>
        <v/>
      </c>
      <c r="P8" s="93" t="str">
        <f>IF(P$3="N.B.C.", IF('Cost Inputs'!$L8="Y", $E8, IF('Cost Inputs'!$L8="N", "","")),"")</f>
        <v/>
      </c>
      <c r="Q8" s="93" t="str">
        <f>IF(Q$3="N.B.C.", IF('Cost Inputs'!$L8="Y", $E8, IF('Cost Inputs'!$L8="N", IF(AND(ISNUMBER('Cost Inputs'!$M8), OR('Cost Inputs'!$M8=1,'Cost Inputs'!$M8=2)), $E8,""),"")),"")</f>
        <v/>
      </c>
      <c r="R8" s="93" t="str">
        <f>IF(R$3="N.B.C.", IF('Cost Inputs'!$L8="Y", $E8, IF('Cost Inputs'!$L8="N", IF(AND(ISNUMBER('Cost Inputs'!$M8), OR('Cost Inputs'!$M8=1, 'Cost Inputs'!$M8=3)), $E8,""),"")),"")</f>
        <v/>
      </c>
      <c r="S8" s="93" t="str">
        <f>IF(S$3="N.B.C.", IF('Cost Inputs'!$L8="Y", $E8, IF('Cost Inputs'!$L8="N", IF(AND(ISNUMBER('Cost Inputs'!$M8), OR('Cost Inputs'!$M8=1, 'Cost Inputs'!$M8=2, 'Cost Inputs'!$M8=4)), $E8,""),"")),"")</f>
        <v/>
      </c>
      <c r="T8" s="93" t="str">
        <f>IF(T$3="N.B.C.", IF('Cost Inputs'!$L8="Y", $E8, IF('Cost Inputs'!$L8="N", IF(AND(ISNUMBER('Cost Inputs'!$M8), OR('Cost Inputs'!$M8=1, 'Cost Inputs'!$M8=5)), $E8,""),"")),"")</f>
        <v/>
      </c>
      <c r="U8" s="93" t="str">
        <f>IF(U$3="N.B.C.", IF('Cost Inputs'!$L8="Y", $E8, IF('Cost Inputs'!$L8="N", IF(AND(ISNUMBER('Cost Inputs'!$M8), OR('Cost Inputs'!$M8=1, 'Cost Inputs'!$M8=2, 'Cost Inputs'!$M8=3, 'Cost Inputs'!$M8=6)), $E8,""),"")),"")</f>
        <v/>
      </c>
      <c r="V8" s="93" t="str">
        <f>IF(V$3="N.B.C.", IF('Cost Inputs'!$L8="Y", $E8, IF('Cost Inputs'!$L8="N", IF(AND(ISNUMBER('Cost Inputs'!$M8), OR('Cost Inputs'!$M8=1, 'Cost Inputs'!$M8=7)), $E8,""),"")),"")</f>
        <v/>
      </c>
      <c r="W8" s="93" t="str">
        <f>IF(W$3="N.B.C.", IF('Cost Inputs'!$L8="Y", $E8, IF('Cost Inputs'!$L8="N", IF(AND(ISNUMBER('Cost Inputs'!$M8), OR('Cost Inputs'!$M8=1, 'Cost Inputs'!$M8=2,'Cost Inputs'!$M8=4,'Cost Inputs'!$M8=8)), $E8,""),"")),"")</f>
        <v/>
      </c>
      <c r="X8" s="109" t="str">
        <f>IF($X$3="N.B.C.", IF('Cost Inputs'!$L8="Y", $E8, IF('Cost Inputs'!$L8="N", IF(AND(ISNUMBER('Cost Inputs'!$M8), OR('Cost Inputs'!$M8=1, 'Cost Inputs'!$M8=3,'Cost Inputs'!$M8=9)), $E8,""),"")),"")</f>
        <v/>
      </c>
    </row>
    <row r="9" spans="1:45" x14ac:dyDescent="0.25">
      <c r="A9" s="501"/>
      <c r="B9" s="504"/>
      <c r="C9" s="104" t="str">
        <f>IF(OR('Cost Inputs'!H9&lt;&gt;"", 'Cost Inputs'!I9&lt;&gt;"", 'Cost Inputs'!J9&lt;&gt;""), 'Cost Inputs'!A9, "")</f>
        <v/>
      </c>
      <c r="D9" s="17" t="str">
        <f>IF(AND(C9&lt;&gt;"", 'Cost Inputs'!G9&lt;&gt;""), 'Cost Inputs'!G9, "")</f>
        <v/>
      </c>
      <c r="E9" s="17" t="str">
        <f>IF(AND(C9&lt;&gt;"", 'Cost Inputs'!H9&lt;&gt;""), 'Cost Inputs'!H9, "")</f>
        <v/>
      </c>
      <c r="F9" s="17" t="str">
        <f>IF('Cost Inputs'!$I9&lt;&gt;"", 'Cost Inputs'!$I9, "")</f>
        <v/>
      </c>
      <c r="G9" s="17" t="str">
        <f t="shared" si="1"/>
        <v/>
      </c>
      <c r="H9" s="17" t="str">
        <f>IF('Cost Inputs'!$J9&lt;&gt;"", 'Cost Inputs'!$J9, "")</f>
        <v/>
      </c>
      <c r="I9" s="17" t="str">
        <f t="shared" si="2"/>
        <v/>
      </c>
      <c r="J9" s="17" t="str">
        <f>IF(('Cost Inputs'!I9+'Cost Inputs'!J9+'Cost Inputs'!K9)&gt;0, 'Cost Inputs'!I9+'Cost Inputs'!J9+'Cost Inputs'!K9, "")</f>
        <v/>
      </c>
      <c r="K9" s="17" t="str">
        <f>IF('Cost Inputs'!$N9&gt;0,'Cost Inputs'!$N9,"")</f>
        <v/>
      </c>
      <c r="M9" s="106"/>
      <c r="O9" s="104" t="str">
        <f>IF(O$3="N.B.C.", IF('Cost Inputs'!$L9="Y", $E9, IF('Cost Inputs'!$L9="N", IF(ISNUMBER('Cost Inputs'!$M9), $E9,""),"")),"")</f>
        <v/>
      </c>
      <c r="P9" s="17" t="str">
        <f>IF(P$3="N.B.C.", IF('Cost Inputs'!$L9="Y", $E9, IF('Cost Inputs'!$L9="N", "","")),"")</f>
        <v/>
      </c>
      <c r="Q9" s="17" t="str">
        <f>IF(Q$3="N.B.C.", IF('Cost Inputs'!$L9="Y", $E9, IF('Cost Inputs'!$L9="N", IF(AND(ISNUMBER('Cost Inputs'!$M9), OR('Cost Inputs'!$M9=1,'Cost Inputs'!$M9=2)), $E9,""),"")),"")</f>
        <v/>
      </c>
      <c r="R9" s="17" t="str">
        <f>IF(R$3="N.B.C.", IF('Cost Inputs'!$L9="Y", $E9, IF('Cost Inputs'!$L9="N", IF(AND(ISNUMBER('Cost Inputs'!$M9), OR('Cost Inputs'!$M9=1, 'Cost Inputs'!$M9=3)), $E9,""),"")),"")</f>
        <v/>
      </c>
      <c r="S9" s="17" t="str">
        <f>IF(S$3="N.B.C.", IF('Cost Inputs'!$L9="Y", $E9, IF('Cost Inputs'!$L9="N", IF(AND(ISNUMBER('Cost Inputs'!$M9), OR('Cost Inputs'!$M9=1, 'Cost Inputs'!$M9=2, 'Cost Inputs'!$M9=4)), $E9,""),"")),"")</f>
        <v/>
      </c>
      <c r="T9" s="17" t="str">
        <f>IF(T$3="N.B.C.", IF('Cost Inputs'!$L9="Y", $E9, IF('Cost Inputs'!$L9="N", IF(AND(ISNUMBER('Cost Inputs'!$M9), OR('Cost Inputs'!$M9=1, 'Cost Inputs'!$M9=5)), $E9,""),"")),"")</f>
        <v/>
      </c>
      <c r="U9" s="17" t="str">
        <f>IF(U$3="N.B.C.", IF('Cost Inputs'!$L9="Y", $E9, IF('Cost Inputs'!$L9="N", IF(AND(ISNUMBER('Cost Inputs'!$M9), OR('Cost Inputs'!$M9=1, 'Cost Inputs'!$M9=2, 'Cost Inputs'!$M9=3, 'Cost Inputs'!$M9=6)), $E9,""),"")),"")</f>
        <v/>
      </c>
      <c r="V9" s="17" t="str">
        <f>IF(V$3="N.B.C.", IF('Cost Inputs'!$L9="Y", $E9, IF('Cost Inputs'!$L9="N", IF(AND(ISNUMBER('Cost Inputs'!$M9), OR('Cost Inputs'!$M9=1, 'Cost Inputs'!$M9=7)), $E9,""),"")),"")</f>
        <v/>
      </c>
      <c r="W9" s="17" t="str">
        <f>IF(W$3="N.B.C.", IF('Cost Inputs'!$L9="Y", $E9, IF('Cost Inputs'!$L9="N", IF(AND(ISNUMBER('Cost Inputs'!$M9), OR('Cost Inputs'!$M9=1, 'Cost Inputs'!$M9=2,'Cost Inputs'!$M9=4,'Cost Inputs'!$M9=8)), $E9,""),"")),"")</f>
        <v/>
      </c>
      <c r="X9" s="106" t="str">
        <f>IF($X$3="N.B.C.", IF('Cost Inputs'!$L9="Y", $E9, IF('Cost Inputs'!$L9="N", IF(AND(ISNUMBER('Cost Inputs'!$M9), OR('Cost Inputs'!$M9=1, 'Cost Inputs'!$M9=3,'Cost Inputs'!$M9=9)), $E9,""),"")),"")</f>
        <v/>
      </c>
    </row>
    <row r="10" spans="1:45" x14ac:dyDescent="0.25">
      <c r="A10" s="501"/>
      <c r="B10" s="504"/>
      <c r="C10" s="107" t="str">
        <f>IF(OR('Cost Inputs'!H10&lt;&gt;"", 'Cost Inputs'!I10&lt;&gt;"", 'Cost Inputs'!J10&lt;&gt;""), 'Cost Inputs'!A10, "")</f>
        <v/>
      </c>
      <c r="D10" s="93" t="str">
        <f>IF(AND(C10&lt;&gt;"", 'Cost Inputs'!G10&lt;&gt;""), 'Cost Inputs'!G10, "")</f>
        <v/>
      </c>
      <c r="E10" s="93" t="str">
        <f>IF(AND(C10&lt;&gt;"", 'Cost Inputs'!H10&lt;&gt;""), 'Cost Inputs'!H10, "")</f>
        <v/>
      </c>
      <c r="F10" s="93" t="str">
        <f>IF('Cost Inputs'!$I10&lt;&gt;"", 'Cost Inputs'!$I10, "")</f>
        <v/>
      </c>
      <c r="G10" s="93" t="str">
        <f t="shared" si="1"/>
        <v/>
      </c>
      <c r="H10" s="93" t="str">
        <f>IF('Cost Inputs'!$J10&lt;&gt;"", 'Cost Inputs'!$J10, "")</f>
        <v/>
      </c>
      <c r="I10" s="93" t="str">
        <f t="shared" si="2"/>
        <v/>
      </c>
      <c r="J10" s="93" t="str">
        <f>IF(('Cost Inputs'!I10+'Cost Inputs'!J10+'Cost Inputs'!K10)&gt;0, 'Cost Inputs'!I10+'Cost Inputs'!J10+'Cost Inputs'!K10, "")</f>
        <v/>
      </c>
      <c r="K10" s="93" t="str">
        <f>IF('Cost Inputs'!$N10&gt;0,'Cost Inputs'!$N10,"")</f>
        <v/>
      </c>
      <c r="L10" s="93"/>
      <c r="M10" s="109"/>
      <c r="O10" s="107" t="str">
        <f>IF(O$3="N.B.C.", IF('Cost Inputs'!$L10="Y", $E10, IF('Cost Inputs'!$L10="N", IF(ISNUMBER('Cost Inputs'!$M10), $E10,""),"")),"")</f>
        <v/>
      </c>
      <c r="P10" s="93" t="str">
        <f>IF(P$3="N.B.C.", IF('Cost Inputs'!$L10="Y", $E10, IF('Cost Inputs'!$L10="N", "","")),"")</f>
        <v/>
      </c>
      <c r="Q10" s="93" t="str">
        <f>IF(Q$3="N.B.C.", IF('Cost Inputs'!$L10="Y", $E10, IF('Cost Inputs'!$L10="N", IF(AND(ISNUMBER('Cost Inputs'!$M10), OR('Cost Inputs'!$M10=1,'Cost Inputs'!$M10=2)), $E10,""),"")),"")</f>
        <v/>
      </c>
      <c r="R10" s="93" t="str">
        <f>IF(R$3="N.B.C.", IF('Cost Inputs'!$L10="Y", $E10, IF('Cost Inputs'!$L10="N", IF(AND(ISNUMBER('Cost Inputs'!$M10), OR('Cost Inputs'!$M10=1, 'Cost Inputs'!$M10=3)), $E10,""),"")),"")</f>
        <v/>
      </c>
      <c r="S10" s="93" t="str">
        <f>IF(S$3="N.B.C.", IF('Cost Inputs'!$L10="Y", $E10, IF('Cost Inputs'!$L10="N", IF(AND(ISNUMBER('Cost Inputs'!$M10), OR('Cost Inputs'!$M10=1, 'Cost Inputs'!$M10=2, 'Cost Inputs'!$M10=4)), $E10,""),"")),"")</f>
        <v/>
      </c>
      <c r="T10" s="93" t="str">
        <f>IF(T$3="N.B.C.", IF('Cost Inputs'!$L10="Y", $E10, IF('Cost Inputs'!$L10="N", IF(AND(ISNUMBER('Cost Inputs'!$M10), OR('Cost Inputs'!$M10=1, 'Cost Inputs'!$M10=5)), $E10,""),"")),"")</f>
        <v/>
      </c>
      <c r="U10" s="93" t="str">
        <f>IF(U$3="N.B.C.", IF('Cost Inputs'!$L10="Y", $E10, IF('Cost Inputs'!$L10="N", IF(AND(ISNUMBER('Cost Inputs'!$M10), OR('Cost Inputs'!$M10=1, 'Cost Inputs'!$M10=2, 'Cost Inputs'!$M10=3, 'Cost Inputs'!$M10=6)), $E10,""),"")),"")</f>
        <v/>
      </c>
      <c r="V10" s="93" t="str">
        <f>IF(V$3="N.B.C.", IF('Cost Inputs'!$L10="Y", $E10, IF('Cost Inputs'!$L10="N", IF(AND(ISNUMBER('Cost Inputs'!$M10), OR('Cost Inputs'!$M10=1, 'Cost Inputs'!$M10=7)), $E10,""),"")),"")</f>
        <v/>
      </c>
      <c r="W10" s="93" t="str">
        <f>IF(W$3="N.B.C.", IF('Cost Inputs'!$L10="Y", $E10, IF('Cost Inputs'!$L10="N", IF(AND(ISNUMBER('Cost Inputs'!$M10), OR('Cost Inputs'!$M10=1, 'Cost Inputs'!$M10=2,'Cost Inputs'!$M10=4,'Cost Inputs'!$M10=8)), $E10,""),"")),"")</f>
        <v/>
      </c>
      <c r="X10" s="109" t="str">
        <f>IF($X$3="N.B.C.", IF('Cost Inputs'!$L10="Y", $E10, IF('Cost Inputs'!$L10="N", IF(AND(ISNUMBER('Cost Inputs'!$M10), OR('Cost Inputs'!$M10=1, 'Cost Inputs'!$M10=3,'Cost Inputs'!$M10=9)), $E10,""),"")),"")</f>
        <v/>
      </c>
    </row>
    <row r="11" spans="1:45" x14ac:dyDescent="0.25">
      <c r="A11" s="501"/>
      <c r="B11" s="504"/>
      <c r="C11" s="110" t="str">
        <f>'Cost Inputs'!A11</f>
        <v>1.2 Cross Planning</v>
      </c>
      <c r="D11" s="94" t="str">
        <f>IF(OR('Cost Inputs'!H11&lt;&gt;"", 'Cost Inputs'!I11&lt;&gt;"", 'Cost Inputs'!J11&lt;&gt;""), 'Cost Inputs'!G11,"")</f>
        <v/>
      </c>
      <c r="E11" s="94" t="str">
        <f>IF(AND(C11&lt;&gt;"", 'Cost Inputs'!H11&lt;&gt;""), 'Cost Inputs'!H11, "")</f>
        <v/>
      </c>
      <c r="F11" s="94" t="str">
        <f>IF('Cost Inputs'!$I11&lt;&gt;"", 'Cost Inputs'!$I11, "")</f>
        <v/>
      </c>
      <c r="G11" s="94" t="str">
        <f t="shared" si="1"/>
        <v/>
      </c>
      <c r="H11" s="94" t="str">
        <f>IF('Cost Inputs'!$J11&lt;&gt;"", 'Cost Inputs'!$J11, "")</f>
        <v/>
      </c>
      <c r="I11" s="94" t="str">
        <f>IF(AND($E11&lt;&gt;"", $H11&lt;&gt;""), $H11/$E11, "")</f>
        <v/>
      </c>
      <c r="J11" s="94" t="str">
        <f>IF(('Cost Inputs'!I11+'Cost Inputs'!J11+'Cost Inputs'!K11)&gt;0, 'Cost Inputs'!I11+'Cost Inputs'!J11+'Cost Inputs'!K11, "")</f>
        <v/>
      </c>
      <c r="K11" s="94" t="str">
        <f>IF('Cost Inputs'!$N11&gt;0,'Cost Inputs'!$N11,"")</f>
        <v/>
      </c>
      <c r="L11" s="94"/>
      <c r="M11" s="103"/>
      <c r="O11" s="110" t="str">
        <f>IF(O$3="N.B.C.", IF('Cost Inputs'!$L11="Y", $E11, IF('Cost Inputs'!$L11="N", IF(ISNUMBER('Cost Inputs'!$M11), $E11,""),"")),"")</f>
        <v/>
      </c>
      <c r="P11" s="94" t="str">
        <f>IF(P$3="N.B.C.", IF('Cost Inputs'!$L11="Y", $E11, IF('Cost Inputs'!$L11="N", "","")),"")</f>
        <v/>
      </c>
      <c r="Q11" s="94" t="str">
        <f>IF(Q$3="N.B.C.", IF('Cost Inputs'!$L11="Y", $E11, IF('Cost Inputs'!$L11="N", IF(AND(ISNUMBER('Cost Inputs'!$M11), OR('Cost Inputs'!$M11=1,'Cost Inputs'!$M11=2)), $E11,""),"")),"")</f>
        <v/>
      </c>
      <c r="R11" s="94" t="str">
        <f>IF(R$3="N.B.C.", IF('Cost Inputs'!$L11="Y", $E11, IF('Cost Inputs'!$L11="N", IF(AND(ISNUMBER('Cost Inputs'!$M11), OR('Cost Inputs'!$M11=1, 'Cost Inputs'!$M11=3)), $E11,""),"")),"")</f>
        <v/>
      </c>
      <c r="S11" s="94" t="str">
        <f>IF(S$3="N.B.C.", IF('Cost Inputs'!$L11="Y", $E11, IF('Cost Inputs'!$L11="N", IF(AND(ISNUMBER('Cost Inputs'!$M11), OR('Cost Inputs'!$M11=1, 'Cost Inputs'!$M11=2, 'Cost Inputs'!$M11=4)), $E11,""),"")),"")</f>
        <v/>
      </c>
      <c r="T11" s="94" t="str">
        <f>IF(T$3="N.B.C.", IF('Cost Inputs'!$L11="Y", $E11, IF('Cost Inputs'!$L11="N", IF(AND(ISNUMBER('Cost Inputs'!$M11), OR('Cost Inputs'!$M11=1, 'Cost Inputs'!$M11=5)), $E11,""),"")),"")</f>
        <v/>
      </c>
      <c r="U11" s="94" t="str">
        <f>IF(U$3="N.B.C.", IF('Cost Inputs'!$L11="Y", $E11, IF('Cost Inputs'!$L11="N", IF(AND(ISNUMBER('Cost Inputs'!$M11), OR('Cost Inputs'!$M11=1, 'Cost Inputs'!$M11=2, 'Cost Inputs'!$M11=3, 'Cost Inputs'!$M11=6)), $E11,""),"")),"")</f>
        <v/>
      </c>
      <c r="V11" s="94" t="str">
        <f>IF(V$3="N.B.C.", IF('Cost Inputs'!$L11="Y", $E11, IF('Cost Inputs'!$L11="N", IF(AND(ISNUMBER('Cost Inputs'!$M11), OR('Cost Inputs'!$M11=1, 'Cost Inputs'!$M11=7)), $E11,""),"")),"")</f>
        <v/>
      </c>
      <c r="W11" s="94" t="str">
        <f>IF(W$3="N.B.C.", IF('Cost Inputs'!$L11="Y", $E11, IF('Cost Inputs'!$L11="N", IF(AND(ISNUMBER('Cost Inputs'!$M11), OR('Cost Inputs'!$M11=1, 'Cost Inputs'!$M11=2,'Cost Inputs'!$M11=4,'Cost Inputs'!$M11=8)), $E11,""),"")),"")</f>
        <v/>
      </c>
      <c r="X11" s="103" t="str">
        <f>IF($X$3="N.B.C.", IF('Cost Inputs'!$L11="Y", $E11, IF('Cost Inputs'!$L11="N", IF(AND(ISNUMBER('Cost Inputs'!$M11), OR('Cost Inputs'!$M11=1, 'Cost Inputs'!$M11=3,'Cost Inputs'!$M11=9)), $E11,""),"")),"")</f>
        <v/>
      </c>
    </row>
    <row r="12" spans="1:45" x14ac:dyDescent="0.25">
      <c r="A12" s="501"/>
      <c r="B12" s="504"/>
      <c r="C12" s="104" t="str">
        <f>IF(OR('Cost Inputs'!H12&lt;&gt;"", 'Cost Inputs'!I12&lt;&gt;"", 'Cost Inputs'!J12&lt;&gt;""), 'Cost Inputs'!A12, "")</f>
        <v/>
      </c>
      <c r="D12" s="17" t="str">
        <f>IF(AND(C12&lt;&gt;"", 'Cost Inputs'!G12&lt;&gt;""), 'Cost Inputs'!G12, "")</f>
        <v/>
      </c>
      <c r="E12" s="17" t="str">
        <f>IF(AND(C12&lt;&gt;"", 'Cost Inputs'!H12&lt;&gt;""), 'Cost Inputs'!H12, "")</f>
        <v/>
      </c>
      <c r="F12" s="17" t="str">
        <f>IF('Cost Inputs'!$I12&lt;&gt;"", 'Cost Inputs'!$I12, "")</f>
        <v/>
      </c>
      <c r="G12" s="17" t="str">
        <f t="shared" si="1"/>
        <v/>
      </c>
      <c r="H12" s="17" t="str">
        <f>IF('Cost Inputs'!$J12&lt;&gt;"", 'Cost Inputs'!$J12, "")</f>
        <v/>
      </c>
      <c r="I12" s="17" t="str">
        <f t="shared" si="2"/>
        <v/>
      </c>
      <c r="J12" s="17" t="str">
        <f>IF(('Cost Inputs'!I12+'Cost Inputs'!J12+'Cost Inputs'!K12)&gt;0, 'Cost Inputs'!I12+'Cost Inputs'!J12+'Cost Inputs'!K12, "")</f>
        <v/>
      </c>
      <c r="K12" s="17" t="str">
        <f>IF('Cost Inputs'!$N12&gt;0,'Cost Inputs'!$N12,"")</f>
        <v/>
      </c>
      <c r="M12" s="106"/>
      <c r="O12" s="104" t="str">
        <f>IF(O$3="N.B.C.", IF('Cost Inputs'!$L12="Y", $E12, IF('Cost Inputs'!$L12="N", IF(ISNUMBER('Cost Inputs'!$M12), $E12,""),"")),"")</f>
        <v/>
      </c>
      <c r="P12" s="17" t="str">
        <f>IF(P$3="N.B.C.", IF('Cost Inputs'!$L12="Y", $E12, IF('Cost Inputs'!$L12="N", "","")),"")</f>
        <v/>
      </c>
      <c r="Q12" s="17" t="str">
        <f>IF(Q$3="N.B.C.", IF('Cost Inputs'!$L12="Y", $E12, IF('Cost Inputs'!$L12="N", IF(AND(ISNUMBER('Cost Inputs'!$M12), OR('Cost Inputs'!$M12=1,'Cost Inputs'!$M12=2)), $E12,""),"")),"")</f>
        <v/>
      </c>
      <c r="R12" s="17" t="str">
        <f>IF(R$3="N.B.C.", IF('Cost Inputs'!$L12="Y", $E12, IF('Cost Inputs'!$L12="N", IF(AND(ISNUMBER('Cost Inputs'!$M12), OR('Cost Inputs'!$M12=1, 'Cost Inputs'!$M12=3)), $E12,""),"")),"")</f>
        <v/>
      </c>
      <c r="S12" s="17" t="str">
        <f>IF(S$3="N.B.C.", IF('Cost Inputs'!$L12="Y", $E12, IF('Cost Inputs'!$L12="N", IF(AND(ISNUMBER('Cost Inputs'!$M12), OR('Cost Inputs'!$M12=1, 'Cost Inputs'!$M12=2, 'Cost Inputs'!$M12=4)), $E12,""),"")),"")</f>
        <v/>
      </c>
      <c r="T12" s="17" t="str">
        <f>IF(T$3="N.B.C.", IF('Cost Inputs'!$L12="Y", $E12, IF('Cost Inputs'!$L12="N", IF(AND(ISNUMBER('Cost Inputs'!$M12), OR('Cost Inputs'!$M12=1, 'Cost Inputs'!$M12=5)), $E12,""),"")),"")</f>
        <v/>
      </c>
      <c r="U12" s="17" t="str">
        <f>IF(U$3="N.B.C.", IF('Cost Inputs'!$L12="Y", $E12, IF('Cost Inputs'!$L12="N", IF(AND(ISNUMBER('Cost Inputs'!$M12), OR('Cost Inputs'!$M12=1, 'Cost Inputs'!$M12=2, 'Cost Inputs'!$M12=3, 'Cost Inputs'!$M12=6)), $E12,""),"")),"")</f>
        <v/>
      </c>
      <c r="V12" s="17" t="str">
        <f>IF(V$3="N.B.C.", IF('Cost Inputs'!$L12="Y", $E12, IF('Cost Inputs'!$L12="N", IF(AND(ISNUMBER('Cost Inputs'!$M12), OR('Cost Inputs'!$M12=1, 'Cost Inputs'!$M12=7)), $E12,""),"")),"")</f>
        <v/>
      </c>
      <c r="W12" s="17" t="str">
        <f>IF(W$3="N.B.C.", IF('Cost Inputs'!$L12="Y", $E12, IF('Cost Inputs'!$L12="N", IF(AND(ISNUMBER('Cost Inputs'!$M12), OR('Cost Inputs'!$M12=1, 'Cost Inputs'!$M12=2,'Cost Inputs'!$M12=4,'Cost Inputs'!$M12=8)), $E12,""),"")),"")</f>
        <v/>
      </c>
      <c r="X12" s="106" t="str">
        <f>IF($X$3="N.B.C.", IF('Cost Inputs'!$L12="Y", $E12, IF('Cost Inputs'!$L12="N", IF(AND(ISNUMBER('Cost Inputs'!$M12), OR('Cost Inputs'!$M12=1, 'Cost Inputs'!$M12=3,'Cost Inputs'!$M12=9)), $E12,""),"")),"")</f>
        <v/>
      </c>
    </row>
    <row r="13" spans="1:45" x14ac:dyDescent="0.25">
      <c r="A13" s="501"/>
      <c r="B13" s="504"/>
      <c r="C13" s="107" t="str">
        <f>IF(OR('Cost Inputs'!H13&lt;&gt;"", 'Cost Inputs'!I13&lt;&gt;"", 'Cost Inputs'!J13&lt;&gt;""), 'Cost Inputs'!A13, "")</f>
        <v/>
      </c>
      <c r="D13" s="93" t="str">
        <f>IF(AND(C13&lt;&gt;"", 'Cost Inputs'!G13&lt;&gt;""), 'Cost Inputs'!G13, "")</f>
        <v/>
      </c>
      <c r="E13" s="93" t="str">
        <f>IF(AND(C13&lt;&gt;"", 'Cost Inputs'!H13&lt;&gt;""), 'Cost Inputs'!H13, "")</f>
        <v/>
      </c>
      <c r="F13" s="93" t="str">
        <f>IF('Cost Inputs'!$I13&lt;&gt;"", 'Cost Inputs'!$I13, "")</f>
        <v/>
      </c>
      <c r="G13" s="93" t="str">
        <f t="shared" si="1"/>
        <v/>
      </c>
      <c r="H13" s="93" t="str">
        <f>IF('Cost Inputs'!$J13&lt;&gt;"", 'Cost Inputs'!$J13, "")</f>
        <v/>
      </c>
      <c r="I13" s="93" t="str">
        <f t="shared" si="2"/>
        <v/>
      </c>
      <c r="J13" s="93" t="str">
        <f>IF(('Cost Inputs'!I13+'Cost Inputs'!J13+'Cost Inputs'!K13)&gt;0, 'Cost Inputs'!I13+'Cost Inputs'!J13+'Cost Inputs'!K13, "")</f>
        <v/>
      </c>
      <c r="K13" s="93" t="str">
        <f>IF('Cost Inputs'!$N13&gt;0,'Cost Inputs'!$N13,"")</f>
        <v/>
      </c>
      <c r="L13" s="93"/>
      <c r="M13" s="109"/>
      <c r="O13" s="107" t="str">
        <f>IF(O$3="N.B.C.", IF('Cost Inputs'!$L13="Y", $E13, IF('Cost Inputs'!$L13="N", IF(ISNUMBER('Cost Inputs'!$M13), $E13,""),"")),"")</f>
        <v/>
      </c>
      <c r="P13" s="93" t="str">
        <f>IF(P$3="N.B.C.", IF('Cost Inputs'!$L13="Y", $E13, IF('Cost Inputs'!$L13="N", "","")),"")</f>
        <v/>
      </c>
      <c r="Q13" s="93" t="str">
        <f>IF(Q$3="N.B.C.", IF('Cost Inputs'!$L13="Y", $E13, IF('Cost Inputs'!$L13="N", IF(AND(ISNUMBER('Cost Inputs'!$M13), OR('Cost Inputs'!$M13=1,'Cost Inputs'!$M13=2)), $E13,""),"")),"")</f>
        <v/>
      </c>
      <c r="R13" s="93" t="str">
        <f>IF(R$3="N.B.C.", IF('Cost Inputs'!$L13="Y", $E13, IF('Cost Inputs'!$L13="N", IF(AND(ISNUMBER('Cost Inputs'!$M13), OR('Cost Inputs'!$M13=1, 'Cost Inputs'!$M13=3)), $E13,""),"")),"")</f>
        <v/>
      </c>
      <c r="S13" s="93" t="str">
        <f>IF(S$3="N.B.C.", IF('Cost Inputs'!$L13="Y", $E13, IF('Cost Inputs'!$L13="N", IF(AND(ISNUMBER('Cost Inputs'!$M13), OR('Cost Inputs'!$M13=1, 'Cost Inputs'!$M13=2, 'Cost Inputs'!$M13=4)), $E13,""),"")),"")</f>
        <v/>
      </c>
      <c r="T13" s="93" t="str">
        <f>IF(T$3="N.B.C.", IF('Cost Inputs'!$L13="Y", $E13, IF('Cost Inputs'!$L13="N", IF(AND(ISNUMBER('Cost Inputs'!$M13), OR('Cost Inputs'!$M13=1, 'Cost Inputs'!$M13=5)), $E13,""),"")),"")</f>
        <v/>
      </c>
      <c r="U13" s="93" t="str">
        <f>IF(U$3="N.B.C.", IF('Cost Inputs'!$L13="Y", $E13, IF('Cost Inputs'!$L13="N", IF(AND(ISNUMBER('Cost Inputs'!$M13), OR('Cost Inputs'!$M13=1, 'Cost Inputs'!$M13=2, 'Cost Inputs'!$M13=3, 'Cost Inputs'!$M13=6)), $E13,""),"")),"")</f>
        <v/>
      </c>
      <c r="V13" s="93" t="str">
        <f>IF(V$3="N.B.C.", IF('Cost Inputs'!$L13="Y", $E13, IF('Cost Inputs'!$L13="N", IF(AND(ISNUMBER('Cost Inputs'!$M13), OR('Cost Inputs'!$M13=1, 'Cost Inputs'!$M13=7)), $E13,""),"")),"")</f>
        <v/>
      </c>
      <c r="W13" s="93" t="str">
        <f>IF(W$3="N.B.C.", IF('Cost Inputs'!$L13="Y", $E13, IF('Cost Inputs'!$L13="N", IF(AND(ISNUMBER('Cost Inputs'!$M13), OR('Cost Inputs'!$M13=1, 'Cost Inputs'!$M13=2,'Cost Inputs'!$M13=4,'Cost Inputs'!$M13=8)), $E13,""),"")),"")</f>
        <v/>
      </c>
      <c r="X13" s="109" t="str">
        <f>IF($X$3="N.B.C.", IF('Cost Inputs'!$L13="Y", $E13, IF('Cost Inputs'!$L13="N", IF(AND(ISNUMBER('Cost Inputs'!$M13), OR('Cost Inputs'!$M13=1, 'Cost Inputs'!$M13=3,'Cost Inputs'!$M13=9)), $E13,""),"")),"")</f>
        <v/>
      </c>
    </row>
    <row r="14" spans="1:45" x14ac:dyDescent="0.25">
      <c r="A14" s="501"/>
      <c r="B14" s="504"/>
      <c r="C14" s="110" t="str">
        <f>IF(OR(AND('Cost Inputs'!A14&lt;&gt;"",'Cost Inputs'!H14&lt;&gt;""), AND('Cost Inputs'!A14&lt;&gt;"",'Cost Inputs'!A15&lt;&gt;"")), 'Cost Inputs'!A14, "")</f>
        <v/>
      </c>
      <c r="D14" s="94" t="str">
        <f>IF(OR('Cost Inputs'!H14&lt;&gt;"", 'Cost Inputs'!I14&lt;&gt;"", 'Cost Inputs'!J14&lt;&gt;""), 'Cost Inputs'!G14,"")</f>
        <v/>
      </c>
      <c r="E14" s="94" t="str">
        <f>IF(AND(C14&lt;&gt;"", 'Cost Inputs'!H14&lt;&gt;""), 'Cost Inputs'!H14, "")</f>
        <v/>
      </c>
      <c r="F14" s="94" t="str">
        <f>IF('Cost Inputs'!$I14&lt;&gt;"", 'Cost Inputs'!$I14, "")</f>
        <v/>
      </c>
      <c r="G14" s="94" t="str">
        <f t="shared" si="1"/>
        <v/>
      </c>
      <c r="H14" s="94" t="str">
        <f>IF('Cost Inputs'!$J14&lt;&gt;"", 'Cost Inputs'!$J14, "")</f>
        <v/>
      </c>
      <c r="I14" s="94" t="str">
        <f>IF(AND($E14&lt;&gt;"", $H14&lt;&gt;""), $H14/$E14, "")</f>
        <v/>
      </c>
      <c r="J14" s="94" t="str">
        <f>IF(('Cost Inputs'!I14+'Cost Inputs'!J14+'Cost Inputs'!K14)&gt;0, 'Cost Inputs'!I14+'Cost Inputs'!J14+'Cost Inputs'!K14, "")</f>
        <v/>
      </c>
      <c r="K14" s="94" t="str">
        <f>IF('Cost Inputs'!$N14&gt;0,'Cost Inputs'!$N14,"")</f>
        <v/>
      </c>
      <c r="L14" s="94"/>
      <c r="M14" s="103"/>
      <c r="O14" s="110" t="str">
        <f>IF(O$3="N.B.C.", IF('Cost Inputs'!$L14="Y", $E14, IF('Cost Inputs'!$L14="N", IF(ISNUMBER('Cost Inputs'!$M14), $E14,""),"")),"")</f>
        <v/>
      </c>
      <c r="P14" s="94" t="str">
        <f>IF(P$3="N.B.C.", IF('Cost Inputs'!$L14="Y", $E14, IF('Cost Inputs'!$L14="N", "","")),"")</f>
        <v/>
      </c>
      <c r="Q14" s="94" t="str">
        <f>IF(Q$3="N.B.C.", IF('Cost Inputs'!$L14="Y", $E14, IF('Cost Inputs'!$L14="N", IF(AND(ISNUMBER('Cost Inputs'!$M14), OR('Cost Inputs'!$M14=1,'Cost Inputs'!$M14=2)), $E14,""),"")),"")</f>
        <v/>
      </c>
      <c r="R14" s="94" t="str">
        <f>IF(R$3="N.B.C.", IF('Cost Inputs'!$L14="Y", $E14, IF('Cost Inputs'!$L14="N", IF(AND(ISNUMBER('Cost Inputs'!$M14), OR('Cost Inputs'!$M14=1, 'Cost Inputs'!$M14=3)), $E14,""),"")),"")</f>
        <v/>
      </c>
      <c r="S14" s="94" t="str">
        <f>IF(S$3="N.B.C.", IF('Cost Inputs'!$L14="Y", $E14, IF('Cost Inputs'!$L14="N", IF(AND(ISNUMBER('Cost Inputs'!$M14), OR('Cost Inputs'!$M14=1, 'Cost Inputs'!$M14=2, 'Cost Inputs'!$M14=4)), $E14,""),"")),"")</f>
        <v/>
      </c>
      <c r="T14" s="94" t="str">
        <f>IF(T$3="N.B.C.", IF('Cost Inputs'!$L14="Y", $E14, IF('Cost Inputs'!$L14="N", IF(AND(ISNUMBER('Cost Inputs'!$M14), OR('Cost Inputs'!$M14=1, 'Cost Inputs'!$M14=5)), $E14,""),"")),"")</f>
        <v/>
      </c>
      <c r="U14" s="94" t="str">
        <f>IF(U$3="N.B.C.", IF('Cost Inputs'!$L14="Y", $E14, IF('Cost Inputs'!$L14="N", IF(AND(ISNUMBER('Cost Inputs'!$M14), OR('Cost Inputs'!$M14=1, 'Cost Inputs'!$M14=2, 'Cost Inputs'!$M14=3, 'Cost Inputs'!$M14=6)), $E14,""),"")),"")</f>
        <v/>
      </c>
      <c r="V14" s="94" t="str">
        <f>IF(V$3="N.B.C.", IF('Cost Inputs'!$L14="Y", $E14, IF('Cost Inputs'!$L14="N", IF(AND(ISNUMBER('Cost Inputs'!$M14), OR('Cost Inputs'!$M14=1, 'Cost Inputs'!$M14=7)), $E14,""),"")),"")</f>
        <v/>
      </c>
      <c r="W14" s="94" t="str">
        <f>IF(W$3="N.B.C.", IF('Cost Inputs'!$L14="Y", $E14, IF('Cost Inputs'!$L14="N", IF(AND(ISNUMBER('Cost Inputs'!$M14), OR('Cost Inputs'!$M14=1, 'Cost Inputs'!$M14=2,'Cost Inputs'!$M14=4,'Cost Inputs'!$M14=8)), $E14,""),"")),"")</f>
        <v/>
      </c>
      <c r="X14" s="103" t="str">
        <f>IF($X$3="N.B.C.", IF('Cost Inputs'!$L14="Y", $E14, IF('Cost Inputs'!$L14="N", IF(AND(ISNUMBER('Cost Inputs'!$M14), OR('Cost Inputs'!$M14=1, 'Cost Inputs'!$M14=3,'Cost Inputs'!$M14=9)), $E14,""),"")),"")</f>
        <v/>
      </c>
    </row>
    <row r="15" spans="1:45" x14ac:dyDescent="0.25">
      <c r="A15" s="501"/>
      <c r="B15" s="504"/>
      <c r="C15" s="104" t="str">
        <f>IF(OR('Cost Inputs'!H15&lt;&gt;"", 'Cost Inputs'!I15&lt;&gt;"", 'Cost Inputs'!J15&lt;&gt;""), 'Cost Inputs'!A15, "")</f>
        <v/>
      </c>
      <c r="D15" s="17" t="str">
        <f>IF(AND(C15&lt;&gt;"", 'Cost Inputs'!G15&lt;&gt;""), 'Cost Inputs'!G15, "")</f>
        <v/>
      </c>
      <c r="E15" s="17" t="str">
        <f>IF(AND(C15&lt;&gt;"", 'Cost Inputs'!H15&lt;&gt;""), 'Cost Inputs'!H15, "")</f>
        <v/>
      </c>
      <c r="F15" s="17" t="str">
        <f>IF('Cost Inputs'!$I15&lt;&gt;"", 'Cost Inputs'!$I15, "")</f>
        <v/>
      </c>
      <c r="G15" s="17" t="str">
        <f t="shared" si="1"/>
        <v/>
      </c>
      <c r="H15" s="17" t="str">
        <f>IF('Cost Inputs'!$J15&lt;&gt;"", 'Cost Inputs'!$J15, "")</f>
        <v/>
      </c>
      <c r="I15" s="17" t="str">
        <f t="shared" si="2"/>
        <v/>
      </c>
      <c r="J15" s="17" t="str">
        <f>IF(('Cost Inputs'!I15+'Cost Inputs'!J15+'Cost Inputs'!K15)&gt;0, 'Cost Inputs'!I15+'Cost Inputs'!J15+'Cost Inputs'!K15, "")</f>
        <v/>
      </c>
      <c r="K15" s="17" t="str">
        <f>IF('Cost Inputs'!$N15&gt;0,'Cost Inputs'!$N15,"")</f>
        <v/>
      </c>
      <c r="M15" s="106"/>
      <c r="O15" s="104" t="str">
        <f>IF(O$3="N.B.C.", IF('Cost Inputs'!$L15="Y", $E15, IF('Cost Inputs'!$L15="N", IF(ISNUMBER('Cost Inputs'!$M15), $E15,""),"")),"")</f>
        <v/>
      </c>
      <c r="P15" s="17" t="str">
        <f>IF(P$3="N.B.C.", IF('Cost Inputs'!$L15="Y", $E15, IF('Cost Inputs'!$L15="N", "","")),"")</f>
        <v/>
      </c>
      <c r="Q15" s="17" t="str">
        <f>IF(Q$3="N.B.C.", IF('Cost Inputs'!$L15="Y", $E15, IF('Cost Inputs'!$L15="N", IF(AND(ISNUMBER('Cost Inputs'!$M15), OR('Cost Inputs'!$M15=1,'Cost Inputs'!$M15=2)), $E15,""),"")),"")</f>
        <v/>
      </c>
      <c r="R15" s="17" t="str">
        <f>IF(R$3="N.B.C.", IF('Cost Inputs'!$L15="Y", $E15, IF('Cost Inputs'!$L15="N", IF(AND(ISNUMBER('Cost Inputs'!$M15), OR('Cost Inputs'!$M15=1, 'Cost Inputs'!$M15=3)), $E15,""),"")),"")</f>
        <v/>
      </c>
      <c r="S15" s="17" t="str">
        <f>IF(S$3="N.B.C.", IF('Cost Inputs'!$L15="Y", $E15, IF('Cost Inputs'!$L15="N", IF(AND(ISNUMBER('Cost Inputs'!$M15), OR('Cost Inputs'!$M15=1, 'Cost Inputs'!$M15=2, 'Cost Inputs'!$M15=4)), $E15,""),"")),"")</f>
        <v/>
      </c>
      <c r="T15" s="17" t="str">
        <f>IF(T$3="N.B.C.", IF('Cost Inputs'!$L15="Y", $E15, IF('Cost Inputs'!$L15="N", IF(AND(ISNUMBER('Cost Inputs'!$M15), OR('Cost Inputs'!$M15=1, 'Cost Inputs'!$M15=5)), $E15,""),"")),"")</f>
        <v/>
      </c>
      <c r="U15" s="17" t="str">
        <f>IF(U$3="N.B.C.", IF('Cost Inputs'!$L15="Y", $E15, IF('Cost Inputs'!$L15="N", IF(AND(ISNUMBER('Cost Inputs'!$M15), OR('Cost Inputs'!$M15=1, 'Cost Inputs'!$M15=2, 'Cost Inputs'!$M15=3, 'Cost Inputs'!$M15=6)), $E15,""),"")),"")</f>
        <v/>
      </c>
      <c r="V15" s="17" t="str">
        <f>IF(V$3="N.B.C.", IF('Cost Inputs'!$L15="Y", $E15, IF('Cost Inputs'!$L15="N", IF(AND(ISNUMBER('Cost Inputs'!$M15), OR('Cost Inputs'!$M15=1, 'Cost Inputs'!$M15=7)), $E15,""),"")),"")</f>
        <v/>
      </c>
      <c r="W15" s="17" t="str">
        <f>IF(W$3="N.B.C.", IF('Cost Inputs'!$L15="Y", $E15, IF('Cost Inputs'!$L15="N", IF(AND(ISNUMBER('Cost Inputs'!$M15), OR('Cost Inputs'!$M15=1, 'Cost Inputs'!$M15=2,'Cost Inputs'!$M15=4,'Cost Inputs'!$M15=8)), $E15,""),"")),"")</f>
        <v/>
      </c>
      <c r="X15" s="106" t="str">
        <f>IF($X$3="N.B.C.", IF('Cost Inputs'!$L15="Y", $E15, IF('Cost Inputs'!$L15="N", IF(AND(ISNUMBER('Cost Inputs'!$M15), OR('Cost Inputs'!$M15=1, 'Cost Inputs'!$M15=3,'Cost Inputs'!$M15=9)), $E15,""),"")),"")</f>
        <v/>
      </c>
    </row>
    <row r="16" spans="1:45" x14ac:dyDescent="0.25">
      <c r="A16" s="501"/>
      <c r="B16" s="504"/>
      <c r="C16" s="107" t="str">
        <f>IF(OR('Cost Inputs'!H16&lt;&gt;"", 'Cost Inputs'!I16&lt;&gt;"", 'Cost Inputs'!J16&lt;&gt;""), 'Cost Inputs'!A16, "")</f>
        <v/>
      </c>
      <c r="D16" s="93" t="str">
        <f>IF(AND(C16&lt;&gt;"", 'Cost Inputs'!G16&lt;&gt;""), 'Cost Inputs'!G16, "")</f>
        <v/>
      </c>
      <c r="E16" s="93" t="str">
        <f>IF(AND(C16&lt;&gt;"", 'Cost Inputs'!H16&lt;&gt;""), 'Cost Inputs'!H16, "")</f>
        <v/>
      </c>
      <c r="F16" s="93" t="str">
        <f>IF('Cost Inputs'!$I16&lt;&gt;"", 'Cost Inputs'!$I16, "")</f>
        <v/>
      </c>
      <c r="G16" s="93" t="str">
        <f t="shared" si="1"/>
        <v/>
      </c>
      <c r="H16" s="93" t="str">
        <f>IF('Cost Inputs'!$J16&lt;&gt;"", 'Cost Inputs'!$J16, "")</f>
        <v/>
      </c>
      <c r="I16" s="93" t="str">
        <f t="shared" si="2"/>
        <v/>
      </c>
      <c r="J16" s="93" t="str">
        <f>IF(('Cost Inputs'!I16+'Cost Inputs'!J16+'Cost Inputs'!K16)&gt;0, 'Cost Inputs'!I16+'Cost Inputs'!J16+'Cost Inputs'!K16, "")</f>
        <v/>
      </c>
      <c r="K16" s="93" t="str">
        <f>IF('Cost Inputs'!$N16&gt;0,'Cost Inputs'!$N16,"")</f>
        <v/>
      </c>
      <c r="L16" s="93"/>
      <c r="M16" s="109"/>
      <c r="O16" s="107" t="str">
        <f>IF(O$3="N.B.C.", IF('Cost Inputs'!$L16="Y", $E16, IF('Cost Inputs'!$L16="N", IF(ISNUMBER('Cost Inputs'!$M16), $E16,""),"")),"")</f>
        <v/>
      </c>
      <c r="P16" s="93" t="str">
        <f>IF(P$3="N.B.C.", IF('Cost Inputs'!$L16="Y", $E16, IF('Cost Inputs'!$L16="N", "","")),"")</f>
        <v/>
      </c>
      <c r="Q16" s="93" t="str">
        <f>IF(Q$3="N.B.C.", IF('Cost Inputs'!$L16="Y", $E16, IF('Cost Inputs'!$L16="N", IF(AND(ISNUMBER('Cost Inputs'!$M16), OR('Cost Inputs'!$M16=1,'Cost Inputs'!$M16=2)), $E16,""),"")),"")</f>
        <v/>
      </c>
      <c r="R16" s="93" t="str">
        <f>IF(R$3="N.B.C.", IF('Cost Inputs'!$L16="Y", $E16, IF('Cost Inputs'!$L16="N", IF(AND(ISNUMBER('Cost Inputs'!$M16), OR('Cost Inputs'!$M16=1, 'Cost Inputs'!$M16=3)), $E16,""),"")),"")</f>
        <v/>
      </c>
      <c r="S16" s="93" t="str">
        <f>IF(S$3="N.B.C.", IF('Cost Inputs'!$L16="Y", $E16, IF('Cost Inputs'!$L16="N", IF(AND(ISNUMBER('Cost Inputs'!$M16), OR('Cost Inputs'!$M16=1, 'Cost Inputs'!$M16=2, 'Cost Inputs'!$M16=4)), $E16,""),"")),"")</f>
        <v/>
      </c>
      <c r="T16" s="93" t="str">
        <f>IF(T$3="N.B.C.", IF('Cost Inputs'!$L16="Y", $E16, IF('Cost Inputs'!$L16="N", IF(AND(ISNUMBER('Cost Inputs'!$M16), OR('Cost Inputs'!$M16=1, 'Cost Inputs'!$M16=5)), $E16,""),"")),"")</f>
        <v/>
      </c>
      <c r="U16" s="93" t="str">
        <f>IF(U$3="N.B.C.", IF('Cost Inputs'!$L16="Y", $E16, IF('Cost Inputs'!$L16="N", IF(AND(ISNUMBER('Cost Inputs'!$M16), OR('Cost Inputs'!$M16=1, 'Cost Inputs'!$M16=2, 'Cost Inputs'!$M16=3, 'Cost Inputs'!$M16=6)), $E16,""),"")),"")</f>
        <v/>
      </c>
      <c r="V16" s="93" t="str">
        <f>IF(V$3="N.B.C.", IF('Cost Inputs'!$L16="Y", $E16, IF('Cost Inputs'!$L16="N", IF(AND(ISNUMBER('Cost Inputs'!$M16), OR('Cost Inputs'!$M16=1, 'Cost Inputs'!$M16=7)), $E16,""),"")),"")</f>
        <v/>
      </c>
      <c r="W16" s="93" t="str">
        <f>IF(W$3="N.B.C.", IF('Cost Inputs'!$L16="Y", $E16, IF('Cost Inputs'!$L16="N", IF(AND(ISNUMBER('Cost Inputs'!$M16), OR('Cost Inputs'!$M16=1, 'Cost Inputs'!$M16=2,'Cost Inputs'!$M16=4,'Cost Inputs'!$M16=8)), $E16,""),"")),"")</f>
        <v/>
      </c>
      <c r="X16" s="109" t="str">
        <f>IF($X$3="N.B.C.", IF('Cost Inputs'!$L16="Y", $E16, IF('Cost Inputs'!$L16="N", IF(AND(ISNUMBER('Cost Inputs'!$M16), OR('Cost Inputs'!$M16=1, 'Cost Inputs'!$M16=3,'Cost Inputs'!$M16=9)), $E16,""),"")),"")</f>
        <v/>
      </c>
    </row>
    <row r="17" spans="1:24" x14ac:dyDescent="0.25">
      <c r="A17" s="501"/>
      <c r="B17" s="504"/>
      <c r="C17" s="104" t="str">
        <f>IF(OR('Cost Inputs'!H17&lt;&gt;"", 'Cost Inputs'!I17&lt;&gt;"", 'Cost Inputs'!J17&lt;&gt;""), 'Cost Inputs'!A17, "")</f>
        <v/>
      </c>
      <c r="D17" s="17" t="str">
        <f>IF(AND(C17&lt;&gt;"", 'Cost Inputs'!G17&lt;&gt;""), 'Cost Inputs'!G17, "")</f>
        <v/>
      </c>
      <c r="E17" s="17" t="str">
        <f>IF(AND(C17&lt;&gt;"", 'Cost Inputs'!H17&lt;&gt;""), 'Cost Inputs'!H17, "")</f>
        <v/>
      </c>
      <c r="F17" s="17" t="str">
        <f>IF('Cost Inputs'!$I17&lt;&gt;"", 'Cost Inputs'!$I17, "")</f>
        <v/>
      </c>
      <c r="G17" s="17" t="str">
        <f t="shared" si="1"/>
        <v/>
      </c>
      <c r="H17" s="17" t="str">
        <f>IF('Cost Inputs'!$J17&lt;&gt;"", 'Cost Inputs'!$J17, "")</f>
        <v/>
      </c>
      <c r="I17" s="17" t="str">
        <f t="shared" si="2"/>
        <v/>
      </c>
      <c r="J17" s="17" t="str">
        <f>IF(('Cost Inputs'!I17+'Cost Inputs'!J17+'Cost Inputs'!K17)&gt;0, 'Cost Inputs'!I17+'Cost Inputs'!J17+'Cost Inputs'!K17, "")</f>
        <v/>
      </c>
      <c r="K17" s="17" t="str">
        <f>IF('Cost Inputs'!$N17&gt;0,'Cost Inputs'!$N17,"")</f>
        <v/>
      </c>
      <c r="M17" s="106"/>
      <c r="O17" s="104" t="str">
        <f>IF(O$3="N.B.C.", IF('Cost Inputs'!$L17="Y", $E17, IF('Cost Inputs'!$L17="N", IF(ISNUMBER('Cost Inputs'!$M17), $E17,""),"")),"")</f>
        <v/>
      </c>
      <c r="P17" s="17" t="str">
        <f>IF(P$3="N.B.C.", IF('Cost Inputs'!$L17="Y", $E17, IF('Cost Inputs'!$L17="N", "","")),"")</f>
        <v/>
      </c>
      <c r="Q17" s="17" t="str">
        <f>IF(Q$3="N.B.C.", IF('Cost Inputs'!$L17="Y", $E17, IF('Cost Inputs'!$L17="N", IF(AND(ISNUMBER('Cost Inputs'!$M17), OR('Cost Inputs'!$M17=1,'Cost Inputs'!$M17=2)), $E17,""),"")),"")</f>
        <v/>
      </c>
      <c r="R17" s="17" t="str">
        <f>IF(R$3="N.B.C.", IF('Cost Inputs'!$L17="Y", $E17, IF('Cost Inputs'!$L17="N", IF(AND(ISNUMBER('Cost Inputs'!$M17), OR('Cost Inputs'!$M17=1, 'Cost Inputs'!$M17=3)), $E17,""),"")),"")</f>
        <v/>
      </c>
      <c r="S17" s="17" t="str">
        <f>IF(S$3="N.B.C.", IF('Cost Inputs'!$L17="Y", $E17, IF('Cost Inputs'!$L17="N", IF(AND(ISNUMBER('Cost Inputs'!$M17), OR('Cost Inputs'!$M17=1, 'Cost Inputs'!$M17=2, 'Cost Inputs'!$M17=4)), $E17,""),"")),"")</f>
        <v/>
      </c>
      <c r="T17" s="17" t="str">
        <f>IF(T$3="N.B.C.", IF('Cost Inputs'!$L17="Y", $E17, IF('Cost Inputs'!$L17="N", IF(AND(ISNUMBER('Cost Inputs'!$M17), OR('Cost Inputs'!$M17=1, 'Cost Inputs'!$M17=5)), $E17,""),"")),"")</f>
        <v/>
      </c>
      <c r="U17" s="17" t="str">
        <f>IF(U$3="N.B.C.", IF('Cost Inputs'!$L17="Y", $E17, IF('Cost Inputs'!$L17="N", IF(AND(ISNUMBER('Cost Inputs'!$M17), OR('Cost Inputs'!$M17=1, 'Cost Inputs'!$M17=2, 'Cost Inputs'!$M17=3, 'Cost Inputs'!$M17=6)), $E17,""),"")),"")</f>
        <v/>
      </c>
      <c r="V17" s="17" t="str">
        <f>IF(V$3="N.B.C.", IF('Cost Inputs'!$L17="Y", $E17, IF('Cost Inputs'!$L17="N", IF(AND(ISNUMBER('Cost Inputs'!$M17), OR('Cost Inputs'!$M17=1, 'Cost Inputs'!$M17=7)), $E17,""),"")),"")</f>
        <v/>
      </c>
      <c r="W17" s="17" t="str">
        <f>IF(W$3="N.B.C.", IF('Cost Inputs'!$L17="Y", $E17, IF('Cost Inputs'!$L17="N", IF(AND(ISNUMBER('Cost Inputs'!$M17), OR('Cost Inputs'!$M17=1, 'Cost Inputs'!$M17=2,'Cost Inputs'!$M17=4,'Cost Inputs'!$M17=8)), $E17,""),"")),"")</f>
        <v/>
      </c>
      <c r="X17" s="106" t="str">
        <f>IF($X$3="N.B.C.", IF('Cost Inputs'!$L17="Y", $E17, IF('Cost Inputs'!$L17="N", IF(AND(ISNUMBER('Cost Inputs'!$M17), OR('Cost Inputs'!$M17=1, 'Cost Inputs'!$M17=3,'Cost Inputs'!$M17=9)), $E17,""),"")),"")</f>
        <v/>
      </c>
    </row>
    <row r="18" spans="1:24" x14ac:dyDescent="0.25">
      <c r="A18" s="501"/>
      <c r="B18" s="504"/>
      <c r="C18" s="107" t="str">
        <f>IF(OR('Cost Inputs'!H18&lt;&gt;"", 'Cost Inputs'!I18&lt;&gt;"", 'Cost Inputs'!J18&lt;&gt;""), 'Cost Inputs'!A18, "")</f>
        <v/>
      </c>
      <c r="D18" s="93" t="str">
        <f>IF(AND(C18&lt;&gt;"", 'Cost Inputs'!G18&lt;&gt;""), 'Cost Inputs'!G18, "")</f>
        <v/>
      </c>
      <c r="E18" s="93" t="str">
        <f>IF(AND(C18&lt;&gt;"", 'Cost Inputs'!H18&lt;&gt;""), 'Cost Inputs'!H18, "")</f>
        <v/>
      </c>
      <c r="F18" s="93" t="str">
        <f>IF('Cost Inputs'!$I18&lt;&gt;"", 'Cost Inputs'!$I18, "")</f>
        <v/>
      </c>
      <c r="G18" s="93" t="str">
        <f t="shared" si="1"/>
        <v/>
      </c>
      <c r="H18" s="93" t="str">
        <f>IF('Cost Inputs'!$J18&lt;&gt;"", 'Cost Inputs'!$J18, "")</f>
        <v/>
      </c>
      <c r="I18" s="93" t="str">
        <f t="shared" si="2"/>
        <v/>
      </c>
      <c r="J18" s="93" t="str">
        <f>IF(('Cost Inputs'!I18+'Cost Inputs'!J18+'Cost Inputs'!K18)&gt;0, 'Cost Inputs'!I18+'Cost Inputs'!J18+'Cost Inputs'!K18, "")</f>
        <v/>
      </c>
      <c r="K18" s="93" t="str">
        <f>IF('Cost Inputs'!$N18&gt;0,'Cost Inputs'!$N18,"")</f>
        <v/>
      </c>
      <c r="L18" s="93"/>
      <c r="M18" s="109"/>
      <c r="O18" s="107" t="str">
        <f>IF(O$3="N.B.C.", IF('Cost Inputs'!$L18="Y", $E18, IF('Cost Inputs'!$L18="N", IF(ISNUMBER('Cost Inputs'!$M18), $E18,""),"")),"")</f>
        <v/>
      </c>
      <c r="P18" s="93" t="str">
        <f>IF(P$3="N.B.C.", IF('Cost Inputs'!$L18="Y", $E18, IF('Cost Inputs'!$L18="N", "","")),"")</f>
        <v/>
      </c>
      <c r="Q18" s="93" t="str">
        <f>IF(Q$3="N.B.C.", IF('Cost Inputs'!$L18="Y", $E18, IF('Cost Inputs'!$L18="N", IF(AND(ISNUMBER('Cost Inputs'!$M18), OR('Cost Inputs'!$M18=1,'Cost Inputs'!$M18=2)), $E18,""),"")),"")</f>
        <v/>
      </c>
      <c r="R18" s="93" t="str">
        <f>IF(R$3="N.B.C.", IF('Cost Inputs'!$L18="Y", $E18, IF('Cost Inputs'!$L18="N", IF(AND(ISNUMBER('Cost Inputs'!$M18), OR('Cost Inputs'!$M18=1, 'Cost Inputs'!$M18=3)), $E18,""),"")),"")</f>
        <v/>
      </c>
      <c r="S18" s="93" t="str">
        <f>IF(S$3="N.B.C.", IF('Cost Inputs'!$L18="Y", $E18, IF('Cost Inputs'!$L18="N", IF(AND(ISNUMBER('Cost Inputs'!$M18), OR('Cost Inputs'!$M18=1, 'Cost Inputs'!$M18=2, 'Cost Inputs'!$M18=4)), $E18,""),"")),"")</f>
        <v/>
      </c>
      <c r="T18" s="93" t="str">
        <f>IF(T$3="N.B.C.", IF('Cost Inputs'!$L18="Y", $E18, IF('Cost Inputs'!$L18="N", IF(AND(ISNUMBER('Cost Inputs'!$M18), OR('Cost Inputs'!$M18=1, 'Cost Inputs'!$M18=5)), $E18,""),"")),"")</f>
        <v/>
      </c>
      <c r="U18" s="93" t="str">
        <f>IF(U$3="N.B.C.", IF('Cost Inputs'!$L18="Y", $E18, IF('Cost Inputs'!$L18="N", IF(AND(ISNUMBER('Cost Inputs'!$M18), OR('Cost Inputs'!$M18=1, 'Cost Inputs'!$M18=2, 'Cost Inputs'!$M18=3, 'Cost Inputs'!$M18=6)), $E18,""),"")),"")</f>
        <v/>
      </c>
      <c r="V18" s="93" t="str">
        <f>IF(V$3="N.B.C.", IF('Cost Inputs'!$L18="Y", $E18, IF('Cost Inputs'!$L18="N", IF(AND(ISNUMBER('Cost Inputs'!$M18), OR('Cost Inputs'!$M18=1, 'Cost Inputs'!$M18=7)), $E18,""),"")),"")</f>
        <v/>
      </c>
      <c r="W18" s="93" t="str">
        <f>IF(W$3="N.B.C.", IF('Cost Inputs'!$L18="Y", $E18, IF('Cost Inputs'!$L18="N", IF(AND(ISNUMBER('Cost Inputs'!$M18), OR('Cost Inputs'!$M18=1, 'Cost Inputs'!$M18=2,'Cost Inputs'!$M18=4,'Cost Inputs'!$M18=8)), $E18,""),"")),"")</f>
        <v/>
      </c>
      <c r="X18" s="109" t="str">
        <f>IF($X$3="N.B.C.", IF('Cost Inputs'!$L18="Y", $E18, IF('Cost Inputs'!$L18="N", IF(AND(ISNUMBER('Cost Inputs'!$M18), OR('Cost Inputs'!$M18=1, 'Cost Inputs'!$M18=3,'Cost Inputs'!$M18=9)), $E18,""),"")),"")</f>
        <v/>
      </c>
    </row>
    <row r="19" spans="1:24" x14ac:dyDescent="0.25">
      <c r="A19" s="501"/>
      <c r="B19" s="504"/>
      <c r="C19" s="104" t="str">
        <f>IF(OR('Cost Inputs'!H19&lt;&gt;"", 'Cost Inputs'!I19&lt;&gt;"", 'Cost Inputs'!J19&lt;&gt;""), 'Cost Inputs'!A19, "")</f>
        <v/>
      </c>
      <c r="D19" s="17" t="str">
        <f>IF(AND(C19&lt;&gt;"", 'Cost Inputs'!G19&lt;&gt;""), 'Cost Inputs'!G19, "")</f>
        <v/>
      </c>
      <c r="E19" s="17" t="str">
        <f>IF(AND(C19&lt;&gt;"", 'Cost Inputs'!H19&lt;&gt;""), 'Cost Inputs'!H19, "")</f>
        <v/>
      </c>
      <c r="F19" s="17" t="str">
        <f>IF('Cost Inputs'!$I19&lt;&gt;"", 'Cost Inputs'!$I19, "")</f>
        <v/>
      </c>
      <c r="G19" s="17" t="str">
        <f t="shared" si="1"/>
        <v/>
      </c>
      <c r="H19" s="17" t="str">
        <f>IF('Cost Inputs'!$J19&lt;&gt;"", 'Cost Inputs'!$J19, "")</f>
        <v/>
      </c>
      <c r="I19" s="17" t="str">
        <f t="shared" si="2"/>
        <v/>
      </c>
      <c r="J19" s="17" t="str">
        <f>IF(('Cost Inputs'!I19+'Cost Inputs'!J19+'Cost Inputs'!K19)&gt;0, 'Cost Inputs'!I19+'Cost Inputs'!J19+'Cost Inputs'!K19, "")</f>
        <v/>
      </c>
      <c r="K19" s="17" t="str">
        <f>IF('Cost Inputs'!$N19&gt;0,'Cost Inputs'!$N19,"")</f>
        <v/>
      </c>
      <c r="M19" s="106"/>
      <c r="O19" s="104" t="str">
        <f>IF(O$3="N.B.C.", IF('Cost Inputs'!$L19="Y", $E19, IF('Cost Inputs'!$L19="N", IF(ISNUMBER('Cost Inputs'!$M19), $E19,""),"")),"")</f>
        <v/>
      </c>
      <c r="P19" s="17" t="str">
        <f>IF(P$3="N.B.C.", IF('Cost Inputs'!$L19="Y", $E19, IF('Cost Inputs'!$L19="N", "","")),"")</f>
        <v/>
      </c>
      <c r="Q19" s="17" t="str">
        <f>IF(Q$3="N.B.C.", IF('Cost Inputs'!$L19="Y", $E19, IF('Cost Inputs'!$L19="N", IF(AND(ISNUMBER('Cost Inputs'!$M19), OR('Cost Inputs'!$M19=1,'Cost Inputs'!$M19=2)), $E19,""),"")),"")</f>
        <v/>
      </c>
      <c r="R19" s="17" t="str">
        <f>IF(R$3="N.B.C.", IF('Cost Inputs'!$L19="Y", $E19, IF('Cost Inputs'!$L19="N", IF(AND(ISNUMBER('Cost Inputs'!$M19), OR('Cost Inputs'!$M19=1, 'Cost Inputs'!$M19=3)), $E19,""),"")),"")</f>
        <v/>
      </c>
      <c r="S19" s="17" t="str">
        <f>IF(S$3="N.B.C.", IF('Cost Inputs'!$L19="Y", $E19, IF('Cost Inputs'!$L19="N", IF(AND(ISNUMBER('Cost Inputs'!$M19), OR('Cost Inputs'!$M19=1, 'Cost Inputs'!$M19=2, 'Cost Inputs'!$M19=4)), $E19,""),"")),"")</f>
        <v/>
      </c>
      <c r="T19" s="17" t="str">
        <f>IF(T$3="N.B.C.", IF('Cost Inputs'!$L19="Y", $E19, IF('Cost Inputs'!$L19="N", IF(AND(ISNUMBER('Cost Inputs'!$M19), OR('Cost Inputs'!$M19=1, 'Cost Inputs'!$M19=5)), $E19,""),"")),"")</f>
        <v/>
      </c>
      <c r="U19" s="17" t="str">
        <f>IF(U$3="N.B.C.", IF('Cost Inputs'!$L19="Y", $E19, IF('Cost Inputs'!$L19="N", IF(AND(ISNUMBER('Cost Inputs'!$M19), OR('Cost Inputs'!$M19=1, 'Cost Inputs'!$M19=2, 'Cost Inputs'!$M19=3, 'Cost Inputs'!$M19=6)), $E19,""),"")),"")</f>
        <v/>
      </c>
      <c r="V19" s="17" t="str">
        <f>IF(V$3="N.B.C.", IF('Cost Inputs'!$L19="Y", $E19, IF('Cost Inputs'!$L19="N", IF(AND(ISNUMBER('Cost Inputs'!$M19), OR('Cost Inputs'!$M19=1, 'Cost Inputs'!$M19=7)), $E19,""),"")),"")</f>
        <v/>
      </c>
      <c r="W19" s="17" t="str">
        <f>IF(W$3="N.B.C.", IF('Cost Inputs'!$L19="Y", $E19, IF('Cost Inputs'!$L19="N", IF(AND(ISNUMBER('Cost Inputs'!$M19), OR('Cost Inputs'!$M19=1, 'Cost Inputs'!$M19=2,'Cost Inputs'!$M19=4,'Cost Inputs'!$M19=8)), $E19,""),"")),"")</f>
        <v/>
      </c>
      <c r="X19" s="106" t="str">
        <f>IF($X$3="N.B.C.", IF('Cost Inputs'!$L19="Y", $E19, IF('Cost Inputs'!$L19="N", IF(AND(ISNUMBER('Cost Inputs'!$M19), OR('Cost Inputs'!$M19=1, 'Cost Inputs'!$M19=3,'Cost Inputs'!$M19=9)), $E19,""),"")),"")</f>
        <v/>
      </c>
    </row>
    <row r="20" spans="1:24" x14ac:dyDescent="0.25">
      <c r="A20" s="501"/>
      <c r="B20" s="504"/>
      <c r="C20" s="107" t="str">
        <f>IF(OR('Cost Inputs'!H20&lt;&gt;"", 'Cost Inputs'!I20&lt;&gt;"", 'Cost Inputs'!J20&lt;&gt;""), 'Cost Inputs'!A20, "")</f>
        <v/>
      </c>
      <c r="D20" s="93" t="str">
        <f>IF(AND(C20&lt;&gt;"", 'Cost Inputs'!G20&lt;&gt;""), 'Cost Inputs'!G20, "")</f>
        <v/>
      </c>
      <c r="E20" s="93" t="str">
        <f>IF(AND(C20&lt;&gt;"", 'Cost Inputs'!H20&lt;&gt;""), 'Cost Inputs'!H20, "")</f>
        <v/>
      </c>
      <c r="F20" s="93" t="str">
        <f>IF('Cost Inputs'!$I20&lt;&gt;"", 'Cost Inputs'!$I20, "")</f>
        <v/>
      </c>
      <c r="G20" s="93" t="str">
        <f t="shared" si="1"/>
        <v/>
      </c>
      <c r="H20" s="93" t="str">
        <f>IF('Cost Inputs'!$J20&lt;&gt;"", 'Cost Inputs'!$J20, "")</f>
        <v/>
      </c>
      <c r="I20" s="93" t="str">
        <f t="shared" si="2"/>
        <v/>
      </c>
      <c r="J20" s="93" t="str">
        <f>IF(('Cost Inputs'!I20+'Cost Inputs'!J20+'Cost Inputs'!K20)&gt;0, 'Cost Inputs'!I20+'Cost Inputs'!J20+'Cost Inputs'!K20, "")</f>
        <v/>
      </c>
      <c r="K20" s="93" t="str">
        <f>IF('Cost Inputs'!$N20&gt;0,'Cost Inputs'!$N20,"")</f>
        <v/>
      </c>
      <c r="L20" s="93"/>
      <c r="M20" s="109"/>
      <c r="O20" s="107" t="str">
        <f>IF(O$3="N.B.C.", IF('Cost Inputs'!$L20="Y", $E20, IF('Cost Inputs'!$L20="N", IF(ISNUMBER('Cost Inputs'!$M20), $E20,""),"")),"")</f>
        <v/>
      </c>
      <c r="P20" s="93" t="str">
        <f>IF(P$3="N.B.C.", IF('Cost Inputs'!$L20="Y", $E20, IF('Cost Inputs'!$L20="N", "","")),"")</f>
        <v/>
      </c>
      <c r="Q20" s="93" t="str">
        <f>IF(Q$3="N.B.C.", IF('Cost Inputs'!$L20="Y", $E20, IF('Cost Inputs'!$L20="N", IF(AND(ISNUMBER('Cost Inputs'!$M20), OR('Cost Inputs'!$M20=1,'Cost Inputs'!$M20=2)), $E20,""),"")),"")</f>
        <v/>
      </c>
      <c r="R20" s="93" t="str">
        <f>IF(R$3="N.B.C.", IF('Cost Inputs'!$L20="Y", $E20, IF('Cost Inputs'!$L20="N", IF(AND(ISNUMBER('Cost Inputs'!$M20), OR('Cost Inputs'!$M20=1, 'Cost Inputs'!$M20=3)), $E20,""),"")),"")</f>
        <v/>
      </c>
      <c r="S20" s="93" t="str">
        <f>IF(S$3="N.B.C.", IF('Cost Inputs'!$L20="Y", $E20, IF('Cost Inputs'!$L20="N", IF(AND(ISNUMBER('Cost Inputs'!$M20), OR('Cost Inputs'!$M20=1, 'Cost Inputs'!$M20=2, 'Cost Inputs'!$M20=4)), $E20,""),"")),"")</f>
        <v/>
      </c>
      <c r="T20" s="93" t="str">
        <f>IF(T$3="N.B.C.", IF('Cost Inputs'!$L20="Y", $E20, IF('Cost Inputs'!$L20="N", IF(AND(ISNUMBER('Cost Inputs'!$M20), OR('Cost Inputs'!$M20=1, 'Cost Inputs'!$M20=5)), $E20,""),"")),"")</f>
        <v/>
      </c>
      <c r="U20" s="93" t="str">
        <f>IF(U$3="N.B.C.", IF('Cost Inputs'!$L20="Y", $E20, IF('Cost Inputs'!$L20="N", IF(AND(ISNUMBER('Cost Inputs'!$M20), OR('Cost Inputs'!$M20=1, 'Cost Inputs'!$M20=2, 'Cost Inputs'!$M20=3, 'Cost Inputs'!$M20=6)), $E20,""),"")),"")</f>
        <v/>
      </c>
      <c r="V20" s="93" t="str">
        <f>IF(V$3="N.B.C.", IF('Cost Inputs'!$L20="Y", $E20, IF('Cost Inputs'!$L20="N", IF(AND(ISNUMBER('Cost Inputs'!$M20), OR('Cost Inputs'!$M20=1, 'Cost Inputs'!$M20=7)), $E20,""),"")),"")</f>
        <v/>
      </c>
      <c r="W20" s="93" t="str">
        <f>IF(W$3="N.B.C.", IF('Cost Inputs'!$L20="Y", $E20, IF('Cost Inputs'!$L20="N", IF(AND(ISNUMBER('Cost Inputs'!$M20), OR('Cost Inputs'!$M20=1, 'Cost Inputs'!$M20=2,'Cost Inputs'!$M20=4,'Cost Inputs'!$M20=8)), $E20,""),"")),"")</f>
        <v/>
      </c>
      <c r="X20" s="109" t="str">
        <f>IF($X$3="N.B.C.", IF('Cost Inputs'!$L20="Y", $E20, IF('Cost Inputs'!$L20="N", IF(AND(ISNUMBER('Cost Inputs'!$M20), OR('Cost Inputs'!$M20=1, 'Cost Inputs'!$M20=3,'Cost Inputs'!$M20=9)), $E20,""),"")),"")</f>
        <v/>
      </c>
    </row>
    <row r="21" spans="1:24" x14ac:dyDescent="0.25">
      <c r="A21" s="501"/>
      <c r="B21" s="504"/>
      <c r="C21" s="110" t="str">
        <f>'Cost Inputs'!A21</f>
        <v>1.4 Crossing (hybridization)</v>
      </c>
      <c r="D21" s="94" t="str">
        <f>IF(OR('Cost Inputs'!H21&lt;&gt;"", 'Cost Inputs'!I21&lt;&gt;"", 'Cost Inputs'!J21&lt;&gt;""), 'Cost Inputs'!G21,"")</f>
        <v/>
      </c>
      <c r="E21" s="94" t="str">
        <f>IF(AND(C21&lt;&gt;"", 'Cost Inputs'!H21&lt;&gt;""), 'Cost Inputs'!H21, "")</f>
        <v/>
      </c>
      <c r="F21" s="94" t="str">
        <f>IF('Cost Inputs'!$I21&lt;&gt;"", 'Cost Inputs'!$I21, "")</f>
        <v/>
      </c>
      <c r="G21" s="94" t="str">
        <f t="shared" si="1"/>
        <v/>
      </c>
      <c r="H21" s="94" t="str">
        <f>IF('Cost Inputs'!$J21&lt;&gt;"", 'Cost Inputs'!$J21, "")</f>
        <v/>
      </c>
      <c r="I21" s="94" t="str">
        <f>IF(AND($E21&lt;&gt;"", $H21&lt;&gt;""), $H21/$E21, "")</f>
        <v/>
      </c>
      <c r="J21" s="94" t="str">
        <f>IF(('Cost Inputs'!I21+'Cost Inputs'!J21+'Cost Inputs'!K21)&gt;0, 'Cost Inputs'!I21+'Cost Inputs'!J21+'Cost Inputs'!K21, "")</f>
        <v/>
      </c>
      <c r="K21" s="94" t="str">
        <f>IF('Cost Inputs'!$N21&gt;0,'Cost Inputs'!$N21,"")</f>
        <v/>
      </c>
      <c r="L21" s="94"/>
      <c r="M21" s="103"/>
      <c r="O21" s="110" t="str">
        <f>IF(O$3="N.B.C.",
IF(AND(ISNUMBER(#REF!),'Cost Inputs'!$L21="Y"), $E21-($E21*#REF!),
IF('Cost Inputs'!$L21="Y", $E21,
IF('Cost Inputs'!$L21="N",
IF(ISNUMBER('Cost Inputs'!$M21), $E21-($E21*#REF!),""),""))),"")</f>
        <v/>
      </c>
      <c r="P21" s="94" t="str">
        <f>IF(P$3="N.B.C.",
IF(AND(ISNUMBER(#REF!),'Cost Inputs'!$L21="Y"), $E21-($E21*#REF!),
IF('Cost Inputs'!$L21="Y", $E21,
IF('Cost Inputs'!$L21="N",
IF(ISNUMBER('Cost Inputs'!$M21), $E21-($E21*#REF!),""),""))),"")</f>
        <v/>
      </c>
      <c r="Q21" s="94" t="str">
        <f>IF(Q$3="N.B.C.",
IF(AND(ISNUMBER(#REF!),'Cost Inputs'!$L21="Y"), $E21-($E21*#REF!),
IF('Cost Inputs'!$L21="Y", $E21,
IF('Cost Inputs'!$L21="N",
IF(ISNUMBER('Cost Inputs'!$M21), $E21-($E21*#REF!),""),""))),"")</f>
        <v/>
      </c>
      <c r="R21" s="94" t="str">
        <f>IF(R$3="N.B.C.",
IF(AND(ISNUMBER(#REF!),'Cost Inputs'!$L21="Y"), $E21-($E21*#REF!),
IF('Cost Inputs'!$L21="Y", $E21,
IF('Cost Inputs'!$L21="N",
IF(ISNUMBER('Cost Inputs'!$M21), $E21-($E21*#REF!),""),""))),"")</f>
        <v/>
      </c>
      <c r="S21" s="94" t="str">
        <f>IF(S$3="N.B.C.",
IF(AND(ISNUMBER(#REF!),'Cost Inputs'!$L21="Y"), $E21-($E21*#REF!),
IF('Cost Inputs'!$L21="Y", $E21,
IF('Cost Inputs'!$L21="N",
IF(ISNUMBER('Cost Inputs'!$M21), $E21-($E21*#REF!),""),""))),"")</f>
        <v/>
      </c>
      <c r="T21" s="94" t="str">
        <f>IF(T$3="N.B.C.",
IF(AND(ISNUMBER(#REF!),'Cost Inputs'!$L21="Y"), $E21-($E21*#REF!),
IF('Cost Inputs'!$L21="Y", $E21,
IF('Cost Inputs'!$L21="N",
IF(ISNUMBER('Cost Inputs'!$M21), $E21-($E21*#REF!),""),""))),"")</f>
        <v/>
      </c>
      <c r="U21" s="94" t="str">
        <f>IF(U$3="N.B.C.",
IF(AND(ISNUMBER(#REF!),'Cost Inputs'!$L21="Y"), $E21-($E21*#REF!),
IF('Cost Inputs'!$L21="Y", $E21,
IF('Cost Inputs'!$L21="N",
IF(ISNUMBER('Cost Inputs'!$M21), $E21-($E21*#REF!),""),""))),"")</f>
        <v/>
      </c>
      <c r="V21" s="94" t="str">
        <f>IF(V$3="N.B.C.",
IF(AND(ISNUMBER(#REF!),'Cost Inputs'!$L21="Y"), $E21-($E21*#REF!),
IF('Cost Inputs'!$L21="Y", $E21,
IF('Cost Inputs'!$L21="N",
IF(ISNUMBER('Cost Inputs'!$M21), $E21-($E21*#REF!),""),""))),"")</f>
        <v/>
      </c>
      <c r="W21" s="94" t="str">
        <f>IF(W$3="N.B.C.",
IF(AND(ISNUMBER(#REF!),'Cost Inputs'!$L21="Y"), $E21-($E21*#REF!),
IF('Cost Inputs'!$L21="Y", $E21,
IF('Cost Inputs'!$L21="N",
IF(ISNUMBER('Cost Inputs'!$M21), $E21-($E21*#REF!),""),""))),"")</f>
        <v/>
      </c>
      <c r="X21" s="103" t="str">
        <f>IF(X$3="N.B.C.",
IF(AND(ISNUMBER(#REF!),'Cost Inputs'!$L21="Y"), $E21-($E21*#REF!),
IF('Cost Inputs'!$L21="Y", $E21,
IF('Cost Inputs'!$L21="N",
IF(ISNUMBER('Cost Inputs'!$M21), $E21-($E21*#REF!),""),""))),"")</f>
        <v/>
      </c>
    </row>
    <row r="22" spans="1:24" x14ac:dyDescent="0.25">
      <c r="A22" s="501"/>
      <c r="B22" s="504"/>
      <c r="C22" s="104" t="str">
        <f>IF(OR('Cost Inputs'!H22&lt;&gt;"", 'Cost Inputs'!I22&lt;&gt;"", 'Cost Inputs'!J22&lt;&gt;""), 'Cost Inputs'!A22, "")</f>
        <v/>
      </c>
      <c r="D22" s="17" t="str">
        <f>IF(AND(C22&lt;&gt;"", 'Cost Inputs'!G22&lt;&gt;""), 'Cost Inputs'!G22, "")</f>
        <v/>
      </c>
      <c r="E22" s="17" t="str">
        <f>IF(AND(C22&lt;&gt;"", 'Cost Inputs'!H22&lt;&gt;""), 'Cost Inputs'!H22, "")</f>
        <v/>
      </c>
      <c r="F22" s="17" t="str">
        <f>IF('Cost Inputs'!$I22&lt;&gt;"", 'Cost Inputs'!$I22, "")</f>
        <v/>
      </c>
      <c r="G22" s="17" t="str">
        <f t="shared" si="1"/>
        <v/>
      </c>
      <c r="H22" s="17" t="str">
        <f>IF('Cost Inputs'!$J22&lt;&gt;"", 'Cost Inputs'!$J22, "")</f>
        <v/>
      </c>
      <c r="I22" s="17" t="str">
        <f t="shared" si="2"/>
        <v/>
      </c>
      <c r="J22" s="17" t="str">
        <f>IF(('Cost Inputs'!I22+'Cost Inputs'!J22+'Cost Inputs'!K22)&gt;0, 'Cost Inputs'!I22+'Cost Inputs'!J22+'Cost Inputs'!K22, "")</f>
        <v/>
      </c>
      <c r="K22" s="17" t="str">
        <f>IF('Cost Inputs'!$N22&gt;0,'Cost Inputs'!$N22,"")</f>
        <v/>
      </c>
      <c r="M22" s="106"/>
      <c r="O22" s="104" t="str">
        <f>IF(O$3="N.B.C.", IF('Cost Inputs'!$L22="Y", $E22, IF('Cost Inputs'!$L22="N", IF(ISNUMBER('Cost Inputs'!$M22), $E22,""),"")),"")</f>
        <v/>
      </c>
      <c r="P22" s="17" t="str">
        <f>IF(P$3="N.B.C.", IF('Cost Inputs'!$L22="Y", $E22, IF('Cost Inputs'!$L22="N", "","")),"")</f>
        <v/>
      </c>
      <c r="Q22" s="17" t="str">
        <f>IF(Q$3="N.B.C.", IF('Cost Inputs'!$L22="Y", $E22, IF('Cost Inputs'!$L22="N", IF(AND(ISNUMBER('Cost Inputs'!$M22), OR('Cost Inputs'!$M22=1,'Cost Inputs'!$M22=2)), $E22,""),"")),"")</f>
        <v/>
      </c>
      <c r="R22" s="17" t="str">
        <f>IF(R$3="N.B.C.", IF('Cost Inputs'!$L22="Y", $E22, IF('Cost Inputs'!$L22="N", IF(AND(ISNUMBER('Cost Inputs'!$M22), OR('Cost Inputs'!$M22=1, 'Cost Inputs'!$M22=3)), $E22,""),"")),"")</f>
        <v/>
      </c>
      <c r="S22" s="17" t="str">
        <f>IF(S$3="N.B.C.", IF('Cost Inputs'!$L22="Y", $E22, IF('Cost Inputs'!$L22="N", IF(AND(ISNUMBER('Cost Inputs'!$M22), OR('Cost Inputs'!$M22=1, 'Cost Inputs'!$M22=2, 'Cost Inputs'!$M22=4)), $E22,""),"")),"")</f>
        <v/>
      </c>
      <c r="T22" s="17" t="str">
        <f>IF(T$3="N.B.C.", IF('Cost Inputs'!$L22="Y", $E22, IF('Cost Inputs'!$L22="N", IF(AND(ISNUMBER('Cost Inputs'!$M22), OR('Cost Inputs'!$M22=1, 'Cost Inputs'!$M22=5)), $E22,""),"")),"")</f>
        <v/>
      </c>
      <c r="U22" s="17" t="str">
        <f>IF(U$3="N.B.C.", IF('Cost Inputs'!$L22="Y", $E22, IF('Cost Inputs'!$L22="N", IF(AND(ISNUMBER('Cost Inputs'!$M22), OR('Cost Inputs'!$M22=1, 'Cost Inputs'!$M22=2, 'Cost Inputs'!$M22=3, 'Cost Inputs'!$M22=6)), $E22,""),"")),"")</f>
        <v/>
      </c>
      <c r="V22" s="17" t="str">
        <f>IF(V$3="N.B.C.", IF('Cost Inputs'!$L22="Y", $E22, IF('Cost Inputs'!$L22="N", IF(AND(ISNUMBER('Cost Inputs'!$M22), OR('Cost Inputs'!$M22=1, 'Cost Inputs'!$M22=7)), $E22,""),"")),"")</f>
        <v/>
      </c>
      <c r="W22" s="17" t="str">
        <f>IF(W$3="N.B.C.", IF('Cost Inputs'!$L22="Y", $E22, IF('Cost Inputs'!$L22="N", IF(AND(ISNUMBER('Cost Inputs'!$M22), OR('Cost Inputs'!$M22=1, 'Cost Inputs'!$M22=2,'Cost Inputs'!$M22=4,'Cost Inputs'!$M22=8)), $E22,""),"")),"")</f>
        <v/>
      </c>
      <c r="X22" s="106" t="str">
        <f>IF($X$3="N.B.C.", IF('Cost Inputs'!$L22="Y", $E22, IF('Cost Inputs'!$L22="N", IF(AND(ISNUMBER('Cost Inputs'!$M22), OR('Cost Inputs'!$M22=1, 'Cost Inputs'!$M22=3,'Cost Inputs'!$M22=9)), $E22,""),"")),"")</f>
        <v/>
      </c>
    </row>
    <row r="23" spans="1:24" x14ac:dyDescent="0.25">
      <c r="A23" s="501"/>
      <c r="B23" s="504"/>
      <c r="C23" s="107" t="str">
        <f>IF(OR('Cost Inputs'!H23&lt;&gt;"", 'Cost Inputs'!I23&lt;&gt;"", 'Cost Inputs'!J23&lt;&gt;""), 'Cost Inputs'!A23, "")</f>
        <v/>
      </c>
      <c r="D23" s="93" t="str">
        <f>IF(AND(C23&lt;&gt;"", 'Cost Inputs'!G23&lt;&gt;""), 'Cost Inputs'!G23, "")</f>
        <v/>
      </c>
      <c r="E23" s="93" t="str">
        <f>IF(AND(C23&lt;&gt;"", 'Cost Inputs'!H23&lt;&gt;""), 'Cost Inputs'!H23, "")</f>
        <v/>
      </c>
      <c r="F23" s="93" t="str">
        <f>IF('Cost Inputs'!$I23&lt;&gt;"", 'Cost Inputs'!$I23, "")</f>
        <v/>
      </c>
      <c r="G23" s="93" t="str">
        <f t="shared" si="1"/>
        <v/>
      </c>
      <c r="H23" s="93" t="str">
        <f>IF('Cost Inputs'!$J23&lt;&gt;"", 'Cost Inputs'!$J23, "")</f>
        <v/>
      </c>
      <c r="I23" s="93" t="str">
        <f t="shared" si="2"/>
        <v/>
      </c>
      <c r="J23" s="93" t="str">
        <f>IF(('Cost Inputs'!I23+'Cost Inputs'!J23+'Cost Inputs'!K23)&gt;0, 'Cost Inputs'!I23+'Cost Inputs'!J23+'Cost Inputs'!K23, "")</f>
        <v/>
      </c>
      <c r="K23" s="93" t="str">
        <f>IF('Cost Inputs'!$N23&gt;0,'Cost Inputs'!$N23,"")</f>
        <v/>
      </c>
      <c r="L23" s="93"/>
      <c r="M23" s="109"/>
      <c r="O23" s="107" t="str">
        <f>IF(O$3="N.B.C.", IF('Cost Inputs'!$L23="Y", $E23, IF('Cost Inputs'!$L23="N", IF(ISNUMBER('Cost Inputs'!$M23), $E23,""),"")),"")</f>
        <v/>
      </c>
      <c r="P23" s="93" t="str">
        <f>IF(P$3="N.B.C.", IF('Cost Inputs'!$L23="Y", $E23, IF('Cost Inputs'!$L23="N", "","")),"")</f>
        <v/>
      </c>
      <c r="Q23" s="93" t="str">
        <f>IF(Q$3="N.B.C.", IF('Cost Inputs'!$L23="Y", $E23, IF('Cost Inputs'!$L23="N", IF(AND(ISNUMBER('Cost Inputs'!$M23), OR('Cost Inputs'!$M23=1,'Cost Inputs'!$M23=2)), $E23,""),"")),"")</f>
        <v/>
      </c>
      <c r="R23" s="93" t="str">
        <f>IF(R$3="N.B.C.", IF('Cost Inputs'!$L23="Y", $E23, IF('Cost Inputs'!$L23="N", IF(AND(ISNUMBER('Cost Inputs'!$M23), OR('Cost Inputs'!$M23=1, 'Cost Inputs'!$M23=3)), $E23,""),"")),"")</f>
        <v/>
      </c>
      <c r="S23" s="93" t="str">
        <f>IF(S$3="N.B.C.", IF('Cost Inputs'!$L23="Y", $E23, IF('Cost Inputs'!$L23="N", IF(AND(ISNUMBER('Cost Inputs'!$M23), OR('Cost Inputs'!$M23=1, 'Cost Inputs'!$M23=2, 'Cost Inputs'!$M23=4)), $E23,""),"")),"")</f>
        <v/>
      </c>
      <c r="T23" s="93" t="str">
        <f>IF(T$3="N.B.C.", IF('Cost Inputs'!$L23="Y", $E23, IF('Cost Inputs'!$L23="N", IF(AND(ISNUMBER('Cost Inputs'!$M23), OR('Cost Inputs'!$M23=1, 'Cost Inputs'!$M23=5)), $E23,""),"")),"")</f>
        <v/>
      </c>
      <c r="U23" s="93" t="str">
        <f>IF(U$3="N.B.C.", IF('Cost Inputs'!$L23="Y", $E23, IF('Cost Inputs'!$L23="N", IF(AND(ISNUMBER('Cost Inputs'!$M23), OR('Cost Inputs'!$M23=1, 'Cost Inputs'!$M23=2, 'Cost Inputs'!$M23=3, 'Cost Inputs'!$M23=6)), $E23,""),"")),"")</f>
        <v/>
      </c>
      <c r="V23" s="93" t="str">
        <f>IF(V$3="N.B.C.", IF('Cost Inputs'!$L23="Y", $E23, IF('Cost Inputs'!$L23="N", IF(AND(ISNUMBER('Cost Inputs'!$M23), OR('Cost Inputs'!$M23=1, 'Cost Inputs'!$M23=7)), $E23,""),"")),"")</f>
        <v/>
      </c>
      <c r="W23" s="93" t="str">
        <f>IF(W$3="N.B.C.", IF('Cost Inputs'!$L23="Y", $E23, IF('Cost Inputs'!$L23="N", IF(AND(ISNUMBER('Cost Inputs'!$M23), OR('Cost Inputs'!$M23=1, 'Cost Inputs'!$M23=2,'Cost Inputs'!$M23=4,'Cost Inputs'!$M23=8)), $E23,""),"")),"")</f>
        <v/>
      </c>
      <c r="X23" s="109" t="str">
        <f>IF($X$3="N.B.C.", IF('Cost Inputs'!$L23="Y", $E23, IF('Cost Inputs'!$L23="N", IF(AND(ISNUMBER('Cost Inputs'!$M23), OR('Cost Inputs'!$M23=1, 'Cost Inputs'!$M23=3,'Cost Inputs'!$M23=9)), $E23,""),"")),"")</f>
        <v/>
      </c>
    </row>
    <row r="24" spans="1:24" x14ac:dyDescent="0.25">
      <c r="A24" s="501"/>
      <c r="B24" s="504"/>
      <c r="C24" s="104" t="str">
        <f>IF(OR('Cost Inputs'!H24&lt;&gt;"", 'Cost Inputs'!I24&lt;&gt;"", 'Cost Inputs'!J24&lt;&gt;""), 'Cost Inputs'!A24, "")</f>
        <v/>
      </c>
      <c r="D24" s="17" t="str">
        <f>IF(AND(C24&lt;&gt;"", 'Cost Inputs'!G24&lt;&gt;""), 'Cost Inputs'!G24, "")</f>
        <v/>
      </c>
      <c r="E24" s="17" t="str">
        <f>IF(AND(C24&lt;&gt;"", 'Cost Inputs'!H24&lt;&gt;""), 'Cost Inputs'!H24, "")</f>
        <v/>
      </c>
      <c r="F24" s="17" t="str">
        <f>IF('Cost Inputs'!$I24&lt;&gt;"", 'Cost Inputs'!$I24, "")</f>
        <v/>
      </c>
      <c r="G24" s="17" t="str">
        <f t="shared" si="1"/>
        <v/>
      </c>
      <c r="H24" s="17" t="str">
        <f>IF('Cost Inputs'!$J24&lt;&gt;"", 'Cost Inputs'!$J24, "")</f>
        <v/>
      </c>
      <c r="I24" s="17" t="str">
        <f t="shared" si="2"/>
        <v/>
      </c>
      <c r="J24" s="17" t="str">
        <f>IF(('Cost Inputs'!I24+'Cost Inputs'!J24+'Cost Inputs'!K24)&gt;0, 'Cost Inputs'!I24+'Cost Inputs'!J24+'Cost Inputs'!K24, "")</f>
        <v/>
      </c>
      <c r="K24" s="17" t="str">
        <f>IF('Cost Inputs'!$N24&gt;0,'Cost Inputs'!$N24,"")</f>
        <v/>
      </c>
      <c r="M24" s="106"/>
      <c r="O24" s="104" t="str">
        <f>IF(O$3="N.B.C.", IF('Cost Inputs'!$L24="Y", $E24, IF('Cost Inputs'!$L24="N", IF(ISNUMBER('Cost Inputs'!$M24), $E24,""),"")),"")</f>
        <v/>
      </c>
      <c r="P24" s="17" t="str">
        <f>IF(P$3="N.B.C.", IF('Cost Inputs'!$L24="Y", $E24, IF('Cost Inputs'!$L24="N", "","")),"")</f>
        <v/>
      </c>
      <c r="Q24" s="17" t="str">
        <f>IF(Q$3="N.B.C.", IF('Cost Inputs'!$L24="Y", $E24, IF('Cost Inputs'!$L24="N", IF(AND(ISNUMBER('Cost Inputs'!$M24), OR('Cost Inputs'!$M24=1,'Cost Inputs'!$M24=2)), $E24,""),"")),"")</f>
        <v/>
      </c>
      <c r="R24" s="17" t="str">
        <f>IF(R$3="N.B.C.", IF('Cost Inputs'!$L24="Y", $E24, IF('Cost Inputs'!$L24="N", IF(AND(ISNUMBER('Cost Inputs'!$M24), OR('Cost Inputs'!$M24=1, 'Cost Inputs'!$M24=3)), $E24,""),"")),"")</f>
        <v/>
      </c>
      <c r="S24" s="17" t="str">
        <f>IF(S$3="N.B.C.", IF('Cost Inputs'!$L24="Y", $E24, IF('Cost Inputs'!$L24="N", IF(AND(ISNUMBER('Cost Inputs'!$M24), OR('Cost Inputs'!$M24=1, 'Cost Inputs'!$M24=2, 'Cost Inputs'!$M24=4)), $E24,""),"")),"")</f>
        <v/>
      </c>
      <c r="T24" s="17" t="str">
        <f>IF(T$3="N.B.C.", IF('Cost Inputs'!$L24="Y", $E24, IF('Cost Inputs'!$L24="N", IF(AND(ISNUMBER('Cost Inputs'!$M24), OR('Cost Inputs'!$M24=1, 'Cost Inputs'!$M24=5)), $E24,""),"")),"")</f>
        <v/>
      </c>
      <c r="U24" s="17" t="str">
        <f>IF(U$3="N.B.C.", IF('Cost Inputs'!$L24="Y", $E24, IF('Cost Inputs'!$L24="N", IF(AND(ISNUMBER('Cost Inputs'!$M24), OR('Cost Inputs'!$M24=1, 'Cost Inputs'!$M24=2, 'Cost Inputs'!$M24=3, 'Cost Inputs'!$M24=6)), $E24,""),"")),"")</f>
        <v/>
      </c>
      <c r="V24" s="17" t="str">
        <f>IF(V$3="N.B.C.", IF('Cost Inputs'!$L24="Y", $E24, IF('Cost Inputs'!$L24="N", IF(AND(ISNUMBER('Cost Inputs'!$M24), OR('Cost Inputs'!$M24=1, 'Cost Inputs'!$M24=7)), $E24,""),"")),"")</f>
        <v/>
      </c>
      <c r="W24" s="17" t="str">
        <f>IF(W$3="N.B.C.", IF('Cost Inputs'!$L24="Y", $E24, IF('Cost Inputs'!$L24="N", IF(AND(ISNUMBER('Cost Inputs'!$M24), OR('Cost Inputs'!$M24=1, 'Cost Inputs'!$M24=2,'Cost Inputs'!$M24=4,'Cost Inputs'!$M24=8)), $E24,""),"")),"")</f>
        <v/>
      </c>
      <c r="X24" s="106" t="str">
        <f>IF($X$3="N.B.C.", IF('Cost Inputs'!$L24="Y", $E24, IF('Cost Inputs'!$L24="N", IF(AND(ISNUMBER('Cost Inputs'!$M24), OR('Cost Inputs'!$M24=1, 'Cost Inputs'!$M24=3,'Cost Inputs'!$M24=9)), $E24,""),"")),"")</f>
        <v/>
      </c>
    </row>
    <row r="25" spans="1:24" x14ac:dyDescent="0.25">
      <c r="A25" s="501"/>
      <c r="B25" s="504"/>
      <c r="C25" s="107" t="str">
        <f>IF(OR('Cost Inputs'!H25&lt;&gt;"", 'Cost Inputs'!I25&lt;&gt;"", 'Cost Inputs'!J25&lt;&gt;""), 'Cost Inputs'!A25, "")</f>
        <v/>
      </c>
      <c r="D25" s="93" t="str">
        <f>IF(AND(C25&lt;&gt;"", 'Cost Inputs'!G25&lt;&gt;""), 'Cost Inputs'!G25, "")</f>
        <v/>
      </c>
      <c r="E25" s="93" t="str">
        <f>IF(AND(C25&lt;&gt;"", 'Cost Inputs'!H25&lt;&gt;""), 'Cost Inputs'!H25, "")</f>
        <v/>
      </c>
      <c r="F25" s="93" t="str">
        <f>IF('Cost Inputs'!$I25&lt;&gt;"", 'Cost Inputs'!$I25, "")</f>
        <v/>
      </c>
      <c r="G25" s="93" t="str">
        <f t="shared" si="1"/>
        <v/>
      </c>
      <c r="H25" s="93" t="str">
        <f>IF('Cost Inputs'!$J25&lt;&gt;"", 'Cost Inputs'!$J25, "")</f>
        <v/>
      </c>
      <c r="I25" s="93" t="str">
        <f t="shared" si="2"/>
        <v/>
      </c>
      <c r="J25" s="93" t="str">
        <f>IF(('Cost Inputs'!I25+'Cost Inputs'!J25+'Cost Inputs'!K25)&gt;0, 'Cost Inputs'!I25+'Cost Inputs'!J25+'Cost Inputs'!K25, "")</f>
        <v/>
      </c>
      <c r="K25" s="93" t="str">
        <f>IF('Cost Inputs'!$N25&gt;0,'Cost Inputs'!$N25,"")</f>
        <v/>
      </c>
      <c r="L25" s="93"/>
      <c r="M25" s="109"/>
      <c r="O25" s="107" t="str">
        <f>IF(O$3="N.B.C.", IF('Cost Inputs'!$L25="Y", $E25, IF('Cost Inputs'!$L25="N", IF(ISNUMBER('Cost Inputs'!$M25), $E25,""),"")),"")</f>
        <v/>
      </c>
      <c r="P25" s="93" t="str">
        <f>IF(P$3="N.B.C.", IF('Cost Inputs'!$L25="Y", $E25, IF('Cost Inputs'!$L25="N", "","")),"")</f>
        <v/>
      </c>
      <c r="Q25" s="93" t="str">
        <f>IF(Q$3="N.B.C.", IF('Cost Inputs'!$L25="Y", $E25, IF('Cost Inputs'!$L25="N", IF(AND(ISNUMBER('Cost Inputs'!$M25), OR('Cost Inputs'!$M25=1,'Cost Inputs'!$M25=2)), $E25,""),"")),"")</f>
        <v/>
      </c>
      <c r="R25" s="93" t="str">
        <f>IF(R$3="N.B.C.", IF('Cost Inputs'!$L25="Y", $E25, IF('Cost Inputs'!$L25="N", IF(AND(ISNUMBER('Cost Inputs'!$M25), OR('Cost Inputs'!$M25=1, 'Cost Inputs'!$M25=3)), $E25,""),"")),"")</f>
        <v/>
      </c>
      <c r="S25" s="93" t="str">
        <f>IF(S$3="N.B.C.", IF('Cost Inputs'!$L25="Y", $E25, IF('Cost Inputs'!$L25="N", IF(AND(ISNUMBER('Cost Inputs'!$M25), OR('Cost Inputs'!$M25=1, 'Cost Inputs'!$M25=2, 'Cost Inputs'!$M25=4)), $E25,""),"")),"")</f>
        <v/>
      </c>
      <c r="T25" s="93" t="str">
        <f>IF(T$3="N.B.C.", IF('Cost Inputs'!$L25="Y", $E25, IF('Cost Inputs'!$L25="N", IF(AND(ISNUMBER('Cost Inputs'!$M25), OR('Cost Inputs'!$M25=1, 'Cost Inputs'!$M25=5)), $E25,""),"")),"")</f>
        <v/>
      </c>
      <c r="U25" s="93" t="str">
        <f>IF(U$3="N.B.C.", IF('Cost Inputs'!$L25="Y", $E25, IF('Cost Inputs'!$L25="N", IF(AND(ISNUMBER('Cost Inputs'!$M25), OR('Cost Inputs'!$M25=1, 'Cost Inputs'!$M25=2, 'Cost Inputs'!$M25=3, 'Cost Inputs'!$M25=6)), $E25,""),"")),"")</f>
        <v/>
      </c>
      <c r="V25" s="93" t="str">
        <f>IF(V$3="N.B.C.", IF('Cost Inputs'!$L25="Y", $E25, IF('Cost Inputs'!$L25="N", IF(AND(ISNUMBER('Cost Inputs'!$M25), OR('Cost Inputs'!$M25=1, 'Cost Inputs'!$M25=7)), $E25,""),"")),"")</f>
        <v/>
      </c>
      <c r="W25" s="93" t="str">
        <f>IF(W$3="N.B.C.", IF('Cost Inputs'!$L25="Y", $E25, IF('Cost Inputs'!$L25="N", IF(AND(ISNUMBER('Cost Inputs'!$M25), OR('Cost Inputs'!$M25=1, 'Cost Inputs'!$M25=2,'Cost Inputs'!$M25=4,'Cost Inputs'!$M25=8)), $E25,""),"")),"")</f>
        <v/>
      </c>
      <c r="X25" s="109" t="str">
        <f>IF($X$3="N.B.C.", IF('Cost Inputs'!$L25="Y", $E25, IF('Cost Inputs'!$L25="N", IF(AND(ISNUMBER('Cost Inputs'!$M25), OR('Cost Inputs'!$M25=1, 'Cost Inputs'!$M25=3,'Cost Inputs'!$M25=9)), $E25,""),"")),"")</f>
        <v/>
      </c>
    </row>
    <row r="26" spans="1:24" x14ac:dyDescent="0.25">
      <c r="A26" s="501"/>
      <c r="B26" s="504"/>
      <c r="C26" s="104" t="str">
        <f>IF(OR('Cost Inputs'!H26&lt;&gt;"", 'Cost Inputs'!I26&lt;&gt;"", 'Cost Inputs'!J26&lt;&gt;""), 'Cost Inputs'!A26, "")</f>
        <v/>
      </c>
      <c r="D26" s="17" t="str">
        <f>IF(AND(C26&lt;&gt;"", 'Cost Inputs'!G26&lt;&gt;""), 'Cost Inputs'!G26, "")</f>
        <v/>
      </c>
      <c r="E26" s="17" t="str">
        <f>IF(AND(C26&lt;&gt;"", 'Cost Inputs'!H26&lt;&gt;""), 'Cost Inputs'!H26, "")</f>
        <v/>
      </c>
      <c r="F26" s="17" t="str">
        <f>IF('Cost Inputs'!$I26&lt;&gt;"", 'Cost Inputs'!$I26, "")</f>
        <v/>
      </c>
      <c r="G26" s="17" t="str">
        <f t="shared" si="1"/>
        <v/>
      </c>
      <c r="H26" s="17" t="str">
        <f>IF('Cost Inputs'!$J26&lt;&gt;"", 'Cost Inputs'!$J26, "")</f>
        <v/>
      </c>
      <c r="I26" s="17" t="str">
        <f t="shared" si="2"/>
        <v/>
      </c>
      <c r="J26" s="17" t="str">
        <f>IF(('Cost Inputs'!I26+'Cost Inputs'!J26+'Cost Inputs'!K26)&gt;0, 'Cost Inputs'!I26+'Cost Inputs'!J26+'Cost Inputs'!K26, "")</f>
        <v/>
      </c>
      <c r="K26" s="17" t="str">
        <f>IF('Cost Inputs'!$N26&gt;0,'Cost Inputs'!$N26,"")</f>
        <v/>
      </c>
      <c r="M26" s="106"/>
      <c r="O26" s="104" t="str">
        <f>IF(O$3="N.B.C.", IF('Cost Inputs'!$L26="Y", $E26, IF('Cost Inputs'!$L26="N", IF(ISNUMBER('Cost Inputs'!$M26), $E26,""),"")),"")</f>
        <v/>
      </c>
      <c r="P26" s="17" t="str">
        <f>IF(P$3="N.B.C.", IF('Cost Inputs'!$L26="Y", $E26, IF('Cost Inputs'!$L26="N", "","")),"")</f>
        <v/>
      </c>
      <c r="Q26" s="17" t="str">
        <f>IF(Q$3="N.B.C.", IF('Cost Inputs'!$L26="Y", $E26, IF('Cost Inputs'!$L26="N", IF(AND(ISNUMBER('Cost Inputs'!$M26), OR('Cost Inputs'!$M26=1,'Cost Inputs'!$M26=2)), $E26,""),"")),"")</f>
        <v/>
      </c>
      <c r="R26" s="17" t="str">
        <f>IF(R$3="N.B.C.", IF('Cost Inputs'!$L26="Y", $E26, IF('Cost Inputs'!$L26="N", IF(AND(ISNUMBER('Cost Inputs'!$M26), OR('Cost Inputs'!$M26=1, 'Cost Inputs'!$M26=3)), $E26,""),"")),"")</f>
        <v/>
      </c>
      <c r="S26" s="17" t="str">
        <f>IF(S$3="N.B.C.", IF('Cost Inputs'!$L26="Y", $E26, IF('Cost Inputs'!$L26="N", IF(AND(ISNUMBER('Cost Inputs'!$M26), OR('Cost Inputs'!$M26=1, 'Cost Inputs'!$M26=2, 'Cost Inputs'!$M26=4)), $E26,""),"")),"")</f>
        <v/>
      </c>
      <c r="T26" s="17" t="str">
        <f>IF(T$3="N.B.C.", IF('Cost Inputs'!$L26="Y", $E26, IF('Cost Inputs'!$L26="N", IF(AND(ISNUMBER('Cost Inputs'!$M26), OR('Cost Inputs'!$M26=1, 'Cost Inputs'!$M26=5)), $E26,""),"")),"")</f>
        <v/>
      </c>
      <c r="U26" s="17" t="str">
        <f>IF(U$3="N.B.C.", IF('Cost Inputs'!$L26="Y", $E26, IF('Cost Inputs'!$L26="N", IF(AND(ISNUMBER('Cost Inputs'!$M26), OR('Cost Inputs'!$M26=1, 'Cost Inputs'!$M26=2, 'Cost Inputs'!$M26=3, 'Cost Inputs'!$M26=6)), $E26,""),"")),"")</f>
        <v/>
      </c>
      <c r="V26" s="17" t="str">
        <f>IF(V$3="N.B.C.", IF('Cost Inputs'!$L26="Y", $E26, IF('Cost Inputs'!$L26="N", IF(AND(ISNUMBER('Cost Inputs'!$M26), OR('Cost Inputs'!$M26=1, 'Cost Inputs'!$M26=7)), $E26,""),"")),"")</f>
        <v/>
      </c>
      <c r="W26" s="17" t="str">
        <f>IF(W$3="N.B.C.", IF('Cost Inputs'!$L26="Y", $E26, IF('Cost Inputs'!$L26="N", IF(AND(ISNUMBER('Cost Inputs'!$M26), OR('Cost Inputs'!$M26=1, 'Cost Inputs'!$M26=2,'Cost Inputs'!$M26=4,'Cost Inputs'!$M26=8)), $E26,""),"")),"")</f>
        <v/>
      </c>
      <c r="X26" s="106" t="str">
        <f>IF($X$3="N.B.C.", IF('Cost Inputs'!$L26="Y", $E26, IF('Cost Inputs'!$L26="N", IF(AND(ISNUMBER('Cost Inputs'!$M26), OR('Cost Inputs'!$M26=1, 'Cost Inputs'!$M26=3,'Cost Inputs'!$M26=9)), $E26,""),"")),"")</f>
        <v/>
      </c>
    </row>
    <row r="27" spans="1:24" x14ac:dyDescent="0.25">
      <c r="A27" s="501"/>
      <c r="B27" s="504"/>
      <c r="C27" s="107" t="str">
        <f>IF(OR('Cost Inputs'!H27&lt;&gt;"", 'Cost Inputs'!I27&lt;&gt;"", 'Cost Inputs'!J27&lt;&gt;""), 'Cost Inputs'!A27, "")</f>
        <v/>
      </c>
      <c r="D27" s="93" t="str">
        <f>IF(AND(C27&lt;&gt;"", 'Cost Inputs'!G27&lt;&gt;""), 'Cost Inputs'!G27, "")</f>
        <v/>
      </c>
      <c r="E27" s="93" t="str">
        <f>IF(AND(C27&lt;&gt;"", 'Cost Inputs'!H27&lt;&gt;""), 'Cost Inputs'!H27, "")</f>
        <v/>
      </c>
      <c r="F27" s="93" t="str">
        <f>IF('Cost Inputs'!$I27&lt;&gt;"", 'Cost Inputs'!$I27, "")</f>
        <v/>
      </c>
      <c r="G27" s="93" t="str">
        <f t="shared" si="1"/>
        <v/>
      </c>
      <c r="H27" s="93" t="str">
        <f>IF('Cost Inputs'!$J27&lt;&gt;"", 'Cost Inputs'!$J27, "")</f>
        <v/>
      </c>
      <c r="I27" s="93" t="str">
        <f t="shared" si="2"/>
        <v/>
      </c>
      <c r="J27" s="93" t="str">
        <f>IF(('Cost Inputs'!I27+'Cost Inputs'!J27+'Cost Inputs'!K27)&gt;0, 'Cost Inputs'!I27+'Cost Inputs'!J27+'Cost Inputs'!K27, "")</f>
        <v/>
      </c>
      <c r="K27" s="93" t="str">
        <f>IF('Cost Inputs'!$N27&gt;0,'Cost Inputs'!$N27,"")</f>
        <v/>
      </c>
      <c r="L27" s="93"/>
      <c r="M27" s="109"/>
      <c r="O27" s="107" t="str">
        <f>IF(O$3="N.B.C.", IF('Cost Inputs'!$L27="Y", $E27, IF('Cost Inputs'!$L27="N", IF(ISNUMBER('Cost Inputs'!$M27), $E27,""),"")),"")</f>
        <v/>
      </c>
      <c r="P27" s="93" t="str">
        <f>IF(P$3="N.B.C.", IF('Cost Inputs'!$L27="Y", $E27, IF('Cost Inputs'!$L27="N", "","")),"")</f>
        <v/>
      </c>
      <c r="Q27" s="93" t="str">
        <f>IF(Q$3="N.B.C.", IF('Cost Inputs'!$L27="Y", $E27, IF('Cost Inputs'!$L27="N", IF(AND(ISNUMBER('Cost Inputs'!$M27), OR('Cost Inputs'!$M27=1,'Cost Inputs'!$M27=2)), $E27,""),"")),"")</f>
        <v/>
      </c>
      <c r="R27" s="93" t="str">
        <f>IF(R$3="N.B.C.", IF('Cost Inputs'!$L27="Y", $E27, IF('Cost Inputs'!$L27="N", IF(AND(ISNUMBER('Cost Inputs'!$M27), OR('Cost Inputs'!$M27=1, 'Cost Inputs'!$M27=3)), $E27,""),"")),"")</f>
        <v/>
      </c>
      <c r="S27" s="93" t="str">
        <f>IF(S$3="N.B.C.", IF('Cost Inputs'!$L27="Y", $E27, IF('Cost Inputs'!$L27="N", IF(AND(ISNUMBER('Cost Inputs'!$M27), OR('Cost Inputs'!$M27=1, 'Cost Inputs'!$M27=2, 'Cost Inputs'!$M27=4)), $E27,""),"")),"")</f>
        <v/>
      </c>
      <c r="T27" s="93" t="str">
        <f>IF(T$3="N.B.C.", IF('Cost Inputs'!$L27="Y", $E27, IF('Cost Inputs'!$L27="N", IF(AND(ISNUMBER('Cost Inputs'!$M27), OR('Cost Inputs'!$M27=1, 'Cost Inputs'!$M27=5)), $E27,""),"")),"")</f>
        <v/>
      </c>
      <c r="U27" s="93" t="str">
        <f>IF(U$3="N.B.C.", IF('Cost Inputs'!$L27="Y", $E27, IF('Cost Inputs'!$L27="N", IF(AND(ISNUMBER('Cost Inputs'!$M27), OR('Cost Inputs'!$M27=1, 'Cost Inputs'!$M27=2, 'Cost Inputs'!$M27=3, 'Cost Inputs'!$M27=6)), $E27,""),"")),"")</f>
        <v/>
      </c>
      <c r="V27" s="93" t="str">
        <f>IF(V$3="N.B.C.", IF('Cost Inputs'!$L27="Y", $E27, IF('Cost Inputs'!$L27="N", IF(AND(ISNUMBER('Cost Inputs'!$M27), OR('Cost Inputs'!$M27=1, 'Cost Inputs'!$M27=7)), $E27,""),"")),"")</f>
        <v/>
      </c>
      <c r="W27" s="93" t="str">
        <f>IF(W$3="N.B.C.", IF('Cost Inputs'!$L27="Y", $E27, IF('Cost Inputs'!$L27="N", IF(AND(ISNUMBER('Cost Inputs'!$M27), OR('Cost Inputs'!$M27=1, 'Cost Inputs'!$M27=2,'Cost Inputs'!$M27=4,'Cost Inputs'!$M27=8)), $E27,""),"")),"")</f>
        <v/>
      </c>
      <c r="X27" s="109" t="str">
        <f>IF($X$3="N.B.C.", IF('Cost Inputs'!$L27="Y", $E27, IF('Cost Inputs'!$L27="N", IF(AND(ISNUMBER('Cost Inputs'!$M27), OR('Cost Inputs'!$M27=1, 'Cost Inputs'!$M27=3,'Cost Inputs'!$M27=9)), $E27,""),"")),"")</f>
        <v/>
      </c>
    </row>
    <row r="28" spans="1:24" x14ac:dyDescent="0.25">
      <c r="A28" s="501"/>
      <c r="B28" s="504"/>
      <c r="C28" s="110" t="str">
        <f>'Cost Inputs'!A28</f>
        <v>1.5 Seed Collection and preparation</v>
      </c>
      <c r="D28" s="94" t="str">
        <f>IF(OR('Cost Inputs'!H28&lt;&gt;"", 'Cost Inputs'!I28&lt;&gt;"", 'Cost Inputs'!J28&lt;&gt;""), 'Cost Inputs'!G28,"")</f>
        <v/>
      </c>
      <c r="E28" s="94" t="str">
        <f>IF(AND(C28&lt;&gt;"", 'Cost Inputs'!H28&lt;&gt;""), 'Cost Inputs'!H28, "")</f>
        <v/>
      </c>
      <c r="F28" s="94" t="str">
        <f>IF('Cost Inputs'!$I28&lt;&gt;"", 'Cost Inputs'!$I28, "")</f>
        <v/>
      </c>
      <c r="G28" s="94" t="str">
        <f t="shared" si="1"/>
        <v/>
      </c>
      <c r="H28" s="94" t="str">
        <f>IF('Cost Inputs'!$J28&lt;&gt;"", 'Cost Inputs'!$J28, "")</f>
        <v/>
      </c>
      <c r="I28" s="94" t="str">
        <f>IF(AND($E28&lt;&gt;"", $H28&lt;&gt;""), $H28/$E28, "")</f>
        <v/>
      </c>
      <c r="J28" s="94" t="str">
        <f>IF(('Cost Inputs'!I28+'Cost Inputs'!J28+'Cost Inputs'!K28)&gt;0, 'Cost Inputs'!I28+'Cost Inputs'!J28+'Cost Inputs'!K28, "")</f>
        <v/>
      </c>
      <c r="K28" s="94" t="str">
        <f>IF('Cost Inputs'!$N28&gt;0,'Cost Inputs'!$N28,"")</f>
        <v/>
      </c>
      <c r="L28" s="94"/>
      <c r="M28" s="103"/>
      <c r="O28" s="110" t="str">
        <f>IF(O$3="N.B.C.", IF('Cost Inputs'!$L28="Y", $E28, IF('Cost Inputs'!$L28="N", IF(ISNUMBER('Cost Inputs'!$M28), $E28,""),"")),"")</f>
        <v/>
      </c>
      <c r="P28" s="94" t="str">
        <f>IF(P$3="N.B.C.", IF('Cost Inputs'!$L28="Y", $E28, IF('Cost Inputs'!$L28="N", "","")),"")</f>
        <v/>
      </c>
      <c r="Q28" s="94" t="str">
        <f>IF(Q$3="N.B.C.", IF('Cost Inputs'!$L28="Y", $E28, IF('Cost Inputs'!$L28="N", IF(AND(ISNUMBER('Cost Inputs'!$M28), OR('Cost Inputs'!$M28=1,'Cost Inputs'!$M28=2)), $E28,""),"")),"")</f>
        <v/>
      </c>
      <c r="R28" s="94" t="str">
        <f>IF(R$3="N.B.C.", IF('Cost Inputs'!$L28="Y", $E28, IF('Cost Inputs'!$L28="N", IF(AND(ISNUMBER('Cost Inputs'!$M28), OR('Cost Inputs'!$M28=1, 'Cost Inputs'!$M28=3)), $E28,""),"")),"")</f>
        <v/>
      </c>
      <c r="S28" s="94" t="str">
        <f>IF(S$3="N.B.C.", IF('Cost Inputs'!$L28="Y", $E28, IF('Cost Inputs'!$L28="N", IF(AND(ISNUMBER('Cost Inputs'!$M28), OR('Cost Inputs'!$M28=1, 'Cost Inputs'!$M28=2, 'Cost Inputs'!$M28=4)), $E28,""),"")),"")</f>
        <v/>
      </c>
      <c r="T28" s="94" t="str">
        <f>IF(T$3="N.B.C.", IF('Cost Inputs'!$L28="Y", $E28, IF('Cost Inputs'!$L28="N", IF(AND(ISNUMBER('Cost Inputs'!$M28), OR('Cost Inputs'!$M28=1, 'Cost Inputs'!$M28=5)), $E28,""),"")),"")</f>
        <v/>
      </c>
      <c r="U28" s="94" t="str">
        <f>IF(U$3="N.B.C.", IF('Cost Inputs'!$L28="Y", $E28, IF('Cost Inputs'!$L28="N", IF(AND(ISNUMBER('Cost Inputs'!$M28), OR('Cost Inputs'!$M28=1, 'Cost Inputs'!$M28=2, 'Cost Inputs'!$M28=3, 'Cost Inputs'!$M28=6)), $E28,""),"")),"")</f>
        <v/>
      </c>
      <c r="V28" s="94" t="str">
        <f>IF(V$3="N.B.C.", IF('Cost Inputs'!$L28="Y", $E28, IF('Cost Inputs'!$L28="N", IF(AND(ISNUMBER('Cost Inputs'!$M28), OR('Cost Inputs'!$M28=1, 'Cost Inputs'!$M28=7)), $E28,""),"")),"")</f>
        <v/>
      </c>
      <c r="W28" s="94" t="str">
        <f>IF(W$3="N.B.C.", IF('Cost Inputs'!$L28="Y", $E28, IF('Cost Inputs'!$L28="N", IF(AND(ISNUMBER('Cost Inputs'!$M28), OR('Cost Inputs'!$M28=1, 'Cost Inputs'!$M28=2,'Cost Inputs'!$M28=4,'Cost Inputs'!$M28=8)), $E28,""),"")),"")</f>
        <v/>
      </c>
      <c r="X28" s="103" t="str">
        <f>IF($X$3="N.B.C.", IF('Cost Inputs'!$L28="Y", $E28, IF('Cost Inputs'!$L28="N", IF(AND(ISNUMBER('Cost Inputs'!$M28), OR('Cost Inputs'!$M28=1, 'Cost Inputs'!$M28=3,'Cost Inputs'!$M28=9)), $E28,""),"")),"")</f>
        <v/>
      </c>
    </row>
    <row r="29" spans="1:24" x14ac:dyDescent="0.25">
      <c r="A29" s="501"/>
      <c r="B29" s="504"/>
      <c r="C29" s="104" t="str">
        <f>IF(OR('Cost Inputs'!H29&lt;&gt;"", 'Cost Inputs'!I29&lt;&gt;"", 'Cost Inputs'!J29&lt;&gt;""), 'Cost Inputs'!A29, "")</f>
        <v/>
      </c>
      <c r="D29" s="17" t="str">
        <f>IF(AND(C29&lt;&gt;"", 'Cost Inputs'!G29&lt;&gt;""), 'Cost Inputs'!G29, "")</f>
        <v/>
      </c>
      <c r="E29" s="17" t="str">
        <f>IF(AND(C29&lt;&gt;"", 'Cost Inputs'!H29&lt;&gt;""), 'Cost Inputs'!H29, "")</f>
        <v/>
      </c>
      <c r="F29" s="17" t="str">
        <f>IF('Cost Inputs'!$I29&lt;&gt;"", 'Cost Inputs'!$I29, "")</f>
        <v/>
      </c>
      <c r="G29" s="17" t="str">
        <f t="shared" si="1"/>
        <v/>
      </c>
      <c r="H29" s="17" t="str">
        <f>IF('Cost Inputs'!$J29&lt;&gt;"", 'Cost Inputs'!$J29, "")</f>
        <v/>
      </c>
      <c r="I29" s="17" t="str">
        <f t="shared" si="2"/>
        <v/>
      </c>
      <c r="J29" s="17" t="str">
        <f>IF(('Cost Inputs'!I29+'Cost Inputs'!J29+'Cost Inputs'!K29)&gt;0, 'Cost Inputs'!I29+'Cost Inputs'!J29+'Cost Inputs'!K29, "")</f>
        <v/>
      </c>
      <c r="K29" s="17" t="str">
        <f>IF('Cost Inputs'!$N29&gt;0,'Cost Inputs'!$N29,"")</f>
        <v/>
      </c>
      <c r="M29" s="106"/>
      <c r="O29" s="104" t="str">
        <f>IF(O$3="N.B.C.", IF('Cost Inputs'!$L29="Y", $E29, IF('Cost Inputs'!$L29="N", IF(ISNUMBER('Cost Inputs'!$M29), $E29,""),"")),"")</f>
        <v/>
      </c>
      <c r="P29" s="17" t="str">
        <f>IF(P$3="N.B.C.", IF('Cost Inputs'!$L29="Y", $E29, IF('Cost Inputs'!$L29="N", "","")),"")</f>
        <v/>
      </c>
      <c r="Q29" s="17" t="str">
        <f>IF(Q$3="N.B.C.", IF('Cost Inputs'!$L29="Y", $E29, IF('Cost Inputs'!$L29="N", IF(AND(ISNUMBER('Cost Inputs'!$M29), OR('Cost Inputs'!$M29=1,'Cost Inputs'!$M29=2)), $E29,""),"")),"")</f>
        <v/>
      </c>
      <c r="R29" s="17" t="str">
        <f>IF(R$3="N.B.C.", IF('Cost Inputs'!$L29="Y", $E29, IF('Cost Inputs'!$L29="N", IF(AND(ISNUMBER('Cost Inputs'!$M29), OR('Cost Inputs'!$M29=1, 'Cost Inputs'!$M29=3)), $E29,""),"")),"")</f>
        <v/>
      </c>
      <c r="S29" s="17" t="str">
        <f>IF(S$3="N.B.C.", IF('Cost Inputs'!$L29="Y", $E29, IF('Cost Inputs'!$L29="N", IF(AND(ISNUMBER('Cost Inputs'!$M29), OR('Cost Inputs'!$M29=1, 'Cost Inputs'!$M29=2, 'Cost Inputs'!$M29=4)), $E29,""),"")),"")</f>
        <v/>
      </c>
      <c r="T29" s="17" t="str">
        <f>IF(T$3="N.B.C.", IF('Cost Inputs'!$L29="Y", $E29, IF('Cost Inputs'!$L29="N", IF(AND(ISNUMBER('Cost Inputs'!$M29), OR('Cost Inputs'!$M29=1, 'Cost Inputs'!$M29=5)), $E29,""),"")),"")</f>
        <v/>
      </c>
      <c r="U29" s="17" t="str">
        <f>IF(U$3="N.B.C.", IF('Cost Inputs'!$L29="Y", $E29, IF('Cost Inputs'!$L29="N", IF(AND(ISNUMBER('Cost Inputs'!$M29), OR('Cost Inputs'!$M29=1, 'Cost Inputs'!$M29=2, 'Cost Inputs'!$M29=3, 'Cost Inputs'!$M29=6)), $E29,""),"")),"")</f>
        <v/>
      </c>
      <c r="V29" s="17" t="str">
        <f>IF(V$3="N.B.C.", IF('Cost Inputs'!$L29="Y", $E29, IF('Cost Inputs'!$L29="N", IF(AND(ISNUMBER('Cost Inputs'!$M29), OR('Cost Inputs'!$M29=1, 'Cost Inputs'!$M29=7)), $E29,""),"")),"")</f>
        <v/>
      </c>
      <c r="W29" s="17" t="str">
        <f>IF(W$3="N.B.C.", IF('Cost Inputs'!$L29="Y", $E29, IF('Cost Inputs'!$L29="N", IF(AND(ISNUMBER('Cost Inputs'!$M29), OR('Cost Inputs'!$M29=1, 'Cost Inputs'!$M29=2,'Cost Inputs'!$M29=4,'Cost Inputs'!$M29=8)), $E29,""),"")),"")</f>
        <v/>
      </c>
      <c r="X29" s="106" t="str">
        <f>IF($X$3="N.B.C.", IF('Cost Inputs'!$L29="Y", $E29, IF('Cost Inputs'!$L29="N", IF(AND(ISNUMBER('Cost Inputs'!$M29), OR('Cost Inputs'!$M29=1, 'Cost Inputs'!$M29=3,'Cost Inputs'!$M29=9)), $E29,""),"")),"")</f>
        <v/>
      </c>
    </row>
    <row r="30" spans="1:24" x14ac:dyDescent="0.25">
      <c r="A30" s="501"/>
      <c r="B30" s="504"/>
      <c r="C30" s="107" t="str">
        <f>IF(OR('Cost Inputs'!H30&lt;&gt;"", 'Cost Inputs'!I30&lt;&gt;"", 'Cost Inputs'!J30&lt;&gt;""), 'Cost Inputs'!A30, "")</f>
        <v/>
      </c>
      <c r="D30" s="93" t="str">
        <f>IF(AND(C30&lt;&gt;"", 'Cost Inputs'!G30&lt;&gt;""), 'Cost Inputs'!G30, "")</f>
        <v/>
      </c>
      <c r="E30" s="93" t="str">
        <f>IF(AND(C30&lt;&gt;"", 'Cost Inputs'!H30&lt;&gt;""), 'Cost Inputs'!H30, "")</f>
        <v/>
      </c>
      <c r="F30" s="93" t="str">
        <f>IF('Cost Inputs'!$I30&lt;&gt;"", 'Cost Inputs'!$I30, "")</f>
        <v/>
      </c>
      <c r="G30" s="93" t="str">
        <f t="shared" si="1"/>
        <v/>
      </c>
      <c r="H30" s="93" t="str">
        <f>IF('Cost Inputs'!$J30&lt;&gt;"", 'Cost Inputs'!$J30, "")</f>
        <v/>
      </c>
      <c r="I30" s="93" t="str">
        <f t="shared" si="2"/>
        <v/>
      </c>
      <c r="J30" s="93" t="str">
        <f>IF(('Cost Inputs'!I30+'Cost Inputs'!J30+'Cost Inputs'!K30)&gt;0, 'Cost Inputs'!I30+'Cost Inputs'!J30+'Cost Inputs'!K30, "")</f>
        <v/>
      </c>
      <c r="K30" s="93" t="str">
        <f>IF('Cost Inputs'!$N30&gt;0,'Cost Inputs'!$N30,"")</f>
        <v/>
      </c>
      <c r="L30" s="93"/>
      <c r="M30" s="109"/>
      <c r="O30" s="107" t="str">
        <f>IF(O$3="N.B.C.", IF('Cost Inputs'!$L30="Y", $E30, IF('Cost Inputs'!$L30="N", IF(ISNUMBER('Cost Inputs'!$M30), $E30,""),"")),"")</f>
        <v/>
      </c>
      <c r="P30" s="93" t="str">
        <f>IF(P$3="N.B.C.", IF('Cost Inputs'!$L30="Y", $E30, IF('Cost Inputs'!$L30="N", "","")),"")</f>
        <v/>
      </c>
      <c r="Q30" s="93" t="str">
        <f>IF(Q$3="N.B.C.", IF('Cost Inputs'!$L30="Y", $E30, IF('Cost Inputs'!$L30="N", IF(AND(ISNUMBER('Cost Inputs'!$M30), OR('Cost Inputs'!$M30=1,'Cost Inputs'!$M30=2)), $E30,""),"")),"")</f>
        <v/>
      </c>
      <c r="R30" s="93" t="str">
        <f>IF(R$3="N.B.C.", IF('Cost Inputs'!$L30="Y", $E30, IF('Cost Inputs'!$L30="N", IF(AND(ISNUMBER('Cost Inputs'!$M30), OR('Cost Inputs'!$M30=1, 'Cost Inputs'!$M30=3)), $E30,""),"")),"")</f>
        <v/>
      </c>
      <c r="S30" s="93" t="str">
        <f>IF(S$3="N.B.C.", IF('Cost Inputs'!$L30="Y", $E30, IF('Cost Inputs'!$L30="N", IF(AND(ISNUMBER('Cost Inputs'!$M30), OR('Cost Inputs'!$M30=1, 'Cost Inputs'!$M30=2, 'Cost Inputs'!$M30=4)), $E30,""),"")),"")</f>
        <v/>
      </c>
      <c r="T30" s="93" t="str">
        <f>IF(T$3="N.B.C.", IF('Cost Inputs'!$L30="Y", $E30, IF('Cost Inputs'!$L30="N", IF(AND(ISNUMBER('Cost Inputs'!$M30), OR('Cost Inputs'!$M30=1, 'Cost Inputs'!$M30=5)), $E30,""),"")),"")</f>
        <v/>
      </c>
      <c r="U30" s="93" t="str">
        <f>IF(U$3="N.B.C.", IF('Cost Inputs'!$L30="Y", $E30, IF('Cost Inputs'!$L30="N", IF(AND(ISNUMBER('Cost Inputs'!$M30), OR('Cost Inputs'!$M30=1, 'Cost Inputs'!$M30=2, 'Cost Inputs'!$M30=3, 'Cost Inputs'!$M30=6)), $E30,""),"")),"")</f>
        <v/>
      </c>
      <c r="V30" s="93" t="str">
        <f>IF(V$3="N.B.C.", IF('Cost Inputs'!$L30="Y", $E30, IF('Cost Inputs'!$L30="N", IF(AND(ISNUMBER('Cost Inputs'!$M30), OR('Cost Inputs'!$M30=1, 'Cost Inputs'!$M30=7)), $E30,""),"")),"")</f>
        <v/>
      </c>
      <c r="W30" s="93" t="str">
        <f>IF(W$3="N.B.C.", IF('Cost Inputs'!$L30="Y", $E30, IF('Cost Inputs'!$L30="N", IF(AND(ISNUMBER('Cost Inputs'!$M30), OR('Cost Inputs'!$M30=1, 'Cost Inputs'!$M30=2,'Cost Inputs'!$M30=4,'Cost Inputs'!$M30=8)), $E30,""),"")),"")</f>
        <v/>
      </c>
      <c r="X30" s="109" t="str">
        <f>IF($X$3="N.B.C.", IF('Cost Inputs'!$L30="Y", $E30, IF('Cost Inputs'!$L30="N", IF(AND(ISNUMBER('Cost Inputs'!$M30), OR('Cost Inputs'!$M30=1, 'Cost Inputs'!$M30=3,'Cost Inputs'!$M30=9)), $E30,""),"")),"")</f>
        <v/>
      </c>
    </row>
    <row r="31" spans="1:24" x14ac:dyDescent="0.25">
      <c r="A31" s="501"/>
      <c r="B31" s="504"/>
      <c r="C31" s="104" t="str">
        <f>IF(OR('Cost Inputs'!H31&lt;&gt;"", 'Cost Inputs'!I31&lt;&gt;"", 'Cost Inputs'!J31&lt;&gt;""), 'Cost Inputs'!A31, "")</f>
        <v/>
      </c>
      <c r="D31" s="17" t="str">
        <f>IF(AND(C31&lt;&gt;"", 'Cost Inputs'!G31&lt;&gt;""), 'Cost Inputs'!G31, "")</f>
        <v/>
      </c>
      <c r="E31" s="17" t="str">
        <f>IF(AND(C31&lt;&gt;"", 'Cost Inputs'!H31&lt;&gt;""), 'Cost Inputs'!H31, "")</f>
        <v/>
      </c>
      <c r="F31" s="17" t="str">
        <f>IF('Cost Inputs'!$I31&lt;&gt;"", 'Cost Inputs'!$I31, "")</f>
        <v/>
      </c>
      <c r="G31" s="17" t="str">
        <f t="shared" si="1"/>
        <v/>
      </c>
      <c r="H31" s="17" t="str">
        <f>IF('Cost Inputs'!$J31&lt;&gt;"", 'Cost Inputs'!$J31, "")</f>
        <v/>
      </c>
      <c r="I31" s="17" t="str">
        <f t="shared" si="2"/>
        <v/>
      </c>
      <c r="J31" s="17" t="str">
        <f>IF(('Cost Inputs'!I31+'Cost Inputs'!J31+'Cost Inputs'!K31)&gt;0, 'Cost Inputs'!I31+'Cost Inputs'!J31+'Cost Inputs'!K31, "")</f>
        <v/>
      </c>
      <c r="K31" s="17" t="str">
        <f>IF('Cost Inputs'!$N31&gt;0,'Cost Inputs'!$N31,"")</f>
        <v/>
      </c>
      <c r="M31" s="106"/>
      <c r="O31" s="104" t="str">
        <f>IF(O$3="N.B.C.", IF('Cost Inputs'!$L31="Y", $E31, IF('Cost Inputs'!$L31="N", IF(ISNUMBER('Cost Inputs'!$M31), $E31,""),"")),"")</f>
        <v/>
      </c>
      <c r="P31" s="17" t="str">
        <f>IF(P$3="N.B.C.", IF('Cost Inputs'!$L31="Y", $E31, IF('Cost Inputs'!$L31="N", "","")),"")</f>
        <v/>
      </c>
      <c r="Q31" s="17" t="str">
        <f>IF(Q$3="N.B.C.", IF('Cost Inputs'!$L31="Y", $E31, IF('Cost Inputs'!$L31="N", IF(AND(ISNUMBER('Cost Inputs'!$M31), OR('Cost Inputs'!$M31=1,'Cost Inputs'!$M31=2)), $E31,""),"")),"")</f>
        <v/>
      </c>
      <c r="R31" s="17" t="str">
        <f>IF(R$3="N.B.C.", IF('Cost Inputs'!$L31="Y", $E31, IF('Cost Inputs'!$L31="N", IF(AND(ISNUMBER('Cost Inputs'!$M31), OR('Cost Inputs'!$M31=1, 'Cost Inputs'!$M31=3)), $E31,""),"")),"")</f>
        <v/>
      </c>
      <c r="S31" s="17" t="str">
        <f>IF(S$3="N.B.C.", IF('Cost Inputs'!$L31="Y", $E31, IF('Cost Inputs'!$L31="N", IF(AND(ISNUMBER('Cost Inputs'!$M31), OR('Cost Inputs'!$M31=1, 'Cost Inputs'!$M31=2, 'Cost Inputs'!$M31=4)), $E31,""),"")),"")</f>
        <v/>
      </c>
      <c r="T31" s="17" t="str">
        <f>IF(T$3="N.B.C.", IF('Cost Inputs'!$L31="Y", $E31, IF('Cost Inputs'!$L31="N", IF(AND(ISNUMBER('Cost Inputs'!$M31), OR('Cost Inputs'!$M31=1, 'Cost Inputs'!$M31=5)), $E31,""),"")),"")</f>
        <v/>
      </c>
      <c r="U31" s="17" t="str">
        <f>IF(U$3="N.B.C.", IF('Cost Inputs'!$L31="Y", $E31, IF('Cost Inputs'!$L31="N", IF(AND(ISNUMBER('Cost Inputs'!$M31), OR('Cost Inputs'!$M31=1, 'Cost Inputs'!$M31=2, 'Cost Inputs'!$M31=3, 'Cost Inputs'!$M31=6)), $E31,""),"")),"")</f>
        <v/>
      </c>
      <c r="V31" s="17" t="str">
        <f>IF(V$3="N.B.C.", IF('Cost Inputs'!$L31="Y", $E31, IF('Cost Inputs'!$L31="N", IF(AND(ISNUMBER('Cost Inputs'!$M31), OR('Cost Inputs'!$M31=1, 'Cost Inputs'!$M31=7)), $E31,""),"")),"")</f>
        <v/>
      </c>
      <c r="W31" s="17" t="str">
        <f>IF(W$3="N.B.C.", IF('Cost Inputs'!$L31="Y", $E31, IF('Cost Inputs'!$L31="N", IF(AND(ISNUMBER('Cost Inputs'!$M31), OR('Cost Inputs'!$M31=1, 'Cost Inputs'!$M31=2,'Cost Inputs'!$M31=4,'Cost Inputs'!$M31=8)), $E31,""),"")),"")</f>
        <v/>
      </c>
      <c r="X31" s="106" t="str">
        <f>IF($X$3="N.B.C.", IF('Cost Inputs'!$L31="Y", $E31, IF('Cost Inputs'!$L31="N", IF(AND(ISNUMBER('Cost Inputs'!$M31), OR('Cost Inputs'!$M31=1, 'Cost Inputs'!$M31=3,'Cost Inputs'!$M31=9)), $E31,""),"")),"")</f>
        <v/>
      </c>
    </row>
    <row r="32" spans="1:24" x14ac:dyDescent="0.25">
      <c r="A32" s="501"/>
      <c r="B32" s="504"/>
      <c r="C32" s="107" t="str">
        <f>IF(OR('Cost Inputs'!H32&lt;&gt;"", 'Cost Inputs'!I32&lt;&gt;"", 'Cost Inputs'!J32&lt;&gt;""), 'Cost Inputs'!A32, "")</f>
        <v/>
      </c>
      <c r="D32" s="93" t="str">
        <f>IF(AND(C32&lt;&gt;"", 'Cost Inputs'!G32&lt;&gt;""), 'Cost Inputs'!G32, "")</f>
        <v/>
      </c>
      <c r="E32" s="93" t="str">
        <f>IF(AND(C32&lt;&gt;"", 'Cost Inputs'!H32&lt;&gt;""), 'Cost Inputs'!H32, "")</f>
        <v/>
      </c>
      <c r="F32" s="93" t="str">
        <f>IF('Cost Inputs'!$I32&lt;&gt;"", 'Cost Inputs'!$I32, "")</f>
        <v/>
      </c>
      <c r="G32" s="93" t="str">
        <f t="shared" si="1"/>
        <v/>
      </c>
      <c r="H32" s="93" t="str">
        <f>IF('Cost Inputs'!$J32&lt;&gt;"", 'Cost Inputs'!$J32, "")</f>
        <v/>
      </c>
      <c r="I32" s="93" t="str">
        <f t="shared" si="2"/>
        <v/>
      </c>
      <c r="J32" s="93" t="str">
        <f>IF(('Cost Inputs'!I32+'Cost Inputs'!J32+'Cost Inputs'!K32)&gt;0, 'Cost Inputs'!I32+'Cost Inputs'!J32+'Cost Inputs'!K32, "")</f>
        <v/>
      </c>
      <c r="K32" s="93" t="str">
        <f>IF('Cost Inputs'!$N32&gt;0,'Cost Inputs'!$N32,"")</f>
        <v/>
      </c>
      <c r="L32" s="93"/>
      <c r="M32" s="109"/>
      <c r="O32" s="107" t="str">
        <f>IF(O$3="N.B.C.", IF('Cost Inputs'!$L32="Y", $E32, IF('Cost Inputs'!$L32="N", IF(ISNUMBER('Cost Inputs'!$M32), $E32,""),"")),"")</f>
        <v/>
      </c>
      <c r="P32" s="93" t="str">
        <f>IF(P$3="N.B.C.", IF('Cost Inputs'!$L32="Y", $E32, IF('Cost Inputs'!$L32="N", "","")),"")</f>
        <v/>
      </c>
      <c r="Q32" s="93" t="str">
        <f>IF(Q$3="N.B.C.", IF('Cost Inputs'!$L32="Y", $E32, IF('Cost Inputs'!$L32="N", IF(AND(ISNUMBER('Cost Inputs'!$M32), OR('Cost Inputs'!$M32=1,'Cost Inputs'!$M32=2)), $E32,""),"")),"")</f>
        <v/>
      </c>
      <c r="R32" s="93" t="str">
        <f>IF(R$3="N.B.C.", IF('Cost Inputs'!$L32="Y", $E32, IF('Cost Inputs'!$L32="N", IF(AND(ISNUMBER('Cost Inputs'!$M32), OR('Cost Inputs'!$M32=1, 'Cost Inputs'!$M32=3)), $E32,""),"")),"")</f>
        <v/>
      </c>
      <c r="S32" s="93" t="str">
        <f>IF(S$3="N.B.C.", IF('Cost Inputs'!$L32="Y", $E32, IF('Cost Inputs'!$L32="N", IF(AND(ISNUMBER('Cost Inputs'!$M32), OR('Cost Inputs'!$M32=1, 'Cost Inputs'!$M32=2, 'Cost Inputs'!$M32=4)), $E32,""),"")),"")</f>
        <v/>
      </c>
      <c r="T32" s="93" t="str">
        <f>IF(T$3="N.B.C.", IF('Cost Inputs'!$L32="Y", $E32, IF('Cost Inputs'!$L32="N", IF(AND(ISNUMBER('Cost Inputs'!$M32), OR('Cost Inputs'!$M32=1, 'Cost Inputs'!$M32=5)), $E32,""),"")),"")</f>
        <v/>
      </c>
      <c r="U32" s="93" t="str">
        <f>IF(U$3="N.B.C.", IF('Cost Inputs'!$L32="Y", $E32, IF('Cost Inputs'!$L32="N", IF(AND(ISNUMBER('Cost Inputs'!$M32), OR('Cost Inputs'!$M32=1, 'Cost Inputs'!$M32=2, 'Cost Inputs'!$M32=3, 'Cost Inputs'!$M32=6)), $E32,""),"")),"")</f>
        <v/>
      </c>
      <c r="V32" s="93" t="str">
        <f>IF(V$3="N.B.C.", IF('Cost Inputs'!$L32="Y", $E32, IF('Cost Inputs'!$L32="N", IF(AND(ISNUMBER('Cost Inputs'!$M32), OR('Cost Inputs'!$M32=1, 'Cost Inputs'!$M32=7)), $E32,""),"")),"")</f>
        <v/>
      </c>
      <c r="W32" s="93" t="str">
        <f>IF(W$3="N.B.C.", IF('Cost Inputs'!$L32="Y", $E32, IF('Cost Inputs'!$L32="N", IF(AND(ISNUMBER('Cost Inputs'!$M32), OR('Cost Inputs'!$M32=1, 'Cost Inputs'!$M32=2,'Cost Inputs'!$M32=4,'Cost Inputs'!$M32=8)), $E32,""),"")),"")</f>
        <v/>
      </c>
      <c r="X32" s="109" t="str">
        <f>IF($X$3="N.B.C.", IF('Cost Inputs'!$L32="Y", $E32, IF('Cost Inputs'!$L32="N", IF(AND(ISNUMBER('Cost Inputs'!$M32), OR('Cost Inputs'!$M32=1, 'Cost Inputs'!$M32=3,'Cost Inputs'!$M32=9)), $E32,""),"")),"")</f>
        <v/>
      </c>
    </row>
    <row r="33" spans="1:45" x14ac:dyDescent="0.25">
      <c r="A33" s="501"/>
      <c r="B33" s="504"/>
      <c r="C33" s="104" t="str">
        <f>IF(OR('Cost Inputs'!H33&lt;&gt;"", 'Cost Inputs'!I33&lt;&gt;"", 'Cost Inputs'!J33&lt;&gt;""), 'Cost Inputs'!A33, "")</f>
        <v/>
      </c>
      <c r="D33" s="17" t="str">
        <f>IF(AND(C33&lt;&gt;"", 'Cost Inputs'!G33&lt;&gt;""), 'Cost Inputs'!G33, "")</f>
        <v/>
      </c>
      <c r="E33" s="17" t="str">
        <f>IF(AND(C33&lt;&gt;"", 'Cost Inputs'!H33&lt;&gt;""), 'Cost Inputs'!H33, "")</f>
        <v/>
      </c>
      <c r="F33" s="17" t="str">
        <f>IF('Cost Inputs'!$I33&lt;&gt;"", 'Cost Inputs'!$I33, "")</f>
        <v/>
      </c>
      <c r="G33" s="17" t="str">
        <f t="shared" si="1"/>
        <v/>
      </c>
      <c r="H33" s="17" t="str">
        <f>IF('Cost Inputs'!$J33&lt;&gt;"", 'Cost Inputs'!$J33, "")</f>
        <v/>
      </c>
      <c r="I33" s="17" t="str">
        <f t="shared" si="2"/>
        <v/>
      </c>
      <c r="J33" s="17" t="str">
        <f>IF(('Cost Inputs'!I33+'Cost Inputs'!J33+'Cost Inputs'!K33)&gt;0, 'Cost Inputs'!I33+'Cost Inputs'!J33+'Cost Inputs'!K33, "")</f>
        <v/>
      </c>
      <c r="K33" s="17" t="str">
        <f>IF('Cost Inputs'!$N33&gt;0,'Cost Inputs'!$N33,"")</f>
        <v/>
      </c>
      <c r="M33" s="106"/>
      <c r="O33" s="104" t="str">
        <f>IF(O$3="N.B.C.", IF('Cost Inputs'!$L33="Y", $E33, IF('Cost Inputs'!$L33="N", IF(ISNUMBER('Cost Inputs'!$M33), $E33,""),"")),"")</f>
        <v/>
      </c>
      <c r="P33" s="17" t="str">
        <f>IF(P$3="N.B.C.", IF('Cost Inputs'!$L33="Y", $E33, IF('Cost Inputs'!$L33="N", "","")),"")</f>
        <v/>
      </c>
      <c r="Q33" s="17" t="str">
        <f>IF(Q$3="N.B.C.", IF('Cost Inputs'!$L33="Y", $E33, IF('Cost Inputs'!$L33="N", IF(AND(ISNUMBER('Cost Inputs'!$M33), OR('Cost Inputs'!$M33=1,'Cost Inputs'!$M33=2)), $E33,""),"")),"")</f>
        <v/>
      </c>
      <c r="R33" s="17" t="str">
        <f>IF(R$3="N.B.C.", IF('Cost Inputs'!$L33="Y", $E33, IF('Cost Inputs'!$L33="N", IF(AND(ISNUMBER('Cost Inputs'!$M33), OR('Cost Inputs'!$M33=1, 'Cost Inputs'!$M33=3)), $E33,""),"")),"")</f>
        <v/>
      </c>
      <c r="S33" s="17" t="str">
        <f>IF(S$3="N.B.C.", IF('Cost Inputs'!$L33="Y", $E33, IF('Cost Inputs'!$L33="N", IF(AND(ISNUMBER('Cost Inputs'!$M33), OR('Cost Inputs'!$M33=1, 'Cost Inputs'!$M33=2, 'Cost Inputs'!$M33=4)), $E33,""),"")),"")</f>
        <v/>
      </c>
      <c r="T33" s="17" t="str">
        <f>IF(T$3="N.B.C.", IF('Cost Inputs'!$L33="Y", $E33, IF('Cost Inputs'!$L33="N", IF(AND(ISNUMBER('Cost Inputs'!$M33), OR('Cost Inputs'!$M33=1, 'Cost Inputs'!$M33=5)), $E33,""),"")),"")</f>
        <v/>
      </c>
      <c r="U33" s="17" t="str">
        <f>IF(U$3="N.B.C.", IF('Cost Inputs'!$L33="Y", $E33, IF('Cost Inputs'!$L33="N", IF(AND(ISNUMBER('Cost Inputs'!$M33), OR('Cost Inputs'!$M33=1, 'Cost Inputs'!$M33=2, 'Cost Inputs'!$M33=3, 'Cost Inputs'!$M33=6)), $E33,""),"")),"")</f>
        <v/>
      </c>
      <c r="V33" s="17" t="str">
        <f>IF(V$3="N.B.C.", IF('Cost Inputs'!$L33="Y", $E33, IF('Cost Inputs'!$L33="N", IF(AND(ISNUMBER('Cost Inputs'!$M33), OR('Cost Inputs'!$M33=1, 'Cost Inputs'!$M33=7)), $E33,""),"")),"")</f>
        <v/>
      </c>
      <c r="W33" s="17" t="str">
        <f>IF(W$3="N.B.C.", IF('Cost Inputs'!$L33="Y", $E33, IF('Cost Inputs'!$L33="N", IF(AND(ISNUMBER('Cost Inputs'!$M33), OR('Cost Inputs'!$M33=1, 'Cost Inputs'!$M33=2,'Cost Inputs'!$M33=4,'Cost Inputs'!$M33=8)), $E33,""),"")),"")</f>
        <v/>
      </c>
      <c r="X33" s="106" t="str">
        <f>IF($X$3="N.B.C.", IF('Cost Inputs'!$L33="Y", $E33, IF('Cost Inputs'!$L33="N", IF(AND(ISNUMBER('Cost Inputs'!$M33), OR('Cost Inputs'!$M33=1, 'Cost Inputs'!$M33=3,'Cost Inputs'!$M33=9)), $E33,""),"")),"")</f>
        <v/>
      </c>
    </row>
    <row r="34" spans="1:45" x14ac:dyDescent="0.25">
      <c r="A34" s="501"/>
      <c r="B34" s="504"/>
      <c r="C34" s="107" t="str">
        <f>IF(OR('Cost Inputs'!H34&lt;&gt;"", 'Cost Inputs'!I34&lt;&gt;"", 'Cost Inputs'!J34&lt;&gt;""), 'Cost Inputs'!A34, "")</f>
        <v/>
      </c>
      <c r="D34" s="93" t="str">
        <f>IF(AND(C34&lt;&gt;"", 'Cost Inputs'!G34&lt;&gt;""), 'Cost Inputs'!G34, "")</f>
        <v/>
      </c>
      <c r="E34" s="93" t="str">
        <f>IF(AND(C34&lt;&gt;"", 'Cost Inputs'!H34&lt;&gt;""), 'Cost Inputs'!H34, "")</f>
        <v/>
      </c>
      <c r="F34" s="93" t="str">
        <f>IF('Cost Inputs'!$I34&lt;&gt;"", 'Cost Inputs'!$I34, "")</f>
        <v/>
      </c>
      <c r="G34" s="93" t="str">
        <f t="shared" si="1"/>
        <v/>
      </c>
      <c r="H34" s="93" t="str">
        <f>IF('Cost Inputs'!$J34&lt;&gt;"", 'Cost Inputs'!$J34, "")</f>
        <v/>
      </c>
      <c r="I34" s="93" t="str">
        <f t="shared" si="2"/>
        <v/>
      </c>
      <c r="J34" s="93" t="str">
        <f>IF(('Cost Inputs'!I34+'Cost Inputs'!J34+'Cost Inputs'!K34)&gt;0, 'Cost Inputs'!I34+'Cost Inputs'!J34+'Cost Inputs'!K34, "")</f>
        <v/>
      </c>
      <c r="K34" s="93" t="str">
        <f>IF('Cost Inputs'!$N34&gt;0,'Cost Inputs'!$N34,"")</f>
        <v/>
      </c>
      <c r="L34" s="93"/>
      <c r="M34" s="109"/>
      <c r="O34" s="107" t="str">
        <f>IF(O$3="N.B.C.", IF('Cost Inputs'!$L34="Y", $E34, IF('Cost Inputs'!$L34="N", IF(ISNUMBER('Cost Inputs'!$M34), $E34,""),"")),"")</f>
        <v/>
      </c>
      <c r="P34" s="93" t="str">
        <f>IF(P$3="N.B.C.", IF('Cost Inputs'!$L34="Y", $E34, IF('Cost Inputs'!$L34="N", "","")),"")</f>
        <v/>
      </c>
      <c r="Q34" s="93" t="str">
        <f>IF(Q$3="N.B.C.", IF('Cost Inputs'!$L34="Y", $E34, IF('Cost Inputs'!$L34="N", IF(AND(ISNUMBER('Cost Inputs'!$M34), OR('Cost Inputs'!$M34=1,'Cost Inputs'!$M34=2)), $E34,""),"")),"")</f>
        <v/>
      </c>
      <c r="R34" s="93" t="str">
        <f>IF(R$3="N.B.C.", IF('Cost Inputs'!$L34="Y", $E34, IF('Cost Inputs'!$L34="N", IF(AND(ISNUMBER('Cost Inputs'!$M34), OR('Cost Inputs'!$M34=1, 'Cost Inputs'!$M34=3)), $E34,""),"")),"")</f>
        <v/>
      </c>
      <c r="S34" s="93" t="str">
        <f>IF(S$3="N.B.C.", IF('Cost Inputs'!$L34="Y", $E34, IF('Cost Inputs'!$L34="N", IF(AND(ISNUMBER('Cost Inputs'!$M34), OR('Cost Inputs'!$M34=1, 'Cost Inputs'!$M34=2, 'Cost Inputs'!$M34=4)), $E34,""),"")),"")</f>
        <v/>
      </c>
      <c r="T34" s="93" t="str">
        <f>IF(T$3="N.B.C.", IF('Cost Inputs'!$L34="Y", $E34, IF('Cost Inputs'!$L34="N", IF(AND(ISNUMBER('Cost Inputs'!$M34), OR('Cost Inputs'!$M34=1, 'Cost Inputs'!$M34=5)), $E34,""),"")),"")</f>
        <v/>
      </c>
      <c r="U34" s="93" t="str">
        <f>IF(U$3="N.B.C.", IF('Cost Inputs'!$L34="Y", $E34, IF('Cost Inputs'!$L34="N", IF(AND(ISNUMBER('Cost Inputs'!$M34), OR('Cost Inputs'!$M34=1, 'Cost Inputs'!$M34=2, 'Cost Inputs'!$M34=3, 'Cost Inputs'!$M34=6)), $E34,""),"")),"")</f>
        <v/>
      </c>
      <c r="V34" s="93" t="str">
        <f>IF(V$3="N.B.C.", IF('Cost Inputs'!$L34="Y", $E34, IF('Cost Inputs'!$L34="N", IF(AND(ISNUMBER('Cost Inputs'!$M34), OR('Cost Inputs'!$M34=1, 'Cost Inputs'!$M34=7)), $E34,""),"")),"")</f>
        <v/>
      </c>
      <c r="W34" s="93" t="str">
        <f>IF(W$3="N.B.C.", IF('Cost Inputs'!$L34="Y", $E34, IF('Cost Inputs'!$L34="N", IF(AND(ISNUMBER('Cost Inputs'!$M34), OR('Cost Inputs'!$M34=1, 'Cost Inputs'!$M34=2,'Cost Inputs'!$M34=4,'Cost Inputs'!$M34=8)), $E34,""),"")),"")</f>
        <v/>
      </c>
      <c r="X34" s="109" t="str">
        <f>IF($X$3="N.B.C.", IF('Cost Inputs'!$L34="Y", $E34, IF('Cost Inputs'!$L34="N", IF(AND(ISNUMBER('Cost Inputs'!$M34), OR('Cost Inputs'!$M34=1, 'Cost Inputs'!$M34=3,'Cost Inputs'!$M34=9)), $E34,""),"")),"")</f>
        <v/>
      </c>
    </row>
    <row r="35" spans="1:45" x14ac:dyDescent="0.25">
      <c r="A35" s="501"/>
      <c r="B35" s="504"/>
      <c r="C35" s="104" t="str">
        <f>IF(OR('Cost Inputs'!H35&lt;&gt;"", 'Cost Inputs'!I35&lt;&gt;"", 'Cost Inputs'!J35&lt;&gt;""), 'Cost Inputs'!A35, "")</f>
        <v/>
      </c>
      <c r="D35" s="17" t="str">
        <f>IF(AND(C35&lt;&gt;"", 'Cost Inputs'!G35&lt;&gt;""), 'Cost Inputs'!G35, "")</f>
        <v/>
      </c>
      <c r="E35" s="17" t="str">
        <f>IF(AND(C35&lt;&gt;"", 'Cost Inputs'!H35&lt;&gt;""), 'Cost Inputs'!H35, "")</f>
        <v/>
      </c>
      <c r="F35" s="17" t="str">
        <f>IF('Cost Inputs'!$I35&lt;&gt;"", 'Cost Inputs'!$I35, "")</f>
        <v/>
      </c>
      <c r="G35" s="17" t="str">
        <f t="shared" si="1"/>
        <v/>
      </c>
      <c r="H35" s="17" t="str">
        <f>IF('Cost Inputs'!$J35&lt;&gt;"", 'Cost Inputs'!$J35, "")</f>
        <v/>
      </c>
      <c r="I35" s="17" t="str">
        <f t="shared" si="2"/>
        <v/>
      </c>
      <c r="J35" s="17" t="str">
        <f>IF(('Cost Inputs'!I35+'Cost Inputs'!J35+'Cost Inputs'!K35)&gt;0, 'Cost Inputs'!I35+'Cost Inputs'!J35+'Cost Inputs'!K35, "")</f>
        <v/>
      </c>
      <c r="K35" s="17" t="str">
        <f>IF('Cost Inputs'!$N35&gt;0,'Cost Inputs'!$N35,"")</f>
        <v/>
      </c>
      <c r="M35" s="106"/>
      <c r="O35" s="104" t="str">
        <f>IF(O$3="N.B.C.", IF('Cost Inputs'!$L35="Y", $E35, IF('Cost Inputs'!$L35="N", IF(ISNUMBER('Cost Inputs'!$M35), $E35,""),"")),"")</f>
        <v/>
      </c>
      <c r="P35" s="17" t="str">
        <f>IF(P$3="N.B.C.", IF('Cost Inputs'!$L35="Y", $E35, IF('Cost Inputs'!$L35="N", "","")),"")</f>
        <v/>
      </c>
      <c r="Q35" s="17" t="str">
        <f>IF(Q$3="N.B.C.", IF('Cost Inputs'!$L35="Y", $E35, IF('Cost Inputs'!$L35="N", IF(AND(ISNUMBER('Cost Inputs'!$M35), OR('Cost Inputs'!$M35=1,'Cost Inputs'!$M35=2)), $E35,""),"")),"")</f>
        <v/>
      </c>
      <c r="R35" s="17" t="str">
        <f>IF(R$3="N.B.C.", IF('Cost Inputs'!$L35="Y", $E35, IF('Cost Inputs'!$L35="N", IF(AND(ISNUMBER('Cost Inputs'!$M35), OR('Cost Inputs'!$M35=1, 'Cost Inputs'!$M35=3)), $E35,""),"")),"")</f>
        <v/>
      </c>
      <c r="S35" s="17" t="str">
        <f>IF(S$3="N.B.C.", IF('Cost Inputs'!$L35="Y", $E35, IF('Cost Inputs'!$L35="N", IF(AND(ISNUMBER('Cost Inputs'!$M35), OR('Cost Inputs'!$M35=1, 'Cost Inputs'!$M35=2, 'Cost Inputs'!$M35=4)), $E35,""),"")),"")</f>
        <v/>
      </c>
      <c r="T35" s="17" t="str">
        <f>IF(T$3="N.B.C.", IF('Cost Inputs'!$L35="Y", $E35, IF('Cost Inputs'!$L35="N", IF(AND(ISNUMBER('Cost Inputs'!$M35), OR('Cost Inputs'!$M35=1, 'Cost Inputs'!$M35=5)), $E35,""),"")),"")</f>
        <v/>
      </c>
      <c r="U35" s="17" t="str">
        <f>IF(U$3="N.B.C.", IF('Cost Inputs'!$L35="Y", $E35, IF('Cost Inputs'!$L35="N", IF(AND(ISNUMBER('Cost Inputs'!$M35), OR('Cost Inputs'!$M35=1, 'Cost Inputs'!$M35=2, 'Cost Inputs'!$M35=3, 'Cost Inputs'!$M35=6)), $E35,""),"")),"")</f>
        <v/>
      </c>
      <c r="V35" s="17" t="str">
        <f>IF(V$3="N.B.C.", IF('Cost Inputs'!$L35="Y", $E35, IF('Cost Inputs'!$L35="N", IF(AND(ISNUMBER('Cost Inputs'!$M35), OR('Cost Inputs'!$M35=1, 'Cost Inputs'!$M35=7)), $E35,""),"")),"")</f>
        <v/>
      </c>
      <c r="W35" s="17" t="str">
        <f>IF(W$3="N.B.C.", IF('Cost Inputs'!$L35="Y", $E35, IF('Cost Inputs'!$L35="N", IF(AND(ISNUMBER('Cost Inputs'!$M35), OR('Cost Inputs'!$M35=1, 'Cost Inputs'!$M35=2,'Cost Inputs'!$M35=4,'Cost Inputs'!$M35=8)), $E35,""),"")),"")</f>
        <v/>
      </c>
      <c r="X35" s="106" t="str">
        <f>IF($X$3="N.B.C.", IF('Cost Inputs'!$L35="Y", $E35, IF('Cost Inputs'!$L35="N", IF(AND(ISNUMBER('Cost Inputs'!$M35), OR('Cost Inputs'!$M35=1, 'Cost Inputs'!$M35=3,'Cost Inputs'!$M35=9)), $E35,""),"")),"")</f>
        <v/>
      </c>
    </row>
    <row r="36" spans="1:45" x14ac:dyDescent="0.25">
      <c r="A36" s="501"/>
      <c r="B36" s="504"/>
      <c r="C36" s="107" t="str">
        <f>IF(OR('Cost Inputs'!H36&lt;&gt;"", 'Cost Inputs'!I36&lt;&gt;"", 'Cost Inputs'!J36&lt;&gt;""), 'Cost Inputs'!A36, "")</f>
        <v/>
      </c>
      <c r="D36" s="93" t="str">
        <f>IF(AND(C36&lt;&gt;"", 'Cost Inputs'!G36&lt;&gt;""), 'Cost Inputs'!G36, "")</f>
        <v/>
      </c>
      <c r="E36" s="93" t="str">
        <f>IF(AND(C36&lt;&gt;"", 'Cost Inputs'!H36&lt;&gt;""), 'Cost Inputs'!H36, "")</f>
        <v/>
      </c>
      <c r="F36" s="93" t="str">
        <f>IF('Cost Inputs'!$I36&lt;&gt;"", 'Cost Inputs'!$I36, "")</f>
        <v/>
      </c>
      <c r="G36" s="93" t="str">
        <f t="shared" si="1"/>
        <v/>
      </c>
      <c r="H36" s="93" t="str">
        <f>IF('Cost Inputs'!$J36&lt;&gt;"", 'Cost Inputs'!$J36, "")</f>
        <v/>
      </c>
      <c r="I36" s="93" t="str">
        <f t="shared" si="2"/>
        <v/>
      </c>
      <c r="J36" s="93" t="str">
        <f>IF(('Cost Inputs'!I36+'Cost Inputs'!J36+'Cost Inputs'!K36)&gt;0, 'Cost Inputs'!I36+'Cost Inputs'!J36+'Cost Inputs'!K36, "")</f>
        <v/>
      </c>
      <c r="K36" s="93" t="str">
        <f>IF('Cost Inputs'!$N36&gt;0,'Cost Inputs'!$N36,"")</f>
        <v/>
      </c>
      <c r="L36" s="93"/>
      <c r="M36" s="109"/>
      <c r="O36" s="107" t="str">
        <f>IF(O$3="N.B.C.", IF('Cost Inputs'!$L36="Y", $E36, IF('Cost Inputs'!$L36="N", IF(ISNUMBER('Cost Inputs'!$M36), $E36,""),"")),"")</f>
        <v/>
      </c>
      <c r="P36" s="93" t="str">
        <f>IF(P$3="N.B.C.", IF('Cost Inputs'!$L36="Y", $E36, IF('Cost Inputs'!$L36="N", "","")),"")</f>
        <v/>
      </c>
      <c r="Q36" s="93" t="str">
        <f>IF(Q$3="N.B.C.", IF('Cost Inputs'!$L36="Y", $E36, IF('Cost Inputs'!$L36="N", IF(AND(ISNUMBER('Cost Inputs'!$M36), OR('Cost Inputs'!$M36=1,'Cost Inputs'!$M36=2)), $E36,""),"")),"")</f>
        <v/>
      </c>
      <c r="R36" s="93" t="str">
        <f>IF(R$3="N.B.C.", IF('Cost Inputs'!$L36="Y", $E36, IF('Cost Inputs'!$L36="N", IF(AND(ISNUMBER('Cost Inputs'!$M36), OR('Cost Inputs'!$M36=1, 'Cost Inputs'!$M36=3)), $E36,""),"")),"")</f>
        <v/>
      </c>
      <c r="S36" s="93" t="str">
        <f>IF(S$3="N.B.C.", IF('Cost Inputs'!$L36="Y", $E36, IF('Cost Inputs'!$L36="N", IF(AND(ISNUMBER('Cost Inputs'!$M36), OR('Cost Inputs'!$M36=1, 'Cost Inputs'!$M36=2, 'Cost Inputs'!$M36=4)), $E36,""),"")),"")</f>
        <v/>
      </c>
      <c r="T36" s="93" t="str">
        <f>IF(T$3="N.B.C.", IF('Cost Inputs'!$L36="Y", $E36, IF('Cost Inputs'!$L36="N", IF(AND(ISNUMBER('Cost Inputs'!$M36), OR('Cost Inputs'!$M36=1, 'Cost Inputs'!$M36=5)), $E36,""),"")),"")</f>
        <v/>
      </c>
      <c r="U36" s="93" t="str">
        <f>IF(U$3="N.B.C.", IF('Cost Inputs'!$L36="Y", $E36, IF('Cost Inputs'!$L36="N", IF(AND(ISNUMBER('Cost Inputs'!$M36), OR('Cost Inputs'!$M36=1, 'Cost Inputs'!$M36=2, 'Cost Inputs'!$M36=3, 'Cost Inputs'!$M36=6)), $E36,""),"")),"")</f>
        <v/>
      </c>
      <c r="V36" s="93" t="str">
        <f>IF(V$3="N.B.C.", IF('Cost Inputs'!$L36="Y", $E36, IF('Cost Inputs'!$L36="N", IF(AND(ISNUMBER('Cost Inputs'!$M36), OR('Cost Inputs'!$M36=1, 'Cost Inputs'!$M36=7)), $E36,""),"")),"")</f>
        <v/>
      </c>
      <c r="W36" s="93" t="str">
        <f>IF(W$3="N.B.C.", IF('Cost Inputs'!$L36="Y", $E36, IF('Cost Inputs'!$L36="N", IF(AND(ISNUMBER('Cost Inputs'!$M36), OR('Cost Inputs'!$M36=1, 'Cost Inputs'!$M36=2,'Cost Inputs'!$M36=4,'Cost Inputs'!$M36=8)), $E36,""),"")),"")</f>
        <v/>
      </c>
      <c r="X36" s="109" t="str">
        <f>IF($X$3="N.B.C.", IF('Cost Inputs'!$L36="Y", $E36, IF('Cost Inputs'!$L36="N", IF(AND(ISNUMBER('Cost Inputs'!$M36), OR('Cost Inputs'!$M36=1, 'Cost Inputs'!$M36=3,'Cost Inputs'!$M36=9)), $E36,""),"")),"")</f>
        <v/>
      </c>
    </row>
    <row r="37" spans="1:45" x14ac:dyDescent="0.25">
      <c r="A37" s="501"/>
      <c r="B37" s="504"/>
      <c r="C37" s="104" t="str">
        <f>IF(OR('Cost Inputs'!H37&lt;&gt;"", 'Cost Inputs'!I37&lt;&gt;"", 'Cost Inputs'!J37&lt;&gt;""), 'Cost Inputs'!A37, "")</f>
        <v/>
      </c>
      <c r="D37" s="17" t="str">
        <f>IF(AND(C37&lt;&gt;"", 'Cost Inputs'!G37&lt;&gt;""), 'Cost Inputs'!G37, "")</f>
        <v/>
      </c>
      <c r="E37" s="17" t="str">
        <f>IF(AND(C37&lt;&gt;"", 'Cost Inputs'!H37&lt;&gt;""), 'Cost Inputs'!H37, "")</f>
        <v/>
      </c>
      <c r="F37" s="17" t="str">
        <f>IF('Cost Inputs'!$I37&lt;&gt;"", 'Cost Inputs'!$I37, "")</f>
        <v/>
      </c>
      <c r="G37" s="17" t="str">
        <f t="shared" si="1"/>
        <v/>
      </c>
      <c r="H37" s="17" t="str">
        <f>IF('Cost Inputs'!$J37&lt;&gt;"", 'Cost Inputs'!$J37, "")</f>
        <v/>
      </c>
      <c r="I37" s="17" t="str">
        <f t="shared" si="2"/>
        <v/>
      </c>
      <c r="J37" s="17" t="str">
        <f>IF(('Cost Inputs'!I37+'Cost Inputs'!J37+'Cost Inputs'!K37)&gt;0, 'Cost Inputs'!I37+'Cost Inputs'!J37+'Cost Inputs'!K37, "")</f>
        <v/>
      </c>
      <c r="K37" s="17" t="str">
        <f>IF('Cost Inputs'!$N37&gt;0,'Cost Inputs'!$N37,"")</f>
        <v/>
      </c>
      <c r="M37" s="106"/>
      <c r="O37" s="104" t="str">
        <f>IF(O$3="N.B.C.", IF('Cost Inputs'!$L37="Y", $E37, IF('Cost Inputs'!$L37="N", IF(ISNUMBER('Cost Inputs'!$M37), $E37,""),"")),"")</f>
        <v/>
      </c>
      <c r="P37" s="17" t="str">
        <f>IF(P$3="N.B.C.", IF('Cost Inputs'!$L37="Y", $E37, IF('Cost Inputs'!$L37="N", "","")),"")</f>
        <v/>
      </c>
      <c r="Q37" s="17" t="str">
        <f>IF(Q$3="N.B.C.", IF('Cost Inputs'!$L37="Y", $E37, IF('Cost Inputs'!$L37="N", IF(AND(ISNUMBER('Cost Inputs'!$M37), OR('Cost Inputs'!$M37=1,'Cost Inputs'!$M37=2)), $E37,""),"")),"")</f>
        <v/>
      </c>
      <c r="R37" s="17" t="str">
        <f>IF(R$3="N.B.C.", IF('Cost Inputs'!$L37="Y", $E37, IF('Cost Inputs'!$L37="N", IF(AND(ISNUMBER('Cost Inputs'!$M37), OR('Cost Inputs'!$M37=1, 'Cost Inputs'!$M37=3)), $E37,""),"")),"")</f>
        <v/>
      </c>
      <c r="S37" s="17" t="str">
        <f>IF(S$3="N.B.C.", IF('Cost Inputs'!$L37="Y", $E37, IF('Cost Inputs'!$L37="N", IF(AND(ISNUMBER('Cost Inputs'!$M37), OR('Cost Inputs'!$M37=1, 'Cost Inputs'!$M37=2, 'Cost Inputs'!$M37=4)), $E37,""),"")),"")</f>
        <v/>
      </c>
      <c r="T37" s="17" t="str">
        <f>IF(T$3="N.B.C.", IF('Cost Inputs'!$L37="Y", $E37, IF('Cost Inputs'!$L37="N", IF(AND(ISNUMBER('Cost Inputs'!$M37), OR('Cost Inputs'!$M37=1, 'Cost Inputs'!$M37=5)), $E37,""),"")),"")</f>
        <v/>
      </c>
      <c r="U37" s="17" t="str">
        <f>IF(U$3="N.B.C.", IF('Cost Inputs'!$L37="Y", $E37, IF('Cost Inputs'!$L37="N", IF(AND(ISNUMBER('Cost Inputs'!$M37), OR('Cost Inputs'!$M37=1, 'Cost Inputs'!$M37=2, 'Cost Inputs'!$M37=3, 'Cost Inputs'!$M37=6)), $E37,""),"")),"")</f>
        <v/>
      </c>
      <c r="V37" s="17" t="str">
        <f>IF(V$3="N.B.C.", IF('Cost Inputs'!$L37="Y", $E37, IF('Cost Inputs'!$L37="N", IF(AND(ISNUMBER('Cost Inputs'!$M37), OR('Cost Inputs'!$M37=1, 'Cost Inputs'!$M37=7)), $E37,""),"")),"")</f>
        <v/>
      </c>
      <c r="W37" s="17" t="str">
        <f>IF(W$3="N.B.C.", IF('Cost Inputs'!$L37="Y", $E37, IF('Cost Inputs'!$L37="N", IF(AND(ISNUMBER('Cost Inputs'!$M37), OR('Cost Inputs'!$M37=1, 'Cost Inputs'!$M37=2,'Cost Inputs'!$M37=4,'Cost Inputs'!$M37=8)), $E37,""),"")),"")</f>
        <v/>
      </c>
      <c r="X37" s="106" t="str">
        <f>IF($X$3="N.B.C.", IF('Cost Inputs'!$L37="Y", $E37, IF('Cost Inputs'!$L37="N", IF(AND(ISNUMBER('Cost Inputs'!$M37), OR('Cost Inputs'!$M37=1, 'Cost Inputs'!$M37=3,'Cost Inputs'!$M37=9)), $E37,""),"")),"")</f>
        <v/>
      </c>
    </row>
    <row r="38" spans="1:45" x14ac:dyDescent="0.25">
      <c r="A38" s="501"/>
      <c r="B38" s="504"/>
      <c r="C38" s="110" t="str">
        <f>'Cost Inputs'!A38</f>
        <v>1.6 Seed Stratification</v>
      </c>
      <c r="D38" s="94" t="str">
        <f>IF(OR('Cost Inputs'!H38&lt;&gt;"", 'Cost Inputs'!I38&lt;&gt;"", 'Cost Inputs'!J38&lt;&gt;""), 'Cost Inputs'!G38,"")</f>
        <v/>
      </c>
      <c r="E38" s="94" t="str">
        <f>IF(AND(C38&lt;&gt;"", 'Cost Inputs'!H38&lt;&gt;""), 'Cost Inputs'!H38, "")</f>
        <v/>
      </c>
      <c r="F38" s="94" t="str">
        <f>IF('Cost Inputs'!$I38&lt;&gt;"", 'Cost Inputs'!$I38, "")</f>
        <v/>
      </c>
      <c r="G38" s="94" t="str">
        <f t="shared" si="1"/>
        <v/>
      </c>
      <c r="H38" s="94" t="str">
        <f>IF('Cost Inputs'!$J38&lt;&gt;"", 'Cost Inputs'!$J38, "")</f>
        <v/>
      </c>
      <c r="I38" s="94" t="str">
        <f>IF(AND($E38&lt;&gt;"", $H38&lt;&gt;""), $H38/$E38, "")</f>
        <v/>
      </c>
      <c r="J38" s="94" t="str">
        <f>IF(('Cost Inputs'!I38+'Cost Inputs'!J38+'Cost Inputs'!K38)&gt;0, 'Cost Inputs'!I38+'Cost Inputs'!J38+'Cost Inputs'!K38, "")</f>
        <v/>
      </c>
      <c r="K38" s="94" t="str">
        <f>IF('Cost Inputs'!$N38&gt;0,'Cost Inputs'!$N38,"")</f>
        <v/>
      </c>
      <c r="L38" s="94"/>
      <c r="M38" s="103"/>
      <c r="O38" s="110" t="str">
        <f>IF(O$3="N.B.C.", IF('Cost Inputs'!$L38="Y", $E38, IF('Cost Inputs'!$L38="N", IF(ISNUMBER('Cost Inputs'!$M38), $E38,""),"")),"")</f>
        <v/>
      </c>
      <c r="P38" s="94" t="str">
        <f>IF(P$3="N.B.C.", IF('Cost Inputs'!$L38="Y", $E38, IF('Cost Inputs'!$L38="N", "","")),"")</f>
        <v/>
      </c>
      <c r="Q38" s="94" t="str">
        <f>IF(Q$3="N.B.C.", IF('Cost Inputs'!$L38="Y", $E38, IF('Cost Inputs'!$L38="N", IF(AND(ISNUMBER('Cost Inputs'!$M38), OR('Cost Inputs'!$M38=1,'Cost Inputs'!$M38=2)), $E38,""),"")),"")</f>
        <v/>
      </c>
      <c r="R38" s="94" t="str">
        <f>IF(R$3="N.B.C.", IF('Cost Inputs'!$L38="Y", $E38, IF('Cost Inputs'!$L38="N", IF(AND(ISNUMBER('Cost Inputs'!$M38), OR('Cost Inputs'!$M38=1, 'Cost Inputs'!$M38=3)), $E38,""),"")),"")</f>
        <v/>
      </c>
      <c r="S38" s="94" t="str">
        <f>IF(S$3="N.B.C.", IF('Cost Inputs'!$L38="Y", $E38, IF('Cost Inputs'!$L38="N", IF(AND(ISNUMBER('Cost Inputs'!$M38), OR('Cost Inputs'!$M38=1, 'Cost Inputs'!$M38=2, 'Cost Inputs'!$M38=4)), $E38,""),"")),"")</f>
        <v/>
      </c>
      <c r="T38" s="94" t="str">
        <f>IF(T$3="N.B.C.", IF('Cost Inputs'!$L38="Y", $E38, IF('Cost Inputs'!$L38="N", IF(AND(ISNUMBER('Cost Inputs'!$M38), OR('Cost Inputs'!$M38=1, 'Cost Inputs'!$M38=5)), $E38,""),"")),"")</f>
        <v/>
      </c>
      <c r="U38" s="94" t="str">
        <f>IF(U$3="N.B.C.", IF('Cost Inputs'!$L38="Y", $E38, IF('Cost Inputs'!$L38="N", IF(AND(ISNUMBER('Cost Inputs'!$M38), OR('Cost Inputs'!$M38=1, 'Cost Inputs'!$M38=2, 'Cost Inputs'!$M38=3, 'Cost Inputs'!$M38=6)), $E38,""),"")),"")</f>
        <v/>
      </c>
      <c r="V38" s="94" t="str">
        <f>IF(V$3="N.B.C.", IF('Cost Inputs'!$L38="Y", $E38, IF('Cost Inputs'!$L38="N", IF(AND(ISNUMBER('Cost Inputs'!$M38), OR('Cost Inputs'!$M38=1, 'Cost Inputs'!$M38=7)), $E38,""),"")),"")</f>
        <v/>
      </c>
      <c r="W38" s="94" t="str">
        <f>IF(W$3="N.B.C.", IF('Cost Inputs'!$L38="Y", $E38, IF('Cost Inputs'!$L38="N", IF(AND(ISNUMBER('Cost Inputs'!$M38), OR('Cost Inputs'!$M38=1, 'Cost Inputs'!$M38=2,'Cost Inputs'!$M38=4,'Cost Inputs'!$M38=8)), $E38,""),"")),"")</f>
        <v/>
      </c>
      <c r="X38" s="103" t="str">
        <f>IF($X$3="N.B.C.", IF('Cost Inputs'!$L38="Y", $E38, IF('Cost Inputs'!$L38="N", IF(AND(ISNUMBER('Cost Inputs'!$M38), OR('Cost Inputs'!$M38=1, 'Cost Inputs'!$M38=3,'Cost Inputs'!$M38=9)), $E38,""),"")),"")</f>
        <v/>
      </c>
    </row>
    <row r="39" spans="1:45" x14ac:dyDescent="0.25">
      <c r="A39" s="501"/>
      <c r="B39" s="504"/>
      <c r="C39" s="104" t="str">
        <f>IF(OR('Cost Inputs'!H39&lt;&gt;"", 'Cost Inputs'!I39&lt;&gt;"", 'Cost Inputs'!J39&lt;&gt;""), 'Cost Inputs'!A39, "")</f>
        <v/>
      </c>
      <c r="D39" s="17" t="str">
        <f>IF(AND(C39&lt;&gt;"", 'Cost Inputs'!G39&lt;&gt;""), 'Cost Inputs'!G39, "")</f>
        <v/>
      </c>
      <c r="E39" s="17" t="str">
        <f>IF(AND(C39&lt;&gt;"", 'Cost Inputs'!H39&lt;&gt;""), 'Cost Inputs'!H39, "")</f>
        <v/>
      </c>
      <c r="F39" s="17" t="str">
        <f>IF('Cost Inputs'!$I39&lt;&gt;"", 'Cost Inputs'!$I39, "")</f>
        <v/>
      </c>
      <c r="G39" s="17" t="str">
        <f t="shared" si="1"/>
        <v/>
      </c>
      <c r="H39" s="17" t="str">
        <f>IF('Cost Inputs'!$J39&lt;&gt;"", 'Cost Inputs'!$J39, "")</f>
        <v/>
      </c>
      <c r="I39" s="17" t="str">
        <f t="shared" si="2"/>
        <v/>
      </c>
      <c r="J39" s="17" t="str">
        <f>IF(('Cost Inputs'!I39+'Cost Inputs'!J39+'Cost Inputs'!K39)&gt;0, 'Cost Inputs'!I39+'Cost Inputs'!J39+'Cost Inputs'!K39, "")</f>
        <v/>
      </c>
      <c r="K39" s="17" t="str">
        <f>IF('Cost Inputs'!$N39&gt;0,'Cost Inputs'!$N39,"")</f>
        <v/>
      </c>
      <c r="M39" s="106"/>
      <c r="O39" s="104" t="str">
        <f>IF(O$3="N.B.C.", IF('Cost Inputs'!$L39="Y", $E39, IF('Cost Inputs'!$L39="N", IF(ISNUMBER('Cost Inputs'!$M39), $E39,""),"")),"")</f>
        <v/>
      </c>
      <c r="P39" s="17" t="str">
        <f>IF(P$3="N.B.C.", IF('Cost Inputs'!$L39="Y", $E39, IF('Cost Inputs'!$L39="N", "","")),"")</f>
        <v/>
      </c>
      <c r="Q39" s="17" t="str">
        <f>IF(Q$3="N.B.C.", IF('Cost Inputs'!$L39="Y", $E39, IF('Cost Inputs'!$L39="N", IF(AND(ISNUMBER('Cost Inputs'!$M39), OR('Cost Inputs'!$M39=1,'Cost Inputs'!$M39=2)), $E39,""),"")),"")</f>
        <v/>
      </c>
      <c r="R39" s="17" t="str">
        <f>IF(R$3="N.B.C.", IF('Cost Inputs'!$L39="Y", $E39, IF('Cost Inputs'!$L39="N", IF(AND(ISNUMBER('Cost Inputs'!$M39), OR('Cost Inputs'!$M39=1, 'Cost Inputs'!$M39=3)), $E39,""),"")),"")</f>
        <v/>
      </c>
      <c r="S39" s="17" t="str">
        <f>IF(S$3="N.B.C.", IF('Cost Inputs'!$L39="Y", $E39, IF('Cost Inputs'!$L39="N", IF(AND(ISNUMBER('Cost Inputs'!$M39), OR('Cost Inputs'!$M39=1, 'Cost Inputs'!$M39=2, 'Cost Inputs'!$M39=4)), $E39,""),"")),"")</f>
        <v/>
      </c>
      <c r="T39" s="17" t="str">
        <f>IF(T$3="N.B.C.", IF('Cost Inputs'!$L39="Y", $E39, IF('Cost Inputs'!$L39="N", IF(AND(ISNUMBER('Cost Inputs'!$M39), OR('Cost Inputs'!$M39=1, 'Cost Inputs'!$M39=5)), $E39,""),"")),"")</f>
        <v/>
      </c>
      <c r="U39" s="17" t="str">
        <f>IF(U$3="N.B.C.", IF('Cost Inputs'!$L39="Y", $E39, IF('Cost Inputs'!$L39="N", IF(AND(ISNUMBER('Cost Inputs'!$M39), OR('Cost Inputs'!$M39=1, 'Cost Inputs'!$M39=2, 'Cost Inputs'!$M39=3, 'Cost Inputs'!$M39=6)), $E39,""),"")),"")</f>
        <v/>
      </c>
      <c r="V39" s="17" t="str">
        <f>IF(V$3="N.B.C.", IF('Cost Inputs'!$L39="Y", $E39, IF('Cost Inputs'!$L39="N", IF(AND(ISNUMBER('Cost Inputs'!$M39), OR('Cost Inputs'!$M39=1, 'Cost Inputs'!$M39=7)), $E39,""),"")),"")</f>
        <v/>
      </c>
      <c r="W39" s="17" t="str">
        <f>IF(W$3="N.B.C.", IF('Cost Inputs'!$L39="Y", $E39, IF('Cost Inputs'!$L39="N", IF(AND(ISNUMBER('Cost Inputs'!$M39), OR('Cost Inputs'!$M39=1, 'Cost Inputs'!$M39=2,'Cost Inputs'!$M39=4,'Cost Inputs'!$M39=8)), $E39,""),"")),"")</f>
        <v/>
      </c>
      <c r="X39" s="106" t="str">
        <f>IF($X$3="N.B.C.", IF('Cost Inputs'!$L39="Y", $E39, IF('Cost Inputs'!$L39="N", IF(AND(ISNUMBER('Cost Inputs'!$M39), OR('Cost Inputs'!$M39=1, 'Cost Inputs'!$M39=3,'Cost Inputs'!$M39=9)), $E39,""),"")),"")</f>
        <v/>
      </c>
    </row>
    <row r="40" spans="1:45" ht="15.75" thickBot="1" x14ac:dyDescent="0.3">
      <c r="A40" s="502"/>
      <c r="B40" s="505"/>
      <c r="C40" s="111" t="str">
        <f>IF(OR('Cost Inputs'!H40&lt;&gt;"", 'Cost Inputs'!I40&lt;&gt;"", 'Cost Inputs'!J40&lt;&gt;""), 'Cost Inputs'!A40, "")</f>
        <v/>
      </c>
      <c r="D40" s="95" t="str">
        <f>IF(AND(C40&lt;&gt;"", 'Cost Inputs'!G40&lt;&gt;""), 'Cost Inputs'!G40, "")</f>
        <v/>
      </c>
      <c r="E40" s="95" t="str">
        <f>IF(AND(C40&lt;&gt;"", 'Cost Inputs'!H40&lt;&gt;""), 'Cost Inputs'!H40, "")</f>
        <v/>
      </c>
      <c r="F40" s="95" t="str">
        <f>IF('Cost Inputs'!$I40&lt;&gt;"", 'Cost Inputs'!$I40, "")</f>
        <v/>
      </c>
      <c r="G40" s="95" t="str">
        <f t="shared" si="1"/>
        <v/>
      </c>
      <c r="H40" s="95" t="str">
        <f>IF('Cost Inputs'!$J40&lt;&gt;"", 'Cost Inputs'!$J40, "")</f>
        <v/>
      </c>
      <c r="I40" s="95" t="str">
        <f t="shared" si="2"/>
        <v/>
      </c>
      <c r="J40" s="95" t="str">
        <f>IF(('Cost Inputs'!I40+'Cost Inputs'!J40+'Cost Inputs'!K40)&gt;0, 'Cost Inputs'!I40+'Cost Inputs'!J40+'Cost Inputs'!K40, "")</f>
        <v/>
      </c>
      <c r="K40" s="95" t="str">
        <f>IF('Cost Inputs'!$N40&gt;0,'Cost Inputs'!$N40,"")</f>
        <v/>
      </c>
      <c r="L40" s="95"/>
      <c r="M40" s="113"/>
      <c r="O40" s="111" t="str">
        <f>IF(O$3="N.B.C.", IF('Cost Inputs'!$L40="Y", $E40, IF('Cost Inputs'!$L40="N", IF(ISNUMBER('Cost Inputs'!$M40), $E40,""),"")),"")</f>
        <v/>
      </c>
      <c r="P40" s="95" t="str">
        <f>IF(P$3="N.B.C.", IF('Cost Inputs'!$L40="Y", $E40, IF('Cost Inputs'!$L40="N", "","")),"")</f>
        <v/>
      </c>
      <c r="Q40" s="95" t="str">
        <f>IF(Q$3="N.B.C.", IF('Cost Inputs'!$L40="Y", $E40, IF('Cost Inputs'!$L40="N", IF(AND(ISNUMBER('Cost Inputs'!$M40), OR('Cost Inputs'!$M40=1,'Cost Inputs'!$M40=2)), $E40,""),"")),"")</f>
        <v/>
      </c>
      <c r="R40" s="95" t="str">
        <f>IF(R$3="N.B.C.", IF('Cost Inputs'!$L40="Y", $E40, IF('Cost Inputs'!$L40="N", IF(AND(ISNUMBER('Cost Inputs'!$M40), OR('Cost Inputs'!$M40=1, 'Cost Inputs'!$M40=3)), $E40,""),"")),"")</f>
        <v/>
      </c>
      <c r="S40" s="95" t="str">
        <f>IF(S$3="N.B.C.", IF('Cost Inputs'!$L40="Y", $E40, IF('Cost Inputs'!$L40="N", IF(AND(ISNUMBER('Cost Inputs'!$M40), OR('Cost Inputs'!$M40=1, 'Cost Inputs'!$M40=2, 'Cost Inputs'!$M40=4)), $E40,""),"")),"")</f>
        <v/>
      </c>
      <c r="T40" s="95" t="str">
        <f>IF(T$3="N.B.C.", IF('Cost Inputs'!$L40="Y", $E40, IF('Cost Inputs'!$L40="N", IF(AND(ISNUMBER('Cost Inputs'!$M40), OR('Cost Inputs'!$M40=1, 'Cost Inputs'!$M40=5)), $E40,""),"")),"")</f>
        <v/>
      </c>
      <c r="U40" s="95" t="str">
        <f>IF(U$3="N.B.C.", IF('Cost Inputs'!$L40="Y", $E40, IF('Cost Inputs'!$L40="N", IF(AND(ISNUMBER('Cost Inputs'!$M40), OR('Cost Inputs'!$M40=1, 'Cost Inputs'!$M40=2, 'Cost Inputs'!$M40=3, 'Cost Inputs'!$M40=6)), $E40,""),"")),"")</f>
        <v/>
      </c>
      <c r="V40" s="95" t="str">
        <f>IF(V$3="N.B.C.", IF('Cost Inputs'!$L40="Y", $E40, IF('Cost Inputs'!$L40="N", IF(AND(ISNUMBER('Cost Inputs'!$M40), OR('Cost Inputs'!$M40=1, 'Cost Inputs'!$M40=7)), $E40,""),"")),"")</f>
        <v/>
      </c>
      <c r="W40" s="95" t="str">
        <f>IF(W$3="N.B.C.", IF('Cost Inputs'!$L40="Y", $E40, IF('Cost Inputs'!$L40="N", IF(AND(ISNUMBER('Cost Inputs'!$M40), OR('Cost Inputs'!$M40=1, 'Cost Inputs'!$M40=2,'Cost Inputs'!$M40=4,'Cost Inputs'!$M40=8)), $E40,""),"")),"")</f>
        <v/>
      </c>
      <c r="X40" s="113" t="str">
        <f>IF($X$3="N.B.C.", IF('Cost Inputs'!$L40="Y", $E40, IF('Cost Inputs'!$L40="N", IF(AND(ISNUMBER('Cost Inputs'!$M40), OR('Cost Inputs'!$M40=1, 'Cost Inputs'!$M40=3,'Cost Inputs'!$M40=9)), $E40,""),"")),"")</f>
        <v/>
      </c>
    </row>
    <row r="41" spans="1:45" ht="44.45" customHeight="1" thickBot="1" x14ac:dyDescent="0.3">
      <c r="A41" s="98"/>
      <c r="B41" s="99"/>
      <c r="C41" s="114"/>
      <c r="D41" s="114"/>
      <c r="E41" s="114"/>
      <c r="F41" s="114"/>
      <c r="G41" s="114" t="str">
        <f t="shared" si="1"/>
        <v/>
      </c>
      <c r="H41" s="114"/>
      <c r="I41" s="114"/>
      <c r="J41" s="114"/>
      <c r="K41" s="114"/>
      <c r="L41" s="114"/>
      <c r="M41" s="115"/>
      <c r="O41" s="119" t="str">
        <f>IF(O$3="N.B.C.", IF('Cost Inputs'!$L41="Y", $J41, IF('Cost Inputs'!$L41="N", IF(ISNUMBER('Cost Inputs'!$M41), $J41,""),"")),"")</f>
        <v/>
      </c>
      <c r="P41" s="120" t="str">
        <f>IF(P$3="N.B.C.", IF('Cost Inputs'!$L41="Y", $J41, IF('Cost Inputs'!$L41="N", "","")),"")</f>
        <v/>
      </c>
      <c r="Q41" s="120" t="str">
        <f>IF(Q$3="N.B.C.", IF('Cost Inputs'!$L41="Y", $J41, IF('Cost Inputs'!$L41="N", IF(AND(ISNUMBER('Cost Inputs'!$M41), OR('Cost Inputs'!$M41=1,'Cost Inputs'!$M41=2)), $J41,""),"")),"")</f>
        <v/>
      </c>
      <c r="R41" s="120" t="str">
        <f>IF(R$3="N.B.C.", IF('Cost Inputs'!$L41="Y", $J41, IF('Cost Inputs'!$L41="N", IF(AND(ISNUMBER('Cost Inputs'!$M41), OR('Cost Inputs'!$M41=1, 'Cost Inputs'!$M41=3)), $J41,""),"")),"")</f>
        <v/>
      </c>
      <c r="S41" s="120" t="str">
        <f>IF(S$3="N.B.C.", IF('Cost Inputs'!$L41="Y", $J41, IF('Cost Inputs'!$L41="N", IF(AND(ISNUMBER('Cost Inputs'!$M41), OR('Cost Inputs'!$M41=1, 'Cost Inputs'!$M41=2, 'Cost Inputs'!$M41=4)), $J41,""),"")),"")</f>
        <v/>
      </c>
      <c r="T41" s="120" t="str">
        <f>IF(T$3="N.B.C.", IF('Cost Inputs'!$L41="Y", $J41, IF('Cost Inputs'!$L41="N", IF(AND(ISNUMBER('Cost Inputs'!$M41), OR('Cost Inputs'!$M41=1, 'Cost Inputs'!$M41=5)), $J41,""),"")),"")</f>
        <v/>
      </c>
      <c r="U41" s="120" t="str">
        <f>IF(U$3="N.B.C.", IF('Cost Inputs'!$L41="Y", $J41, IF('Cost Inputs'!$L41="N", IF(AND(ISNUMBER('Cost Inputs'!$M41), OR('Cost Inputs'!$M41=1, 'Cost Inputs'!$M41=2, 'Cost Inputs'!$M41=3, 'Cost Inputs'!$M41=6)), $J41,""),"")),"")</f>
        <v/>
      </c>
      <c r="V41" s="120" t="str">
        <f>IF(V$3="N.B.C.", IF('Cost Inputs'!$L41="Y", $J41, IF('Cost Inputs'!$L41="N", IF(AND(ISNUMBER('Cost Inputs'!$M41), OR('Cost Inputs'!$M41=1, 'Cost Inputs'!$M41=7)), $J41,""),"")),"")</f>
        <v/>
      </c>
      <c r="W41" s="120" t="str">
        <f>IF(W$3="N.B.C.", IF('Cost Inputs'!$L41="Y", $J41, IF('Cost Inputs'!$L41="N", IF(AND(ISNUMBER('Cost Inputs'!$M41), OR('Cost Inputs'!$M41=1, 'Cost Inputs'!$M41=2,'Cost Inputs'!$M41=4,'Cost Inputs'!$M41=8)), $J41,""),"")),"")</f>
        <v/>
      </c>
      <c r="X41" s="121" t="str">
        <f>IF($X$3="N.B.C.", IF('Cost Inputs'!$L41="Y", $J41, IF('Cost Inputs'!$L41="N", IF(AND(ISNUMBER('Cost Inputs'!$M41), OR('Cost Inputs'!$M41=1, 'Cost Inputs'!$M41=3,'Cost Inputs'!$M41=9)), $J41,""),"")),"")</f>
        <v/>
      </c>
    </row>
    <row r="42" spans="1:45" x14ac:dyDescent="0.25">
      <c r="A42" s="506" t="str">
        <f>Second_Stage</f>
        <v>Greenhouse Growth Stage</v>
      </c>
      <c r="B42" s="503">
        <f>'Breeding Inputs'!I12</f>
        <v>0</v>
      </c>
      <c r="C42" s="116" t="str">
        <f>'Cost Inputs'!A42</f>
        <v>2.1 Germination and greenhouse growing</v>
      </c>
      <c r="D42" s="92" t="str">
        <f>IF(OR('Cost Inputs'!H42&lt;&gt;"", 'Cost Inputs'!I42&lt;&gt;"", 'Cost Inputs'!J42&lt;&gt;""), 'Cost Inputs'!G42,"")</f>
        <v/>
      </c>
      <c r="E42" s="92" t="str">
        <f>IF(AND(C42&lt;&gt;"", 'Cost Inputs'!H42&lt;&gt;""), 'Cost Inputs'!H42, "")</f>
        <v/>
      </c>
      <c r="F42" s="92" t="str">
        <f>IF('Cost Inputs'!$I42&lt;&gt;"", 'Cost Inputs'!$I42, "")</f>
        <v/>
      </c>
      <c r="G42" s="92" t="str">
        <f t="shared" si="1"/>
        <v/>
      </c>
      <c r="H42" s="92" t="str">
        <f>IF('Cost Inputs'!$J42&lt;&gt;"", 'Cost Inputs'!$J42, "")</f>
        <v/>
      </c>
      <c r="I42" s="92" t="str">
        <f>IF(AND($E42&lt;&gt;"", $H42&lt;&gt;""), $H42/$E42, "")</f>
        <v/>
      </c>
      <c r="J42" s="92" t="str">
        <f>IF(('Cost Inputs'!I42+'Cost Inputs'!J42+'Cost Inputs'!K42)&gt;0, 'Cost Inputs'!I42+'Cost Inputs'!J42+'Cost Inputs'!K42, "")</f>
        <v/>
      </c>
      <c r="K42" s="92" t="str">
        <f>IF('Cost Inputs'!$N42&gt;0,'Cost Inputs'!$N42,"")</f>
        <v/>
      </c>
      <c r="L42" s="92"/>
      <c r="M42" s="101"/>
      <c r="O42" s="118"/>
      <c r="P42" s="116" t="str">
        <f>IF(O$3="N.B.C.",
IF('Cost Inputs'!$L42="Y", $E42,
IF('Cost Inputs'!$L42="N",
IF(ISNUMBER('Cost Inputs'!$M42), $E42,""),"")),"")</f>
        <v/>
      </c>
      <c r="Q42" s="92" t="str">
        <f>IF(P$3="N.B.C.",
IF('Cost Inputs'!$L42="Y", $E42,
IF('Cost Inputs'!$L42="N", "","")),"")</f>
        <v/>
      </c>
      <c r="R42" s="92" t="str">
        <f>IF(Q$3="N.B.C.",
IF('Cost Inputs'!$L42="Y", $E42,
IF('Cost Inputs'!$L42="N",
IF(AND(ISNUMBER('Cost Inputs'!$M42), OR('Cost Inputs'!$M42=1,'Cost Inputs'!$M42=2)), $E42,""),"")),"")</f>
        <v/>
      </c>
      <c r="S42" s="92" t="str">
        <f>IF(R$3="N.B.C.", IF('Cost Inputs'!$L42="Y", $E42, IF('Cost Inputs'!$L42="N", IF(AND(ISNUMBER('Cost Inputs'!$M42), OR('Cost Inputs'!$M42=1, 'Cost Inputs'!$M42=3)), $E42,""),"")),"")</f>
        <v/>
      </c>
      <c r="T42" s="92" t="str">
        <f>IF(S$3="N.B.C.", IF('Cost Inputs'!$L42="Y", $E42, IF('Cost Inputs'!$L42="N", IF(AND(ISNUMBER('Cost Inputs'!$M42), OR('Cost Inputs'!$M42=1, 'Cost Inputs'!$M42=2, 'Cost Inputs'!$M42=4)), $E42,""),"")),"")</f>
        <v/>
      </c>
      <c r="U42" s="92" t="str">
        <f>IF(T$3="N.B.C.", IF('Cost Inputs'!$L42="Y", $E42, IF('Cost Inputs'!$L42="N", IF(AND(ISNUMBER('Cost Inputs'!$M42), OR('Cost Inputs'!$M42=1, 'Cost Inputs'!$M42=5)), $E42,""),"")),"")</f>
        <v/>
      </c>
      <c r="V42" s="92" t="str">
        <f>IF(U$3="N.B.C.", IF('Cost Inputs'!$L42="Y", $E42, IF('Cost Inputs'!$L42="N", IF(AND(ISNUMBER('Cost Inputs'!$M42), OR('Cost Inputs'!$M42=1, 'Cost Inputs'!$M42=2, 'Cost Inputs'!$M42=3, 'Cost Inputs'!$M42=6)), $E42,""),"")),"")</f>
        <v/>
      </c>
      <c r="W42" s="92" t="str">
        <f>IF(V$3="N.B.C.", IF('Cost Inputs'!$L42="Y", $E42, IF('Cost Inputs'!$L42="N", IF(AND(ISNUMBER('Cost Inputs'!$M42), OR('Cost Inputs'!$M42=1, 'Cost Inputs'!$M42=7)), $E42,""),"")),"")</f>
        <v/>
      </c>
      <c r="X42" s="92" t="str">
        <f>IF(W$3="N.B.C.", IF('Cost Inputs'!$L42="Y", $E42, IF('Cost Inputs'!$L42="N", IF(AND(ISNUMBER('Cost Inputs'!$M42), OR('Cost Inputs'!$M42=1, 'Cost Inputs'!$M42=2,'Cost Inputs'!$M42=4,'Cost Inputs'!$M42=8)), $E42,""),"")),"")</f>
        <v/>
      </c>
      <c r="Y42" s="101" t="str">
        <f>IF($X$3="N.B.C.", IF('Cost Inputs'!$L42="Y", $E42, IF('Cost Inputs'!$L42="N", IF(AND(ISNUMBER('Cost Inputs'!$M42), OR('Cost Inputs'!$M42=1, 'Cost Inputs'!$M42=3,'Cost Inputs'!$M42=9)), $E42,""),"")),"")</f>
        <v/>
      </c>
      <c r="AS42" s="4">
        <f>SUM(P42:Y57)</f>
        <v>0</v>
      </c>
    </row>
    <row r="43" spans="1:45" x14ac:dyDescent="0.25">
      <c r="A43" s="501"/>
      <c r="B43" s="504"/>
      <c r="C43" s="104" t="str">
        <f>IF(OR('Cost Inputs'!H43&lt;&gt;"", 'Cost Inputs'!I43&lt;&gt;"", 'Cost Inputs'!J43&lt;&gt;""), 'Cost Inputs'!A43, "")</f>
        <v/>
      </c>
      <c r="D43" s="17" t="str">
        <f>IF(AND(C43&lt;&gt;"", 'Cost Inputs'!G43&lt;&gt;""), 'Cost Inputs'!G43, "")</f>
        <v/>
      </c>
      <c r="E43" s="17" t="str">
        <f>IF(AND(C43&lt;&gt;"", 'Cost Inputs'!H43&lt;&gt;""), 'Cost Inputs'!H43, "")</f>
        <v/>
      </c>
      <c r="F43" s="17" t="str">
        <f>IF('Cost Inputs'!$I43&lt;&gt;"", 'Cost Inputs'!$I43, "")</f>
        <v/>
      </c>
      <c r="G43" s="17" t="str">
        <f t="shared" si="1"/>
        <v/>
      </c>
      <c r="H43" s="17" t="str">
        <f>IF('Cost Inputs'!$J43&lt;&gt;"", 'Cost Inputs'!$J43, "")</f>
        <v/>
      </c>
      <c r="I43" s="17" t="str">
        <f t="shared" ref="I43:I58" si="3">IF(AND($E43&lt;&gt;"", $H43&lt;&gt;""), $H43/$E43, "")</f>
        <v/>
      </c>
      <c r="J43" s="17" t="str">
        <f>IF(('Cost Inputs'!I43+'Cost Inputs'!J43+'Cost Inputs'!K43)&gt;0, 'Cost Inputs'!I43+'Cost Inputs'!J43+'Cost Inputs'!K43, "")</f>
        <v/>
      </c>
      <c r="K43" s="17" t="str">
        <f>IF('Cost Inputs'!$N43&gt;0,'Cost Inputs'!$N43,"")</f>
        <v/>
      </c>
      <c r="M43" s="106"/>
      <c r="O43" s="117"/>
      <c r="P43" s="104" t="str">
        <f>IF(O$3="N.B.C.",
IF('Cost Inputs'!$L43="Y", $E43,
IF('Cost Inputs'!$L43="N",
IF(ISNUMBER('Cost Inputs'!$M43), $E43,""),"")),"")</f>
        <v/>
      </c>
      <c r="Q43" s="17" t="str">
        <f>IF(P$3="N.B.C.", IF('Cost Inputs'!$L43="Y", $E43, IF('Cost Inputs'!$L43="N", "","")),"")</f>
        <v/>
      </c>
      <c r="R43" s="17" t="str">
        <f>IF(Q$3="N.B.C.", IF('Cost Inputs'!$L43="Y", $E43, IF('Cost Inputs'!$L43="N", IF(AND(ISNUMBER('Cost Inputs'!$M43), OR('Cost Inputs'!$M43=1,'Cost Inputs'!$M43=2)), $E43,""),"")),"")</f>
        <v/>
      </c>
      <c r="S43" s="17" t="str">
        <f>IF(R$3="N.B.C.", IF('Cost Inputs'!$L43="Y", $E43, IF('Cost Inputs'!$L43="N", IF(AND(ISNUMBER('Cost Inputs'!$M43), OR('Cost Inputs'!$M43=1, 'Cost Inputs'!$M43=3)), $E43,""),"")),"")</f>
        <v/>
      </c>
      <c r="T43" s="17" t="str">
        <f>IF(S$3="N.B.C.", IF('Cost Inputs'!$L43="Y", $E43, IF('Cost Inputs'!$L43="N", IF(AND(ISNUMBER('Cost Inputs'!$M43), OR('Cost Inputs'!$M43=1, 'Cost Inputs'!$M43=2, 'Cost Inputs'!$M43=4)), $E43,""),"")),"")</f>
        <v/>
      </c>
      <c r="U43" s="17" t="str">
        <f>IF(T$3="N.B.C.", IF('Cost Inputs'!$L43="Y", $E43, IF('Cost Inputs'!$L43="N", IF(AND(ISNUMBER('Cost Inputs'!$M43), OR('Cost Inputs'!$M43=1, 'Cost Inputs'!$M43=5)), $E43,""),"")),"")</f>
        <v/>
      </c>
      <c r="V43" s="17" t="str">
        <f>IF(U$3="N.B.C.", IF('Cost Inputs'!$L43="Y", $E43, IF('Cost Inputs'!$L43="N", IF(AND(ISNUMBER('Cost Inputs'!$M43), OR('Cost Inputs'!$M43=1, 'Cost Inputs'!$M43=2, 'Cost Inputs'!$M43=3, 'Cost Inputs'!$M43=6)), $E43,""),"")),"")</f>
        <v/>
      </c>
      <c r="W43" s="17" t="str">
        <f>IF(V$3="N.B.C.", IF('Cost Inputs'!$L43="Y", $E43, IF('Cost Inputs'!$L43="N", IF(AND(ISNUMBER('Cost Inputs'!$M43), OR('Cost Inputs'!$M43=1, 'Cost Inputs'!$M43=7)), $E43,""),"")),"")</f>
        <v/>
      </c>
      <c r="X43" s="17" t="str">
        <f>IF(W$3="N.B.C.", IF('Cost Inputs'!$L43="Y", $E43, IF('Cost Inputs'!$L43="N", IF(AND(ISNUMBER('Cost Inputs'!$M43), OR('Cost Inputs'!$M43=1, 'Cost Inputs'!$M43=2,'Cost Inputs'!$M43=4,'Cost Inputs'!$M43=8)), $E43,""),"")),"")</f>
        <v/>
      </c>
      <c r="Y43" s="106" t="str">
        <f>IF($X$3="N.B.C.", IF('Cost Inputs'!$L43="Y", $E43, IF('Cost Inputs'!$L43="N", IF(AND(ISNUMBER('Cost Inputs'!$M43), OR('Cost Inputs'!$M43=1, 'Cost Inputs'!$M43=3,'Cost Inputs'!$M43=9)), $E43,""),"")),"")</f>
        <v/>
      </c>
    </row>
    <row r="44" spans="1:45" x14ac:dyDescent="0.25">
      <c r="A44" s="501"/>
      <c r="B44" s="504"/>
      <c r="C44" s="107" t="str">
        <f>IF(OR('Cost Inputs'!H44&lt;&gt;"", 'Cost Inputs'!I44&lt;&gt;"", 'Cost Inputs'!J44&lt;&gt;""), 'Cost Inputs'!A44, "")</f>
        <v/>
      </c>
      <c r="D44" s="93" t="str">
        <f>IF(AND(C44&lt;&gt;"", 'Cost Inputs'!G44&lt;&gt;""), 'Cost Inputs'!G44, "")</f>
        <v/>
      </c>
      <c r="E44" s="93" t="str">
        <f>IF(AND(C44&lt;&gt;"", 'Cost Inputs'!H44&lt;&gt;""), 'Cost Inputs'!H44, "")</f>
        <v/>
      </c>
      <c r="F44" s="93" t="str">
        <f>IF('Cost Inputs'!$I44&lt;&gt;"", 'Cost Inputs'!$I44, "")</f>
        <v/>
      </c>
      <c r="G44" s="93" t="str">
        <f t="shared" si="1"/>
        <v/>
      </c>
      <c r="H44" s="93" t="str">
        <f>IF('Cost Inputs'!$J44&lt;&gt;"", 'Cost Inputs'!$J44, "")</f>
        <v/>
      </c>
      <c r="I44" s="93" t="str">
        <f t="shared" si="3"/>
        <v/>
      </c>
      <c r="J44" s="93" t="str">
        <f>IF(('Cost Inputs'!I44+'Cost Inputs'!J44+'Cost Inputs'!K44)&gt;0, 'Cost Inputs'!I44+'Cost Inputs'!J44+'Cost Inputs'!K44, "")</f>
        <v/>
      </c>
      <c r="K44" s="93" t="str">
        <f>IF('Cost Inputs'!$N44&gt;0,'Cost Inputs'!$N44,"")</f>
        <v/>
      </c>
      <c r="L44" s="93"/>
      <c r="M44" s="109"/>
      <c r="O44" s="117"/>
      <c r="P44" s="107" t="str">
        <f>IF(O$3="N.B.C.", IF('Cost Inputs'!$L44="Y", $E44, IF('Cost Inputs'!$L44="N", IF(ISNUMBER('Cost Inputs'!$M44), $E44,""),"")),"")</f>
        <v/>
      </c>
      <c r="Q44" s="93" t="str">
        <f>IF(P$3="N.B.C.", IF('Cost Inputs'!$L44="Y", $E44, IF('Cost Inputs'!$L44="N", "","")),"")</f>
        <v/>
      </c>
      <c r="R44" s="93" t="str">
        <f>IF(Q$3="N.B.C.", IF('Cost Inputs'!$L44="Y", $E44, IF('Cost Inputs'!$L44="N", IF(AND(ISNUMBER('Cost Inputs'!$M44), OR('Cost Inputs'!$M44=1,'Cost Inputs'!$M44=2)), $E44,""),"")),"")</f>
        <v/>
      </c>
      <c r="S44" s="93" t="str">
        <f>IF(R$3="N.B.C.", IF('Cost Inputs'!$L44="Y", $E44, IF('Cost Inputs'!$L44="N", IF(AND(ISNUMBER('Cost Inputs'!$M44), OR('Cost Inputs'!$M44=1, 'Cost Inputs'!$M44=3)), $E44,""),"")),"")</f>
        <v/>
      </c>
      <c r="T44" s="93" t="str">
        <f>IF(S$3="N.B.C.", IF('Cost Inputs'!$L44="Y", $E44, IF('Cost Inputs'!$L44="N", IF(AND(ISNUMBER('Cost Inputs'!$M44), OR('Cost Inputs'!$M44=1, 'Cost Inputs'!$M44=2, 'Cost Inputs'!$M44=4)), $E44,""),"")),"")</f>
        <v/>
      </c>
      <c r="U44" s="93" t="str">
        <f>IF(T$3="N.B.C.", IF('Cost Inputs'!$L44="Y", $E44, IF('Cost Inputs'!$L44="N", IF(AND(ISNUMBER('Cost Inputs'!$M44), OR('Cost Inputs'!$M44=1, 'Cost Inputs'!$M44=5)), $E44,""),"")),"")</f>
        <v/>
      </c>
      <c r="V44" s="93" t="str">
        <f>IF(U$3="N.B.C.", IF('Cost Inputs'!$L44="Y", $E44, IF('Cost Inputs'!$L44="N", IF(AND(ISNUMBER('Cost Inputs'!$M44), OR('Cost Inputs'!$M44=1, 'Cost Inputs'!$M44=2, 'Cost Inputs'!$M44=3, 'Cost Inputs'!$M44=6)), $E44,""),"")),"")</f>
        <v/>
      </c>
      <c r="W44" s="93" t="str">
        <f>IF(V$3="N.B.C.", IF('Cost Inputs'!$L44="Y", $E44, IF('Cost Inputs'!$L44="N", IF(AND(ISNUMBER('Cost Inputs'!$M44), OR('Cost Inputs'!$M44=1, 'Cost Inputs'!$M44=7)), $E44,""),"")),"")</f>
        <v/>
      </c>
      <c r="X44" s="93" t="str">
        <f>IF(W$3="N.B.C.", IF('Cost Inputs'!$L44="Y", $E44, IF('Cost Inputs'!$L44="N", IF(AND(ISNUMBER('Cost Inputs'!$M44), OR('Cost Inputs'!$M44=1, 'Cost Inputs'!$M44=2,'Cost Inputs'!$M44=4,'Cost Inputs'!$M44=8)), $E44,""),"")),"")</f>
        <v/>
      </c>
      <c r="Y44" s="109" t="str">
        <f>IF($X$3="N.B.C.", IF('Cost Inputs'!$L44="Y", $E44, IF('Cost Inputs'!$L44="N", IF(AND(ISNUMBER('Cost Inputs'!$M44), OR('Cost Inputs'!$M44=1, 'Cost Inputs'!$M44=3,'Cost Inputs'!$M44=9)), $E44,""),"")),"")</f>
        <v/>
      </c>
    </row>
    <row r="45" spans="1:45" x14ac:dyDescent="0.25">
      <c r="A45" s="501"/>
      <c r="B45" s="504"/>
      <c r="C45" s="104" t="str">
        <f>IF(OR('Cost Inputs'!H45&lt;&gt;"", 'Cost Inputs'!I45&lt;&gt;"", 'Cost Inputs'!J45&lt;&gt;""), 'Cost Inputs'!A45, "")</f>
        <v/>
      </c>
      <c r="D45" s="17" t="str">
        <f>IF(AND(C45&lt;&gt;"", 'Cost Inputs'!G45&lt;&gt;""), 'Cost Inputs'!G45, "")</f>
        <v/>
      </c>
      <c r="E45" s="17" t="str">
        <f>IF(AND(C45&lt;&gt;"", 'Cost Inputs'!H45&lt;&gt;""), 'Cost Inputs'!H45, "")</f>
        <v/>
      </c>
      <c r="F45" s="17" t="str">
        <f>IF('Cost Inputs'!$I45&lt;&gt;"", 'Cost Inputs'!$I45, "")</f>
        <v/>
      </c>
      <c r="G45" s="17" t="str">
        <f t="shared" si="1"/>
        <v/>
      </c>
      <c r="H45" s="17" t="str">
        <f>IF('Cost Inputs'!$J45&lt;&gt;"", 'Cost Inputs'!$J45, "")</f>
        <v/>
      </c>
      <c r="I45" s="17" t="str">
        <f t="shared" si="3"/>
        <v/>
      </c>
      <c r="J45" s="17" t="str">
        <f>IF(('Cost Inputs'!I45+'Cost Inputs'!J45+'Cost Inputs'!K45)&gt;0, 'Cost Inputs'!I45+'Cost Inputs'!J45+'Cost Inputs'!K45, "")</f>
        <v/>
      </c>
      <c r="K45" s="17" t="str">
        <f>IF('Cost Inputs'!$N45&gt;0,'Cost Inputs'!$N45,"")</f>
        <v/>
      </c>
      <c r="M45" s="106"/>
      <c r="O45" s="117"/>
      <c r="P45" s="104" t="str">
        <f>IF(O$3="N.B.C.", IF('Cost Inputs'!$L45="Y", $E45, IF('Cost Inputs'!$L45="N", IF(ISNUMBER('Cost Inputs'!$M45), $E45,""),"")),"")</f>
        <v/>
      </c>
      <c r="Q45" s="17" t="str">
        <f>IF(P$3="N.B.C.", IF('Cost Inputs'!$L45="Y", $E45, IF('Cost Inputs'!$L45="N", "","")),"")</f>
        <v/>
      </c>
      <c r="R45" s="17" t="str">
        <f>IF(Q$3="N.B.C.", IF('Cost Inputs'!$L45="Y", $E45, IF('Cost Inputs'!$L45="N", IF(AND(ISNUMBER('Cost Inputs'!$M45), OR('Cost Inputs'!$M45=1,'Cost Inputs'!$M45=2)), $E45,""),"")),"")</f>
        <v/>
      </c>
      <c r="S45" s="17" t="str">
        <f>IF(R$3="N.B.C.", IF('Cost Inputs'!$L45="Y", $E45, IF('Cost Inputs'!$L45="N", IF(AND(ISNUMBER('Cost Inputs'!$M45), OR('Cost Inputs'!$M45=1, 'Cost Inputs'!$M45=3)), $E45,""),"")),"")</f>
        <v/>
      </c>
      <c r="T45" s="17" t="str">
        <f>IF(S$3="N.B.C.", IF('Cost Inputs'!$L45="Y", $E45, IF('Cost Inputs'!$L45="N", IF(AND(ISNUMBER('Cost Inputs'!$M45), OR('Cost Inputs'!$M45=1, 'Cost Inputs'!$M45=2, 'Cost Inputs'!$M45=4)), $E45,""),"")),"")</f>
        <v/>
      </c>
      <c r="U45" s="17" t="str">
        <f>IF(T$3="N.B.C.", IF('Cost Inputs'!$L45="Y", $E45, IF('Cost Inputs'!$L45="N", IF(AND(ISNUMBER('Cost Inputs'!$M45), OR('Cost Inputs'!$M45=1, 'Cost Inputs'!$M45=5)), $E45,""),"")),"")</f>
        <v/>
      </c>
      <c r="V45" s="17" t="str">
        <f>IF(U$3="N.B.C.", IF('Cost Inputs'!$L45="Y", $E45, IF('Cost Inputs'!$L45="N", IF(AND(ISNUMBER('Cost Inputs'!$M45), OR('Cost Inputs'!$M45=1, 'Cost Inputs'!$M45=2, 'Cost Inputs'!$M45=3, 'Cost Inputs'!$M45=6)), $E45,""),"")),"")</f>
        <v/>
      </c>
      <c r="W45" s="17" t="str">
        <f>IF(V$3="N.B.C.", IF('Cost Inputs'!$L45="Y", $E45, IF('Cost Inputs'!$L45="N", IF(AND(ISNUMBER('Cost Inputs'!$M45), OR('Cost Inputs'!$M45=1, 'Cost Inputs'!$M45=7)), $E45,""),"")),"")</f>
        <v/>
      </c>
      <c r="X45" s="17" t="str">
        <f>IF(W$3="N.B.C.", IF('Cost Inputs'!$L45="Y", $E45, IF('Cost Inputs'!$L45="N", IF(AND(ISNUMBER('Cost Inputs'!$M45), OR('Cost Inputs'!$M45=1, 'Cost Inputs'!$M45=2,'Cost Inputs'!$M45=4,'Cost Inputs'!$M45=8)), $E45,""),"")),"")</f>
        <v/>
      </c>
      <c r="Y45" s="106" t="str">
        <f>IF($X$3="N.B.C.", IF('Cost Inputs'!$L45="Y", $E45, IF('Cost Inputs'!$L45="N", IF(AND(ISNUMBER('Cost Inputs'!$M45), OR('Cost Inputs'!$M45=1, 'Cost Inputs'!$M45=3,'Cost Inputs'!$M45=9)), $E45,""),"")),"")</f>
        <v/>
      </c>
    </row>
    <row r="46" spans="1:45" x14ac:dyDescent="0.25">
      <c r="A46" s="501"/>
      <c r="B46" s="504"/>
      <c r="C46" s="107" t="str">
        <f>IF(OR('Cost Inputs'!H46&lt;&gt;"", 'Cost Inputs'!I46&lt;&gt;"", 'Cost Inputs'!J46&lt;&gt;""), 'Cost Inputs'!A46, "")</f>
        <v/>
      </c>
      <c r="D46" s="93" t="str">
        <f>IF(AND(C46&lt;&gt;"", 'Cost Inputs'!G46&lt;&gt;""), 'Cost Inputs'!G46, "")</f>
        <v/>
      </c>
      <c r="E46" s="93" t="str">
        <f>IF(AND(C46&lt;&gt;"", 'Cost Inputs'!H46&lt;&gt;""), 'Cost Inputs'!H46, "")</f>
        <v/>
      </c>
      <c r="F46" s="93" t="str">
        <f>IF('Cost Inputs'!$I46&lt;&gt;"", 'Cost Inputs'!$I46, "")</f>
        <v/>
      </c>
      <c r="G46" s="93" t="str">
        <f t="shared" si="1"/>
        <v/>
      </c>
      <c r="H46" s="93" t="str">
        <f>IF('Cost Inputs'!$J46&lt;&gt;"", 'Cost Inputs'!$J46, "")</f>
        <v/>
      </c>
      <c r="I46" s="93" t="str">
        <f t="shared" si="3"/>
        <v/>
      </c>
      <c r="J46" s="93" t="str">
        <f>IF(('Cost Inputs'!I46+'Cost Inputs'!J46+'Cost Inputs'!K46)&gt;0, 'Cost Inputs'!I46+'Cost Inputs'!J46+'Cost Inputs'!K46, "")</f>
        <v/>
      </c>
      <c r="K46" s="93" t="str">
        <f>IF('Cost Inputs'!$N46&gt;0,'Cost Inputs'!$N46,"")</f>
        <v/>
      </c>
      <c r="L46" s="93"/>
      <c r="M46" s="109"/>
      <c r="O46" s="117"/>
      <c r="P46" s="107" t="str">
        <f>IF(O$3="N.B.C.", IF('Cost Inputs'!$L46="Y", $E46, IF('Cost Inputs'!$L46="N", IF(ISNUMBER('Cost Inputs'!$M46), $E46,""),"")),"")</f>
        <v/>
      </c>
      <c r="Q46" s="93" t="str">
        <f>IF(P$3="N.B.C.", IF('Cost Inputs'!$L46="Y", $E46, IF('Cost Inputs'!$L46="N", "","")),"")</f>
        <v/>
      </c>
      <c r="R46" s="93" t="str">
        <f>IF(Q$3="N.B.C.", IF('Cost Inputs'!$L46="Y", $E46, IF('Cost Inputs'!$L46="N", IF(AND(ISNUMBER('Cost Inputs'!$M46), OR('Cost Inputs'!$M46=1,'Cost Inputs'!$M46=2)), $E46,""),"")),"")</f>
        <v/>
      </c>
      <c r="S46" s="93" t="str">
        <f>IF(R$3="N.B.C.", IF('Cost Inputs'!$L46="Y", $E46, IF('Cost Inputs'!$L46="N", IF(AND(ISNUMBER('Cost Inputs'!$M46), OR('Cost Inputs'!$M46=1, 'Cost Inputs'!$M46=3)), $E46,""),"")),"")</f>
        <v/>
      </c>
      <c r="T46" s="93" t="str">
        <f>IF(S$3="N.B.C.", IF('Cost Inputs'!$L46="Y", $E46, IF('Cost Inputs'!$L46="N", IF(AND(ISNUMBER('Cost Inputs'!$M46), OR('Cost Inputs'!$M46=1, 'Cost Inputs'!$M46=2, 'Cost Inputs'!$M46=4)), $E46,""),"")),"")</f>
        <v/>
      </c>
      <c r="U46" s="93" t="str">
        <f>IF(T$3="N.B.C.", IF('Cost Inputs'!$L46="Y", $E46, IF('Cost Inputs'!$L46="N", IF(AND(ISNUMBER('Cost Inputs'!$M46), OR('Cost Inputs'!$M46=1, 'Cost Inputs'!$M46=5)), $E46,""),"")),"")</f>
        <v/>
      </c>
      <c r="V46" s="93" t="str">
        <f>IF(U$3="N.B.C.", IF('Cost Inputs'!$L46="Y", $E46, IF('Cost Inputs'!$L46="N", IF(AND(ISNUMBER('Cost Inputs'!$M46), OR('Cost Inputs'!$M46=1, 'Cost Inputs'!$M46=2, 'Cost Inputs'!$M46=3, 'Cost Inputs'!$M46=6)), $E46,""),"")),"")</f>
        <v/>
      </c>
      <c r="W46" s="93" t="str">
        <f>IF(V$3="N.B.C.", IF('Cost Inputs'!$L46="Y", $E46, IF('Cost Inputs'!$L46="N", IF(AND(ISNUMBER('Cost Inputs'!$M46), OR('Cost Inputs'!$M46=1, 'Cost Inputs'!$M46=7)), $E46,""),"")),"")</f>
        <v/>
      </c>
      <c r="X46" s="93" t="str">
        <f>IF(W$3="N.B.C.", IF('Cost Inputs'!$L46="Y", $E46, IF('Cost Inputs'!$L46="N", IF(AND(ISNUMBER('Cost Inputs'!$M46), OR('Cost Inputs'!$M46=1, 'Cost Inputs'!$M46=2,'Cost Inputs'!$M46=4,'Cost Inputs'!$M46=8)), $E46,""),"")),"")</f>
        <v/>
      </c>
      <c r="Y46" s="109" t="str">
        <f>IF($X$3="N.B.C.", IF('Cost Inputs'!$L46="Y", $E46, IF('Cost Inputs'!$L46="N", IF(AND(ISNUMBER('Cost Inputs'!$M46), OR('Cost Inputs'!$M46=1, 'Cost Inputs'!$M46=3,'Cost Inputs'!$M46=9)), $E46,""),"")),"")</f>
        <v/>
      </c>
    </row>
    <row r="47" spans="1:45" x14ac:dyDescent="0.25">
      <c r="A47" s="501"/>
      <c r="B47" s="504"/>
      <c r="C47" s="104" t="str">
        <f>IF(OR('Cost Inputs'!H47&lt;&gt;"", 'Cost Inputs'!I47&lt;&gt;"", 'Cost Inputs'!J47&lt;&gt;""), 'Cost Inputs'!A47, "")</f>
        <v/>
      </c>
      <c r="D47" s="17" t="str">
        <f>IF(AND(C47&lt;&gt;"", 'Cost Inputs'!G47&lt;&gt;""), 'Cost Inputs'!G47, "")</f>
        <v/>
      </c>
      <c r="E47" s="17" t="str">
        <f>IF(AND(C47&lt;&gt;"", 'Cost Inputs'!H47&lt;&gt;""), 'Cost Inputs'!H47, "")</f>
        <v/>
      </c>
      <c r="F47" s="17" t="str">
        <f>IF('Cost Inputs'!$I47&lt;&gt;"", 'Cost Inputs'!$I47, "")</f>
        <v/>
      </c>
      <c r="G47" s="17" t="str">
        <f t="shared" si="1"/>
        <v/>
      </c>
      <c r="H47" s="17" t="str">
        <f>IF('Cost Inputs'!$J47&lt;&gt;"", 'Cost Inputs'!$J47, "")</f>
        <v/>
      </c>
      <c r="I47" s="17" t="str">
        <f t="shared" si="3"/>
        <v/>
      </c>
      <c r="J47" s="17" t="str">
        <f>IF(('Cost Inputs'!I47+'Cost Inputs'!J47+'Cost Inputs'!K47)&gt;0, 'Cost Inputs'!I47+'Cost Inputs'!J47+'Cost Inputs'!K47, "")</f>
        <v/>
      </c>
      <c r="K47" s="17" t="str">
        <f>IF('Cost Inputs'!$N47&gt;0,'Cost Inputs'!$N47,"")</f>
        <v/>
      </c>
      <c r="M47" s="106"/>
      <c r="O47" s="117"/>
      <c r="P47" s="104" t="str">
        <f>IF(O$3="N.B.C.", IF('Cost Inputs'!$L47="Y", $E47, IF('Cost Inputs'!$L47="N", IF(ISNUMBER('Cost Inputs'!$M47), $E47,""),"")),"")</f>
        <v/>
      </c>
      <c r="Q47" s="17" t="str">
        <f>IF(P$3="N.B.C.", IF('Cost Inputs'!$L47="Y", $E47, IF('Cost Inputs'!$L47="N", "","")),"")</f>
        <v/>
      </c>
      <c r="R47" s="17" t="str">
        <f>IF(Q$3="N.B.C.", IF('Cost Inputs'!$L47="Y", $E47, IF('Cost Inputs'!$L47="N", IF(AND(ISNUMBER('Cost Inputs'!$M47), OR('Cost Inputs'!$M47=1,'Cost Inputs'!$M47=2)), $E47,""),"")),"")</f>
        <v/>
      </c>
      <c r="S47" s="17" t="str">
        <f>IF(R$3="N.B.C.", IF('Cost Inputs'!$L47="Y", $E47, IF('Cost Inputs'!$L47="N", IF(AND(ISNUMBER('Cost Inputs'!$M47), OR('Cost Inputs'!$M47=1, 'Cost Inputs'!$M47=3)), $E47,""),"")),"")</f>
        <v/>
      </c>
      <c r="T47" s="17" t="str">
        <f>IF(S$3="N.B.C.", IF('Cost Inputs'!$L47="Y", $E47, IF('Cost Inputs'!$L47="N", IF(AND(ISNUMBER('Cost Inputs'!$M47), OR('Cost Inputs'!$M47=1, 'Cost Inputs'!$M47=2, 'Cost Inputs'!$M47=4)), $E47,""),"")),"")</f>
        <v/>
      </c>
      <c r="U47" s="17" t="str">
        <f>IF(T$3="N.B.C.", IF('Cost Inputs'!$L47="Y", $E47, IF('Cost Inputs'!$L47="N", IF(AND(ISNUMBER('Cost Inputs'!$M47), OR('Cost Inputs'!$M47=1, 'Cost Inputs'!$M47=5)), $E47,""),"")),"")</f>
        <v/>
      </c>
      <c r="V47" s="17" t="str">
        <f>IF(U$3="N.B.C.", IF('Cost Inputs'!$L47="Y", $E47, IF('Cost Inputs'!$L47="N", IF(AND(ISNUMBER('Cost Inputs'!$M47), OR('Cost Inputs'!$M47=1, 'Cost Inputs'!$M47=2, 'Cost Inputs'!$M47=3, 'Cost Inputs'!$M47=6)), $E47,""),"")),"")</f>
        <v/>
      </c>
      <c r="W47" s="17" t="str">
        <f>IF(V$3="N.B.C.", IF('Cost Inputs'!$L47="Y", $E47, IF('Cost Inputs'!$L47="N", IF(AND(ISNUMBER('Cost Inputs'!$M47), OR('Cost Inputs'!$M47=1, 'Cost Inputs'!$M47=7)), $E47,""),"")),"")</f>
        <v/>
      </c>
      <c r="X47" s="17" t="str">
        <f>IF(W$3="N.B.C.", IF('Cost Inputs'!$L47="Y", $E47, IF('Cost Inputs'!$L47="N", IF(AND(ISNUMBER('Cost Inputs'!$M47), OR('Cost Inputs'!$M47=1, 'Cost Inputs'!$M47=2,'Cost Inputs'!$M47=4,'Cost Inputs'!$M47=8)), $E47,""),"")),"")</f>
        <v/>
      </c>
      <c r="Y47" s="106" t="str">
        <f>IF($X$3="N.B.C.", IF('Cost Inputs'!$L47="Y", $E47, IF('Cost Inputs'!$L47="N", IF(AND(ISNUMBER('Cost Inputs'!$M47), OR('Cost Inputs'!$M47=1, 'Cost Inputs'!$M47=3,'Cost Inputs'!$M47=9)), $E47,""),"")),"")</f>
        <v/>
      </c>
    </row>
    <row r="48" spans="1:45" x14ac:dyDescent="0.25">
      <c r="A48" s="501"/>
      <c r="B48" s="504"/>
      <c r="C48" s="110" t="str">
        <f>'Cost Inputs'!A48</f>
        <v/>
      </c>
      <c r="D48" s="94" t="str">
        <f>IF(OR('Cost Inputs'!H48&lt;&gt;"", 'Cost Inputs'!I48&lt;&gt;"", 'Cost Inputs'!J48&lt;&gt;""), 'Cost Inputs'!G48,"")</f>
        <v/>
      </c>
      <c r="E48" s="94" t="str">
        <f>IF(AND(C48&lt;&gt;"", 'Cost Inputs'!H48&lt;&gt;""), 'Cost Inputs'!H48, "")</f>
        <v/>
      </c>
      <c r="F48" s="94" t="str">
        <f>IF('Cost Inputs'!$I48&lt;&gt;"", 'Cost Inputs'!$I48, "")</f>
        <v/>
      </c>
      <c r="G48" s="94" t="str">
        <f t="shared" si="1"/>
        <v/>
      </c>
      <c r="H48" s="94" t="str">
        <f>IF('Cost Inputs'!$J48&lt;&gt;"", 'Cost Inputs'!$J48, "")</f>
        <v/>
      </c>
      <c r="I48" s="94" t="str">
        <f>IF(AND($E48&lt;&gt;"", $H48&lt;&gt;""), $H48/$E48, "")</f>
        <v/>
      </c>
      <c r="J48" s="94" t="str">
        <f>IF(('Cost Inputs'!I48+'Cost Inputs'!J48+'Cost Inputs'!K48)&gt;0, 'Cost Inputs'!I48+'Cost Inputs'!J48+'Cost Inputs'!K48, "")</f>
        <v/>
      </c>
      <c r="K48" s="94" t="str">
        <f>IF('Cost Inputs'!$N48&gt;0,'Cost Inputs'!$N48,"")</f>
        <v/>
      </c>
      <c r="L48" s="94"/>
      <c r="M48" s="103"/>
      <c r="O48" s="117"/>
      <c r="P48" s="110" t="str">
        <f>IF(O$3="N.B.C.",
IF('Cost Inputs'!$L48="Y", $E48,
IF('Cost Inputs'!$L48="N",
IF(ISNUMBER('Cost Inputs'!$M48), $E48,""),"")),"")</f>
        <v/>
      </c>
      <c r="Q48" s="94" t="str">
        <f>IF(P$3="N.B.C.",
IF('Cost Inputs'!$L48="Y", $E48,
IF('Cost Inputs'!$L48="N", "","")),"")</f>
        <v/>
      </c>
      <c r="R48" s="94" t="str">
        <f>IF(Q$3="N.B.C.",
IF('Cost Inputs'!$L48="Y", $E48,
IF('Cost Inputs'!$L48="N",
IF(AND(ISNUMBER('Cost Inputs'!$M48), OR('Cost Inputs'!$M48=1,'Cost Inputs'!$M48=2)), $E48,""),"")),"")</f>
        <v/>
      </c>
      <c r="S48" s="94" t="str">
        <f>IF(R$3="N.B.C.", IF('Cost Inputs'!$L48="Y", $E48, IF('Cost Inputs'!$L48="N", IF(AND(ISNUMBER('Cost Inputs'!$M48), OR('Cost Inputs'!$M48=1, 'Cost Inputs'!$M48=3)), $E48,""),"")),"")</f>
        <v/>
      </c>
      <c r="T48" s="94" t="str">
        <f>IF(S$3="N.B.C.", IF('Cost Inputs'!$L48="Y", $E48, IF('Cost Inputs'!$L48="N", IF(AND(ISNUMBER('Cost Inputs'!$M48), OR('Cost Inputs'!$M48=1, 'Cost Inputs'!$M48=2, 'Cost Inputs'!$M48=4)), $E48,""),"")),"")</f>
        <v/>
      </c>
      <c r="U48" s="94" t="str">
        <f>IF(T$3="N.B.C.", IF('Cost Inputs'!$L48="Y", $E48, IF('Cost Inputs'!$L48="N", IF(AND(ISNUMBER('Cost Inputs'!$M48), OR('Cost Inputs'!$M48=1, 'Cost Inputs'!$M48=5)), $E48,""),"")),"")</f>
        <v/>
      </c>
      <c r="V48" s="94" t="str">
        <f>IF(U$3="N.B.C.", IF('Cost Inputs'!$L48="Y", $E48, IF('Cost Inputs'!$L48="N", IF(AND(ISNUMBER('Cost Inputs'!$M48), OR('Cost Inputs'!$M48=1, 'Cost Inputs'!$M48=2, 'Cost Inputs'!$M48=3, 'Cost Inputs'!$M48=6)), $E48,""),"")),"")</f>
        <v/>
      </c>
      <c r="W48" s="94" t="str">
        <f>IF(V$3="N.B.C.", IF('Cost Inputs'!$L48="Y", $E48, IF('Cost Inputs'!$L48="N", IF(AND(ISNUMBER('Cost Inputs'!$M48), OR('Cost Inputs'!$M48=1, 'Cost Inputs'!$M48=7)), $E48,""),"")),"")</f>
        <v/>
      </c>
      <c r="X48" s="94" t="str">
        <f>IF(W$3="N.B.C.", IF('Cost Inputs'!$L48="Y", $E48, IF('Cost Inputs'!$L48="N", IF(AND(ISNUMBER('Cost Inputs'!$M48), OR('Cost Inputs'!$M48=1, 'Cost Inputs'!$M48=2,'Cost Inputs'!$M48=4,'Cost Inputs'!$M48=8)), $E48,""),"")),"")</f>
        <v/>
      </c>
      <c r="Y48" s="103" t="str">
        <f>IF($X$3="N.B.C.", IF('Cost Inputs'!$L48="Y", $E48, IF('Cost Inputs'!$L48="N", IF(AND(ISNUMBER('Cost Inputs'!$M48), OR('Cost Inputs'!$M48=1, 'Cost Inputs'!$M48=3,'Cost Inputs'!$M48=9)), $E48,""),"")),"")</f>
        <v/>
      </c>
    </row>
    <row r="49" spans="1:45" x14ac:dyDescent="0.25">
      <c r="A49" s="501"/>
      <c r="B49" s="504"/>
      <c r="C49" s="104" t="str">
        <f>IF(OR('Cost Inputs'!H49&lt;&gt;"", 'Cost Inputs'!I49&lt;&gt;"", 'Cost Inputs'!J49&lt;&gt;""), 'Cost Inputs'!A49, "")</f>
        <v/>
      </c>
      <c r="D49" s="17" t="str">
        <f>IF(AND(C49&lt;&gt;"", 'Cost Inputs'!G49&lt;&gt;""), 'Cost Inputs'!G49, "")</f>
        <v/>
      </c>
      <c r="E49" s="17" t="str">
        <f>IF(AND(C49&lt;&gt;"", 'Cost Inputs'!H49&lt;&gt;""), 'Cost Inputs'!H49, "")</f>
        <v/>
      </c>
      <c r="F49" s="17" t="str">
        <f>IF('Cost Inputs'!$I49&lt;&gt;"", 'Cost Inputs'!$I49, "")</f>
        <v/>
      </c>
      <c r="G49" s="17" t="str">
        <f t="shared" si="1"/>
        <v/>
      </c>
      <c r="H49" s="17" t="str">
        <f>IF('Cost Inputs'!$J49&lt;&gt;"", 'Cost Inputs'!$J49, "")</f>
        <v/>
      </c>
      <c r="I49" s="17" t="str">
        <f t="shared" si="3"/>
        <v/>
      </c>
      <c r="J49" s="17" t="str">
        <f>IF(('Cost Inputs'!I49+'Cost Inputs'!J49+'Cost Inputs'!K49)&gt;0, 'Cost Inputs'!I49+'Cost Inputs'!J49+'Cost Inputs'!K49, "")</f>
        <v/>
      </c>
      <c r="K49" s="17" t="str">
        <f>IF('Cost Inputs'!$N49&gt;0,'Cost Inputs'!$N49,"")</f>
        <v/>
      </c>
      <c r="M49" s="106"/>
      <c r="O49" s="117"/>
      <c r="P49" s="104" t="str">
        <f>IF(O$3="N.B.C.", IF('Cost Inputs'!$L49="Y", $E49, IF('Cost Inputs'!$L49="N", IF(ISNUMBER('Cost Inputs'!$M49), $E49,""),"")),"")</f>
        <v/>
      </c>
      <c r="Q49" s="17" t="str">
        <f>IF(P$3="N.B.C.",
IF('Cost Inputs'!$L49="Y", $E49,
IF('Cost Inputs'!$L49="N", "","")),"")</f>
        <v/>
      </c>
      <c r="R49" s="17" t="str">
        <f>IF(Q$3="N.B.C.",
IF('Cost Inputs'!$L49="Y", $E49,
IF('Cost Inputs'!$L49="N",
IF(AND(ISNUMBER('Cost Inputs'!$M49), OR('Cost Inputs'!$M49=1,'Cost Inputs'!$M49=2)), $E49,""),"")),"")</f>
        <v/>
      </c>
      <c r="S49" s="17" t="str">
        <f>IF(R$3="N.B.C.", IF('Cost Inputs'!$L49="Y", $E49, IF('Cost Inputs'!$L49="N", IF(AND(ISNUMBER('Cost Inputs'!$M49), OR('Cost Inputs'!$M49=1, 'Cost Inputs'!$M49=3)), $E49,""),"")),"")</f>
        <v/>
      </c>
      <c r="T49" s="17" t="str">
        <f>IF(S$3="N.B.C.", IF('Cost Inputs'!$L49="Y", $E49, IF('Cost Inputs'!$L49="N", IF(AND(ISNUMBER('Cost Inputs'!$M49), OR('Cost Inputs'!$M49=1, 'Cost Inputs'!$M49=2, 'Cost Inputs'!$M49=4)), $E49,""),"")),"")</f>
        <v/>
      </c>
      <c r="U49" s="17" t="str">
        <f>IF(T$3="N.B.C.", IF('Cost Inputs'!$L49="Y", $E49, IF('Cost Inputs'!$L49="N", IF(AND(ISNUMBER('Cost Inputs'!$M49), OR('Cost Inputs'!$M49=1, 'Cost Inputs'!$M49=5)), $E49,""),"")),"")</f>
        <v/>
      </c>
      <c r="V49" s="17" t="str">
        <f>IF(U$3="N.B.C.", IF('Cost Inputs'!$L49="Y", $E49, IF('Cost Inputs'!$L49="N", IF(AND(ISNUMBER('Cost Inputs'!$M49), OR('Cost Inputs'!$M49=1, 'Cost Inputs'!$M49=2, 'Cost Inputs'!$M49=3, 'Cost Inputs'!$M49=6)), $E49,""),"")),"")</f>
        <v/>
      </c>
      <c r="W49" s="17" t="str">
        <f>IF(V$3="N.B.C.", IF('Cost Inputs'!$L49="Y", $E49, IF('Cost Inputs'!$L49="N", IF(AND(ISNUMBER('Cost Inputs'!$M49), OR('Cost Inputs'!$M49=1, 'Cost Inputs'!$M49=7)), $E49,""),"")),"")</f>
        <v/>
      </c>
      <c r="X49" s="17" t="str">
        <f>IF(W$3="N.B.C.", IF('Cost Inputs'!$L49="Y", $E49, IF('Cost Inputs'!$L49="N", IF(AND(ISNUMBER('Cost Inputs'!$M49), OR('Cost Inputs'!$M49=1, 'Cost Inputs'!$M49=2,'Cost Inputs'!$M49=4,'Cost Inputs'!$M49=8)), $E49,""),"")),"")</f>
        <v/>
      </c>
      <c r="Y49" s="106" t="str">
        <f>IF($X$3="N.B.C.", IF('Cost Inputs'!$L49="Y", $E49, IF('Cost Inputs'!$L49="N", IF(AND(ISNUMBER('Cost Inputs'!$M49), OR('Cost Inputs'!$M49=1, 'Cost Inputs'!$M49=3,'Cost Inputs'!$M49=9)), $E49,""),"")),"")</f>
        <v/>
      </c>
    </row>
    <row r="50" spans="1:45" x14ac:dyDescent="0.25">
      <c r="A50" s="501"/>
      <c r="B50" s="504"/>
      <c r="C50" s="107" t="str">
        <f>IF(OR('Cost Inputs'!H50&lt;&gt;"", 'Cost Inputs'!I50&lt;&gt;"", 'Cost Inputs'!J50&lt;&gt;""), 'Cost Inputs'!A50, "")</f>
        <v/>
      </c>
      <c r="D50" s="93" t="str">
        <f>IF(AND(C50&lt;&gt;"", 'Cost Inputs'!G50&lt;&gt;""), 'Cost Inputs'!G50, "")</f>
        <v/>
      </c>
      <c r="E50" s="93" t="str">
        <f>IF(AND(C50&lt;&gt;"", 'Cost Inputs'!H50&lt;&gt;""), 'Cost Inputs'!H50, "")</f>
        <v/>
      </c>
      <c r="F50" s="93" t="str">
        <f>IF('Cost Inputs'!$I50&lt;&gt;"", 'Cost Inputs'!$I50, "")</f>
        <v/>
      </c>
      <c r="G50" s="93" t="str">
        <f t="shared" si="1"/>
        <v/>
      </c>
      <c r="H50" s="93" t="str">
        <f>IF('Cost Inputs'!$J50&lt;&gt;"", 'Cost Inputs'!$J50, "")</f>
        <v/>
      </c>
      <c r="I50" s="93" t="str">
        <f t="shared" si="3"/>
        <v/>
      </c>
      <c r="J50" s="93" t="str">
        <f>IF(('Cost Inputs'!I50+'Cost Inputs'!J50+'Cost Inputs'!K50)&gt;0, 'Cost Inputs'!I50+'Cost Inputs'!J50+'Cost Inputs'!K50, "")</f>
        <v/>
      </c>
      <c r="K50" s="93" t="str">
        <f>IF('Cost Inputs'!$N50&gt;0,'Cost Inputs'!$N50,"")</f>
        <v/>
      </c>
      <c r="L50" s="93"/>
      <c r="M50" s="109"/>
      <c r="O50" s="117"/>
      <c r="P50" s="107" t="str">
        <f>IF(O$3="N.B.C.", IF('Cost Inputs'!$L50="Y", $E50, IF('Cost Inputs'!$L50="N", IF(ISNUMBER('Cost Inputs'!$M50), $E50,""),"")),"")</f>
        <v/>
      </c>
      <c r="Q50" s="93" t="str">
        <f>IF(P$3="N.B.C.", IF('Cost Inputs'!$L50="Y", $E50, IF('Cost Inputs'!$L50="N", "","")),"")</f>
        <v/>
      </c>
      <c r="R50" s="93" t="str">
        <f>IF(Q$3="N.B.C.", IF('Cost Inputs'!$L50="Y", $E50, IF('Cost Inputs'!$L50="N", IF(AND(ISNUMBER('Cost Inputs'!$M50), OR('Cost Inputs'!$M50=1,'Cost Inputs'!$M50=2)), $E50,""),"")),"")</f>
        <v/>
      </c>
      <c r="S50" s="93" t="str">
        <f>IF(R$3="N.B.C.", IF('Cost Inputs'!$L50="Y", $E50, IF('Cost Inputs'!$L50="N", IF(AND(ISNUMBER('Cost Inputs'!$M50), OR('Cost Inputs'!$M50=1, 'Cost Inputs'!$M50=3)), $E50,""),"")),"")</f>
        <v/>
      </c>
      <c r="T50" s="93" t="str">
        <f>IF(S$3="N.B.C.", IF('Cost Inputs'!$L50="Y", $E50, IF('Cost Inputs'!$L50="N", IF(AND(ISNUMBER('Cost Inputs'!$M50), OR('Cost Inputs'!$M50=1, 'Cost Inputs'!$M50=2, 'Cost Inputs'!$M50=4)), $E50,""),"")),"")</f>
        <v/>
      </c>
      <c r="U50" s="93" t="str">
        <f>IF(T$3="N.B.C.", IF('Cost Inputs'!$L50="Y", $E50, IF('Cost Inputs'!$L50="N", IF(AND(ISNUMBER('Cost Inputs'!$M50), OR('Cost Inputs'!$M50=1, 'Cost Inputs'!$M50=5)), $E50,""),"")),"")</f>
        <v/>
      </c>
      <c r="V50" s="93" t="str">
        <f>IF(U$3="N.B.C.", IF('Cost Inputs'!$L50="Y", $E50, IF('Cost Inputs'!$L50="N", IF(AND(ISNUMBER('Cost Inputs'!$M50), OR('Cost Inputs'!$M50=1, 'Cost Inputs'!$M50=2, 'Cost Inputs'!$M50=3, 'Cost Inputs'!$M50=6)), $E50,""),"")),"")</f>
        <v/>
      </c>
      <c r="W50" s="93" t="str">
        <f>IF(V$3="N.B.C.", IF('Cost Inputs'!$L50="Y", $E50, IF('Cost Inputs'!$L50="N", IF(AND(ISNUMBER('Cost Inputs'!$M50), OR('Cost Inputs'!$M50=1, 'Cost Inputs'!$M50=7)), $E50,""),"")),"")</f>
        <v/>
      </c>
      <c r="X50" s="93" t="str">
        <f>IF(W$3="N.B.C.", IF('Cost Inputs'!$L50="Y", $E50, IF('Cost Inputs'!$L50="N", IF(AND(ISNUMBER('Cost Inputs'!$M50), OR('Cost Inputs'!$M50=1, 'Cost Inputs'!$M50=2,'Cost Inputs'!$M50=4,'Cost Inputs'!$M50=8)), $E50,""),"")),"")</f>
        <v/>
      </c>
      <c r="Y50" s="109" t="str">
        <f>IF($X$3="N.B.C.", IF('Cost Inputs'!$L50="Y", $E50, IF('Cost Inputs'!$L50="N", IF(AND(ISNUMBER('Cost Inputs'!$M50), OR('Cost Inputs'!$M50=1, 'Cost Inputs'!$M50=3,'Cost Inputs'!$M50=9)), $E50,""),"")),"")</f>
        <v/>
      </c>
    </row>
    <row r="51" spans="1:45" x14ac:dyDescent="0.25">
      <c r="A51" s="501"/>
      <c r="B51" s="504"/>
      <c r="C51" s="104" t="str">
        <f>IF(OR('Cost Inputs'!H51&lt;&gt;"", 'Cost Inputs'!I51&lt;&gt;"", 'Cost Inputs'!J51&lt;&gt;""), 'Cost Inputs'!A51, "")</f>
        <v/>
      </c>
      <c r="D51" s="17" t="str">
        <f>IF(AND(C51&lt;&gt;"", 'Cost Inputs'!G51&lt;&gt;""), 'Cost Inputs'!G51, "")</f>
        <v/>
      </c>
      <c r="E51" s="17" t="str">
        <f>IF(AND(C51&lt;&gt;"", 'Cost Inputs'!H51&lt;&gt;""), 'Cost Inputs'!H51, "")</f>
        <v/>
      </c>
      <c r="F51" s="17" t="str">
        <f>IF('Cost Inputs'!$I51&lt;&gt;"", 'Cost Inputs'!$I51, "")</f>
        <v/>
      </c>
      <c r="G51" s="17" t="str">
        <f t="shared" si="1"/>
        <v/>
      </c>
      <c r="H51" s="17" t="str">
        <f>IF('Cost Inputs'!$J51&lt;&gt;"", 'Cost Inputs'!$J51, "")</f>
        <v/>
      </c>
      <c r="I51" s="17" t="str">
        <f t="shared" si="3"/>
        <v/>
      </c>
      <c r="J51" s="17" t="str">
        <f>IF(('Cost Inputs'!I51+'Cost Inputs'!J51+'Cost Inputs'!K51)&gt;0, 'Cost Inputs'!I51+'Cost Inputs'!J51+'Cost Inputs'!K51, "")</f>
        <v/>
      </c>
      <c r="K51" s="17" t="str">
        <f>IF('Cost Inputs'!$N51&gt;0,'Cost Inputs'!$N51,"")</f>
        <v/>
      </c>
      <c r="M51" s="106"/>
      <c r="O51" s="117"/>
      <c r="P51" s="104" t="str">
        <f>IF(O$3="N.B.C.",
IF('Cost Inputs'!$L51="Y", $E51,
IF('Cost Inputs'!$L51="N",
IF(ISNUMBER('Cost Inputs'!$M51), $E51,""),"")),"")</f>
        <v/>
      </c>
      <c r="Q51" s="17" t="str">
        <f>IF(P$3="N.B.C.", IF('Cost Inputs'!$L51="Y", $E51, IF('Cost Inputs'!$L51="N", "","")),"")</f>
        <v/>
      </c>
      <c r="R51" s="17" t="str">
        <f>IF(Q$3="N.B.C.", IF('Cost Inputs'!$L51="Y", $E51, IF('Cost Inputs'!$L51="N", IF(AND(ISNUMBER('Cost Inputs'!$M51), OR('Cost Inputs'!$M51=1,'Cost Inputs'!$M51=2)), $E51,""),"")),"")</f>
        <v/>
      </c>
      <c r="S51" s="17" t="str">
        <f>IF(R$3="N.B.C.", IF('Cost Inputs'!$L51="Y", $E51, IF('Cost Inputs'!$L51="N", IF(AND(ISNUMBER('Cost Inputs'!$M51), OR('Cost Inputs'!$M51=1, 'Cost Inputs'!$M51=3)), $E51,""),"")),"")</f>
        <v/>
      </c>
      <c r="T51" s="17" t="str">
        <f>IF(S$3="N.B.C.", IF('Cost Inputs'!$L51="Y", $E51, IF('Cost Inputs'!$L51="N", IF(AND(ISNUMBER('Cost Inputs'!$M51), OR('Cost Inputs'!$M51=1, 'Cost Inputs'!$M51=2, 'Cost Inputs'!$M51=4)), $E51,""),"")),"")</f>
        <v/>
      </c>
      <c r="U51" s="17" t="str">
        <f>IF(T$3="N.B.C.", IF('Cost Inputs'!$L51="Y", $E51, IF('Cost Inputs'!$L51="N", IF(AND(ISNUMBER('Cost Inputs'!$M51), OR('Cost Inputs'!$M51=1, 'Cost Inputs'!$M51=5)), $E51,""),"")),"")</f>
        <v/>
      </c>
      <c r="V51" s="17" t="str">
        <f>IF(U$3="N.B.C.", IF('Cost Inputs'!$L51="Y", $E51, IF('Cost Inputs'!$L51="N", IF(AND(ISNUMBER('Cost Inputs'!$M51), OR('Cost Inputs'!$M51=1, 'Cost Inputs'!$M51=2, 'Cost Inputs'!$M51=3, 'Cost Inputs'!$M51=6)), $E51,""),"")),"")</f>
        <v/>
      </c>
      <c r="W51" s="17" t="str">
        <f>IF(V$3="N.B.C.", IF('Cost Inputs'!$L51="Y", $E51, IF('Cost Inputs'!$L51="N", IF(AND(ISNUMBER('Cost Inputs'!$M51), OR('Cost Inputs'!$M51=1, 'Cost Inputs'!$M51=7)), $E51,""),"")),"")</f>
        <v/>
      </c>
      <c r="X51" s="17" t="str">
        <f>IF(W$3="N.B.C.", IF('Cost Inputs'!$L51="Y", $E51, IF('Cost Inputs'!$L51="N", IF(AND(ISNUMBER('Cost Inputs'!$M51), OR('Cost Inputs'!$M51=1, 'Cost Inputs'!$M51=2,'Cost Inputs'!$M51=4,'Cost Inputs'!$M51=8)), $E51,""),"")),"")</f>
        <v/>
      </c>
      <c r="Y51" s="106" t="str">
        <f>IF($X$3="N.B.C.", IF('Cost Inputs'!$L51="Y", $E51, IF('Cost Inputs'!$L51="N", IF(AND(ISNUMBER('Cost Inputs'!$M51), OR('Cost Inputs'!$M51=1, 'Cost Inputs'!$M51=3,'Cost Inputs'!$M51=9)), $E51,""),"")),"")</f>
        <v/>
      </c>
    </row>
    <row r="52" spans="1:45" x14ac:dyDescent="0.25">
      <c r="A52" s="501"/>
      <c r="B52" s="504"/>
      <c r="C52" s="107" t="str">
        <f>IF(OR('Cost Inputs'!H52&lt;&gt;"", 'Cost Inputs'!I52&lt;&gt;"", 'Cost Inputs'!J52&lt;&gt;""), 'Cost Inputs'!A52, "")</f>
        <v/>
      </c>
      <c r="D52" s="93" t="str">
        <f>IF(AND(C52&lt;&gt;"", 'Cost Inputs'!G52&lt;&gt;""), 'Cost Inputs'!G52, "")</f>
        <v/>
      </c>
      <c r="E52" s="93" t="str">
        <f>IF(AND(C52&lt;&gt;"", 'Cost Inputs'!H52&lt;&gt;""), 'Cost Inputs'!H52, "")</f>
        <v/>
      </c>
      <c r="F52" s="93" t="str">
        <f>IF('Cost Inputs'!$I52&lt;&gt;"", 'Cost Inputs'!$I52, "")</f>
        <v/>
      </c>
      <c r="G52" s="93" t="str">
        <f t="shared" si="1"/>
        <v/>
      </c>
      <c r="H52" s="93" t="str">
        <f>IF('Cost Inputs'!$J52&lt;&gt;"", 'Cost Inputs'!$J52, "")</f>
        <v/>
      </c>
      <c r="I52" s="93" t="str">
        <f t="shared" si="3"/>
        <v/>
      </c>
      <c r="J52" s="93" t="str">
        <f>IF(('Cost Inputs'!I52+'Cost Inputs'!J52+'Cost Inputs'!K52)&gt;0, 'Cost Inputs'!I52+'Cost Inputs'!J52+'Cost Inputs'!K52, "")</f>
        <v/>
      </c>
      <c r="K52" s="93" t="str">
        <f>IF('Cost Inputs'!$N52&gt;0,'Cost Inputs'!$N52,"")</f>
        <v/>
      </c>
      <c r="L52" s="93"/>
      <c r="M52" s="109"/>
      <c r="O52" s="117"/>
      <c r="P52" s="107" t="str">
        <f>IF(O$3="N.B.C.", IF('Cost Inputs'!$L52="Y", $E52, IF('Cost Inputs'!$L52="N", IF(ISNUMBER('Cost Inputs'!$M52), $E52,""),"")),"")</f>
        <v/>
      </c>
      <c r="Q52" s="93" t="str">
        <f>IF(P$3="N.B.C.", IF('Cost Inputs'!$L52="Y", $E52, IF('Cost Inputs'!$L52="N", "","")),"")</f>
        <v/>
      </c>
      <c r="R52" s="93" t="str">
        <f>IF(Q$3="N.B.C.",
IF('Cost Inputs'!$L52="Y", $E52,
IF('Cost Inputs'!$L52="N",
IF(AND(ISNUMBER('Cost Inputs'!$M52), OR('Cost Inputs'!$M52=1,'Cost Inputs'!$M52=2)), $E52,""),"")),"")</f>
        <v/>
      </c>
      <c r="S52" s="93" t="str">
        <f>IF(R$3="N.B.C.",
IF('Cost Inputs'!$L52="Y", $E52,
IF('Cost Inputs'!$L52="N",
IF(AND(ISNUMBER('Cost Inputs'!$M52), OR('Cost Inputs'!$M52=1, 'Cost Inputs'!$M52=3)), $E52,""),"")),"")</f>
        <v/>
      </c>
      <c r="T52" s="93" t="str">
        <f>IF(S$3="N.B.C.",
IF('Cost Inputs'!$L52="Y", $E52,
IF('Cost Inputs'!$L52="N",
IF(AND(ISNUMBER('Cost Inputs'!$M52), OR('Cost Inputs'!$M52=1, 'Cost Inputs'!$M52=2, 'Cost Inputs'!$M52=4)), $E52,""),"")),"")</f>
        <v/>
      </c>
      <c r="U52" s="93" t="str">
        <f>IF(T$3="N.B.C.", IF('Cost Inputs'!$L52="Y", $E52, IF('Cost Inputs'!$L52="N", IF(AND(ISNUMBER('Cost Inputs'!$M52), OR('Cost Inputs'!$M52=1, 'Cost Inputs'!$M52=5)), $E52,""),"")),"")</f>
        <v/>
      </c>
      <c r="V52" s="93" t="str">
        <f>IF(U$3="N.B.C.", IF('Cost Inputs'!$L52="Y", $E52, IF('Cost Inputs'!$L52="N", IF(AND(ISNUMBER('Cost Inputs'!$M52), OR('Cost Inputs'!$M52=1, 'Cost Inputs'!$M52=2, 'Cost Inputs'!$M52=3, 'Cost Inputs'!$M52=6)), $E52,""),"")),"")</f>
        <v/>
      </c>
      <c r="W52" s="93" t="str">
        <f>IF(V$3="N.B.C.", IF('Cost Inputs'!$L52="Y", $E52, IF('Cost Inputs'!$L52="N", IF(AND(ISNUMBER('Cost Inputs'!$M52), OR('Cost Inputs'!$M52=1, 'Cost Inputs'!$M52=7)), $E52,""),"")),"")</f>
        <v/>
      </c>
      <c r="X52" s="93" t="str">
        <f>IF(W$3="N.B.C.", IF('Cost Inputs'!$L52="Y", $E52, IF('Cost Inputs'!$L52="N", IF(AND(ISNUMBER('Cost Inputs'!$M52), OR('Cost Inputs'!$M52=1, 'Cost Inputs'!$M52=2,'Cost Inputs'!$M52=4,'Cost Inputs'!$M52=8)), $E52,""),"")),"")</f>
        <v/>
      </c>
      <c r="Y52" s="109" t="str">
        <f>IF($X$3="N.B.C.", IF('Cost Inputs'!$L52="Y", $E52, IF('Cost Inputs'!$L52="N", IF(AND(ISNUMBER('Cost Inputs'!$M52), OR('Cost Inputs'!$M52=1, 'Cost Inputs'!$M52=3,'Cost Inputs'!$M52=9)), $E52,""),"")),"")</f>
        <v/>
      </c>
    </row>
    <row r="53" spans="1:45" x14ac:dyDescent="0.25">
      <c r="A53" s="501"/>
      <c r="B53" s="504"/>
      <c r="C53" s="104" t="str">
        <f>IF(OR('Cost Inputs'!H53&lt;&gt;"", 'Cost Inputs'!I53&lt;&gt;"", 'Cost Inputs'!J53&lt;&gt;""), 'Cost Inputs'!A53, "")</f>
        <v/>
      </c>
      <c r="D53" s="17" t="str">
        <f>IF(AND(C53&lt;&gt;"", 'Cost Inputs'!G53&lt;&gt;""), 'Cost Inputs'!G53, "")</f>
        <v/>
      </c>
      <c r="E53" s="17" t="str">
        <f>IF(AND(C53&lt;&gt;"", 'Cost Inputs'!H53&lt;&gt;""), 'Cost Inputs'!H53, "")</f>
        <v/>
      </c>
      <c r="F53" s="17" t="str">
        <f>IF('Cost Inputs'!$I53&lt;&gt;"", 'Cost Inputs'!$I53, "")</f>
        <v/>
      </c>
      <c r="G53" s="17" t="str">
        <f t="shared" si="1"/>
        <v/>
      </c>
      <c r="H53" s="17" t="str">
        <f>IF('Cost Inputs'!$J53&lt;&gt;"", 'Cost Inputs'!$J53, "")</f>
        <v/>
      </c>
      <c r="I53" s="17" t="str">
        <f t="shared" si="3"/>
        <v/>
      </c>
      <c r="J53" s="17" t="str">
        <f>IF(('Cost Inputs'!I53+'Cost Inputs'!J53+'Cost Inputs'!K53)&gt;0, 'Cost Inputs'!I53+'Cost Inputs'!J53+'Cost Inputs'!K53, "")</f>
        <v/>
      </c>
      <c r="K53" s="17" t="str">
        <f>IF('Cost Inputs'!$N53&gt;0,'Cost Inputs'!$N53,"")</f>
        <v/>
      </c>
      <c r="M53" s="106"/>
      <c r="O53" s="117"/>
      <c r="P53" s="104" t="str">
        <f>IF(O$3="N.B.C.", IF('Cost Inputs'!$L53="Y", $E53, IF('Cost Inputs'!$L53="N", IF(ISNUMBER('Cost Inputs'!$M53), $E53,""),"")),"")</f>
        <v/>
      </c>
      <c r="Q53" s="17" t="str">
        <f>IF(P$3="N.B.C.", IF('Cost Inputs'!$L53="Y", $E53, IF('Cost Inputs'!$L53="N", "","")),"")</f>
        <v/>
      </c>
      <c r="R53" s="17" t="str">
        <f>IF(Q$3="N.B.C.", IF('Cost Inputs'!$L53="Y", $E53, IF('Cost Inputs'!$L53="N", IF(AND(ISNUMBER('Cost Inputs'!$M53), OR('Cost Inputs'!$M53=1,'Cost Inputs'!$M53=2)), $E53,""),"")),"")</f>
        <v/>
      </c>
      <c r="S53" s="17" t="str">
        <f>IF(R$3="N.B.C.", IF('Cost Inputs'!$L53="Y", $E53, IF('Cost Inputs'!$L53="N", IF(AND(ISNUMBER('Cost Inputs'!$M53), OR('Cost Inputs'!$M53=1, 'Cost Inputs'!$M53=3)), $E53,""),"")),"")</f>
        <v/>
      </c>
      <c r="T53" s="17" t="str">
        <f>IF(S$3="N.B.C.", IF('Cost Inputs'!$L53="Y", $E53, IF('Cost Inputs'!$L53="N", IF(AND(ISNUMBER('Cost Inputs'!$M53), OR('Cost Inputs'!$M53=1, 'Cost Inputs'!$M53=2, 'Cost Inputs'!$M53=4)), $E53,""),"")),"")</f>
        <v/>
      </c>
      <c r="U53" s="17" t="str">
        <f>IF(T$3="N.B.C.", IF('Cost Inputs'!$L53="Y", $E53, IF('Cost Inputs'!$L53="N", IF(AND(ISNUMBER('Cost Inputs'!$M53), OR('Cost Inputs'!$M53=1, 'Cost Inputs'!$M53=5)), $E53,""),"")),"")</f>
        <v/>
      </c>
      <c r="V53" s="17" t="str">
        <f>IF(U$3="N.B.C.", IF('Cost Inputs'!$L53="Y", $E53, IF('Cost Inputs'!$L53="N", IF(AND(ISNUMBER('Cost Inputs'!$M53), OR('Cost Inputs'!$M53=1, 'Cost Inputs'!$M53=2, 'Cost Inputs'!$M53=3, 'Cost Inputs'!$M53=6)), $E53,""),"")),"")</f>
        <v/>
      </c>
      <c r="W53" s="17" t="str">
        <f>IF(V$3="N.B.C.", IF('Cost Inputs'!$L53="Y", $E53, IF('Cost Inputs'!$L53="N", IF(AND(ISNUMBER('Cost Inputs'!$M53), OR('Cost Inputs'!$M53=1, 'Cost Inputs'!$M53=7)), $E53,""),"")),"")</f>
        <v/>
      </c>
      <c r="X53" s="17" t="str">
        <f>IF(W$3="N.B.C.", IF('Cost Inputs'!$L53="Y", $E53, IF('Cost Inputs'!$L53="N", IF(AND(ISNUMBER('Cost Inputs'!$M53), OR('Cost Inputs'!$M53=1, 'Cost Inputs'!$M53=2,'Cost Inputs'!$M53=4,'Cost Inputs'!$M53=8)), $E53,""),"")),"")</f>
        <v/>
      </c>
      <c r="Y53" s="106" t="str">
        <f>IF($X$3="N.B.C.", IF('Cost Inputs'!$L53="Y", $E53, IF('Cost Inputs'!$L53="N", IF(AND(ISNUMBER('Cost Inputs'!$M53), OR('Cost Inputs'!$M53=1, 'Cost Inputs'!$M53=3,'Cost Inputs'!$M53=9)), $E53,""),"")),"")</f>
        <v/>
      </c>
    </row>
    <row r="54" spans="1:45" x14ac:dyDescent="0.25">
      <c r="A54" s="501"/>
      <c r="B54" s="504"/>
      <c r="C54" s="107" t="str">
        <f>IF(OR('Cost Inputs'!H54&lt;&gt;"", 'Cost Inputs'!I54&lt;&gt;"", 'Cost Inputs'!J54&lt;&gt;""), 'Cost Inputs'!A54, "")</f>
        <v/>
      </c>
      <c r="D54" s="93" t="str">
        <f>IF(AND(C54&lt;&gt;"", 'Cost Inputs'!G54&lt;&gt;""), 'Cost Inputs'!G54, "")</f>
        <v/>
      </c>
      <c r="E54" s="93" t="str">
        <f>IF(AND(C54&lt;&gt;"", 'Cost Inputs'!H54&lt;&gt;""), 'Cost Inputs'!H54, "")</f>
        <v/>
      </c>
      <c r="F54" s="93" t="str">
        <f>IF('Cost Inputs'!$I54&lt;&gt;"", 'Cost Inputs'!$I54, "")</f>
        <v/>
      </c>
      <c r="G54" s="93" t="str">
        <f t="shared" si="1"/>
        <v/>
      </c>
      <c r="H54" s="93" t="str">
        <f>IF('Cost Inputs'!$J54&lt;&gt;"", 'Cost Inputs'!$J54, "")</f>
        <v/>
      </c>
      <c r="I54" s="93" t="str">
        <f t="shared" si="3"/>
        <v/>
      </c>
      <c r="J54" s="93" t="str">
        <f>IF(('Cost Inputs'!I54+'Cost Inputs'!J54+'Cost Inputs'!K54)&gt;0, 'Cost Inputs'!I54+'Cost Inputs'!J54+'Cost Inputs'!K54, "")</f>
        <v/>
      </c>
      <c r="K54" s="93" t="str">
        <f>IF('Cost Inputs'!$N54&gt;0,'Cost Inputs'!$N54,"")</f>
        <v/>
      </c>
      <c r="L54" s="93"/>
      <c r="M54" s="109"/>
      <c r="O54" s="117"/>
      <c r="P54" s="107" t="str">
        <f>IF(O$3="N.B.C.",
IF('Cost Inputs'!$L54="Y", $E54,
IF('Cost Inputs'!$L54="N",
IF(ISNUMBER('Cost Inputs'!$M54), $E54,""),"")),"")</f>
        <v/>
      </c>
      <c r="Q54" s="93" t="str">
        <f>IF(P$3="N.B.C.", IF('Cost Inputs'!$L54="Y", $E54, IF('Cost Inputs'!$L54="N", "","")),"")</f>
        <v/>
      </c>
      <c r="R54" s="93" t="str">
        <f>IF(Q$3="N.B.C.",
IF('Cost Inputs'!$L54="Y", $E54,
IF('Cost Inputs'!$L54="N",
IF(AND(ISNUMBER('Cost Inputs'!$M54), OR('Cost Inputs'!$M54=1,'Cost Inputs'!$M54=2)), $E54,""),"")),"")</f>
        <v/>
      </c>
      <c r="S54" s="93" t="str">
        <f>IF(R$3="N.B.C.", IF('Cost Inputs'!$L54="Y", $E54, IF('Cost Inputs'!$L54="N", IF(AND(ISNUMBER('Cost Inputs'!$M54), OR('Cost Inputs'!$M54=1, 'Cost Inputs'!$M54=3)), $E54,""),"")),"")</f>
        <v/>
      </c>
      <c r="T54" s="93" t="str">
        <f>IF(S$3="N.B.C.",
IF('Cost Inputs'!$L54="Y", $E54,
IF('Cost Inputs'!$L54="N",
IF(AND(ISNUMBER('Cost Inputs'!$M54), OR('Cost Inputs'!$M54=1, 'Cost Inputs'!$M54=2, 'Cost Inputs'!$M54=4)), $E54,""),"")),"")</f>
        <v/>
      </c>
      <c r="U54" s="93" t="str">
        <f>IF(T$3="N.B.C.",
IF('Cost Inputs'!$L54="Y", $E54,
IF('Cost Inputs'!$L54="N",
IF(AND(ISNUMBER('Cost Inputs'!$M54), OR('Cost Inputs'!$M54=1, 'Cost Inputs'!$M54=5)), $E54,""),"")),"")</f>
        <v/>
      </c>
      <c r="V54" s="93" t="str">
        <f>IF(U$3="N.B.C.",
IF('Cost Inputs'!$L54="Y", $E54,
IF('Cost Inputs'!$L54="N",
IF(AND(ISNUMBER('Cost Inputs'!$M54), OR('Cost Inputs'!$M54=1, 'Cost Inputs'!$M54=2, 'Cost Inputs'!$M54=3, 'Cost Inputs'!$M54=6)), $E54,""),"")),"")</f>
        <v/>
      </c>
      <c r="W54" s="93" t="str">
        <f>IF(V$3="N.B.C.",
IF('Cost Inputs'!$L54="Y", $E54,
IF('Cost Inputs'!$L54="N",
IF(AND(ISNUMBER('Cost Inputs'!$M54), OR('Cost Inputs'!$M54=1, 'Cost Inputs'!$M54=7)), $E54,""),"")),"")</f>
        <v/>
      </c>
      <c r="X54" s="93" t="str">
        <f>IF(W$3="N.B.C.",
IF('Cost Inputs'!$L54="Y", $E54,
IF('Cost Inputs'!$L54="N",
IF(AND(ISNUMBER('Cost Inputs'!$M54), OR('Cost Inputs'!$M54=1, 'Cost Inputs'!$M54=2,'Cost Inputs'!$M54=4,'Cost Inputs'!$M54=8)), $E54,""),"")),"")</f>
        <v/>
      </c>
      <c r="Y54" s="109" t="str">
        <f>IF($X$3="N.B.C.", IF('Cost Inputs'!$L54="Y", $E54, IF('Cost Inputs'!$L54="N", IF(AND(ISNUMBER('Cost Inputs'!$M54), OR('Cost Inputs'!$M54=1, 'Cost Inputs'!$M54=3,'Cost Inputs'!$M54=9)), $E54,""),"")),"")</f>
        <v/>
      </c>
    </row>
    <row r="55" spans="1:45" x14ac:dyDescent="0.25">
      <c r="A55" s="501"/>
      <c r="B55" s="504"/>
      <c r="C55" s="489" t="str">
        <f>IF(OR('Breeding Inputs'!I17="Y",'Model_ of_individuals'!C48&lt;&gt;""), "Percentage decrease in marker culling","")</f>
        <v/>
      </c>
      <c r="D55" s="490"/>
      <c r="E55" s="490"/>
      <c r="F55" s="490"/>
      <c r="G55" s="490"/>
      <c r="H55" s="490"/>
      <c r="I55" s="490"/>
      <c r="J55" s="490"/>
      <c r="K55" s="490"/>
      <c r="L55" s="490"/>
      <c r="M55" s="491"/>
      <c r="O55" s="117"/>
      <c r="P55" s="365" t="str">
        <f>IF(P$48&lt;&gt;"",
IF(DNA_test_G="Y",
IF(MAS_Cull_G&lt;&gt;"",
IF(Parent_Use_G&lt;&gt;"",
IF(AND(Parent_Use_G=0, Input_Dec_G&lt;&gt;""), Input_Dec_G,""),""),""),""),"")</f>
        <v/>
      </c>
      <c r="Q55" s="366" t="str">
        <f>IF(Q$48&lt;&gt;"",
IF(DNA_test_G="Y",
IF(MAS_Cull_G&lt;&gt;"",
IF(Parent_Use_G&lt;&gt;"",
IF(AND(Parent_Use_G=1, Input_Dec_G&lt;&gt;""), Input_Dec_G,
IF(AND(Parent_Use_G=0, Input_Dec_G&lt;&gt;"", ((Input_Dec_G)*2)&lt;1), (Input_Dec_G)*2,
IF(AND(Parent_Use_G=0, Input_Dec_G&lt;&gt;""), 1,
IF(ISNUMBER(P55), P55,"")))),""),""),""),"")</f>
        <v/>
      </c>
      <c r="R55" s="366" t="str">
        <f>IF(R$48&lt;&gt;"",
IF(DNA_test_G="Y",
IF(MAS_Cull_G&lt;&gt;"",
IF(Parent_Use_G&lt;&gt;"",
IF(AND(Parent_Use_G=2, Input_Dec_G&lt;&gt;""), Input_Dec_G,
IF(AND(Parent_Use_G=1, Input_Dec_G&lt;&gt;"", ((Input_Dec_G)*2)&lt;1), (Input_Dec_G)*2,
IF(AND(Parent_Use_G=1, Input_Dec_G&lt;&gt;""), 1,
IF(AND(Parent_Use_G=0, Input_Dec_G&lt;&gt;"", ((Input_Dec_G)*3)&lt;1), (Input_Dec_G)*3,
IF(AND(Parent_Use_G=0, Input_Dec_G&lt;&gt;""), 1,
IF(ISNUMBER(Q55), Q55,"")))))),""),""),""),"")</f>
        <v/>
      </c>
      <c r="S55" s="366" t="str">
        <f>IF(S$48&lt;&gt;"",
IF(DNA_test_G="Y",
IF(MAS_Cull_G&lt;&gt;"",
IF(Parent_Use_G&lt;&gt;"",
IF(AND(Parent_Use_G=3, Input_Dec_G&lt;&gt;""), Input_Dec_G,
IF(AND(Parent_Use_G=1, Input_Dec_G&lt;&gt;"", ((Input_Dec_G)*3)&lt;1), (Input_Dec_G)*3,
IF(AND(Parent_Use_G=1, Input_Dec_G&lt;&gt;""), 1,
IF(AND(Parent_Use_G=0, Input_Dec_G&lt;&gt;"", ((Input_Dec_G)*4)&lt;1), (Input_Dec_G)*4,
IF(AND(Parent_Use_G=0, Input_Dec_G&lt;&gt;""), 1,
IF(ISNUMBER(R55), R55,"")))))),""),""), ""),"")</f>
        <v/>
      </c>
      <c r="T55" s="366" t="str">
        <f>IF(T$48&lt;&gt;"",
IF(DNA_test_G="Y",
IF(MAS_Cull_G&lt;&gt;"",
IF(Parent_Use_G&lt;&gt;"",
IF(AND(Parent_Use_G=4, Input_Dec_G&lt;&gt;""), Input_Dec_G,
IF(AND(Parent_Use_G=2, Input_Dec_G&lt;&gt;"", ((Input_Dec_G)*2)&lt;1), (Input_Dec_G)*2,
IF(AND(Parent_Use_G=2, Input_Dec_G&lt;&gt;""), 1,
IF(AND(Parent_Use_G=1, Input_Dec_G&lt;&gt;"", ((Input_Dec_G)*4)&lt;1), (Input_Dec_G)*4,
IF(AND(Parent_Use_G=1, Input_Dec_G&lt;&gt;""), 1,
IF(AND(Parent_Use_G=0, Input_Dec_G&lt;&gt;"", ((Input_Dec_G)*5)&lt;1), (Input_Dec_G)*5,
IF(AND(Parent_Use_G=0, Input_Dec_G&lt;&gt;""), 1,
IF(ISNUMBER(S55), S55,"")))))))),""),""),""),"")</f>
        <v/>
      </c>
      <c r="U55" s="366" t="str">
        <f>IF(U$48&lt;&gt;"",
IF(DNA_test_G="Y",
IF(MAS_Cull_G&lt;&gt;"",
IF(Parent_Use_G&lt;&gt;"",
IF(AND(Parent_Use_G=5, Input_Dec_G&lt;&gt;""), Input_Dec_G,
IF(AND(Parent_Use_G=1, Input_Dec_G&lt;&gt;"", ((Input_Dec_G)*5)&lt;1), (Input_Dec_G)*5,
IF(AND(Parent_Use_G=1, Input_Dec_G&lt;&gt;""), 1,
IF(AND(Parent_Use_G=0, Input_Dec_G&lt;&gt;"", ((Input_Dec_G)*6)&lt;1), (Input_Dec_G)*6,
IF(AND(Parent_Use_G=0, Input_Dec_G&lt;&gt;""), 1,
IF(ISNUMBER(T55), T55,"")))))),""),""),""),"")</f>
        <v/>
      </c>
      <c r="V55" s="366" t="str">
        <f>IF(V$48&lt;&gt;"",
IF(DNA_test_G="Y",
IF(MAS_Cull_G&lt;&gt;"",
IF(Parent_Use_G&lt;&gt;"",
IF(AND(Parent_Use_G=6, Input_Dec_G&lt;&gt;""), Input_Dec_G,
IF(AND(Parent_Use_G=3, Input_Dec_G&lt;&gt;"", ((Input_Dec_G)*2)&lt;1), (Input_Dec_G)*2,
IF(AND(Parent_Use_G=3, Input_Dec_G&lt;&gt;""), 1,
IF(AND(Parent_Use_G=2, Input_Dec_G&lt;&gt;"", ((Input_Dec_G)*3)&lt;1), (Input_Dec_G)*3,
IF(AND(Parent_Use_G=2, Input_Dec_G&lt;&gt;""), 1,
IF(AND(Parent_Use_G=1, Input_Dec_G&lt;&gt;"", ((Input_Dec_G)*6)&lt;1), (Input_Dec_G)*6,
IF(AND(Parent_Use_G=1, Input_Dec_G&lt;&gt;""), 1,
IF(AND(Parent_Use_G=0, Input_Dec_G&lt;&gt;"", ((Input_Dec_G)*7)&lt;1), (Input_Dec_G)*7,
IF(AND(Parent_Use_G=0, Input_Dec_G&lt;&gt;""), 1,
IF(ISNUMBER(U55), U55,"")))))))))),""),""),""),"")</f>
        <v/>
      </c>
      <c r="W55" s="366" t="str">
        <f>IF(W$48&lt;&gt;"",
IF(DNA_test_G="Y",
IF(MAS_Cull_G&lt;&gt;"",
IF(Parent_Use_G&lt;&gt;"",
IF(AND(Parent_Use_G=7, Input_Dec_G&lt;&gt;""), Input_Dec_G,
IF(AND(Parent_Use_G=1, Input_Dec_G&lt;&gt;"", ((Input_Dec_G)*7)&lt;1), (Input_Dec_G)*7,
IF(AND(Parent_Use_G=1, Input_Dec_G&lt;&gt;""), 1,
IF(AND(Parent_Use_G=0, Input_Dec_G&lt;&gt;"", ((Input_Dec_G)*8)&lt;1), (Input_Dec_G)*8,
IF(AND(Parent_Use_G=0, Input_Dec_G&lt;&gt;""), 1,
IF(ISNUMBER(V55), V55,"")))))),""),""),""),"")</f>
        <v/>
      </c>
      <c r="X55" s="366" t="str">
        <f>IF(X$48&lt;&gt;"",
IF(DNA_test_G="Y",
IF(MAS_Cull_G&lt;&gt;"",
IF(Parent_Use_G&lt;&gt;"",
IF(AND(Parent_Use_G=8, Input_Dec_G&lt;&gt;""), Input_Dec_G,
IF(AND(Parent_Use_G=4, Input_Dec_G&lt;&gt;"", ((Input_Dec_G)*2)&lt;1), (Input_Dec_G)*2,
IF(AND(Parent_Use_G=4, Input_Dec_G&lt;&gt;""), 1,
IF(AND(Parent_Use_G=2, Input_Dec_G&lt;&gt;"", ((Input_Dec_G)*4)&lt;1), (Input_Dec_G)*4,
IF(AND(Parent_Use_G=2, Input_Dec_G&lt;&gt;""), 1,
IF(AND(Parent_Use_G=1, Input_Dec_G&lt;&gt;"", ((Input_Dec_G)*8)&lt;1), (Input_Dec_G)*8,
IF(AND(Parent_Use_G=1, Input_Dec_G&lt;&gt;""), 1,
IF(AND(Parent_Use_G=0, Input_Dec_G&lt;&gt;"", ((Input_Dec_G)*9)&lt;1), (Input_Dec_G)*9,
IF(AND(Parent_Use_G=0, Input_Dec_G&lt;&gt;""), 1,
IF(ISNUMBER(W55), W55,"")))))))))),""),""),""),"")</f>
        <v/>
      </c>
      <c r="Y55" s="367" t="str">
        <f>IF(Y$48&lt;&gt;"",
IF(DNA_test_G="Y",
IF(MAS_Cull_G&lt;&gt;"",
IF(Parent_Use_G&lt;&gt;"",
IF(AND(Parent_Use_G=9, Input_Dec_G&lt;&gt;""), Input_Dec_G,
IF(AND(Parent_Use_G=3, Input_Dec_G&lt;&gt;"", ((Input_Dec_G)*3)&lt;1), (Input_Dec_G)*3,
IF(AND(Parent_Use_G=3, Input_Dec_G&lt;&gt;""), 1,
IF(AND(Parent_Use_G=1, Input_Dec_G&lt;&gt;"", ((Input_Dec_G)*9)&lt;1), (Input_Dec_G)*9,
IF(AND(Parent_Use_G=1, Input_Dec_G&lt;&gt;""), 1,
IF(AND(Parent_Use_G=0, Input_Dec_G&lt;&gt;"", ((Input_Dec_G)*10)&lt;1), (Input_Dec_G)*10,
IF(AND(Parent_Use_G=0, Input_Dec_G&lt;&gt;""), 1,
IF(ISNUMBER(X55), X55,"")))))))),""),""),""),"")</f>
        <v/>
      </c>
    </row>
    <row r="56" spans="1:45" x14ac:dyDescent="0.25">
      <c r="A56" s="501"/>
      <c r="B56" s="504"/>
      <c r="C56" s="110" t="str">
        <f>'Cost Inputs'!A55</f>
        <v>2.3 Container production</v>
      </c>
      <c r="D56" s="94" t="str">
        <f>IF(OR('Cost Inputs'!H55&lt;&gt;"", 'Cost Inputs'!I55&lt;&gt;"", 'Cost Inputs'!J55&lt;&gt;""), 'Cost Inputs'!G55,"")</f>
        <v/>
      </c>
      <c r="E56" s="94" t="str">
        <f>IF(AND(C56&lt;&gt;"", 'Cost Inputs'!H55&lt;&gt;""), 'Cost Inputs'!H55, "")</f>
        <v/>
      </c>
      <c r="F56" s="94" t="str">
        <f>IF('Cost Inputs'!$I55&lt;&gt;"", 'Cost Inputs'!$I55, "")</f>
        <v/>
      </c>
      <c r="G56" s="94" t="str">
        <f t="shared" si="1"/>
        <v/>
      </c>
      <c r="H56" s="94" t="str">
        <f>IF('Cost Inputs'!$J55&lt;&gt;"", 'Cost Inputs'!$J55, "")</f>
        <v/>
      </c>
      <c r="I56" s="94" t="str">
        <f>IF(AND($E56&lt;&gt;"", $H56&lt;&gt;""), $H56/$E56, "")</f>
        <v/>
      </c>
      <c r="J56" s="94" t="str">
        <f>IF(('Cost Inputs'!I55+'Cost Inputs'!J55+'Cost Inputs'!K55)&gt;0, 'Cost Inputs'!I55+'Cost Inputs'!J55+'Cost Inputs'!K55, "")</f>
        <v/>
      </c>
      <c r="K56" s="94" t="str">
        <f>IF('Cost Inputs'!$N55&gt;0,'Cost Inputs'!$N55,"")</f>
        <v/>
      </c>
      <c r="L56" s="94"/>
      <c r="M56" s="103"/>
      <c r="O56" s="117"/>
      <c r="P56" s="110" t="str">
        <f>IF(O$3="N.B.C.",
IF(AND('Cost Inputs'!$L55="Y", P55&lt;&gt;"", P$48&lt;&gt;""), P$42-($P$48*MAS_Cull_G*P$55),
IF(AND('Cost Inputs'!$L55="Y", P55="", P$48&lt;&gt;""), P$42-($P$48*MAS_Cull_G),
IF(AND('Cost Inputs'!$L55="N", P55&lt;&gt;"",  P$48&lt;&gt;""),  P$42-($P$48*MAS_Cull_G*P$55),
IF(AND('Cost Inputs'!$L55="N", P55="", P$48&lt;&gt;""), P$42-($P$48*MAS_Cull_G),
IF($E56&lt;&gt;"", $E56, ""))))),"")</f>
        <v/>
      </c>
      <c r="Q56" s="94" t="str">
        <f>IF(P$3="N.B.C.",
IF(AND('Cost Inputs'!$L55="Y", Q55&lt;&gt;"", Q48&lt;&gt;""), Q$42-(Q$48*MAS_Cull_G*Q$55),
IF(AND('Cost Inputs'!$L55="Y", Q55="",  Q48&lt;&gt;""), Q$42-(Q$48*MAS_Cull_G),
IF($E56&lt;&gt;"", $E56,
IF('Cost Inputs'!$L55="N", "", "")))),"")</f>
        <v/>
      </c>
      <c r="R56" s="94" t="str">
        <f>IF(P$3="N.B.C.",
IF(AND('Cost Inputs'!$L55="Y", R55&lt;&gt;"", R48&lt;&gt;""), R$42-(R$48*(MAS_Cull_G-R$55)),
IF(AND('Cost Inputs'!$L55="Y", R55="",  R48&lt;&gt;""), R$42-(R$48*MAS_Cull_G),
IF($E56&lt;&gt;"", $E56,
IF('Cost Inputs'!$L55="N",
IF(AND(ISNUMBER('Cost Inputs'!$M55), OR('Cost Inputs'!$M55=1,'Cost Inputs'!$M55=2)),
IF(AND(R55&lt;&gt;"", R48&lt;&gt;""), R$42-(R$48*(MAS_Cull_G-R$55)),
IF(AND(R55="",  R48&lt;&gt;""), R$42-(R$48*MAS_Cull_G),
IF($E56&lt;&gt;"", $E56, ""))), ""), "")))), "")</f>
        <v/>
      </c>
      <c r="S56" s="94" t="str">
        <f>IF(R$3="N.B.C.",
IF(AND('Cost Inputs'!$L55="Y", S55&lt;&gt;"", S48&lt;&gt;""), S$42-(S$48*(MAS_Cull_G-S$55)),
IF(AND('Cost Inputs'!$L55="Y", S55="",  S48&lt;&gt;""), S$42-(S$48*MAS_Cull_G),
IF($E56&lt;&gt;"", $E56,
IF('Cost Inputs'!$L55="N",
IF(AND(ISNUMBER('Cost Inputs'!$M55), OR('Cost Inputs'!$M55=1,'Cost Inputs'!$M55=3)),
IF(AND(S55&lt;&gt;"", S48&lt;&gt;""), S$42-(S$48*(MAS_Cull_G-S$55)),
IF(AND(S55="",  S48&lt;&gt;""), S$42-(S$48*MAS_Cull_G),
IF($E56&lt;&gt;"", $E56, ""))), ""), "")))), "")</f>
        <v/>
      </c>
      <c r="T56" s="94" t="str">
        <f>IF(S$3="N.B.C.",
IF(AND('Cost Inputs'!$L55="Y", T55&lt;&gt;"", T48&lt;&gt;""), T$42-(T$48*(MAS_Cull_G-T$55)),
IF(AND('Cost Inputs'!$L55="Y", T55="",  T48&lt;&gt;""), T$42-(T$48*MAS_Cull_G),
IF($E56&lt;&gt;"", $E56,
IF('Cost Inputs'!$L55="N",
IF(AND(ISNUMBER('Cost Inputs'!$M55), OR('Cost Inputs'!$M55=1,'Cost Inputs'!$M55=2,'Cost Inputs'!$M55=4)),
IF(AND(T55&lt;&gt;"", T48&lt;&gt;""), T$42-(T$48*(MAS_Cull_G-T$55)),
IF(AND(T55="",  T48&lt;&gt;""), T$42-(T$48*MAS_Cull_G),
IF($E56&lt;&gt;"", $E56, ""))), ""), "")))), "")</f>
        <v/>
      </c>
      <c r="U56" s="94" t="str">
        <f>IF(T$3="N.B.C.",
IF(AND('Cost Inputs'!$L55="Y", U55&lt;&gt;"", U48&lt;&gt;""), U$42-(U$48*(MAS_Cull_G-U$55)),
IF(AND('Cost Inputs'!$L55="Y", U55="",  U48&lt;&gt;""), U$42-(U$48*MAS_Cull_G),
IF($E56&lt;&gt;"", $E56,
IF('Cost Inputs'!$L55="N",
IF(AND(ISNUMBER('Cost Inputs'!$M55), OR('Cost Inputs'!$M55=1,'Cost Inputs'!$M55=5)),
IF(AND(U55&lt;&gt;"", U48&lt;&gt;""), U$42-(U$48*(MAS_Cull_G-U$55)),
IF(AND(U55="",  U48&lt;&gt;""), U$42-(U$48*MAS_Cull_G),
IF($E56&lt;&gt;"", $E56, ""))), ""), "")))), "")</f>
        <v/>
      </c>
      <c r="V56" s="359" t="str">
        <f>IF(U$3="N.B.C.",
IF(AND('Cost Inputs'!$L55="Y", V55&lt;&gt;"", V48&lt;&gt;""), V$42-(V$48*(MAS_Cull_G-V$55)),
IF(AND('Cost Inputs'!$L55="Y", V55="",  V48&lt;&gt;""), V$42-(V$48*MAS_Cull_G),
IF($E56&lt;&gt;"", $E56,
IF('Cost Inputs'!$L55="N",
IF(AND(ISNUMBER('Cost Inputs'!$M55), OR('Cost Inputs'!$M55=1,'Cost Inputs'!$M55=2,'Cost Inputs'!$M55=3,'Cost Inputs'!$M55=6)),
IF(AND(V55&lt;&gt;"", V48&lt;&gt;""), V$42-(V$48*(MAS_Cull_G-V$55)),
IF(AND(V55="",  V48&lt;&gt;""), V$42-(V$48*MAS_Cull_G),
IF($E56&lt;&gt;"", $E56, ""))), ""), "")))), "")</f>
        <v/>
      </c>
      <c r="W56" s="359" t="str">
        <f>IF(V$3="N.B.C.",
IF(AND('Cost Inputs'!$L55="Y", W55&lt;&gt;"", W48&lt;&gt;""), W$42-(W$48*(MAS_Cull_G-W$55)),
IF(AND('Cost Inputs'!$L55="Y", W55="",  W48&lt;&gt;""), W$42-(W$48*MAS_Cull_G),
IF($E56&lt;&gt;"", $E56,
IF('Cost Inputs'!$L55="N",
IF(AND(ISNUMBER('Cost Inputs'!$M55), OR('Cost Inputs'!$M55=1,'Cost Inputs'!$M55=7)),
IF(AND(W55&lt;&gt;"", W48&lt;&gt;""), W$42-(W$48*(MAS_Cull_G-W$55)),
IF(AND(W55="",  W48&lt;&gt;""), W$42-(W$48*MAS_Cull_G),
IF($E56&lt;&gt;"", $E56, ""))), ""), "")))), "")</f>
        <v/>
      </c>
      <c r="X56" s="359" t="str">
        <f>IF(W$3="N.B.C.",
IF(AND('Cost Inputs'!$L55="Y", X55&lt;&gt;"", X48&lt;&gt;""), X$42-(X$48*(MAS_Cull_G-X$55)),
IF(AND('Cost Inputs'!$L55="Y", X55="",  X48&lt;&gt;""), X$42-(X$48*MAS_Cull_G),
IF($E56&lt;&gt;"", $E56,
IF('Cost Inputs'!$L55="N",
IF(AND(ISNUMBER('Cost Inputs'!$M55), OR('Cost Inputs'!$M55=1,'Cost Inputs'!$M55=2,'Cost Inputs'!$M55=4, 'Cost Inputs'!$M55=8)),
IF(AND(X55&lt;&gt;"", X48&lt;&gt;""), X$42-(X$48*(MAS_Cull_G-X$55)),
IF(AND(X55="",  X48&lt;&gt;""), X$42-(X$48*MAS_Cull_G),
IF($E56&lt;&gt;"", $E56, ""))), ""), "")))), "")</f>
        <v/>
      </c>
      <c r="Y56" s="359" t="str">
        <f>IF(X$3="N.B.C.",
IF(AND('Cost Inputs'!$L55="Y", Y55&lt;&gt;"", Y48&lt;&gt;""), Y$42-(Y$48*(MAS_Cull_G-Y$55)),
IF(AND('Cost Inputs'!$L55="Y", Y55="",  Y48&lt;&gt;""), Y$42-(Y$48*MAS_Cull_G),
IF($E56&lt;&gt;"", $E56,
IF('Cost Inputs'!$L55="N",
IF(AND(ISNUMBER('Cost Inputs'!$M55), OR('Cost Inputs'!$M55=1,'Cost Inputs'!$M55=3,'Cost Inputs'!$M55=9)),
IF(AND(Y55&lt;&gt;"", Y48&lt;&gt;""), Y$42-(Y$48*(MAS_Cull_G-Y$55)),
IF(AND(Y55="",  Y48&lt;&gt;""), Y$42-(Y$48*MAS_Cull_G),
IF($E56&lt;&gt;"", $E56, ""))), ""), "")))), "")</f>
        <v/>
      </c>
    </row>
    <row r="57" spans="1:45" x14ac:dyDescent="0.25">
      <c r="A57" s="501"/>
      <c r="B57" s="504"/>
      <c r="C57" s="104" t="str">
        <f>IF(OR('Cost Inputs'!H56&lt;&gt;"", 'Cost Inputs'!I56&lt;&gt;"", 'Cost Inputs'!J56&lt;&gt;""), 'Cost Inputs'!A56, "")</f>
        <v/>
      </c>
      <c r="D57" s="17" t="str">
        <f>IF(AND(C57&lt;&gt;"", 'Cost Inputs'!G56&lt;&gt;""), 'Cost Inputs'!G56, "")</f>
        <v/>
      </c>
      <c r="E57" s="17" t="str">
        <f>IF(AND(C57&lt;&gt;"", 'Cost Inputs'!H56&lt;&gt;""), 'Cost Inputs'!H56, "")</f>
        <v/>
      </c>
      <c r="F57" s="17" t="str">
        <f>IF('Cost Inputs'!$I56&lt;&gt;"", 'Cost Inputs'!$I56, "")</f>
        <v/>
      </c>
      <c r="G57" s="17" t="str">
        <f t="shared" si="1"/>
        <v/>
      </c>
      <c r="H57" s="17" t="str">
        <f>IF('Cost Inputs'!$J56&lt;&gt;"", 'Cost Inputs'!$J56, "")</f>
        <v/>
      </c>
      <c r="I57" s="17" t="str">
        <f t="shared" si="3"/>
        <v/>
      </c>
      <c r="J57" s="17" t="str">
        <f>IF(('Cost Inputs'!I56+'Cost Inputs'!J56+'Cost Inputs'!K56)&gt;0, 'Cost Inputs'!I56+'Cost Inputs'!J56+'Cost Inputs'!K56, "")</f>
        <v/>
      </c>
      <c r="K57" s="17" t="str">
        <f>IF('Cost Inputs'!$N56&gt;0,'Cost Inputs'!$N56,"")</f>
        <v/>
      </c>
      <c r="M57" s="106"/>
      <c r="O57" s="117"/>
      <c r="P57" s="104" t="str">
        <f>IF(O$3="N.B.C.",
IF('Cost Inputs'!$L56="Y", $E57,
IF('Cost Inputs'!$L56="N",
IF(ISNUMBER('Cost Inputs'!$M56), $E57,""),"")),"")</f>
        <v/>
      </c>
      <c r="Q57" s="17" t="str">
        <f>IF(P$3="N.B.C.", IF('Cost Inputs'!$L56="Y", $E57, IF('Cost Inputs'!$L56="N", "","")),"")</f>
        <v/>
      </c>
      <c r="R57" s="17" t="str">
        <f>IF(Q$3="N.B.C.", IF('Cost Inputs'!$L56="Y", $E57, IF('Cost Inputs'!$L56="N", IF(AND(ISNUMBER('Cost Inputs'!$M56), OR('Cost Inputs'!$M56=1,'Cost Inputs'!$M56=2)), $E57,""),"")),"")</f>
        <v/>
      </c>
      <c r="S57" s="17" t="str">
        <f>IF(R$3="N.B.C.",
IF('Cost Inputs'!$L56="Y", $E57,
IF('Cost Inputs'!$L56="N",
IF(AND(ISNUMBER('Cost Inputs'!$M56), OR('Cost Inputs'!$M56=1, 'Cost Inputs'!$M56=3)), $E57,""),"")),"")</f>
        <v/>
      </c>
      <c r="T57" s="17" t="str">
        <f>IF(S$3="N.B.C.", IF('Cost Inputs'!$L56="Y", $E57, IF('Cost Inputs'!$L56="N", IF(AND(ISNUMBER('Cost Inputs'!$M56), OR('Cost Inputs'!$M56=1, 'Cost Inputs'!$M56=2, 'Cost Inputs'!$M56=4)), $E57,""),"")),"")</f>
        <v/>
      </c>
      <c r="U57" s="17" t="str">
        <f>IF(T$3="N.B.C.", IF('Cost Inputs'!$L56="Y", $E57, IF('Cost Inputs'!$L56="N", IF(AND(ISNUMBER('Cost Inputs'!$M56), OR('Cost Inputs'!$M56=1, 'Cost Inputs'!$M56=5)), $E57,""),"")),"")</f>
        <v/>
      </c>
      <c r="V57" s="17" t="str">
        <f>IF(U$3="N.B.C.", IF('Cost Inputs'!$L56="Y", $E57, IF('Cost Inputs'!$L56="N", IF(AND(ISNUMBER('Cost Inputs'!$M56), OR('Cost Inputs'!$M56=1, 'Cost Inputs'!$M56=2, 'Cost Inputs'!$M56=3, 'Cost Inputs'!$M56=6)), $E57,""),"")),"")</f>
        <v/>
      </c>
      <c r="W57" s="17" t="str">
        <f>IF(V$3="N.B.C.", IF('Cost Inputs'!$L56="Y", $E57, IF('Cost Inputs'!$L56="N", IF(AND(ISNUMBER('Cost Inputs'!$M56), OR('Cost Inputs'!$M56=1, 'Cost Inputs'!$M56=7)), $E57,""),"")),"")</f>
        <v/>
      </c>
      <c r="X57" s="17" t="str">
        <f>IF(W$3="N.B.C.", IF('Cost Inputs'!$L56="Y", $E57, IF('Cost Inputs'!$L56="N", IF(AND(ISNUMBER('Cost Inputs'!$M56), OR('Cost Inputs'!$M56=1, 'Cost Inputs'!$M56=2,'Cost Inputs'!$M56=4,'Cost Inputs'!$M56=8)), $E57,""),"")),"")</f>
        <v/>
      </c>
      <c r="Y57" s="106" t="str">
        <f>IF($X$3="N.B.C.", IF('Cost Inputs'!$L56="Y", $E57, IF('Cost Inputs'!$L56="N", IF(AND(ISNUMBER('Cost Inputs'!$M56), OR('Cost Inputs'!$M56=1, 'Cost Inputs'!$M56=3,'Cost Inputs'!$M56=9)), $E57,""),"")),"")</f>
        <v/>
      </c>
    </row>
    <row r="58" spans="1:45" ht="15.75" thickBot="1" x14ac:dyDescent="0.3">
      <c r="A58" s="502"/>
      <c r="B58" s="505"/>
      <c r="C58" s="111" t="str">
        <f>IF(OR('Cost Inputs'!H57&lt;&gt;"", 'Cost Inputs'!I57&lt;&gt;"", 'Cost Inputs'!J57&lt;&gt;""), 'Cost Inputs'!A57, "")</f>
        <v/>
      </c>
      <c r="D58" s="95" t="str">
        <f>IF(AND(C58&lt;&gt;"", 'Cost Inputs'!G57&lt;&gt;""), 'Cost Inputs'!G57, "")</f>
        <v/>
      </c>
      <c r="E58" s="95" t="str">
        <f>IF(AND(C58&lt;&gt;"", 'Cost Inputs'!H57&lt;&gt;""), 'Cost Inputs'!H57, "")</f>
        <v/>
      </c>
      <c r="F58" s="95" t="str">
        <f>IF('Cost Inputs'!$I57&lt;&gt;"", 'Cost Inputs'!$I57, "")</f>
        <v/>
      </c>
      <c r="G58" s="95" t="str">
        <f t="shared" si="1"/>
        <v/>
      </c>
      <c r="H58" s="95" t="str">
        <f>IF('Cost Inputs'!$J57&lt;&gt;"", 'Cost Inputs'!$J57, "")</f>
        <v/>
      </c>
      <c r="I58" s="95" t="str">
        <f t="shared" si="3"/>
        <v/>
      </c>
      <c r="J58" s="95" t="str">
        <f>IF(('Cost Inputs'!I57+'Cost Inputs'!J57+'Cost Inputs'!K57)&gt;0, 'Cost Inputs'!I57+'Cost Inputs'!J57+'Cost Inputs'!K57, "")</f>
        <v/>
      </c>
      <c r="K58" s="95" t="str">
        <f>IF('Cost Inputs'!$N57&gt;0,'Cost Inputs'!$N57,"")</f>
        <v/>
      </c>
      <c r="L58" s="95"/>
      <c r="M58" s="113"/>
      <c r="O58" s="117"/>
      <c r="P58" s="111" t="str">
        <f>IF(O$3="N.B.C.",
IF('Cost Inputs'!$L57="Y", $E58,
IF('Cost Inputs'!$L57="N", IF(ISNUMBER('Cost Inputs'!$M57), $E58,""),"")),"")</f>
        <v/>
      </c>
      <c r="Q58" s="95" t="str">
        <f>IF(P$3="N.B.C.", IF('Cost Inputs'!$L57="Y", $E58, IF('Cost Inputs'!$L57="N", "","")),"")</f>
        <v/>
      </c>
      <c r="R58" s="95" t="str">
        <f>IF(Q$3="N.B.C.", IF('Cost Inputs'!$L57="Y", $E58, IF('Cost Inputs'!$L57="N", IF(AND(ISNUMBER('Cost Inputs'!$M57), OR('Cost Inputs'!$M57=1,'Cost Inputs'!$M57=2)), $E58,""),"")),"")</f>
        <v/>
      </c>
      <c r="S58" s="95" t="str">
        <f>IF(R$3="N.B.C.",
IF('Cost Inputs'!$L57="Y", $E58,
IF('Cost Inputs'!$L57="N", IF(AND(ISNUMBER('Cost Inputs'!$M57), OR('Cost Inputs'!$M57=1, 'Cost Inputs'!$M57=3)), $E58,""),"")),"")</f>
        <v/>
      </c>
      <c r="T58" s="95" t="str">
        <f>IF(S$3="N.B.C.",
IF('Cost Inputs'!$L57="Y", $E58,
IF('Cost Inputs'!$L57="N",
IF(AND(ISNUMBER('Cost Inputs'!$M57), OR('Cost Inputs'!$M57=1, 'Cost Inputs'!$M57=2, 'Cost Inputs'!$M57=4)), $E58,""),"")),"")</f>
        <v/>
      </c>
      <c r="U58" s="95" t="str">
        <f>IF(T$3="N.B.C.",
IF('Cost Inputs'!$L57="Y", $E58,
IF('Cost Inputs'!$L57="N",
IF(AND(ISNUMBER('Cost Inputs'!$M57), OR('Cost Inputs'!$M57=1, 'Cost Inputs'!$M57=5)), $E58,""),"")),"")</f>
        <v/>
      </c>
      <c r="V58" s="95" t="str">
        <f>IF(U$3="N.B.C.",
IF('Cost Inputs'!$L57="Y", $E58,
IF('Cost Inputs'!$L57="N",
IF(AND(ISNUMBER('Cost Inputs'!$M57), OR('Cost Inputs'!$M57=1, 'Cost Inputs'!$M57=2, 'Cost Inputs'!$M57=3, 'Cost Inputs'!$M57=6)), $E58,""),"")),"")</f>
        <v/>
      </c>
      <c r="W58" s="95" t="str">
        <f>IF(V$3="N.B.C.",
IF('Cost Inputs'!$L57="Y", $E58,
IF('Cost Inputs'!$L57="N",
IF(AND(ISNUMBER('Cost Inputs'!$M57), OR('Cost Inputs'!$M57=1, 'Cost Inputs'!$M57=7)), $E58,""),"")),"")</f>
        <v/>
      </c>
      <c r="X58" s="95" t="str">
        <f>IF(W$3="N.B.C.",
IF('Cost Inputs'!$L57="Y", $E58,
IF('Cost Inputs'!$L57="N",
IF(AND(ISNUMBER('Cost Inputs'!$M57), OR('Cost Inputs'!$M57=1, 'Cost Inputs'!$M57=2,'Cost Inputs'!$M57=4,'Cost Inputs'!$M57=8)), $E58,""),"")),"")</f>
        <v/>
      </c>
      <c r="Y58" s="113" t="str">
        <f>IF($X$3="N.B.C.", IF('Cost Inputs'!$L57="Y", $E58, IF('Cost Inputs'!$L57="N", IF(AND(ISNUMBER('Cost Inputs'!$M57), OR('Cost Inputs'!$M57=1, 'Cost Inputs'!$M57=3,'Cost Inputs'!$M57=9)), $E58,""),"")),"")</f>
        <v/>
      </c>
    </row>
    <row r="59" spans="1:45" ht="44.45" customHeight="1" thickBot="1" x14ac:dyDescent="0.4">
      <c r="A59" s="98"/>
      <c r="B59" s="122"/>
      <c r="C59" s="114"/>
      <c r="D59" s="114"/>
      <c r="E59" s="114"/>
      <c r="F59" s="114"/>
      <c r="G59" s="114" t="str">
        <f t="shared" si="1"/>
        <v/>
      </c>
      <c r="H59" s="114"/>
      <c r="I59" s="114"/>
      <c r="J59" s="114"/>
      <c r="K59" s="114"/>
      <c r="L59" s="114"/>
      <c r="M59" s="115"/>
      <c r="P59" s="98"/>
      <c r="Q59" s="123"/>
      <c r="R59" s="123"/>
      <c r="S59" s="123"/>
      <c r="T59" s="123"/>
      <c r="U59" s="123"/>
      <c r="V59" s="123"/>
      <c r="W59" s="123"/>
      <c r="X59" s="123"/>
      <c r="Y59" s="124"/>
    </row>
    <row r="60" spans="1:45" x14ac:dyDescent="0.25">
      <c r="A60" s="518" t="str">
        <f>Third_Stage</f>
        <v>Stage 1 Seedling Test Plots</v>
      </c>
      <c r="B60" s="504" t="str">
        <f>'Breeding Inputs'!B77</f>
        <v/>
      </c>
      <c r="C60" s="110" t="str">
        <f>'Cost Inputs'!A59</f>
        <v>3.1 Establish stage 1 test - seedling evaluation</v>
      </c>
      <c r="D60" s="94" t="str">
        <f>IF(OR('Cost Inputs'!H59&lt;&gt;"", 'Cost Inputs'!I59&lt;&gt;"", 'Cost Inputs'!J59&lt;&gt;""), 'Cost Inputs'!G59,"")</f>
        <v/>
      </c>
      <c r="E60" s="94" t="str">
        <f>IF(AND(C60&lt;&gt;"", 'Cost Inputs'!H59&lt;&gt;""), 'Cost Inputs'!H59, "")</f>
        <v/>
      </c>
      <c r="F60" s="94" t="str">
        <f>IF('Cost Inputs'!$I59&lt;&gt;"", 'Cost Inputs'!$I59, "")</f>
        <v/>
      </c>
      <c r="G60" s="94" t="str">
        <f t="shared" si="1"/>
        <v/>
      </c>
      <c r="H60" s="94" t="str">
        <f>IF('Cost Inputs'!$J59&lt;&gt;"", 'Cost Inputs'!$J59, "")</f>
        <v/>
      </c>
      <c r="I60" s="94" t="str">
        <f>IF(AND($E60&lt;&gt;"", $H60&lt;&gt;""), $H60/$E60, "")</f>
        <v/>
      </c>
      <c r="J60" s="94" t="str">
        <f>IF(('Cost Inputs'!I59+'Cost Inputs'!J59+'Cost Inputs'!K59)&gt;0, 'Cost Inputs'!I59+'Cost Inputs'!J59+'Cost Inputs'!K59, "")</f>
        <v/>
      </c>
      <c r="K60" s="94" t="str">
        <f>IF('Cost Inputs'!$N59&gt;0,'Cost Inputs'!$N59,"")</f>
        <v/>
      </c>
      <c r="L60" s="94"/>
      <c r="M60" s="103"/>
      <c r="Q60" s="370" t="str">
        <f>IF($O$3="N.B.C.",
IF(ISNUMBER($B$60),
IF($C60&lt;&gt;"",
IF('Cost Inputs'!$L59="Y",
IF(AND(ISNUMBER(P$56), P$56&gt;$E60), P$56, $E60),
IF('Cost Inputs'!$L59="N",
IF(AND(ISNUMBER(P$56), P$56&gt;$E60), P$56, $E60), "")), ""), ""), "")</f>
        <v/>
      </c>
      <c r="R60" s="370" t="str">
        <f>IF($P$3="N.B.C.",
IF(ISNUMBER($B$60),
IF($C60&lt;&gt;"",
IF('Cost Inputs'!$L$59="Y",
IF(AND(ISNUMBER(Q$56), Q$56&gt;$E60), Q$56, $E60), ""), ""), ""), "")</f>
        <v/>
      </c>
      <c r="S60" s="370" t="str">
        <f>IF($Q$3="N.B.C.",
IF(ISNUMBER($B$60),
IF($C60&lt;&gt;"",
IF('Cost Inputs'!$L$59="Y",
IF(AND(ISNUMBER(R$56), R$56&gt;$E60), R$56, $E60),
IF(AND('Cost Inputs'!$L$59="N", OR('Cost Inputs'!$M$59=1,'Cost Inputs'!$M$59=2)),
IF(AND(ISNUMBER(R$56), R$56&gt;$E60), R$56, $E60), "")), ""), ""), "")</f>
        <v/>
      </c>
      <c r="T60" s="370" t="str">
        <f>IF($R$3="N.B.C.",
IF(ISNUMBER($B$60),
IF($C60&lt;&gt;"",
IF('Cost Inputs'!$L$59="Y",
IF(AND(ISNUMBER(S$56), S$56&gt;$E60), S$56, $E60),
IF(AND('Cost Inputs'!$L$59="N", OR('Cost Inputs'!$M$59=1,'Cost Inputs'!$M$59=3)),
IF(AND(ISNUMBER(S$56), S$56&gt;$E60), S$56, $E60), "")), ""), ""), "")</f>
        <v/>
      </c>
      <c r="U60" s="370" t="str">
        <f>IF($S$3="N.B.C.",
IF(ISNUMBER($B$60),
IF($C60&lt;&gt;"",
IF('Cost Inputs'!$L$59="Y",
IF(AND(ISNUMBER(T$56), T$56&gt;$E60), T$56, $E60),
IF(AND('Cost Inputs'!$L$59="N", OR('Cost Inputs'!$M$59=1,'Cost Inputs'!$M$59=2,'Cost Inputs'!$M$59=4)),
IF(AND(ISNUMBER(T$56), T$56&gt;$E60), T$56, $E60), "")), ""), ""), "")</f>
        <v/>
      </c>
      <c r="V60" s="370" t="str">
        <f>IF($T$3="N.B.C.",
IF(ISNUMBER($B$60),
IF($C60&lt;&gt;"",
IF('Cost Inputs'!$L$59="Y",
IF(AND(ISNUMBER(U$56), U$56&gt;$E60), U$56, $E60),
IF(AND('Cost Inputs'!$L$59="N", OR('Cost Inputs'!$M$59=1,'Cost Inputs'!$M$59=5)),
IF(AND(ISNUMBER(U$56), U$56&gt;$E60), U$56, $E60), "")), ""), ""), "")</f>
        <v/>
      </c>
      <c r="W60" s="370" t="str">
        <f>IF($U$3="N.B.C.",
IF(ISNUMBER($B$60),
IF($C60&lt;&gt;"",
IF('Cost Inputs'!$L$59="Y",
IF(AND(ISNUMBER(V$56), V$56&gt;$E60), V$56, $E60),
IF(AND('Cost Inputs'!$L$59="N", OR('Cost Inputs'!$M$59=1,'Cost Inputs'!$M$59=2,'Cost Inputs'!$M$59=3,'Cost Inputs'!$M$59=6)),
IF(AND(ISNUMBER(V$56), V$56&gt;$E60), V$56, $E60), "")), ""), ""), "")</f>
        <v/>
      </c>
      <c r="X60" s="370" t="str">
        <f>IF($V$3="N.B.C.",
IF(ISNUMBER($B$60),
IF($C60&lt;&gt;"",
IF('Cost Inputs'!$L$59="Y",
IF(AND(ISNUMBER(W$56), W$56&gt;$E60), W$56, $E60),
IF(AND('Cost Inputs'!$L$59="N", OR('Cost Inputs'!$M$59=1,'Cost Inputs'!$M$59=7)),
IF(AND(ISNUMBER(W$56), W$56&gt;$E60), W$56, $E60), "")), ""), ""), "")</f>
        <v/>
      </c>
      <c r="Y60" s="370" t="str">
        <f>IF($W$3="N.B.C.",
IF(ISNUMBER($B$60),
IF($C60&lt;&gt;"",
IF('Cost Inputs'!$L$59="Y",
IF(AND(ISNUMBER(X$56), X$56&gt;$E60), X$56, $E60),
IF(AND('Cost Inputs'!$L$59="N", OR('Cost Inputs'!$M$59=1,'Cost Inputs'!$M$59=2, 'Cost Inputs'!$M$59=4, 'Cost Inputs'!$M$59=8)),
IF(AND(ISNUMBER(X$56), X$56&gt;$E60), X$56, $E60), "")), ""), ""), "")</f>
        <v/>
      </c>
      <c r="Z60" s="370" t="str">
        <f>IF($X$3="N.B.C.",
IF(ISNUMBER($B$60),
IF($C60&lt;&gt;"",
IF('Cost Inputs'!$L$59="Y",
IF(AND(ISNUMBER(Y$56), Y$56&gt;$E60), Y$56, $E60),
IF(AND('Cost Inputs'!$L$59="N", OR('Cost Inputs'!$M$59=1,'Cost Inputs'!$M$59=3,'Cost Inputs'!$M$59=9)),
IF(AND(ISNUMBER(Y$56), Y$56&gt;$E60), Y$56, $E60), "")), ""), ""), "")</f>
        <v/>
      </c>
      <c r="AS60" s="4">
        <f>SUM(Q60:AJ276)</f>
        <v>0</v>
      </c>
    </row>
    <row r="61" spans="1:45" ht="15" customHeight="1" x14ac:dyDescent="0.25">
      <c r="A61" s="518"/>
      <c r="B61" s="504"/>
      <c r="C61" s="104" t="str">
        <f>IF(OR('Cost Inputs'!H60&lt;&gt;"", 'Cost Inputs'!I60&lt;&gt;"", 'Cost Inputs'!J60&lt;&gt;""), 'Cost Inputs'!A60, "")</f>
        <v/>
      </c>
      <c r="D61" s="17" t="str">
        <f>IF(AND(C61&lt;&gt;"", 'Cost Inputs'!G60&lt;&gt;""), 'Cost Inputs'!G60, "")</f>
        <v/>
      </c>
      <c r="E61" s="17" t="str">
        <f>IF(AND(C61&lt;&gt;"", 'Cost Inputs'!$H$60&lt;&gt;""), 'Cost Inputs'!$H$60, "")</f>
        <v/>
      </c>
      <c r="F61" s="17" t="str">
        <f>IF('Cost Inputs'!$I60&lt;&gt;"", 'Cost Inputs'!$I60, "")</f>
        <v/>
      </c>
      <c r="G61" s="17" t="str">
        <f t="shared" si="1"/>
        <v/>
      </c>
      <c r="H61" s="17" t="str">
        <f>IF('Cost Inputs'!$J60&lt;&gt;"", 'Cost Inputs'!$J60, "")</f>
        <v/>
      </c>
      <c r="I61" s="17" t="str">
        <f t="shared" ref="I61:I126" si="4">IF(AND($E61&lt;&gt;"", $H61&lt;&gt;""), $H61/$E61, "")</f>
        <v/>
      </c>
      <c r="J61" s="17" t="str">
        <f>IF(('Cost Inputs'!I60+'Cost Inputs'!J60+'Cost Inputs'!K60)&gt;0, 'Cost Inputs'!I60+'Cost Inputs'!J60+'Cost Inputs'!K60, "")</f>
        <v/>
      </c>
      <c r="K61" s="17" t="str">
        <f>IF('Cost Inputs'!$N60&gt;0,'Cost Inputs'!$N60,"")</f>
        <v/>
      </c>
      <c r="M61" s="106"/>
      <c r="Q61" s="371" t="str">
        <f>IF($O$3="N.B.C.",
IF(ISNUMBER($B$60),
IF($C61&lt;&gt;"",
IF('Cost Inputs'!$L$60="Y",
IF(ISNUMBER($P$55), $E61+($E$60*(($E61/$E$60)+$P$55)), $E61),
IF('Cost Inputs'!$L$60="N",
IF(ISNUMBER('Cost Inputs'!$M$60),
IF(ISNUMBER($P$55), $E61+($E$60*(($E61/$E$60)+$P$55)), $E61),""),"")), ""),""),"")</f>
        <v/>
      </c>
      <c r="R61" s="364" t="str">
        <f>IF($P$3="N.B.C.",
IF(ISNUMBER($B$60),
IF($C61&lt;&gt;"",
IF('Cost Inputs'!$L$60="Y",
IF(ISNUMBER($Q$55), $E61+($E$60*(($E61/$E$60)+$Q$55)), $E61),
IF('Cost Inputs'!$L$60="N","","")), ""),""),"")</f>
        <v/>
      </c>
      <c r="S61" s="364" t="str">
        <f>IF($Q$3="N.B.C.",
IF(ISNUMBER($B$60),
IF($C61&lt;&gt;"",
IF('Cost Inputs'!$L$60="Y",
IF(ISNUMBER($R$55), $E61+($E$60*(($E61/$E$60)+$R$55)), $E61),
IF('Cost Inputs'!$L$60="N",
IF(AND(ISNUMBER('Cost Inputs'!$M$60), OR('Cost Inputs'!$M$60=1,'Cost Inputs'!$M$60=2)),
IF(ISNUMBER($R$55), $E61+($E$60*(($E61/$E$60)+$R$55)), $E61),""),"")), ""),""),"")</f>
        <v/>
      </c>
      <c r="T61" s="364" t="str">
        <f>IF($R$3="N.B.C.",
IF(ISNUMBER($B$60),
IF($C61&lt;&gt;"",
IF('Cost Inputs'!$L$60="Y",
IF(ISNUMBER($S$55), $E61+($E$60*(($E61/$E$60)+$S$55)), $E61),
IF('Cost Inputs'!$L$60="N",
IF(AND(ISNUMBER('Cost Inputs'!$M$60), OR('Cost Inputs'!$M$60=1,'Cost Inputs'!$M$60=3)),
IF(ISNUMBER($S$55), $E61+($E$60*(($E61/$E$60)+$S$55)), $E61),""),"")), ""),""),"")</f>
        <v/>
      </c>
      <c r="U61" s="364" t="str">
        <f>IF($S$3="N.B.C.",
IF(ISNUMBER($B$60),
IF($C61&lt;&gt;"",
IF('Cost Inputs'!$L$60="Y",
IF(ISNUMBER($T$55), $E61+($E$60*(($E61/$E$60)+$T$55)), $E61),
IF('Cost Inputs'!$L$60="N",
IF(AND(ISNUMBER('Cost Inputs'!$M$60), OR('Cost Inputs'!$M$60=1,'Cost Inputs'!$M$60=2,'Cost Inputs'!$M$60=4)),
IF(ISNUMBER($T$55), $E61+($E$60*(($E61/$E$60)+$T$55)), $E61),""),"")), ""),""),"")</f>
        <v/>
      </c>
      <c r="V61" s="364" t="str">
        <f>IF($T$3="N.B.C.",
IF(ISNUMBER($B$60),
IF($C61&lt;&gt;"",
IF('Cost Inputs'!$L$60="Y",
IF(ISNUMBER($U$55), $E61+($E$60*(($E61/$E$60)+$U$55)), $E61),
IF('Cost Inputs'!$L$60="N",
IF(AND(ISNUMBER('Cost Inputs'!$M$60), OR('Cost Inputs'!$M$60=1,'Cost Inputs'!$M$60=5)),
IF(ISNUMBER($U$55), $E61+($E$60*(($E61/$E$60)+$U$55)), $E61),""),"")), ""),""),"")</f>
        <v/>
      </c>
      <c r="W61" s="364" t="str">
        <f>IF($U$3="N.B.C.",
IF(ISNUMBER($B$60),
IF($C61&lt;&gt;"",
IF('Cost Inputs'!$L$60="Y",
IF(ISNUMBER($V$55), $E61+($E$60*(($E61/$E$60)+$V$55)), $E61),
IF('Cost Inputs'!$L$60="N",
IF(AND(ISNUMBER('Cost Inputs'!$M$60), OR('Cost Inputs'!$M$60=1,'Cost Inputs'!$M$60=2,'Cost Inputs'!$M$60=3,'Cost Inputs'!$M$60=6)),
IF(ISNUMBER($V$55), $E61+($E$60*(($E61/$E$60)+$V$55)), $E61),""),"")), ""),""),"")</f>
        <v/>
      </c>
      <c r="X61" s="364" t="str">
        <f>IF($V$3="N.B.C.",
IF(ISNUMBER($B$60),
IF($C61&lt;&gt;"",
IF('Cost Inputs'!$L$60="Y",
IF(ISNUMBER($W$55), $E61+($E$60*(($E61/$E$60)+$W$55)), $E61),
IF('Cost Inputs'!$L$60="N",
IF(AND(ISNUMBER('Cost Inputs'!$M$60), OR('Cost Inputs'!$M$60=1,'Cost Inputs'!$M$60=7)),
IF(ISNUMBER($W$55), $E61+($E$60*(($E61/$E$60)+$W$55)), $E61),""),"")), ""),""),"")</f>
        <v/>
      </c>
      <c r="Y61" s="364" t="str">
        <f>IF($W$3="N.B.C.",
IF(ISNUMBER($B$60),
IF($C61&lt;&gt;"",
IF('Cost Inputs'!$L$60="Y",
IF(ISNUMBER($X$55), $E61+($E$60*(($E61/$E$60)+$X$55)), $E61),
IF('Cost Inputs'!$L$60="N",
IF(AND(ISNUMBER('Cost Inputs'!$M$60), OR('Cost Inputs'!$M$60=1,'Cost Inputs'!$M$60=2,'Cost Inputs'!$M$60=4,'Cost Inputs'!$M$60=8)),
IF(ISNUMBER($X$55), $E61+($E$60*(($E61/$E$60)+$X$55)), $E61),""),"")), ""),""),"")</f>
        <v/>
      </c>
      <c r="Z61" s="364" t="str">
        <f>IF($X$3="N.B.C.",
IF(ISNUMBER($B$60),
IF($C61&lt;&gt;"",
IF('Cost Inputs'!$L$60="Y",
IF(ISNUMBER($Y$55), $E61+($E$60*(($E61/$E$60)+$Y$55)), $E61),
IF('Cost Inputs'!$L$60="N",
IF(AND(ISNUMBER('Cost Inputs'!$M$60), OR('Cost Inputs'!$M$60=1,'Cost Inputs'!$M$60=3,'Cost Inputs'!$M$60=9)),
IF(ISNUMBER($Y$55), $E61+($E$60*(($E61/$E$60)+$Y$55)), $E61),""),"")), ""),""),"")</f>
        <v/>
      </c>
    </row>
    <row r="62" spans="1:45" x14ac:dyDescent="0.25">
      <c r="A62" s="518"/>
      <c r="B62" s="504"/>
      <c r="C62" s="107" t="str">
        <f>IF(OR('Cost Inputs'!H61&lt;&gt;"", 'Cost Inputs'!I61&lt;&gt;"", 'Cost Inputs'!J61&lt;&gt;""), 'Cost Inputs'!A61, "")</f>
        <v/>
      </c>
      <c r="D62" s="93" t="str">
        <f>IF(AND(C62&lt;&gt;"", 'Cost Inputs'!G61&lt;&gt;""), 'Cost Inputs'!G61, "")</f>
        <v/>
      </c>
      <c r="E62" s="93" t="str">
        <f>IF(AND(C62&lt;&gt;"", 'Cost Inputs'!$H$61&lt;&gt;""), 'Cost Inputs'!$H$61, "")</f>
        <v/>
      </c>
      <c r="F62" s="93" t="str">
        <f>IF('Cost Inputs'!$I61&lt;&gt;"", 'Cost Inputs'!$I61, "")</f>
        <v/>
      </c>
      <c r="G62" s="93" t="str">
        <f t="shared" si="1"/>
        <v/>
      </c>
      <c r="H62" s="93" t="str">
        <f>IF('Cost Inputs'!$J61&lt;&gt;"", 'Cost Inputs'!$J61, "")</f>
        <v/>
      </c>
      <c r="I62" s="93" t="str">
        <f t="shared" si="4"/>
        <v/>
      </c>
      <c r="J62" s="93" t="str">
        <f>IF(('Cost Inputs'!I61+'Cost Inputs'!J61+'Cost Inputs'!K61)&gt;0, 'Cost Inputs'!I61+'Cost Inputs'!J61+'Cost Inputs'!K61, "")</f>
        <v/>
      </c>
      <c r="K62" s="93" t="str">
        <f>IF('Cost Inputs'!$N61&gt;0,'Cost Inputs'!$N61,"")</f>
        <v/>
      </c>
      <c r="L62" s="93"/>
      <c r="M62" s="109"/>
      <c r="Q62" s="372" t="str">
        <f>IF($O$3="N.B.C.",
IF(ISNUMBER($B$60),
IF($C62&lt;&gt;"",
IF('Cost Inputs'!$L$61="Y",
IF(ISNUMBER($P$55), $E62+($E$60*(($E62/$E$60)+$P$55)), $E62),
IF('Cost Inputs'!$L$61="N",
IF(ISNUMBER('Cost Inputs'!$M$61),
IF(ISNUMBER($P$55), $E62+($E$60*(($E62/$E$60)+$P$55)), $E62),""),"")), ""),""),"")</f>
        <v/>
      </c>
      <c r="R62" s="372" t="str">
        <f>IF($P$3="N.B.C.",
IF(ISNUMBER($B$60),
IF($C62&lt;&gt;"",
IF('Cost Inputs'!$L$61="Y",
IF(ISNUMBER($Q$55), $E62+($E$60*(($E62/$E$60)+$Q$55)), $E62),
IF('Cost Inputs'!$L$61="N","","")), ""),""),"")</f>
        <v/>
      </c>
      <c r="S62" s="372" t="str">
        <f>IF($Q$3="N.B.C.",
IF(ISNUMBER($B$60),
IF($C62&lt;&gt;"",
IF('Cost Inputs'!$L$61="Y",
IF(ISNUMBER($R$55), $E62+($E$60*(($E62/$E$60)+$R$55)), $E62),
IF('Cost Inputs'!$L$61="N",
IF(AND(ISNUMBER('Cost Inputs'!$M$61), OR('Cost Inputs'!$M$61=1,'Cost Inputs'!$M$61=2)),
IF(ISNUMBER($R$55), $E62+($E$60*(($E62/$E$60)+$R$55)), $E62),""),"")), ""),""),"")</f>
        <v/>
      </c>
      <c r="T62" s="372" t="str">
        <f>IF($R$3="N.B.C.",
IF(ISNUMBER($B$60),
IF($C62&lt;&gt;"",
IF('Cost Inputs'!$L$61="Y",
IF(ISNUMBER($S$55), $E62+($E$60*(($E62/$E$60)+$S$55)), $E62),
IF('Cost Inputs'!$L$61="N",
IF(AND(ISNUMBER('Cost Inputs'!$M$61), OR('Cost Inputs'!$M$61=1,'Cost Inputs'!$M$61=3)),
IF(ISNUMBER($S$55), $E62+($E$60*(($E62/$E$60)+$S$55)), $E62),""),"")), ""),""),"")</f>
        <v/>
      </c>
      <c r="U62" s="372" t="str">
        <f>IF($S$3="N.B.C.",
IF(ISNUMBER($B$60),
IF($C62&lt;&gt;"",
IF('Cost Inputs'!$L$61="Y",
IF(ISNUMBER($T$55), $E62+($E$60*(($E62/$E$60)+$T$55)), $E62),
IF('Cost Inputs'!$L$61="N",
IF(AND(ISNUMBER('Cost Inputs'!$M$61), OR('Cost Inputs'!$M$61=1,'Cost Inputs'!$M$61=2,'Cost Inputs'!$M$61=4)),
IF(ISNUMBER($T$55), $E62+($E$60*(($E62/$E$60)+$T$55)), $E62),""),"")), ""),""),"")</f>
        <v/>
      </c>
      <c r="V62" s="372" t="str">
        <f>IF($T$3="N.B.C.",
IF(ISNUMBER($B$60),
IF($C62&lt;&gt;"",
IF('Cost Inputs'!$L$61="Y",
IF(ISNUMBER($U$55), $E62+($E$60*(($E62/$E$60)+$U$55)), $E62),
IF('Cost Inputs'!$L$61="N",
IF(AND(ISNUMBER('Cost Inputs'!$M$61), OR('Cost Inputs'!$M$61=1,'Cost Inputs'!$M$61=5)),
IF(ISNUMBER($U$55), $E62+($E$60*(($E62/$E$60)+$U$55)), $E62),""),"")), ""),""),"")</f>
        <v/>
      </c>
      <c r="W62" s="372" t="str">
        <f>IF($U$3="N.B.C.",
IF(ISNUMBER($B$60),
IF($C62&lt;&gt;"",
IF('Cost Inputs'!$L$61="Y",
IF(ISNUMBER($V$55), $E62+($E$60*(($E62/$E$60)+$V$55)), $E62),
IF('Cost Inputs'!$L$61="N",
IF(AND(ISNUMBER('Cost Inputs'!$M$61), OR('Cost Inputs'!$M$61=1,'Cost Inputs'!$M$61=2,'Cost Inputs'!$M$61=3,'Cost Inputs'!$M$61=6)),
IF(ISNUMBER($V$55), $E62+($E$60*(($E62/$E$60)+$V$55)), $E62),""),"")), ""),""),"")</f>
        <v/>
      </c>
      <c r="X62" s="372" t="str">
        <f>IF($V$3="N.B.C.",
IF(ISNUMBER($B$60),
IF($C62&lt;&gt;"",
IF('Cost Inputs'!$L$61="Y",
IF(ISNUMBER($W$55), $E62+($E$60*(($E62/$E$60)+$W$55)), $E62),
IF('Cost Inputs'!$L$61="N",
IF(AND(ISNUMBER('Cost Inputs'!$M$61), OR('Cost Inputs'!$M$61=1,'Cost Inputs'!$M$61=7)),
IF(ISNUMBER($W$55), $E62+($E$60*(($E62/$E$60)+$W$55)), $E62),""),"")), ""),""),"")</f>
        <v/>
      </c>
      <c r="Y62" s="372" t="str">
        <f>IF($W$3="N.B.C.",
IF(ISNUMBER($B$60),
IF($C62&lt;&gt;"",
IF('Cost Inputs'!$L$61="Y",
IF(ISNUMBER($X$55), $E62+($E$60*(($E62/$E$60)+$X$55)), $E62),
IF('Cost Inputs'!$L$61="N",
IF(AND(ISNUMBER('Cost Inputs'!$M$61), OR('Cost Inputs'!$M$61=1,'Cost Inputs'!$M$61=2,'Cost Inputs'!$M$61=4,'Cost Inputs'!$M$61=8)),
IF(ISNUMBER($X$55), $E62+($E$60*(($E62/$E$60)+$X$55)), $E62),""),"")), ""),""),"")</f>
        <v/>
      </c>
      <c r="Z62" s="372" t="str">
        <f>IF($X$3="N.B.C.",
IF(ISNUMBER($B$60),
IF($C62&lt;&gt;"",
IF('Cost Inputs'!$L$61="Y",
IF(ISNUMBER($Y$55), $E62+($E$60*(($E62/$E$60)+$Y$55)), $E62),
IF('Cost Inputs'!$L$61="N",
IF(AND(ISNUMBER('Cost Inputs'!$M$61), OR('Cost Inputs'!$M$61=1,'Cost Inputs'!$M$61=3,'Cost Inputs'!$M$61=9)),
IF(ISNUMBER($Y$55), $E62+($E$60*(($E62/$E$60)+$Y$55)), $E62),""),"")), ""),""),"")</f>
        <v/>
      </c>
    </row>
    <row r="63" spans="1:45" x14ac:dyDescent="0.25">
      <c r="A63" s="518"/>
      <c r="B63" s="504"/>
      <c r="C63" s="104" t="str">
        <f>IF(OR('Cost Inputs'!H62&lt;&gt;"", 'Cost Inputs'!I62&lt;&gt;"", 'Cost Inputs'!J62&lt;&gt;""), 'Cost Inputs'!A62, "")</f>
        <v/>
      </c>
      <c r="D63" s="17" t="str">
        <f>IF(AND(C63&lt;&gt;"", 'Cost Inputs'!G62&lt;&gt;""), 'Cost Inputs'!G62, "")</f>
        <v/>
      </c>
      <c r="E63" s="17" t="str">
        <f>IF(AND(C63&lt;&gt;"", 'Cost Inputs'!$H$62&lt;&gt;""), 'Cost Inputs'!$H$62, "")</f>
        <v/>
      </c>
      <c r="F63" s="17" t="str">
        <f>IF('Cost Inputs'!$I62&lt;&gt;"", 'Cost Inputs'!$I62, "")</f>
        <v/>
      </c>
      <c r="G63" s="17" t="str">
        <f t="shared" si="1"/>
        <v/>
      </c>
      <c r="H63" s="17" t="str">
        <f>IF('Cost Inputs'!$J62&lt;&gt;"", 'Cost Inputs'!$J62, "")</f>
        <v/>
      </c>
      <c r="I63" s="17" t="str">
        <f t="shared" si="4"/>
        <v/>
      </c>
      <c r="J63" s="17" t="str">
        <f>IF(('Cost Inputs'!I62+'Cost Inputs'!J62+'Cost Inputs'!K62)&gt;0, 'Cost Inputs'!I62+'Cost Inputs'!J62+'Cost Inputs'!K62, "")</f>
        <v/>
      </c>
      <c r="K63" s="17" t="str">
        <f>IF('Cost Inputs'!$N62&gt;0,'Cost Inputs'!$N62,"")</f>
        <v/>
      </c>
      <c r="M63" s="106"/>
      <c r="Q63" s="364" t="str">
        <f>IF($O$3="N.B.C.",
IF(ISNUMBER($B$60),
IF($C63&lt;&gt;"",
IF('Cost Inputs'!$L$62="Y",
IF(ISNUMBER($P$55), $E63+($E$60*(($E63/$E$60)+$P$55)), $E63),
IF('Cost Inputs'!$L$62="N",
IF(ISNUMBER('Cost Inputs'!$M$62),
IF(ISNUMBER($P$55), $E63+($E$60*(($E63/$E$60)+$P$55)), $E63),""),"")), ""),""),"")</f>
        <v/>
      </c>
      <c r="R63" s="364" t="str">
        <f>IF($P$3="N.B.C.",
IF(ISNUMBER($B$60),
IF($C63&lt;&gt;"",
IF('Cost Inputs'!$L$62="Y",
IF(ISNUMBER($Q$55), $E63+($E$60*(($E63/$E$60)+$Q$55)), $E63),
IF('Cost Inputs'!$L$62="N","","")), ""),""),"")</f>
        <v/>
      </c>
      <c r="S63" s="364" t="str">
        <f>IF($Q$3="N.B.C.",
IF(ISNUMBER($B$60),
IF($C63&lt;&gt;"",
IF('Cost Inputs'!$L$62="Y",
IF(ISNUMBER($R$55), $E63+($E$60*(($E63/$E$60)+$R$55)), $E63),
IF('Cost Inputs'!$L$62="N",
IF(AND(ISNUMBER('Cost Inputs'!$M$62), OR('Cost Inputs'!$M$62=1,'Cost Inputs'!$M$62=2)),
IF(ISNUMBER($R$55), $E63+($E$60*(($E63/$E$60)+$R$55)), $E63),""),"")), ""),""),"")</f>
        <v/>
      </c>
      <c r="T63" s="364" t="str">
        <f>IF($R$3="N.B.C.",
IF(ISNUMBER($B$60),
IF($C63&lt;&gt;"",
IF('Cost Inputs'!$L$62="Y",
IF(ISNUMBER($S$55), $E63+($E$60*(($E63/$E$60)+$S$55)), $E63),
IF('Cost Inputs'!$L$62="N",
IF(AND(ISNUMBER('Cost Inputs'!$M$62), OR('Cost Inputs'!$M$62=1,'Cost Inputs'!$M$62=3)),
IF(ISNUMBER($S$55), $E63+($E$60*(($E63/$E$60)+$S$55)), $E63),""),"")), ""),""),"")</f>
        <v/>
      </c>
      <c r="U63" s="364" t="str">
        <f>IF($S$3="N.B.C.",
IF(ISNUMBER($B$60),
IF($C63&lt;&gt;"",
IF('Cost Inputs'!$L$62="Y",
IF(ISNUMBER($T$55), $E63+($E$60*(($E63/$E$60)+$T$55)), $E63),
IF('Cost Inputs'!$L$62="N",
IF(AND(ISNUMBER('Cost Inputs'!$M$62), OR('Cost Inputs'!$M$62=1,'Cost Inputs'!$M$62=2,'Cost Inputs'!$M$62=4)),
IF(ISNUMBER($T$55), $E63+($E$60*(($E63/$E$60)+$T$55)), $E63),""),"")), ""),""),"")</f>
        <v/>
      </c>
      <c r="V63" s="364" t="str">
        <f>IF($T$3="N.B.C.",
IF(ISNUMBER($B$60),
IF($C63&lt;&gt;"",
IF('Cost Inputs'!$L$62="Y",
IF(ISNUMBER($U$55), $E63+($E$60*(($E63/$E$60)+$U$55)), $E63),
IF('Cost Inputs'!$L$62="N",
IF(AND(ISNUMBER('Cost Inputs'!$M$62), OR('Cost Inputs'!$M$62=1,'Cost Inputs'!$M$62=5)),
IF(ISNUMBER($U$55), $E63+($E$60*(($E63/$E$60)+$U$55)), $E63),""),"")), ""),""),"")</f>
        <v/>
      </c>
      <c r="W63" s="364" t="str">
        <f>IF($U$3="N.B.C.",
IF(ISNUMBER($B$60),
IF($C63&lt;&gt;"",
IF('Cost Inputs'!$L$62="Y",
IF(ISNUMBER($V$55), $E63+($E$60*(($E63/$E$60)+$V$55)), $E63),
IF('Cost Inputs'!$L$62="N",
IF(AND(ISNUMBER('Cost Inputs'!$M$62), OR('Cost Inputs'!$M$62=1,'Cost Inputs'!$M$62=2,'Cost Inputs'!$M$62=3,'Cost Inputs'!$M$62=6)),
IF(ISNUMBER($V$55), $E63+($E$60*(($E63/$E$60)+$V$55)), $E63),""),"")), ""),""),"")</f>
        <v/>
      </c>
      <c r="X63" s="364" t="str">
        <f>IF($V$3="N.B.C.",
IF(ISNUMBER($B$60),
IF($C63&lt;&gt;"",
IF('Cost Inputs'!$L$62="Y",
IF(ISNUMBER($W$55), $E63+($E$60*(($E63/$E$60)+$W$55)), $E63),
IF('Cost Inputs'!$L$62="N",
IF(AND(ISNUMBER('Cost Inputs'!$M$62), OR('Cost Inputs'!$M$62=1,'Cost Inputs'!$M$62=7)),
IF(ISNUMBER($W$55), $E63+($E$60*(($E63/$E$60)+$W$55)), $E63),""),"")), ""),""),"")</f>
        <v/>
      </c>
      <c r="Y63" s="364" t="str">
        <f>IF($W$3="N.B.C.",
IF(ISNUMBER($B$60),
IF($C63&lt;&gt;"",
IF('Cost Inputs'!$L$62="Y",
IF(ISNUMBER($X$55), $E63+($E$60*(($E63/$E$60)+$X$55)), $E63),
IF('Cost Inputs'!$L$62="N",
IF(AND(ISNUMBER('Cost Inputs'!$M$62), OR('Cost Inputs'!$M$62=1,'Cost Inputs'!$M$62=2,'Cost Inputs'!$M$62=4,'Cost Inputs'!$M$62=8)),
IF(ISNUMBER($X$55), $E63+($E$60*(($E63/$E$60)+$X$55)), $E63),""),"")), ""),""),"")</f>
        <v/>
      </c>
      <c r="Z63" s="364" t="str">
        <f>IF($X$3="N.B.C.",
IF(ISNUMBER($B$60),
IF($C63&lt;&gt;"",
IF('Cost Inputs'!$L$62="Y",
IF(ISNUMBER($Y$55), $E63+($E$60*(($E63/$E$60)+$Y$55)), $E63),
IF('Cost Inputs'!$L$62="N",
IF(AND(ISNUMBER('Cost Inputs'!$M$62), OR('Cost Inputs'!$M$62=1,'Cost Inputs'!$M$62=3,'Cost Inputs'!$M$62=9)),
IF(ISNUMBER($Y$55), $E63+($E$60*(($E63/$E$60)+$Y$55)), $E63),""),"")), ""),""),"")</f>
        <v/>
      </c>
    </row>
    <row r="64" spans="1:45" x14ac:dyDescent="0.25">
      <c r="A64" s="518"/>
      <c r="B64" s="504"/>
      <c r="C64" s="107" t="str">
        <f>IF(OR('Cost Inputs'!H63&lt;&gt;"", 'Cost Inputs'!I63&lt;&gt;"", 'Cost Inputs'!J63&lt;&gt;""), 'Cost Inputs'!A63, "")</f>
        <v/>
      </c>
      <c r="D64" s="93" t="str">
        <f>IF(AND(C64&lt;&gt;"", 'Cost Inputs'!G63&lt;&gt;""), 'Cost Inputs'!G63, "")</f>
        <v/>
      </c>
      <c r="E64" s="93" t="str">
        <f>IF(AND(C64&lt;&gt;"", 'Cost Inputs'!$H$63&lt;&gt;""), 'Cost Inputs'!$H$63, "")</f>
        <v/>
      </c>
      <c r="F64" s="93" t="str">
        <f>IF('Cost Inputs'!$I63&lt;&gt;"", 'Cost Inputs'!$I63, "")</f>
        <v/>
      </c>
      <c r="G64" s="93" t="str">
        <f t="shared" si="1"/>
        <v/>
      </c>
      <c r="H64" s="93" t="str">
        <f>IF('Cost Inputs'!$J63&lt;&gt;"", 'Cost Inputs'!$J63, "")</f>
        <v/>
      </c>
      <c r="I64" s="93" t="str">
        <f t="shared" si="4"/>
        <v/>
      </c>
      <c r="J64" s="93" t="str">
        <f>IF(('Cost Inputs'!I63+'Cost Inputs'!J63+'Cost Inputs'!K63)&gt;0, 'Cost Inputs'!I63+'Cost Inputs'!J63+'Cost Inputs'!K63, "")</f>
        <v/>
      </c>
      <c r="K64" s="93" t="str">
        <f>IF('Cost Inputs'!$N63&gt;0,'Cost Inputs'!$N63,"")</f>
        <v/>
      </c>
      <c r="L64" s="93"/>
      <c r="M64" s="109"/>
      <c r="Q64" s="372" t="str">
        <f>IF($O$3="N.B.C.",
IF(ISNUMBER($B$60),
IF($C64&lt;&gt;"",
IF('Cost Inputs'!$L$63="Y",
IF(ISNUMBER($P$55), $E64+($E$60*(($E64/$E$60)+$P$55)), $E64),
IF('Cost Inputs'!$L$63="N",
IF(ISNUMBER('Cost Inputs'!$M$63),
IF(ISNUMBER($P$55), $E64+($E$60*(($E64/$E$60)+$P$55)), $E64),""),"")), ""),""),"")</f>
        <v/>
      </c>
      <c r="R64" s="372" t="str">
        <f>IF($P$3="N.B.C.",
IF(ISNUMBER($B$60),
IF($C64&lt;&gt;"",
IF('Cost Inputs'!$L$63="Y",
IF(ISNUMBER($Q$55), $E64+($E$60*(($E64/$E$60)+$Q$55)), $E64),
IF('Cost Inputs'!$L$63="N","","")), ""),""),"")</f>
        <v/>
      </c>
      <c r="S64" s="372" t="str">
        <f>IF($Q$3="N.B.C.",
IF(ISNUMBER($B$60),
IF($C64&lt;&gt;"",
IF('Cost Inputs'!$L$63="Y",
IF(ISNUMBER($R$55), $E64+($E$60*(($E64/$E$60)+$R$55)), $E64),
IF('Cost Inputs'!$L$63="N",
IF(AND(ISNUMBER('Cost Inputs'!$M$63), OR('Cost Inputs'!$M$63=1,'Cost Inputs'!$M$63=2)),
IF(ISNUMBER($R$55), $E64+($E$60*(($E64/$E$60)+$R$55)), $E64),""),"")), ""),""),"")</f>
        <v/>
      </c>
      <c r="T64" s="372" t="str">
        <f>IF($R$3="N.B.C.",
IF(ISNUMBER($B$60),
IF($C64&lt;&gt;"",
IF('Cost Inputs'!$L$63="Y",
IF(ISNUMBER($S$55), $E64+($E$60*(($E64/$E$60)+$S$55)), $E64),
IF('Cost Inputs'!$L$63="N",
IF(AND(ISNUMBER('Cost Inputs'!$M$63), OR('Cost Inputs'!$M$63=1,'Cost Inputs'!$M$63=3)),
IF(ISNUMBER($S$55), $E64+($E$60*(($E64/$E$60)+$S$55)), $E64),""),"")), ""),""),"")</f>
        <v/>
      </c>
      <c r="U64" s="372" t="str">
        <f>IF($S$3="N.B.C.",
IF(ISNUMBER($B$60),
IF($C64&lt;&gt;"",
IF('Cost Inputs'!$L$63="Y",
IF(ISNUMBER($T$55), $E64+($E$60*(($E64/$E$60)+$T$55)), $E64),
IF('Cost Inputs'!$L$63="N",
IF(AND(ISNUMBER('Cost Inputs'!$M$63), OR('Cost Inputs'!$M$63=1,'Cost Inputs'!$M$63=2,'Cost Inputs'!$M$63=4)),
IF(ISNUMBER($T$55), $E64+($E$60*(($E64/$E$60)+$T$55)), $E64),""),"")), ""),""),"")</f>
        <v/>
      </c>
      <c r="V64" s="372" t="str">
        <f>IF($T$3="N.B.C.",
IF(ISNUMBER($B$60),
IF($C64&lt;&gt;"",
IF('Cost Inputs'!$L$63="Y",
IF(ISNUMBER($U$55), $E64+($E$60*(($E64/$E$60)+$U$55)), $E64),
IF('Cost Inputs'!$L$63="N",
IF(AND(ISNUMBER('Cost Inputs'!$M$63), OR('Cost Inputs'!$M$63=1,'Cost Inputs'!$M$63=5)),
IF(ISNUMBER($U$55), $E64+($E$60*(($E64/$E$60)+$U$55)), $E64),""),"")), ""),""),"")</f>
        <v/>
      </c>
      <c r="W64" s="372" t="str">
        <f>IF($U$3="N.B.C.",
IF(ISNUMBER($B$60),
IF($C64&lt;&gt;"",
IF('Cost Inputs'!$L$63="Y",
IF(ISNUMBER($V$55), $E64+($E$60*(($E64/$E$60)+$V$55)), $E64),
IF('Cost Inputs'!$L$63="N",
IF(AND(ISNUMBER('Cost Inputs'!$M$63), OR('Cost Inputs'!$M$63=1,'Cost Inputs'!$M$63=2,'Cost Inputs'!$M$63=3,'Cost Inputs'!$M$63=6)),
IF(ISNUMBER($V$55), $E64+($E$60*(($E64/$E$60)+$V$55)), $E64),""),"")), ""),""),"")</f>
        <v/>
      </c>
      <c r="X64" s="372" t="str">
        <f>IF($V$3="N.B.C.",
IF(ISNUMBER($B$60),
IF($C64&lt;&gt;"",
IF('Cost Inputs'!$L$63="Y",
IF(ISNUMBER($W$55), $E64+($E$60*(($E64/$E$60)+$W$55)), $E64),
IF('Cost Inputs'!$L$63="N",
IF(AND(ISNUMBER('Cost Inputs'!$M$63), OR('Cost Inputs'!$M$63=1,'Cost Inputs'!$M$63=7)),
IF(ISNUMBER($W$55), $E64+($E$60*(($E64/$E$60)+$W$55)), $E64),""),"")), ""),""),"")</f>
        <v/>
      </c>
      <c r="Y64" s="372" t="str">
        <f>IF($W$3="N.B.C.",
IF(ISNUMBER($B$60),
IF($C64&lt;&gt;"",
IF('Cost Inputs'!$L$63="Y",
IF(ISNUMBER($X$55), $E64+($E$60*(($E64/$E$60)+$X$55)), $E64),
IF('Cost Inputs'!$L$63="N",
IF(AND(ISNUMBER('Cost Inputs'!$M$63), OR('Cost Inputs'!$M$63=1,'Cost Inputs'!$M$63=2,'Cost Inputs'!$M$63=4,'Cost Inputs'!$M$63=8)),
IF(ISNUMBER($X$55), $E64+($E$60*(($E64/$E$60)+$X$55)), $E64),""),"")), ""),""),"")</f>
        <v/>
      </c>
      <c r="Z64" s="372" t="str">
        <f>IF($X$3="N.B.C.",
IF(ISNUMBER($B$60),
IF($C64&lt;&gt;"",
IF('Cost Inputs'!$L$63="Y",
IF(ISNUMBER($Y$55), $E64+($E$60*(($E64/$E$60)+$Y$55)), $E64),
IF('Cost Inputs'!$L$63="N",
IF(AND(ISNUMBER('Cost Inputs'!$M$63),OR('Cost Inputs'!$M$63=1,'Cost Inputs'!$M$63=3,'Cost Inputs'!$M$63=9)),
IF(ISNUMBER($Y$55), $E64+($E$60*(($E64/$E$60)+$Y$55)), $E64),""),"")), ""),""),"")</f>
        <v/>
      </c>
    </row>
    <row r="65" spans="1:26" x14ac:dyDescent="0.25">
      <c r="A65" s="518"/>
      <c r="B65" s="504"/>
      <c r="C65" s="104" t="str">
        <f>IF(OR('Cost Inputs'!H64&lt;&gt;"", 'Cost Inputs'!I64&lt;&gt;"", 'Cost Inputs'!J64&lt;&gt;""), 'Cost Inputs'!A64, "")</f>
        <v/>
      </c>
      <c r="D65" s="17" t="str">
        <f>IF(AND(C65&lt;&gt;"", 'Cost Inputs'!G64&lt;&gt;""), 'Cost Inputs'!G64, "")</f>
        <v/>
      </c>
      <c r="E65" s="17" t="str">
        <f>IF(AND(C65&lt;&gt;"", 'Cost Inputs'!$H$64&lt;&gt;""), 'Cost Inputs'!$H$64, "")</f>
        <v/>
      </c>
      <c r="F65" s="17" t="str">
        <f>IF('Cost Inputs'!$I64&lt;&gt;"", 'Cost Inputs'!$I64, "")</f>
        <v/>
      </c>
      <c r="G65" s="17" t="str">
        <f t="shared" si="1"/>
        <v/>
      </c>
      <c r="H65" s="17" t="str">
        <f>IF('Cost Inputs'!$J64&lt;&gt;"", 'Cost Inputs'!$J64, "")</f>
        <v/>
      </c>
      <c r="I65" s="17" t="str">
        <f t="shared" si="4"/>
        <v/>
      </c>
      <c r="J65" s="17" t="str">
        <f>IF(('Cost Inputs'!I64+'Cost Inputs'!J64+'Cost Inputs'!K64)&gt;0, 'Cost Inputs'!I64+'Cost Inputs'!J64+'Cost Inputs'!K64, "")</f>
        <v/>
      </c>
      <c r="K65" s="17" t="str">
        <f>IF('Cost Inputs'!$N64&gt;0,'Cost Inputs'!$N64,"")</f>
        <v/>
      </c>
      <c r="M65" s="106"/>
      <c r="Q65" s="364" t="str">
        <f>IF($O$3="N.B.C.",
IF(ISNUMBER($B$60),
IF($C65&lt;&gt;"",
IF('Cost Inputs'!$L$64="Y",
IF(ISNUMBER($P$55), $E65+($E$60*(($E65/$E$60)+$P$55)), $E65),
IF('Cost Inputs'!$L$64="N",
IF(ISNUMBER('Cost Inputs'!$M$64),
IF(ISNUMBER($P$55), $E65+($E$60*(($E65/$E$60)+$P$55)), $E65),""),"")), ""),""),"")</f>
        <v/>
      </c>
      <c r="R65" s="364" t="str">
        <f>IF($P$3="N.B.C.",
IF(ISNUMBER($B$60),
IF($C65&lt;&gt;"",
IF('Cost Inputs'!$L$64="Y",
IF(ISNUMBER($Q$55), $E65+($E$60*(($E65/$E$60)+$Q$55)), $E65),
IF('Cost Inputs'!$L$64="N","","")), ""),""),"")</f>
        <v/>
      </c>
      <c r="S65" s="364" t="str">
        <f>IF($Q$3="N.B.C.",
IF(ISNUMBER($B$60),
IF($C65&lt;&gt;"",
IF('Cost Inputs'!$L$64="Y",
IF(ISNUMBER($R$55), $E65+($E$60*(($E65/$E$60)+$R$55)), $E65),
IF('Cost Inputs'!$L$64="N",
IF(AND(ISNUMBER('Cost Inputs'!$M$64), OR('Cost Inputs'!$M$64=1,'Cost Inputs'!$M$64=2)),
IF(ISNUMBER($R$55), $E65+($E$60*(($E65/$E$60)+$R$55)), $E65),""),"")), ""),""),"")</f>
        <v/>
      </c>
      <c r="T65" s="364" t="str">
        <f>IF($R$3="N.B.C.",
IF(ISNUMBER($B$60),
IF($C65&lt;&gt;"",
IF('Cost Inputs'!$L$64="Y",
IF(ISNUMBER($S$55), $E65+($E$60*(($E65/$E$60)+$S$55)), $E65),
IF('Cost Inputs'!$L$64="N",
IF(AND(ISNUMBER('Cost Inputs'!$M$64), OR('Cost Inputs'!$M$64=1,'Cost Inputs'!$M$64=3)),
IF(ISNUMBER($S$55), $E65+($E$60*(($E65/$E$60)+$S$55)), $E65),""),"")), ""),""),"")</f>
        <v/>
      </c>
      <c r="U65" s="364" t="str">
        <f>IF($S$3="N.B.C.",
IF(ISNUMBER($B$60),
IF($C65&lt;&gt;"",
IF('Cost Inputs'!$L$64="Y",
IF(ISNUMBER($T$55), $E65+($E$60*(($E65/$E$60)+$T$55)), $E65),
IF('Cost Inputs'!$L$64="N",
IF(AND(ISNUMBER('Cost Inputs'!$M$64), OR('Cost Inputs'!$M$64=1,'Cost Inputs'!$M$64=2,'Cost Inputs'!$M$64=4)),
IF(ISNUMBER($T$55), $E65+($E$60*(($E65/$E$60)+$T$55)), $E65),""),"")), ""),""),"")</f>
        <v/>
      </c>
      <c r="V65" s="364" t="str">
        <f>IF($T$3="N.B.C.",
IF(ISNUMBER($B$60),
IF($C65&lt;&gt;"",
IF('Cost Inputs'!$L$64="Y",
IF(ISNUMBER($U$55), $E65+($E$60*(($E65/$E$60)+$U$55)), $E65),
IF('Cost Inputs'!$L$64="N",
IF(AND(ISNUMBER('Cost Inputs'!$M$64), OR('Cost Inputs'!$M$64=1,'Cost Inputs'!$M$64=5)),
IF(ISNUMBER($U$55), $E65+($E$60*(($E65/$E$60)+$U$55)), $E65),""),"")), ""),""),"")</f>
        <v/>
      </c>
      <c r="W65" s="364" t="str">
        <f>IF($U$3="N.B.C.",
IF(ISNUMBER($B$60),
IF($C65&lt;&gt;"",
IF('Cost Inputs'!$L$64="Y",
IF(ISNUMBER($V$55), $E65+($E$60*(($E65/$E$60)+$V$55)), $E65),
IF('Cost Inputs'!$L$64="N",
IF(AND(ISNUMBER('Cost Inputs'!$M$64), OR('Cost Inputs'!$M$64=1,'Cost Inputs'!$M$64=2,'Cost Inputs'!$M$64=3,'Cost Inputs'!$M$64=6)),
IF(ISNUMBER($V$55), $E65+($E$60*(($E65/$E$60)+$V$55)), $E65),""),"")), ""),""),"")</f>
        <v/>
      </c>
      <c r="X65" s="364" t="str">
        <f>IF($V$3="N.B.C.",
IF(ISNUMBER($B$60),
IF($C65&lt;&gt;"",
IF('Cost Inputs'!$L$64="Y",
IF(ISNUMBER($W$55), $E65+($E$60*(($E65/$E$60)+$W$55)), $E65),
IF('Cost Inputs'!$L$64="N",
IF(AND(ISNUMBER('Cost Inputs'!$M$64), OR('Cost Inputs'!$M$64=1,'Cost Inputs'!$M$64=7)),
IF(ISNUMBER($W$55), $E65+($E$60*(($E65/$E$60)+$W$55)), $E65),""),"")), ""),""),"")</f>
        <v/>
      </c>
      <c r="Y65" s="364" t="str">
        <f>IF($W$3="N.B.C.",
IF(ISNUMBER($B$60),
IF($C65&lt;&gt;"",
IF('Cost Inputs'!$L$64="Y",
IF(ISNUMBER($X$55), $E65+($E$60*(($E65/$E$60)+$X$55)), $E65),
IF('Cost Inputs'!$L$64="N",
IF(AND(ISNUMBER('Cost Inputs'!$M$64), OR('Cost Inputs'!$M$64=1,'Cost Inputs'!$M$64=2,'Cost Inputs'!$M$64=4,'Cost Inputs'!$M$64=8)),
IF(ISNUMBER($X$55), $E65+($E$60*(($E65/$E$60)+$X$55)), $E65),""),"")), ""),""),"")</f>
        <v/>
      </c>
      <c r="Z65" s="364" t="str">
        <f>IF($X$3="N.B.C.",
IF(ISNUMBER($B$60),
IF($C65&lt;&gt;"",
IF('Cost Inputs'!$L$64="Y",
IF(ISNUMBER($Y$55), $E65+($E$60*(($E65/$E$60)+$Y$55)), $E65),
IF('Cost Inputs'!$L$64="N",
IF(AND(ISNUMBER('Cost Inputs'!$M$64), OR('Cost Inputs'!$M$64=1,'Cost Inputs'!$M$64=3,'Cost Inputs'!$M$64=9)),
IF(ISNUMBER($Y$55), $E65+($E$60*(($E65/$E$60)+$Y$55)), $E65),""),"")), ""),""),"")</f>
        <v/>
      </c>
    </row>
    <row r="66" spans="1:26" x14ac:dyDescent="0.25">
      <c r="A66" s="518"/>
      <c r="B66" s="504"/>
      <c r="C66" s="107" t="str">
        <f>IF(OR('Cost Inputs'!H65&lt;&gt;"", 'Cost Inputs'!I65&lt;&gt;"", 'Cost Inputs'!J65&lt;&gt;""), 'Cost Inputs'!A65, "")</f>
        <v/>
      </c>
      <c r="D66" s="93" t="str">
        <f>IF(AND(C66&lt;&gt;"", 'Cost Inputs'!G65&lt;&gt;""), 'Cost Inputs'!G65, "")</f>
        <v/>
      </c>
      <c r="E66" s="93" t="str">
        <f>IF(AND(C66&lt;&gt;"", 'Cost Inputs'!$H$65&lt;&gt;""), 'Cost Inputs'!$H$65, "")</f>
        <v/>
      </c>
      <c r="F66" s="93" t="str">
        <f>IF('Cost Inputs'!$I65&lt;&gt;"", 'Cost Inputs'!$I65, "")</f>
        <v/>
      </c>
      <c r="G66" s="93" t="str">
        <f t="shared" si="1"/>
        <v/>
      </c>
      <c r="H66" s="93" t="str">
        <f>IF('Cost Inputs'!$J65&lt;&gt;"", 'Cost Inputs'!$J65, "")</f>
        <v/>
      </c>
      <c r="I66" s="93" t="str">
        <f t="shared" si="4"/>
        <v/>
      </c>
      <c r="J66" s="93" t="str">
        <f>IF(('Cost Inputs'!I65+'Cost Inputs'!J65+'Cost Inputs'!K65)&gt;0, 'Cost Inputs'!I65+'Cost Inputs'!J65+'Cost Inputs'!K65, "")</f>
        <v/>
      </c>
      <c r="K66" s="93" t="str">
        <f>IF('Cost Inputs'!$N65&gt;0,'Cost Inputs'!$N65,"")</f>
        <v/>
      </c>
      <c r="L66" s="93"/>
      <c r="M66" s="109"/>
      <c r="Q66" s="372" t="str">
        <f>IF($O$3="N.B.C.",
IF(ISNUMBER($B$60),
IF($C66&lt;&gt;"",
IF('Cost Inputs'!$L$65="Y",
IF(ISNUMBER($P$55), $E66+($E$60*(($E66/$E$60)+$P$55)), $E66),
IF('Cost Inputs'!$L$65="N",
IF(ISNUMBER('Cost Inputs'!$M$65),
IF(ISNUMBER($P$55), $E66+($E$60*(($E66/$E$60)+$P$55)), $E66),""),"")), ""),""),"")</f>
        <v/>
      </c>
      <c r="R66" s="372" t="str">
        <f>IF($P$3="N.B.C.",
IF(ISNUMBER($B$60),
IF($C66&lt;&gt;"",
IF('Cost Inputs'!$L$65="Y",
IF(ISNUMBER($Q$55), $E66+($E$60*(($E66/$E$60)+$Q$55)), $E66),
IF('Cost Inputs'!$L$65="N","","")), ""),""),"")</f>
        <v/>
      </c>
      <c r="S66" s="372" t="str">
        <f>IF($Q$3="N.B.C.",
IF(ISNUMBER($B$60),
IF($C66&lt;&gt;"",
IF('Cost Inputs'!$L$65="Y",
IF(ISNUMBER($R$55), $E66+($E$60*(($E66/$E$60)+$R$55)), $E66),
IF('Cost Inputs'!$L$65="N",
IF(AND(ISNUMBER('Cost Inputs'!$M$65), OR('Cost Inputs'!$M$65=1,'Cost Inputs'!$M$65=2)),
IF(ISNUMBER($R$55), $E66+($E$60*(($E66/$E$60)+$R$55)), $E66),""),"")), ""),""),"")</f>
        <v/>
      </c>
      <c r="T66" s="372" t="str">
        <f>IF($R$3="N.B.C.",
IF(ISNUMBER($B$60),
IF($C66&lt;&gt;"",
IF('Cost Inputs'!$L$65="Y",
IF(ISNUMBER($S$55), $E66+($E$60*(($E66/$E$60)+$S$55)), $E66),
IF('Cost Inputs'!$L$65="N",
IF(AND(ISNUMBER('Cost Inputs'!$M$65), OR('Cost Inputs'!$M$65=1,'Cost Inputs'!$M$65=3)),
IF(ISNUMBER($S$55), $E66+($E$60*(($E66/$E$60)+$S$55)), $E66),""),"")), ""),""),"")</f>
        <v/>
      </c>
      <c r="U66" s="372" t="str">
        <f>IF($S$3="N.B.C.",
IF(ISNUMBER($B$60),
IF($C66&lt;&gt;"",
IF('Cost Inputs'!$L$65="Y",
IF(ISNUMBER($T$55), $E66+($E$60*(($E66/$E$60)+$T$55)), $E66),
IF('Cost Inputs'!$L$65="N",
IF(AND(ISNUMBER('Cost Inputs'!$M$65), OR('Cost Inputs'!$M$65=1,'Cost Inputs'!$M$65=2,'Cost Inputs'!$M$65=4)),
IF(ISNUMBER($T$55), $E66+($E$60*(($E66/$E$60)+$T$55)), $E66),""),"")), ""),""),"")</f>
        <v/>
      </c>
      <c r="V66" s="372" t="str">
        <f>IF($T$3="N.B.C.",
IF(ISNUMBER($B$60),
IF($C66&lt;&gt;"",
IF('Cost Inputs'!$L$65="Y",
IF(ISNUMBER($U$55), $E66+($E$60*(($E66/$E$60)+$U$55)), $E66),
IF('Cost Inputs'!$L$65="N",
IF(AND(ISNUMBER('Cost Inputs'!$M$65), OR('Cost Inputs'!$M$65=1,'Cost Inputs'!$M$65=5)),
IF(ISNUMBER($U$55), $E66+($E$60*(($E66/$E$60)+$U$55)), $E66),""),"")), ""),""),"")</f>
        <v/>
      </c>
      <c r="W66" s="372" t="str">
        <f>IF($U$3="N.B.C.",
IF(ISNUMBER($B$60),
IF($C66&lt;&gt;"",
IF('Cost Inputs'!$L$65="Y",
IF(ISNUMBER($V$55), $E66+($E$60*(($E66/$E$60)+$V$55)), $E66),
IF('Cost Inputs'!$L$65="N",
IF(AND(ISNUMBER('Cost Inputs'!$M$65), OR('Cost Inputs'!$M$65=1,'Cost Inputs'!$M$65=2,'Cost Inputs'!$M$65=3,'Cost Inputs'!$M$65=6)),
IF(ISNUMBER($V$55), $E66+($E$60*(($E66/$E$60)+$V$55)), $E66),""),"")), ""),""),"")</f>
        <v/>
      </c>
      <c r="X66" s="372" t="str">
        <f>IF($V$3="N.B.C.",
IF(ISNUMBER($B$60),
IF($C66&lt;&gt;"",
IF('Cost Inputs'!$L$65="Y",
IF(ISNUMBER($W$55), $E66+($E$60*(($E66/$E$60)+$W$55)), $E66),
IF('Cost Inputs'!$L$65="N",
IF(AND(ISNUMBER('Cost Inputs'!$M$65), OR('Cost Inputs'!$M$65=1,'Cost Inputs'!$M$65=7)),
IF(ISNUMBER($W$55), $E66+($E$60*(($E66/$E$60)+$W$55)), $E66),""),"")), ""),""),"")</f>
        <v/>
      </c>
      <c r="Y66" s="372" t="str">
        <f>IF($W$3="N.B.C.",
IF(ISNUMBER($B$60),
IF($C66&lt;&gt;"",
IF('Cost Inputs'!$L$65="Y",
IF(ISNUMBER($X$55), $E66+($E$60*(($E66/$E$60)+$X$55)), $E66),
IF('Cost Inputs'!$L$65="N",
IF(AND(ISNUMBER('Cost Inputs'!$M$65), OR('Cost Inputs'!$M$65=1,'Cost Inputs'!$M$65=2,'Cost Inputs'!$M$65=4,'Cost Inputs'!$M$65=8)),
IF(ISNUMBER($X$55), $E66+($E$60*(($E66/$E$60)+$X$55)), $E66),""),"")), ""),""),"")</f>
        <v/>
      </c>
      <c r="Z66" s="372" t="str">
        <f>IF($X$3="N.B.C.",
IF(ISNUMBER($B$60),
IF($C66&lt;&gt;"",
IF('Cost Inputs'!$L$65="Y",
IF(ISNUMBER($Y$55), $E66+($E$60*(($E66/$E$60)+$Y$55)), $E66),
IF('Cost Inputs'!$L$65="N",
IF(AND(ISNUMBER('Cost Inputs'!$M$65), OR('Cost Inputs'!$M$65=1,'Cost Inputs'!$M$65=3,'Cost Inputs'!$M$65=9)),
IF(ISNUMBER($Y$55), $E66+($E$60*(($E66/$E$60)+$Y$55)), $E66),""),"")), ""),""),"")</f>
        <v/>
      </c>
    </row>
    <row r="67" spans="1:26" x14ac:dyDescent="0.25">
      <c r="A67" s="518"/>
      <c r="B67" s="504"/>
      <c r="C67" s="104" t="str">
        <f>IF(OR('Cost Inputs'!H66&lt;&gt;"", 'Cost Inputs'!I66&lt;&gt;"", 'Cost Inputs'!J66&lt;&gt;""), 'Cost Inputs'!A66, "")</f>
        <v/>
      </c>
      <c r="D67" s="17" t="str">
        <f>IF(AND(C67&lt;&gt;"", 'Cost Inputs'!G66&lt;&gt;""), 'Cost Inputs'!G66, "")</f>
        <v/>
      </c>
      <c r="E67" s="17" t="str">
        <f>IF(AND(C67&lt;&gt;"", 'Cost Inputs'!$H$66&lt;&gt;""), 'Cost Inputs'!$H$66, "")</f>
        <v/>
      </c>
      <c r="F67" s="17" t="str">
        <f>IF('Cost Inputs'!$I66&lt;&gt;"", 'Cost Inputs'!$I66, "")</f>
        <v/>
      </c>
      <c r="G67" s="17" t="str">
        <f t="shared" si="1"/>
        <v/>
      </c>
      <c r="H67" s="17" t="str">
        <f>IF('Cost Inputs'!$J66&lt;&gt;"", 'Cost Inputs'!$J66, "")</f>
        <v/>
      </c>
      <c r="I67" s="17" t="str">
        <f t="shared" si="4"/>
        <v/>
      </c>
      <c r="J67" s="17" t="str">
        <f>IF(('Cost Inputs'!I66+'Cost Inputs'!J66+'Cost Inputs'!K66)&gt;0, 'Cost Inputs'!I66+'Cost Inputs'!J66+'Cost Inputs'!K66, "")</f>
        <v/>
      </c>
      <c r="K67" s="17" t="str">
        <f>IF('Cost Inputs'!$N66&gt;0,'Cost Inputs'!$N66,"")</f>
        <v/>
      </c>
      <c r="M67" s="106"/>
      <c r="Q67" s="364" t="str">
        <f>IF($O$3="N.B.C.",
IF(ISNUMBER($B$60),
IF($C67&lt;&gt;"",
IF('Cost Inputs'!$L$66="Y",
IF(ISNUMBER($P$55), $E67+($E$60*(($E67/$E$60)+$P$55)), $E67),
IF('Cost Inputs'!$L$66="N",
IF(ISNUMBER('Cost Inputs'!$M$66),
IF(ISNUMBER($P$55), $E67+($E$60*(($E67/$E$60)+$P$55)), $E67),""),"")), ""),""),"")</f>
        <v/>
      </c>
      <c r="R67" s="364" t="str">
        <f>IF($P$3="N.B.C.",
IF(ISNUMBER($B$60),
IF($C67&lt;&gt;"",
IF('Cost Inputs'!$L$66="Y",
IF(ISNUMBER($Q$55), $E67+($E$60*(($E67/$E$60)+$Q$55)), $E67),
IF('Cost Inputs'!$L$66="N","","")), ""),""),"")</f>
        <v/>
      </c>
      <c r="S67" s="364" t="str">
        <f>IF($Q$3="N.B.C.",
IF(ISNUMBER($B$60),
IF($C67&lt;&gt;"",
IF('Cost Inputs'!$L$66="Y",
IF(ISNUMBER($R$55), $E67+($E$60*(($E67/$E$60)+$R$55)), $E67),
IF('Cost Inputs'!$L$66="N",
IF(AND(ISNUMBER('Cost Inputs'!$M$66), OR('Cost Inputs'!$M$66=1,'Cost Inputs'!$M$66=2)),
IF(ISNUMBER($R$55), $E67+($E$60*(($E67/$E$60)+$R$55)), $E67),""),"")), ""),""),"")</f>
        <v/>
      </c>
      <c r="T67" s="364" t="str">
        <f>IF($R$3="N.B.C.",
IF(ISNUMBER($B$60),
IF($C67&lt;&gt;"",
IF('Cost Inputs'!$L$66="Y",
IF(ISNUMBER($S$55), $E67+($E$60*(($E67/$E$60)+$S$55)), $E67),
IF('Cost Inputs'!$L$66="N",
IF(AND(ISNUMBER('Cost Inputs'!$M$66), OR('Cost Inputs'!$M$66=1,'Cost Inputs'!$M$66=3)),
IF(ISNUMBER($S$55), $E67+($E$60*(($E67/$E$60)+$S$55)), $E67),""),"")), ""),""),"")</f>
        <v/>
      </c>
      <c r="U67" s="364" t="str">
        <f>IF($S$3="N.B.C.",
IF(ISNUMBER($B$60),
IF($C67&lt;&gt;"",
IF('Cost Inputs'!$L$66="Y",
IF(ISNUMBER($T$55), $E67+($E$60*(($E67/$E$60)+$T$55)), $E67),
IF('Cost Inputs'!$L$66="N",
IF(AND(ISNUMBER('Cost Inputs'!$M$66), OR('Cost Inputs'!$M$66=1,'Cost Inputs'!$M$66=2,'Cost Inputs'!$M$66=4)),
IF(ISNUMBER($T$55), $E67+($E$60*(($E67/$E$60)+$T$55)), $E67),""),"")), ""),""),"")</f>
        <v/>
      </c>
      <c r="V67" s="364" t="str">
        <f>IF($T$3="N.B.C.",
IF(ISNUMBER($B$60),
IF($C67&lt;&gt;"",
IF('Cost Inputs'!$L$66="Y",
IF(ISNUMBER($U$55), $E67+($E$60*(($E67/$E$60)+$U$55)), $E67),
IF('Cost Inputs'!$L$66="N",
IF(AND(ISNUMBER('Cost Inputs'!$M$66), OR('Cost Inputs'!$M$66=1,'Cost Inputs'!$M$66=5)),
IF(ISNUMBER($U$55), $E67+($E$60*(($E67/$E$60)+$U$55)), $E67),""),"")), ""),""),"")</f>
        <v/>
      </c>
      <c r="W67" s="364" t="str">
        <f>IF($U$3="N.B.C.",
IF(ISNUMBER($B$60),
IF($C67&lt;&gt;"",
IF('Cost Inputs'!$L$66="Y",
IF(ISNUMBER($V$55), $E67+($E$60*(($E67/$E$60)+$V$55)), $E67),
IF('Cost Inputs'!$L$66="N",
IF(AND(ISNUMBER('Cost Inputs'!$M$66), OR('Cost Inputs'!$M$66=1,'Cost Inputs'!$M$66=2,'Cost Inputs'!$M$66=3,'Cost Inputs'!$M$66=6)),
IF(ISNUMBER($V$55), $E67+($E$60*(($E67/$E$60)+$V$55)), $E67),""),"")), ""),""),"")</f>
        <v/>
      </c>
      <c r="X67" s="364" t="str">
        <f>IF($V$3="N.B.C.",
IF(ISNUMBER($B$60),
IF($C67&lt;&gt;"",
IF('Cost Inputs'!$L$66="Y",
IF(ISNUMBER($W$55), $E67+($E$60*(($E67/$E$60)+$W$55)), $E67),
IF('Cost Inputs'!$L$66="N",
IF(AND(ISNUMBER('Cost Inputs'!$M$66), OR('Cost Inputs'!$M$66=1,'Cost Inputs'!$M$66=7)),
IF(ISNUMBER($W$55), $E67+($E$60*(($E67/$E$60)+$W$55)), $E67),""),"")), ""),""),"")</f>
        <v/>
      </c>
      <c r="Y67" s="364" t="str">
        <f>IF($W$3="N.B.C.",
IF(ISNUMBER($B$60),
IF($C67&lt;&gt;"",
IF('Cost Inputs'!$L$66="Y",
IF(ISNUMBER($X$55), $E67+($E$60*(($E67/$E$60)+$X$55)), $E67),
IF('Cost Inputs'!$L$66="N",
IF(AND(ISNUMBER('Cost Inputs'!$M$66), OR('Cost Inputs'!$M$66=1,'Cost Inputs'!$M$66=2,'Cost Inputs'!$M$66=4,'Cost Inputs'!$M$66=8)),
IF(ISNUMBER($X$55), $E67+($E$60*(($E67/$E$60)+$X$55)), $E67),""),"")), ""),""),"")</f>
        <v/>
      </c>
      <c r="Z67" s="364" t="str">
        <f>IF($X$3="N.B.C.",
IF(ISNUMBER($B$60),
IF($C67&lt;&gt;"",
IF('Cost Inputs'!$L$66="Y",
IF(ISNUMBER($Y$55), $E67+($E$60*(($E67/$E$60)+$Y$55)), $E67),
IF('Cost Inputs'!$L$66="N",
IF(AND(ISNUMBER('Cost Inputs'!$M$66), OR('Cost Inputs'!$M$66=1,'Cost Inputs'!$M$66=3,'Cost Inputs'!$M$66=9)),
IF(ISNUMBER($Y$55), $E67+($E$60*(($E67/$E$60)+$Y$55)), $E67),""),"")), ""),""),"")</f>
        <v/>
      </c>
    </row>
    <row r="68" spans="1:26" x14ac:dyDescent="0.25">
      <c r="A68" s="518"/>
      <c r="B68" s="504"/>
      <c r="C68" s="110" t="str">
        <f>IF(ISNUMBER(B60), _3_2_0, "")</f>
        <v/>
      </c>
      <c r="D68" s="94" t="str">
        <f>IF(AND(B60&lt;&gt;"", OR('Cost Inputs'!$H$67&lt;&gt;"", 'Cost Inputs'!$I$67&lt;&gt;"", 'Cost Inputs'!$J$67&lt;&gt;"")), 'Cost Inputs'!$G$67,"")</f>
        <v/>
      </c>
      <c r="E68" s="94" t="str">
        <f>IF(AND(C68&lt;&gt;"", 'Cost Inputs'!$H$67&lt;&gt;""), 'Cost Inputs'!$H$67, "")</f>
        <v/>
      </c>
      <c r="F68" s="94" t="str">
        <f>IF(AND(C68&lt;&gt;"", 'Cost Inputs'!$I$67&lt;&gt;""), 'Cost Inputs'!$I$67, "")</f>
        <v/>
      </c>
      <c r="G68" s="94" t="str">
        <f t="shared" si="1"/>
        <v/>
      </c>
      <c r="H68" s="94" t="str">
        <f>IF(AND(C68&lt;&gt;"", 'Cost Inputs'!$J$67&lt;&gt;""), 'Cost Inputs'!$J$67, "")</f>
        <v/>
      </c>
      <c r="I68" s="94" t="str">
        <f>IF(AND($E68&lt;&gt;"", $H68&lt;&gt;""), $H68/$E68, "")</f>
        <v/>
      </c>
      <c r="J68" s="94" t="str">
        <f>IF(AND(C68&lt;&gt;"",('Cost Inputs'!$I$67+'Cost Inputs'!$J$67+'Cost Inputs'!$K$67)&gt;0), 'Cost Inputs'!$I$67+'Cost Inputs'!$J$67+'Cost Inputs'!$K$67, "")</f>
        <v/>
      </c>
      <c r="K68" s="94" t="str">
        <f>IF(AND(C68&lt;&gt;"", 'Cost Inputs'!$N$67&gt;0),'Cost Inputs'!$N$67,"")</f>
        <v/>
      </c>
      <c r="L68" s="94"/>
      <c r="M68" s="103"/>
      <c r="Q68" s="373" t="str">
        <f>IF($O$3="N.B.C.",
IF(ISNUMBER($B$60),
IF($C68&lt;&gt;"",
IF('Cost Inputs'!$L$67="Y",
IF(AND(ISNUMBER(P$56), P$56&gt;$E$60), $E68+($E$60*(($E68/$E$60)+$P$55)), $E68),
IF('Cost Inputs'!$L$67="N",
IF(AND(ISNUMBER(P$56), P$56&gt;$E$60), $E68+($E$60*(($E68/$E$60)+$P$55)), $E68), "")), ""), ""), "")</f>
        <v/>
      </c>
      <c r="R68" s="373" t="str">
        <f>IF($P$3="N.B.C.",
IF(ISNUMBER($B$60),
IF($C68&lt;&gt;"",
IF('Cost Inputs'!$L$67="Y",
IF(AND(ISNUMBER(Q$56), Q$56&gt;$E$60), $E68+($E$60*(($E68/$E$60)+$Q$55)), $E68),
IF('Cost Inputs'!$L$67="N", "", "")), ""), ""), "")</f>
        <v/>
      </c>
      <c r="S68" s="373" t="str">
        <f>IF($Q$3="N.B.C.",
IF(ISNUMBER($B$60),
IF($C68&lt;&gt;"",
IF('Cost Inputs'!$L$67="Y",
IF(AND(ISNUMBER(R$56), R$56&gt;$E$60), $E68+($E$60*(($E68/$E$60)+$R$55)), $E68),
IF('Cost Inputs'!$L$67="N",
IF(AND(ISNUMBER('Cost Inputs'!$M$67), OR('Cost Inputs'!$M$67=1,'Cost Inputs'!$M$67=2)),
IF(AND(ISNUMBER(R$56), R$56&gt;$E$60), $E68+($E$60*(($E68/$E$60)+$R$55)), $E68), ""),"")), ""), ""), "")</f>
        <v/>
      </c>
      <c r="T68" s="373" t="str">
        <f>IF($R$3="N.B.C.",
IF(ISNUMBER($B$60),
IF($C68&lt;&gt;"",
IF('Cost Inputs'!$L$67="Y",
IF(AND(ISNUMBER(S$56), S$56&gt;$E$60), $E68+($E$60*(($E68/$E$60)+$S$55)), $E68),
IF('Cost Inputs'!$L$67="N",
IF(AND(ISNUMBER('Cost Inputs'!$M$67), OR('Cost Inputs'!$M$67=1,'Cost Inputs'!$M$67=3)),
IF(AND(ISNUMBER(S$56), S$56&gt;$E$60), $E68+($E$60*(($E68/$E$60)+$S$55)), $E68), ""),"")), ""), ""), "")</f>
        <v/>
      </c>
      <c r="U68" s="373" t="str">
        <f>IF($S$3="N.B.C.",
IF(ISNUMBER($B$60),
IF($C68&lt;&gt;"",
IF('Cost Inputs'!$L$67="Y",
IF(AND(ISNUMBER(T$56), T$56&gt;$E$60), $E68+($E$60*(($E68/$E$60)+$T$55)), $E68),
IF('Cost Inputs'!$L$67="N",
IF(AND(ISNUMBER('Cost Inputs'!$M$67), OR('Cost Inputs'!$M$67=1,'Cost Inputs'!$M$67=2, 'Cost Inputs'!$M$67=4)),
IF(AND(ISNUMBER(T$56), T$56&gt;$E$60), $E68+($E$60*(($E68/$E$60)+$T$55)), $E68), ""),"")), ""), ""), "")</f>
        <v/>
      </c>
      <c r="V68" s="373" t="str">
        <f>IF($T$3="N.B.C.",
IF(ISNUMBER($B$60),
IF($C68&lt;&gt;"",
IF('Cost Inputs'!$L$67="Y",
IF(AND(ISNUMBER(U$56), U$56&gt;$E$60), $E68+($E$60*(($E68/$E$60)+$U$55)), $E68),
IF('Cost Inputs'!$L$67="N",
IF(AND(ISNUMBER('Cost Inputs'!$M$67), OR('Cost Inputs'!$M$67=1,'Cost Inputs'!$M$67=5)),
IF(AND(ISNUMBER(U$56), U$56&gt;$E$60), $E68+($E$60*(($E68/$E$60)+$U$55)), $E68), ""),"")), ""), ""), "")</f>
        <v/>
      </c>
      <c r="W68" s="373" t="str">
        <f>IF($U$3="N.B.C.",
IF(ISNUMBER($B$60),
IF($C68&lt;&gt;"",
IF('Cost Inputs'!$L$67="Y",
IF(AND(ISNUMBER(V$56), V$56&gt;$E$60), $E68+($E$60*(($E68/$E$60)+$V$55)), $E68),
IF('Cost Inputs'!$L$67="N",
IF(AND(ISNUMBER('Cost Inputs'!$M$67), OR('Cost Inputs'!$M$67=1,'Cost Inputs'!$M$67=2, 'Cost Inputs'!$M$67=3,'Cost Inputs'!$M$67=6)),
IF(AND(ISNUMBER(V$56), V$56&gt;$E$60), $E68+($E$60*(($E68/$E$60)+$V$55)), $E68), ""),"")), ""), ""), "")</f>
        <v/>
      </c>
      <c r="X68" s="373" t="str">
        <f>IF($V$3="N.B.C.",
IF(ISNUMBER($B$60),
IF($C68&lt;&gt;"",
IF('Cost Inputs'!$L$67="Y",
IF(AND(ISNUMBER(W$56), W$56&gt;$E$60), $E68+($E$60*(($E68/$E$60)+$W$55)), $E68),
IF('Cost Inputs'!$L$67="N",
IF(AND(ISNUMBER('Cost Inputs'!$M$67), OR('Cost Inputs'!$M$67=1,'Cost Inputs'!$M$67=7)),
IF(AND(ISNUMBER(W$56), W$56&gt;$E$60), $E68+($E$60*(($E68/$E$60)+$W$55)), $E68), ""),"")), ""), ""), "")</f>
        <v/>
      </c>
      <c r="Y68" s="373" t="str">
        <f>IF($W$3="N.B.C.",
IF(ISNUMBER($B$60),
IF($C68&lt;&gt;"",
IF('Cost Inputs'!$L$67="Y",
IF(AND(ISNUMBER(X$56), X$56&gt;$E$60), $E68+($E$60*(($E68/$E$60)+$X$55)), $E68),
IF('Cost Inputs'!$L$67="N",
IF(AND(ISNUMBER('Cost Inputs'!$M$67), OR('Cost Inputs'!$M$67=1,'Cost Inputs'!$M$67=2,'Cost Inputs'!$M$67=4,'Cost Inputs'!$M$67=8)),
IF(AND(ISNUMBER(X$56), X$56&gt;$E$60), $E68+($E$60*(($E68/$E$60)+$X$55)), $E68), ""),"")), ""), ""), "")</f>
        <v/>
      </c>
      <c r="Z68" s="373" t="str">
        <f>IF($X$3="N.B.C.",
IF(ISNUMBER($B$60),
IF($C68&lt;&gt;"",
IF('Cost Inputs'!$L$67="Y",
IF(AND(ISNUMBER(Y$56), Y$56&gt;$E$60), $E68+($E$60*(($E68/$E$60)+$Y$55)), $E68),
IF('Cost Inputs'!$L$67="N",
IF(AND(ISNUMBER('Cost Inputs'!$M$67), OR('Cost Inputs'!$M$67=1,'Cost Inputs'!$M$67=3, 'Cost Inputs'!$M$67=9)),
IF(AND(ISNUMBER(Y$56), Y$56&gt;$E$60), $E68+($E$60*(($E68/$E$60)+$Y$55)), $E68), ""),"")), ""), ""), "")</f>
        <v/>
      </c>
    </row>
    <row r="69" spans="1:26" x14ac:dyDescent="0.25">
      <c r="A69" s="518"/>
      <c r="B69" s="504"/>
      <c r="C69" s="104" t="str">
        <f>IF(AND(ISNUMBER(B60), OR('Cost Inputs'!$H$68&lt;&gt;"", 'Cost Inputs'!$I$68&lt;&gt;"", 'Cost Inputs'!$J$68&lt;&gt;"")), _3_2_1, "")</f>
        <v/>
      </c>
      <c r="D69" s="17" t="str">
        <f>IF(AND($C69&lt;&gt;"", 'Cost Inputs'!$G$68&lt;&gt;""), 'Cost Inputs'!$G$68, "")</f>
        <v/>
      </c>
      <c r="E69" s="17" t="str">
        <f>IF(AND(C69&lt;&gt;"", 'Cost Inputs'!$H$68&lt;&gt;""), 'Cost Inputs'!$H$68, "")</f>
        <v/>
      </c>
      <c r="F69" s="17" t="str">
        <f>IF(AND(C69&lt;&gt;"", 'Cost Inputs'!$I$68&lt;&gt;""), 'Cost Inputs'!$I$68, "")</f>
        <v/>
      </c>
      <c r="G69" s="17" t="str">
        <f t="shared" ref="G69:G135" si="5">IF(AND($E69&lt;&gt;"", $E69&gt;0, F69&lt;&gt;""), F69/$E69, "")</f>
        <v/>
      </c>
      <c r="H69" s="17" t="str">
        <f>IF(AND(C69&lt;&gt;"", 'Cost Inputs'!$J$68&lt;&gt;""), 'Cost Inputs'!$J$68, "")</f>
        <v/>
      </c>
      <c r="I69" s="17" t="str">
        <f t="shared" si="4"/>
        <v/>
      </c>
      <c r="J69" s="17" t="str">
        <f>IF(AND(C69&lt;&gt;"",('Cost Inputs'!$I$68+'Cost Inputs'!$J$68+'Cost Inputs'!$K$68)&gt;0), 'Cost Inputs'!$I$68+'Cost Inputs'!$J$68+'Cost Inputs'!$K$68, "")</f>
        <v/>
      </c>
      <c r="K69" s="17" t="str">
        <f>IF(AND(C69&lt;&gt;"", 'Cost Inputs'!$N$68&gt;0),'Cost Inputs'!$N$68,"")</f>
        <v/>
      </c>
      <c r="M69" s="106"/>
      <c r="Q69" s="364" t="str">
        <f>IF($O$3="N.B.C.",
IF(ISNUMBER($B$60),
IF($C69&lt;&gt;"",
IF('Cost Inputs'!$L$68="Y",
IF(ISNUMBER($P$55), $E69+($E$68*(($E69/$E$68)+$P$55)), $E69),
IF('Cost Inputs'!$L$68="N",
IF(ISNUMBER('Cost Inputs'!$M$68),
IF(ISNUMBER($P$55), $E69+($E$68*(($E69/$E$68)+$P$55)), $E69),""),"")), ""),""),"")</f>
        <v/>
      </c>
      <c r="R69" s="364" t="str">
        <f>IF($P$3="N.B.C.",
IF(ISNUMBER($B$60),
IF($C69&lt;&gt;"",
IF('Cost Inputs'!$L$68="Y",
IF(ISNUMBER($Q$55), $E69+($E$68*(($E69/$E$68)+$Q$55)), $E69),
IF('Cost Inputs'!$L$68="N","","")), ""),""),"")</f>
        <v/>
      </c>
      <c r="S69" s="364" t="str">
        <f>IF($Q$3="N.B.C.",
IF(ISNUMBER($B$60),
IF($C69&lt;&gt;"",
IF('Cost Inputs'!$L$68="Y",
IF(ISNUMBER($R$55), $E69+($E$68*(($E69/$E$68)+$R$55)), $E69),
IF('Cost Inputs'!$L$68="N",
IF(AND(ISNUMBER('Cost Inputs'!$M$68), OR('Cost Inputs'!$M$68=1,'Cost Inputs'!$M$68=2)),
IF(ISNUMBER($R$55), $E69+($E$68*(($E69/$E$68)+$R$55)), $E69),""),"")), ""),""),"")</f>
        <v/>
      </c>
      <c r="T69" s="364" t="str">
        <f>IF($R$3="N.B.C.",
IF(ISNUMBER($B$60),
IF($C69&lt;&gt;"",
IF('Cost Inputs'!$L$68="Y",
IF(ISNUMBER($S$55), $E69+($E$68*(($E69/$E$68)+$S$55)), $E69),
IF('Cost Inputs'!$L$68="N",
IF(AND(ISNUMBER('Cost Inputs'!$M$68), OR('Cost Inputs'!$M$68=1,'Cost Inputs'!$M$68=3)),
IF(ISNUMBER($S$55), $E69+($E$68*(($E69/$E$68)+$S$55)), $E69),""),"")), ""),""),"")</f>
        <v/>
      </c>
      <c r="U69" s="364" t="str">
        <f>IF($S$3="N.B.C.",
IF(ISNUMBER($B$60),
IF($C69&lt;&gt;"",
IF('Cost Inputs'!$L$68="Y",
IF(ISNUMBER($T$55), $E69+($E$68*(($E69/$E$68)+$T$55)), $E69),
IF('Cost Inputs'!$L$68="N",
IF(AND(ISNUMBER('Cost Inputs'!$M$68), OR('Cost Inputs'!$M$68=1,'Cost Inputs'!$M$68=2,'Cost Inputs'!$M$68=4)),
IF(ISNUMBER($T$55), $E69+($E$68*(($E69/$E$68)+$T$55)), $E69),""),"")), ""),""),"")</f>
        <v/>
      </c>
      <c r="V69" s="364" t="str">
        <f>IF($T$3="N.B.C.",
IF(ISNUMBER($B$60),
IF($C69&lt;&gt;"",
IF('Cost Inputs'!$L$68="Y",
IF(ISNUMBER($U$55), $E69+($E$68*(($E69/$E$68)+$U$55)), $E69),
IF('Cost Inputs'!$L$68="N",
IF(AND(ISNUMBER('Cost Inputs'!$M$68), OR('Cost Inputs'!$M$68=1,'Cost Inputs'!$M$68=5)),
IF(ISNUMBER($U$55), $E69+($E$68*(($E69/$E$68)+$U$55)), $E69),""),"")), ""),""),"")</f>
        <v/>
      </c>
      <c r="W69" s="364" t="str">
        <f>IF($U$3="N.B.C.",
IF(ISNUMBER($B$60),
IF($C69&lt;&gt;"",
IF('Cost Inputs'!$L$68="Y",
IF(ISNUMBER($V$55), $E69+($E$68*(($E69/$E$68)+$V$55)), $E69),
IF('Cost Inputs'!$L$68="N",
IF(AND(ISNUMBER('Cost Inputs'!$M$68), OR('Cost Inputs'!$M$68=1,'Cost Inputs'!$M$68=2,'Cost Inputs'!$M$68=3,'Cost Inputs'!$M$68=6)),
IF(ISNUMBER($V$55), $E69+($E$68*(($E69/$E$68)+$V$55)), $E69),""),"")), ""),""),"")</f>
        <v/>
      </c>
      <c r="X69" s="364" t="str">
        <f>IF($V$3="N.B.C.",
IF(ISNUMBER($B$60),
IF($C69&lt;&gt;"",
IF('Cost Inputs'!$L$68="Y",
IF(ISNUMBER($W$55), $E69+($E$68*(($E69/$E$68)+$W$55)), $E69),
IF('Cost Inputs'!$L$68="N",
IF(AND(ISNUMBER('Cost Inputs'!$M$68), OR('Cost Inputs'!$M$68=1,'Cost Inputs'!$M$68=7)),
IF(ISNUMBER($W$55), $E69+($E$68*(($E69/$E$68)+$W$55)), $E69),""),"")), ""),""),"")</f>
        <v/>
      </c>
      <c r="Y69" s="364" t="str">
        <f>IF($W$3="N.B.C.",
IF(ISNUMBER($B$60),
IF($C69&lt;&gt;"",
IF('Cost Inputs'!$L$68="Y",
IF(ISNUMBER($X$55), $E69+($E$68*(($E69/$E$68)+$X$55)), $E69),
IF('Cost Inputs'!$L$68="N",
IF(AND(ISNUMBER('Cost Inputs'!$M$68), OR('Cost Inputs'!$M$68=1,'Cost Inputs'!$M$68=2,'Cost Inputs'!$M$68=4,'Cost Inputs'!$M$68=8)),
IF(ISNUMBER($X$55), $E69+($E$68*(($E69/$E$68)+$X$55)), $E69),""),"")), ""),""),"")</f>
        <v/>
      </c>
      <c r="Z69" s="364" t="str">
        <f>IF($X$3="N.B.C.",
IF(ISNUMBER($B$60),
IF($C69&lt;&gt;"",
IF('Cost Inputs'!$L$68="Y",
IF(ISNUMBER($Y$55), $E69+($E$68*(($E69/$E$68)+$Y$55)), $E69),
IF('Cost Inputs'!$L$68="N",
IF(AND(ISNUMBER('Cost Inputs'!$M$68), OR('Cost Inputs'!$M$68=1,'Cost Inputs'!$M$68=3,'Cost Inputs'!$M$68=9)),
IF(ISNUMBER($Y$55), $E69+($E$68*(($E69/$E$68)+$Y$55)), $E69),""),"")), ""),""),"")</f>
        <v/>
      </c>
    </row>
    <row r="70" spans="1:26" x14ac:dyDescent="0.25">
      <c r="A70" s="518"/>
      <c r="B70" s="504"/>
      <c r="C70" s="107" t="str">
        <f>IF(AND(ISNUMBER(B60), OR('Cost Inputs'!$H$69&lt;&gt;"", 'Cost Inputs'!$I$69&lt;&gt;"", 'Cost Inputs'!$J$69&lt;&gt;"")), _3_2_2, "")</f>
        <v/>
      </c>
      <c r="D70" s="93" t="str">
        <f>IF(AND($C70&lt;&gt;"", 'Cost Inputs'!$G$69&lt;&gt;""), 'Cost Inputs'!$G$69, "")</f>
        <v/>
      </c>
      <c r="E70" s="93" t="str">
        <f>IF(AND(C70&lt;&gt;"", 'Cost Inputs'!$H$69&lt;&gt;""), 'Cost Inputs'!$H$69, "")</f>
        <v/>
      </c>
      <c r="F70" s="93" t="str">
        <f>IF(AND(C70&lt;&gt;"", 'Cost Inputs'!$I$69&lt;&gt;""), 'Cost Inputs'!$I$69, "")</f>
        <v/>
      </c>
      <c r="G70" s="93" t="str">
        <f t="shared" si="5"/>
        <v/>
      </c>
      <c r="H70" s="93" t="str">
        <f>IF(AND(C70&lt;&gt;"", 'Cost Inputs'!$J$69&lt;&gt;""), 'Cost Inputs'!$J$69, "")</f>
        <v/>
      </c>
      <c r="I70" s="93" t="str">
        <f t="shared" si="4"/>
        <v/>
      </c>
      <c r="J70" s="93" t="str">
        <f>IF(AND(C70&lt;&gt;"",('Cost Inputs'!$I$69+'Cost Inputs'!$J$69+'Cost Inputs'!$K$69)&gt;0), 'Cost Inputs'!$I$69+'Cost Inputs'!$J$69+'Cost Inputs'!$K$69, "")</f>
        <v/>
      </c>
      <c r="K70" s="93" t="str">
        <f>IF(AND(C70&lt;&gt;"", 'Cost Inputs'!$N$69&gt;0),'Cost Inputs'!$N$69,"")</f>
        <v/>
      </c>
      <c r="L70" s="93"/>
      <c r="M70" s="109"/>
      <c r="Q70" s="372" t="str">
        <f>IF($O$3="N.B.C.",
IF(ISNUMBER($B$60),
IF($C70&lt;&gt;"",
IF('Cost Inputs'!$L$69="Y",
IF(ISNUMBER($P$55), $E70+($E$68*(($E70/$E$68)+$P$55)), $E70),
IF('Cost Inputs'!$L$69="N",
IF(ISNUMBER('Cost Inputs'!$M$69),
IF(ISNUMBER($P$55), $E70+($E$68*(($E70/$E$68)+$P$55)), $E70),""),"")), ""),""),"")</f>
        <v/>
      </c>
      <c r="R70" s="372" t="str">
        <f>IF($P$3="N.B.C.",
IF(ISNUMBER($B$60),
IF($C70&lt;&gt;"",
IF('Cost Inputs'!$L$69="Y",
IF(ISNUMBER($Q$55), $E70+($E$68*(($E70/$E$68)+$Q$55)), $E70),
IF('Cost Inputs'!$L$69="N","","")), ""),""),"")</f>
        <v/>
      </c>
      <c r="S70" s="372" t="str">
        <f>IF($Q$3="N.B.C.",
IF(ISNUMBER($B$60),
IF($C70&lt;&gt;"",
IF('Cost Inputs'!$L$69="Y",
IF(ISNUMBER($R$55), $E70+($E$68*(($E70/$E$68)+$R$55)), $E70),
IF('Cost Inputs'!$L$69="N",
IF(AND(ISNUMBER('Cost Inputs'!$M$69), OR('Cost Inputs'!$M$69=1,'Cost Inputs'!$M$69=2)),
IF(ISNUMBER($R$55), $E70+($E$68*(($E70/$E$68)+$R$55)), $E70),""),"")), ""),""),"")</f>
        <v/>
      </c>
      <c r="T70" s="372" t="str">
        <f>IF($R$3="N.B.C.",
IF(ISNUMBER($B$60),
IF($C70&lt;&gt;"",
IF('Cost Inputs'!$L$69="Y",
IF(ISNUMBER($S$55), $E70+($E$68*(($E70/$E$68)+$S$55)), $E70),
IF('Cost Inputs'!$L$69="N",
IF(AND(ISNUMBER('Cost Inputs'!$M$69), OR('Cost Inputs'!$M$69=1,'Cost Inputs'!$M$69=3)),
IF(ISNUMBER($S$55), $E70+($E$68*(($E70/$E$68)+$S$55)), $E70),""),"")), ""),""),"")</f>
        <v/>
      </c>
      <c r="U70" s="372" t="str">
        <f>IF($S$3="N.B.C.",
IF(ISNUMBER($B$60),
IF($C70&lt;&gt;"",
IF('Cost Inputs'!$L$69="Y",
IF(ISNUMBER($T$55), $E70+($E$68*(($E70/$E$68)+$T$55)), $E70),
IF('Cost Inputs'!$L$69="N",
IF(AND(ISNUMBER('Cost Inputs'!$M$69), OR('Cost Inputs'!$M$69=1,'Cost Inputs'!$M$69=2,'Cost Inputs'!$M$69=4)),
IF(ISNUMBER($T$55), $E70+($E$68*(($E70/$E$68)+$T$55)), $E70),""),"")), ""),""),"")</f>
        <v/>
      </c>
      <c r="V70" s="372" t="str">
        <f>IF($T$3="N.B.C.",
IF(ISNUMBER($B$60),
IF($C70&lt;&gt;"",
IF('Cost Inputs'!$L$69="Y",
IF(ISNUMBER($U$55), $E70+($E$68*(($E70/$E$68)+$U$55)), $E70),
IF('Cost Inputs'!$L$69="N",
IF(AND(ISNUMBER('Cost Inputs'!$M$69), OR('Cost Inputs'!$M$69=1,'Cost Inputs'!$M$69=5)),
IF(ISNUMBER($U$55), $E70+($E$68*(($E70/$E$68)+$U$55)), $E70),""),"")), ""),""),"")</f>
        <v/>
      </c>
      <c r="W70" s="372" t="str">
        <f>IF($U$3="N.B.C.",
IF(ISNUMBER($B$60),
IF($C70&lt;&gt;"",
IF('Cost Inputs'!$L$69="Y",
IF(ISNUMBER($V$55), $E70+($E$68*(($E70/$E$68)+$V$55)), $E70),
IF('Cost Inputs'!$L$69="N",
IF(AND(ISNUMBER('Cost Inputs'!$M$69), OR('Cost Inputs'!$M$69=1,'Cost Inputs'!$M$69=2,'Cost Inputs'!$M$69=3,'Cost Inputs'!$M$69=6)),
IF(ISNUMBER($V$55), $E70+($E$68*(($E70/$E$68)+$V$55)), $E70),""),"")), ""),""),"")</f>
        <v/>
      </c>
      <c r="X70" s="372" t="str">
        <f>IF($V$3="N.B.C.",
IF(ISNUMBER($B$60),
IF($C70&lt;&gt;"",
IF('Cost Inputs'!$L$69="Y",
IF(ISNUMBER($W$55), $E70+($E$68*(($E70/$E$68)+$W$55)), $E70),
IF('Cost Inputs'!$L$69="N",
IF(AND(ISNUMBER('Cost Inputs'!$M$69), OR('Cost Inputs'!$M$69=1,'Cost Inputs'!$M$69=7)),
IF(ISNUMBER($W$55), $E70+($E$68*(($E70/$E$68)+$W$55)), $E70),""),"")), ""),""),"")</f>
        <v/>
      </c>
      <c r="Y70" s="372" t="str">
        <f>IF($W$3="N.B.C.",
IF(ISNUMBER($B$60),
IF($C70&lt;&gt;"",
IF('Cost Inputs'!$L$69="Y",
IF(ISNUMBER($X$55), $E70+($E$68*(($E70/$E$68)+$X$55)), $E70),
IF('Cost Inputs'!$L$69="N",
IF(AND(ISNUMBER('Cost Inputs'!$M$69), OR('Cost Inputs'!$M$69=1,'Cost Inputs'!$M$69=2,'Cost Inputs'!$M$69=4,'Cost Inputs'!$M$69=8)),
IF(ISNUMBER($X$55), $E70+($E$68*(($E70/$E$68)+$X$55)), $E70),""),"")), ""),""),"")</f>
        <v/>
      </c>
      <c r="Z70" s="372" t="str">
        <f>IF($X$3="N.B.C.",
IF(ISNUMBER($B$60),
IF($C70&lt;&gt;"",
IF('Cost Inputs'!$L$69="Y",
IF(ISNUMBER($Y$55), $E70+($E$68*(($E70/$E$68)+$Y$55)), $E70),
IF('Cost Inputs'!$L$69="N",
IF(AND(ISNUMBER('Cost Inputs'!$M$69), OR('Cost Inputs'!$M$69=1,'Cost Inputs'!$M$69=3,'Cost Inputs'!$M$69=9)),
IF(ISNUMBER($Y$55), $E70+($E$68*(($E70/$E$68)+$Y$55)), $E70),""),"")), ""),""),"")</f>
        <v/>
      </c>
    </row>
    <row r="71" spans="1:26" x14ac:dyDescent="0.25">
      <c r="A71" s="518"/>
      <c r="B71" s="504"/>
      <c r="C71" s="104" t="str">
        <f>IF(AND( ISNUMBER(B60), OR('Cost Inputs'!$H$70&lt;&gt;"", 'Cost Inputs'!$I$70&lt;&gt;"", 'Cost Inputs'!$J$70&lt;&gt;"")), _3_2_3, "")</f>
        <v/>
      </c>
      <c r="D71" s="17" t="str">
        <f>IF(AND($C71&lt;&gt;"", 'Cost Inputs'!$G$70&lt;&gt;""), 'Cost Inputs'!$G$70, "")</f>
        <v/>
      </c>
      <c r="E71" s="17" t="str">
        <f>IF(AND(C71&lt;&gt;"", 'Cost Inputs'!$H$70&lt;&gt;""), 'Cost Inputs'!$H$70, "")</f>
        <v/>
      </c>
      <c r="F71" s="17" t="str">
        <f>IF(AND(C71&lt;&gt;"", 'Cost Inputs'!$I$70&lt;&gt;""), 'Cost Inputs'!$I$70, "")</f>
        <v/>
      </c>
      <c r="G71" s="17" t="str">
        <f t="shared" si="5"/>
        <v/>
      </c>
      <c r="H71" s="17" t="str">
        <f>IF(AND(C71&lt;&gt;"", 'Cost Inputs'!$J$70&lt;&gt;""), 'Cost Inputs'!$J$70, "")</f>
        <v/>
      </c>
      <c r="I71" s="17" t="str">
        <f t="shared" si="4"/>
        <v/>
      </c>
      <c r="J71" s="17" t="str">
        <f>IF(AND(C71&lt;&gt;"",('Cost Inputs'!$I$70+'Cost Inputs'!$J$70+'Cost Inputs'!$K$70)&gt;0), 'Cost Inputs'!$I$70+'Cost Inputs'!$J$70+'Cost Inputs'!$K$70, "")</f>
        <v/>
      </c>
      <c r="K71" s="17" t="str">
        <f>IF(AND(C71&lt;&gt;"", 'Cost Inputs'!$N$70&gt;0),'Cost Inputs'!$N$70,"")</f>
        <v/>
      </c>
      <c r="M71" s="106"/>
      <c r="Q71" s="364" t="str">
        <f>IF(O$3="N.B.C.",
IF(ISNUMBER($B$60),
IF($C71&lt;&gt;"",
IF('Cost Inputs'!$L$70="Y",
IF(ISNUMBER($P$55), $E71+($E$68*(($E71/$E$68)+$P$55)), $E71),
IF('Cost Inputs'!$L$70="N",
IF(ISNUMBER('Cost Inputs'!$M$70),
IF(ISNUMBER($P$55), $E71+($E$68*(($E71/$E$68)+$P$55)), $E71),""),"")), ""),""),"")</f>
        <v/>
      </c>
      <c r="R71" s="364" t="str">
        <f>IF($P$3="N.B.C.",
IF(ISNUMBER($B$60),
IF($C71&lt;&gt;"",
IF('Cost Inputs'!$L$70="Y",
IF(ISNUMBER($Q$55), $E71+($E$68*(($E71/$E$68)+$Q$55)), $E71),
IF('Cost Inputs'!$L$70="N","","")), ""),""),"")</f>
        <v/>
      </c>
      <c r="S71" s="364" t="str">
        <f>IF($Q$3="N.B.C.",
IF(ISNUMBER($B$60),
IF($C71&lt;&gt;"",
IF('Cost Inputs'!$L$70="Y",
IF(ISNUMBER($R$55), $E71+($E$68*(($E71/$E$68)+$R$55)), $E71),
IF('Cost Inputs'!$L$70="N",
IF(AND(ISNUMBER('Cost Inputs'!$M$70), OR('Cost Inputs'!$M$70=1,'Cost Inputs'!$M$70=2)),
IF(ISNUMBER($R$55), $E71+($E$68*(($E71/$E$68)+$R$55)), $E71),""),"")), ""),""),"")</f>
        <v/>
      </c>
      <c r="T71" s="364" t="str">
        <f>IF($R$3="N.B.C.",
IF(ISNUMBER($B$60),
IF($C71&lt;&gt;"",
IF('Cost Inputs'!$L$70="Y",
IF(ISNUMBER($S$55), $E71+($E$68*(($E71/$E$68)+$S$55)), $E71),
IF('Cost Inputs'!$L$70="N",
IF(AND(ISNUMBER('Cost Inputs'!$M$70), OR('Cost Inputs'!$M$70=1,'Cost Inputs'!$M$70=3)),
IF(ISNUMBER($S$55), $E71+($E$68*(($E71/$E$68)+$S$55)), $E71),""),"")), ""),""),"")</f>
        <v/>
      </c>
      <c r="U71" s="364" t="str">
        <f>IF($S$3="N.B.C.",
IF(ISNUMBER($B$60),
IF($C71&lt;&gt;"",
IF('Cost Inputs'!$L$70="Y",
IF(ISNUMBER($T$55), $E71+($E$68*(($E71/$E$68)+$T$55)), $E71),
IF('Cost Inputs'!$L$70="N",
IF(AND(ISNUMBER('Cost Inputs'!$M$70), OR('Cost Inputs'!$M$70=1,'Cost Inputs'!$M$70=2,'Cost Inputs'!$M$70=4)),
IF(ISNUMBER($T$55), $E71+($E$68*(($E71/$E$68)+$T$55)), $E71),""),"")), ""),""),"")</f>
        <v/>
      </c>
      <c r="V71" s="364" t="str">
        <f>IF($T$3="N.B.C.",
IF(ISNUMBER($B$60),
IF($C71&lt;&gt;"",
IF('Cost Inputs'!$L$70="Y",
IF(ISNUMBER($U$55), $E71+($E$68*(($E71/$E$68)+$U$55)), $E71),
IF('Cost Inputs'!$L$70="N",
IF(AND(ISNUMBER('Cost Inputs'!$M$70), OR('Cost Inputs'!$M$70=1,'Cost Inputs'!$M$70=5)),
IF(ISNUMBER($U$55), $E71+($E$68*(($E71/$E$68)+$U$55)), $E71),""),"")), ""),""),"")</f>
        <v/>
      </c>
      <c r="W71" s="364" t="str">
        <f>IF($U$3="N.B.C.",
IF(ISNUMBER($B$60),
IF($C71&lt;&gt;"",
IF('Cost Inputs'!$L$70="Y",
IF(ISNUMBER($V$55), $E71+($E$68*(($E71/$E$68)+$V$55)), $E71),
IF('Cost Inputs'!$L$70="N",
IF(AND(ISNUMBER('Cost Inputs'!$M$70), OR('Cost Inputs'!$M$70=1,'Cost Inputs'!$M$70=2,'Cost Inputs'!$M$70=3,'Cost Inputs'!$M$70=6)),
IF(ISNUMBER($V$55), $E71+($E$68*(($E71/$E$68)+$V$55)), $E71),""),"")), ""),""),"")</f>
        <v/>
      </c>
      <c r="X71" s="364" t="str">
        <f>IF($V$3="N.B.C.",
IF(ISNUMBER($B$60),
IF($C71&lt;&gt;"",
IF('Cost Inputs'!$L$70="Y",
IF(ISNUMBER($W$55), $E71+($E$68*(($E71/$E$68)+$W$55)), $E71),
IF('Cost Inputs'!$L$70="N",
IF(AND(ISNUMBER('Cost Inputs'!$M$70), OR('Cost Inputs'!$M$70=1,'Cost Inputs'!$M$70=7)),
IF(ISNUMBER($W$55), $E71+($E$68*(($E71/$E$68)+$W$55)), $E71),""),"")), ""),""),"")</f>
        <v/>
      </c>
      <c r="Y71" s="364" t="str">
        <f>IF($W$3="N.B.C.",
IF(ISNUMBER($B$60),
IF($C71&lt;&gt;"",
IF('Cost Inputs'!$L$70="Y",
IF(ISNUMBER($X$55), $E71+($E$68*(($E71/$E$68)+$X$55)), $E71),
IF('Cost Inputs'!$L$70="N",
IF(AND(ISNUMBER('Cost Inputs'!$M$70), OR('Cost Inputs'!$M$70=1,'Cost Inputs'!$M$70=2,'Cost Inputs'!$M$70=4,'Cost Inputs'!$M$70=8)),
IF(ISNUMBER($X$55), $E71+($E$68*(($E71/$E$68)+$X$55)), $E71),""),"")), ""),""),"")</f>
        <v/>
      </c>
      <c r="Z71" s="364" t="str">
        <f>IF($X$3="N.B.C.",
IF(ISNUMBER($B$60),
IF($C71&lt;&gt;"",
IF('Cost Inputs'!$L$70="Y",
IF(ISNUMBER($Y$55), $E71+($E$68*(($E71/$E$68)+$Y$55)), $E71),
IF('Cost Inputs'!$L$70="N",
IF(AND(ISNUMBER('Cost Inputs'!$M$70), OR('Cost Inputs'!$M$70=1,'Cost Inputs'!$M$70=3,'Cost Inputs'!$M$70=9)),
IF(ISNUMBER($Y$55), $E71+($E$68*(($E71/$E$68)+$Y$55)), $E71),""),"")), ""),""),"")</f>
        <v/>
      </c>
    </row>
    <row r="72" spans="1:26" x14ac:dyDescent="0.25">
      <c r="A72" s="518"/>
      <c r="B72" s="504"/>
      <c r="C72" s="107" t="str">
        <f>IF(AND( ISNUMBER(B60), OR('Cost Inputs'!$H$71&lt;&gt;"", 'Cost Inputs'!$I$71&lt;&gt;"", 'Cost Inputs'!$J$71&lt;&gt;"")), _3_2_4, "")</f>
        <v/>
      </c>
      <c r="D72" s="93" t="str">
        <f>IF(AND($C72&lt;&gt;"", 'Cost Inputs'!$G$71&lt;&gt;""), 'Cost Inputs'!$G$71, "")</f>
        <v/>
      </c>
      <c r="E72" s="93" t="str">
        <f>IF(AND(C72&lt;&gt;"", 'Cost Inputs'!$H$71&lt;&gt;""), 'Cost Inputs'!$H$71, "")</f>
        <v/>
      </c>
      <c r="F72" s="93" t="str">
        <f>IF(AND(C72&lt;&gt;"", 'Cost Inputs'!$I$71&lt;&gt;""), 'Cost Inputs'!$I$71, "")</f>
        <v/>
      </c>
      <c r="G72" s="93" t="str">
        <f t="shared" si="5"/>
        <v/>
      </c>
      <c r="H72" s="93" t="str">
        <f>IF(AND(C72&lt;&gt;"", 'Cost Inputs'!$J$71&lt;&gt;""), 'Cost Inputs'!$J$71, "")</f>
        <v/>
      </c>
      <c r="I72" s="93" t="str">
        <f t="shared" si="4"/>
        <v/>
      </c>
      <c r="J72" s="93" t="str">
        <f>IF(AND(C72&lt;&gt;"",('Cost Inputs'!$I$71+'Cost Inputs'!$J$71+'Cost Inputs'!$K$71)&gt;0), 'Cost Inputs'!$I$71+'Cost Inputs'!$J$71+'Cost Inputs'!$K$71, "")</f>
        <v/>
      </c>
      <c r="K72" s="93" t="str">
        <f>IF(AND(C72&lt;&gt;"", 'Cost Inputs'!$N$71&gt;0),'Cost Inputs'!$N$71,"")</f>
        <v/>
      </c>
      <c r="L72" s="93"/>
      <c r="M72" s="109"/>
      <c r="Q72" s="372" t="str">
        <f>IF($O$3="N.B.C.",
IF(ISNUMBER($B$60),
IF($C72&lt;&gt;"",
IF('Cost Inputs'!$L$71="Y",
IF(ISNUMBER($P$55), $E72+($E$68*(($E72/$E$68)+$P$55)), $E72),
IF('Cost Inputs'!$L$71="N",
IF(ISNUMBER('Cost Inputs'!$M$71),
IF(ISNUMBER($P$55), $E72+($E$68*(($E72/$E$68)+$P$55)), $E72),""),"")), ""),""),"")</f>
        <v/>
      </c>
      <c r="R72" s="372" t="str">
        <f>IF($P$3="N.B.C.",
IF(ISNUMBER($B$60),
IF($C72&lt;&gt;"",
IF('Cost Inputs'!$L$71="Y",
IF(ISNUMBER($Q$55), $E72+($E$68*(($E72/$E$68)+$Q$55)), $E72),
IF('Cost Inputs'!$L$71="N","","")), ""),""),"")</f>
        <v/>
      </c>
      <c r="S72" s="372" t="str">
        <f>IF($Q$3="N.B.C.",
IF(ISNUMBER($B$60),
IF($C72&lt;&gt;"",
IF('Cost Inputs'!$L$71="Y",
IF(ISNUMBER($R$55), $E72+($E$68*(($E72/$E$68)+$R$55)), $E72),
IF('Cost Inputs'!$L$71="N",
IF(AND(ISNUMBER('Cost Inputs'!$M$71), OR('Cost Inputs'!$M$71=1,'Cost Inputs'!$M$71=2)),
IF(ISNUMBER($R$55), $E72+($E$68*(($E72/$E$68)+$R$55)), $E72),""),"")), ""),""),"")</f>
        <v/>
      </c>
      <c r="T72" s="372" t="str">
        <f>IF($R$3="N.B.C.",
IF(ISNUMBER($B$60),
IF($C72&lt;&gt;"",
IF('Cost Inputs'!$L$71="Y",
IF(ISNUMBER($S$55), $E72+($E$68*(($E72/$E$68)+$S$55)), $E72),
IF('Cost Inputs'!$L$71="N",
IF(AND(ISNUMBER('Cost Inputs'!$M$71), OR('Cost Inputs'!$M$71=1,'Cost Inputs'!$M$71=3)),
IF(ISNUMBER($S$55), $E72+($E$68*(($E72/$E$68)+$S$55)), $E72),""),"")), ""),""),"")</f>
        <v/>
      </c>
      <c r="U72" s="372" t="str">
        <f>IF($S$3="N.B.C.",
IF(ISNUMBER($B$60),
IF($C72&lt;&gt;"",
IF('Cost Inputs'!$L$71="Y",
IF(ISNUMBER($T$55), $E72+($E$68*(($E72/$E$68)+$T$55)), $E72),
IF('Cost Inputs'!$L$71="N",
IF(AND(ISNUMBER('Cost Inputs'!$M$71), OR('Cost Inputs'!$M$71=1,'Cost Inputs'!$M$71=2,'Cost Inputs'!$M$71=4)),
IF(ISNUMBER($T$55), $E72+($E$68*(($E72/$E$68)+$T$55)), $E72),""),"")), ""),""),"")</f>
        <v/>
      </c>
      <c r="V72" s="372" t="str">
        <f>IF($T$3="N.B.C.",
IF(ISNUMBER($B$60),
IF($C72&lt;&gt;"",
IF('Cost Inputs'!$L$71="Y",
IF(ISNUMBER($U$55), $E72+($E$68*(($E72/$E$68)+$U$55)), $E72),
IF('Cost Inputs'!$L$71="N",
IF(AND(ISNUMBER('Cost Inputs'!$M$71), OR('Cost Inputs'!$M$71=1,'Cost Inputs'!$M$71=5)),
IF(ISNUMBER($U$55), $E72+($E$68*(($E72/$E$68)+$U$55)), $E72),""),"")), ""),""),"")</f>
        <v/>
      </c>
      <c r="W72" s="372" t="str">
        <f>IF($U$3="N.B.C.",
IF(ISNUMBER($B$60),
IF($C72&lt;&gt;"",
IF('Cost Inputs'!$L$71="Y",
IF(ISNUMBER($V$55), $E72+($E$68*(($E72/$E$68)+$V$55)), $E72),
IF('Cost Inputs'!$L$71="N",
IF(AND(ISNUMBER('Cost Inputs'!$M$71), OR('Cost Inputs'!$M$71=1,'Cost Inputs'!$M$71=2,'Cost Inputs'!$M$71=3,'Cost Inputs'!$M$71=6)),
IF(ISNUMBER($V$55), $E72+($E$68*(($E72/$E$68)+$V$55)), $E72),""),"")), ""),""),"")</f>
        <v/>
      </c>
      <c r="X72" s="372" t="str">
        <f>IF($V$3="N.B.C.",
IF(ISNUMBER($B$60),
IF($C72&lt;&gt;"",
IF('Cost Inputs'!$L$71="Y",
IF(ISNUMBER($W$55), $E72+($E$68*(($E72/$E$68)+$W$55)), $E72),
IF('Cost Inputs'!$L$71="N",
IF(AND(ISNUMBER('Cost Inputs'!$M$71), OR('Cost Inputs'!$M$71=1,'Cost Inputs'!$M$71=7)),
IF(ISNUMBER($W$55), $E72+($E$68*(($E72/$E$68)+$W$55)), $E72),""),"")), ""),""),"")</f>
        <v/>
      </c>
      <c r="Y72" s="372" t="str">
        <f>IF($W$3="N.B.C.",
IF(ISNUMBER($B$60),
IF($C72&lt;&gt;"",
IF('Cost Inputs'!$L$71="Y",
IF(ISNUMBER($X$55), $E72+($E$68*(($E72/$E$68)+$X$55)), $E72),
IF('Cost Inputs'!$L$71="N",
IF(AND(ISNUMBER('Cost Inputs'!$M$71), OR('Cost Inputs'!$M$71=1,'Cost Inputs'!$M$71=2,'Cost Inputs'!$M$71=4,'Cost Inputs'!$M$71=8)),
IF(ISNUMBER($X$55), $E72+($E$68*(($E72/$E$68)+$X$55)), $E72),""),"")), ""),""),"")</f>
        <v/>
      </c>
      <c r="Z72" s="372" t="str">
        <f>IF($X$3="N.B.C.",
IF(ISNUMBER($B$60),
IF($C72&lt;&gt;"",
IF('Cost Inputs'!$L$71="Y",
IF(ISNUMBER($Y$55), $E72+($E$68*(($E72/$E$68)+$Y$55)), $E72),
IF('Cost Inputs'!$L$71="N",
IF(AND(ISNUMBER('Cost Inputs'!$M$71), OR('Cost Inputs'!$M$71=1,'Cost Inputs'!$M$71=3,'Cost Inputs'!$M$71=9)),
IF(ISNUMBER($Y$55), $E72+($E$68*(($E72/$E$68)+$Y$55)), $E72),""),"")), ""),""),"")</f>
        <v/>
      </c>
    </row>
    <row r="73" spans="1:26" x14ac:dyDescent="0.25">
      <c r="A73" s="518"/>
      <c r="B73" s="504"/>
      <c r="C73" s="110" t="str">
        <f>IF(AND($B60&lt;&gt;"", ISNUMBER(Stage1EvaluationBegins)),
IF((INDEX(ProgramYearStage1,MATCH(Stage1EvaluationBegins,Years_in_Stage1,0)))=B60, _3_3_0,
IF(AND(B60&lt;&gt;"", OR(Stage1EvaluationBegins=0, Stage1EvaluationBegins="")),"", "")),"")</f>
        <v/>
      </c>
      <c r="D73" s="94" t="str">
        <f>IF(AND(B60&lt;&gt;"", C$73&lt;&gt;"", OR('Cost Inputs'!$H$72&lt;&gt;"", 'Cost Inputs'!$I$72&lt;&gt;"", 'Cost Inputs'!$J$72&lt;&gt;"")), 'Cost Inputs'!$G$72,"")</f>
        <v/>
      </c>
      <c r="E73" s="94" t="str">
        <f>IF(AND(C73&lt;&gt;"", 'Cost Inputs'!$H$72&lt;&gt;""), 'Cost Inputs'!$H$72, "")</f>
        <v/>
      </c>
      <c r="F73" s="94" t="str">
        <f>IF(AND(C73&lt;&gt;"", 'Cost Inputs'!$I$72&lt;&gt;""), 'Cost Inputs'!$I$72, "")</f>
        <v/>
      </c>
      <c r="G73" s="94" t="str">
        <f t="shared" si="5"/>
        <v/>
      </c>
      <c r="H73" s="94" t="str">
        <f>IF(AND(C73&lt;&gt;"", 'Cost Inputs'!$J$72&lt;&gt;""), 'Cost Inputs'!$J$72, "")</f>
        <v/>
      </c>
      <c r="I73" s="94" t="str">
        <f>IF(AND($E73&lt;&gt;"", $H73&lt;&gt;""), $H73/$E73, "")</f>
        <v/>
      </c>
      <c r="J73" s="94" t="str">
        <f>IF(AND(C73&lt;&gt;"",('Cost Inputs'!$I$72+'Cost Inputs'!$J$72+'Cost Inputs'!$K$72)&gt;0), 'Cost Inputs'!$I$72+'Cost Inputs'!$J$72+'Cost Inputs'!$K$72, "")</f>
        <v/>
      </c>
      <c r="K73" s="94" t="str">
        <f>IF(AND(C73&lt;&gt;"", 'Cost Inputs'!$N$72&gt;0),'Cost Inputs'!$N$72,"")</f>
        <v/>
      </c>
      <c r="L73" s="128" t="str">
        <f>IF(AND($B60&lt;&gt;"", ISNUMBER(Stage1EvaluationBegins)), IF((INDEX(ProgramYearStage1,MATCH(Stage1EvaluationBegins,Years_in_Stage1,0)))=B60, INDEX(Stage1Evaluation,MATCH(Stage1EvaluationBegins,Years_in_Stage1,0)), IF(AND($B60&lt;&gt;"", OR(Stage1EvaluationBegins=0, Stage1EvaluationBegins="")),"", "")),"")</f>
        <v/>
      </c>
      <c r="M73" s="103"/>
      <c r="Q73" s="373" t="str">
        <f>IF($O$3="N.B.C.",
IF(ISNUMBER($B$60),
IF($C73&lt;&gt;"",
IF('Cost Inputs'!$L$72="Y",
IF(AND(ISNUMBER(P$56), P$56&gt;$E$60), $E73+($E$60*(($E73/$E$60)+$P$55)), $E73),
IF('Cost Inputs'!$L$72="N",
IF(AND(ISNUMBER(P$56), P$56&gt;$E$60), $E73+($E$60*(($E73/$E$60)+$P$55)), $E73), "")), ""), ""), "")</f>
        <v/>
      </c>
      <c r="R73" s="373" t="str">
        <f>IF($P$3="N.B.C.",
IF(ISNUMBER($B$60),
IF($C73&lt;&gt;"",
IF('Cost Inputs'!$L$72="Y",
IF(AND(ISNUMBER(Q$56), Q$56&gt;$E$60), $E73+($E$60*(($E73/$E$60)+$Q$55)), $E73),
IF('Cost Inputs'!$L$72="N", "", "")), ""), ""), "")</f>
        <v/>
      </c>
      <c r="S73" s="373" t="str">
        <f>IF($Q$3="N.B.C.",
IF(ISNUMBER($B$60),
IF($C73&lt;&gt;"",
IF('Cost Inputs'!$L$72="Y",
IF(AND(ISNUMBER(R$56), R$56&gt;$E$60), $E73+($E$60*(($E73/$E$60)+$R$55)), $E73),
IF('Cost Inputs'!$L$72="N",
IF(AND(ISNUMBER('Cost Inputs'!$M$72), OR('Cost Inputs'!$M$72=1,'Cost Inputs'!$M$72=2)),
IF(AND(ISNUMBER(R$56), R$56&gt;$E$60), $E73+($E$60*(($E73/$E$60)+$R$55)), $E73), ""),"")), ""), ""), "")</f>
        <v/>
      </c>
      <c r="T73" s="373" t="str">
        <f>IF($R$3="N.B.C.",
IF(ISNUMBER($B$60),
IF($C73&lt;&gt;"",
IF('Cost Inputs'!$L$72="Y",
IF(AND(ISNUMBER(S$56), S$56&gt;$E$60), $E73+($E$60*(($E73/$E$60)+$S$55)), $E73),
IF('Cost Inputs'!$L$72="N",
IF(AND(ISNUMBER('Cost Inputs'!$M$72), OR('Cost Inputs'!$M$72=1,'Cost Inputs'!$M$72=3)),
IF(AND(ISNUMBER(S$56), S$56&gt;$E$60), $E73+($E$60*(($E73/$E$60)+$S$55)), $E73), ""),"")), ""), ""), "")</f>
        <v/>
      </c>
      <c r="U73" s="373" t="str">
        <f>IF($S$3="N.B.C.",
IF(ISNUMBER($B$60),
IF($C73&lt;&gt;"",
IF('Cost Inputs'!$L$72="Y",
IF(AND(ISNUMBER(T$56), T$56&gt;$E$60), $E73+($E$60*(($E73/$E$60)+$T$55)), $E73),
IF('Cost Inputs'!$L$72="N",
IF(AND(ISNUMBER('Cost Inputs'!$M$72), OR('Cost Inputs'!$M$72=1,'Cost Inputs'!$M$72=2, 'Cost Inputs'!$M$72=4)),
IF(AND(ISNUMBER(T$56), T$56&gt;$E$60), $E73+($E$60*(($E73/$E$60)+$T$55)), $E73), ""),"")), ""), ""), "")</f>
        <v/>
      </c>
      <c r="V73" s="373" t="str">
        <f>IF($T$3="N.B.C.",
IF(ISNUMBER($B$60),
IF($C73&lt;&gt;"",
IF('Cost Inputs'!$L$72="Y",
IF(AND(ISNUMBER(U$56), U$56&gt;$E$60), $E73+($E$60*(($E73/$E$60)+$U$55)), $E73),
IF('Cost Inputs'!$L$72="N",
IF(AND(ISNUMBER('Cost Inputs'!$M$72), OR('Cost Inputs'!$M$72=1,'Cost Inputs'!$M$72=5)),
IF(AND(ISNUMBER(U$56), U$56&gt;$E$60), $E73+($E$60*(($E73/$E$60)+$U$55)), $E73), ""),"")), ""), ""), "")</f>
        <v/>
      </c>
      <c r="W73" s="373" t="str">
        <f>IF($U$3="N.B.C.",
IF(ISNUMBER($B$60),
IF($C73&lt;&gt;"",
IF('Cost Inputs'!$L$72="Y",
IF(AND(ISNUMBER(V$56), V$56&gt;$E$60), $E73+($E$60*(($E73/$E$60)+$V$55)), $E73),
IF('Cost Inputs'!$L$72="N",
IF(AND(ISNUMBER('Cost Inputs'!$M$72), OR('Cost Inputs'!$M$72=1,'Cost Inputs'!$M$72=2, 'Cost Inputs'!$M$72=3,'Cost Inputs'!$M$72=6)),
IF(AND(ISNUMBER(V$56), V$56&gt;$E$60), $E73+($E$60*(($E73/$E$60)+$V$55)), $E73), ""),"")), ""), ""), "")</f>
        <v/>
      </c>
      <c r="X73" s="373" t="str">
        <f>IF($V$3="N.B.C.",
IF(ISNUMBER($B$60),
IF($C73&lt;&gt;"",
IF('Cost Inputs'!$L$72="Y",
IF(AND(ISNUMBER(W$56), W$56&gt;$E$60), $E73+($E$60*(($E73/$E$60)+$W$55)), $E73),
IF('Cost Inputs'!$L$72="N",
IF(AND(ISNUMBER('Cost Inputs'!$M$72), OR('Cost Inputs'!$M$72=1,'Cost Inputs'!$M$72=7)),
IF(AND(ISNUMBER(W$56), W$56&gt;$E$60), $E73+($E$60*(($E73/$E$60)+$W$55)), $E73), ""),"")), ""), ""), "")</f>
        <v/>
      </c>
      <c r="Y73" s="373" t="str">
        <f>IF($W$3="N.B.C.",
IF(ISNUMBER($B$60),
IF($C73&lt;&gt;"",
IF('Cost Inputs'!$L$72="Y",
IF(AND(ISNUMBER(X$56), X$56&gt;$E$60), $E73+($E$60*(($E73/$E$60)+$X$55)), $E73),
IF('Cost Inputs'!$L$72="N",
IF(AND(ISNUMBER('Cost Inputs'!$M$72), OR('Cost Inputs'!$M$72=1,'Cost Inputs'!$M$72=2,'Cost Inputs'!$M$72=4,'Cost Inputs'!$M$72=8)),
IF(AND(ISNUMBER(X$56), X$56&gt;$E$60), $E73+($E$60*(($E73/$E$60)+$X$55)), $E73), ""),"")), ""), ""), "")</f>
        <v/>
      </c>
      <c r="Z73" s="373" t="str">
        <f>IF($X$3="N.B.C.",
IF(ISNUMBER($B$60),
IF($C73&lt;&gt;"",
IF('Cost Inputs'!$L$72="Y",
IF(AND(ISNUMBER(Y$56), Y$56&gt;$E$60), $E73+($E$60*(($E73/$E$60)+$Y$55)), $E73),
IF('Cost Inputs'!$L$72="N",
IF(AND(ISNUMBER('Cost Inputs'!$M$72), OR('Cost Inputs'!$M$72=1,'Cost Inputs'!$M$72=3, 'Cost Inputs'!$M$72=9)),
IF(AND(ISNUMBER(Y$56), Y$56&gt;$E$60), $E73+($E$60*(($E73/$E$60)+$Y$55)), $E73), ""),"")), ""), ""), "")</f>
        <v/>
      </c>
    </row>
    <row r="74" spans="1:26" x14ac:dyDescent="0.25">
      <c r="A74" s="518"/>
      <c r="B74" s="504"/>
      <c r="C74" s="104" t="str">
        <f>IF(AND(ISNUMBER(B60), C73&lt;&gt;"", OR('Cost Inputs'!$H$73&lt;&gt;"", 'Cost Inputs'!$I$73&lt;&gt;"", 'Cost Inputs'!$J$73&lt;&gt;"")), _3_3_1, "")</f>
        <v/>
      </c>
      <c r="D74" s="17" t="str">
        <f>IF(AND(C74&lt;&gt;"", 'Cost Inputs'!$G$73&lt;&gt;""), 'Cost Inputs'!$G$73, "")</f>
        <v/>
      </c>
      <c r="E74" s="17" t="str">
        <f>IF(AND(C74&lt;&gt;"", 'Cost Inputs'!$H$73&lt;&gt;""), 'Cost Inputs'!$H$73, "")</f>
        <v/>
      </c>
      <c r="F74" s="17" t="str">
        <f>IF(AND(C74&lt;&gt;"", 'Cost Inputs'!$I$73&lt;&gt;""), 'Cost Inputs'!$I$73, "")</f>
        <v/>
      </c>
      <c r="G74" s="17" t="str">
        <f t="shared" si="5"/>
        <v/>
      </c>
      <c r="H74" s="17" t="str">
        <f>IF(AND(C74&lt;&gt;"", 'Cost Inputs'!$J$73&lt;&gt;""), 'Cost Inputs'!$J$73, "")</f>
        <v/>
      </c>
      <c r="I74" s="17" t="str">
        <f t="shared" si="4"/>
        <v/>
      </c>
      <c r="J74" s="17" t="str">
        <f>IF(AND(C74&lt;&gt;"",('Cost Inputs'!$I$73+'Cost Inputs'!$J$73+'Cost Inputs'!$K$73)&gt;0), 'Cost Inputs'!$I$73+'Cost Inputs'!$J$73+'Cost Inputs'!$K$73, "")</f>
        <v/>
      </c>
      <c r="K74" s="17" t="str">
        <f>IF(AND(C74&lt;&gt;"", 'Cost Inputs'!$N$73&gt;0),'Cost Inputs'!$N$73,"")</f>
        <v/>
      </c>
      <c r="M74" s="106"/>
      <c r="Q74" s="364" t="str">
        <f>IF($O$3="N.B.C.",
IF(ISNUMBER($B$60),
IF($C74&lt;&gt;"",
IF('Cost Inputs'!$L$73="Y",
IF(ISNUMBER($P$55), $E74+($E$73*(($E74/$E$73)+$P$55)), $E74),
IF('Cost Inputs'!$L$73="N",
IF(ISNUMBER('Cost Inputs'!$M$73),
IF(ISNUMBER($P$55), $E74+($E$73*(($E74/$E$73)+$P$55)), $E74),""),"")), ""),""),"")</f>
        <v/>
      </c>
      <c r="R74" s="364" t="str">
        <f>IF($P$3="N.B.C.",
IF(ISNUMBER($B$60),
IF($C74&lt;&gt;"",
IF('Cost Inputs'!$L$73="Y",
IF(ISNUMBER($Q$55), $E74+($E$73*(($E74/$E$73)+$Q$55)), $E74),
IF('Cost Inputs'!$L$73="N","","")), ""),""),"")</f>
        <v/>
      </c>
      <c r="S74" s="364" t="str">
        <f>IF($Q$3="N.B.C.",
IF(ISNUMBER($B$60),
IF($C74&lt;&gt;"",
IF('Cost Inputs'!$L$73="Y",
IF(ISNUMBER($R$55), $E74+($E$73*(($E74/$E$73)+$R$55)), $E74),
IF('Cost Inputs'!$L$73="N",
IF(AND(ISNUMBER('Cost Inputs'!$M$73), OR('Cost Inputs'!$M$73=1,'Cost Inputs'!$M$73=2)),
IF(ISNUMBER($R$55), $E74+($E$73*(($E74/$E$73)+$R$55)), $E74),""),"")), ""),""),"")</f>
        <v/>
      </c>
      <c r="T74" s="364" t="str">
        <f>IF($R$3="N.B.C.",
IF(ISNUMBER($B$60),
IF($C74&lt;&gt;"",
IF('Cost Inputs'!$L$73="Y",
IF(ISNUMBER($S$55), $E74+($E$73*(($E74/$E$73)+$S$55)), $E74),
IF('Cost Inputs'!$L$73="N",
IF(AND(ISNUMBER('Cost Inputs'!$M$73), OR('Cost Inputs'!$M$73=1,'Cost Inputs'!$M$73=3)),
IF(ISNUMBER($S$55), $E74+($E$73*(($E74/$E$73)+$S$55)), $E74),""),"")), ""),""),"")</f>
        <v/>
      </c>
      <c r="U74" s="364" t="str">
        <f>IF($S$3="N.B.C.",
IF(ISNUMBER($B$60),
IF($C74&lt;&gt;"",
IF('Cost Inputs'!$L$73="Y",
IF(ISNUMBER($T$55), $E74+($E$73*(($E74/$E$73)+$T$55)), $E74),
IF('Cost Inputs'!$L$73="N",
IF(AND(ISNUMBER('Cost Inputs'!$M$73), OR('Cost Inputs'!$M$73=1,'Cost Inputs'!$M$73=2,'Cost Inputs'!$M$73=4)),
IF(ISNUMBER($T$55), $E74+($E$73*(($E74/$E$73)+$T$55)), $E74),""),"")), ""),""),"")</f>
        <v/>
      </c>
      <c r="V74" s="364" t="str">
        <f>IF($T$3="N.B.C.",
IF(ISNUMBER($B$60),
IF($C74&lt;&gt;"",
IF('Cost Inputs'!$L$73="Y",
IF(ISNUMBER($U$55), $E74+($E$73*(($E74/$E$73)+$U$55)), $E74),
IF('Cost Inputs'!$L$73="N",
IF(AND(ISNUMBER('Cost Inputs'!$M$73), OR('Cost Inputs'!$M$73=1,'Cost Inputs'!$M$73=5)),
IF(ISNUMBER($U$55), $E74+($E$73*(($E74/$E$73)+$U$55)), $E74),""),"")), ""),""),"")</f>
        <v/>
      </c>
      <c r="W74" s="364" t="str">
        <f>IF($U$3="N.B.C.",
IF(ISNUMBER($B$60),
IF($C74&lt;&gt;"",
IF('Cost Inputs'!$L$73="Y",
IF(ISNUMBER($V$55), $E74+($E$73*(($E74/$E$73)+$V$55)), $E74),
IF('Cost Inputs'!$L$73="N",
IF(AND(ISNUMBER('Cost Inputs'!$M$73), OR('Cost Inputs'!$M$73=1,'Cost Inputs'!$M$73=2,'Cost Inputs'!$M$73=3,'Cost Inputs'!$M$73=6)),
IF(ISNUMBER($V$55), $E74+($E$73*(($E74/$E$73)+$V$55)), $E74),""),"")), ""),""),"")</f>
        <v/>
      </c>
      <c r="X74" s="364" t="str">
        <f>IF($V$3="N.B.C.",
IF(ISNUMBER($B$60),
IF($C74&lt;&gt;"",
IF('Cost Inputs'!$L$73="Y",
IF(ISNUMBER($W$55), $E74+($E$73*(($E74/$E$73)+$W$55)), $E74),
IF('Cost Inputs'!$L$73="N",
IF(AND(ISNUMBER('Cost Inputs'!$M$73), OR('Cost Inputs'!$M$73=1,'Cost Inputs'!$M$73=7)),
IF(ISNUMBER($W$55), $E74+($E$73*(($E74/$E$73)+$W$55)), $E74),""),"")), ""),""),"")</f>
        <v/>
      </c>
      <c r="Y74" s="364" t="str">
        <f>IF($W$3="N.B.C.",
IF(ISNUMBER($B$60),
IF($C74&lt;&gt;"",
IF('Cost Inputs'!$L$73="Y",
IF(ISNUMBER($X$55), $E74+($E$73*(($E74/$E$73)+$X$55)), $E74),
IF('Cost Inputs'!$L$73="N",
IF(AND(ISNUMBER('Cost Inputs'!$M$73), OR('Cost Inputs'!$M$73=1,'Cost Inputs'!$M$73=2,'Cost Inputs'!$M$73=4,'Cost Inputs'!$M$73=8)),
IF(ISNUMBER($X$55), $E74+($E$73*(($E74/$E$73)+$X$55)), $E74),""),"")), ""),""),"")</f>
        <v/>
      </c>
      <c r="Z74" s="364" t="str">
        <f>IF($X$3="N.B.C.",
IF(ISNUMBER($B$60),
IF($C74&lt;&gt;"",
IF('Cost Inputs'!$L$73="Y",
IF(ISNUMBER($Y$55), $E74+($E$73*(($E74/$E$73)+$Y$55)), $E74),
IF('Cost Inputs'!$L$73="N",
IF(AND(ISNUMBER('Cost Inputs'!$M$73), OR('Cost Inputs'!$M$73=1,'Cost Inputs'!$M$73=3,'Cost Inputs'!$M$73=9)),
IF(ISNUMBER($Y$55), $E74+($E$73*(($E74/$E$73)+$Y$55)), $E74),""),"")), ""),""),"")</f>
        <v/>
      </c>
    </row>
    <row r="75" spans="1:26" x14ac:dyDescent="0.25">
      <c r="A75" s="518"/>
      <c r="B75" s="504"/>
      <c r="C75" s="107" t="str">
        <f>IF(AND(ISNUMBER(B60), C73&lt;&gt;"", OR('Cost Inputs'!$H$74&lt;&gt;"", 'Cost Inputs'!$I$74&lt;&gt;"", 'Cost Inputs'!$J$74&lt;&gt;"")), _3_3_2, "")</f>
        <v/>
      </c>
      <c r="D75" s="93" t="str">
        <f>IF(AND(C75&lt;&gt;"", 'Cost Inputs'!$G$74&lt;&gt;""), 'Cost Inputs'!$G$74, "")</f>
        <v/>
      </c>
      <c r="E75" s="93" t="str">
        <f>IF(AND(C75&lt;&gt;"", 'Cost Inputs'!$H$74&lt;&gt;""), 'Cost Inputs'!$H$74, "")</f>
        <v/>
      </c>
      <c r="F75" s="93" t="str">
        <f>IF(AND(C75&lt;&gt;"", 'Cost Inputs'!$I$74&lt;&gt;""), 'Cost Inputs'!$I$74, "")</f>
        <v/>
      </c>
      <c r="G75" s="93" t="str">
        <f t="shared" si="5"/>
        <v/>
      </c>
      <c r="H75" s="93" t="str">
        <f>IF(AND(C75&lt;&gt;"", 'Cost Inputs'!$J$74&lt;&gt;""), 'Cost Inputs'!$J$74, "")</f>
        <v/>
      </c>
      <c r="I75" s="93" t="str">
        <f t="shared" si="4"/>
        <v/>
      </c>
      <c r="J75" s="93" t="str">
        <f>IF(AND(C75&lt;&gt;"",('Cost Inputs'!$I$74+'Cost Inputs'!$J$74+'Cost Inputs'!$K$74)&gt;0), 'Cost Inputs'!$I$74+'Cost Inputs'!$J$74+'Cost Inputs'!$K$74, "")</f>
        <v/>
      </c>
      <c r="K75" s="93" t="str">
        <f>IF(AND(C75&lt;&gt;"", 'Cost Inputs'!$N$74&gt;0),'Cost Inputs'!$N$74,"")</f>
        <v/>
      </c>
      <c r="L75" s="93"/>
      <c r="M75" s="109"/>
      <c r="Q75" s="372" t="str">
        <f>IF($O$3="N.B.C.",
IF(ISNUMBER($B$60),
IF($C75&lt;&gt;"",
IF('Cost Inputs'!$L$74="Y",
IF(ISNUMBER($P$55), $E75+($E$73*(($E75/$E$73)+$P$55)), $E75),
IF('Cost Inputs'!$L$74="N",
IF(ISNUMBER('Cost Inputs'!$M$74),
IF(ISNUMBER($P$55), $E75+($E$73*(($E75/$E$73)+$P$55)), $E75),""),"")), ""),""),"")</f>
        <v/>
      </c>
      <c r="R75" s="372" t="str">
        <f>IF($P$3="N.B.C.",
IF(ISNUMBER($B$60),
IF($C75&lt;&gt;"",
IF('Cost Inputs'!$L$74="Y",
IF(ISNUMBER($Q$55), $E75+($E$73*(($E75/$E$73)+$Q$55)), $E75),
IF('Cost Inputs'!$L$74="N","","")), ""),""),"")</f>
        <v/>
      </c>
      <c r="S75" s="372" t="str">
        <f>IF($Q$3="N.B.C.",
IF(ISNUMBER($B$60),
IF($C75&lt;&gt;"",
IF('Cost Inputs'!$L$74="Y",
IF(ISNUMBER($R$55), $E75+($E$73*(($E75/$E$73)+$R$55)), $E75),
IF('Cost Inputs'!$L$74="N",
IF(AND(ISNUMBER('Cost Inputs'!$M$74), OR('Cost Inputs'!$M$74=1,'Cost Inputs'!$M$74=2)),
IF(ISNUMBER($R$55), $E75+($E$73*(($E75/$E$73)+$R$55)), $E75),""),"")), ""),""),"")</f>
        <v/>
      </c>
      <c r="T75" s="372" t="str">
        <f>IF($R$3="N.B.C.",
IF(ISNUMBER($B$60),
IF($C75&lt;&gt;"",
IF('Cost Inputs'!$L$74="Y",
IF(ISNUMBER($S$55), $E75+($E$73*(($E75/$E$73)+$S$55)), $E75),
IF('Cost Inputs'!$L$74="N",
IF(AND(ISNUMBER('Cost Inputs'!$M$74), OR('Cost Inputs'!$M$74=1,'Cost Inputs'!$M$74=3)),
IF(ISNUMBER($S$55), $E75+($E$73*(($E75/$E$73)+$S$55)), $E75),""),"")), ""),""),"")</f>
        <v/>
      </c>
      <c r="U75" s="372" t="str">
        <f>IF($S$3="N.B.C.",
IF(ISNUMBER($B$60),
IF($C75&lt;&gt;"",
IF('Cost Inputs'!$L$74="Y",
IF(ISNUMBER($T$55), $E75+($E$73*(($E75/$E$73)+$T$55)), $E75),
IF('Cost Inputs'!$L$74="N",
IF(AND(ISNUMBER('Cost Inputs'!$M$74), OR('Cost Inputs'!$M$74=1,'Cost Inputs'!$M$74=2,'Cost Inputs'!$M$74=4)),
IF(ISNUMBER($T$55), $E75+($E$73*(($E75/$E$73)+$T$55)), $E75),""),"")), ""),""),"")</f>
        <v/>
      </c>
      <c r="V75" s="372" t="str">
        <f>IF($T$3="N.B.C.",
IF(ISNUMBER($B$60),
IF($C75&lt;&gt;"",
IF('Cost Inputs'!$L$74="Y",
IF(ISNUMBER($U$55), $E75+($E$73*(($E75/$E$73)+$U$55)), $E75),
IF('Cost Inputs'!$L$74="N",
IF(AND(ISNUMBER('Cost Inputs'!$M$74), OR('Cost Inputs'!$M$74=1,'Cost Inputs'!$M$74=5)),
IF(ISNUMBER($U$55), $E75+($E$73*(($E75/$E$73)+$U$55)), $E75),""),"")), ""),""),"")</f>
        <v/>
      </c>
      <c r="W75" s="372" t="str">
        <f>IF($U$3="N.B.C.",
IF(ISNUMBER($B$60),
IF($C75&lt;&gt;"",
IF('Cost Inputs'!$L$74="Y",
IF(ISNUMBER($V$55), $E75+($E$73*(($E75/$E$73)+$V$55)), $E75),
IF('Cost Inputs'!$L$74="N",
IF(AND(ISNUMBER('Cost Inputs'!$M$74), OR('Cost Inputs'!$M$74=1,'Cost Inputs'!$M$74=2,'Cost Inputs'!$M$74=3,'Cost Inputs'!$M$74=6)),
IF(ISNUMBER($V$55), $E75+($E$73*(($E75/$E$73)+$V$55)), $E75),""),"")), ""),""),"")</f>
        <v/>
      </c>
      <c r="X75" s="372" t="str">
        <f>IF($V$3="N.B.C.",
IF(ISNUMBER($B$60),
IF($C75&lt;&gt;"",
IF('Cost Inputs'!$L$74="Y",
IF(ISNUMBER($W$55), $E75+($E$73*(($E75/$E$73)+$W$55)), $E75),
IF('Cost Inputs'!$L$74="N",
IF(AND(ISNUMBER('Cost Inputs'!$M$74), OR('Cost Inputs'!$M$74=1,'Cost Inputs'!$M$74=7)),
IF(ISNUMBER($W$55), $E75+($E$73*(($E75/$E$73)+$W$55)), $E75),""),"")), ""),""),"")</f>
        <v/>
      </c>
      <c r="Y75" s="372" t="str">
        <f>IF($W$3="N.B.C.",
IF(ISNUMBER($B$60),
IF($C75&lt;&gt;"",
IF('Cost Inputs'!$L$74="Y",
IF(ISNUMBER($X$55), $E75+($E$73*(($E75/$E$73)+$X$55)), $E75),
IF('Cost Inputs'!$L$74="N",
IF(AND(ISNUMBER('Cost Inputs'!$M$74), OR('Cost Inputs'!$M$74=1,'Cost Inputs'!$M$74=2,'Cost Inputs'!$M$74=4,'Cost Inputs'!$M$74=8)),
IF(ISNUMBER($X$55), $E75+($E$73*(($E75/$E$73)+$X$55)), $E75),""),"")), ""),""),"")</f>
        <v/>
      </c>
      <c r="Z75" s="372" t="str">
        <f>IF($X$3="N.B.C.",
IF(ISNUMBER($B$60),
IF($C75&lt;&gt;"",
IF('Cost Inputs'!$L$74="Y",
IF(ISNUMBER($Y$55), $E75+($E$73*(($E75/$E$73)+$Y$55)), $E75),
IF('Cost Inputs'!$L$74="N",
IF(AND(ISNUMBER('Cost Inputs'!$M$74), OR('Cost Inputs'!$M$74=1,'Cost Inputs'!$M$74=3,'Cost Inputs'!$M$74=9)),
IF(ISNUMBER($Y$55), $E75+($E$73*(($E75/$E$73)+$Y$55)), $E75),""),"")), ""),""),"")</f>
        <v/>
      </c>
    </row>
    <row r="76" spans="1:26" x14ac:dyDescent="0.25">
      <c r="A76" s="518"/>
      <c r="B76" s="504"/>
      <c r="C76" s="104" t="str">
        <f>IF(AND(ISNUMBER(B60), OR('Cost Inputs'!$H$75&lt;&gt;"", 'Cost Inputs'!$I$75&lt;&gt;"", 'Cost Inputs'!$J$75&lt;&gt;"")), _3_3_3, "")</f>
        <v/>
      </c>
      <c r="D76" s="17" t="str">
        <f>IF(AND(C76&lt;&gt;"", 'Cost Inputs'!$G$75&lt;&gt;""), 'Cost Inputs'!$G$75, "")</f>
        <v/>
      </c>
      <c r="E76" s="17" t="str">
        <f>IF(AND(C76&lt;&gt;"", 'Cost Inputs'!$H$75&lt;&gt;""), 'Cost Inputs'!$H$75, "")</f>
        <v/>
      </c>
      <c r="F76" s="17" t="str">
        <f>IF(AND(C76&lt;&gt;"", 'Cost Inputs'!$I$75&lt;&gt;""), 'Cost Inputs'!$I$75, "")</f>
        <v/>
      </c>
      <c r="G76" s="17" t="str">
        <f t="shared" si="5"/>
        <v/>
      </c>
      <c r="H76" s="17" t="str">
        <f>IF(AND(C76&lt;&gt;"", 'Cost Inputs'!$J$75&lt;&gt;""), 'Cost Inputs'!$J$75, "")</f>
        <v/>
      </c>
      <c r="I76" s="17" t="str">
        <f t="shared" si="4"/>
        <v/>
      </c>
      <c r="J76" s="17" t="str">
        <f>IF(AND(C76&lt;&gt;"",('Cost Inputs'!$I$75+'Cost Inputs'!$J$75+'Cost Inputs'!$K$75)&gt;0), 'Cost Inputs'!$I$75+'Cost Inputs'!$J$75+'Cost Inputs'!$K$75, "")</f>
        <v/>
      </c>
      <c r="K76" s="17" t="str">
        <f>IF(AND(C76&lt;&gt;"", 'Cost Inputs'!$N$75&gt;0),'Cost Inputs'!$N$75,"")</f>
        <v/>
      </c>
      <c r="M76" s="106"/>
      <c r="Q76" s="364" t="str">
        <f>IF($O$3="N.B.C.",
IF(ISNUMBER($B$60),
IF($C76&lt;&gt;"",
IF('Cost Inputs'!$L$75="Y",
IF(ISNUMBER($P$55), $E76+($E$73*(($E76/$E$73)+$P$55)), $E76),
IF('Cost Inputs'!$L$75="N",
IF(ISNUMBER('Cost Inputs'!$M$75),
IF(ISNUMBER($P$55), $E76+($E$73*(($E76/$E$73)+$P$55)), $E76),""),"")), ""),""),"")</f>
        <v/>
      </c>
      <c r="R76" s="364" t="str">
        <f>IF($P$3="N.B.C.",
IF(ISNUMBER($B$60),
IF($C76&lt;&gt;"",
IF('Cost Inputs'!$L$75="Y",
IF(ISNUMBER($Q$55), $E76+($E$73*(($E76/$E$73)+$Q$55)), $E76),
IF('Cost Inputs'!$L$75="N","","")), ""),""),"")</f>
        <v/>
      </c>
      <c r="S76" s="364" t="str">
        <f>IF($Q$3="N.B.C.",
IF(ISNUMBER($B$60),
IF($C76&lt;&gt;"",
IF('Cost Inputs'!$L$75="Y",
IF(ISNUMBER($R$55), $E76+($E$73*(($E76/$E$73)+$R$55)), $E76),
IF('Cost Inputs'!$L$75="N",
IF(AND(ISNUMBER('Cost Inputs'!$M$75), OR('Cost Inputs'!$M$75=1,'Cost Inputs'!$M$75=2)),
IF(ISNUMBER($R$55), $E76+($E$73*(($E76/$E$73)+$R$55)), $E76),""),"")), ""),""),"")</f>
        <v/>
      </c>
      <c r="T76" s="364" t="str">
        <f>IF($R$3="N.B.C.",
IF(ISNUMBER($B$60),
IF($C76&lt;&gt;"",
IF('Cost Inputs'!$L$75="Y",
IF(ISNUMBER($S$55), $E76+($E$73*(($E76/$E$73)+$S$55)), $E76),
IF('Cost Inputs'!$L$75="N",
IF(AND(ISNUMBER('Cost Inputs'!$M$75), OR('Cost Inputs'!$M$75=1,'Cost Inputs'!$M$75=3)),
IF(ISNUMBER($S$55), $E76+($E$73*(($E76/$E$73)+$S$55)), $E76),""),"")), ""),""),"")</f>
        <v/>
      </c>
      <c r="U76" s="364" t="str">
        <f>IF($S$3="N.B.C.",
IF(ISNUMBER($B$60),
IF($C76&lt;&gt;"",
IF('Cost Inputs'!$L$75="Y",
IF(ISNUMBER($T$55), $E76+($E$73*(($E76/$E$73)+$T$55)), $E76),
IF('Cost Inputs'!$L$75="N",
IF(AND(ISNUMBER('Cost Inputs'!$M$75), OR('Cost Inputs'!$M$75=1,'Cost Inputs'!$M$75=2,'Cost Inputs'!$M$75=4)),
IF(ISNUMBER($T$55), $E76+($E$73*(($E76/$E$73)+$T$55)), $E76),""),"")), ""),""),"")</f>
        <v/>
      </c>
      <c r="V76" s="364" t="str">
        <f>IF($T$3="N.B.C.",
IF(ISNUMBER($B$60),
IF($C76&lt;&gt;"",
IF('Cost Inputs'!$L$75="Y",
IF(ISNUMBER($U$55), $E76+($E$73*(($E76/$E$73)+$U$55)), $E76),
IF('Cost Inputs'!$L$75="N",
IF(AND(ISNUMBER('Cost Inputs'!$M$75), OR('Cost Inputs'!$M$75=1,'Cost Inputs'!$M$75=5)),
IF(ISNUMBER($U$55), $E76+($E$73*(($E76/$E$73)+$U$55)), $E76),""),"")), ""),""),"")</f>
        <v/>
      </c>
      <c r="W76" s="364" t="str">
        <f>IF($U$3="N.B.C.",
IF(ISNUMBER($B$60),
IF($C76&lt;&gt;"",
IF('Cost Inputs'!$L$75="Y",
IF(ISNUMBER($V$55), $E76+($E$73*(($E76/$E$73)+$V$55)), $E76),
IF('Cost Inputs'!$L$75="N",
IF(AND(ISNUMBER('Cost Inputs'!$M$75), OR('Cost Inputs'!$M$75=1,'Cost Inputs'!$M$75=2,'Cost Inputs'!$M$75=3,'Cost Inputs'!$M$75=6)),
IF(ISNUMBER($V$55), $E76+($E$73*(($E76/$E$73)+$V$55)), $E76),""),"")), ""),""),"")</f>
        <v/>
      </c>
      <c r="X76" s="364" t="str">
        <f>IF($V$3="N.B.C.",
IF(ISNUMBER($B$60),
IF($C76&lt;&gt;"",
IF('Cost Inputs'!$L$75="Y",
IF(ISNUMBER($W$55), $E76+($E$73*(($E76/$E$73)+$W$55)), $E76),
IF('Cost Inputs'!$L$75="N",
IF(AND(ISNUMBER('Cost Inputs'!$M$75), OR('Cost Inputs'!$M$75=1,'Cost Inputs'!$M$75=7)),
IF(ISNUMBER($W$55), $E76+($E$73*(($E76/$E$73)+$W$55)), $E76),""),"")), ""),""),"")</f>
        <v/>
      </c>
      <c r="Y76" s="364" t="str">
        <f>IF($W$3="N.B.C.",
IF(ISNUMBER($B$60),
IF($C76&lt;&gt;"",
IF('Cost Inputs'!$L$75="Y",
IF(ISNUMBER($X$55), $E76+($E$73*(($E76/$E$73)+$X$55)), $E76),
IF('Cost Inputs'!$L$75="N",
IF(AND(ISNUMBER('Cost Inputs'!$M$75), OR('Cost Inputs'!$M$75=1,'Cost Inputs'!$M$75=2,'Cost Inputs'!$M$75=4,'Cost Inputs'!$M$75=8)),
IF(ISNUMBER($X$55), $E76+($E$73*(($E76/$E$73)+$X$55)), $E76),""),"")), ""),""),"")</f>
        <v/>
      </c>
      <c r="Z76" s="364" t="str">
        <f>IF($X$3="N.B.C.",
IF(ISNUMBER($B$60),
IF($C76&lt;&gt;"",
IF('Cost Inputs'!$L$75="Y",
IF(ISNUMBER($Y$55), $E76+($E$73*(($E76/$E$73)+$Y$55)), $E76),
IF('Cost Inputs'!$L$75="N",
IF(AND(ISNUMBER('Cost Inputs'!$M$75), OR('Cost Inputs'!$M$75=1,'Cost Inputs'!$M$75=3,'Cost Inputs'!$M$75=9)),
IF(ISNUMBER($Y$55), $E76+($E$73*(($E76/$E$73)+$Y$55)), $E76),""),"")), ""),""),"")</f>
        <v/>
      </c>
    </row>
    <row r="77" spans="1:26" x14ac:dyDescent="0.25">
      <c r="A77" s="518"/>
      <c r="B77" s="504"/>
      <c r="C77" s="107" t="str">
        <f>IF(AND(ISNUMBER(B60), OR('Cost Inputs'!$H$76&lt;&gt;"", 'Cost Inputs'!$I$76&lt;&gt;"", 'Cost Inputs'!$J$76&lt;&gt;"")), _3_3_4, "")</f>
        <v/>
      </c>
      <c r="D77" s="93" t="str">
        <f>IF(AND(C77&lt;&gt;"", 'Cost Inputs'!$G$76&lt;&gt;""), 'Cost Inputs'!$G$76, "")</f>
        <v/>
      </c>
      <c r="E77" s="93" t="str">
        <f>IF(AND(C77&lt;&gt;"", 'Cost Inputs'!$H$76&lt;&gt;""), 'Cost Inputs'!$H$76, "")</f>
        <v/>
      </c>
      <c r="F77" s="93" t="str">
        <f>IF(AND(C77&lt;&gt;"", 'Cost Inputs'!$I$76&lt;&gt;""), 'Cost Inputs'!$I$76, "")</f>
        <v/>
      </c>
      <c r="G77" s="93" t="str">
        <f t="shared" si="5"/>
        <v/>
      </c>
      <c r="H77" s="93" t="str">
        <f>IF(AND(C77&lt;&gt;"", 'Cost Inputs'!$J$76&lt;&gt;""), 'Cost Inputs'!$J$76, "")</f>
        <v/>
      </c>
      <c r="I77" s="93" t="str">
        <f t="shared" si="4"/>
        <v/>
      </c>
      <c r="J77" s="93" t="str">
        <f>IF(AND(C77&lt;&gt;"",('Cost Inputs'!$I$76+'Cost Inputs'!$J$76+'Cost Inputs'!$K$76)&gt;0), 'Cost Inputs'!$I$76+'Cost Inputs'!$J$76+'Cost Inputs'!$K$76, "")</f>
        <v/>
      </c>
      <c r="K77" s="93" t="str">
        <f>IF(AND(C77&lt;&gt;"", 'Cost Inputs'!$N$76&gt;0),'Cost Inputs'!$N$76,"")</f>
        <v/>
      </c>
      <c r="L77" s="93"/>
      <c r="M77" s="109"/>
      <c r="Q77" s="372" t="str">
        <f>IF($O$3="N.B.C.",
IF(ISNUMBER($B$60),
IF($C77&lt;&gt;"",
IF('Cost Inputs'!$L$76="Y",
IF(ISNUMBER($P$55), $E77+($E$73*(($E77/$E$73)+$P$55)), $E77),
IF('Cost Inputs'!$L$76="N",
IF(ISNUMBER('Cost Inputs'!$M$76),
IF(ISNUMBER($P$55), $E77+($E$73*(($E77/$E$73)+$P$55)), $E77),""),"")), ""),""),"")</f>
        <v/>
      </c>
      <c r="R77" s="372" t="str">
        <f>IF($P$3="N.B.C.",
IF(ISNUMBER($B$60),
IF($C77&lt;&gt;"",
IF('Cost Inputs'!$L$76="Y",
IF(ISNUMBER($Q$55), $E77+($E$73*(($E77/$E$73)+$Q$55)), $E77),
IF('Cost Inputs'!$L$76="N","","")), ""),""),"")</f>
        <v/>
      </c>
      <c r="S77" s="372" t="str">
        <f>IF($Q$3="N.B.C.",
IF(ISNUMBER($B$60),
IF($C77&lt;&gt;"",
IF('Cost Inputs'!$L$76="Y",
IF(ISNUMBER($R$55), $E77+($E$73*(($E77/$E$73)+$R$55)), $E77),
IF('Cost Inputs'!$L$76="N",
IF(AND(ISNUMBER('Cost Inputs'!$M$76), OR('Cost Inputs'!$M$76=1,'Cost Inputs'!$M$76=2)),
IF(ISNUMBER($R$55), $E77+($E$73*(($E77/$E$73)+$R$55)), $E77),""),"")), ""),""),"")</f>
        <v/>
      </c>
      <c r="T77" s="372" t="str">
        <f>IF($R$3="N.B.C.",
IF(ISNUMBER($B$60),
IF($C77&lt;&gt;"",
IF('Cost Inputs'!$L$76="Y",
IF(ISNUMBER($S$55), $E77+($E$73*(($E77/$E$73)+$S$55)), $E77),
IF('Cost Inputs'!$L$76="N",
IF(AND(ISNUMBER('Cost Inputs'!$M$76), OR('Cost Inputs'!$M$76=1,'Cost Inputs'!$M$76=3)),
IF(ISNUMBER($S$55), $E77+($E$73*(($E77/$E$73)+$S$55)), $E77),""),"")), ""),""),"")</f>
        <v/>
      </c>
      <c r="U77" s="372" t="str">
        <f>IF($S$3="N.B.C.",
IF(ISNUMBER($B$60),
IF($C77&lt;&gt;"",
IF('Cost Inputs'!$L$76="Y",
IF(ISNUMBER($T$55), $E77+($E$73*(($E77/$E$73)+$T$55)), $E77),
IF('Cost Inputs'!$L$76="N",
IF(AND(ISNUMBER('Cost Inputs'!$M$76), OR('Cost Inputs'!$M$76=1,'Cost Inputs'!$M$76=2,'Cost Inputs'!$M$76=4)),
IF(ISNUMBER($T$55), $E77+($E$73*(($E77/$E$73)+$T$55)), $E77),""),"")), ""),""),"")</f>
        <v/>
      </c>
      <c r="V77" s="372" t="str">
        <f>IF($T$3="N.B.C.",
IF(ISNUMBER($B$60),
IF($C77&lt;&gt;"",
IF('Cost Inputs'!$L$76="Y",
IF(ISNUMBER($U$55), $E77+($E$73*(($E77/$E$73)+$U$55)), $E77),
IF('Cost Inputs'!$L$76="N",
IF(AND(ISNUMBER('Cost Inputs'!$M$76), OR('Cost Inputs'!$M$76=1,'Cost Inputs'!$M$76=5)),
IF(ISNUMBER($U$55), $E77+($E$73*(($E77/$E$73)+$U$55)), $E77),""),"")), ""),""),"")</f>
        <v/>
      </c>
      <c r="W77" s="372" t="str">
        <f>IF($U$3="N.B.C.",
IF(ISNUMBER($B$60),
IF($C77&lt;&gt;"",
IF('Cost Inputs'!$L$76="Y",
IF(ISNUMBER($V$55), $E77+($E$73*(($E77/$E$73)+$V$55)), $E77),
IF('Cost Inputs'!$L$76="N",
IF(AND(ISNUMBER('Cost Inputs'!$M$76), OR('Cost Inputs'!$M$76=1,'Cost Inputs'!$M$76=2,'Cost Inputs'!$M$76=3,'Cost Inputs'!$M$76=6)),
IF(ISNUMBER($V$55), $E77+($E$73*(($E77/$E$73)+$V$55)), $E77),""),"")), ""),""),"")</f>
        <v/>
      </c>
      <c r="X77" s="372" t="str">
        <f>IF($V$3="N.B.C.",
IF(ISNUMBER($B$60),
IF($C77&lt;&gt;"",
IF('Cost Inputs'!$L$76="Y",
IF(ISNUMBER($W$55), $E77+($E$73*(($E77/$E$73)+$W$55)), $E77),
IF('Cost Inputs'!$L$76="N",
IF(AND(ISNUMBER('Cost Inputs'!$M$76), OR('Cost Inputs'!$M$76=1,'Cost Inputs'!$M$76=7)),
IF(ISNUMBER($W$55), $E77+($E$73*(($E77/$E$73)+$W$55)), $E77),""),"")), ""),""),"")</f>
        <v/>
      </c>
      <c r="Y77" s="372" t="str">
        <f>IF($W$3="N.B.C.",
IF(ISNUMBER($B$60),
IF($C77&lt;&gt;"",
IF('Cost Inputs'!$L$76="Y",
IF(ISNUMBER($X$55), $E77+($E$73*(($E77/$E$73)+$X$55)), $E77),
IF('Cost Inputs'!$L$76="N",
IF(AND(ISNUMBER('Cost Inputs'!$M$76), OR('Cost Inputs'!$M$76=1,'Cost Inputs'!$M$76=2,'Cost Inputs'!$M$76=4,'Cost Inputs'!$M$76=8)),
IF(ISNUMBER($X$55), $E77+($E$73*(($E77/$E$73)+$X$55)), $E77),""),"")), ""),""),"")</f>
        <v/>
      </c>
      <c r="Z77" s="372" t="str">
        <f>IF($X$3="N.B.C.",
IF(ISNUMBER($B$60),
IF($C77&lt;&gt;"",
IF('Cost Inputs'!$L$76="Y",
IF(ISNUMBER($Y$55), $E77+($E$73*(($E77/$E$73)+$Y$55)), $E77),
IF('Cost Inputs'!$L$76="N",
IF(AND(ISNUMBER('Cost Inputs'!$M$76), OR('Cost Inputs'!$M$76=1,'Cost Inputs'!$M$76=3,'Cost Inputs'!$M$76=9)),
IF(ISNUMBER($Y$55), $E77+($E$73*(($E77/$E$73)+$Y$55)), $E77),""),"")), ""),""),"")</f>
        <v/>
      </c>
    </row>
    <row r="78" spans="1:26" x14ac:dyDescent="0.25">
      <c r="A78" s="518"/>
      <c r="B78" s="504"/>
      <c r="C78" s="110" t="str">
        <f>IF( ISNUMBER(B60), _3_4_0, "")</f>
        <v/>
      </c>
      <c r="D78" s="94" t="str">
        <f>IF(AND(B60&lt;&gt;"", OR('Cost Inputs'!$H$77&lt;&gt;"", 'Cost Inputs'!$I$77&lt;&gt;"", 'Cost Inputs'!$J$77&lt;&gt;"")), 'Cost Inputs'!$G$77,"")</f>
        <v/>
      </c>
      <c r="E78" s="94" t="str">
        <f>IF(AND(C78&lt;&gt;"", 'Cost Inputs'!$H$77&lt;&gt;""), 'Cost Inputs'!$H$77, "")</f>
        <v/>
      </c>
      <c r="F78" s="94" t="str">
        <f>IF(AND(C78&lt;&gt;"", 'Cost Inputs'!$I$77&lt;&gt;""), 'Cost Inputs'!$I$77, "")</f>
        <v/>
      </c>
      <c r="G78" s="94" t="str">
        <f t="shared" si="5"/>
        <v/>
      </c>
      <c r="H78" s="94" t="str">
        <f>IF(AND(C78&lt;&gt;"", 'Cost Inputs'!$J$77&lt;&gt;""), 'Cost Inputs'!$J$77, "")</f>
        <v/>
      </c>
      <c r="I78" s="94" t="str">
        <f>IF(AND($E78&lt;&gt;"", $H78&lt;&gt;""), $H78/$E78, "")</f>
        <v/>
      </c>
      <c r="J78" s="94" t="str">
        <f>IF(AND(C78&lt;&gt;"",('Cost Inputs'!$I$77+'Cost Inputs'!$J$77+'Cost Inputs'!$K$77)&gt;0), 'Cost Inputs'!$I$77+'Cost Inputs'!$J$77+'Cost Inputs'!$K$77, "")</f>
        <v/>
      </c>
      <c r="K78" s="94" t="str">
        <f>IF(AND(C78&lt;&gt;"", 'Cost Inputs'!$N$77&gt;0),'Cost Inputs'!$N$77,"")</f>
        <v/>
      </c>
      <c r="L78" s="94"/>
      <c r="M78" s="103"/>
      <c r="Q78" s="373" t="str">
        <f>IF($O$3="N.B.C.",
IF(ISNUMBER($B$60),
IF($C78&lt;&gt;"",
IF('Cost Inputs'!$L$77="Y",
IF(AND(ISNUMBER(P$56), P$56&gt;$E$60), $E78+($E$60*(($E78/$E$60)+$P$55)), $E78),
IF('Cost Inputs'!$L$77="N",
IF(AND(ISNUMBER(P$56), P$56&gt;$E$60), $E78+($E$60*(($E78/$E$60)+$P$55)), $E78), "")), ""), ""), "")</f>
        <v/>
      </c>
      <c r="R78" s="373" t="str">
        <f>IF($P$3="N.B.C.",
IF(ISNUMBER($B$60),
IF($C78&lt;&gt;"",
IF('Cost Inputs'!$L$77="Y",
IF(AND(ISNUMBER(Q$56), Q$56&gt;$E$60), $E78+($E$60*(($E78/$E$60)+$Q$55)), $E78),
IF('Cost Inputs'!$L$77="N", "", "")), ""), ""), "")</f>
        <v/>
      </c>
      <c r="S78" s="373" t="str">
        <f>IF($Q$3="N.B.C.",
IF(ISNUMBER($B$60),
IF($C78&lt;&gt;"",
IF('Cost Inputs'!$L$77="Y",
IF(AND(ISNUMBER(R$56), R$56&gt;$E$60), $E78+($E$60*(($E78/$E$60)+$R$55)), $E78),
IF('Cost Inputs'!$L$77="N",
IF(AND(ISNUMBER('Cost Inputs'!$M$77), OR('Cost Inputs'!$M$77=1,'Cost Inputs'!$M$77=2)),
IF(AND(ISNUMBER(R$56), R$56&gt;$E$60), $E78+($E$60*(($E78/$E$60)+$R$55)), $E78), ""),"")), ""), ""), "")</f>
        <v/>
      </c>
      <c r="T78" s="373" t="str">
        <f>IF($R$3="N.B.C.",
IF(ISNUMBER($B$60),
IF($C78&lt;&gt;"",
IF('Cost Inputs'!$L$77="Y",
IF(AND(ISNUMBER(S$56), S$56&gt;$E$60), $E78+($E$60*(($E78/$E$60)+$S$55)), $E78),
IF('Cost Inputs'!$L$77="N",
IF(AND(ISNUMBER('Cost Inputs'!$M$77), OR('Cost Inputs'!$M$77=1,'Cost Inputs'!$M$77=3)),
IF(AND(ISNUMBER(S$56), S$56&gt;$E$60), $E78+($E$60*(($E78/$E$60)+$S$55)), $E78), ""),"")), ""), ""), "")</f>
        <v/>
      </c>
      <c r="U78" s="373" t="str">
        <f>IF($S$3="N.B.C.",
IF(ISNUMBER($B$60),
IF($C78&lt;&gt;"",
IF('Cost Inputs'!$L$77="Y",
IF(AND(ISNUMBER(T$56), T$56&gt;$E$60), $E78+($E$60*(($E78/$E$60)+$T$55)), $E78),
IF('Cost Inputs'!$L$77="N",
IF(AND(ISNUMBER('Cost Inputs'!$M$77), OR('Cost Inputs'!$M$77=1,'Cost Inputs'!$M$77=2, 'Cost Inputs'!$M$77=4)),
IF(AND(ISNUMBER(T$56), T$56&gt;$E$60), $E78+($E$60*(($E78/$E$60)+$T$55)), $E78), ""),"")), ""), ""), "")</f>
        <v/>
      </c>
      <c r="V78" s="373" t="str">
        <f>IF($T$3="N.B.C.",
IF(ISNUMBER($B$60),
IF($C78&lt;&gt;"",
IF('Cost Inputs'!$L$77="Y",
IF(AND(ISNUMBER(U$56), U$56&gt;$E$60), $E78+($E$60*(($E78/$E$60)+$U$55)), $E78),
IF('Cost Inputs'!$L$77="N",
IF(AND(ISNUMBER('Cost Inputs'!$M$77), OR('Cost Inputs'!$M$77=1,'Cost Inputs'!$M$77=5)),
IF(AND(ISNUMBER(U$56), U$56&gt;$E$60), $E78+($E$60*(($E78/$E$60)+$U$55)), $E78), ""),"")), ""), ""), "")</f>
        <v/>
      </c>
      <c r="W78" s="373" t="str">
        <f>IF($U$3="N.B.C.",
IF(ISNUMBER($B$60),
IF($C78&lt;&gt;"",
IF('Cost Inputs'!$L$77="Y",
IF(AND(ISNUMBER(V$56), V$56&gt;$E$60), $E78+($E$60*(($E78/$E$60)+$V$55)), $E78),
IF('Cost Inputs'!$L$77="N",
IF(AND(ISNUMBER('Cost Inputs'!$M$77), OR('Cost Inputs'!$M$77=1,'Cost Inputs'!$M$77=2, 'Cost Inputs'!$M$77=3,'Cost Inputs'!$M$77=6)),
IF(AND(ISNUMBER(V$56), V$56&gt;$E$60), $E78+($E$60*(($E78/$E$60)+$V$55)), $E78), ""),"")), ""), ""), "")</f>
        <v/>
      </c>
      <c r="X78" s="373" t="str">
        <f>IF($V$3="N.B.C.",
IF(ISNUMBER($B$60),
IF($C78&lt;&gt;"",
IF('Cost Inputs'!$L$77="Y",
IF(AND(ISNUMBER(W$56), W$56&gt;$E$60), $E78+($E$60*(($E78/$E$60)+$W$55)), $E78),
IF('Cost Inputs'!$L$77="N",
IF(AND(ISNUMBER('Cost Inputs'!$M$77), OR('Cost Inputs'!$M$77=1,'Cost Inputs'!$M$77=7)),
IF(AND(ISNUMBER(W$56), W$56&gt;$E$60), $E78+($E$60*(($E78/$E$60)+$W$55)), $E78), ""),"")), ""), ""), "")</f>
        <v/>
      </c>
      <c r="Y78" s="373" t="str">
        <f>IF($W$3="N.B.C.",
IF(ISNUMBER($B$60),
IF($C78&lt;&gt;"",
IF('Cost Inputs'!$L$77="Y",
IF(AND(ISNUMBER(X$56), X$56&gt;$E$60), $E78+($E$60*(($E78/$E$60)+$X$55)), $E78),
IF('Cost Inputs'!$L$77="N",
IF(AND(ISNUMBER('Cost Inputs'!$M$77), OR('Cost Inputs'!$M$77=1,'Cost Inputs'!$M$77=2,'Cost Inputs'!$M$77=4,'Cost Inputs'!$M$77=8)),
IF(AND(ISNUMBER(X$56), X$56&gt;$E$60), $E78+($E$60*(($E78/$E$60)+$X$55)), $E78), ""),"")), ""), ""), "")</f>
        <v/>
      </c>
      <c r="Z78" s="373" t="str">
        <f>IF($X$3="N.B.C.",
IF(ISNUMBER($B$60),
IF($C78&lt;&gt;"",
IF('Cost Inputs'!$L$77="Y",
IF(AND(ISNUMBER(Y$56), Y$56&gt;$E$60), $E78+($E$60*(($E78/$E$60)+$Y$55)), $E78),
IF('Cost Inputs'!$L$77="N",
IF(AND(ISNUMBER('Cost Inputs'!$M$77), OR('Cost Inputs'!$M$77=1,'Cost Inputs'!$M$77=3, 'Cost Inputs'!$M$77=9)),
IF(AND(ISNUMBER(Y$56), Y$56&gt;$E$60), $E78+($E$60*(($E78/$E$60)+$Y$55)), $E78), ""),"")), ""), ""), "")</f>
        <v/>
      </c>
    </row>
    <row r="79" spans="1:26" x14ac:dyDescent="0.25">
      <c r="A79" s="518"/>
      <c r="B79" s="504"/>
      <c r="C79" s="104" t="str">
        <f>IF(AND(ISNUMBER(B60), OR('Cost Inputs'!$H$78&lt;&gt;"", 'Cost Inputs'!$I$78&lt;&gt;"", 'Cost Inputs'!$J$78&lt;&gt;"")),
IF((INDEX(ProgramYearStage1,MATCH(DNA_Test_1,Years_in_Stage1,0)))='Model_ of_individuals'!B60, _3_4_1, ""),"")</f>
        <v/>
      </c>
      <c r="D79" s="17" t="str">
        <f>IF(AND(C79&lt;&gt;"", 'Cost Inputs'!$G$78&lt;&gt;""), 'Cost Inputs'!$G$78, "")</f>
        <v/>
      </c>
      <c r="E79" s="17" t="str">
        <f>IF(AND(C79&lt;&gt;"", 'Cost Inputs'!$H$78&lt;&gt;""), 'Cost Inputs'!$H$78, "")</f>
        <v/>
      </c>
      <c r="F79" s="17" t="str">
        <f>IF(AND(C79&lt;&gt;"", 'Cost Inputs'!$I$78&lt;&gt;""), 'Cost Inputs'!$I$78, "")</f>
        <v/>
      </c>
      <c r="G79" s="17" t="str">
        <f t="shared" si="5"/>
        <v/>
      </c>
      <c r="H79" s="17" t="str">
        <f>IF(AND(C79&lt;&gt;"", 'Cost Inputs'!$J$78&lt;&gt;""), 'Cost Inputs'!$J$78, "")</f>
        <v/>
      </c>
      <c r="I79" s="17" t="str">
        <f t="shared" si="4"/>
        <v/>
      </c>
      <c r="J79" s="17" t="str">
        <f>IF(AND(C79&lt;&gt;"",('Cost Inputs'!$I$78+'Cost Inputs'!$J$78+'Cost Inputs'!$K$78)&gt;0), 'Cost Inputs'!$I$78+'Cost Inputs'!$J$78+'Cost Inputs'!$K$78, "")</f>
        <v/>
      </c>
      <c r="K79" s="17" t="str">
        <f>IF(AND(C79&lt;&gt;"", 'Cost Inputs'!$N$78&gt;0),'Cost Inputs'!$N$78,"")</f>
        <v/>
      </c>
      <c r="M79" s="106"/>
      <c r="Q79" s="364" t="str">
        <f>IF($O$3="N.B.C.",
IF(ISNUMBER($B$60),
IF($C79&lt;&gt;"",
IF('Cost Inputs'!$L$78="Y",
IF(ISNUMBER($P$55), $E79+($E$78*(($E79/$E$78)+$P$55)), $E79),
IF('Cost Inputs'!$L$78="N",
IF(ISNUMBER('Cost Inputs'!$M$78),
IF(ISNUMBER($P$55), $E79+($E$78*(($E79/$E$78)+$P$55)), $E79),""),"")), ""),""),"")</f>
        <v/>
      </c>
      <c r="R79" s="364" t="str">
        <f>IF($P$3="N.B.C.",
IF(ISNUMBER($B$60),
IF($C79&lt;&gt;"",
IF('Cost Inputs'!$L$78="Y",
IF(ISNUMBER($Q$55), $E79+($E$78*(($E79/$E$78)+$Q$55)), $E79),
IF('Cost Inputs'!$L$78="N","","")), ""),""),"")</f>
        <v/>
      </c>
      <c r="S79" s="364" t="str">
        <f>IF($Q$3="N.B.C.",
IF(ISNUMBER($B$60),
IF($C79&lt;&gt;"",
IF('Cost Inputs'!$L$78="Y",
IF(ISNUMBER($R$55), $E79+($E$78*(($E79/$E$78)+$R$55)), $E79),
IF('Cost Inputs'!$L$78="N",
IF(AND(ISNUMBER('Cost Inputs'!$M$78), OR('Cost Inputs'!$M$78=1,'Cost Inputs'!$M$78=2)),
IF(ISNUMBER($R$55), $E79+($E$78*(($E79/$E$78)+$R$55)), $E79),""),"")), ""),""),"")</f>
        <v/>
      </c>
      <c r="T79" s="364" t="str">
        <f>IF($R$3="N.B.C.",
IF(ISNUMBER($B$60),
IF($C79&lt;&gt;"",
IF('Cost Inputs'!$L$78="Y",
IF(ISNUMBER($S$55), $E79+($E$78*(($E79/$E$78)+$S$55)), $E79),
IF('Cost Inputs'!$L$78="N",
IF(AND(ISNUMBER('Cost Inputs'!$M$78), OR('Cost Inputs'!$M$78=1,'Cost Inputs'!$M$78=3)),
IF(ISNUMBER($S$55), $E79+($E$78*(($E79/$E$78)+$S$55)), $E79),""),"")), ""),""),"")</f>
        <v/>
      </c>
      <c r="U79" s="364" t="str">
        <f>IF($S$3="N.B.C.",
IF(ISNUMBER($B$60),
IF($C79&lt;&gt;"",
IF('Cost Inputs'!$L$78="Y",
IF(ISNUMBER($T$55), $E79+($E$78*(($E79/$E$78)+$T$55)), $E79),
IF('Cost Inputs'!$L$78="N",
IF(AND(ISNUMBER('Cost Inputs'!$M$78), OR('Cost Inputs'!$M$78=1,'Cost Inputs'!$M$78=2,'Cost Inputs'!$M$78=4)),
IF(ISNUMBER($T$55), $E79+($E$78*(($E79/$E$78)+$T$55)), $E79),""),"")), ""),""),"")</f>
        <v/>
      </c>
      <c r="V79" s="364" t="str">
        <f>IF($T$3="N.B.C.",
IF(ISNUMBER($B$60),
IF($C79&lt;&gt;"",
IF('Cost Inputs'!$L$78="Y",
IF(ISNUMBER($U$55), $E79+($E$78*(($E79/$E$78)+$U$55)), $E79),
IF('Cost Inputs'!$L$78="N",
IF(AND(ISNUMBER('Cost Inputs'!$M$78), OR('Cost Inputs'!$M$78=1,'Cost Inputs'!$M$78=5)),
IF(ISNUMBER($U$55), $E79+($E$78*(($E79/$E$78)+$U$55)), $E79),""),"")), ""),""),"")</f>
        <v/>
      </c>
      <c r="W79" s="364" t="str">
        <f>IF($U$3="N.B.C.",
IF(ISNUMBER($B$60),
IF($C79&lt;&gt;"",
IF('Cost Inputs'!$L$78="Y",
IF(ISNUMBER($V$55), $E79+($E$78*(($E79/$E$78)+$V$55)), $E79),
IF('Cost Inputs'!$L$78="N",
IF(AND(ISNUMBER('Cost Inputs'!$M$78), OR('Cost Inputs'!$M$78=1,'Cost Inputs'!$M$78=2,'Cost Inputs'!$M$78=3,'Cost Inputs'!$M$78=6)),
IF(ISNUMBER($V$55), $E79+($E$78*(($E79/$E$78)+$V$55)), $E79),""),"")), ""),""),"")</f>
        <v/>
      </c>
      <c r="X79" s="364" t="str">
        <f>IF($V$3="N.B.C.",
IF(ISNUMBER($B$60),
IF($C79&lt;&gt;"",
IF('Cost Inputs'!$L$78="Y",
IF(ISNUMBER($W$55), $E79+($E$78*(($E79/$E$78)+$W$55)), $E79),
IF('Cost Inputs'!$L$78="N",
IF(AND(ISNUMBER('Cost Inputs'!$M$78), OR('Cost Inputs'!$M$78=1,'Cost Inputs'!$M$78=7)),
IF(ISNUMBER($W$55), $E79+($E$78*(($E79/$E$78)+$W$55)), $E79),""),"")), ""),""),"")</f>
        <v/>
      </c>
      <c r="Y79" s="364" t="str">
        <f>IF($W$3="N.B.C.",
IF(ISNUMBER($B$60),
IF($C79&lt;&gt;"",
IF('Cost Inputs'!$L$78="Y",
IF(ISNUMBER($X$55), $E79+($E$78*(($E79/$E$78)+$X$55)), $E79),
IF('Cost Inputs'!$L$78="N",
IF(AND(ISNUMBER('Cost Inputs'!$M$78), OR('Cost Inputs'!$M$78=1,'Cost Inputs'!$M$78=2,'Cost Inputs'!$M$78=4,'Cost Inputs'!$M$78=8)),
IF(ISNUMBER($X$55), $E79+($E$78*(($E79/$E$78)+$X$55)), $E79),""),"")), ""),""),"")</f>
        <v/>
      </c>
      <c r="Z79" s="364" t="str">
        <f>IF($X$3="N.B.C.",
IF(ISNUMBER($B$60),
IF($C79&lt;&gt;"",
IF('Cost Inputs'!$L$78="Y",
IF(ISNUMBER($Y$55), $E79+($E$78*(($E79/$E$78)+$Y$55)), $E79),
IF('Cost Inputs'!$L$78="N",
IF(AND(ISNUMBER('Cost Inputs'!$M$78), OR('Cost Inputs'!$M$78=1,'Cost Inputs'!$M$78=3,'Cost Inputs'!$M$78=9)),
IF(ISNUMBER($Y$55), $E79+($E$78*(($E79/$E$78)+$Y$55)), $E79),""),"")), ""),""),"")</f>
        <v/>
      </c>
    </row>
    <row r="80" spans="1:26" x14ac:dyDescent="0.25">
      <c r="A80" s="518"/>
      <c r="B80" s="504"/>
      <c r="C80" s="107" t="str">
        <f>IF(AND(ISNUMBER(B60), OR('Cost Inputs'!$H$79&lt;&gt;"", 'Cost Inputs'!$I$79&lt;&gt;"", 'Cost Inputs'!$J$79&lt;&gt;"")),
IF((INDEX(ProgramYearStage1,MATCH(DNA_Test_1,Years_in_Stage1,0)))='Model_ of_individuals'!B60, _3_4_2, ""),"")</f>
        <v/>
      </c>
      <c r="D80" s="93" t="str">
        <f>IF(AND(C80&lt;&gt;"", 'Cost Inputs'!$G$79&lt;&gt;""), 'Cost Inputs'!$G$79, "")</f>
        <v/>
      </c>
      <c r="E80" s="93" t="str">
        <f>IF(AND(C80&lt;&gt;"", 'Cost Inputs'!$H$79&lt;&gt;""), 'Cost Inputs'!$H$79, "")</f>
        <v/>
      </c>
      <c r="F80" s="93" t="str">
        <f>IF(AND(C80&lt;&gt;"", 'Cost Inputs'!$I$79&lt;&gt;""), 'Cost Inputs'!$I$79, "")</f>
        <v/>
      </c>
      <c r="G80" s="93" t="str">
        <f t="shared" si="5"/>
        <v/>
      </c>
      <c r="H80" s="93" t="str">
        <f>IF(AND(C80&lt;&gt;"", 'Cost Inputs'!$J$79&lt;&gt;""), 'Cost Inputs'!$J$79, "")</f>
        <v/>
      </c>
      <c r="I80" s="93" t="str">
        <f t="shared" si="4"/>
        <v/>
      </c>
      <c r="J80" s="93" t="str">
        <f>IF(AND(C80&lt;&gt;"",('Cost Inputs'!$I$79+'Cost Inputs'!$J$79+'Cost Inputs'!$K$79)&gt;0), 'Cost Inputs'!$I$79+'Cost Inputs'!$J$79+'Cost Inputs'!$K$79, "")</f>
        <v/>
      </c>
      <c r="K80" s="93" t="str">
        <f>IF(AND(C80&lt;&gt;"", 'Cost Inputs'!$N$79&gt;0),'Cost Inputs'!$N$79,"")</f>
        <v/>
      </c>
      <c r="L80" s="93"/>
      <c r="M80" s="109"/>
      <c r="Q80" s="372" t="str">
        <f>IF($O$3="N.B.C.",
IF(ISNUMBER($B$60),
IF($C80&lt;&gt;"",
IF('Cost Inputs'!$L$79="Y",
IF(ISNUMBER($P$55), $E80+($E$78*(($E80/$E$78)+$P$55)), $E80),
IF('Cost Inputs'!$L$79="N",
IF(ISNUMBER('Cost Inputs'!$M$79),
IF(ISNUMBER($P$55), $E80+($E$78*(($E80/$E$78)+$P$55)), $E80),""),"")), ""),""),"")</f>
        <v/>
      </c>
      <c r="R80" s="372" t="str">
        <f>IF($P$3="N.B.C.",
IF(ISNUMBER($B$60),
IF($C80&lt;&gt;"",
IF('Cost Inputs'!$L$79="Y",
IF(ISNUMBER($Q$55), $E80+($E$78*(($E80/$E$78)+$Q$55)), $E80),
IF('Cost Inputs'!$L$79="N","","")), ""),""),"")</f>
        <v/>
      </c>
      <c r="S80" s="372" t="str">
        <f>IF($Q$3="N.B.C.",
IF(ISNUMBER($B$60),
IF($C80&lt;&gt;"",
IF('Cost Inputs'!$L$79="Y",
IF(ISNUMBER($R$55), $E80+($E$78*(($E80/$E$78)+$R$55)), $E80),
IF('Cost Inputs'!$L$79="N",
IF(AND(ISNUMBER('Cost Inputs'!$M$79), OR('Cost Inputs'!$M$79=1,'Cost Inputs'!$M$79=2)),
IF(ISNUMBER($R$55), $E80+($E$78*(($E80/$E$78)+$R$55)), $E80),""),"")), ""),""),"")</f>
        <v/>
      </c>
      <c r="T80" s="372" t="str">
        <f>IF($R$3="N.B.C.",
IF(ISNUMBER($B$60),
IF($C80&lt;&gt;"",
IF('Cost Inputs'!$L$79="Y",
IF(ISNUMBER($S$55), $E80+($E$78*(($E80/$E$78)+$S$55)), $E80),
IF('Cost Inputs'!$L$79="N",
IF(AND(ISNUMBER('Cost Inputs'!$M$79), OR('Cost Inputs'!$M$79=1,'Cost Inputs'!$M$79=3)),
IF(ISNUMBER($S$55), $E80+($E$78*(($E80/$E$78)+$S$55)), $E80),""),"")), ""),""),"")</f>
        <v/>
      </c>
      <c r="U80" s="372" t="str">
        <f>IF($S$3="N.B.C.",
IF(ISNUMBER($B$60),
IF($C80&lt;&gt;"",
IF('Cost Inputs'!$L$79="Y",
IF(ISNUMBER($T$55), $E80+($E$78*(($E80/$E$78)+$T$55)), $E80),
IF('Cost Inputs'!$L$79="N",
IF(AND(ISNUMBER('Cost Inputs'!$M$79), OR('Cost Inputs'!$M$79=1,'Cost Inputs'!$M$79=2,'Cost Inputs'!$M$79=4)),
IF(ISNUMBER($T$55), $E80+($E$78*(($E80/$E$78)+$T$55)), $E80),""),"")), ""),""),"")</f>
        <v/>
      </c>
      <c r="V80" s="372" t="str">
        <f>IF($T$3="N.B.C.",
IF(ISNUMBER($B$60),
IF($C80&lt;&gt;"",
IF('Cost Inputs'!$L$79="Y",
IF(ISNUMBER($U$55), $E80+($E$78*(($E80/$E$78)+$U$55)), $E80),
IF('Cost Inputs'!$L$79="N",
IF(AND(ISNUMBER('Cost Inputs'!$M$79), OR('Cost Inputs'!$M$79=1,'Cost Inputs'!$M$79=5)),
IF(ISNUMBER($U$55), $E80+($E$78*(($E80/$E$78)+$U$55)), $E80),""),"")), ""),""),"")</f>
        <v/>
      </c>
      <c r="W80" s="372" t="str">
        <f>IF($U$3="N.B.C.",
IF(ISNUMBER($B$60),
IF($C80&lt;&gt;"",
IF('Cost Inputs'!$L$79="Y",
IF(ISNUMBER($V$55), $E80+($E$78*(($E80/$E$78)+$V$55)), $E80),
IF('Cost Inputs'!$L$79="N",
IF(AND(ISNUMBER('Cost Inputs'!$M$79), OR('Cost Inputs'!$M$79=1,'Cost Inputs'!$M$79=2,'Cost Inputs'!$M$79=3,'Cost Inputs'!$M$79=6)),
IF(ISNUMBER($V$55), $E80+($E$78*(($E80/$E$78)+$V$55)), $E80),""),"")), ""),""),"")</f>
        <v/>
      </c>
      <c r="X80" s="372" t="str">
        <f>IF($V$3="N.B.C.",
IF(ISNUMBER($B$60),
IF($C80&lt;&gt;"",
IF('Cost Inputs'!$L$79="Y",
IF(ISNUMBER($W$55), $E80+($E$78*(($E80/$E$78)+$W$55)), $E80),
IF('Cost Inputs'!$L$79="N",
IF(AND(ISNUMBER('Cost Inputs'!$M$79), OR('Cost Inputs'!$M$79=1,'Cost Inputs'!$M$79=7)),
IF(ISNUMBER($W$55), $E80+($E$78*(($E80/$E$78)+$W$55)), $E80),""),"")), ""),""),"")</f>
        <v/>
      </c>
      <c r="Y80" s="372" t="str">
        <f>IF($W$3="N.B.C.",
IF(ISNUMBER($B$60),
IF($C80&lt;&gt;"",
IF('Cost Inputs'!$L$79="Y",
IF(ISNUMBER($X$55), $E80+($E$78*(($E80/$E$78)+$X$55)), $E80),
IF('Cost Inputs'!$L$79="N",
IF(AND(ISNUMBER('Cost Inputs'!$M$79), OR('Cost Inputs'!$M$79=1,'Cost Inputs'!$M$79=2,'Cost Inputs'!$M$79=4,'Cost Inputs'!$M$79=8)),
IF(ISNUMBER($X$55), $E80+($E$78*(($E80/$E$78)+$X$55)), $E80),""),"")), ""),""),"")</f>
        <v/>
      </c>
      <c r="Z80" s="372" t="str">
        <f>IF($X$3="N.B.C.",
IF(ISNUMBER($B$60),
IF($C80&lt;&gt;"",
IF('Cost Inputs'!$L$79="Y",
IF(ISNUMBER($Y$55), $E80+($E$78*(($E80/$E$78)+$Y$55)), $E80),
IF('Cost Inputs'!$L$79="N",
IF(AND(ISNUMBER('Cost Inputs'!$M$79), OR('Cost Inputs'!$M$79=1,'Cost Inputs'!$M$79=3,'Cost Inputs'!$M$79=9)),
IF(ISNUMBER($Y$55), $E80+($E$78*(($E80/$E$78)+$Y$55)), $E80),""),"")), ""),""),"")</f>
        <v/>
      </c>
    </row>
    <row r="81" spans="1:27" x14ac:dyDescent="0.25">
      <c r="A81" s="518"/>
      <c r="B81" s="504"/>
      <c r="C81" s="104" t="str">
        <f>IF(AND(ISNUMBER(B60), OR('Cost Inputs'!$H$80&lt;&gt;"", 'Cost Inputs'!$I$80&lt;&gt;"", 'Cost Inputs'!$J$80&lt;&gt;"")),
IF((INDEX(ProgramYearStage1,MATCH(DNA_Test_1,Years_in_Stage1,0)))='Model_ of_individuals'!B60, _3_4_3, ""),"")</f>
        <v/>
      </c>
      <c r="D81" s="17" t="str">
        <f>IF(AND(C81&lt;&gt;"", 'Cost Inputs'!$G$80&lt;&gt;""), 'Cost Inputs'!$G$80, "")</f>
        <v/>
      </c>
      <c r="E81" s="17" t="str">
        <f>IF(AND(C81&lt;&gt;"", 'Cost Inputs'!$H$80&lt;&gt;""), 'Cost Inputs'!$H$80, "")</f>
        <v/>
      </c>
      <c r="F81" s="17" t="str">
        <f>IF(AND(C81&lt;&gt;"", 'Cost Inputs'!$I$80&lt;&gt;""), 'Cost Inputs'!$I$80, "")</f>
        <v/>
      </c>
      <c r="G81" s="17" t="str">
        <f t="shared" si="5"/>
        <v/>
      </c>
      <c r="H81" s="17" t="str">
        <f>IF(AND(C81&lt;&gt;"", 'Cost Inputs'!$J$80&lt;&gt;""), 'Cost Inputs'!$J$80, "")</f>
        <v/>
      </c>
      <c r="I81" s="17" t="str">
        <f t="shared" si="4"/>
        <v/>
      </c>
      <c r="J81" s="17" t="str">
        <f>IF(AND(C81&lt;&gt;"",('Cost Inputs'!$I$80+'Cost Inputs'!$J$80+'Cost Inputs'!$K$80)&gt;0), 'Cost Inputs'!$I$80+'Cost Inputs'!$J$80+'Cost Inputs'!$K$80, "")</f>
        <v/>
      </c>
      <c r="K81" s="17" t="str">
        <f>IF(AND(C81&lt;&gt;"", 'Cost Inputs'!$N$80&gt;0),'Cost Inputs'!$N$80,"")</f>
        <v/>
      </c>
      <c r="M81" s="106"/>
      <c r="Q81" s="364" t="str">
        <f>IF($O$3="N.B.C.",
IF(ISNUMBER($B$60),
IF($C81&lt;&gt;"",
IF('Cost Inputs'!$L$80="Y",
IF(ISNUMBER($P$55), $E81+($E$78*(($E81/$E$78)+$P$55)), $E81),
IF('Cost Inputs'!$L$80="N",
IF(ISNUMBER('Cost Inputs'!$M$80),
IF(ISNUMBER($P$55), $E81+($E$78*(($E81/$E$78)+$P$55)), $E81),""),"")), ""),""),"")</f>
        <v/>
      </c>
      <c r="R81" s="364" t="str">
        <f>IF($P$3="N.B.C.",
IF(ISNUMBER($B$60),
IF($C81&lt;&gt;"",
IF('Cost Inputs'!$L$80="Y",
IF(ISNUMBER($Q$55), $E81+($E$78*(($E81/$E$78)+$Q$55)), $E81),
IF('Cost Inputs'!$L$80="N","","")), ""),""),"")</f>
        <v/>
      </c>
      <c r="S81" s="364" t="str">
        <f>IF($Q$3="N.B.C.",
IF(ISNUMBER($B$60),
IF($C81&lt;&gt;"",
IF('Cost Inputs'!$L$80="Y",
IF(ISNUMBER($R$55), $E81+($E$78*(($E81/$E$78)+$R$55)), $E81),
IF('Cost Inputs'!$L$80="N",
IF(AND(ISNUMBER('Cost Inputs'!$M$80), OR('Cost Inputs'!$M$80=1,'Cost Inputs'!$M$80=2)),
IF(ISNUMBER($R$55), $E81+($E$78*(($E81/$E$78)+$R$55)), $E81),""),"")), ""),""),"")</f>
        <v/>
      </c>
      <c r="T81" s="364" t="str">
        <f>IF($R$3="N.B.C.",
IF(ISNUMBER($B$60),
IF($C81&lt;&gt;"",
IF('Cost Inputs'!$L$80="Y",
IF(ISNUMBER($S$55), $E81+($E$78*(($E81/$E$78)+$S$55)), $E81),
IF('Cost Inputs'!$L$80="N",
IF(AND(ISNUMBER('Cost Inputs'!$M$80), OR('Cost Inputs'!$M$80=1,'Cost Inputs'!$M$80=3)),
IF(ISNUMBER($S$55), $E81+($E$78*(($E81/$E$78)+$S$55)), $E81),""),"")), ""),""),"")</f>
        <v/>
      </c>
      <c r="U81" s="364" t="str">
        <f>IF($S$3="N.B.C.",
IF(ISNUMBER($B$60),
IF($C81&lt;&gt;"",
IF('Cost Inputs'!$L$80="Y",
IF(ISNUMBER($T$55), $E81+($E$78*(($E81/$E$78)+$T$55)), $E81),
IF('Cost Inputs'!$L$80="N",
IF(AND(ISNUMBER('Cost Inputs'!$M$80), OR('Cost Inputs'!$M$80=1,'Cost Inputs'!$M$80=2,'Cost Inputs'!$M$80=4)),
IF(ISNUMBER($T$55), $E81+($E$78*(($E81/$E$78)+$T$55)), $E81),""),"")), ""),""),"")</f>
        <v/>
      </c>
      <c r="V81" s="364" t="str">
        <f>IF($T$3="N.B.C.",
IF(ISNUMBER($B$60),
IF($C81&lt;&gt;"",
IF('Cost Inputs'!$L$80="Y",
IF(ISNUMBER($U$55), $E81+($E$78*(($E81/$E$78)+$U$55)), $E81),
IF('Cost Inputs'!$L$80="N",
IF(AND(ISNUMBER('Cost Inputs'!$M$80), OR('Cost Inputs'!$M$80=1,'Cost Inputs'!$M$80=5)),
IF(ISNUMBER($U$55), $E81+($E$78*(($E81/$E$78)+$U$55)), $E81),""),"")), ""),""),"")</f>
        <v/>
      </c>
      <c r="W81" s="364" t="str">
        <f>IF($U$3="N.B.C.",
IF(ISNUMBER($B$60),
IF($C81&lt;&gt;"",
IF('Cost Inputs'!$L$80="Y",
IF(ISNUMBER($V$55), $E81+($E$78*(($E81/$E$78)+$V$55)), $E81),
IF('Cost Inputs'!$L$80="N",
IF(AND(ISNUMBER('Cost Inputs'!$M$80), OR('Cost Inputs'!$M$80=1,'Cost Inputs'!$M$80=2,'Cost Inputs'!$M$80=3,'Cost Inputs'!$M$80=6)),
IF(ISNUMBER($V$55), $E81+($E$78*(($E81/$E$78)+$V$55)), $E81),""),"")), ""),""),"")</f>
        <v/>
      </c>
      <c r="X81" s="364" t="str">
        <f>IF($V$3="N.B.C.",
IF(ISNUMBER($B$60),
IF($C81&lt;&gt;"",
IF('Cost Inputs'!$L$80="Y",
IF(ISNUMBER($W$55), $E81+($E$78*(($E81/$E$78)+$W$55)), $E81),
IF('Cost Inputs'!$L$80="N",
IF(AND(ISNUMBER('Cost Inputs'!$M$80), OR('Cost Inputs'!$M$80=1,'Cost Inputs'!$M$80=7)),
IF(ISNUMBER($W$55), $E81+($E$78*(($E81/$E$78)+$W$55)), $E81),""),"")), ""),""),"")</f>
        <v/>
      </c>
      <c r="Y81" s="364" t="str">
        <f>IF($W$3="N.B.C.",
IF(ISNUMBER($B$60),
IF($C81&lt;&gt;"",
IF('Cost Inputs'!$L$80="Y",
IF(ISNUMBER($X$55), $E81+($E$78*(($E81/$E$78)+$X$55)), $E81),
IF('Cost Inputs'!$L$80="N",
IF(AND(ISNUMBER('Cost Inputs'!$M$80), OR('Cost Inputs'!$M$80=1,'Cost Inputs'!$M$80=2,'Cost Inputs'!$M$80=4,'Cost Inputs'!$M$80=8)),
IF(ISNUMBER($X$55), $E81+($E$78*(($E81/$E$78)+$X$55)), $E81),""),"")), ""),""),"")</f>
        <v/>
      </c>
      <c r="Z81" s="364" t="str">
        <f>IF($X$3="N.B.C.",
IF(ISNUMBER($B$60),
IF($C81&lt;&gt;"",
IF('Cost Inputs'!$L$80="Y",
IF(ISNUMBER($Y$55), $E81+($E$78*(($E81/$E$78)+$Y$55)), $E81),
IF('Cost Inputs'!$L$80="N",
IF(AND(ISNUMBER('Cost Inputs'!$M$80), OR('Cost Inputs'!$M$80=1,'Cost Inputs'!$M$80=3,'Cost Inputs'!$M$80=9)),
IF(ISNUMBER($Y$55), $E81+($E$78*(($E81/$E$78)+$Y$55)), $E81),""),"")), ""),""),"")</f>
        <v/>
      </c>
    </row>
    <row r="82" spans="1:27" x14ac:dyDescent="0.25">
      <c r="A82" s="518"/>
      <c r="B82" s="504"/>
      <c r="C82" s="107" t="str">
        <f>IF(AND(ISNUMBER(B60), OR('Cost Inputs'!$H$81&lt;&gt;"", 'Cost Inputs'!$I$81&lt;&gt;"", 'Cost Inputs'!$J$81&lt;&gt;"")),
IF((INDEX(ProgramYearStage1,MATCH(DNA_Test_1,Years_in_Stage1,0)))='Model_ of_individuals'!B60, _3_4_4, ""),"")</f>
        <v/>
      </c>
      <c r="D82" s="93" t="str">
        <f>IF(AND(C82&lt;&gt;"", 'Cost Inputs'!$G$81&lt;&gt;""), 'Cost Inputs'!$G$81, "")</f>
        <v/>
      </c>
      <c r="E82" s="93" t="str">
        <f>IF(AND(C82&lt;&gt;"", 'Cost Inputs'!$H$81&lt;&gt;""), 'Cost Inputs'!$H$81, "")</f>
        <v/>
      </c>
      <c r="F82" s="93" t="str">
        <f>IF(AND(C82&lt;&gt;"", 'Cost Inputs'!$I$81&lt;&gt;""), 'Cost Inputs'!$I$81, "")</f>
        <v/>
      </c>
      <c r="G82" s="93" t="str">
        <f t="shared" si="5"/>
        <v/>
      </c>
      <c r="H82" s="93" t="str">
        <f>IF(AND(C82&lt;&gt;"", 'Cost Inputs'!$J$81&lt;&gt;""), 'Cost Inputs'!$J$81, "")</f>
        <v/>
      </c>
      <c r="I82" s="93" t="str">
        <f t="shared" si="4"/>
        <v/>
      </c>
      <c r="J82" s="93" t="str">
        <f>IF(AND(C82&lt;&gt;"",('Cost Inputs'!$I$81+'Cost Inputs'!$J$81+'Cost Inputs'!$K$81)&gt;0), 'Cost Inputs'!$I$81+'Cost Inputs'!$J$81+'Cost Inputs'!$K$81, "")</f>
        <v/>
      </c>
      <c r="K82" s="93" t="str">
        <f>IF(AND(C82&lt;&gt;"", 'Cost Inputs'!$N$81&gt;0),'Cost Inputs'!$N$81,"")</f>
        <v/>
      </c>
      <c r="L82" s="93"/>
      <c r="M82" s="109"/>
      <c r="Q82" s="372" t="str">
        <f>IF($O$3="N.B.C.",
IF(ISNUMBER($B$60),
IF($C82&lt;&gt;"",
IF('Cost Inputs'!$L$81="Y",
IF(ISNUMBER($P$55), $E82+($E$78*(($E82/$E$78)+$P$55)), $E82),
IF('Cost Inputs'!$L$81="N",
IF(ISNUMBER('Cost Inputs'!$M$81),
IF(ISNUMBER($P$55), $E82+($E$78*(($E82/$E$78)+$P$55)), $E82),""),"")), ""),""),"")</f>
        <v/>
      </c>
      <c r="R82" s="372" t="str">
        <f>IF($P$3="N.B.C.",
IF(ISNUMBER($B$60),
IF($C82&lt;&gt;"",
IF('Cost Inputs'!$L$81="Y",
IF(ISNUMBER($Q$55), $E82+($E$78*(($E82/$E$78)+$Q$55)), $E82),
IF('Cost Inputs'!$L$81="N","","")), ""),""),"")</f>
        <v/>
      </c>
      <c r="S82" s="372" t="str">
        <f>IF($Q$3="N.B.C.",
IF(ISNUMBER($B$60),
IF($C82&lt;&gt;"",
IF('Cost Inputs'!$L$81="Y",
IF(ISNUMBER($R$55), $E82+($E$78*(($E82/$E$78)+$R$55)), $E82),
IF('Cost Inputs'!$L$81="N",
IF(AND(ISNUMBER('Cost Inputs'!$M$81), OR('Cost Inputs'!$M$81=1,'Cost Inputs'!$M$81=2)),
IF(ISNUMBER($R$55), $E82+($E$78*(($E82/$E$78)+$R$55)), $E82),""),"")), ""),""),"")</f>
        <v/>
      </c>
      <c r="T82" s="372" t="str">
        <f>IF($R$3="N.B.C.",
IF(ISNUMBER($B$60),
IF($C82&lt;&gt;"",
IF('Cost Inputs'!$L$81="Y",
IF(ISNUMBER($S$55), $E82+($E$78*(($E82/$E$78)+$S$55)), $E82),
IF('Cost Inputs'!$L$81="N",
IF(AND(ISNUMBER('Cost Inputs'!$M$81), OR('Cost Inputs'!$M$81=1,'Cost Inputs'!$M$81=3)),
IF(ISNUMBER($S$55), $E82+($E$78*(($E82/$E$78)+$S$55)), $E82),""),"")), ""),""),"")</f>
        <v/>
      </c>
      <c r="U82" s="372" t="str">
        <f>IF($S$3="N.B.C.",
IF(ISNUMBER($B$60),
IF($C82&lt;&gt;"",
IF('Cost Inputs'!$L$81="Y",
IF(ISNUMBER($T$55), $E82+($E$78*(($E82/$E$78)+$T$55)), $E82),
IF('Cost Inputs'!$L$81="N",
IF(AND(ISNUMBER('Cost Inputs'!$M$81), OR('Cost Inputs'!$M$81=1,'Cost Inputs'!$M$81=2,'Cost Inputs'!$M$81=4)),
IF(ISNUMBER($T$55), $E82+($E$78*(($E82/$E$78)+$T$55)), $E82),""),"")), ""),""),"")</f>
        <v/>
      </c>
      <c r="V82" s="372" t="str">
        <f>IF($T$3="N.B.C.",
IF(ISNUMBER($B$60),
IF($C82&lt;&gt;"",
IF('Cost Inputs'!$L$81="Y",
IF(ISNUMBER($U$55), $E82+($E$78*(($E82/$E$78)+$U$55)), $E82),
IF('Cost Inputs'!$L$81="N",
IF(AND(ISNUMBER('Cost Inputs'!$M$81), OR('Cost Inputs'!$M$81=1,'Cost Inputs'!$M$81=5)),
IF(ISNUMBER($U$55), $E82+($E$78*(($E82/$E$78)+$U$55)), $E82),""),"")), ""),""),"")</f>
        <v/>
      </c>
      <c r="W82" s="372" t="str">
        <f>IF($U$3="N.B.C.",
IF(ISNUMBER($B$60),
IF($C82&lt;&gt;"",
IF('Cost Inputs'!$L$81="Y",
IF(ISNUMBER($V$55), $E82+($E$78*(($E82/$E$78)+$V$55)), $E82),
IF('Cost Inputs'!$L$81="N",
IF(AND(ISNUMBER('Cost Inputs'!$M$81), OR('Cost Inputs'!$M$81=1,'Cost Inputs'!$M$81=2,'Cost Inputs'!$M$81=3,'Cost Inputs'!$M$81=6)),
IF(ISNUMBER($V$55), $E82+($E$78*(($E82/$E$78)+$V$55)), $E82),""),"")), ""),""),"")</f>
        <v/>
      </c>
      <c r="X82" s="372" t="str">
        <f>IF($V$3="N.B.C.",
IF(ISNUMBER($B$60),
IF($C82&lt;&gt;"",
IF('Cost Inputs'!$L$81="Y",
IF(ISNUMBER($W$55), $E82+($E$78*(($E82/$E$78)+$W$55)), $E82),
IF('Cost Inputs'!$L$81="N",
IF(AND(ISNUMBER('Cost Inputs'!$M$81), OR('Cost Inputs'!$M$81=1,'Cost Inputs'!$M$81=7)),
IF(ISNUMBER($W$55), $E82+($E$78*(($E82/$E$78)+$W$55)), $E82),""),"")), ""),""),"")</f>
        <v/>
      </c>
      <c r="Y82" s="372" t="str">
        <f>IF($W$3="N.B.C.",
IF(ISNUMBER($B$60),
IF($C82&lt;&gt;"",
IF('Cost Inputs'!$L$81="Y",
IF(ISNUMBER($X$55), $E82+($E$78*(($E82/$E$78)+$X$55)), $E82),
IF('Cost Inputs'!$L$81="N",
IF(AND(ISNUMBER('Cost Inputs'!$M$81), OR('Cost Inputs'!$M$81=1,'Cost Inputs'!$M$81=2,'Cost Inputs'!$M$81=4,'Cost Inputs'!$M$81=8)),
IF(ISNUMBER($X$55), $E82+($E$78*(($E82/$E$78)+$X$55)), $E82),""),"")), ""),""),"")</f>
        <v/>
      </c>
      <c r="Z82" s="372" t="str">
        <f>IF($X$3="N.B.C.",
IF(ISNUMBER($B$60),
IF($C82&lt;&gt;"",
IF('Cost Inputs'!$L$81="Y",
IF(ISNUMBER($Y$55), $E82+($E$78*(($E82/$E$78)+$Y$55)), $E82),
IF('Cost Inputs'!$L$81="N",
IF(AND(ISNUMBER('Cost Inputs'!$M$81), OR('Cost Inputs'!$M$81=1,'Cost Inputs'!$M$81=3,'Cost Inputs'!$M$81=9)),
IF(ISNUMBER($Y$55), $E82+($E$78*(($E82/$E$78)+$Y$55)), $E82),""),"")), ""),""),"")</f>
        <v/>
      </c>
    </row>
    <row r="83" spans="1:27" x14ac:dyDescent="0.25">
      <c r="A83" s="518"/>
      <c r="B83" s="504"/>
      <c r="C83" s="104" t="str">
        <f>IF(AND(ISNUMBER(B60), OR('Cost Inputs'!$H$82&lt;&gt;"", 'Cost Inputs'!$I$82&lt;&gt;"", 'Cost Inputs'!$J$82&lt;&gt;"")),
IF((INDEX(ProgramYearStage1,MATCH(DNA_Test_1,Years_in_Stage1,0)))='Model_ of_individuals'!B60, _3_4_5, ""),"")</f>
        <v/>
      </c>
      <c r="D83" s="17" t="str">
        <f>IF(AND(C83&lt;&gt;"", 'Cost Inputs'!$G$82&lt;&gt;""), 'Cost Inputs'!$G$82, "")</f>
        <v/>
      </c>
      <c r="E83" s="17" t="str">
        <f>IF(AND(C83&lt;&gt;"", 'Cost Inputs'!$H$82&lt;&gt;""), 'Cost Inputs'!$H$82, "")</f>
        <v/>
      </c>
      <c r="F83" s="17" t="str">
        <f>IF(AND(C83&lt;&gt;"", 'Cost Inputs'!$I$82&lt;&gt;""), 'Cost Inputs'!$I$82, "")</f>
        <v/>
      </c>
      <c r="G83" s="17" t="str">
        <f t="shared" si="5"/>
        <v/>
      </c>
      <c r="H83" s="17" t="str">
        <f>IF(AND(C83&lt;&gt;"", 'Cost Inputs'!$J$82&lt;&gt;""), 'Cost Inputs'!$J$82, "")</f>
        <v/>
      </c>
      <c r="I83" s="17" t="str">
        <f t="shared" si="4"/>
        <v/>
      </c>
      <c r="J83" s="17" t="str">
        <f>IF(AND(C83&lt;&gt;"",('Cost Inputs'!$I$82+'Cost Inputs'!$J$82+'Cost Inputs'!$K$82)&gt;0), 'Cost Inputs'!$I$82+'Cost Inputs'!$J$82+'Cost Inputs'!$K$82, "")</f>
        <v/>
      </c>
      <c r="K83" s="17" t="str">
        <f>IF(AND(C83&lt;&gt;"", 'Cost Inputs'!$N$82&gt;0),'Cost Inputs'!$N$82,"")</f>
        <v/>
      </c>
      <c r="M83" s="106"/>
      <c r="Q83" s="364" t="str">
        <f>IF($O$3="N.B.C.",
IF(ISNUMBER($B$60),
IF($C83&lt;&gt;"",
IF('Cost Inputs'!$L$82="Y",
IF(ISNUMBER($P$55), $E83+($E$78*(($E83/$E$78)+$P$55)), $E83),
IF('Cost Inputs'!$L$82="N",
IF(ISNUMBER('Cost Inputs'!$M$82),
IF(ISNUMBER($P$55), $E83+($E$78*(($E83/$E$78)+$P$55)), $E83),""),"")), ""),""),"")</f>
        <v/>
      </c>
      <c r="R83" s="364" t="str">
        <f>IF($P$3="N.B.C.",
IF(ISNUMBER($B$60),
IF($C83&lt;&gt;"",
IF('Cost Inputs'!$L$82="Y",
IF(ISNUMBER($Q$55), $E83+($E$78*(($E83/$E$78)+$Q$55)), $E83),
IF('Cost Inputs'!$L$82="N","","")), ""),""),"")</f>
        <v/>
      </c>
      <c r="S83" s="364" t="str">
        <f>IF($Q$3="N.B.C.",
IF(ISNUMBER($B$60),
IF($C83&lt;&gt;"",
IF('Cost Inputs'!$L$82="Y",
IF(ISNUMBER($R$55), $E83+($E$78*(($E83/$E$78)+$R$55)), $E83),
IF('Cost Inputs'!$L$82="N",
IF(AND(ISNUMBER('Cost Inputs'!$M$82), OR('Cost Inputs'!$M$82=1,'Cost Inputs'!$M$82=2)),
IF(ISNUMBER($R$55), $E83+($E$78*(($E83/$E$78)+$R$55)), $E83),""),"")), ""),""),"")</f>
        <v/>
      </c>
      <c r="T83" s="364" t="str">
        <f>IF($R$3="N.B.C.",
IF(ISNUMBER($B$60),
IF($C83&lt;&gt;"",
IF('Cost Inputs'!$L$82="Y",
IF(ISNUMBER($S$55), $E83+($E$78*(($E83/$E$78)+$S$55)), $E83),
IF('Cost Inputs'!$L$82="N",
IF(AND(ISNUMBER('Cost Inputs'!$M$82), OR('Cost Inputs'!$M$82=1,'Cost Inputs'!$M$82=3)),
IF(ISNUMBER($S$55), $E83+($E$78*(($E83/$E$78)+$S$55)), $E83),""),"")), ""),""),"")</f>
        <v/>
      </c>
      <c r="U83" s="364" t="str">
        <f>IF($S$3="N.B.C.",
IF(ISNUMBER($B$60),
IF($C83&lt;&gt;"",
IF('Cost Inputs'!$L$82="Y",
IF(ISNUMBER($T$55), $E83+($E$78*(($E83/$E$78)+$T$55)), $E83),
IF('Cost Inputs'!$L$82="N",
IF(AND(ISNUMBER('Cost Inputs'!$M$82), OR('Cost Inputs'!$M$82=1,'Cost Inputs'!$M$82=2,'Cost Inputs'!$M$82=4)),
IF(ISNUMBER($T$55), $E83+($E$78*(($E83/$E$78)+$T$55)), $E83),""),"")), ""),""),"")</f>
        <v/>
      </c>
      <c r="V83" s="364" t="str">
        <f>IF($T$3="N.B.C.",
IF(ISNUMBER($B$60),
IF($C83&lt;&gt;"",
IF('Cost Inputs'!$L$82="Y",
IF(ISNUMBER($U$55), $E83+($E$78*(($E83/$E$78)+$U$55)), $E83),
IF('Cost Inputs'!$L$82="N",
IF(AND(ISNUMBER('Cost Inputs'!$M$82), OR('Cost Inputs'!$M$82=1,'Cost Inputs'!$M$82=5)),
IF(ISNUMBER($U$55), $E83+($E$78*(($E83/$E$78)+$U$55)), $E83),""),"")), ""),""),"")</f>
        <v/>
      </c>
      <c r="W83" s="364" t="str">
        <f>IF($U$3="N.B.C.",
IF(ISNUMBER($B$60),
IF($C83&lt;&gt;"",
IF('Cost Inputs'!$L$82="Y",
IF(ISNUMBER($V$55), $E83+($E$78*(($E83/$E$78)+$V$55)), $E83),
IF('Cost Inputs'!$L$82="N",
IF(AND(ISNUMBER('Cost Inputs'!$M$82), OR('Cost Inputs'!$M$82=1,'Cost Inputs'!$M$82=2,'Cost Inputs'!$M$82=3,'Cost Inputs'!$M$82=6)),
IF(ISNUMBER($V$55), $E83+($E$78*(($E83/$E$78)+$V$55)), $E83),""),"")), ""),""),"")</f>
        <v/>
      </c>
      <c r="X83" s="364" t="str">
        <f>IF($V$3="N.B.C.",
IF(ISNUMBER($B$60),
IF($C83&lt;&gt;"",
IF('Cost Inputs'!$L$82="Y",
IF(ISNUMBER($W$55), $E83+($E$78*(($E83/$E$78)+$W$55)), $E83),
IF('Cost Inputs'!$L$82="N",
IF(AND(ISNUMBER('Cost Inputs'!$M$82), OR('Cost Inputs'!$M$82=1,'Cost Inputs'!$M$82=7)),
IF(ISNUMBER($W$55), $E83+($E$78*(($E83/$E$78)+$W$55)), $E83),""),"")), ""),""),"")</f>
        <v/>
      </c>
      <c r="Y83" s="364" t="str">
        <f>IF($W$3="N.B.C.",
IF(ISNUMBER($B$60),
IF($C83&lt;&gt;"",
IF('Cost Inputs'!$L$82="Y",
IF(ISNUMBER($X$55), $E83+($E$78*(($E83/$E$78)+$X$55)), $E83),
IF('Cost Inputs'!$L$82="N",
IF(AND(ISNUMBER('Cost Inputs'!$M$82), OR('Cost Inputs'!$M$82=1,'Cost Inputs'!$M$82=2,'Cost Inputs'!$M$82=4,'Cost Inputs'!$M$82=8)),
IF(ISNUMBER($X$55), $E83+($E$78*(($E83/$E$78)+$X$55)), $E83),""),"")), ""),""),"")</f>
        <v/>
      </c>
      <c r="Z83" s="364" t="str">
        <f>IF($X$3="N.B.C.",
IF(ISNUMBER($B$60),
IF($C83&lt;&gt;"",
IF('Cost Inputs'!$L$82="Y",
IF(ISNUMBER($Y$55), $E83+($E$78*(($E83/$E$78)+$Y$55)), $E83),
IF('Cost Inputs'!$L$82="N",
IF(AND(ISNUMBER('Cost Inputs'!$M$82), OR('Cost Inputs'!$M$82=1,'Cost Inputs'!$M$82=3,'Cost Inputs'!$M$82=9)),
IF(ISNUMBER($Y$55), $E83+($E$78*(($E83/$E$78)+$Y$55)), $E83),""),"")), ""),""),"")</f>
        <v/>
      </c>
    </row>
    <row r="84" spans="1:27" x14ac:dyDescent="0.25">
      <c r="A84" s="518"/>
      <c r="B84" s="504"/>
      <c r="C84" s="107" t="str">
        <f>IF(AND(ISNUMBER(B60), OR('Cost Inputs'!$H$83&lt;&gt;"", 'Cost Inputs'!$I$83&lt;&gt;"", 'Cost Inputs'!$J$83&lt;&gt;"")),
IF((INDEX(ProgramYearStage1,MATCH(DNA_Test_1,Years_in_Stage1,0)))='Model_ of_individuals'!B60, _3_4_6, ""),"")</f>
        <v/>
      </c>
      <c r="D84" s="93" t="str">
        <f>IF(AND(C84&lt;&gt;"", 'Cost Inputs'!$G$83&lt;&gt;""), 'Cost Inputs'!$G$83, "")</f>
        <v/>
      </c>
      <c r="E84" s="93" t="str">
        <f>IF(AND(C84&lt;&gt;"", 'Cost Inputs'!$H$83&lt;&gt;""), 'Cost Inputs'!$H$83, "")</f>
        <v/>
      </c>
      <c r="F84" s="93" t="str">
        <f>IF(AND(C84&lt;&gt;"", 'Cost Inputs'!$I$83&lt;&gt;""), 'Cost Inputs'!$I$83, "")</f>
        <v/>
      </c>
      <c r="G84" s="93" t="str">
        <f t="shared" si="5"/>
        <v/>
      </c>
      <c r="H84" s="93" t="str">
        <f>IF(AND(C84&lt;&gt;"", 'Cost Inputs'!$J$83&lt;&gt;""), 'Cost Inputs'!$J$83, "")</f>
        <v/>
      </c>
      <c r="I84" s="93" t="str">
        <f t="shared" si="4"/>
        <v/>
      </c>
      <c r="J84" s="93" t="str">
        <f>IF(AND(C84&lt;&gt;"",('Cost Inputs'!$I$83+'Cost Inputs'!$J$83+'Cost Inputs'!$K$83)&gt;0), 'Cost Inputs'!$I$83+'Cost Inputs'!$J$83+'Cost Inputs'!$K$83, "")</f>
        <v/>
      </c>
      <c r="K84" s="93" t="str">
        <f>IF(AND(C84&lt;&gt;"", 'Cost Inputs'!$N$83&gt;0),'Cost Inputs'!$N$83,"")</f>
        <v/>
      </c>
      <c r="L84" s="93"/>
      <c r="M84" s="109"/>
      <c r="Q84" s="372" t="str">
        <f>IF($O$3="N.B.C.",
IF(ISNUMBER($B$60),
IF($C84&lt;&gt;"",
IF('Cost Inputs'!$L$83="Y",
IF(ISNUMBER($P$55), $E84+($E$78*(($E84/$E$78)+$P$55)), $E84),
IF('Cost Inputs'!$L$83="N",
IF(ISNUMBER('Cost Inputs'!$M$83),
IF(ISNUMBER($P$55), $E84+($E$78*(($E84/$E$78)+$P$55)), $E84),""),"")), ""),""),"")</f>
        <v/>
      </c>
      <c r="R84" s="372" t="str">
        <f>IF($P$3="N.B.C.",
IF(ISNUMBER($B$60),
IF($C84&lt;&gt;"",
IF('Cost Inputs'!$L$83="Y",
IF(ISNUMBER($Q$55), $E84+($E$78*(($E84/$E$78)+$Q$55)), $E84),
IF('Cost Inputs'!$L$83="N","","")), ""),""),"")</f>
        <v/>
      </c>
      <c r="S84" s="372" t="str">
        <f>IF($Q$3="N.B.C.",
IF(ISNUMBER($B$60),
IF($C84&lt;&gt;"",
IF('Cost Inputs'!$L$83="Y",
IF(ISNUMBER($R$55), $E84+($E$78*(($E84/$E$78)+$R$55)), $E84),
IF('Cost Inputs'!$L$83="N",
IF(AND(ISNUMBER('Cost Inputs'!$M$83), OR('Cost Inputs'!$M$83=1,'Cost Inputs'!$M$83=2)),
IF(ISNUMBER($R$55), $E84+($E$78*(($E84/$E$78)+$R$55)), $E84),""),"")), ""),""),"")</f>
        <v/>
      </c>
      <c r="T84" s="372" t="str">
        <f>IF($R$3="N.B.C.",
IF(ISNUMBER($B$60),
IF($C84&lt;&gt;"",
IF('Cost Inputs'!$L$83="Y",
IF(ISNUMBER($S$55), $E84+($E$78*(($E84/$E$78)+$S$55)), $E84),
IF('Cost Inputs'!$L$83="N",
IF(AND(ISNUMBER('Cost Inputs'!$M$83), OR('Cost Inputs'!$M$83=1,'Cost Inputs'!$M$83=3)),
IF(ISNUMBER($S$55), $E84+($E$78*(($E84/$E$78)+$S$55)), $E84),""),"")), ""),""),"")</f>
        <v/>
      </c>
      <c r="U84" s="372" t="str">
        <f>IF($S$3="N.B.C.",
IF(ISNUMBER($B$60),
IF($C84&lt;&gt;"",
IF('Cost Inputs'!$L$83="Y",
IF(ISNUMBER($T$55), $E84+($E$78*(($E84/$E$78)+$T$55)), $E84),
IF('Cost Inputs'!$L$83="N",
IF(AND(ISNUMBER('Cost Inputs'!$M$83), OR('Cost Inputs'!$M$83=1,'Cost Inputs'!$M$83=2,'Cost Inputs'!$M$83=4)),
IF(ISNUMBER($T$55), $E84+($E$78*(($E84/$E$78)+$T$55)), $E84),""),"")), ""),""),"")</f>
        <v/>
      </c>
      <c r="V84" s="372" t="str">
        <f>IF($T$3="N.B.C.",
IF(ISNUMBER($B$60),
IF($C84&lt;&gt;"",
IF('Cost Inputs'!$L$83="Y",
IF(ISNUMBER($U$55), $E84+($E$78*(($E84/$E$78)+$U$55)), $E84),
IF('Cost Inputs'!$L$83="N",
IF(AND(ISNUMBER('Cost Inputs'!$M$83), OR('Cost Inputs'!$M$83=1,'Cost Inputs'!$M$83=5)),
IF(ISNUMBER($U$55), $E84+($E$78*(($E84/$E$78)+$U$55)), $E84),""),"")), ""),""),"")</f>
        <v/>
      </c>
      <c r="W84" s="372" t="str">
        <f>IF($U$3="N.B.C.",
IF(ISNUMBER($B$60),
IF($C84&lt;&gt;"",
IF('Cost Inputs'!$L$83="Y",
IF(ISNUMBER($V$55), $E84+($E$78*(($E84/$E$78)+$V$55)), $E84),
IF('Cost Inputs'!$L$83="N",
IF(AND(ISNUMBER('Cost Inputs'!$M$83), OR('Cost Inputs'!$M$83=1,'Cost Inputs'!$M$83=2,'Cost Inputs'!$M$83=3,'Cost Inputs'!$M$83=6)),
IF(ISNUMBER($V$55), $E84+($E$78*(($E84/$E$78)+$V$55)), $E84),""),"")), ""),""),"")</f>
        <v/>
      </c>
      <c r="X84" s="372" t="str">
        <f>IF($V$3="N.B.C.",
IF(ISNUMBER($B$60),
IF($C84&lt;&gt;"",
IF('Cost Inputs'!$L$83="Y",
IF(ISNUMBER($W$55), $E84+($E$78*(($E84/$E$78)+$W$55)), $E84),
IF('Cost Inputs'!$L$83="N",
IF(AND(ISNUMBER('Cost Inputs'!$M$83), OR('Cost Inputs'!$M$83=1,'Cost Inputs'!$M$83=7)),
IF(ISNUMBER($W$55), $E84+($E$78*(($E84/$E$78)+$W$55)), $E84),""),"")), ""),""),"")</f>
        <v/>
      </c>
      <c r="Y84" s="372" t="str">
        <f>IF($W$3="N.B.C.",
IF(ISNUMBER($B$60),
IF($C84&lt;&gt;"",
IF('Cost Inputs'!$L$83="Y",
IF(ISNUMBER($X$55), $E84+($E$78*(($E84/$E$78)+$X$55)), $E84),
IF('Cost Inputs'!$L$83="N",
IF(AND(ISNUMBER('Cost Inputs'!$M$83), OR('Cost Inputs'!$M$83=1,'Cost Inputs'!$M$83=2,'Cost Inputs'!$M$83=4,'Cost Inputs'!$M$83=8)),
IF(ISNUMBER($X$55), $E84+($E$78*(($E84/$E$78)+$X$55)), $E84),""),"")), ""),""),"")</f>
        <v/>
      </c>
      <c r="Z84" s="372" t="str">
        <f>IF($X$3="N.B.C.",
IF(ISNUMBER($B$60),
IF($C84&lt;&gt;"",
IF('Cost Inputs'!$L$83="Y",
IF(ISNUMBER($Y$55), $E84+($E$78*(($E84/$E$78)+$Y$55)), $E84),
IF('Cost Inputs'!$L$83="N",
IF(AND(ISNUMBER('Cost Inputs'!$M$83), OR('Cost Inputs'!$M$83=1,'Cost Inputs'!$M$83=3,'Cost Inputs'!$M$83=9)),
IF(ISNUMBER($Y$55), $E84+($E$78*(($E84/$E$78)+$Y$55)), $E84),""),"")), ""),""),"")</f>
        <v/>
      </c>
    </row>
    <row r="85" spans="1:27" x14ac:dyDescent="0.25">
      <c r="A85" s="518"/>
      <c r="B85" s="504"/>
      <c r="C85" s="489" t="str">
        <f>IF('Model_ of_individuals'!C78&lt;&gt;"",
IF((INDEX(ProgramYearStage1,MATCH(DNA_Test_1,Years_in_Stage1,0)))='Model_ of_individuals'!B60, "Percentage decrease in marker culling",""),"")</f>
        <v/>
      </c>
      <c r="D85" s="490"/>
      <c r="E85" s="490"/>
      <c r="F85" s="490"/>
      <c r="G85" s="490"/>
      <c r="H85" s="490"/>
      <c r="I85" s="490"/>
      <c r="J85" s="490"/>
      <c r="K85" s="490"/>
      <c r="L85" s="490"/>
      <c r="M85" s="491"/>
      <c r="Q85" s="364" t="str">
        <f>IF($O$3="N.B.C.",
IF(ISNUMBER($B$60),
IF($C85&lt;&gt;"",
IF('Cost Inputs'!$L$84="Y",
IF(ISNUMBER($P$55), $E85+($E$78*(($E85/$E$78)+$P$55)), $E85),
IF('Cost Inputs'!$L$84="N",
IF(ISNUMBER('Cost Inputs'!$M$84),
IF(ISNUMBER($P$55), $E85+($E$78*(($E85/$E$78)+$P$55)), $E85),""),"")), ""),""),"")</f>
        <v/>
      </c>
      <c r="R85" s="364" t="str">
        <f>IF($P$3="N.B.C.",
IF(ISNUMBER($B$60),
IF($C85&lt;&gt;"",
IF('Cost Inputs'!$L$84="Y",
IF(ISNUMBER($Q$55), $E85+($E$78*(($E85/$E$78)+$Q$55)), $E85),
IF('Cost Inputs'!$L$84="N","","")), ""),""),"")</f>
        <v/>
      </c>
      <c r="S85" s="364" t="str">
        <f>IF($Q$3="N.B.C.",
IF(ISNUMBER($B$60),
IF($C85&lt;&gt;"",
IF('Cost Inputs'!$L$84="Y",
IF(ISNUMBER($R$55), $E85+($E$78*(($E85/$E$78)+$R$55)), $E85),
IF('Cost Inputs'!$L$84="N",
IF(AND(ISNUMBER('Cost Inputs'!$M$84), OR('Cost Inputs'!$M$84=1,'Cost Inputs'!$M$84=2)),
IF(ISNUMBER($R$55), $E85+($E$78*(($E85/$E$78)+$R$55)), $E85),""),"")), ""),""),"")</f>
        <v/>
      </c>
      <c r="T85" s="364" t="str">
        <f>IF($R$3="N.B.C.",
IF(ISNUMBER($B$60),
IF($C85&lt;&gt;"",
IF('Cost Inputs'!$L$84="Y",
IF(ISNUMBER($S$55), $E85+($E$78*(($E85/$E$78)+$S$55)), $E85),
IF('Cost Inputs'!$L$84="N",
IF(AND(ISNUMBER('Cost Inputs'!$M$84), OR('Cost Inputs'!$M$84=1,'Cost Inputs'!$M$84=3)),
IF(ISNUMBER($S$55), $E85+($E$78*(($E85/$E$78)+$S$55)), $E85),""),"")), ""),""),"")</f>
        <v/>
      </c>
      <c r="U85" s="364" t="str">
        <f>IF($S$3="N.B.C.",
IF(ISNUMBER($B$60),
IF($C85&lt;&gt;"",
IF('Cost Inputs'!$L$84="Y",
IF(ISNUMBER($T$55), $E85+($E$78*(($E85/$E$78)+$T$55)), $E85),
IF('Cost Inputs'!$L$84="N",
IF(AND(ISNUMBER('Cost Inputs'!$M$84), OR('Cost Inputs'!$M$84=1,'Cost Inputs'!$M$84=2,'Cost Inputs'!$M$84=4)),
IF(ISNUMBER($T$55), $E85+($E$78*(($E85/$E$78)+$T$55)), $E85),""),"")), ""),""),"")</f>
        <v/>
      </c>
      <c r="V85" s="364" t="str">
        <f>IF($T$3="N.B.C.",
IF(ISNUMBER($B$60),
IF($C85&lt;&gt;"",
IF('Cost Inputs'!$L$84="Y",
IF(ISNUMBER($U$55), $E85+($E$78*(($E85/$E$78)+$U$55)), $E85),
IF('Cost Inputs'!$L$84="N",
IF(AND(ISNUMBER('Cost Inputs'!$M$84), OR('Cost Inputs'!$M$84=1,'Cost Inputs'!$M$84=5)),
IF(ISNUMBER($U$55), $E85+($E$78*(($E85/$E$78)+$U$55)), $E85),""),"")), ""),""),"")</f>
        <v/>
      </c>
      <c r="W85" s="364" t="str">
        <f>IF($U$3="N.B.C.",
IF(ISNUMBER($B$60),
IF($C85&lt;&gt;"",
IF('Cost Inputs'!$L$84="Y",
IF(ISNUMBER($V$55), $E85+($E$78*(($E85/$E$78)+$V$55)), $E85),
IF('Cost Inputs'!$L$84="N",
IF(AND(ISNUMBER('Cost Inputs'!$M$84), OR('Cost Inputs'!$M$84=1,'Cost Inputs'!$M$84=2,'Cost Inputs'!$M$84=3,'Cost Inputs'!$M$84=6)),
IF(ISNUMBER($V$55), $E85+($E$78*(($E85/$E$78)+$V$55)), $E85),""),"")), ""),""),"")</f>
        <v/>
      </c>
      <c r="X85" s="364" t="str">
        <f>IF($V$3="N.B.C.",
IF(ISNUMBER($B$60),
IF($C85&lt;&gt;"",
IF('Cost Inputs'!$L$84="Y",
IF(ISNUMBER($W$55), $E85+($E$78*(($E85/$E$78)+$W$55)), $E85),
IF('Cost Inputs'!$L$84="N",
IF(AND(ISNUMBER('Cost Inputs'!$M$84), OR('Cost Inputs'!$M$84=1,'Cost Inputs'!$M$84=7)),
IF(ISNUMBER($W$55), $E85+($E$78*(($E85/$E$78)+$W$55)), $E85),""),"")), ""),""),"")</f>
        <v/>
      </c>
      <c r="Y85" s="364" t="str">
        <f>IF($W$3="N.B.C.",
IF(ISNUMBER($B$60),
IF($C85&lt;&gt;"",
IF('Cost Inputs'!$L$84="Y",
IF(ISNUMBER($X$55), $E85+($E$78*(($E85/$E$78)+$X$55)), $E85),
IF('Cost Inputs'!$L$84="N",
IF(AND(ISNUMBER('Cost Inputs'!$M$84), OR('Cost Inputs'!$M$84=1,'Cost Inputs'!$M$84=2,'Cost Inputs'!$M$84=4,'Cost Inputs'!$M$84=8)),
IF(ISNUMBER($X$55), $E85+($E$78*(($E85/$E$78)+$X$55)), $E85),""),"")), ""),""),"")</f>
        <v/>
      </c>
      <c r="Z85" s="364" t="str">
        <f>IF($X$3="N.B.C.",
IF(ISNUMBER($B$60),
IF($C85&lt;&gt;"",
IF('Cost Inputs'!$L$84="Y",
IF(ISNUMBER($Y$55), $E85+($E$78*(($E85/$E$78)+$Y$55)), $E85),
IF('Cost Inputs'!$L$84="N",
IF(AND(ISNUMBER('Cost Inputs'!$M$84), OR('Cost Inputs'!$M$84=1,'Cost Inputs'!$M$84=3,'Cost Inputs'!$M$84=9)),
IF(ISNUMBER($Y$55), $E85+($E$78*(($E85/$E$78)+$Y$55)), $E85),""),"")), ""),""),"")</f>
        <v/>
      </c>
    </row>
    <row r="86" spans="1:27" x14ac:dyDescent="0.25">
      <c r="A86" s="518"/>
      <c r="B86" s="504"/>
      <c r="C86" s="110" t="str">
        <f>IF(ISNUMBER(B60), _3_5_0,"")</f>
        <v/>
      </c>
      <c r="D86" s="94" t="str">
        <f>IF(AND(B60&lt;&gt;"", OR('Cost Inputs'!$H$84&lt;&gt;"", 'Cost Inputs'!$I$84&lt;&gt;"", 'Cost Inputs'!$J$84&lt;&gt;"")), 'Cost Inputs'!$G$84,"")</f>
        <v/>
      </c>
      <c r="E86" s="94" t="str">
        <f>IF(AND(C86&lt;&gt;"", 'Cost Inputs'!$H$84&lt;&gt;""), 'Cost Inputs'!$H$84, "")</f>
        <v/>
      </c>
      <c r="F86" s="94" t="str">
        <f>IF(AND(C86&lt;&gt;"", 'Cost Inputs'!$I$84&lt;&gt;""), 'Cost Inputs'!$I$84, "")</f>
        <v/>
      </c>
      <c r="G86" s="94" t="str">
        <f t="shared" si="5"/>
        <v/>
      </c>
      <c r="H86" s="94" t="str">
        <f>IF(AND(C86&lt;&gt;"", 'Cost Inputs'!$J$84&lt;&gt;""), 'Cost Inputs'!$J$84, "")</f>
        <v/>
      </c>
      <c r="I86" s="94" t="str">
        <f>IF(AND($E86&lt;&gt;"", $H86&lt;&gt;""), $H86/$E86, "")</f>
        <v/>
      </c>
      <c r="J86" s="94" t="str">
        <f>IF(AND(C86&lt;&gt;"",('Cost Inputs'!$I$84+'Cost Inputs'!$J$84+'Cost Inputs'!$K$84)&gt;0), 'Cost Inputs'!$I$84+'Cost Inputs'!$J$84+'Cost Inputs'!$K$84, "")</f>
        <v/>
      </c>
      <c r="K86" s="94" t="str">
        <f>IF(AND(C86&lt;&gt;"", 'Cost Inputs'!$N$84&gt;0),'Cost Inputs'!$N$84,"")</f>
        <v/>
      </c>
      <c r="L86" s="94"/>
      <c r="M86" s="129" t="str">
        <f>IF(ISNUMBER(B60), 'Breeding Inputs'!D77+'Breeding Inputs'!E77, "")</f>
        <v/>
      </c>
      <c r="Q86" s="373" t="str">
        <f>IF($O$3="N.B.C.",
IF(ISNUMBER($B$60),
IF('Cost Inputs'!$L$84="Y", $E$86*$M$86,
IF('Cost Inputs'!$L$84="N",
IF(ISNUMBER('Cost Inputs'!$M$84), $E$86*$M$86,""),"")), ""),"")</f>
        <v/>
      </c>
      <c r="R86" s="373" t="str">
        <f>IF($P$3="N.B.C.",
IF(ISNUMBER($B$60),
IF('Cost Inputs'!$L$84="Y", $E$86*$M$86,
IF('Cost Inputs'!$L$84="N",
IF(ISNUMBER('Cost Inputs'!$M$84), $E$86*$M$86,""),"")), ""),"")</f>
        <v/>
      </c>
      <c r="S86" s="373" t="str">
        <f>IF($Q$3="N.B.C.",
IF(ISNUMBER($B$60),
IF('Cost Inputs'!$L$84="Y", $E$86*$M$86,
IF('Cost Inputs'!$L$84="N",
IF(ISNUMBER('Cost Inputs'!$M$84), $E$86*$M$86,""),"")), ""),"")</f>
        <v/>
      </c>
      <c r="T86" s="373" t="str">
        <f>IF($R$3="N.B.C.",
IF(ISNUMBER($B$60),
IF('Cost Inputs'!$L$84="Y", $E$86*$M$86,
IF('Cost Inputs'!$L$84="N",
IF(ISNUMBER('Cost Inputs'!$M$84), $E$86*$M$86,""),"")), ""),"")</f>
        <v/>
      </c>
      <c r="U86" s="373" t="str">
        <f>IF($S$3="N.B.C.",
IF(ISNUMBER($B$60),
IF('Cost Inputs'!$L$84="Y", $E$86*$M$86,
IF('Cost Inputs'!$L$84="N",
IF(ISNUMBER('Cost Inputs'!$M$84), $E$86*$M$86,""),"")), ""),"")</f>
        <v/>
      </c>
      <c r="V86" s="373" t="str">
        <f>IF($T$3="N.B.C.",
IF(ISNUMBER($B$60),
IF('Cost Inputs'!$L$84="Y", $E$86*$M$86,
IF('Cost Inputs'!$L$84="N",
IF(ISNUMBER('Cost Inputs'!$M$84), $E$86*$M$86,""),"")), ""),"")</f>
        <v/>
      </c>
      <c r="W86" s="373" t="str">
        <f>IF($U$3="N.B.C.",
IF(ISNUMBER($B$60),
IF('Cost Inputs'!$L$84="Y", $E$86*$M$86,
IF('Cost Inputs'!$L$84="N",
IF(ISNUMBER('Cost Inputs'!$M$84), $E$86*$M$86,""),"")), ""),"")</f>
        <v/>
      </c>
      <c r="X86" s="373" t="str">
        <f>IF($V$3="N.B.C.",
IF(ISNUMBER($B$60),
IF('Cost Inputs'!$L$84="Y", $E$86*$M$86,
IF('Cost Inputs'!$L$84="N",
IF(ISNUMBER('Cost Inputs'!$M$84), $E$86*$M$86,""),"")), ""),"")</f>
        <v/>
      </c>
      <c r="Y86" s="373" t="str">
        <f>IF($W$3="N.B.C.",
IF(ISNUMBER($B$60),
IF('Cost Inputs'!$L$84="Y", $E$86*$M$86,
IF('Cost Inputs'!$L$84="N",
IF(ISNUMBER('Cost Inputs'!$M$84), $E$86*$M$86,""),"")), ""),"")</f>
        <v/>
      </c>
      <c r="Z86" s="373" t="str">
        <f>IF($X$3="N.B.C.",
IF(ISNUMBER($B$60),
IF('Cost Inputs'!$L$84="Y", $E$86*$M$86,
IF('Cost Inputs'!$L$84="N",
IF(ISNUMBER('Cost Inputs'!$M$84), $E$86*$M$86,""),"")), ""),"")</f>
        <v/>
      </c>
    </row>
    <row r="87" spans="1:27" x14ac:dyDescent="0.25">
      <c r="A87" s="518"/>
      <c r="B87" s="504"/>
      <c r="C87" s="104" t="str">
        <f>IF(AND(ISNUMBER(B60), OR('Cost Inputs'!$H$85&lt;&gt;"", 'Cost Inputs'!$I$85&lt;&gt;"", 'Cost Inputs'!$J$85&lt;&gt;"")), _3_5_1, "")</f>
        <v/>
      </c>
      <c r="D87" s="17" t="str">
        <f>IF(AND(C87&lt;&gt;"", 'Cost Inputs'!$G$85&lt;&gt;""), 'Cost Inputs'!$G$85, "")</f>
        <v/>
      </c>
      <c r="E87" s="17" t="str">
        <f>IF(AND(C87&lt;&gt;"", 'Cost Inputs'!$H$85&lt;&gt;""), 'Cost Inputs'!$H$85, "")</f>
        <v/>
      </c>
      <c r="F87" s="17" t="str">
        <f>IF(AND(C87&lt;&gt;"", 'Cost Inputs'!$I$85&lt;&gt;""), 'Cost Inputs'!$I$85, "")</f>
        <v/>
      </c>
      <c r="G87" s="17" t="str">
        <f t="shared" si="5"/>
        <v/>
      </c>
      <c r="H87" s="17" t="str">
        <f>IF(AND(C87&lt;&gt;"", 'Cost Inputs'!$J$85&lt;&gt;""), 'Cost Inputs'!$J$85, "")</f>
        <v/>
      </c>
      <c r="I87" s="17" t="str">
        <f t="shared" si="4"/>
        <v/>
      </c>
      <c r="J87" s="17" t="str">
        <f>IF(AND(C87&lt;&gt;"",('Cost Inputs'!$I$85+'Cost Inputs'!$J$85+'Cost Inputs'!$K$85)&gt;0), 'Cost Inputs'!$I$85+'Cost Inputs'!$J$85+'Cost Inputs'!$K$85, "")</f>
        <v/>
      </c>
      <c r="K87" s="17" t="str">
        <f>IF(AND(C87&lt;&gt;"", 'Cost Inputs'!$N$85&gt;0),'Cost Inputs'!$N$85,"")</f>
        <v/>
      </c>
      <c r="M87" s="106"/>
      <c r="Q87" s="364" t="str">
        <f>IF($O$3="N.B.C.", IF(ISNUMBER($B$60), IF('Cost Inputs'!$L$85="Y", $E$87, IF('Cost Inputs'!$L$85="N", IF(ISNUMBER('Cost Inputs'!$M$85), $E$87,""),"")), ""),"")</f>
        <v/>
      </c>
      <c r="R87" s="364" t="str">
        <f>IF($P$3="N.B.C.", IF(ISNUMBER($B$60), IF('Cost Inputs'!$L$85="Y", $E$87, IF('Cost Inputs'!$L$85="N", IF(ISNUMBER('Cost Inputs'!$M$85), $E$87,""),"")), ""),"")</f>
        <v/>
      </c>
      <c r="S87" s="364" t="str">
        <f>IF($Q$3="N.B.C.", IF(ISNUMBER($B$60), IF('Cost Inputs'!$L$85="Y", $E$87, IF('Cost Inputs'!$L$85="N", IF(ISNUMBER('Cost Inputs'!$M$85), $E$87,""),"")), ""),"")</f>
        <v/>
      </c>
      <c r="T87" s="364" t="str">
        <f>IF($R$3="N.B.C.", IF(ISNUMBER($B$60), IF('Cost Inputs'!$L$85="Y", $E$87, IF('Cost Inputs'!$L$85="N", IF(ISNUMBER('Cost Inputs'!$M$85), $E$87,""),"")), ""),"")</f>
        <v/>
      </c>
      <c r="U87" s="364" t="str">
        <f>IF($S$3="N.B.C.", IF(ISNUMBER($B$60), IF('Cost Inputs'!$L$85="Y", $E$87, IF('Cost Inputs'!$L$85="N", IF(ISNUMBER('Cost Inputs'!$M$85), $E$87,""),"")), ""),"")</f>
        <v/>
      </c>
      <c r="V87" s="364" t="str">
        <f>IF($T$3="N.B.C.", IF(ISNUMBER($B$60), IF('Cost Inputs'!$L$85="Y", $E$87, IF('Cost Inputs'!$L$85="N", IF(ISNUMBER('Cost Inputs'!$M$85), $E$87,""),"")), ""),"")</f>
        <v/>
      </c>
      <c r="W87" s="364" t="str">
        <f>IF($U$3="N.B.C.", IF(ISNUMBER($B$60), IF('Cost Inputs'!$L$85="Y", $E$87, IF('Cost Inputs'!$L$85="N", IF(ISNUMBER('Cost Inputs'!$M$85), $E$87,""),"")), ""),"")</f>
        <v/>
      </c>
      <c r="X87" s="364" t="str">
        <f>IF($V$3="N.B.C.", IF(ISNUMBER($B$60), IF('Cost Inputs'!$L$85="Y", $E$87, IF('Cost Inputs'!$L$85="N", IF(ISNUMBER('Cost Inputs'!$M$85), $E$87,""),"")), ""),"")</f>
        <v/>
      </c>
      <c r="Y87" s="364" t="str">
        <f>IF($W$3="N.B.C.", IF(ISNUMBER($B$60), IF('Cost Inputs'!$L$85="Y", $E$87, IF('Cost Inputs'!$L$85="N", IF(ISNUMBER('Cost Inputs'!$M$85), $E$87,""),"")), ""),"")</f>
        <v/>
      </c>
      <c r="Z87" s="364" t="str">
        <f>IF($X$3="N.B.C.", IF(ISNUMBER($B$60), IF('Cost Inputs'!$L$85="Y", $E$87, IF('Cost Inputs'!$L$85="N", IF(ISNUMBER('Cost Inputs'!$M$85), $E$87,""),"")), ""),"")</f>
        <v/>
      </c>
    </row>
    <row r="88" spans="1:27" ht="15.75" thickBot="1" x14ac:dyDescent="0.3">
      <c r="A88" s="518"/>
      <c r="B88" s="505"/>
      <c r="C88" s="111" t="str">
        <f>IF(AND(ISNUMBER(B60), OR('Cost Inputs'!$H$86&lt;&gt;"", 'Cost Inputs'!$I$86&lt;&gt;"", 'Cost Inputs'!$J$86&lt;&gt;"")), _3_5_2, "")</f>
        <v/>
      </c>
      <c r="D88" s="95" t="str">
        <f>IF(AND(C88&lt;&gt;"", 'Cost Inputs'!$G$86&lt;&gt;""), 'Cost Inputs'!$G$86, "")</f>
        <v/>
      </c>
      <c r="E88" s="95" t="str">
        <f>IF(AND(C88&lt;&gt;"", 'Cost Inputs'!$H$86&lt;&gt;""), 'Cost Inputs'!$H$86, "")</f>
        <v/>
      </c>
      <c r="F88" s="95" t="str">
        <f>IF(AND(C88&lt;&gt;"", 'Cost Inputs'!$I$86&lt;&gt;""), 'Cost Inputs'!$I$86, "")</f>
        <v/>
      </c>
      <c r="G88" s="95" t="str">
        <f t="shared" si="5"/>
        <v/>
      </c>
      <c r="H88" s="95" t="str">
        <f>IF(AND(C88&lt;&gt;"", 'Cost Inputs'!$J$86&lt;&gt;""), 'Cost Inputs'!$J$86, "")</f>
        <v/>
      </c>
      <c r="I88" s="95" t="str">
        <f t="shared" si="4"/>
        <v/>
      </c>
      <c r="J88" s="95" t="str">
        <f>IF(AND(C88&lt;&gt;"",('Cost Inputs'!$I$86+'Cost Inputs'!$J$86+'Cost Inputs'!$K$86)&gt;0), 'Cost Inputs'!$I$86+'Cost Inputs'!$J$86+'Cost Inputs'!$K$86, "")</f>
        <v/>
      </c>
      <c r="K88" s="95" t="str">
        <f>IF(AND(C88&lt;&gt;"", 'Cost Inputs'!$N$86&gt;0),'Cost Inputs'!$N$86,"")</f>
        <v/>
      </c>
      <c r="L88" s="95"/>
      <c r="M88" s="113"/>
      <c r="Q88" s="372" t="str">
        <f>IF($O$3="N.B.C.", IF(ISNUMBER($B$60), IF('Cost Inputs'!$L$86="Y", $E$88, IF('Cost Inputs'!$L$86="N", IF(ISNUMBER('Cost Inputs'!$M$86), $E$88,""),"")), ""),"")</f>
        <v/>
      </c>
      <c r="R88" s="372" t="str">
        <f>IF($P$3="N.B.C.", IF(ISNUMBER($B$60), IF('Cost Inputs'!$L$86="Y", $E$88, IF('Cost Inputs'!$L$86="N", IF(ISNUMBER('Cost Inputs'!$M$86), $E$88,""),"")), ""),"")</f>
        <v/>
      </c>
      <c r="S88" s="372" t="str">
        <f>IF($Q$3="N.B.C.", IF(ISNUMBER($B$60), IF('Cost Inputs'!$L$86="Y", $E$88, IF('Cost Inputs'!$L$86="N", IF(ISNUMBER('Cost Inputs'!$M$86), $E$88,""),"")), ""),"")</f>
        <v/>
      </c>
      <c r="T88" s="372" t="str">
        <f>IF($R$3="N.B.C.", IF(ISNUMBER($B$60), IF('Cost Inputs'!$L$86="Y", $E$88, IF('Cost Inputs'!$L$86="N", IF(ISNUMBER('Cost Inputs'!$M$86), $E$88,""),"")), ""),"")</f>
        <v/>
      </c>
      <c r="U88" s="372" t="str">
        <f>IF($S$3="N.B.C.", IF(ISNUMBER($B$60), IF('Cost Inputs'!$L$86="Y", $E$88, IF('Cost Inputs'!$L$86="N", IF(ISNUMBER('Cost Inputs'!$M$86), $E$88,""),"")), ""),"")</f>
        <v/>
      </c>
      <c r="V88" s="372" t="str">
        <f>IF($T$3="N.B.C.", IF(ISNUMBER($B$60), IF('Cost Inputs'!$L$86="Y", $E$88, IF('Cost Inputs'!$L$86="N", IF(ISNUMBER('Cost Inputs'!$M$86), $E$88,""),"")), ""),"")</f>
        <v/>
      </c>
      <c r="W88" s="372" t="str">
        <f>IF($U$3="N.B.C.", IF(ISNUMBER($B$60), IF('Cost Inputs'!$L$86="Y", $E$88, IF('Cost Inputs'!$L$86="N", IF(ISNUMBER('Cost Inputs'!$M$86), $E$88,""),"")), ""),"")</f>
        <v/>
      </c>
      <c r="X88" s="372" t="str">
        <f>IF($V$3="N.B.C.", IF(ISNUMBER($B$60), IF('Cost Inputs'!$L$86="Y", $E$88, IF('Cost Inputs'!$L$86="N", IF(ISNUMBER('Cost Inputs'!$M$86), $E$88,""),"")), ""),"")</f>
        <v/>
      </c>
      <c r="Y88" s="372" t="str">
        <f>IF($W$3="N.B.C.", IF(ISNUMBER($B$60), IF('Cost Inputs'!$L$86="Y", $E$88, IF('Cost Inputs'!$L$86="N", IF(ISNUMBER('Cost Inputs'!$M$86), $E$88,""),"")), ""),"")</f>
        <v/>
      </c>
      <c r="Z88" s="372" t="str">
        <f>IF($X$3="N.B.C.", IF(ISNUMBER($B$60), IF('Cost Inputs'!$L$86="Y", $E$88, IF('Cost Inputs'!$L$86="N", IF(ISNUMBER('Cost Inputs'!$M$86), $E$88,""),"")), ""),"")</f>
        <v/>
      </c>
    </row>
    <row r="89" spans="1:27" x14ac:dyDescent="0.25">
      <c r="A89" s="518" t="str">
        <f>Third_Stage</f>
        <v>Stage 1 Seedling Test Plots</v>
      </c>
      <c r="B89" s="503" t="str">
        <f>'Breeding Inputs'!B78</f>
        <v/>
      </c>
      <c r="C89" s="116" t="str">
        <f>IF(ISNUMBER(B89), _3_2_0, "")</f>
        <v/>
      </c>
      <c r="D89" s="92" t="str">
        <f>IF(AND(B89&lt;&gt;"", OR('Cost Inputs'!$H$67&lt;&gt;"", 'Cost Inputs'!$I$67&lt;&gt;"", 'Cost Inputs'!$J$67&lt;&gt;"")), 'Cost Inputs'!$G$67,"")</f>
        <v/>
      </c>
      <c r="E89" s="92" t="str">
        <f>IF(AND(C89&lt;&gt;"", 'Cost Inputs'!$H$67&lt;&gt;"", M$86&lt;&gt;"", M$86&gt;0), $E68-('Cost Inputs'!$H$67*M$86),
IF(AND(C89&lt;&gt;"", 'Cost Inputs'!$H$67&lt;&gt;""), $E68, ""))</f>
        <v/>
      </c>
      <c r="F89" s="92" t="str">
        <f>IF(AND(C89&lt;&gt;"", 'Cost Inputs'!$I$67&lt;&gt;""), 'Cost Inputs'!$I$67, "")</f>
        <v/>
      </c>
      <c r="G89" s="92" t="str">
        <f t="shared" si="5"/>
        <v/>
      </c>
      <c r="H89" s="92" t="str">
        <f>IF(AND(C89&lt;&gt;"", 'Cost Inputs'!$J$67&lt;&gt;""), 'Cost Inputs'!$J$67, "")</f>
        <v/>
      </c>
      <c r="I89" s="92" t="str">
        <f>IF(AND($E89&lt;&gt;"", $H89&lt;&gt;""), $H89/$E89, "")</f>
        <v/>
      </c>
      <c r="J89" s="92" t="str">
        <f>IF(AND(C89&lt;&gt;"",('Cost Inputs'!$I$67+'Cost Inputs'!$J$67+'Cost Inputs'!$K$67)&gt;0), 'Cost Inputs'!$I$67+'Cost Inputs'!$J$67+'Cost Inputs'!$K$67, "")</f>
        <v/>
      </c>
      <c r="K89" s="92" t="str">
        <f>IF(AND(C89&lt;&gt;"", 'Cost Inputs'!$N$67&gt;0),'Cost Inputs'!$N$67,"")</f>
        <v/>
      </c>
      <c r="L89" s="92"/>
      <c r="M89" s="101"/>
      <c r="R89" s="373" t="str">
        <f>IF($O$3="N.B.C.",
IF(ISNUMBER($B$89),
IF($C89&lt;&gt;"",
IF('Cost Inputs'!$L$67="Y",
IF(AND(ISNUMBER(P$56), P$56&gt;$E$60), $E89+($E$60*(($E89/$E$60)+$P$55)), $E89),
IF('Cost Inputs'!$L$67="N", "", "")), ""), ""), "")</f>
        <v/>
      </c>
      <c r="S89" s="373" t="str">
        <f>IF($P$3="N.B.C.",
IF(ISNUMBER($B$89),
IF($C89&lt;&gt;"",
IF('Cost Inputs'!$L$67="Y",
IF(AND(ISNUMBER(Q$56), Q$56&gt;$E$60), $E89+($E$60*(($E89/$E$60)+$Q$55)), $E89),
IF('Cost Inputs'!$L$67="N",
IF(AND(ISNUMBER('Cost Inputs'!$M$67), OR('Cost Inputs'!$M$67=1,'Cost Inputs'!$M$67=2)),
IF(AND(ISNUMBER(Q$56), Q$56&gt;$E$60), $E89+($E$60*(($E89/$E$60)+$Q$55)), $E89), ""),"")), ""), ""), "")</f>
        <v/>
      </c>
      <c r="T89" s="373" t="str">
        <f>IF($Q$3="N.B.C.",
IF(ISNUMBER($B$89),
IF($C89&lt;&gt;"",
IF('Cost Inputs'!$L$67="Y",
IF(AND(ISNUMBER(R$56), R$56&gt;$E$60), $E89+($E$60*(($E89/$E$60)+$R$55)), $E89),
IF('Cost Inputs'!$L$67="N",
IF(AND(ISNUMBER('Cost Inputs'!$M$67), OR('Cost Inputs'!$M$67=1,'Cost Inputs'!$M$67=3)),
IF(AND(ISNUMBER(R$56), R$56&gt;$E$60), $E89+($E$60*(($E89/$E$60)+$R$55)), $E89), ""),"")), ""), ""), "")</f>
        <v/>
      </c>
      <c r="U89" s="373" t="str">
        <f>IF($R$3="N.B.C.",
IF(ISNUMBER($B$89),
IF($C89&lt;&gt;"",
IF('Cost Inputs'!$L$67="Y",
IF(AND(ISNUMBER(S$56), S$56&gt;$E$60), $E89+($E$60*(($E89/$E$60)+$S$55)), $E89),
IF('Cost Inputs'!$L$67="N",
IF(AND(ISNUMBER('Cost Inputs'!$M$67), OR('Cost Inputs'!$M$67=1,'Cost Inputs'!$M$67=2, 'Cost Inputs'!$M$67=4)),
IF(AND(ISNUMBER(S$56), S$56&gt;$E$60), $E89+($E$60*(($E89/$E$60)+$S$55)), $E89), ""),"")), ""), ""), "")</f>
        <v/>
      </c>
      <c r="V89" s="373" t="str">
        <f>IF($S$3="N.B.C.",
IF(ISNUMBER($B$89),
IF($C89&lt;&gt;"",
IF('Cost Inputs'!$L$67="Y",
IF(AND(ISNUMBER(T$56), T$56&gt;$E$60), $E89+($E$60*(($E89/$E$60)+$T$55)), $E89),
IF('Cost Inputs'!$L$67="N",
IF(AND(ISNUMBER('Cost Inputs'!$M$67), OR('Cost Inputs'!$M$67=1,'Cost Inputs'!$M$67=5)),
IF(AND(ISNUMBER(T$56), T$56&gt;$E$60), $E89+($E$60*(($E89/$E$60)+$T$55)), $E89), ""),"")), ""), ""), "")</f>
        <v/>
      </c>
      <c r="W89" s="373" t="str">
        <f>IF($T$3="N.B.C.",
IF(ISNUMBER($B$89),
IF($C89&lt;&gt;"",
IF('Cost Inputs'!$L$67="Y",
IF(AND(ISNUMBER(U$56), U$56&gt;$E$60), $E89+($E$60*(($E89/$E$60)+$U$55)), $E89),
IF('Cost Inputs'!$L$67="N",
IF(AND(ISNUMBER('Cost Inputs'!$M$67), OR('Cost Inputs'!$M$67=1,'Cost Inputs'!$M$67=2, 'Cost Inputs'!$M$67=3,'Cost Inputs'!$M$67=6)),
IF(AND(ISNUMBER(U$56), U$56&gt;$E$60), $E89+($E$60*(($E89/$E$60)+$U$55)), $E89), ""),"")), ""), ""), "")</f>
        <v/>
      </c>
      <c r="X89" s="373" t="str">
        <f>IF($U$3="N.B.C.",
IF(ISNUMBER($B$89),
IF($C89&lt;&gt;"",
IF('Cost Inputs'!$L$67="Y",
IF(AND(ISNUMBER(V$56), V$56&gt;$E$60), $E89+($E$60*(($E89/$E$60)+$V$55)), $E89),
IF('Cost Inputs'!$L$67="N",
IF(AND(ISNUMBER('Cost Inputs'!$M$67), OR('Cost Inputs'!$M$67=1,'Cost Inputs'!$M$67=7)),
IF(AND(ISNUMBER(V$56), V$56&gt;$E$60), $E89+($E$60*(($E89/$E$60)+$V$55)), $E89), ""),"")), ""), ""), "")</f>
        <v/>
      </c>
      <c r="Y89" s="373" t="str">
        <f>IF($V$3="N.B.C.",
IF(ISNUMBER($B$89),
IF($C89&lt;&gt;"",
IF('Cost Inputs'!$L$67="Y",
IF(AND(ISNUMBER(W$56), W$56&gt;$E$60), $E89+($E$60*(($E89/$E$60)+$W$55)), $E89),
IF('Cost Inputs'!$L$67="N",
IF(AND(ISNUMBER('Cost Inputs'!$M$67), OR('Cost Inputs'!$M$67=1,'Cost Inputs'!$M$67=2,'Cost Inputs'!$M$67=4,'Cost Inputs'!$M$67=8)),
IF(AND(ISNUMBER(W$56), W$56&gt;$E$60), $E89+($E$60*(($E89/$E$60)+$W$55)), $E89), ""),"")), ""), ""), "")</f>
        <v/>
      </c>
      <c r="Z89" s="373" t="str">
        <f>IF($W$3="N.B.C.",
IF(ISNUMBER($B$89),
IF($C89&lt;&gt;"",
IF('Cost Inputs'!$L$67="Y",
IF(AND(ISNUMBER(X$56), X$56&gt;$E$60), $E89+($E$60*(($E89/$E$60)+$X$55)), $E89),
IF('Cost Inputs'!$L$67="N",
IF(AND(ISNUMBER('Cost Inputs'!$M$67), OR('Cost Inputs'!$M$67=1,'Cost Inputs'!$M$67=3, 'Cost Inputs'!$M$67=9)),
IF(AND(ISNUMBER(X$56), X$56&gt;$E$60), $E89+($E$60*(($E89/$E$60)+$X$55)), $E89), ""),"")), ""), ""), "")</f>
        <v/>
      </c>
      <c r="AA89" s="373" t="str">
        <f>IF($X$3="N.B.C.",
IF(ISNUMBER($B$89),
IF($C89&lt;&gt;"",
IF('Cost Inputs'!$L$67="Y",
IF(AND(ISNUMBER(Y$56), Y$56&gt;$E$60), $E89+($E$60*(($E89/$E$60)+$Y$55)), $E89),
IF('Cost Inputs'!$L$67="N",
IF(AND(ISNUMBER('Cost Inputs'!$M$67), OR('Cost Inputs'!$M$67=1,'Cost Inputs'!$M$67=2, 'Cost Inputs'!$M$67=5)),
IF(AND(ISNUMBER(Y$56), Y$56&gt;$E$60), $E89+($E$60*(($E89/$E$60)+$Y$55)), $E89), ""),"")), ""), ""), "")</f>
        <v/>
      </c>
    </row>
    <row r="90" spans="1:27" x14ac:dyDescent="0.25">
      <c r="A90" s="518"/>
      <c r="B90" s="504"/>
      <c r="C90" s="104" t="str">
        <f>IF(AND(ISNUMBER(B89), OR('Cost Inputs'!$H$68&lt;&gt;"", 'Cost Inputs'!$I$68&lt;&gt;"", 'Cost Inputs'!$J$68&lt;&gt;"")), _3_2_1, "")</f>
        <v/>
      </c>
      <c r="D90" s="17" t="str">
        <f>IF(AND($C90&lt;&gt;"", 'Cost Inputs'!$G$68&lt;&gt;""), 'Cost Inputs'!$G$68, "")</f>
        <v/>
      </c>
      <c r="E90" s="17" t="str">
        <f>IF(AND(C90&lt;&gt;"", 'Cost Inputs'!$H$68&lt;&gt;"", M$86&lt;&gt;"", M$86&gt;0), $E69-('Cost Inputs'!$H$68*M$86), IF(AND(C90&lt;&gt;"", 'Cost Inputs'!$H$68&lt;&gt;""), $E69, ""))</f>
        <v/>
      </c>
      <c r="F90" s="17" t="str">
        <f>IF(AND(C90&lt;&gt;"", 'Cost Inputs'!$I$68&lt;&gt;""), 'Cost Inputs'!$I$68, "")</f>
        <v/>
      </c>
      <c r="G90" s="17" t="str">
        <f t="shared" si="5"/>
        <v/>
      </c>
      <c r="H90" s="17" t="str">
        <f>IF(AND(C90&lt;&gt;"", 'Cost Inputs'!$J$68&lt;&gt;""), 'Cost Inputs'!$J$68, "")</f>
        <v/>
      </c>
      <c r="I90" s="17" t="str">
        <f t="shared" si="4"/>
        <v/>
      </c>
      <c r="J90" s="17" t="str">
        <f>IF(AND(C90&lt;&gt;"",('Cost Inputs'!$I$68+'Cost Inputs'!$J$68+'Cost Inputs'!$K$68)&gt;0), 'Cost Inputs'!$I$68+'Cost Inputs'!$J$68+'Cost Inputs'!$K$68, "")</f>
        <v/>
      </c>
      <c r="K90" s="17" t="str">
        <f>IF(AND(C90&lt;&gt;"", 'Cost Inputs'!$N$68&gt;0),'Cost Inputs'!$N$68,"")</f>
        <v/>
      </c>
      <c r="M90" s="106"/>
      <c r="R90" s="364" t="str">
        <f>IF($O$3="N.B.C.",
IF(ISNUMBER($B$89),
IF($C90&lt;&gt;"",
IF('Cost Inputs'!$L$68="Y",
IF(ISNUMBER($P$55), $E90+($E$89*(($E90/$E$89)+$P$55)), $E90),
IF('Cost Inputs'!$L$68="N","","")), ""),""),"")</f>
        <v/>
      </c>
      <c r="S90" s="364" t="str">
        <f>IF($P$3="N.B.C.",
IF(ISNUMBER($B$89),
IF($C90&lt;&gt;"",
IF('Cost Inputs'!$L$68="Y",
IF(ISNUMBER($Q$55), $E90+($E$89*(($E90/$E$89)+$Q$55)), $E90),
IF('Cost Inputs'!$L$68="N",
IF(AND(ISNUMBER('Cost Inputs'!$M$68), OR('Cost Inputs'!$M$68=1,'Cost Inputs'!$M$68=2)),
IF(ISNUMBER($Q$55), $E90+($E$89*(($E90/$E$89)+$Q$55)), $E90),""),"")), ""),""),"")</f>
        <v/>
      </c>
      <c r="T90" s="364" t="str">
        <f>IF($Q$3="N.B.C.",
IF(ISNUMBER($B$89),
IF($C90&lt;&gt;"",
IF('Cost Inputs'!$L$68="Y",
IF(ISNUMBER($R$55), $E90+($E$89*(($E90/$E$89)+$R$55)), $E90),
IF('Cost Inputs'!$L$68="N",
IF(AND(ISNUMBER('Cost Inputs'!$M$68), OR('Cost Inputs'!$M$68=1,'Cost Inputs'!$M$68=3)),
IF(ISNUMBER($R$55), $E90+($E$89*(($E90/$E$89)+$R$55)), $E90),""),"")), ""),""),"")</f>
        <v/>
      </c>
      <c r="U90" s="364" t="str">
        <f>IF($R$3="N.B.C.",
IF(ISNUMBER($B$89),
IF($C90&lt;&gt;"",
IF('Cost Inputs'!$L$68="Y",
IF(ISNUMBER($S$55), $E90+($E$89*(($E90/$E$89)+$S$55)), $E90),
IF('Cost Inputs'!$L$68="N",
IF(AND(ISNUMBER('Cost Inputs'!$M$68), 'Cost Inputs'!$M$68=1,'Cost Inputs'!$M$68=2,'Cost Inputs'!$M$68=4),
IF(ISNUMBER($S$55), $E90+($E$89*(($E90/$E$89)+$S$55)), $E90),""),"")), ""),""),"")</f>
        <v/>
      </c>
      <c r="V90" s="364" t="str">
        <f>IF($S$3="N.B.C.",
IF(ISNUMBER($B$89),
IF($C90&lt;&gt;"",
IF('Cost Inputs'!$L$68="Y",
IF(ISNUMBER($T$55), $E90+($E$89*(($E90/$E$89)+$T$55)), $E90),
IF('Cost Inputs'!$L$68="N",
IF(AND(ISNUMBER('Cost Inputs'!$M$68), 'Cost Inputs'!$M$68=1,'Cost Inputs'!$M$68=5),
IF(ISNUMBER($T$55), $E90+($E$89*(($E90/$E$89)+$T$55)), $E90),""),"")), ""),""),"")</f>
        <v/>
      </c>
      <c r="W90" s="364" t="str">
        <f>IF($T$3="N.B.C.",
IF(ISNUMBER($B$89),
IF($C90&lt;&gt;"",
IF('Cost Inputs'!$L$68="Y",
IF(ISNUMBER($U$55), $E90+($E$89*(($E90/$E$89)+$U$55)), $E90),
IF('Cost Inputs'!$L$68="N",
IF(AND(ISNUMBER('Cost Inputs'!$M$68), 'Cost Inputs'!$M$68=1,'Cost Inputs'!$M$68=2,'Cost Inputs'!$M$68=3,'Cost Inputs'!$M$68=6),
IF(ISNUMBER($U$55), $E90+($E$89*(($E90/$E$89)+$U$55)), $E90),""),"")), ""),""),"")</f>
        <v/>
      </c>
      <c r="X90" s="364" t="str">
        <f>IF($U$3="N.B.C.",
IF(ISNUMBER($B$89),
IF($C90&lt;&gt;"",
IF('Cost Inputs'!$L$68="Y",
IF(ISNUMBER($V$55), $E90+($E$89*(($E90/$E$89)+$V$55)), $E90),
IF('Cost Inputs'!$L$68="N",
IF(AND(ISNUMBER('Cost Inputs'!$M$68), 'Cost Inputs'!$M$68=1,'Cost Inputs'!$M$68=7),
IF(ISNUMBER($V$55), $E90+($E$89*(($E90/$E$89)+$V$55)), $E90),""),"")), ""),""),"")</f>
        <v/>
      </c>
      <c r="Y90" s="364" t="str">
        <f>IF($V$3="N.B.C.",
IF(ISNUMBER($B$89),
IF($C90&lt;&gt;"",
IF('Cost Inputs'!$L$68="Y",
IF(ISNUMBER($W$55), $E90+($E$89*(($E90/$E$89)+$W$55)), $E90),
IF('Cost Inputs'!$L$68="N",
IF(AND(ISNUMBER('Cost Inputs'!$M$68), 'Cost Inputs'!$M$68=1,'Cost Inputs'!$M$68=2,'Cost Inputs'!$M$68=4,'Cost Inputs'!$M$68=8),
IF(ISNUMBER($W$55), $E90+($E$89*(($E90/$E$89)+$W$55)), $E90),""),"")), ""),""),"")</f>
        <v/>
      </c>
      <c r="Z90" s="364" t="str">
        <f>IF($W$3="N.B.C.",
IF(ISNUMBER($B$89),
IF($C90&lt;&gt;"",
IF('Cost Inputs'!$L$68="Y",
IF(ISNUMBER($X$55), $E90+($E$89*(($E90/$E$89)+$X$55)), $E90),
IF('Cost Inputs'!$L$68="N",
IF(AND(ISNUMBER('Cost Inputs'!$M$68), 'Cost Inputs'!$M$68=1,'Cost Inputs'!$M$68=3,'Cost Inputs'!$M$68=9),
IF(ISNUMBER($X$55), $E90+($E$89*(($E90/$E$89)+$X$55)), $E90),""),"")), ""),""),"")</f>
        <v/>
      </c>
      <c r="AA90" s="364" t="str">
        <f>IF($X$3="N.B.C.",
IF(ISNUMBER($B$89),
IF($C90&lt;&gt;"",
IF('Cost Inputs'!$L$68="Y",
IF(ISNUMBER($Y$55), $E90+($E$89*(($E90/$E$89)+$Y$55)), $E90),
IF('Cost Inputs'!$L$68="N",
IF(AND(ISNUMBER('Cost Inputs'!$M$68), OR('Cost Inputs'!$M$68=1,'Cost Inputs'!$M$68=2,'Cost Inputs'!$M$68=5)),
IF(ISNUMBER($Y$55), $E90+($E$89*(($E90/$E$89)+$Y$55)), $E90),""),"")), ""),""),"")</f>
        <v/>
      </c>
    </row>
    <row r="91" spans="1:27" x14ac:dyDescent="0.25">
      <c r="A91" s="518"/>
      <c r="B91" s="504"/>
      <c r="C91" s="107" t="str">
        <f>IF(AND(ISNUMBER(B89), OR('Cost Inputs'!$H$69&lt;&gt;"", 'Cost Inputs'!$I$69&lt;&gt;"", 'Cost Inputs'!$J$69&lt;&gt;"")), _3_2_2, "")</f>
        <v/>
      </c>
      <c r="D91" s="93" t="str">
        <f>IF(AND($C91&lt;&gt;"", 'Cost Inputs'!$G$69&lt;&gt;""), 'Cost Inputs'!$G$69, "")</f>
        <v/>
      </c>
      <c r="E91" s="93" t="str">
        <f>IF(AND(C91&lt;&gt;"", 'Cost Inputs'!$H$69&lt;&gt;"", M$86&lt;&gt;"", M$86&gt;0), $E70-('Cost Inputs'!$H$69*M$86), IF(AND(C91&lt;&gt;"", 'Cost Inputs'!$H$69&lt;&gt;""), $E70, ""))</f>
        <v/>
      </c>
      <c r="F91" s="93" t="str">
        <f>IF(AND(C91&lt;&gt;"", 'Cost Inputs'!$I$69&lt;&gt;""), 'Cost Inputs'!$I$69, "")</f>
        <v/>
      </c>
      <c r="G91" s="93" t="str">
        <f t="shared" si="5"/>
        <v/>
      </c>
      <c r="H91" s="93" t="str">
        <f>IF(AND(C91&lt;&gt;"", 'Cost Inputs'!$J$69&lt;&gt;""), 'Cost Inputs'!$J$69, "")</f>
        <v/>
      </c>
      <c r="I91" s="93" t="str">
        <f t="shared" si="4"/>
        <v/>
      </c>
      <c r="J91" s="93" t="str">
        <f>IF(AND(C91&lt;&gt;"",('Cost Inputs'!$I$69+'Cost Inputs'!$J$69+'Cost Inputs'!$K$69)&gt;0), 'Cost Inputs'!$I$69+'Cost Inputs'!$J$69+'Cost Inputs'!$K$69, "")</f>
        <v/>
      </c>
      <c r="K91" s="93" t="str">
        <f>IF(AND(C91&lt;&gt;"", 'Cost Inputs'!$N$69&gt;0),'Cost Inputs'!$N$69,"")</f>
        <v/>
      </c>
      <c r="L91" s="93"/>
      <c r="M91" s="109"/>
      <c r="R91" s="372" t="str">
        <f>IF($O$3="N.B.C.",
IF(ISNUMBER($B$89),
IF($C91&lt;&gt;"",
IF('Cost Inputs'!$L$69="Y",
IF(ISNUMBER($P$55), $E91+($E$89*(($E91/$E$89)+$P$55)), $E91),
IF('Cost Inputs'!$L$69="N","","")), ""),""),"")</f>
        <v/>
      </c>
      <c r="S91" s="372" t="str">
        <f>IF($P$3="N.B.C.",
IF(ISNUMBER($B$89),
IF($C91&lt;&gt;"",
IF('Cost Inputs'!$L$69="Y",
IF(ISNUMBER($Q$55), $E91+($E$89*(($E91/$E$89)+$Q$55)), $E91),
IF('Cost Inputs'!$L$69="N",
IF(AND(ISNUMBER('Cost Inputs'!$M$69), OR('Cost Inputs'!$M$69=1,'Cost Inputs'!$M$69=2)),
IF(ISNUMBER($Q$55), $E91+($E$89*(($E91/$E$89)+$Q$55)), $E91),""),"")), ""),""),"")</f>
        <v/>
      </c>
      <c r="T91" s="372" t="str">
        <f>IF($Q$3="N.B.C.",
IF(ISNUMBER($B$89),
IF($C91&lt;&gt;"",
IF('Cost Inputs'!$L$69="Y",
IF(ISNUMBER($R$55), $E91+($E$89*(($E91/$E$89)+$R$55)), $E91),
IF('Cost Inputs'!$L$69="N",
IF(AND(ISNUMBER('Cost Inputs'!$M$69), OR('Cost Inputs'!$M$69=1,'Cost Inputs'!$M$69=3)),
IF(ISNUMBER($R$55), $E91+($E$89*(($E91/$E$89)+$R$55)), $E91),""),"")), ""),""),"")</f>
        <v/>
      </c>
      <c r="U91" s="372" t="str">
        <f>IF($R$3="N.B.C.",
IF(ISNUMBER($B$89),
IF($C91&lt;&gt;"",
IF('Cost Inputs'!$L$69="Y",
IF(ISNUMBER($S$55), $E91+($E$89*(($E91/$E$89)+$S$55)), $E91),
IF('Cost Inputs'!$L$69="N",
IF(AND(ISNUMBER('Cost Inputs'!$M$69), OR('Cost Inputs'!$M$69=1,'Cost Inputs'!$M$69=2,'Cost Inputs'!$M$69=4)),
IF(ISNUMBER($S$55), $E91+($E$89*(($E91/$E$89)+$S$55)), $E91),""),"")), ""),""),"")</f>
        <v/>
      </c>
      <c r="V91" s="372" t="str">
        <f>IF($S$3="N.B.C.",
IF(ISNUMBER($B$89),
IF($C91&lt;&gt;"",
IF('Cost Inputs'!$L$69="Y",
IF(ISNUMBER($T$55), $E91+($E$89*(($E91/$E$89)+$T$55)), $E91),
IF('Cost Inputs'!$L$69="N",
IF(AND(ISNUMBER('Cost Inputs'!$M$69), OR('Cost Inputs'!$M$69=1,'Cost Inputs'!$M$69=5)),
IF(ISNUMBER($T$55), $E91+($E$89*(($E91/$E$89)+$T$55)), $E91),""),"")), ""),""),"")</f>
        <v/>
      </c>
      <c r="W91" s="372" t="str">
        <f>IF($T$3="N.B.C.",
IF(ISNUMBER($B$89),
IF($C91&lt;&gt;"",
IF('Cost Inputs'!$L$69="Y",
IF(ISNUMBER($U$55), $E91+($E$89*(($E91/$E$89)+$U$55)), $E91),
IF('Cost Inputs'!$L$69="N",
IF(AND(ISNUMBER('Cost Inputs'!$M$69), OR('Cost Inputs'!$M$69=1,'Cost Inputs'!$M$69=2,'Cost Inputs'!$M$69=3,'Cost Inputs'!$M$69=6)),
IF(ISNUMBER($U$55), $E91+($E$89*(($E91/$E$89)+$U$55)), $E91),""),"")), ""),""),"")</f>
        <v/>
      </c>
      <c r="X91" s="372" t="str">
        <f>IF($U$3="N.B.C.",
IF(ISNUMBER($B$89),
IF($C91&lt;&gt;"",
IF('Cost Inputs'!$L$69="Y",
IF(ISNUMBER($V$55), $E91+($E$89*(($E91/$E$89)+$V$55)), $E91),
IF('Cost Inputs'!$L$69="N",
IF(AND(ISNUMBER('Cost Inputs'!$M$69), OR('Cost Inputs'!$M$69=1,'Cost Inputs'!$M$69=7)),
IF(ISNUMBER($V$55), $E91+($E$89*(($E91/$E$89)+$V$55)), $E91),""),"")), ""),""),"")</f>
        <v/>
      </c>
      <c r="Y91" s="372" t="str">
        <f>IF($V$3="N.B.C.",
IF(ISNUMBER($B$89),
IF($C91&lt;&gt;"",
IF('Cost Inputs'!$L$69="Y",
IF(ISNUMBER($W$55), $E91+($E$89*(($E91/$E$89)+$W$55)), $E91),
IF('Cost Inputs'!$L$69="N",
IF(AND(ISNUMBER('Cost Inputs'!$M$69), OR('Cost Inputs'!$M$69=1,'Cost Inputs'!$M$69=2,'Cost Inputs'!$M$69=4,'Cost Inputs'!$M$69=8)),
IF(ISNUMBER($W$55), $E91+($E$89*(($E91/$E$89)+$W$55)), $E91),""),"")), ""),""),"")</f>
        <v/>
      </c>
      <c r="Z91" s="372" t="str">
        <f>IF($W$3="N.B.C.",
IF(ISNUMBER($B$89),
IF($C91&lt;&gt;"",
IF('Cost Inputs'!$L$69="Y",
IF(ISNUMBER($X$55), $E91+($E$89*(($E91/$E$89)+$X$55)), $E91),
IF('Cost Inputs'!$L$69="N",
IF(AND(ISNUMBER('Cost Inputs'!$M$69), OR('Cost Inputs'!$M$69=1,'Cost Inputs'!$M$69=3,'Cost Inputs'!$M$69=9)),
IF(ISNUMBER($X$55), $E91+($E$89*(($E91/$E$89)+$X$55)), $E91),""),"")), ""),""),"")</f>
        <v/>
      </c>
      <c r="AA91" s="372" t="str">
        <f>IF($X$3="N.B.C.",
IF(ISNUMBER($B$89),
IF($C91&lt;&gt;"",
IF('Cost Inputs'!$L$69="Y",
IF(ISNUMBER($Y$55), $E91+($E$89*(($E91/$E$89)+$Y$55)), $E91),
IF('Cost Inputs'!$L$69="N",
IF(AND(ISNUMBER('Cost Inputs'!$M$69), OR('Cost Inputs'!$M$69=1,'Cost Inputs'!$M$69=2,'Cost Inputs'!$M$69=5)),
IF(ISNUMBER($Y$55), $E91+($E$89*(($E91/$E$89)+$Y$55)), $E91),""),"")), ""),""),"")</f>
        <v/>
      </c>
    </row>
    <row r="92" spans="1:27" x14ac:dyDescent="0.25">
      <c r="A92" s="518"/>
      <c r="B92" s="504"/>
      <c r="C92" s="104" t="str">
        <f>IF(AND( ISNUMBER(B89), OR('Cost Inputs'!$H$70&lt;&gt;"", 'Cost Inputs'!$I$70&lt;&gt;"", 'Cost Inputs'!$J$70&lt;&gt;"")), _3_2_3, "")</f>
        <v/>
      </c>
      <c r="D92" s="17" t="str">
        <f>IF(AND($C92&lt;&gt;"", 'Cost Inputs'!$G$70&lt;&gt;""), 'Cost Inputs'!$G$70, "")</f>
        <v/>
      </c>
      <c r="E92" s="17" t="str">
        <f>IF(AND(C92&lt;&gt;"", 'Cost Inputs'!$H$70&lt;&gt;"", M$86&lt;&gt;"", M$86&gt;0), $E71-('Cost Inputs'!$H$70*M$86), IF(AND(C92&lt;&gt;"", 'Cost Inputs'!$H$70&lt;&gt;""), $E71, ""))</f>
        <v/>
      </c>
      <c r="F92" s="17" t="str">
        <f>IF(AND(C92&lt;&gt;"", 'Cost Inputs'!$I$70&lt;&gt;""), 'Cost Inputs'!$I$70, "")</f>
        <v/>
      </c>
      <c r="G92" s="17" t="str">
        <f t="shared" si="5"/>
        <v/>
      </c>
      <c r="H92" s="17" t="str">
        <f>IF(AND(C92&lt;&gt;"", 'Cost Inputs'!$J$70&lt;&gt;""), 'Cost Inputs'!$J$70, "")</f>
        <v/>
      </c>
      <c r="I92" s="17" t="str">
        <f t="shared" si="4"/>
        <v/>
      </c>
      <c r="J92" s="17" t="str">
        <f>IF(AND(C92&lt;&gt;"",('Cost Inputs'!$I$70+'Cost Inputs'!$J$70+'Cost Inputs'!$K$70)&gt;0), 'Cost Inputs'!$I$70+'Cost Inputs'!$J$70+'Cost Inputs'!$K$70, "")</f>
        <v/>
      </c>
      <c r="K92" s="17" t="str">
        <f>IF(AND(C92&lt;&gt;"", 'Cost Inputs'!$N$70&gt;0),'Cost Inputs'!$N$70,"")</f>
        <v/>
      </c>
      <c r="M92" s="106"/>
      <c r="R92" s="364" t="str">
        <f>IF($O$3="N.B.C.",
IF(ISNUMBER($B$89),
IF($C92&lt;&gt;"",
IF('Cost Inputs'!$L$70="Y",
IF(ISNUMBER($P$55), $E92+($E$89*(($E92/$E$89)+$P$55)), $E92),
IF('Cost Inputs'!$L$70="N","","")), ""),""),"")</f>
        <v/>
      </c>
      <c r="S92" s="364" t="str">
        <f>IF($P$3="N.B.C.",
IF(ISNUMBER($B$89),
IF($C92&lt;&gt;"",
IF('Cost Inputs'!$L$70="Y",
IF(ISNUMBER($Q$55), $E92+($E$89*(($E92/$E$89)+$Q$55)), $E92),
IF('Cost Inputs'!$L$70="N",
IF(AND(ISNUMBER('Cost Inputs'!$M$70), OR('Cost Inputs'!$M$70=1,'Cost Inputs'!$M$70=2)),
IF(ISNUMBER($Q$55), $E92+($E$89*(($E92/$E$89)+$Q$55)), $E92),""),"")), ""),""),"")</f>
        <v/>
      </c>
      <c r="T92" s="364" t="str">
        <f>IF($Q$3="N.B.C.",
IF(ISNUMBER($B$89),
IF($C92&lt;&gt;"",
IF('Cost Inputs'!$L$70="Y",
IF(ISNUMBER($R$55), $E92+($E$89*(($E92/$E$89)+$R$55)), $E92),
IF('Cost Inputs'!$L$70="N",
IF(AND(ISNUMBER('Cost Inputs'!$M$70), OR('Cost Inputs'!$M$70=1,'Cost Inputs'!$M$70=3)),
IF(ISNUMBER($R$55), $E92+($E$89*(($E92/$E$89)+$R$55)), $E92),""),"")), ""),""),"")</f>
        <v/>
      </c>
      <c r="U92" s="364" t="str">
        <f>IF($R$3="N.B.C.",
IF(ISNUMBER($B$89),
IF($C92&lt;&gt;"",
IF('Cost Inputs'!$L$70="Y",
IF(ISNUMBER($S$55), $E92+($E$89*(($E92/$E$89)+$S$55)), $E92),
IF('Cost Inputs'!$L$70="N",
IF(AND(ISNUMBER('Cost Inputs'!$M$70), OR('Cost Inputs'!$M$70=1,'Cost Inputs'!$M$70=2,'Cost Inputs'!$M$70=4)),
IF(ISNUMBER($S$55), $E92+($E$89*(($E92/$E$89)+$S$55)), $E92),""),"")), ""),""),"")</f>
        <v/>
      </c>
      <c r="V92" s="364" t="str">
        <f>IF($S$3="N.B.C.",
IF(ISNUMBER($B$89),
IF($C92&lt;&gt;"",
IF('Cost Inputs'!$L$70="Y",
IF(ISNUMBER($T$55), $E92+($E$89*(($E92/$E$89)+$T$55)), $E92),
IF('Cost Inputs'!$L$70="N",
IF(AND(ISNUMBER('Cost Inputs'!$M$70), OR('Cost Inputs'!$M$70=1,'Cost Inputs'!$M$70=5)),
IF(ISNUMBER($T$55), $E92+($E$89*(($E92/$E$89)+$T$55)), $E92),""),"")), ""),""),"")</f>
        <v/>
      </c>
      <c r="W92" s="364" t="str">
        <f>IF($T$3="N.B.C.",
IF(ISNUMBER($B$89),
IF($C92&lt;&gt;"",
IF('Cost Inputs'!$L$70="Y",
IF(ISNUMBER($U$55), $E92+($E$89*(($E92/$E$89)+$U$55)), $E92),
IF('Cost Inputs'!$L$70="N",
IF(AND(ISNUMBER('Cost Inputs'!$M$70), OR('Cost Inputs'!$M$70=1,'Cost Inputs'!$M$70=2,'Cost Inputs'!$M$70=3,'Cost Inputs'!$M$70=6)),
IF(ISNUMBER($U$55), $E92+($E$89*(($E92/$E$89)+$U$55)), $E92),""),"")), ""),""),"")</f>
        <v/>
      </c>
      <c r="X92" s="364" t="str">
        <f>IF($U$3="N.B.C.",
IF(ISNUMBER($B$89),
IF($C92&lt;&gt;"",
IF('Cost Inputs'!$L$70="Y",
IF(ISNUMBER($V$55), $E92+($E$89*(($E92/$E$89)+$V$55)), $E92),
IF('Cost Inputs'!$L$70="N",
IF(AND(ISNUMBER('Cost Inputs'!$M$70), OR('Cost Inputs'!$M$70=1,'Cost Inputs'!$M$70=7)),
IF(ISNUMBER($V$55), $E92+($E$89*(($E92/$E$89)+$V$55)), $E92),""),"")), ""),""),"")</f>
        <v/>
      </c>
      <c r="Y92" s="364" t="str">
        <f>IF($V$3="N.B.C.",
IF(ISNUMBER($B$89),
IF($C92&lt;&gt;"",
IF('Cost Inputs'!$L$70="Y",
IF(ISNUMBER($W$55), $E92+($E$89*(($E92/$E$89)+$W$55)), $E92),
IF('Cost Inputs'!$L$70="N",
IF(AND(ISNUMBER('Cost Inputs'!$M$70), OR('Cost Inputs'!$M$70=1,'Cost Inputs'!$M$70=2,'Cost Inputs'!$M$70=4,'Cost Inputs'!$M$70=8)),
IF(ISNUMBER($W$55), $E92+($E$89*(($E92/$E$89)+$W$55)), $E92),""),"")), ""),""),"")</f>
        <v/>
      </c>
      <c r="Z92" s="364" t="str">
        <f>IF($W$3="N.B.C.",
IF(ISNUMBER($B$89),
IF($C92&lt;&gt;"",
IF('Cost Inputs'!$L$70="Y",
IF(ISNUMBER($X$55), $E92+($E$89*(($E92/$E$89)+$X$55)), $E92),
IF('Cost Inputs'!$L$70="N",
IF(AND(ISNUMBER('Cost Inputs'!$M$70), OR('Cost Inputs'!$M$70=1,'Cost Inputs'!$M$70=3,'Cost Inputs'!$M$70=9)),
IF(ISNUMBER($X$55), $E92+($E$89*(($E92/$E$89)+$X$55)), $E92),""),"")), ""),""),"")</f>
        <v/>
      </c>
      <c r="AA92" s="364" t="str">
        <f>IF($X$3="N.B.C.",
IF(ISNUMBER($B$89),
IF($C92&lt;&gt;"",
IF('Cost Inputs'!$L$70="Y",
IF(ISNUMBER($Y$55), $E92+($E$89*(($E92/$E$89)+$Y$55)), $E92),
IF('Cost Inputs'!$L$70="N",
IF(AND(ISNUMBER('Cost Inputs'!$M$70), OR('Cost Inputs'!$M$70=1,'Cost Inputs'!$M$70=2,'Cost Inputs'!$M$70=5)),
IF(ISNUMBER($Y$55), $E92+($E$89*(($E92/$E$89)+$Y$55)), $E92),""),"")), ""),""),"")</f>
        <v/>
      </c>
    </row>
    <row r="93" spans="1:27" x14ac:dyDescent="0.25">
      <c r="A93" s="518"/>
      <c r="B93" s="504"/>
      <c r="C93" s="107" t="str">
        <f>IF(AND( ISNUMBER(B89), OR('Cost Inputs'!$H$71&lt;&gt;"", 'Cost Inputs'!$I$71&lt;&gt;"", 'Cost Inputs'!$J$71&lt;&gt;"")), _3_2_4, "")</f>
        <v/>
      </c>
      <c r="D93" s="93" t="str">
        <f>IF(AND($C93&lt;&gt;"", 'Cost Inputs'!$G$71&lt;&gt;""), 'Cost Inputs'!$G$71, "")</f>
        <v/>
      </c>
      <c r="E93" s="93" t="str">
        <f>IF(AND(C93&lt;&gt;"", 'Cost Inputs'!$H$71&lt;&gt;"", M$86&lt;&gt;"", M$86&gt;0), $E72-('Cost Inputs'!$H$71*M$86), IF(AND(C93&lt;&gt;"", 'Cost Inputs'!$H$71&lt;&gt;""), $E72, ""))</f>
        <v/>
      </c>
      <c r="F93" s="93" t="str">
        <f>IF(AND(C93&lt;&gt;"", 'Cost Inputs'!$I$71&lt;&gt;""), 'Cost Inputs'!$I$71, "")</f>
        <v/>
      </c>
      <c r="G93" s="93" t="str">
        <f t="shared" si="5"/>
        <v/>
      </c>
      <c r="H93" s="93" t="str">
        <f>IF(AND(C93&lt;&gt;"", 'Cost Inputs'!$J$71&lt;&gt;""), 'Cost Inputs'!$J$71, "")</f>
        <v/>
      </c>
      <c r="I93" s="93" t="str">
        <f t="shared" si="4"/>
        <v/>
      </c>
      <c r="J93" s="93" t="str">
        <f>IF(AND(C93&lt;&gt;"",('Cost Inputs'!$I$71+'Cost Inputs'!$J$71+'Cost Inputs'!$K$71)&gt;0), 'Cost Inputs'!$I$71+'Cost Inputs'!$J$71+'Cost Inputs'!$K$71, "")</f>
        <v/>
      </c>
      <c r="K93" s="93" t="str">
        <f>IF(AND(C93&lt;&gt;"", 'Cost Inputs'!$N$71&gt;0),'Cost Inputs'!$N$71,"")</f>
        <v/>
      </c>
      <c r="L93" s="93"/>
      <c r="M93" s="109"/>
      <c r="R93" s="372" t="str">
        <f>IF($O$3="N.B.C.",
IF(ISNUMBER($B$89),
IF($C93&lt;&gt;"",
IF('Cost Inputs'!$L$71="Y",
IF(ISNUMBER($P$55), $E93+($E$89*(($E93/$E$89)+$P$55)), $E93),
IF('Cost Inputs'!$L$71="N","","")), ""),""),"")</f>
        <v/>
      </c>
      <c r="S93" s="372" t="str">
        <f>IF($P$3="N.B.C.",
IF(ISNUMBER($B$89),
IF($C93&lt;&gt;"",
IF('Cost Inputs'!$L$71="Y",
IF(ISNUMBER($Q$55), $E93+($E$89*(($E93/$E$89)+$Q$55)), $E93),
IF('Cost Inputs'!$L$71="N",
IF(AND(ISNUMBER('Cost Inputs'!$M$71), OR('Cost Inputs'!$M$71=1,'Cost Inputs'!$M$71=2)),
IF(ISNUMBER($Q$55), $E93+($E$89*(($E93/$E$89)+$Q$55)), $E93),""),"")), ""),""),"")</f>
        <v/>
      </c>
      <c r="T93" s="372" t="str">
        <f>IF($Q$3="N.B.C.",
IF(ISNUMBER($B$89),
IF($C93&lt;&gt;"",
IF('Cost Inputs'!$L$71="Y",
IF(ISNUMBER($R$55), $E93+($E$89*(($E93/$E$89)+$R$55)), $E93),
IF('Cost Inputs'!$L$71="N",
IF(AND(ISNUMBER('Cost Inputs'!$M$71), OR('Cost Inputs'!$M$71=1,'Cost Inputs'!$M$71=3)),
IF(ISNUMBER($R$55), $E93+($E$89*(($E93/$E$89)+$R$55)), $E93),""),"")), ""),""),"")</f>
        <v/>
      </c>
      <c r="U93" s="372" t="str">
        <f>IF($R$3="N.B.C.",
IF(ISNUMBER($B$89),
IF($C93&lt;&gt;"",
IF('Cost Inputs'!$L$71="Y",
IF(ISNUMBER($S$55), $E93+($E$89*(($E93/$E$89)+$S$55)), $E93),
IF('Cost Inputs'!$L$71="N",
IF(AND(ISNUMBER('Cost Inputs'!$M$71), OR('Cost Inputs'!$M$71=1,'Cost Inputs'!$M$71=2,'Cost Inputs'!$M$71=4)),
IF(ISNUMBER($S$55), $E93+($E$89*(($E93/$E$89)+$S$55)), $E93),""),"")), ""),""),"")</f>
        <v/>
      </c>
      <c r="V93" s="372" t="str">
        <f>IF($S$3="N.B.C.",
IF(ISNUMBER($B$89),
IF($C93&lt;&gt;"",
IF('Cost Inputs'!$L$71="Y",
IF(ISNUMBER($T$55), $E93+($E$89*(($E93/$E$89)+$T$55)), $E93),
IF('Cost Inputs'!$L$71="N",
IF(AND(ISNUMBER('Cost Inputs'!$M$71), OR('Cost Inputs'!$M$71=1,'Cost Inputs'!$M$71=5)),
IF(ISNUMBER($T$55), $E93+($E$89*(($E93/$E$89)+$T$55)), $E93),""),"")), ""),""),"")</f>
        <v/>
      </c>
      <c r="W93" s="372" t="str">
        <f>IF($T$3="N.B.C.",
IF(ISNUMBER($B$89),
IF($C93&lt;&gt;"",
IF('Cost Inputs'!$L$71="Y",
IF(ISNUMBER($U$55), $E93+($E$89*(($E93/$E$89)+$U$55)), $E93),
IF('Cost Inputs'!$L$71="N",
IF(AND(ISNUMBER('Cost Inputs'!$M$71), OR('Cost Inputs'!$M$71=1,'Cost Inputs'!$M$71=2,'Cost Inputs'!$M$71=3,'Cost Inputs'!$M$71=6)),
IF(ISNUMBER($U$55), $E93+($E$89*(($E93/$E$89)+$U$55)), $E93),""),"")), ""),""),"")</f>
        <v/>
      </c>
      <c r="X93" s="372" t="str">
        <f>IF($U$3="N.B.C.",
IF(ISNUMBER($B$89),
IF($C93&lt;&gt;"",
IF('Cost Inputs'!$L$71="Y",
IF(ISNUMBER($V$55), $E93+($E$89*(($E93/$E$89)+$V$55)), $E93),
IF('Cost Inputs'!$L$71="N",
IF(AND(ISNUMBER('Cost Inputs'!$M$71), OR('Cost Inputs'!$M$71=1,'Cost Inputs'!$M$71=7)),
IF(ISNUMBER($V$55), $E93+($E$89*(($E93/$E$89)+$V$55)), $E93),""),"")), ""),""),"")</f>
        <v/>
      </c>
      <c r="Y93" s="372" t="str">
        <f>IF($V$3="N.B.C.",
IF(ISNUMBER($B$89),
IF($C93&lt;&gt;"",
IF('Cost Inputs'!$L$71="Y",
IF(ISNUMBER($W$55), $E93+($E$89*(($E93/$E$89)+$W$55)), $E93),
IF('Cost Inputs'!$L$71="N",
IF(AND(ISNUMBER('Cost Inputs'!$M$71), OR('Cost Inputs'!$M$71=1,'Cost Inputs'!$M$71=2,'Cost Inputs'!$M$71=4,'Cost Inputs'!$M$71=8)),
IF(ISNUMBER($W$55), $E93+($E$89*(($E93/$E$89)+$W$55)), $E93),""),"")), ""),""),"")</f>
        <v/>
      </c>
      <c r="Z93" s="372" t="str">
        <f>IF($W$3="N.B.C.",
IF(ISNUMBER($B$89),
IF($C93&lt;&gt;"",
IF('Cost Inputs'!$L$71="Y",
IF(ISNUMBER($X$55), $E93+($E$89*(($E93/$E$89)+$X$55)), $E93),
IF('Cost Inputs'!$L$71="N",
IF(AND(ISNUMBER('Cost Inputs'!$M$71), OR('Cost Inputs'!$M$71=1,'Cost Inputs'!$M$71=3,'Cost Inputs'!$M$71=9)),
IF(ISNUMBER($X$55), $E93+($E$89*(($E93/$E$89)+$X$55)), $E93),""),"")), ""),""),"")</f>
        <v/>
      </c>
      <c r="AA93" s="372" t="str">
        <f>IF($X$3="N.B.C.",
IF(ISNUMBER($B$89),
IF($C93&lt;&gt;"",
IF('Cost Inputs'!$L$71="Y",
IF(ISNUMBER($Y$55), $E93+($E$89*(($E93/$E$89)+$Y$55)), $E93),
IF('Cost Inputs'!$L$71="N",
IF(AND(ISNUMBER('Cost Inputs'!$M$71), OR('Cost Inputs'!$M$71=1,'Cost Inputs'!$M$71=2,'Cost Inputs'!$M$71=5)),
IF(ISNUMBER($Y$55), $E93+($E$89*(($E93/$E$89)+$Y$55)), $E93),""),"")), ""),""),"")</f>
        <v/>
      </c>
    </row>
    <row r="94" spans="1:27" x14ac:dyDescent="0.25">
      <c r="A94" s="518"/>
      <c r="B94" s="504"/>
      <c r="C94" s="110" t="str">
        <f>IF(AND(B89&lt;&gt;"", ISNUMBER(Stage1EvaluationBegins)), IF((INDEX(ProgramYearStage1,MATCH(Stage1EvaluationBegins,Years_in_Stage1,0)))=B89, _3_3_0, IF(AND(B89&lt;&gt;"", C73&lt;&gt;""), _3_3_0, IF(AND(B89&lt;&gt;"", OR(Stage1EvaluationBegins=0, Stage1EvaluationBegins="")),"", ""))),"")</f>
        <v/>
      </c>
      <c r="D94" s="94" t="str">
        <f>IF(AND(B89&lt;&gt;"", C94&lt;&gt;"", OR('Cost Inputs'!$H$72&lt;&gt;"", 'Cost Inputs'!$I$72&lt;&gt;"", 'Cost Inputs'!$J$72&lt;&gt;"")), 'Cost Inputs'!$G$72,"")</f>
        <v/>
      </c>
      <c r="E94" s="94" t="str">
        <f>IF(AND(C94&lt;&gt;"", 'Cost Inputs'!$H$72&lt;&gt;""), 'Cost Inputs'!$H$72, "")</f>
        <v/>
      </c>
      <c r="F94" s="94" t="str">
        <f>IF(AND(C94&lt;&gt;"", 'Cost Inputs'!$I$72&lt;&gt;""), 'Cost Inputs'!$I$72, "")</f>
        <v/>
      </c>
      <c r="G94" s="94" t="str">
        <f t="shared" si="5"/>
        <v/>
      </c>
      <c r="H94" s="94" t="str">
        <f>IF(AND(C94&lt;&gt;"", 'Cost Inputs'!$J$72&lt;&gt;""), 'Cost Inputs'!$J$72, "")</f>
        <v/>
      </c>
      <c r="I94" s="94" t="str">
        <f>IF(AND($E94&lt;&gt;"", $H94&lt;&gt;""), $H94/$E94, "")</f>
        <v/>
      </c>
      <c r="J94" s="94" t="str">
        <f>IF(AND(C94&lt;&gt;"",('Cost Inputs'!$I$72+'Cost Inputs'!$J$72+'Cost Inputs'!$K$72)&gt;0), 'Cost Inputs'!$I$72+'Cost Inputs'!$J$72+'Cost Inputs'!$K$72, "")</f>
        <v/>
      </c>
      <c r="K94" s="94" t="str">
        <f>IF(AND(C94&lt;&gt;"", 'Cost Inputs'!$N$72&gt;0),'Cost Inputs'!$N$72,"")</f>
        <v/>
      </c>
      <c r="L94" s="130" t="str">
        <f>IF(AND($B89&lt;&gt;"", ISNUMBER(Stage1EvaluationBegins)), IF((INDEX(ProgramYearStage1,MATCH(Stage1EvaluationBegins,Years_in_Stage1,0)))=$B89, INDEX(Stage1Evaluation,MATCH(Stage1EvaluationBegins,Years_in_Stage1,0)), IF(AND($B89&lt;&gt;"", $C73&lt;&gt;""), INDEX(Stage1Evaluation,MATCH($B89,ProgramYearStage1,0)), IF(AND(B89&lt;&gt;"", OR(Stage1EvaluationBegins=0, Stage1EvaluationBegins="")),"", ""))),"")</f>
        <v/>
      </c>
      <c r="M94" s="103"/>
      <c r="R94" s="373" t="str">
        <f>IF($O$3="N.B.C.",
IF(ISNUMBER($B$89),
IF($C94&lt;&gt;"",
IF('Cost Inputs'!$L$72="Y",
IF(AND(ISNUMBER(P$56), P$56&gt;$E$60), $E94+($E$60*(($E94/$E$60)+$P$55)), $E94),
IF('Cost Inputs'!$L$72="N", "", "")), ""), ""), "")</f>
        <v/>
      </c>
      <c r="S94" s="373" t="str">
        <f>IF($P$3="N.B.C.",
IF(ISNUMBER($B$89),
IF($C94&lt;&gt;"",
IF('Cost Inputs'!$L$72="Y",
IF(AND(ISNUMBER(Q$56), Q$56&gt;$E$60), $E94+($E$60*(($E94/$E$60)+$Q$55)), $E94),
IF('Cost Inputs'!$L$72="N",
IF(AND(ISNUMBER('Cost Inputs'!$M$72), OR('Cost Inputs'!$M$72=1,'Cost Inputs'!$M$72=2)),
IF(AND(ISNUMBER(Q$56), Q$56&gt;$E$60), $E94+($E$60*(($E94/$E$60)+$Q$55)), $E94), ""),"")), ""), ""), "")</f>
        <v/>
      </c>
      <c r="T94" s="373" t="str">
        <f>IF($Q$3="N.B.C.",
IF(ISNUMBER($B$89),
IF($C94&lt;&gt;"",
IF('Cost Inputs'!$L$72="Y",
IF(AND(ISNUMBER(R$56), R$56&gt;$E$60), $E94+($E$60*(($E94/$E$60)+$R$55)), $E94),
IF('Cost Inputs'!$L$72="N",
IF(AND(ISNUMBER('Cost Inputs'!$M$72), OR('Cost Inputs'!$M$72=1,'Cost Inputs'!$M$72=3)),
IF(AND(ISNUMBER(R$56), R$56&gt;$E$60), $E94+($E$60*(($E94/$E$60)+$R$55)), $E94), ""),"")), ""), ""), "")</f>
        <v/>
      </c>
      <c r="U94" s="373" t="str">
        <f>IF($R$3="N.B.C.",
IF(ISNUMBER($B$89),
IF($C94&lt;&gt;"",
IF('Cost Inputs'!$L$72="Y",
IF(AND(ISNUMBER(S$56), S$56&gt;$E$60), $E94+($E$60*(($E94/$E$60)+$S$55)), $E94),
IF('Cost Inputs'!$L$72="N",
IF(AND(ISNUMBER('Cost Inputs'!$M$72), OR('Cost Inputs'!$M$72=1,'Cost Inputs'!$M$72=2, 'Cost Inputs'!$M$72=4)),
IF(AND(ISNUMBER(S$56), S$56&gt;$E$60), $E94+($E$60*(($E94/$E$60)+$S$55)), $E94), ""),"")), ""), ""), "")</f>
        <v/>
      </c>
      <c r="V94" s="373" t="str">
        <f>IF($S$3="N.B.C.",
IF(ISNUMBER($B$89),
IF($C94&lt;&gt;"",
IF('Cost Inputs'!$L$72="Y",
IF(AND(ISNUMBER(T$56), T$56&gt;$E$60), $E94+($E$60*(($E94/$E$60)+$T$55)), $E94),
IF('Cost Inputs'!$L$72="N",
IF(AND(ISNUMBER('Cost Inputs'!$M$72), OR('Cost Inputs'!$M$72=1,'Cost Inputs'!$M$72=5)),
IF(AND(ISNUMBER(T$56), T$56&gt;$E$60), $E94+($E$60*(($E94/$E$60)+$T$55)), $E94), ""),"")), ""), ""), "")</f>
        <v/>
      </c>
      <c r="W94" s="373" t="str">
        <f>IF($T$3="N.B.C.",
IF(ISNUMBER($B$89),
IF($C94&lt;&gt;"",
IF('Cost Inputs'!$L$72="Y",
IF(AND(ISNUMBER(U$56), U$56&gt;$E$60), $E94+($E$60*(($E94/$E$60)+$U$55)), $E94),
IF('Cost Inputs'!$L$72="N",
IF(AND(ISNUMBER('Cost Inputs'!$M$72), OR('Cost Inputs'!$M$72=1,'Cost Inputs'!$M$72=2, 'Cost Inputs'!$M$72=3,'Cost Inputs'!$M$72=6)),
IF(AND(ISNUMBER(U$56), U$56&gt;$E$60), $E94+($E$60*(($E94/$E$60)+$U$55)), $E94), ""),"")), ""), ""), "")</f>
        <v/>
      </c>
      <c r="X94" s="373" t="str">
        <f>IF($U$3="N.B.C.",
IF(ISNUMBER($B$89),
IF($C94&lt;&gt;"",
IF('Cost Inputs'!$L$72="Y",
IF(AND(ISNUMBER(V$56), V$56&gt;$E$60), $E94+($E$60*(($E94/$E$60)+$V$55)), $E94),
IF('Cost Inputs'!$L$72="N",
IF(AND(ISNUMBER('Cost Inputs'!$M$72), OR('Cost Inputs'!$M$72=1,'Cost Inputs'!$M$72=7)),
IF(AND(ISNUMBER(V$56), V$56&gt;$E$60), $E94+($E$60*(($E94/$E$60)+$V$55)), $E94), ""),"")), ""), ""), "")</f>
        <v/>
      </c>
      <c r="Y94" s="373" t="str">
        <f>IF($V$3="N.B.C.",
IF(ISNUMBER($B$89),
IF($C94&lt;&gt;"",
IF('Cost Inputs'!$L$72="Y",
IF(AND(ISNUMBER(W$56), W$56&gt;$E$60), $E94+($E$60*(($E94/$E$60)+$W$55)), $E94),
IF('Cost Inputs'!$L$72="N",
IF(AND(ISNUMBER('Cost Inputs'!$M$72), OR('Cost Inputs'!$M$72=1,'Cost Inputs'!$M$72=2,'Cost Inputs'!$M$72=4,'Cost Inputs'!$M$72=8)),
IF(AND(ISNUMBER(W$56), W$56&gt;$E$60), $E94+($E$60*(($E94/$E$60)+$W$55)), $E94), ""),"")), ""), ""), "")</f>
        <v/>
      </c>
      <c r="Z94" s="373" t="str">
        <f>IF($W$3="N.B.C.",
IF(ISNUMBER($B$89),
IF($C94&lt;&gt;"",
IF('Cost Inputs'!$L$72="Y",
IF(AND(ISNUMBER(X$56), X$56&gt;$E$60), $E94+($E$60*(($E94/$E$60)+$X$55)), $E94),
IF('Cost Inputs'!$L$72="N",
IF(AND(ISNUMBER('Cost Inputs'!$M$72), OR('Cost Inputs'!$M$72=1,'Cost Inputs'!$M$72=3, 'Cost Inputs'!$M$72=9)),
IF(AND(ISNUMBER(X$56), X$56&gt;$E$60), $E94+($E$60*(($E94/$E$60)+$X$55)), $E94), ""),"")), ""), ""), "")</f>
        <v/>
      </c>
      <c r="AA94" s="373" t="str">
        <f>IF($X$3="N.B.C.",
IF(ISNUMBER($B$89),
IF($C94&lt;&gt;"",
IF('Cost Inputs'!$L$72="Y",
IF(AND(ISNUMBER(Y$56), Y$56&gt;$E$60), $E94+($E$60*(($E94/$E$60)+$Y$55)), $E94),
IF('Cost Inputs'!$L$72="N",
IF(AND(ISNUMBER('Cost Inputs'!$M$72), OR('Cost Inputs'!$M$72=1,'Cost Inputs'!$M$72=2, 'Cost Inputs'!$M$72=5)),
IF(AND(ISNUMBER(Y$56), Y$56&gt;$E$60), $E94+($E$60*(($E94/$E$60)+$Y$55)), $E94), ""),"")), ""), ""), "")</f>
        <v/>
      </c>
    </row>
    <row r="95" spans="1:27" x14ac:dyDescent="0.25">
      <c r="A95" s="518"/>
      <c r="B95" s="504"/>
      <c r="C95" s="104" t="str">
        <f>IF(AND(ISNUMBER(B89), C94&lt;&gt;"", OR('Cost Inputs'!$H$73&lt;&gt;"", 'Cost Inputs'!$I$73&lt;&gt;"", 'Cost Inputs'!$J$73&lt;&gt;"")), _3_3_1, "")</f>
        <v/>
      </c>
      <c r="D95" s="17" t="str">
        <f>IF(AND(C95&lt;&gt;"", 'Cost Inputs'!$G$73&lt;&gt;""), 'Cost Inputs'!$G$73, "")</f>
        <v/>
      </c>
      <c r="E95" s="17" t="str">
        <f>IF(AND(C95&lt;&gt;"", 'Cost Inputs'!$H$73&lt;&gt;""), 'Cost Inputs'!$H$73, "")</f>
        <v/>
      </c>
      <c r="F95" s="17" t="str">
        <f>IF(AND(C95&lt;&gt;"", 'Cost Inputs'!$I$73&lt;&gt;""), 'Cost Inputs'!$I$73, "")</f>
        <v/>
      </c>
      <c r="G95" s="17" t="str">
        <f t="shared" si="5"/>
        <v/>
      </c>
      <c r="H95" s="17" t="str">
        <f>IF(AND(C95&lt;&gt;"", 'Cost Inputs'!$J$73&lt;&gt;""), 'Cost Inputs'!$J$73, "")</f>
        <v/>
      </c>
      <c r="I95" s="17" t="str">
        <f t="shared" si="4"/>
        <v/>
      </c>
      <c r="J95" s="17" t="str">
        <f>IF(AND(C95&lt;&gt;"",('Cost Inputs'!$I$73+'Cost Inputs'!$J$73+'Cost Inputs'!$K$73)&gt;0), 'Cost Inputs'!$I$73+'Cost Inputs'!$J$73+'Cost Inputs'!$K$73, "")</f>
        <v/>
      </c>
      <c r="K95" s="17" t="str">
        <f>IF(AND(C95&lt;&gt;"", 'Cost Inputs'!$N$73&gt;0),'Cost Inputs'!$N$73,"")</f>
        <v/>
      </c>
      <c r="M95" s="106"/>
      <c r="R95" s="364" t="str">
        <f>IF($O$3="N.B.C.",
IF(ISNUMBER($B$89),
IF($C95&lt;&gt;"",
IF('Cost Inputs'!$L$73="Y",
IF(ISNUMBER($P$55), $E95+($E$73*(($E95/$E$73)+$P$55)), $E95),
IF('Cost Inputs'!$L$73="N","","")), ""),""),"")</f>
        <v/>
      </c>
      <c r="S95" s="364" t="str">
        <f>IF($P$3="N.B.C.",
IF(ISNUMBER($B$89),
IF($C95&lt;&gt;"",
IF('Cost Inputs'!$L$73="Y",
IF(ISNUMBER($Q$55), $E95+($E$73*(($E95/$E$73)+$Q$55)), $E95),
IF('Cost Inputs'!$L$73="N",
IF(AND(ISNUMBER('Cost Inputs'!$M$73), OR('Cost Inputs'!$M$73=1,'Cost Inputs'!$M$73=2)),
IF(ISNUMBER($Q$55), $E95+($E$73*(($E95/$E$73)+$Q$55)), $E95),""),"")), ""),""),"")</f>
        <v/>
      </c>
      <c r="T95" s="364" t="str">
        <f>IF($Q$3="N.B.C.",
IF(ISNUMBER($B$89),
IF($C95&lt;&gt;"",
IF('Cost Inputs'!$L$73="Y",
IF(ISNUMBER($R$55), $E95+($E$73*(($E95/$E$73)+$R$55)), $E95),
IF('Cost Inputs'!$L$73="N",
IF(AND(ISNUMBER('Cost Inputs'!$M$73), OR('Cost Inputs'!$M$73=1,'Cost Inputs'!$M$73=3)),
IF(ISNUMBER($R$55), $E95+($E$73*(($E95/$E$73)+$R$55)), $E95),""),"")), ""),""),"")</f>
        <v/>
      </c>
      <c r="U95" s="364" t="str">
        <f>IF($R$3="N.B.C.",
IF(ISNUMBER($B$89),
IF($C95&lt;&gt;"",
IF('Cost Inputs'!$L$73="Y",
IF(ISNUMBER($S$55), $E95+($E$73*(($E95/$E$73)+$S$55)), $E95),
IF('Cost Inputs'!$L$73="N",
IF(AND(ISNUMBER('Cost Inputs'!$M$73), OR('Cost Inputs'!$M$73=1,'Cost Inputs'!$M$73=2,'Cost Inputs'!$M$73=4)),
IF(ISNUMBER($S$55), $E95+($E$73*(($E95/$E$73)+$S$55)), $E95),""),"")), ""),""),"")</f>
        <v/>
      </c>
      <c r="V95" s="364" t="str">
        <f>IF($S$3="N.B.C.",
IF(ISNUMBER($B$89),
IF($C95&lt;&gt;"",
IF('Cost Inputs'!$L$73="Y",
IF(ISNUMBER($T$55), $E95+($E$73*(($E95/$E$73)+$T$55)), $E95),
IF('Cost Inputs'!$L$73="N",
IF(AND(ISNUMBER('Cost Inputs'!$M$73), OR('Cost Inputs'!$M$73=1,'Cost Inputs'!$M$73=5)),
IF(ISNUMBER($T$55), $E95+($E$73*(($E95/$E$73)+$T$55)), $E95),""),"")), ""),""),"")</f>
        <v/>
      </c>
      <c r="W95" s="364" t="str">
        <f>IF($T$3="N.B.C.",
IF(ISNUMBER($B$89),
IF($C95&lt;&gt;"",
IF('Cost Inputs'!$L$73="Y",
IF(ISNUMBER($U$55), $E95+($E$73*(($E95/$E$73)+$U$55)), $E95),
IF('Cost Inputs'!$L$73="N",
IF(AND(ISNUMBER('Cost Inputs'!$M$73), OR('Cost Inputs'!$M$73=1,'Cost Inputs'!$M$73=2,'Cost Inputs'!$M$73=3,'Cost Inputs'!$M$73=6)),
IF(ISNUMBER($U$55), $E95+($E$73*(($E95/$E$73)+$U$55)), $E95),""),"")), ""),""),"")</f>
        <v/>
      </c>
      <c r="X95" s="364" t="str">
        <f>IF($U$3="N.B.C.",
IF(ISNUMBER($B$89),
IF($C95&lt;&gt;"",
IF('Cost Inputs'!$L$73="Y",
IF(ISNUMBER($V$55), $E95+($E$73*(($E95/$E$73)+$V$55)), $E95),
IF('Cost Inputs'!$L$73="N",
IF(AND(ISNUMBER('Cost Inputs'!$M$73), OR('Cost Inputs'!$M$73=1,'Cost Inputs'!$M$73=7)),
IF(ISNUMBER($V$55), $E95+($E$73*(($E95/$E$73)+$V$55)), $E95),""),"")), ""),""),"")</f>
        <v/>
      </c>
      <c r="Y95" s="364" t="str">
        <f>IF($V$3="N.B.C.",
IF(ISNUMBER($B$89),
IF($C95&lt;&gt;"",
IF('Cost Inputs'!$L$73="Y",
IF(ISNUMBER($W$55), $E95+($E$73*(($E95/$E$73)+$W$55)), $E95),
IF('Cost Inputs'!$L$73="N",
IF(AND(ISNUMBER('Cost Inputs'!$M$73), OR('Cost Inputs'!$M$73=1,'Cost Inputs'!$M$73=2,'Cost Inputs'!$M$73=4,'Cost Inputs'!$M$73=8)),
IF(ISNUMBER($W$55), $E95+($E$73*(($E95/$E$73)+$W$55)), $E95),""),"")), ""),""),"")</f>
        <v/>
      </c>
      <c r="Z95" s="364" t="str">
        <f>IF($W$3="N.B.C.",
IF(ISNUMBER($B$89),
IF($C95&lt;&gt;"",
IF('Cost Inputs'!$L$73="Y",
IF(ISNUMBER($X$55), $E95+($E$73*(($E95/$E$73)+$X$55)), $E95),
IF('Cost Inputs'!$L$73="N",
IF(AND(ISNUMBER('Cost Inputs'!$M$73), OR('Cost Inputs'!$M$73=1,'Cost Inputs'!$M$73=3,'Cost Inputs'!$M$73=9)),
IF(ISNUMBER($X$55), $E95+($E$73*(($E95/$E$73)+$X$55)), $E95),""),"")), ""),""),"")</f>
        <v/>
      </c>
      <c r="AA95" s="364" t="str">
        <f>IF($X$3="N.B.C.",
IF(ISNUMBER($B$89),
IF($C95&lt;&gt;"",
IF('Cost Inputs'!$L$73="Y",
IF(ISNUMBER($Y$55), $E95+($E$73*(($E95/$E$73)+$Y$55)), $E95),
IF('Cost Inputs'!$L$73="N",
IF(AND(ISNUMBER('Cost Inputs'!$M$73), OR('Cost Inputs'!$M$73=1,'Cost Inputs'!$M$73=2,'Cost Inputs'!$M$73=5)),
IF(ISNUMBER($Y$55), $E95+($E$73*(($E95/$E$73)+$Y$55)), $E95),""),"")), ""),""),"")</f>
        <v/>
      </c>
    </row>
    <row r="96" spans="1:27" x14ac:dyDescent="0.25">
      <c r="A96" s="518"/>
      <c r="B96" s="504"/>
      <c r="C96" s="107" t="str">
        <f>IF(AND(ISNUMBER(B89), C94&lt;&gt;"", OR('Cost Inputs'!$H$74&lt;&gt;"", 'Cost Inputs'!$I$74&lt;&gt;"", 'Cost Inputs'!$J$74&lt;&gt;"")), _3_3_2, "")</f>
        <v/>
      </c>
      <c r="D96" s="93" t="str">
        <f>IF(AND(C96&lt;&gt;"", 'Cost Inputs'!$G$74&lt;&gt;""), 'Cost Inputs'!$G$74, "")</f>
        <v/>
      </c>
      <c r="E96" s="93" t="str">
        <f>IF(AND(C96&lt;&gt;"", 'Cost Inputs'!$H$74&lt;&gt;""), 'Cost Inputs'!$H$74, "")</f>
        <v/>
      </c>
      <c r="F96" s="93" t="str">
        <f>IF(AND(C96&lt;&gt;"", 'Cost Inputs'!$I$74&lt;&gt;""), 'Cost Inputs'!$I$74, "")</f>
        <v/>
      </c>
      <c r="G96" s="93" t="str">
        <f t="shared" si="5"/>
        <v/>
      </c>
      <c r="H96" s="93" t="str">
        <f>IF(AND(C96&lt;&gt;"", 'Cost Inputs'!$J$74&lt;&gt;""), 'Cost Inputs'!$J$74, "")</f>
        <v/>
      </c>
      <c r="I96" s="93" t="str">
        <f t="shared" si="4"/>
        <v/>
      </c>
      <c r="J96" s="93" t="str">
        <f>IF(AND(C96&lt;&gt;"",('Cost Inputs'!$I$74+'Cost Inputs'!$J$74+'Cost Inputs'!$K$74)&gt;0), 'Cost Inputs'!$I$74+'Cost Inputs'!$J$74+'Cost Inputs'!$K$74, "")</f>
        <v/>
      </c>
      <c r="K96" s="93" t="str">
        <f>IF(AND(C96&lt;&gt;"", 'Cost Inputs'!$N$74&gt;0),'Cost Inputs'!$N$74,"")</f>
        <v/>
      </c>
      <c r="L96" s="93"/>
      <c r="M96" s="109"/>
      <c r="R96" s="372" t="str">
        <f>IF($O$3="N.B.C.",
IF(ISNUMBER($B$89),
IF($C96&lt;&gt;"",
IF('Cost Inputs'!$L$74="Y",
IF(ISNUMBER($P$55), $E96+($E$73*(($E96/$E$73)+$P$55)), $E96),
IF('Cost Inputs'!$L$74="N","","")), ""),""),"")</f>
        <v/>
      </c>
      <c r="S96" s="372" t="str">
        <f>IF($P$3="N.B.C.",
IF(ISNUMBER($B$89),
IF($C96&lt;&gt;"",
IF('Cost Inputs'!$L$74="Y",
IF(ISNUMBER($Q$55), $E96+($E$73*(($E96/$E$73)+$Q$55)), $E96),
IF('Cost Inputs'!$L$74="N",
IF(AND(ISNUMBER('Cost Inputs'!$M$74), OR('Cost Inputs'!$M$74=1,'Cost Inputs'!$M$74=2)),
IF(ISNUMBER($Q$55), $E96+($E$73*(($E96/$E$73)+$Q$55)), $E96),""),"")), ""),""),"")</f>
        <v/>
      </c>
      <c r="T96" s="372" t="str">
        <f>IF($Q$3="N.B.C.",
IF(ISNUMBER($B$89),
IF($C96&lt;&gt;"",
IF('Cost Inputs'!$L$74="Y",
IF(ISNUMBER($R$55), $E96+($E$73*(($E96/$E$73)+$R$55)), $E96),
IF('Cost Inputs'!$L$74="N",
IF(AND(ISNUMBER('Cost Inputs'!$M$74), OR('Cost Inputs'!$M$74=1,'Cost Inputs'!$M$74=3)),
IF(ISNUMBER($R$55), $E96+($E$73*(($E96/$E$73)+$R$55)), $E96),""),"")), ""),""),"")</f>
        <v/>
      </c>
      <c r="U96" s="372" t="str">
        <f>IF($R$3="N.B.C.",
IF(ISNUMBER($B$89),
IF($C96&lt;&gt;"",
IF('Cost Inputs'!$L$74="Y",
IF(ISNUMBER($S$55), $E96+($E$73*(($E96/$E$73)+$S$55)), $E96),
IF('Cost Inputs'!$L$74="N",
IF(AND(ISNUMBER('Cost Inputs'!$M$74), OR('Cost Inputs'!$M$74=1,'Cost Inputs'!$M$74=2,'Cost Inputs'!$M$74=4)),
IF(ISNUMBER($S$55), $E96+($E$73*(($E96/$E$73)+$S$55)), $E96),""),"")), ""),""),"")</f>
        <v/>
      </c>
      <c r="V96" s="372" t="str">
        <f>IF($S$3="N.B.C.",
IF(ISNUMBER($B$89),
IF($C96&lt;&gt;"",
IF('Cost Inputs'!$L$74="Y",
IF(ISNUMBER($T$55), $E96+($E$73*(($E96/$E$73)+$T$55)), $E96),
IF('Cost Inputs'!$L$74="N",
IF(AND(ISNUMBER('Cost Inputs'!$M$74), OR('Cost Inputs'!$M$74=1,'Cost Inputs'!$M$74=5)),
IF(ISNUMBER($T$55), $E96+($E$73*(($E96/$E$73)+$T$55)), $E96),""),"")), ""),""),"")</f>
        <v/>
      </c>
      <c r="W96" s="372" t="str">
        <f>IF($T$3="N.B.C.",
IF(ISNUMBER($B$89),
IF($C96&lt;&gt;"",
IF('Cost Inputs'!$L$74="Y",
IF(ISNUMBER($U$55), $E96+($E$73*(($E96/$E$73)+$U$55)), $E96),
IF('Cost Inputs'!$L$74="N",
IF(AND(ISNUMBER('Cost Inputs'!$M$74), OR('Cost Inputs'!$M$74=1,'Cost Inputs'!$M$74=2,'Cost Inputs'!$M$74=3,'Cost Inputs'!$M$74=6)),
IF(ISNUMBER($U$55), $E96+($E$73*(($E96/$E$73)+$U$55)), $E96),""),"")), ""),""),"")</f>
        <v/>
      </c>
      <c r="X96" s="372" t="str">
        <f>IF($U$3="N.B.C.",
IF(ISNUMBER($B$89),
IF($C96&lt;&gt;"",
IF('Cost Inputs'!$L$74="Y",
IF(ISNUMBER($V$55), $E96+($E$73*(($E96/$E$73)+$V$55)), $E96),
IF('Cost Inputs'!$L$74="N",
IF(AND(ISNUMBER('Cost Inputs'!$M$74), OR('Cost Inputs'!$M$74=1,'Cost Inputs'!$M$74=7)),
IF(ISNUMBER($V$55), $E96+($E$73*(($E96/$E$73)+$V$55)), $E96),""),"")), ""),""),"")</f>
        <v/>
      </c>
      <c r="Y96" s="372" t="str">
        <f>IF($V$3="N.B.C.",
IF(ISNUMBER($B$89),
IF($C96&lt;&gt;"",
IF('Cost Inputs'!$L$74="Y",
IF(ISNUMBER($W$55), $E96+($E$73*(($E96/$E$73)+$W$55)), $E96),
IF('Cost Inputs'!$L$74="N",
IF(AND(ISNUMBER('Cost Inputs'!$M$74), OR('Cost Inputs'!$M$74=1,'Cost Inputs'!$M$74=2,'Cost Inputs'!$M$74=4,'Cost Inputs'!$M$74=8)),
IF(ISNUMBER($W$55), $E96+($E$73*(($E96/$E$73)+$W$55)), $E96),""),"")), ""),""),"")</f>
        <v/>
      </c>
      <c r="Z96" s="372" t="str">
        <f>IF($W$3="N.B.C.",
IF(ISNUMBER($B$89),
IF($C96&lt;&gt;"",
IF('Cost Inputs'!$L$74="Y",
IF(ISNUMBER($X$55), $E96+($E$73*(($E96/$E$73)+$X$55)), $E96),
IF('Cost Inputs'!$L$74="N",
IF(AND(ISNUMBER('Cost Inputs'!$M$74), OR('Cost Inputs'!$M$74=1,'Cost Inputs'!$M$74=3,'Cost Inputs'!$M$74=9)),
IF(ISNUMBER($X$55), $E96+($E$73*(($E96/$E$73)+$X$55)), $E96),""),"")), ""),""),"")</f>
        <v/>
      </c>
      <c r="AA96" s="372" t="str">
        <f>IF($X$3="N.B.C.",
IF(ISNUMBER($B$89),
IF($C96&lt;&gt;"",
IF('Cost Inputs'!$L$74="Y",
IF(ISNUMBER($Y$55), $E96+($E$73*(($E96/$E$73)+$Y$55)), $E96),
IF('Cost Inputs'!$L$74="N",
IF(AND(ISNUMBER('Cost Inputs'!$M$74), OR('Cost Inputs'!$M$74=1,'Cost Inputs'!$M$74=2,'Cost Inputs'!$M$74=5)),
IF(ISNUMBER($Y$55), $E96+($E$73*(($E96/$E$73)+$Y$55)), $E96),""),"")), ""),""),"")</f>
        <v/>
      </c>
    </row>
    <row r="97" spans="1:28" x14ac:dyDescent="0.25">
      <c r="A97" s="518"/>
      <c r="B97" s="504"/>
      <c r="C97" s="104" t="str">
        <f>IF(AND(ISNUMBER(B89), OR('Cost Inputs'!$H$75&lt;&gt;"", 'Cost Inputs'!$I$75&lt;&gt;"", 'Cost Inputs'!$J$75&lt;&gt;"")), _3_3_3, "")</f>
        <v/>
      </c>
      <c r="D97" s="17" t="str">
        <f>IF(AND(C97&lt;&gt;"", 'Cost Inputs'!$G$75&lt;&gt;""), 'Cost Inputs'!$G$75, "")</f>
        <v/>
      </c>
      <c r="E97" s="17" t="str">
        <f>IF(AND(C97&lt;&gt;"", 'Cost Inputs'!$H$75&lt;&gt;""), 'Cost Inputs'!$H$75, "")</f>
        <v/>
      </c>
      <c r="F97" s="17" t="str">
        <f>IF(AND(C97&lt;&gt;"", 'Cost Inputs'!$I$75&lt;&gt;""), 'Cost Inputs'!$I$75, "")</f>
        <v/>
      </c>
      <c r="G97" s="17" t="str">
        <f t="shared" si="5"/>
        <v/>
      </c>
      <c r="H97" s="17" t="str">
        <f>IF(AND(C97&lt;&gt;"", 'Cost Inputs'!$J$75&lt;&gt;""), 'Cost Inputs'!$J$75, "")</f>
        <v/>
      </c>
      <c r="I97" s="17" t="str">
        <f t="shared" si="4"/>
        <v/>
      </c>
      <c r="J97" s="17" t="str">
        <f>IF(AND(C97&lt;&gt;"",('Cost Inputs'!$I$75+'Cost Inputs'!$J$75+'Cost Inputs'!$K$75)&gt;0), 'Cost Inputs'!$I$75+'Cost Inputs'!$J$75+'Cost Inputs'!$K$75, "")</f>
        <v/>
      </c>
      <c r="K97" s="17" t="str">
        <f>IF(AND(C97&lt;&gt;"", 'Cost Inputs'!$N$75&gt;0),'Cost Inputs'!$N$75,"")</f>
        <v/>
      </c>
      <c r="M97" s="106"/>
      <c r="R97" s="364" t="str">
        <f>IF($O$3="N.B.C.",
IF(ISNUMBER($B$89),
IF($C97&lt;&gt;"",
IF('Cost Inputs'!$L$75="Y",
IF(ISNUMBER($P$55), $E97+($E$73*(($E97/$E$73)+$P$55)), $E97),
IF('Cost Inputs'!$L$75="N","","")), ""),""),"")</f>
        <v/>
      </c>
      <c r="S97" s="364" t="str">
        <f>IF($P$3="N.B.C.",
IF(ISNUMBER($B$89),
IF($C97&lt;&gt;"",
IF('Cost Inputs'!$L$75="Y",
IF(ISNUMBER($Q$55), $E97+($E$73*(($E97/$E$73)+$Q$55)), $E97),
IF('Cost Inputs'!$L$75="N",
IF(AND(ISNUMBER('Cost Inputs'!$M$75), OR('Cost Inputs'!$M$75=1,'Cost Inputs'!$M$75=2)),
IF(ISNUMBER($Q$55), $E97+($E$73*(($E97/$E$73)+$Q$55)), $E97),""),"")), ""),""),"")</f>
        <v/>
      </c>
      <c r="T97" s="364" t="str">
        <f>IF($Q$3="N.B.C.",
IF(ISNUMBER($B$89),
IF($C97&lt;&gt;"",
IF('Cost Inputs'!$L$75="Y",
IF(ISNUMBER($R$55), $E97+($E$73*(($E97/$E$73)+$R$55)), $E97),
IF('Cost Inputs'!$L$75="N",
IF(AND(ISNUMBER('Cost Inputs'!$M$75), OR('Cost Inputs'!$M$75=1,'Cost Inputs'!$M$75=3)),
IF(ISNUMBER($R$55), $E97+($E$73*(($E97/$E$73)+$R$55)), $E97),""),"")), ""),""),"")</f>
        <v/>
      </c>
      <c r="U97" s="364" t="str">
        <f>IF($R$3="N.B.C.",
IF(ISNUMBER($B$89),
IF($C97&lt;&gt;"",
IF('Cost Inputs'!$L$75="Y",
IF(ISNUMBER($S$55), $E97+($E$73*(($E97/$E$73)+$S$55)), $E97),
IF('Cost Inputs'!$L$75="N",
IF(AND(ISNUMBER('Cost Inputs'!$M$75), OR('Cost Inputs'!$M$75=1,'Cost Inputs'!$M$75=2,'Cost Inputs'!$M$75=4)),
IF(ISNUMBER($S$55), $E97+($E$73*(($E97/$E$73)+$S$55)), $E97),""),"")), ""),""),"")</f>
        <v/>
      </c>
      <c r="V97" s="364" t="str">
        <f>IF($S$3="N.B.C.",
IF(ISNUMBER($B$89),
IF($C97&lt;&gt;"",
IF('Cost Inputs'!$L$75="Y",
IF(ISNUMBER($T$55), $E97+($E$73*(($E97/$E$73)+$T$55)), $E97),
IF('Cost Inputs'!$L$75="N",
IF(AND(ISNUMBER('Cost Inputs'!$M$75), OR('Cost Inputs'!$M$75=1,'Cost Inputs'!$M$75=5)),
IF(ISNUMBER($T$55), $E97+($E$73*(($E97/$E$73)+$T$55)), $E97),""),"")), ""),""),"")</f>
        <v/>
      </c>
      <c r="W97" s="364" t="str">
        <f>IF($T$3="N.B.C.",
IF(ISNUMBER($B$89),
IF($C97&lt;&gt;"",
IF('Cost Inputs'!$L$75="Y",
IF(ISNUMBER($U$55), $E97+($E$73*(($E97/$E$73)+$U$55)), $E97),
IF('Cost Inputs'!$L$75="N",
IF(AND(ISNUMBER('Cost Inputs'!$M$75), OR('Cost Inputs'!$M$75=1,'Cost Inputs'!$M$75=2,'Cost Inputs'!$M$75=3,'Cost Inputs'!$M$75=6)),
IF(ISNUMBER($U$55), $E97+($E$73*(($E97/$E$73)+$U$55)), $E97),""),"")), ""),""),"")</f>
        <v/>
      </c>
      <c r="X97" s="364" t="str">
        <f>IF($U$3="N.B.C.",
IF(ISNUMBER($B$89),
IF($C97&lt;&gt;"",
IF('Cost Inputs'!$L$75="Y",
IF(ISNUMBER($V$55), $E97+($E$73*(($E97/$E$73)+$V$55)), $E97),
IF('Cost Inputs'!$L$75="N",
IF(AND(ISNUMBER('Cost Inputs'!$M$75), OR('Cost Inputs'!$M$75=1,'Cost Inputs'!$M$75=7)),
IF(ISNUMBER($V$55), $E97+($E$73*(($E97/$E$73)+$V$55)), $E97),""),"")), ""),""),"")</f>
        <v/>
      </c>
      <c r="Y97" s="364" t="str">
        <f>IF($V$3="N.B.C.",
IF(ISNUMBER($B$89),
IF($C97&lt;&gt;"",
IF('Cost Inputs'!$L$75="Y",
IF(ISNUMBER($W$55), $E97+($E$73*(($E97/$E$73)+$W$55)), $E97),
IF('Cost Inputs'!$L$75="N",
IF(AND(ISNUMBER('Cost Inputs'!$M$75), OR('Cost Inputs'!$M$75=1,'Cost Inputs'!$M$75=2,'Cost Inputs'!$M$75=4,'Cost Inputs'!$M$75=8)),
IF(ISNUMBER($W$55), $E97+($E$73*(($E97/$E$73)+$W$55)), $E97),""),"")), ""),""),"")</f>
        <v/>
      </c>
      <c r="Z97" s="364" t="str">
        <f>IF($W$3="N.B.C.",
IF(ISNUMBER($B$89),
IF($C97&lt;&gt;"",
IF('Cost Inputs'!$L$75="Y",
IF(ISNUMBER($X$55), $E97+($E$73*(($E97/$E$73)+$X$55)), $E97),
IF('Cost Inputs'!$L$75="N",
IF(AND(ISNUMBER('Cost Inputs'!$M$75), OR('Cost Inputs'!$M$75=1,'Cost Inputs'!$M$75=3,'Cost Inputs'!$M$75=9)),
IF(ISNUMBER($X$55), $E97+($E$73*(($E97/$E$73)+$X$55)), $E97),""),"")), ""),""),"")</f>
        <v/>
      </c>
      <c r="AA97" s="364" t="str">
        <f>IF($X$3="N.B.C.",
IF(ISNUMBER($B$89),
IF($C97&lt;&gt;"",
IF('Cost Inputs'!$L$75="Y",
IF(ISNUMBER($Y$55), $E97+($E$73*(($E97/$E$73)+$Y$55)), $E97),
IF('Cost Inputs'!$L$75="N",
IF(AND(ISNUMBER('Cost Inputs'!$M$75), OR('Cost Inputs'!$M$75=1,'Cost Inputs'!$M$75=2,'Cost Inputs'!$M$75=5)),
IF(ISNUMBER($Y$55), $E97+($E$73*(($E97/$E$73)+$Y$55)), $E97),""),"")), ""),""),"")</f>
        <v/>
      </c>
    </row>
    <row r="98" spans="1:28" x14ac:dyDescent="0.25">
      <c r="A98" s="518"/>
      <c r="B98" s="504"/>
      <c r="C98" s="107" t="str">
        <f>IF(AND(ISNUMBER(B89), OR('Cost Inputs'!$H$76&lt;&gt;"", 'Cost Inputs'!$I$76&lt;&gt;"", 'Cost Inputs'!$J$76&lt;&gt;"")), _3_3_4, "")</f>
        <v/>
      </c>
      <c r="D98" s="93" t="str">
        <f>IF(AND(C98&lt;&gt;"", 'Cost Inputs'!$G$76&lt;&gt;""), 'Cost Inputs'!$G$76, "")</f>
        <v/>
      </c>
      <c r="E98" s="93" t="str">
        <f>IF(AND(C98&lt;&gt;"", 'Cost Inputs'!$H$76&lt;&gt;""), 'Cost Inputs'!$H$76, "")</f>
        <v/>
      </c>
      <c r="F98" s="93" t="str">
        <f>IF(AND(C98&lt;&gt;"", 'Cost Inputs'!$I$76&lt;&gt;""), 'Cost Inputs'!$I$76, "")</f>
        <v/>
      </c>
      <c r="G98" s="93" t="str">
        <f t="shared" si="5"/>
        <v/>
      </c>
      <c r="H98" s="93" t="str">
        <f>IF(AND(C98&lt;&gt;"", 'Cost Inputs'!$J$76&lt;&gt;""), 'Cost Inputs'!$J$76, "")</f>
        <v/>
      </c>
      <c r="I98" s="93" t="str">
        <f t="shared" si="4"/>
        <v/>
      </c>
      <c r="J98" s="93" t="str">
        <f>IF(AND(C98&lt;&gt;"",('Cost Inputs'!$I$76+'Cost Inputs'!$J$76+'Cost Inputs'!$K$76)&gt;0), 'Cost Inputs'!$I$76+'Cost Inputs'!$J$76+'Cost Inputs'!$K$76, "")</f>
        <v/>
      </c>
      <c r="K98" s="93" t="str">
        <f>IF(AND(C98&lt;&gt;"", 'Cost Inputs'!$N$76&gt;0),'Cost Inputs'!$N$76,"")</f>
        <v/>
      </c>
      <c r="L98" s="93"/>
      <c r="M98" s="109"/>
      <c r="R98" s="372" t="str">
        <f>IF($O$3="N.B.C.",
IF(ISNUMBER($B$89),
IF($C98&lt;&gt;"",
IF('Cost Inputs'!$L$76="Y",
IF(ISNUMBER($P$55), $E98+($E$73*(($E98/$E$73)+$P$55)), $E98),
IF('Cost Inputs'!$L$76="N","","")), ""),""),"")</f>
        <v/>
      </c>
      <c r="S98" s="372" t="str">
        <f>IF($P$3="N.B.C.",
IF(ISNUMBER($B$89),
IF($C98&lt;&gt;"",
IF('Cost Inputs'!$L$76="Y",
IF(ISNUMBER($Q$55), $E98+($E$73*(($E98/$E$73)+$Q$55)), $E98),
IF('Cost Inputs'!$L$76="N",
IF(AND(ISNUMBER('Cost Inputs'!$M$76), OR('Cost Inputs'!$M$76=1,'Cost Inputs'!$M$76=2)),
IF(ISNUMBER($Q$55), $E98+($E$73*(($E98/$E$73)+$Q$55)), $E98),""),"")), ""),""),"")</f>
        <v/>
      </c>
      <c r="T98" s="372" t="str">
        <f>IF($Q$3="N.B.C.",
IF(ISNUMBER($B$89),
IF($C98&lt;&gt;"",
IF('Cost Inputs'!$L$76="Y",
IF(ISNUMBER($R$55), $E98+($E$73*(($E98/$E$73)+$R$55)), $E98),
IF('Cost Inputs'!$L$76="N",
IF(AND(ISNUMBER('Cost Inputs'!$M$76), OR('Cost Inputs'!$M$76=1,'Cost Inputs'!$M$76=3)),
IF(ISNUMBER($R$55), $E98+($E$73*(($E98/$E$73)+$R$55)), $E98),""),"")), ""),""),"")</f>
        <v/>
      </c>
      <c r="U98" s="372" t="str">
        <f>IF($R$3="N.B.C.",
IF(ISNUMBER($B$89),
IF($C98&lt;&gt;"",
IF('Cost Inputs'!$L$76="Y",
IF(ISNUMBER($S$55), $E98+($E$73*(($E98/$E$73)+$S$55)), $E98),
IF('Cost Inputs'!$L$76="N",
IF(AND(ISNUMBER('Cost Inputs'!$M$76), OR('Cost Inputs'!$M$76=1,'Cost Inputs'!$M$76=2,'Cost Inputs'!$M$76=4)),
IF(ISNUMBER($S$55), $E98+($E$73*(($E98/$E$73)+$S$55)), $E98),""),"")), ""),""),"")</f>
        <v/>
      </c>
      <c r="V98" s="372" t="str">
        <f>IF($S$3="N.B.C.",
IF(ISNUMBER($B$89),
IF($C98&lt;&gt;"",
IF('Cost Inputs'!$L$76="Y",
IF(ISNUMBER($T$55), $E98+($E$73*(($E98/$E$73)+$T$55)), $E98),
IF('Cost Inputs'!$L$76="N",
IF(AND(ISNUMBER('Cost Inputs'!$M$76), OR('Cost Inputs'!$M$76=1,'Cost Inputs'!$M$76=5)),
IF(ISNUMBER($T$55), $E98+($E$73*(($E98/$E$73)+$T$55)), $E98),""),"")), ""),""),"")</f>
        <v/>
      </c>
      <c r="W98" s="372" t="str">
        <f>IF($T$3="N.B.C.",
IF(ISNUMBER($B$89),
IF($C98&lt;&gt;"",
IF('Cost Inputs'!$L$76="Y",
IF(ISNUMBER($U$55), $E98+($E$73*(($E98/$E$73)+$U$55)), $E98),
IF('Cost Inputs'!$L$76="N",
IF(AND(ISNUMBER('Cost Inputs'!$M$76), OR('Cost Inputs'!$M$76=1,'Cost Inputs'!$M$76=2,'Cost Inputs'!$M$76=3,'Cost Inputs'!$M$76=6)),
IF(ISNUMBER($U$55), $E98+($E$73*(($E98/$E$73)+$U$55)), $E98),""),"")), ""),""),"")</f>
        <v/>
      </c>
      <c r="X98" s="372" t="str">
        <f>IF($U$3="N.B.C.",
IF(ISNUMBER($B$89),
IF($C98&lt;&gt;"",
IF('Cost Inputs'!$L$76="Y",
IF(ISNUMBER($V$55), $E98+($E$73*(($E98/$E$73)+$V$55)), $E98),
IF('Cost Inputs'!$L$76="N",
IF(AND(ISNUMBER('Cost Inputs'!$M$76), OR('Cost Inputs'!$M$76=1,'Cost Inputs'!$M$76=7)),
IF(ISNUMBER($V$55), $E98+($E$73*(($E98/$E$73)+$V$55)), $E98),""),"")), ""),""),"")</f>
        <v/>
      </c>
      <c r="Y98" s="372" t="str">
        <f>IF($V$3="N.B.C.",
IF(ISNUMBER($B$89),
IF($C98&lt;&gt;"",
IF('Cost Inputs'!$L$76="Y",
IF(ISNUMBER($W$55), $E98+($E$73*(($E98/$E$73)+$W$55)), $E98),
IF('Cost Inputs'!$L$76="N",
IF(AND(ISNUMBER('Cost Inputs'!$M$76), OR('Cost Inputs'!$M$76=1,'Cost Inputs'!$M$76=2,'Cost Inputs'!$M$76=4,'Cost Inputs'!$M$76=8)),
IF(ISNUMBER($W$55), $E98+($E$73*(($E98/$E$73)+$W$55)), $E98),""),"")), ""),""),"")</f>
        <v/>
      </c>
      <c r="Z98" s="372" t="str">
        <f>IF($W$3="N.B.C.",
IF(ISNUMBER($B$89),
IF($C98&lt;&gt;"",
IF('Cost Inputs'!$L$76="Y",
IF(ISNUMBER($X$55), $E98+($E$73*(($E98/$E$73)+$X$55)), $E98),
IF('Cost Inputs'!$L$76="N",
IF(AND(ISNUMBER('Cost Inputs'!$M$76), OR('Cost Inputs'!$M$76=1,'Cost Inputs'!$M$76=3,'Cost Inputs'!$M$76=9)),
IF(ISNUMBER($X$55), $E98+($E$73*(($E98/$E$73)+$X$55)), $E98),""),"")), ""),""),"")</f>
        <v/>
      </c>
      <c r="AA98" s="372" t="str">
        <f>IF($X$3="N.B.C.",
IF(ISNUMBER($B$89),
IF($C98&lt;&gt;"",
IF('Cost Inputs'!$L$76="Y",
IF(ISNUMBER($Y$55), $E98+($E$73*(($E98/$E$73)+$Y$55)), $E98),
IF('Cost Inputs'!$L$76="N",
IF(AND(ISNUMBER('Cost Inputs'!$M$76), OR('Cost Inputs'!$M$76=1,'Cost Inputs'!$M$76=2,'Cost Inputs'!$M$76=5)),
IF(ISNUMBER($Y$55), $E98+($E$73*(($E98/$E$73)+$Y$55)), $E98),""),"")), ""),""),"")</f>
        <v/>
      </c>
    </row>
    <row r="99" spans="1:28" x14ac:dyDescent="0.25">
      <c r="A99" s="518"/>
      <c r="B99" s="504"/>
      <c r="C99" s="110" t="str">
        <f>IF( ISNUMBER(B89), _3_4_0, "")</f>
        <v/>
      </c>
      <c r="D99" s="94" t="str">
        <f>IF(AND(B89&lt;&gt;"", OR('Cost Inputs'!$H$77&lt;&gt;"", 'Cost Inputs'!$I$77&lt;&gt;"", 'Cost Inputs'!$J$77&lt;&gt;"")), 'Cost Inputs'!$G$77,"")</f>
        <v/>
      </c>
      <c r="E99" s="94" t="str">
        <f>IF(AND(C99&lt;&gt;"", 'Cost Inputs'!$H$77&lt;&gt;""), 'Cost Inputs'!$H$77, "")</f>
        <v/>
      </c>
      <c r="F99" s="94" t="str">
        <f>IF(AND(C99&lt;&gt;"", 'Cost Inputs'!$I$77&lt;&gt;""), 'Cost Inputs'!$I$77, "")</f>
        <v/>
      </c>
      <c r="G99" s="94" t="str">
        <f t="shared" si="5"/>
        <v/>
      </c>
      <c r="H99" s="94" t="str">
        <f>IF(AND(C99&lt;&gt;"", 'Cost Inputs'!$J$77&lt;&gt;""), 'Cost Inputs'!$J$77, "")</f>
        <v/>
      </c>
      <c r="I99" s="94" t="str">
        <f>IF(AND($E99&lt;&gt;"", $H99&lt;&gt;""), $H99/$E99, "")</f>
        <v/>
      </c>
      <c r="J99" s="94" t="str">
        <f>IF(AND(C99&lt;&gt;"",('Cost Inputs'!$I$77+'Cost Inputs'!$J$77+'Cost Inputs'!$K$77)&gt;0), 'Cost Inputs'!$I$77+'Cost Inputs'!$J$77+'Cost Inputs'!$K$77, "")</f>
        <v/>
      </c>
      <c r="K99" s="94" t="str">
        <f>IF(AND(C99&lt;&gt;"", 'Cost Inputs'!$N$77&gt;0),'Cost Inputs'!$N$77,"")</f>
        <v/>
      </c>
      <c r="L99" s="94"/>
      <c r="M99" s="103"/>
      <c r="R99" s="373" t="str">
        <f>IF($O$3="N.B.C.",
IF(ISNUMBER($B$89),
IF($C99&lt;&gt;"",
IF('Cost Inputs'!$L$77="Y",
IF(AND(ISNUMBER(P$56), P$56&gt;$E$60), $E99+($E$60*(($E99/$E$60)+$P$55)), $E99),
IF('Cost Inputs'!$L$77="N", "", "")), ""), ""), "")</f>
        <v/>
      </c>
      <c r="S99" s="373" t="str">
        <f>IF($P$3="N.B.C.",
IF(ISNUMBER($B$89),
IF($C99&lt;&gt;"",
IF('Cost Inputs'!$L$77="Y",
IF(AND(ISNUMBER(Q$56), Q$56&gt;$E$60), $E99+($E$60*(($E99/$E$60)+$Q$55)), $E99),
IF('Cost Inputs'!$L$77="N",
IF(AND(ISNUMBER('Cost Inputs'!$M$77), OR('Cost Inputs'!$M$77=1,'Cost Inputs'!$M$77=2)),
IF(AND(ISNUMBER(Q$56), Q$56&gt;$E$60), $E99+($E$60*(($E99/$E$60)+$Q$55)), $E99), ""),"")), ""), ""), "")</f>
        <v/>
      </c>
      <c r="T99" s="373" t="str">
        <f>IF($Q$3="N.B.C.",
IF(ISNUMBER($B$89),
IF($C99&lt;&gt;"",
IF('Cost Inputs'!$L$77="Y",
IF(AND(ISNUMBER(R$56), R$56&gt;$E$60), $E99+($E$60*(($E99/$E$60)+$R$55)), $E99),
IF('Cost Inputs'!$L$77="N",
IF(AND(ISNUMBER('Cost Inputs'!$M$77), OR('Cost Inputs'!$M$77=1,'Cost Inputs'!$M$77=3)),
IF(AND(ISNUMBER(R$56), R$56&gt;$E$60), $E99+($E$60*(($E99/$E$60)+$R$55)), $E99), ""),"")), ""), ""), "")</f>
        <v/>
      </c>
      <c r="U99" s="373" t="str">
        <f>IF($R$3="N.B.C.",
IF(ISNUMBER($B$89),
IF($C99&lt;&gt;"",
IF('Cost Inputs'!$L$77="Y",
IF(AND(ISNUMBER(S$56), S$56&gt;$E$60), $E99+($E$60*(($E99/$E$60)+$S$55)), $E99),
IF('Cost Inputs'!$L$77="N",
IF(AND(ISNUMBER('Cost Inputs'!$M$77), OR('Cost Inputs'!$M$77=1,'Cost Inputs'!$M$77=2, 'Cost Inputs'!$M$77=4)),
IF(AND(ISNUMBER(S$56), S$56&gt;$E$60), $E99+($E$60*(($E99/$E$60)+$S$55)), $E99), ""),"")), ""), ""), "")</f>
        <v/>
      </c>
      <c r="V99" s="373" t="str">
        <f>IF($S$3="N.B.C.",
IF(ISNUMBER($B$89),
IF($C99&lt;&gt;"",
IF('Cost Inputs'!$L$77="Y",
IF(AND(ISNUMBER(T$56), T$56&gt;$E$60), $E99+($E$60*(($E99/$E$60)+$T$55)), $E99),
IF('Cost Inputs'!$L$77="N",
IF(AND(ISNUMBER('Cost Inputs'!$M$77), OR('Cost Inputs'!$M$77=1,'Cost Inputs'!$M$77=5)),
IF(AND(ISNUMBER(T$56), T$56&gt;$E$60), $E99+($E$60*(($E99/$E$60)+$T$55)), $E99), ""),"")), ""), ""), "")</f>
        <v/>
      </c>
      <c r="W99" s="373" t="str">
        <f>IF($T$3="N.B.C.",
IF(ISNUMBER($B$89),
IF($C99&lt;&gt;"",
IF('Cost Inputs'!$L$77="Y",
IF(AND(ISNUMBER(U$56), U$56&gt;$E$60), $E99+($E$60*(($E99/$E$60)+$U$55)), $E99),
IF('Cost Inputs'!$L$77="N",
IF(AND(ISNUMBER('Cost Inputs'!$M$77), OR('Cost Inputs'!$M$77=1,'Cost Inputs'!$M$77=2, 'Cost Inputs'!$M$77=3,'Cost Inputs'!$M$77=6)),
IF(AND(ISNUMBER(U$56), U$56&gt;$E$60), $E99+($E$60*(($E99/$E$60)+$U$55)), $E99), ""),"")), ""), ""), "")</f>
        <v/>
      </c>
      <c r="X99" s="373" t="str">
        <f>IF($U$3="N.B.C.",
IF(ISNUMBER($B$89),
IF($C99&lt;&gt;"",
IF('Cost Inputs'!$L$77="Y",
IF(AND(ISNUMBER(V$56), V$56&gt;$E$60), $E99+($E$60*(($E99/$E$60)+$V$55)), $E99),
IF('Cost Inputs'!$L$77="N",
IF(AND(ISNUMBER('Cost Inputs'!$M$77), OR('Cost Inputs'!$M$77=1,'Cost Inputs'!$M$77=7)),
IF(AND(ISNUMBER(V$56), V$56&gt;$E$60), $E99+($E$60*(($E99/$E$60)+$V$55)), $E99), ""),"")), ""), ""), "")</f>
        <v/>
      </c>
      <c r="Y99" s="373" t="str">
        <f>IF($V$3="N.B.C.",
IF(ISNUMBER($B$89),
IF($C99&lt;&gt;"",
IF('Cost Inputs'!$L$77="Y",
IF(AND(ISNUMBER(W$56), W$56&gt;$E$60), $E99+($E$60*(($E99/$E$60)+$W$55)), $E99),
IF('Cost Inputs'!$L$77="N",
IF(AND(ISNUMBER('Cost Inputs'!$M$77), OR('Cost Inputs'!$M$77=1,'Cost Inputs'!$M$77=2,'Cost Inputs'!$M$77=4,'Cost Inputs'!$M$77=8)),
IF(AND(ISNUMBER(W$56), W$56&gt;$E$60), $E99+($E$60*(($E99/$E$60)+$W$55)), $E99), ""),"")), ""), ""), "")</f>
        <v/>
      </c>
      <c r="Z99" s="373" t="str">
        <f>IF($W$3="N.B.C.",
IF(ISNUMBER($B$89),
IF($C99&lt;&gt;"",
IF('Cost Inputs'!$L$77="Y",
IF(AND(ISNUMBER(X$56), X$56&gt;$E$60), $E99+($E$60*(($E99/$E$60)+$X$55)), $E99),
IF('Cost Inputs'!$L$77="N",
IF(AND(ISNUMBER('Cost Inputs'!$M$77), OR('Cost Inputs'!$M$77=1,'Cost Inputs'!$M$77=3, 'Cost Inputs'!$M$77=9)),
IF(AND(ISNUMBER(X$56), X$56&gt;$E$60), $E99+($E$60*(($E99/$E$60)+$X$55)), $E99), ""),"")), ""), ""), "")</f>
        <v/>
      </c>
      <c r="AA99" s="373" t="str">
        <f>IF($X$3="N.B.C.",
IF(ISNUMBER($B$89),
IF($C99&lt;&gt;"",
IF('Cost Inputs'!$L$77="Y",
IF(AND(ISNUMBER(Y$56), Y$56&gt;$E$60), $E99+($E$60*(($E99/$E$60)+$Y$55)), $E99),
IF('Cost Inputs'!$L$77="N",
IF(AND(ISNUMBER('Cost Inputs'!$M$77), OR('Cost Inputs'!$M$77=1,'Cost Inputs'!$M$77=2, 'Cost Inputs'!$M$77=5)),
IF(AND(ISNUMBER(Y$56), Y$56&gt;$E$60), $E99+($E$60*(($E99/$E$60)+$Y$55)), $E99), ""),"")), ""), ""), "")</f>
        <v/>
      </c>
    </row>
    <row r="100" spans="1:28" x14ac:dyDescent="0.25">
      <c r="A100" s="518"/>
      <c r="B100" s="504"/>
      <c r="C100" s="358" t="str">
        <f>IF(AND(ISNUMBER(B89), OR('Cost Inputs'!$H$78&lt;&gt;"", 'Cost Inputs'!$I$78&lt;&gt;"", 'Cost Inputs'!$J$78&lt;&gt;"")),
IF((INDEX(ProgramYearStage1,MATCH(DNA_Test_1,Years_in_Stage1,0)))='Model_ of_individuals'!B89,  _3_4_1,
IF(C79&lt;&gt;"",  _3_4_1, "")),"")</f>
        <v/>
      </c>
      <c r="D100" s="17" t="str">
        <f>IF(AND(C100&lt;&gt;"", 'Cost Inputs'!$G$78&lt;&gt;""), 'Cost Inputs'!$G$78, "")</f>
        <v/>
      </c>
      <c r="E100" s="17" t="str">
        <f>IF(AND(C100&lt;&gt;"", 'Cost Inputs'!$H$78&lt;&gt;""), 'Cost Inputs'!$H$78, "")</f>
        <v/>
      </c>
      <c r="F100" s="17" t="str">
        <f>IF(AND(C100&lt;&gt;"", 'Cost Inputs'!$I$78&lt;&gt;""), 'Cost Inputs'!$I$78, "")</f>
        <v/>
      </c>
      <c r="G100" s="17" t="str">
        <f t="shared" si="5"/>
        <v/>
      </c>
      <c r="H100" s="17" t="str">
        <f>IF(AND(C100&lt;&gt;"", 'Cost Inputs'!$J$78&lt;&gt;""), 'Cost Inputs'!$J$78, "")</f>
        <v/>
      </c>
      <c r="I100" s="17" t="str">
        <f t="shared" si="4"/>
        <v/>
      </c>
      <c r="J100" s="17" t="str">
        <f>IF(AND(C100&lt;&gt;"",('Cost Inputs'!$I$78+'Cost Inputs'!$J$78+'Cost Inputs'!$K$78)&gt;0), 'Cost Inputs'!$I$78+'Cost Inputs'!$J$78+'Cost Inputs'!$K$78, "")</f>
        <v/>
      </c>
      <c r="K100" s="17" t="str">
        <f>IF(AND(C100&lt;&gt;"", 'Cost Inputs'!$N$78&gt;0),'Cost Inputs'!$N$78,"")</f>
        <v/>
      </c>
      <c r="M100" s="106"/>
      <c r="R100" s="364" t="str">
        <f>IF($O$3="N.B.C.",
IF(ISNUMBER($B$89),
IF($C100&lt;&gt;"",
IF('Cost Inputs'!$L$78="Y",
IF(ISNUMBER($P$55), $E100+($E$78*(($E100/$E$78)+$P$55)), $E100),
IF('Cost Inputs'!$L$78="N","","")), ""),""),"")</f>
        <v/>
      </c>
      <c r="S100" s="364" t="str">
        <f>IF($P$3="N.B.C.",
IF(ISNUMBER($B$89),
IF($C100&lt;&gt;"",
IF('Cost Inputs'!$L$78="Y",
IF(ISNUMBER($Q$55), $E100+($E$78*(($E100/$E$78)+$Q$55)), $E100),
IF('Cost Inputs'!$L$78="N",
IF(AND(ISNUMBER('Cost Inputs'!$M$78), OR('Cost Inputs'!$M$78=1,'Cost Inputs'!$M$78=2)),
IF(ISNUMBER($Q$55), $E100+($E$78*(($E100/$E$78)+$Q$55)), $E100),""),"")), ""),""),"")</f>
        <v/>
      </c>
      <c r="T100" s="364" t="str">
        <f>IF($Q$3="N.B.C.",
IF(ISNUMBER($B$89),
IF($C100&lt;&gt;"",
IF('Cost Inputs'!$L$78="Y",
IF(ISNUMBER($R$55), $E100+($E$78*(($E100/$E$78)+$R$55)), $E100),
IF('Cost Inputs'!$L$78="N",
IF(AND(ISNUMBER('Cost Inputs'!$M$78), OR('Cost Inputs'!$M$78=1,'Cost Inputs'!$M$78=3)),
IF(ISNUMBER($R$55), $E100+($E$78*(($E100/$E$78)+$R$55)), $E100),""),"")), ""),""),"")</f>
        <v/>
      </c>
      <c r="U100" s="364" t="str">
        <f>IF($R$3="N.B.C.",
IF(ISNUMBER($B$89),
IF($C100&lt;&gt;"",
IF('Cost Inputs'!$L$78="Y",
IF(ISNUMBER($S$55), $E100+($E$78*(($E100/$E$78)+$S$55)), $E100),
IF('Cost Inputs'!$L$78="N",
IF(AND(ISNUMBER('Cost Inputs'!$M$78), OR('Cost Inputs'!$M$78=1,'Cost Inputs'!$M$78=2,'Cost Inputs'!$M$78=4)),
IF(ISNUMBER($S$55), $E100+($E$78*(($E100/$E$78)+$S$55)), $E100),""),"")), ""),""),"")</f>
        <v/>
      </c>
      <c r="V100" s="364" t="str">
        <f>IF($S$3="N.B.C.",
IF(ISNUMBER($B$89),
IF($C100&lt;&gt;"",
IF('Cost Inputs'!$L$78="Y",
IF(ISNUMBER($T$55), $E100+($E$78*(($E100/$E$78)+$T$55)), $E100),
IF('Cost Inputs'!$L$78="N",
IF(AND(ISNUMBER('Cost Inputs'!$M$78), OR('Cost Inputs'!$M$78=1,'Cost Inputs'!$M$78=5)),
IF(ISNUMBER($T$55), $E100+($E$78*(($E100/$E$78)+$T$55)), $E100),""),"")), ""),""),"")</f>
        <v/>
      </c>
      <c r="W100" s="364" t="str">
        <f>IF($T$3="N.B.C.",
IF(ISNUMBER($B$89),
IF($C100&lt;&gt;"",
IF('Cost Inputs'!$L$78="Y",
IF(ISNUMBER($U$55), $E100+($E$78*(($E100/$E$78)+$U$55)), $E100),
IF('Cost Inputs'!$L$78="N",
IF(AND(ISNUMBER('Cost Inputs'!$M$78), OR('Cost Inputs'!$M$78=1,'Cost Inputs'!$M$78=2,'Cost Inputs'!$M$78=3,'Cost Inputs'!$M$78=6)),
IF(ISNUMBER($U$55), $E100+($E$78*(($E100/$E$78)+$U$55)), $E100),""),"")), ""),""),"")</f>
        <v/>
      </c>
      <c r="X100" s="364" t="str">
        <f>IF($U$3="N.B.C.",
IF(ISNUMBER($B$89),
IF($C100&lt;&gt;"",
IF('Cost Inputs'!$L$78="Y",
IF(ISNUMBER($V$55), $E100+($E$78*(($E100/$E$78)+$V$55)), $E100),
IF('Cost Inputs'!$L$78="N",
IF(AND(ISNUMBER('Cost Inputs'!$M$78), OR('Cost Inputs'!$M$78=1,'Cost Inputs'!$M$78=7)),
IF(ISNUMBER($V$55), $E100+($E$78*(($E100/$E$78)+$V$55)), $E100),""),"")), ""),""),"")</f>
        <v/>
      </c>
      <c r="Y100" s="364" t="str">
        <f>IF($V$3="N.B.C.",
IF(ISNUMBER($B$89),
IF($C100&lt;&gt;"",
IF('Cost Inputs'!$L$78="Y",
IF(ISNUMBER($W$55), $E100+($E$78*(($E100/$E$78)+$W$55)), $E100),
IF('Cost Inputs'!$L$78="N",
IF(AND(ISNUMBER('Cost Inputs'!$M$78), OR('Cost Inputs'!$M$78=1,'Cost Inputs'!$M$78=2,'Cost Inputs'!$M$78=4,'Cost Inputs'!$M$78=8)),
IF(ISNUMBER($W$55), $E100+($E$78*(($E100/$E$78)+$W$55)), $E100),""),"")), ""),""),"")</f>
        <v/>
      </c>
      <c r="Z100" s="364" t="str">
        <f>IF($W$3="N.B.C.",
IF(ISNUMBER($B$89),
IF($C100&lt;&gt;"",
IF('Cost Inputs'!$L$78="Y",
IF(ISNUMBER($X$55), $E100+($E$78*(($E100/$E$78)+$X$55)), $E100),
IF('Cost Inputs'!$L$78="N",
IF(AND(ISNUMBER('Cost Inputs'!$M$78), OR('Cost Inputs'!$M$78=1,'Cost Inputs'!$M$78=3,'Cost Inputs'!$M$78=9)),
IF(ISNUMBER($X$55), $E100+($E$78*(($E100/$E$78)+$X$55)), $E100),""),"")), ""),""),"")</f>
        <v/>
      </c>
      <c r="AA100" s="364" t="str">
        <f>IF($X$3="N.B.C.",
IF(ISNUMBER($B$89),
IF($C100&lt;&gt;"",
IF('Cost Inputs'!$L$78="Y",
IF(ISNUMBER($Y$55), $E100+($E$78*(($E100/$E$78)+$Y$55)), $E100),
IF('Cost Inputs'!$L$78="N",
IF(AND(ISNUMBER('Cost Inputs'!$M$78), OR('Cost Inputs'!$M$78=1,'Cost Inputs'!$M$78=2,'Cost Inputs'!$M$78=5)),
IF(ISNUMBER($Y$55), $E100+($E$78*(($E100/$E$78)+$Y$55)), $E100),""),"")), ""),""),"")</f>
        <v/>
      </c>
    </row>
    <row r="101" spans="1:28" x14ac:dyDescent="0.25">
      <c r="A101" s="518"/>
      <c r="B101" s="504"/>
      <c r="C101" s="361" t="str">
        <f>IF(AND(ISNUMBER(B89), OR('Cost Inputs'!$H$79&lt;&gt;"", 'Cost Inputs'!$I$79&lt;&gt;"", 'Cost Inputs'!$J$79&lt;&gt;"")),
IF((INDEX(ProgramYearStage1,MATCH(DNA_Test_1,Years_in_Stage1,0)))='Model_ of_individuals'!B89,  _3_4_2, ""),"")</f>
        <v/>
      </c>
      <c r="D101" s="93" t="str">
        <f>IF(AND(C101&lt;&gt;"", 'Cost Inputs'!$G$79&lt;&gt;""), 'Cost Inputs'!$G$79, "")</f>
        <v/>
      </c>
      <c r="E101" s="93" t="str">
        <f>IF(AND(C101&lt;&gt;"", 'Cost Inputs'!$H$79&lt;&gt;""), 'Cost Inputs'!$H$79, "")</f>
        <v/>
      </c>
      <c r="F101" s="93" t="str">
        <f>IF(AND(C101&lt;&gt;"", 'Cost Inputs'!$I$79&lt;&gt;""), 'Cost Inputs'!$I$79, "")</f>
        <v/>
      </c>
      <c r="G101" s="93" t="str">
        <f t="shared" si="5"/>
        <v/>
      </c>
      <c r="H101" s="93" t="str">
        <f>IF(AND(C101&lt;&gt;"", 'Cost Inputs'!$J$79&lt;&gt;""), 'Cost Inputs'!$J$79, "")</f>
        <v/>
      </c>
      <c r="I101" s="93" t="str">
        <f t="shared" si="4"/>
        <v/>
      </c>
      <c r="J101" s="93" t="str">
        <f>IF(AND(C101&lt;&gt;"",('Cost Inputs'!$I$79+'Cost Inputs'!$J$79+'Cost Inputs'!$K$79)&gt;0), 'Cost Inputs'!$I$79+'Cost Inputs'!$J$79+'Cost Inputs'!$K$79, "")</f>
        <v/>
      </c>
      <c r="K101" s="93" t="str">
        <f>IF(AND(C101&lt;&gt;"", 'Cost Inputs'!$N$79&gt;0),'Cost Inputs'!$N$79,"")</f>
        <v/>
      </c>
      <c r="L101" s="93"/>
      <c r="M101" s="109"/>
      <c r="R101" s="372" t="str">
        <f>IF($O$3="N.B.C.",
IF(ISNUMBER($B$89),
IF($C101&lt;&gt;"",
IF('Cost Inputs'!$L$79="Y",
IF(ISNUMBER($P$55), $E101+($E$78*(($E101/$E$78)+$P$55)), $E101),
IF('Cost Inputs'!$L$79="N","","")), ""),""),"")</f>
        <v/>
      </c>
      <c r="S101" s="372" t="str">
        <f>IF($P$3="N.B.C.",
IF(ISNUMBER($B$89),
IF($C101&lt;&gt;"",
IF('Cost Inputs'!$L$79="Y",
IF(ISNUMBER($Q$55), $E101+($E$78*(($E101/$E$78)+$Q$55)), $E101),
IF('Cost Inputs'!$L$79="N",
IF(AND(ISNUMBER('Cost Inputs'!$M$79), OR('Cost Inputs'!$M$79=1,'Cost Inputs'!$M$79=2)),
IF(ISNUMBER($Q$55), $E101+($E$78*(($E101/$E$78)+$Q$55)), $E101),""),"")), ""),""),"")</f>
        <v/>
      </c>
      <c r="T101" s="372" t="str">
        <f>IF($Q$3="N.B.C.",
IF(ISNUMBER($B$89),
IF($C101&lt;&gt;"",
IF('Cost Inputs'!$L$79="Y",
IF(ISNUMBER($R$55), $E101+($E$78*(($E101/$E$78)+$R$55)), $E101),
IF('Cost Inputs'!$L$79="N",
IF(AND(ISNUMBER('Cost Inputs'!$M$79), OR('Cost Inputs'!$M$79=1,'Cost Inputs'!$M$79=3)),
IF(ISNUMBER($R$55), $E101+($E$78*(($E101/$E$78)+$R$55)), $E101),""),"")), ""),""),"")</f>
        <v/>
      </c>
      <c r="U101" s="372" t="str">
        <f>IF($R$3="N.B.C.",
IF(ISNUMBER($B$89),
IF($C101&lt;&gt;"",
IF('Cost Inputs'!$L$79="Y",
IF(ISNUMBER($S$55), $E101+($E$78*(($E101/$E$78)+$S$55)), $E101),
IF('Cost Inputs'!$L$79="N",
IF(AND(ISNUMBER('Cost Inputs'!$M$79), OR('Cost Inputs'!$M$79=1,'Cost Inputs'!$M$79=2,'Cost Inputs'!$M$79=4)),
IF(ISNUMBER($S$55), $E101+($E$78*(($E101/$E$78)+$S$55)), $E101),""),"")), ""),""),"")</f>
        <v/>
      </c>
      <c r="V101" s="372" t="str">
        <f>IF($S$3="N.B.C.",
IF(ISNUMBER($B$89),
IF($C101&lt;&gt;"",
IF('Cost Inputs'!$L$79="Y",
IF(ISNUMBER($T$55), $E101+($E$78*(($E101/$E$78)+$T$55)), $E101),
IF('Cost Inputs'!$L$79="N",
IF(AND(ISNUMBER('Cost Inputs'!$M$79), OR('Cost Inputs'!$M$79=1,'Cost Inputs'!$M$79=5)),
IF(ISNUMBER($T$55), $E101+($E$78*(($E101/$E$78)+$T$55)), $E101),""),"")), ""),""),"")</f>
        <v/>
      </c>
      <c r="W101" s="372" t="str">
        <f>IF($T$3="N.B.C.",
IF(ISNUMBER($B$89),
IF($C101&lt;&gt;"",
IF('Cost Inputs'!$L$79="Y",
IF(ISNUMBER($U$55), $E101+($E$78*(($E101/$E$78)+$U$55)), $E101),
IF('Cost Inputs'!$L$79="N",
IF(AND(ISNUMBER('Cost Inputs'!$M$79), OR('Cost Inputs'!$M$79=1,'Cost Inputs'!$M$79=2,'Cost Inputs'!$M$79=3,'Cost Inputs'!$M$79=6)),
IF(ISNUMBER($U$55), $E101+($E$78*(($E101/$E$78)+$U$55)), $E101),""),"")), ""),""),"")</f>
        <v/>
      </c>
      <c r="X101" s="372" t="str">
        <f>IF($U$3="N.B.C.",
IF(ISNUMBER($B$89),
IF($C101&lt;&gt;"",
IF('Cost Inputs'!$L$79="Y",
IF(ISNUMBER($V$55), $E101+($E$78*(($E101/$E$78)+$V$55)), $E101),
IF('Cost Inputs'!$L$79="N",
IF(AND(ISNUMBER('Cost Inputs'!$M$79), OR('Cost Inputs'!$M$79=1,'Cost Inputs'!$M$79=7)),
IF(ISNUMBER($V$55), $E101+($E$78*(($E101/$E$78)+$V$55)), $E101),""),"")), ""),""),"")</f>
        <v/>
      </c>
      <c r="Y101" s="372" t="str">
        <f>IF($V$3="N.B.C.",
IF(ISNUMBER($B$89),
IF($C101&lt;&gt;"",
IF('Cost Inputs'!$L$79="Y",
IF(ISNUMBER($W$55), $E101+($E$78*(($E101/$E$78)+$W$55)), $E101),
IF('Cost Inputs'!$L$79="N",
IF(AND(ISNUMBER('Cost Inputs'!$M$79), OR('Cost Inputs'!$M$79=1,'Cost Inputs'!$M$79=2,'Cost Inputs'!$M$79=4,'Cost Inputs'!$M$79=8)),
IF(ISNUMBER($W$55), $E101+($E$78*(($E101/$E$78)+$W$55)), $E101),""),"")), ""),""),"")</f>
        <v/>
      </c>
      <c r="Z101" s="372" t="str">
        <f>IF($W$3="N.B.C.",
IF(ISNUMBER($B$89),
IF($C101&lt;&gt;"",
IF('Cost Inputs'!$L$79="Y",
IF(ISNUMBER($X$55), $E101+($E$78*(($E101/$E$78)+$X$55)), $E101),
IF('Cost Inputs'!$L$79="N",
IF(AND(ISNUMBER('Cost Inputs'!$M$79), OR('Cost Inputs'!$M$79=1,'Cost Inputs'!$M$79=3,'Cost Inputs'!$M$79=9)),
IF(ISNUMBER($X$55), $E101+($E$78*(($E101/$E$78)+$X$55)), $E101),""),"")), ""),""),"")</f>
        <v/>
      </c>
      <c r="AA101" s="372" t="str">
        <f>IF($X$3="N.B.C.",
IF(ISNUMBER($B$89),
IF($C101&lt;&gt;"",
IF('Cost Inputs'!$L$79="Y",
IF(ISNUMBER($Y$55), $E101+($E$78*(($E101/$E$78)+$Y$55)), $E101),
IF('Cost Inputs'!$L$79="N",
IF(AND(ISNUMBER('Cost Inputs'!$M$79), OR('Cost Inputs'!$M$79=1,'Cost Inputs'!$M$79=2,'Cost Inputs'!$M$79=5)),
IF(ISNUMBER($Y$55), $E101+($E$78*(($E101/$E$78)+$Y$55)), $E101),""),"")), ""),""),"")</f>
        <v/>
      </c>
    </row>
    <row r="102" spans="1:28" x14ac:dyDescent="0.25">
      <c r="A102" s="518"/>
      <c r="B102" s="504"/>
      <c r="C102" s="358" t="str">
        <f>IF(AND(ISNUMBER(B89), OR('Cost Inputs'!$H$80&lt;&gt;"", 'Cost Inputs'!$I$80&lt;&gt;"", 'Cost Inputs'!$J$80&lt;&gt;"")),
IF((INDEX(ProgramYearStage1,MATCH(DNA_Test_1,Years_in_Stage1,0)))='Model_ of_individuals'!B89,  _3_4_3, ""),"")</f>
        <v/>
      </c>
      <c r="D102" s="17" t="str">
        <f>IF(AND(C102&lt;&gt;"", 'Cost Inputs'!$G$80&lt;&gt;""), 'Cost Inputs'!$G$80, "")</f>
        <v/>
      </c>
      <c r="E102" s="17" t="str">
        <f>IF(AND(C102&lt;&gt;"", 'Cost Inputs'!$H$80&lt;&gt;""), 'Cost Inputs'!$H$80, "")</f>
        <v/>
      </c>
      <c r="F102" s="17" t="str">
        <f>IF(AND(C102&lt;&gt;"", 'Cost Inputs'!$I$80&lt;&gt;""), 'Cost Inputs'!$I$80, "")</f>
        <v/>
      </c>
      <c r="G102" s="17" t="str">
        <f t="shared" si="5"/>
        <v/>
      </c>
      <c r="H102" s="17" t="str">
        <f>IF(AND(C102&lt;&gt;"", 'Cost Inputs'!$J$80&lt;&gt;""), 'Cost Inputs'!$J$80, "")</f>
        <v/>
      </c>
      <c r="I102" s="17" t="str">
        <f t="shared" si="4"/>
        <v/>
      </c>
      <c r="J102" s="17" t="str">
        <f>IF(AND(C102&lt;&gt;"",('Cost Inputs'!$I$80+'Cost Inputs'!$J$80+'Cost Inputs'!$K$80)&gt;0), 'Cost Inputs'!$I$80+'Cost Inputs'!$J$80+'Cost Inputs'!$K$80, "")</f>
        <v/>
      </c>
      <c r="K102" s="17" t="str">
        <f>IF(AND(C102&lt;&gt;"", 'Cost Inputs'!$N$80&gt;0),'Cost Inputs'!$N$80,"")</f>
        <v/>
      </c>
      <c r="M102" s="106"/>
      <c r="R102" s="364" t="str">
        <f>IF($O$3="N.B.C.",
IF(ISNUMBER($B$89),
IF($C102&lt;&gt;"",
IF('Cost Inputs'!$L$80="Y",
IF(ISNUMBER($P$55), $E102+($E$78*(($E102/$E$78)+$P$55)), $E102),
IF('Cost Inputs'!$L$80="N","","")), ""),""),"")</f>
        <v/>
      </c>
      <c r="S102" s="364" t="str">
        <f>IF($P$3="N.B.C.",
IF(ISNUMBER($B$89),
IF($C102&lt;&gt;"",
IF('Cost Inputs'!$L$80="Y",
IF(ISNUMBER($Q$55), $E102+($E$78*(($E102/$E$78)+$Q$55)), $E102),
IF('Cost Inputs'!$L$80="N",
IF(AND(ISNUMBER('Cost Inputs'!$M$80), OR('Cost Inputs'!$M$80=1,'Cost Inputs'!$M$80=2)),
IF(ISNUMBER($Q$55), $E102+($E$78*(($E102/$E$78)+$Q$55)), $E102),""),"")), ""),""),"")</f>
        <v/>
      </c>
      <c r="T102" s="364" t="str">
        <f>IF($Q$3="N.B.C.",
IF(ISNUMBER($B$89),
IF($C102&lt;&gt;"",
IF('Cost Inputs'!$L$80="Y",
IF(ISNUMBER($R$55), $E102+($E$78*(($E102/$E$78)+$R$55)), $E102),
IF('Cost Inputs'!$L$80="N",
IF(AND(ISNUMBER('Cost Inputs'!$M$80), OR('Cost Inputs'!$M$80=1,'Cost Inputs'!$M$80=3)),
IF(ISNUMBER($R$55), $E102+($E$78*(($E102/$E$78)+$R$55)), $E102),""),"")), ""),""),"")</f>
        <v/>
      </c>
      <c r="U102" s="364" t="str">
        <f>IF($R$3="N.B.C.",
IF(ISNUMBER($B$89),
IF($C102&lt;&gt;"",
IF('Cost Inputs'!$L$80="Y",
IF(ISNUMBER($S$55), $E102+($E$78*(($E102/$E$78)+$S$55)), $E102),
IF('Cost Inputs'!$L$80="N",
IF(AND(ISNUMBER('Cost Inputs'!$M$80), OR('Cost Inputs'!$M$80=1,'Cost Inputs'!$M$80=2,'Cost Inputs'!$M$80=4)),
IF(ISNUMBER($S$55), $E102+($E$78*(($E102/$E$78)+$S$55)), $E102),""),"")), ""),""),"")</f>
        <v/>
      </c>
      <c r="V102" s="364" t="str">
        <f>IF($S$3="N.B.C.",
IF(ISNUMBER($B$89),
IF($C102&lt;&gt;"",
IF('Cost Inputs'!$L$80="Y",
IF(ISNUMBER($T$55), $E102+($E$78*(($E102/$E$78)+$T$55)), $E102),
IF('Cost Inputs'!$L$80="N",
IF(AND(ISNUMBER('Cost Inputs'!$M$80), OR('Cost Inputs'!$M$80=1,'Cost Inputs'!$M$80=5)),
IF(ISNUMBER($T$55), $E102+($E$78*(($E102/$E$78)+$T$55)), $E102),""),"")), ""),""),"")</f>
        <v/>
      </c>
      <c r="W102" s="364" t="str">
        <f>IF($T$3="N.B.C.",
IF(ISNUMBER($B$89),
IF($C102&lt;&gt;"",
IF('Cost Inputs'!$L$80="Y",
IF(ISNUMBER($U$55), $E102+($E$78*(($E102/$E$78)+$U$55)), $E102),
IF('Cost Inputs'!$L$80="N",
IF(AND(ISNUMBER('Cost Inputs'!$M$80), OR('Cost Inputs'!$M$80=1,'Cost Inputs'!$M$80=2,'Cost Inputs'!$M$80=3,'Cost Inputs'!$M$80=6)),
IF(ISNUMBER($U$55), $E102+($E$78*(($E102/$E$78)+$U$55)), $E102),""),"")), ""),""),"")</f>
        <v/>
      </c>
      <c r="X102" s="364" t="str">
        <f>IF($U$3="N.B.C.",
IF(ISNUMBER($B$89),
IF($C102&lt;&gt;"",
IF('Cost Inputs'!$L$80="Y",
IF(ISNUMBER($V$55), $E102+($E$78*(($E102/$E$78)+$V$55)), $E102),
IF('Cost Inputs'!$L$80="N",
IF(AND(ISNUMBER('Cost Inputs'!$M$80), OR('Cost Inputs'!$M$80=1,'Cost Inputs'!$M$80=7)),
IF(ISNUMBER($V$55), $E102+($E$78*(($E102/$E$78)+$V$55)), $E102),""),"")), ""),""),"")</f>
        <v/>
      </c>
      <c r="Y102" s="364" t="str">
        <f>IF($V$3="N.B.C.",
IF(ISNUMBER($B$89),
IF($C102&lt;&gt;"",
IF('Cost Inputs'!$L$80="Y",
IF(ISNUMBER($W$55), $E102+($E$78*(($E102/$E$78)+$W$55)), $E102),
IF('Cost Inputs'!$L$80="N",
IF(AND(ISNUMBER('Cost Inputs'!$M$80), OR('Cost Inputs'!$M$80=1,'Cost Inputs'!$M$80=2,'Cost Inputs'!$M$80=4,'Cost Inputs'!$M$80=8)),
IF(ISNUMBER($W$55), $E102+($E$78*(($E102/$E$78)+$W$55)), $E102),""),"")), ""),""),"")</f>
        <v/>
      </c>
      <c r="Z102" s="364" t="str">
        <f>IF($W$3="N.B.C.",
IF(ISNUMBER($B$89),
IF($C102&lt;&gt;"",
IF('Cost Inputs'!$L$80="Y",
IF(ISNUMBER($X$55), $E102+($E$78*(($E102/$E$78)+$X$55)), $E102),
IF('Cost Inputs'!$L$80="N",
IF(AND(ISNUMBER('Cost Inputs'!$M$80), OR('Cost Inputs'!$M$80=1,'Cost Inputs'!$M$80=3,'Cost Inputs'!$M$80=9)),
IF(ISNUMBER($X$55), $E102+($E$78*(($E102/$E$78)+$X$55)), $E102),""),"")), ""),""),"")</f>
        <v/>
      </c>
      <c r="AA102" s="364" t="str">
        <f>IF($X$3="N.B.C.",
IF(ISNUMBER($B$89),
IF($C102&lt;&gt;"",
IF('Cost Inputs'!$L$80="Y",
IF(ISNUMBER($Y$55), $E102+($E$78*(($E102/$E$78)+$Y$55)), $E102),
IF('Cost Inputs'!$L$80="N",
IF(AND(ISNUMBER('Cost Inputs'!$M$80), OR('Cost Inputs'!$M$80=1,'Cost Inputs'!$M$80=2,'Cost Inputs'!$M$80=5)),
IF(ISNUMBER($Y$55), $E102+($E$78*(($E102/$E$78)+$Y$55)), $E102),""),"")), ""),""),"")</f>
        <v/>
      </c>
    </row>
    <row r="103" spans="1:28" x14ac:dyDescent="0.25">
      <c r="A103" s="518"/>
      <c r="B103" s="504"/>
      <c r="C103" s="361" t="str">
        <f>IF(AND(ISNUMBER(B89), OR('Cost Inputs'!$H$81&lt;&gt;"", 'Cost Inputs'!$I$81&lt;&gt;"", 'Cost Inputs'!$J$81&lt;&gt;"")),
IF((INDEX(ProgramYearStage1,MATCH(DNA_Test_1,Years_in_Stage1,0)))='Model_ of_individuals'!B89,  _3_4_4, ""),"")</f>
        <v/>
      </c>
      <c r="D103" s="93" t="str">
        <f>IF(AND(C103&lt;&gt;"", 'Cost Inputs'!$G$81&lt;&gt;""), 'Cost Inputs'!$G$81, "")</f>
        <v/>
      </c>
      <c r="E103" s="93" t="str">
        <f>IF(AND(C103&lt;&gt;"", 'Cost Inputs'!$H$81&lt;&gt;""), 'Cost Inputs'!$H$81, "")</f>
        <v/>
      </c>
      <c r="F103" s="93" t="str">
        <f>IF(AND(C103&lt;&gt;"", 'Cost Inputs'!$I$81&lt;&gt;""), 'Cost Inputs'!$I$81, "")</f>
        <v/>
      </c>
      <c r="G103" s="93" t="str">
        <f t="shared" si="5"/>
        <v/>
      </c>
      <c r="H103" s="93" t="str">
        <f>IF(AND(C103&lt;&gt;"", 'Cost Inputs'!$J$81&lt;&gt;""), 'Cost Inputs'!$J$81, "")</f>
        <v/>
      </c>
      <c r="I103" s="93" t="str">
        <f t="shared" si="4"/>
        <v/>
      </c>
      <c r="J103" s="93" t="str">
        <f>IF(AND(C103&lt;&gt;"",('Cost Inputs'!$I$81+'Cost Inputs'!$J$81+'Cost Inputs'!$K$81)&gt;0), 'Cost Inputs'!$I$81+'Cost Inputs'!$J$81+'Cost Inputs'!$K$81, "")</f>
        <v/>
      </c>
      <c r="K103" s="93" t="str">
        <f>IF(AND(C103&lt;&gt;"", 'Cost Inputs'!$N$81&gt;0),'Cost Inputs'!$N$81,"")</f>
        <v/>
      </c>
      <c r="L103" s="93"/>
      <c r="M103" s="109"/>
      <c r="R103" s="372" t="str">
        <f>IF($O$3="N.B.C.",
IF(ISNUMBER($B$89),
IF($C103&lt;&gt;"",
IF('Cost Inputs'!$L$81="Y",
IF(ISNUMBER($P$55), $E103+($E$78*(($E103/$E$78)+$P$55)), $E103),
IF('Cost Inputs'!$L$81="N","","")), ""),""),"")</f>
        <v/>
      </c>
      <c r="S103" s="372" t="str">
        <f>IF($P$3="N.B.C.",
IF(ISNUMBER($B$89),
IF($C103&lt;&gt;"",
IF('Cost Inputs'!$L$81="Y",
IF(ISNUMBER($Q$55), $E103+($E$78*(($E103/$E$78)+$Q$55)), $E103),
IF('Cost Inputs'!$L$81="N",
IF(AND(ISNUMBER('Cost Inputs'!$M$81), OR('Cost Inputs'!$M$81=1,'Cost Inputs'!$M$81=2)),
IF(ISNUMBER($Q$55), $E103+($E$78*(($E103/$E$78)+$Q$55)), $E103),""),"")), ""),""),"")</f>
        <v/>
      </c>
      <c r="T103" s="372" t="str">
        <f>IF($Q$3="N.B.C.",
IF(ISNUMBER($B$89),
IF($C103&lt;&gt;"",
IF('Cost Inputs'!$L$81="Y",
IF(ISNUMBER($R$55), $E103+($E$78*(($E103/$E$78)+$R$55)), $E103),
IF('Cost Inputs'!$L$81="N",
IF(AND(ISNUMBER('Cost Inputs'!$M$81), OR('Cost Inputs'!$M$81=1,'Cost Inputs'!$M$81=3)),
IF(ISNUMBER($R$55), $E103+($E$78*(($E103/$E$78)+$R$55)), $E103),""),"")), ""),""),"")</f>
        <v/>
      </c>
      <c r="U103" s="372" t="str">
        <f>IF($R$3="N.B.C.",
IF(ISNUMBER($B$89),
IF($C103&lt;&gt;"",
IF('Cost Inputs'!$L$81="Y",
IF(ISNUMBER($S$55), $E103+($E$78*(($E103/$E$78)+$S$55)), $E103),
IF('Cost Inputs'!$L$81="N",
IF(AND(ISNUMBER('Cost Inputs'!$M$81), OR('Cost Inputs'!$M$81=1,'Cost Inputs'!$M$81=2,'Cost Inputs'!$M$81=4)),
IF(ISNUMBER($S$55), $E103+($E$78*(($E103/$E$78)+$S$55)), $E103),""),"")), ""),""),"")</f>
        <v/>
      </c>
      <c r="V103" s="372" t="str">
        <f>IF($S$3="N.B.C.",
IF(ISNUMBER($B$89),
IF($C103&lt;&gt;"",
IF('Cost Inputs'!$L$81="Y",
IF(ISNUMBER($T$55), $E103+($E$78*(($E103/$E$78)+$T$55)), $E103),
IF('Cost Inputs'!$L$81="N",
IF(AND(ISNUMBER('Cost Inputs'!$M$81), OR('Cost Inputs'!$M$81=1,'Cost Inputs'!$M$81=5)),
IF(ISNUMBER($T$55), $E103+($E$78*(($E103/$E$78)+$T$55)), $E103),""),"")), ""),""),"")</f>
        <v/>
      </c>
      <c r="W103" s="372" t="str">
        <f>IF($T$3="N.B.C.",
IF(ISNUMBER($B$89),
IF($C103&lt;&gt;"",
IF('Cost Inputs'!$L$81="Y",
IF(ISNUMBER($U$55), $E103+($E$78*(($E103/$E$78)+$U$55)), $E103),
IF('Cost Inputs'!$L$81="N",
IF(AND(ISNUMBER('Cost Inputs'!$M$81), OR('Cost Inputs'!$M$81=1,'Cost Inputs'!$M$81=2,'Cost Inputs'!$M$81=3,'Cost Inputs'!$M$81=6)),
IF(ISNUMBER($U$55), $E103+($E$78*(($E103/$E$78)+$U$55)), $E103),""),"")), ""),""),"")</f>
        <v/>
      </c>
      <c r="X103" s="372" t="str">
        <f>IF($U$3="N.B.C.",
IF(ISNUMBER($B$89),
IF($C103&lt;&gt;"",
IF('Cost Inputs'!$L$81="Y",
IF(ISNUMBER($V$55), $E103+($E$78*(($E103/$E$78)+$V$55)), $E103),
IF('Cost Inputs'!$L$81="N",
IF(AND(ISNUMBER('Cost Inputs'!$M$81), OR('Cost Inputs'!$M$81=1,'Cost Inputs'!$M$81=7)),
IF(ISNUMBER($V$55), $E103+($E$78*(($E103/$E$78)+$V$55)), $E103),""),"")), ""),""),"")</f>
        <v/>
      </c>
      <c r="Y103" s="372" t="str">
        <f>IF($V$3="N.B.C.",
IF(ISNUMBER($B$89),
IF($C103&lt;&gt;"",
IF('Cost Inputs'!$L$81="Y",
IF(ISNUMBER($W$55), $E103+($E$78*(($E103/$E$78)+$W$55)), $E103),
IF('Cost Inputs'!$L$81="N",
IF(AND(ISNUMBER('Cost Inputs'!$M$81), OR('Cost Inputs'!$M$81=1,'Cost Inputs'!$M$81=2,'Cost Inputs'!$M$81=4,'Cost Inputs'!$M$81=8)),
IF(ISNUMBER($W$55), $E103+($E$78*(($E103/$E$78)+$W$55)), $E103),""),"")), ""),""),"")</f>
        <v/>
      </c>
      <c r="Z103" s="372" t="str">
        <f>IF($W$3="N.B.C.",
IF(ISNUMBER($B$89),
IF($C103&lt;&gt;"",
IF('Cost Inputs'!$L$81="Y",
IF(ISNUMBER($X$55), $E103+($E$78*(($E103/$E$78)+$X$55)), $E103),
IF('Cost Inputs'!$L$81="N",
IF(AND(ISNUMBER('Cost Inputs'!$M$81), OR('Cost Inputs'!$M$81=1,'Cost Inputs'!$M$81=3,'Cost Inputs'!$M$81=9)),
IF(ISNUMBER($X$55), $E103+($E$78*(($E103/$E$78)+$X$55)), $E103),""),"")), ""),""),"")</f>
        <v/>
      </c>
      <c r="AA103" s="372" t="str">
        <f>IF($X$3="N.B.C.",
IF(ISNUMBER($B$89),
IF($C103&lt;&gt;"",
IF('Cost Inputs'!$L$81="Y",
IF(ISNUMBER($Y$55), $E103+($E$78*(($E103/$E$78)+$Y$55)), $E103),
IF('Cost Inputs'!$L$81="N",
IF(AND(ISNUMBER('Cost Inputs'!$M$81), OR('Cost Inputs'!$M$81=1,'Cost Inputs'!$M$81=2,'Cost Inputs'!$M$81=5)),
IF(ISNUMBER($Y$55), $E103+($E$78*(($E103/$E$78)+$Y$55)), $E103),""),"")), ""),""),"")</f>
        <v/>
      </c>
    </row>
    <row r="104" spans="1:28" x14ac:dyDescent="0.25">
      <c r="A104" s="518"/>
      <c r="B104" s="504"/>
      <c r="C104" s="358" t="str">
        <f>IF(AND(ISNUMBER(B89), OR('Cost Inputs'!$H$82&lt;&gt;"", 'Cost Inputs'!$I$82&lt;&gt;"", 'Cost Inputs'!$J$82&lt;&gt;"")),
IF((INDEX(ProgramYearStage1,MATCH(DNA_Test_1,Years_in_Stage1,0)))='Model_ of_individuals'!B89,  _3_4_5, ""),"")</f>
        <v/>
      </c>
      <c r="D104" s="17" t="str">
        <f>IF(AND(C104&lt;&gt;"", 'Cost Inputs'!$G$82&lt;&gt;""), 'Cost Inputs'!$G$82, "")</f>
        <v/>
      </c>
      <c r="E104" s="17" t="str">
        <f>IF(AND(C104&lt;&gt;"", 'Cost Inputs'!$H$82&lt;&gt;""), 'Cost Inputs'!$H$82, "")</f>
        <v/>
      </c>
      <c r="F104" s="17" t="str">
        <f>IF(AND(C104&lt;&gt;"", 'Cost Inputs'!$I$82&lt;&gt;""), 'Cost Inputs'!$I$82, "")</f>
        <v/>
      </c>
      <c r="G104" s="17" t="str">
        <f t="shared" si="5"/>
        <v/>
      </c>
      <c r="H104" s="17" t="str">
        <f>IF(AND(C104&lt;&gt;"", 'Cost Inputs'!$J$82&lt;&gt;""), 'Cost Inputs'!$J$82, "")</f>
        <v/>
      </c>
      <c r="I104" s="17" t="str">
        <f t="shared" si="4"/>
        <v/>
      </c>
      <c r="J104" s="17" t="str">
        <f>IF(AND(C104&lt;&gt;"",('Cost Inputs'!$I$82+'Cost Inputs'!$J$82+'Cost Inputs'!$K$82)&gt;0), 'Cost Inputs'!$I$82+'Cost Inputs'!$J$82+'Cost Inputs'!$K$82, "")</f>
        <v/>
      </c>
      <c r="K104" s="17" t="str">
        <f>IF(AND(C104&lt;&gt;"", 'Cost Inputs'!$N$82&gt;0),'Cost Inputs'!$N$82,"")</f>
        <v/>
      </c>
      <c r="M104" s="106"/>
      <c r="R104" s="364" t="str">
        <f>IF($O$3="N.B.C.",
IF(ISNUMBER($B$89),
IF($C104&lt;&gt;"",
IF('Cost Inputs'!$L$82="Y",
IF(ISNUMBER($P$55), $E104+($E$78*(($E104/$E$78)+$P$55)), $E104),
IF('Cost Inputs'!$L$82="N","","")), ""),""),"")</f>
        <v/>
      </c>
      <c r="S104" s="364" t="str">
        <f>IF($P$3="N.B.C.",
IF(ISNUMBER($B$89),
IF($C104&lt;&gt;"",
IF('Cost Inputs'!$L$82="Y",
IF(ISNUMBER($Q$55), $E104+($E$78*(($E104/$E$78)+$Q$55)), $E104),
IF('Cost Inputs'!$L$82="N",
IF(AND(ISNUMBER('Cost Inputs'!$M$82), OR('Cost Inputs'!$M$82=1,'Cost Inputs'!$M$82=2)),
IF(ISNUMBER($Q$55), $E104+($E$78*(($E104/$E$78)+$Q$55)), $E104),""),"")), ""),""),"")</f>
        <v/>
      </c>
      <c r="T104" s="364" t="str">
        <f>IF($Q$3="N.B.C.",
IF(ISNUMBER($B$89),
IF($C104&lt;&gt;"",
IF('Cost Inputs'!$L$82="Y",
IF(ISNUMBER($R$55), $E104+($E$78*(($E104/$E$78)+$R$55)), $E104),
IF('Cost Inputs'!$L$82="N",
IF(AND(ISNUMBER('Cost Inputs'!$M$82), OR('Cost Inputs'!$M$82=1,'Cost Inputs'!$M$82=3)),
IF(ISNUMBER($R$55), $E104+($E$78*(($E104/$E$78)+$R$55)), $E104),""),"")), ""),""),"")</f>
        <v/>
      </c>
      <c r="U104" s="364" t="str">
        <f>IF($R$3="N.B.C.",
IF(ISNUMBER($B$89),
IF($C104&lt;&gt;"",
IF('Cost Inputs'!$L$82="Y",
IF(ISNUMBER($S$55), $E104+($E$78*(($E104/$E$78)+$S$55)), $E104),
IF('Cost Inputs'!$L$82="N",
IF(AND(ISNUMBER('Cost Inputs'!$M$82), OR('Cost Inputs'!$M$82=1,'Cost Inputs'!$M$82=2,'Cost Inputs'!$M$82=4)),
IF(ISNUMBER($S$55), $E104+($E$78*(($E104/$E$78)+$S$55)), $E104),""),"")), ""),""),"")</f>
        <v/>
      </c>
      <c r="V104" s="364" t="str">
        <f>IF($S$3="N.B.C.",
IF(ISNUMBER($B$89),
IF($C104&lt;&gt;"",
IF('Cost Inputs'!$L$82="Y",
IF(ISNUMBER($T$55), $E104+($E$78*(($E104/$E$78)+$T$55)), $E104),
IF('Cost Inputs'!$L$82="N",
IF(AND(ISNUMBER('Cost Inputs'!$M$82), OR('Cost Inputs'!$M$82=1,'Cost Inputs'!$M$82=5)),
IF(ISNUMBER($T$55), $E104+($E$78*(($E104/$E$78)+$T$55)), $E104),""),"")), ""),""),"")</f>
        <v/>
      </c>
      <c r="W104" s="364" t="str">
        <f>IF($T$3="N.B.C.",
IF(ISNUMBER($B$89),
IF($C104&lt;&gt;"",
IF('Cost Inputs'!$L$82="Y",
IF(ISNUMBER($U$55), $E104+($E$78*(($E104/$E$78)+$U$55)), $E104),
IF('Cost Inputs'!$L$82="N",
IF(AND(ISNUMBER('Cost Inputs'!$M$82), OR('Cost Inputs'!$M$82=1,'Cost Inputs'!$M$82=2,'Cost Inputs'!$M$82=3,'Cost Inputs'!$M$82=6)),
IF(ISNUMBER($U$55), $E104+($E$78*(($E104/$E$78)+$U$55)), $E104),""),"")), ""),""),"")</f>
        <v/>
      </c>
      <c r="X104" s="364" t="str">
        <f>IF($U$3="N.B.C.",
IF(ISNUMBER($B$89),
IF($C104&lt;&gt;"",
IF('Cost Inputs'!$L$82="Y",
IF(ISNUMBER($V$55), $E104+($E$78*(($E104/$E$78)+$V$55)), $E104),
IF('Cost Inputs'!$L$82="N",
IF(AND(ISNUMBER('Cost Inputs'!$M$82), OR('Cost Inputs'!$M$82=1,'Cost Inputs'!$M$82=7)),
IF(ISNUMBER($V$55), $E104+($E$78*(($E104/$E$78)+$V$55)), $E104),""),"")), ""),""),"")</f>
        <v/>
      </c>
      <c r="Y104" s="364" t="str">
        <f>IF($V$3="N.B.C.",
IF(ISNUMBER($B$89),
IF($C104&lt;&gt;"",
IF('Cost Inputs'!$L$82="Y",
IF(ISNUMBER($W$55), $E104+($E$78*(($E104/$E$78)+$W$55)), $E104),
IF('Cost Inputs'!$L$82="N",
IF(AND(ISNUMBER('Cost Inputs'!$M$82), OR('Cost Inputs'!$M$82=1,'Cost Inputs'!$M$82=2,'Cost Inputs'!$M$82=4,'Cost Inputs'!$M$82=8)),
IF(ISNUMBER($W$55), $E104+($E$78*(($E104/$E$78)+$W$55)), $E104),""),"")), ""),""),"")</f>
        <v/>
      </c>
      <c r="Z104" s="364" t="str">
        <f>IF($W$3="N.B.C.",
IF(ISNUMBER($B$89),
IF($C104&lt;&gt;"",
IF('Cost Inputs'!$L$82="Y",
IF(ISNUMBER($X$55), $E104+($E$78*(($E104/$E$78)+$X$55)), $E104),
IF('Cost Inputs'!$L$82="N",
IF(AND(ISNUMBER('Cost Inputs'!$M$82), OR('Cost Inputs'!$M$82=1,'Cost Inputs'!$M$82=3,'Cost Inputs'!$M$82=9)),
IF(ISNUMBER($X$55), $E104+($E$78*(($E104/$E$78)+$X$55)), $E104),""),"")), ""),""),"")</f>
        <v/>
      </c>
      <c r="AA104" s="364" t="str">
        <f>IF($X$3="N.B.C.",
IF(ISNUMBER($B$89),
IF($C104&lt;&gt;"",
IF('Cost Inputs'!$L$82="Y",
IF(ISNUMBER($Y$55), $E104+($E$78*(($E104/$E$78)+$Y$55)), $E104),
IF('Cost Inputs'!$L$82="N",
IF(AND(ISNUMBER('Cost Inputs'!$M$82), OR('Cost Inputs'!$M$82=1,'Cost Inputs'!$M$82=2,'Cost Inputs'!$M$82=5)),
IF(ISNUMBER($Y$55), $E104+($E$78*(($E104/$E$78)+$Y$55)), $E104),""),"")), ""),""),"")</f>
        <v/>
      </c>
    </row>
    <row r="105" spans="1:28" x14ac:dyDescent="0.25">
      <c r="A105" s="518"/>
      <c r="B105" s="504"/>
      <c r="C105" s="361" t="str">
        <f>IF(AND(ISNUMBER(B89), OR('Cost Inputs'!$H$83&lt;&gt;"", 'Cost Inputs'!$I$83&lt;&gt;"", 'Cost Inputs'!$J$83&lt;&gt;"")),
IF((INDEX(ProgramYearStage1,MATCH(DNA_Test_1,Years_in_Stage1,0)))='Model_ of_individuals'!B89,  _3_4_6, ""),"")</f>
        <v/>
      </c>
      <c r="D105" s="93" t="str">
        <f>IF(AND(C105&lt;&gt;"", 'Cost Inputs'!$G$83&lt;&gt;""), 'Cost Inputs'!$G$83, "")</f>
        <v/>
      </c>
      <c r="E105" s="93" t="str">
        <f>IF(AND(C105&lt;&gt;"", 'Cost Inputs'!$H$83&lt;&gt;""), 'Cost Inputs'!$H$83, "")</f>
        <v/>
      </c>
      <c r="F105" s="93" t="str">
        <f>IF(AND(C105&lt;&gt;"", 'Cost Inputs'!$I$83&lt;&gt;""), 'Cost Inputs'!$I$83, "")</f>
        <v/>
      </c>
      <c r="G105" s="93" t="str">
        <f t="shared" si="5"/>
        <v/>
      </c>
      <c r="H105" s="93" t="str">
        <f>IF(AND(C105&lt;&gt;"", 'Cost Inputs'!$J$83&lt;&gt;""), 'Cost Inputs'!$J$83, "")</f>
        <v/>
      </c>
      <c r="I105" s="93" t="str">
        <f t="shared" si="4"/>
        <v/>
      </c>
      <c r="J105" s="93" t="str">
        <f>IF(AND(C105&lt;&gt;"",('Cost Inputs'!$I$83+'Cost Inputs'!$J$83+'Cost Inputs'!$K$83)&gt;0), 'Cost Inputs'!$I$83+'Cost Inputs'!$J$83+'Cost Inputs'!$K$83, "")</f>
        <v/>
      </c>
      <c r="K105" s="93" t="str">
        <f>IF(AND(C105&lt;&gt;"", 'Cost Inputs'!$N$83&gt;0),'Cost Inputs'!$N$83,"")</f>
        <v/>
      </c>
      <c r="L105" s="93"/>
      <c r="M105" s="109"/>
      <c r="R105" s="372" t="str">
        <f>IF($O$3="N.B.C.",
IF(ISNUMBER($B$89),
IF($C105&lt;&gt;"",
IF('Cost Inputs'!$L$83="Y",
IF(ISNUMBER($P$55), $E105+($E$78*(($E105/$E$78)+$P$55)), $E105),
IF('Cost Inputs'!$L$83="N","","")), ""),""),"")</f>
        <v/>
      </c>
      <c r="S105" s="372" t="str">
        <f>IF($P$3="N.B.C.",
IF(ISNUMBER($B$89),
IF($C105&lt;&gt;"",
IF('Cost Inputs'!$L$83="Y",
IF(ISNUMBER($Q$55), $E105+($E$78*(($E105/$E$78)+$Q$55)), $E105),
IF('Cost Inputs'!$L$83="N",
IF(AND(ISNUMBER('Cost Inputs'!$M$83), OR('Cost Inputs'!$M$83=1,'Cost Inputs'!$M$83=2)),
IF(ISNUMBER($Q$55), $E105+($E$78*(($E105/$E$78)+$Q$55)), $E105),""),"")), ""),""),"")</f>
        <v/>
      </c>
      <c r="T105" s="372" t="str">
        <f>IF($Q$3="N.B.C.",
IF(ISNUMBER($B$89),
IF($C105&lt;&gt;"",
IF('Cost Inputs'!$L$83="Y",
IF(ISNUMBER($R$55), $E105+($E$78*(($E105/$E$78)+$R$55)), $E105),
IF('Cost Inputs'!$L$83="N",
IF(AND(ISNUMBER('Cost Inputs'!$M$83), OR('Cost Inputs'!$M$83=1,'Cost Inputs'!$M$83=3)),
IF(ISNUMBER($R$55), $E105+($E$78*(($E105/$E$78)+$R$55)), $E105),""),"")), ""),""),"")</f>
        <v/>
      </c>
      <c r="U105" s="372" t="str">
        <f>IF($R$3="N.B.C.",
IF(ISNUMBER($B$89),
IF($C105&lt;&gt;"",
IF('Cost Inputs'!$L$83="Y",
IF(ISNUMBER($S$55), $E105+($E$78*(($E105/$E$78)+$S$55)), $E105),
IF('Cost Inputs'!$L$83="N",
IF(AND(ISNUMBER('Cost Inputs'!$M$83), OR('Cost Inputs'!$M$83=1,'Cost Inputs'!$M$83=2,'Cost Inputs'!$M$83=4)),
IF(ISNUMBER($S$55), $E105+($E$78*(($E105/$E$78)+$S$55)), $E105),""),"")), ""),""),"")</f>
        <v/>
      </c>
      <c r="V105" s="372" t="str">
        <f>IF($S$3="N.B.C.",
IF(ISNUMBER($B$89),
IF($C105&lt;&gt;"",
IF('Cost Inputs'!$L$83="Y",
IF(ISNUMBER($T$55), $E105+($E$78*(($E105/$E$78)+$T$55)), $E105),
IF('Cost Inputs'!$L$83="N",
IF(AND(ISNUMBER('Cost Inputs'!$M$83), OR('Cost Inputs'!$M$83=1,'Cost Inputs'!$M$83=5)),
IF(ISNUMBER($T$55), $E105+($E$78*(($E105/$E$78)+$T$55)), $E105),""),"")), ""),""),"")</f>
        <v/>
      </c>
      <c r="W105" s="372" t="str">
        <f>IF($T$3="N.B.C.",
IF(ISNUMBER($B$89),
IF($C105&lt;&gt;"",
IF('Cost Inputs'!$L$83="Y",
IF(ISNUMBER($U$55), $E105+($E$78*(($E105/$E$78)+$U$55)), $E105),
IF('Cost Inputs'!$L$83="N",
IF(AND(ISNUMBER('Cost Inputs'!$M$83), OR('Cost Inputs'!$M$83=1,'Cost Inputs'!$M$83=2,'Cost Inputs'!$M$83=3,'Cost Inputs'!$M$83=6)),
IF(ISNUMBER($U$55), $E105+($E$78*(($E105/$E$78)+$U$55)), $E105),""),"")), ""),""),"")</f>
        <v/>
      </c>
      <c r="X105" s="372" t="str">
        <f>IF($U$3="N.B.C.",
IF(ISNUMBER($B$89),
IF($C105&lt;&gt;"",
IF('Cost Inputs'!$L$83="Y",
IF(ISNUMBER($V$55), $E105+($E$78*(($E105/$E$78)+$V$55)), $E105),
IF('Cost Inputs'!$L$83="N",
IF(AND(ISNUMBER('Cost Inputs'!$M$83), OR('Cost Inputs'!$M$83=1,'Cost Inputs'!$M$83=7)),
IF(ISNUMBER($V$55), $E105+($E$78*(($E105/$E$78)+$V$55)), $E105),""),"")), ""),""),"")</f>
        <v/>
      </c>
      <c r="Y105" s="372" t="str">
        <f>IF($V$3="N.B.C.",
IF(ISNUMBER($B$89),
IF($C105&lt;&gt;"",
IF('Cost Inputs'!$L$83="Y",
IF(ISNUMBER($W$55), $E105+($E$78*(($E105/$E$78)+$W$55)), $E105),
IF('Cost Inputs'!$L$83="N",
IF(AND(ISNUMBER('Cost Inputs'!$M$83), OR('Cost Inputs'!$M$83=1,'Cost Inputs'!$M$83=2,'Cost Inputs'!$M$83=4,'Cost Inputs'!$M$83=8)),
IF(ISNUMBER($W$55), $E105+($E$78*(($E105/$E$78)+$W$55)), $E105),""),"")), ""),""),"")</f>
        <v/>
      </c>
      <c r="Z105" s="372" t="str">
        <f>IF($W$3="N.B.C.",
IF(ISNUMBER($B$89),
IF($C105&lt;&gt;"",
IF('Cost Inputs'!$L$83="Y",
IF(ISNUMBER($X$55), $E105+($E$78*(($E105/$E$78)+$X$55)), $E105),
IF('Cost Inputs'!$L$83="N",
IF(AND(ISNUMBER('Cost Inputs'!$M$83), OR('Cost Inputs'!$M$83=1,'Cost Inputs'!$M$83=3,'Cost Inputs'!$M$83=9)),
IF(ISNUMBER($X$55), $E105+($E$78*(($E105/$E$78)+$X$55)), $E105),""),"")), ""),""),"")</f>
        <v/>
      </c>
      <c r="AA105" s="372" t="str">
        <f>IF($X$3="N.B.C.",
IF(ISNUMBER($B$89),
IF($C105&lt;&gt;"",
IF('Cost Inputs'!$L$83="Y",
IF(ISNUMBER($Y$55), $E105+($E$78*(($E105/$E$78)+$Y$55)), $E105),
IF('Cost Inputs'!$L$83="N",
IF(AND(ISNUMBER('Cost Inputs'!$M$83), OR('Cost Inputs'!$M$83=1,'Cost Inputs'!$M$83=2,'Cost Inputs'!$M$83=5)),
IF(ISNUMBER($Y$55), $E105+($E$78*(($E105/$E$78)+$Y$55)), $E105),""),"")), ""),""),"")</f>
        <v/>
      </c>
    </row>
    <row r="106" spans="1:28" x14ac:dyDescent="0.25">
      <c r="A106" s="518"/>
      <c r="B106" s="504"/>
      <c r="C106" s="489" t="str">
        <f>IF('Model_ of_individuals'!C99&lt;&gt;"",
IF((INDEX(ProgramYearStage1,MATCH(DNA_Test_1,Years_in_Stage1,0)))='Model_ of_individuals'!B89, "Percentage decrease in marker culling",""),"")</f>
        <v/>
      </c>
      <c r="D106" s="490"/>
      <c r="E106" s="490"/>
      <c r="F106" s="490"/>
      <c r="G106" s="490"/>
      <c r="H106" s="490"/>
      <c r="I106" s="490"/>
      <c r="J106" s="490"/>
      <c r="K106" s="490"/>
      <c r="L106" s="490"/>
      <c r="M106" s="491"/>
      <c r="R106" s="364" t="str">
        <f>IF($O$3="N.B.C.",
IF(ISNUMBER($B$89),
IF($C106&lt;&gt;"",
IF('Cost Inputs'!$L$84="Y",
IF(ISNUMBER($P$55), $E106+($E$78*(($E106/$E$78)+$P$55)), $E106),
IF('Cost Inputs'!$L$84="N","","")), ""),""),"")</f>
        <v/>
      </c>
      <c r="S106" s="364" t="str">
        <f>IF($P$3="N.B.C.",
IF(ISNUMBER($B$89),
IF($C106&lt;&gt;"",
IF('Cost Inputs'!$L$84="Y",
IF(ISNUMBER($Q$55), $E106+($E$78*(($E106/$E$78)+$Q$55)), $E106),
IF('Cost Inputs'!$L$84="N",
IF(AND(ISNUMBER('Cost Inputs'!$M$84), OR('Cost Inputs'!$M$84=1,'Cost Inputs'!$M$84=2)),
IF(ISNUMBER($Q$55), $E106+($E$78*(($E106/$E$78)+$Q$55)), $E106),""),"")), ""),""),"")</f>
        <v/>
      </c>
      <c r="T106" s="364" t="str">
        <f>IF($Q$3="N.B.C.",
IF(ISNUMBER($B$89),
IF($C106&lt;&gt;"",
IF('Cost Inputs'!$L$84="Y",
IF(ISNUMBER($R$55), $E106+($E$78*(($E106/$E$78)+$R$55)), $E106),
IF('Cost Inputs'!$L$84="N",
IF(AND(ISNUMBER('Cost Inputs'!$M$84), OR('Cost Inputs'!$M$84=1,'Cost Inputs'!$M$84=3)),
IF(ISNUMBER($R$55), $E106+($E$78*(($E106/$E$78)+$R$55)), $E106),""),"")), ""),""),"")</f>
        <v/>
      </c>
      <c r="U106" s="364" t="str">
        <f>IF($R$3="N.B.C.",
IF(ISNUMBER($B$89),
IF($C106&lt;&gt;"",
IF('Cost Inputs'!$L$84="Y",
IF(ISNUMBER($S$55), $E106+($E$78*(($E106/$E$78)+$S$55)), $E106),
IF('Cost Inputs'!$L$84="N",
IF(AND(ISNUMBER('Cost Inputs'!$M$84), OR('Cost Inputs'!$M$84=1,'Cost Inputs'!$M$84=2,'Cost Inputs'!$M$84=4)),
IF(ISNUMBER($S$55), $E106+($E$78*(($E106/$E$78)+$S$55)), $E106),""),"")), ""),""),"")</f>
        <v/>
      </c>
      <c r="V106" s="364" t="str">
        <f>IF($S$3="N.B.C.",
IF(ISNUMBER($B$89),
IF($C106&lt;&gt;"",
IF('Cost Inputs'!$L$84="Y",
IF(ISNUMBER($T$55), $E106+($E$78*(($E106/$E$78)+$T$55)), $E106),
IF('Cost Inputs'!$L$84="N",
IF(AND(ISNUMBER('Cost Inputs'!$M$84), OR('Cost Inputs'!$M$84=1,'Cost Inputs'!$M$84=5)),
IF(ISNUMBER($T$55), $E106+($E$78*(($E106/$E$78)+$T$55)), $E106),""),"")), ""),""),"")</f>
        <v/>
      </c>
      <c r="W106" s="364" t="str">
        <f>IF($T$3="N.B.C.",
IF(ISNUMBER($B$89),
IF($C106&lt;&gt;"",
IF('Cost Inputs'!$L$84="Y",
IF(ISNUMBER($U$55), $E106+($E$78*(($E106/$E$78)+$U$55)), $E106),
IF('Cost Inputs'!$L$84="N",
IF(AND(ISNUMBER('Cost Inputs'!$M$84), OR('Cost Inputs'!$M$84=1,'Cost Inputs'!$M$84=2,'Cost Inputs'!$M$84=3,'Cost Inputs'!$M$84=6)),
IF(ISNUMBER($U$55), $E106+($E$78*(($E106/$E$78)+$U$55)), $E106),""),"")), ""),""),"")</f>
        <v/>
      </c>
      <c r="X106" s="364" t="str">
        <f>IF($U$3="N.B.C.",
IF(ISNUMBER($B$89),
IF($C106&lt;&gt;"",
IF('Cost Inputs'!$L$84="Y",
IF(ISNUMBER($V$55), $E106+($E$78*(($E106/$E$78)+$V$55)), $E106),
IF('Cost Inputs'!$L$84="N",
IF(AND(ISNUMBER('Cost Inputs'!$M$84), OR('Cost Inputs'!$M$84=1,'Cost Inputs'!$M$84=7)),
IF(ISNUMBER($V$55), $E106+($E$78*(($E106/$E$78)+$V$55)), $E106),""),"")), ""),""),"")</f>
        <v/>
      </c>
      <c r="Y106" s="364" t="str">
        <f>IF($V$3="N.B.C.",
IF(ISNUMBER($B$89),
IF($C106&lt;&gt;"",
IF('Cost Inputs'!$L$84="Y",
IF(ISNUMBER($W$55), $E106+($E$78*(($E106/$E$78)+$W$55)), $E106),
IF('Cost Inputs'!$L$84="N",
IF(AND(ISNUMBER('Cost Inputs'!$M$84), OR('Cost Inputs'!$M$84=1,'Cost Inputs'!$M$84=2,'Cost Inputs'!$M$84=4,'Cost Inputs'!$M$84=8)),
IF(ISNUMBER($W$55), $E106+($E$78*(($E106/$E$78)+$W$55)), $E106),""),"")), ""),""),"")</f>
        <v/>
      </c>
      <c r="Z106" s="364" t="str">
        <f>IF($W$3="N.B.C.",
IF(ISNUMBER($B$89),
IF($C106&lt;&gt;"",
IF('Cost Inputs'!$L$84="Y",
IF(ISNUMBER($X$55), $E106+($E$78*(($E106/$E$78)+$X$55)), $E106),
IF('Cost Inputs'!$L$84="N",
IF(AND(ISNUMBER('Cost Inputs'!$M$84), OR('Cost Inputs'!$M$84=1,'Cost Inputs'!$M$84=3,'Cost Inputs'!$M$84=9)),
IF(ISNUMBER($X$55), $E106+($E$78*(($E106/$E$78)+$X$55)), $E106),""),"")), ""),""),"")</f>
        <v/>
      </c>
      <c r="AA106" s="364" t="str">
        <f>IF($X$3="N.B.C.",
IF(ISNUMBER($B$89),
IF($C106&lt;&gt;"",
IF('Cost Inputs'!$L$84="Y",
IF(ISNUMBER($Y$55), $E106+($E$78*(($E106/$E$78)+$Y$55)), $E106),
IF('Cost Inputs'!$L$84="N",
IF(AND(ISNUMBER('Cost Inputs'!$M$84), OR('Cost Inputs'!$M$84=1,'Cost Inputs'!$M$84=2,'Cost Inputs'!$M$84=5)),
IF(ISNUMBER($Y$55), $E106+($E$78*(($E106/$E$78)+$Y$55)), $E106),""),"")), ""),""),"")</f>
        <v/>
      </c>
    </row>
    <row r="107" spans="1:28" x14ac:dyDescent="0.25">
      <c r="A107" s="518"/>
      <c r="B107" s="504"/>
      <c r="C107" s="110" t="str">
        <f>IF(ISNUMBER(B89), _3_5_0,"")</f>
        <v/>
      </c>
      <c r="D107" s="94" t="str">
        <f>IF(AND(B89&lt;&gt;"", OR('Cost Inputs'!$H$84&lt;&gt;"", 'Cost Inputs'!$I$84&lt;&gt;"", 'Cost Inputs'!$J$84&lt;&gt;"")), 'Cost Inputs'!$G$84,"")</f>
        <v/>
      </c>
      <c r="E107" s="94" t="str">
        <f>IF(AND(C107&lt;&gt;"", 'Cost Inputs'!$H$84&lt;&gt;""), 'Cost Inputs'!$H$84, "")</f>
        <v/>
      </c>
      <c r="F107" s="94" t="str">
        <f>IF(AND(C107&lt;&gt;"", 'Cost Inputs'!$I$84&lt;&gt;""), 'Cost Inputs'!$I$84, "")</f>
        <v/>
      </c>
      <c r="G107" s="94" t="str">
        <f t="shared" si="5"/>
        <v/>
      </c>
      <c r="H107" s="94" t="str">
        <f>IF(AND(C107&lt;&gt;"", 'Cost Inputs'!$J$84&lt;&gt;""), 'Cost Inputs'!$J$84, "")</f>
        <v/>
      </c>
      <c r="I107" s="94" t="str">
        <f>IF(AND($E107&lt;&gt;"", $H107&lt;&gt;""), $H107/$E107, "")</f>
        <v/>
      </c>
      <c r="J107" s="94" t="str">
        <f>IF(AND(C107&lt;&gt;"",('Cost Inputs'!$I$84+'Cost Inputs'!$J$84+'Cost Inputs'!$K$84)&gt;0), 'Cost Inputs'!$I$84+'Cost Inputs'!$J$84+'Cost Inputs'!$K$84, "")</f>
        <v/>
      </c>
      <c r="K107" s="94" t="str">
        <f>IF(AND(C107&lt;&gt;"", 'Cost Inputs'!$N$84&gt;0),'Cost Inputs'!$N$84,"")</f>
        <v/>
      </c>
      <c r="L107" s="94"/>
      <c r="M107" s="129" t="str">
        <f>IF(ISNUMBER(B89), 'Breeding Inputs'!D78+'Breeding Inputs'!E78, "")</f>
        <v/>
      </c>
      <c r="R107" s="373" t="str">
        <f>IF($O$3="N.B.C.",
IF(ISNUMBER($B$89),
IF('Cost Inputs'!$L$84="Y", $E$107*$M$107,
IF('Cost Inputs'!$L$84="N",
IF(ISNUMBER('Cost Inputs'!$M$84), $E$107*$M$107,""),"")), ""),"")</f>
        <v/>
      </c>
      <c r="S107" s="373" t="str">
        <f>IF($P$3="N.B.C.",
IF(ISNUMBER($B$89),
IF('Cost Inputs'!$L$84="Y", $E$107*$M$107,
IF('Cost Inputs'!$L$84="N",
IF(ISNUMBER('Cost Inputs'!$M$84), $E$107*$M$107,""),"")), ""),"")</f>
        <v/>
      </c>
      <c r="T107" s="373" t="str">
        <f>IF($Q$3="N.B.C.",
IF(ISNUMBER($B$89),
IF('Cost Inputs'!$L$84="Y", $E$107*$M$107,
IF('Cost Inputs'!$L$84="N",
IF(ISNUMBER('Cost Inputs'!$M$84), $E$107*$M$107,""),"")), ""),"")</f>
        <v/>
      </c>
      <c r="U107" s="373" t="str">
        <f>IF($R$3="N.B.C.",
IF(ISNUMBER($B$89),
IF('Cost Inputs'!$L$84="Y", $E$107*$M$107,
IF('Cost Inputs'!$L$84="N",
IF(ISNUMBER('Cost Inputs'!$M$84), $E$107*$M$107,""),"")), ""),"")</f>
        <v/>
      </c>
      <c r="V107" s="373" t="str">
        <f>IF($S$3="N.B.C.",
IF(ISNUMBER($B$89),
IF('Cost Inputs'!$L$84="Y", $E$107*$M$107,
IF('Cost Inputs'!$L$84="N",
IF(ISNUMBER('Cost Inputs'!$M$84), $E$107*$M$107,""),"")), ""),"")</f>
        <v/>
      </c>
      <c r="W107" s="373" t="str">
        <f>IF($T$3="N.B.C.",
IF(ISNUMBER($B$89),
IF('Cost Inputs'!$L$84="Y", $E$107*$M$107,
IF('Cost Inputs'!$L$84="N",
IF(ISNUMBER('Cost Inputs'!$M$84), $E$107*$M$107,""),"")), ""),"")</f>
        <v/>
      </c>
      <c r="X107" s="373" t="str">
        <f>IF($U$3="N.B.C.",
IF(ISNUMBER($B$89),
IF('Cost Inputs'!$L$84="Y", $E$107*$M$107,
IF('Cost Inputs'!$L$84="N",
IF(ISNUMBER('Cost Inputs'!$M$84), $E$107*$M$107,""),"")), ""),"")</f>
        <v/>
      </c>
      <c r="Y107" s="373" t="str">
        <f>IF($V$3="N.B.C.",
IF(ISNUMBER($B$89),
IF('Cost Inputs'!$L$84="Y", $E$107*$M$107,
IF('Cost Inputs'!$L$84="N",
IF(ISNUMBER('Cost Inputs'!$M$84), $E$107*$M$107,""),"")), ""),"")</f>
        <v/>
      </c>
      <c r="Z107" s="373" t="str">
        <f>IF($W$3="N.B.C.",
IF(ISNUMBER($B$89),
IF('Cost Inputs'!$L$84="Y", $E$107*$M$107,
IF('Cost Inputs'!$L$84="N",
IF(ISNUMBER('Cost Inputs'!$M$84), $E$107*$M$107,""),"")), ""),"")</f>
        <v/>
      </c>
      <c r="AA107" s="373" t="str">
        <f>IF($X$3="N.B.C.",
IF(ISNUMBER($B$89),
IF('Cost Inputs'!$L$84="Y", $E$107*$M$107,
IF('Cost Inputs'!$L$84="N",
IF(ISNUMBER('Cost Inputs'!$M$84), $E$107*$M$107,""),"")), ""),"")</f>
        <v/>
      </c>
    </row>
    <row r="108" spans="1:28" x14ac:dyDescent="0.25">
      <c r="A108" s="518"/>
      <c r="B108" s="504"/>
      <c r="C108" s="104" t="str">
        <f>IF(AND(ISNUMBER(B89), OR('Cost Inputs'!$H$85&lt;&gt;"", 'Cost Inputs'!$I$85&lt;&gt;"", 'Cost Inputs'!$J$85&lt;&gt;"")), _3_5_1, "")</f>
        <v/>
      </c>
      <c r="D108" s="17" t="str">
        <f>IF(AND(C108&lt;&gt;"", 'Cost Inputs'!$G$85&lt;&gt;""), 'Cost Inputs'!$G$85, "")</f>
        <v/>
      </c>
      <c r="E108" s="17" t="str">
        <f>IF(AND(C108&lt;&gt;"", 'Cost Inputs'!$H$85&lt;&gt;""), 'Cost Inputs'!$H$85, "")</f>
        <v/>
      </c>
      <c r="F108" s="17" t="str">
        <f>IF(AND(C108&lt;&gt;"", 'Cost Inputs'!$I$85&lt;&gt;""), 'Cost Inputs'!$I$85, "")</f>
        <v/>
      </c>
      <c r="G108" s="17" t="str">
        <f t="shared" si="5"/>
        <v/>
      </c>
      <c r="H108" s="17" t="str">
        <f>IF(AND(C108&lt;&gt;"", 'Cost Inputs'!$J$85&lt;&gt;""), 'Cost Inputs'!$J$85, "")</f>
        <v/>
      </c>
      <c r="I108" s="17" t="str">
        <f t="shared" si="4"/>
        <v/>
      </c>
      <c r="J108" s="17" t="str">
        <f>IF(AND(C108&lt;&gt;"",('Cost Inputs'!$I$85+'Cost Inputs'!$J$85+'Cost Inputs'!$K$85)&gt;0), 'Cost Inputs'!$I$85+'Cost Inputs'!$J$85+'Cost Inputs'!$K$85, "")</f>
        <v/>
      </c>
      <c r="K108" s="17" t="str">
        <f>IF(AND(C108&lt;&gt;"", 'Cost Inputs'!$N$85&gt;0),'Cost Inputs'!$N$85,"")</f>
        <v/>
      </c>
      <c r="M108" s="106"/>
      <c r="R108" s="364" t="str">
        <f>IF($O$3="N.B.C.", IF(ISNUMBER($B$89), IF('Cost Inputs'!$L$85="Y", $E$87, IF('Cost Inputs'!$L$85="N", IF(ISNUMBER('Cost Inputs'!$M$85), $E$87,""),"")), ""),"")</f>
        <v/>
      </c>
      <c r="S108" s="364" t="str">
        <f>IF($P$3="N.B.C.", IF(ISNUMBER($B$89), IF('Cost Inputs'!$L$85="Y", $E$87, IF('Cost Inputs'!$L$85="N", IF(ISNUMBER('Cost Inputs'!$M$85), $E$87,""),"")), ""),"")</f>
        <v/>
      </c>
      <c r="T108" s="364" t="str">
        <f>IF($Q$3="N.B.C.", IF(ISNUMBER($B$89), IF('Cost Inputs'!$L$85="Y", $E$87, IF('Cost Inputs'!$L$85="N", IF(ISNUMBER('Cost Inputs'!$M$85), $E$87,""),"")), ""),"")</f>
        <v/>
      </c>
      <c r="U108" s="364" t="str">
        <f>IF($R$3="N.B.C.", IF(ISNUMBER($B$89), IF('Cost Inputs'!$L$85="Y", $E$87, IF('Cost Inputs'!$L$85="N", IF(ISNUMBER('Cost Inputs'!$M$85), $E$87,""),"")), ""),"")</f>
        <v/>
      </c>
      <c r="V108" s="364" t="str">
        <f>IF($S$3="N.B.C.", IF(ISNUMBER($B$89), IF('Cost Inputs'!$L$85="Y", $E$87, IF('Cost Inputs'!$L$85="N", IF(ISNUMBER('Cost Inputs'!$M$85), $E$87,""),"")), ""),"")</f>
        <v/>
      </c>
      <c r="W108" s="364" t="str">
        <f>IF($T$3="N.B.C.", IF(ISNUMBER($B$89), IF('Cost Inputs'!$L$85="Y", $E$87, IF('Cost Inputs'!$L$85="N", IF(ISNUMBER('Cost Inputs'!$M$85), $E$87,""),"")), ""),"")</f>
        <v/>
      </c>
      <c r="X108" s="364" t="str">
        <f>IF($U$3="N.B.C.", IF(ISNUMBER($B$89), IF('Cost Inputs'!$L$85="Y", $E$87, IF('Cost Inputs'!$L$85="N", IF(ISNUMBER('Cost Inputs'!$M$85), $E$87,""),"")), ""),"")</f>
        <v/>
      </c>
      <c r="Y108" s="364" t="str">
        <f>IF($V$3="N.B.C.", IF(ISNUMBER($B$89), IF('Cost Inputs'!$L$85="Y", $E$87, IF('Cost Inputs'!$L$85="N", IF(ISNUMBER('Cost Inputs'!$M$85), $E$87,""),"")), ""),"")</f>
        <v/>
      </c>
      <c r="Z108" s="364" t="str">
        <f>IF($W$3="N.B.C.", IF(ISNUMBER($B$89), IF('Cost Inputs'!$L$85="Y", $E$87, IF('Cost Inputs'!$L$85="N", IF(ISNUMBER('Cost Inputs'!$M$85), $E$87,""),"")), ""),"")</f>
        <v/>
      </c>
      <c r="AA108" s="364" t="str">
        <f>IF($X$3="N.B.C.", IF(ISNUMBER($B$89), IF('Cost Inputs'!$L$85="Y", $E$87, IF('Cost Inputs'!$L$85="N", IF(ISNUMBER('Cost Inputs'!$M$85), $E$87,""),"")), ""),"")</f>
        <v/>
      </c>
    </row>
    <row r="109" spans="1:28" ht="15.75" thickBot="1" x14ac:dyDescent="0.3">
      <c r="A109" s="518"/>
      <c r="B109" s="505"/>
      <c r="C109" s="111" t="str">
        <f>IF(AND(ISNUMBER(B89), OR('Cost Inputs'!$H$86&lt;&gt;"", 'Cost Inputs'!$I$86&lt;&gt;"", 'Cost Inputs'!$J$86&lt;&gt;"")), _3_5_2, "")</f>
        <v/>
      </c>
      <c r="D109" s="95" t="str">
        <f>IF(AND(C109&lt;&gt;"", 'Cost Inputs'!$G$86&lt;&gt;""), 'Cost Inputs'!$G$86, "")</f>
        <v/>
      </c>
      <c r="E109" s="95" t="str">
        <f>IF(AND(C109&lt;&gt;"", 'Cost Inputs'!$H$86&lt;&gt;""), 'Cost Inputs'!$H$86, "")</f>
        <v/>
      </c>
      <c r="F109" s="95" t="str">
        <f>IF(AND(C109&lt;&gt;"", 'Cost Inputs'!$I$86&lt;&gt;""), 'Cost Inputs'!$I$86, "")</f>
        <v/>
      </c>
      <c r="G109" s="95" t="str">
        <f t="shared" si="5"/>
        <v/>
      </c>
      <c r="H109" s="95" t="str">
        <f>IF(AND(C109&lt;&gt;"", 'Cost Inputs'!$J$86&lt;&gt;""), 'Cost Inputs'!$J$86, "")</f>
        <v/>
      </c>
      <c r="I109" s="95" t="str">
        <f t="shared" si="4"/>
        <v/>
      </c>
      <c r="J109" s="95" t="str">
        <f>IF(AND(C109&lt;&gt;"",('Cost Inputs'!$I$86+'Cost Inputs'!$J$86+'Cost Inputs'!$K$86)&gt;0), 'Cost Inputs'!$I$86+'Cost Inputs'!$J$86+'Cost Inputs'!$K$86, "")</f>
        <v/>
      </c>
      <c r="K109" s="95" t="str">
        <f>IF(AND(C109&lt;&gt;"", 'Cost Inputs'!$N$86&gt;0),'Cost Inputs'!$N$86,"")</f>
        <v/>
      </c>
      <c r="L109" s="95"/>
      <c r="M109" s="113"/>
      <c r="R109" s="372" t="str">
        <f>IF($O$3="N.B.C.", IF(ISNUMBER($B$89), IF('Cost Inputs'!$L$86="Y", $E$88, IF('Cost Inputs'!$L$86="N", IF(ISNUMBER('Cost Inputs'!$M$86), $E$88,""),"")), ""),"")</f>
        <v/>
      </c>
      <c r="S109" s="372" t="str">
        <f>IF($P$3="N.B.C.", IF(ISNUMBER($B$89), IF('Cost Inputs'!$L$86="Y", $E$88, IF('Cost Inputs'!$L$86="N", IF(ISNUMBER('Cost Inputs'!$M$86), $E$88,""),"")), ""),"")</f>
        <v/>
      </c>
      <c r="T109" s="372" t="str">
        <f>IF($Q$3="N.B.C.", IF(ISNUMBER($B$89), IF('Cost Inputs'!$L$86="Y", $E$88, IF('Cost Inputs'!$L$86="N", IF(ISNUMBER('Cost Inputs'!$M$86), $E$88,""),"")), ""),"")</f>
        <v/>
      </c>
      <c r="U109" s="372" t="str">
        <f>IF($R$3="N.B.C.", IF(ISNUMBER($B$89), IF('Cost Inputs'!$L$86="Y", $E$88, IF('Cost Inputs'!$L$86="N", IF(ISNUMBER('Cost Inputs'!$M$86), $E$88,""),"")), ""),"")</f>
        <v/>
      </c>
      <c r="V109" s="372" t="str">
        <f>IF($S$3="N.B.C.", IF(ISNUMBER($B$89), IF('Cost Inputs'!$L$86="Y", $E$88, IF('Cost Inputs'!$L$86="N", IF(ISNUMBER('Cost Inputs'!$M$86), $E$88,""),"")), ""),"")</f>
        <v/>
      </c>
      <c r="W109" s="372" t="str">
        <f>IF($T$3="N.B.C.", IF(ISNUMBER($B$89), IF('Cost Inputs'!$L$86="Y", $E$88, IF('Cost Inputs'!$L$86="N", IF(ISNUMBER('Cost Inputs'!$M$86), $E$88,""),"")), ""),"")</f>
        <v/>
      </c>
      <c r="X109" s="372" t="str">
        <f>IF($U$3="N.B.C.", IF(ISNUMBER($B$89), IF('Cost Inputs'!$L$86="Y", $E$88, IF('Cost Inputs'!$L$86="N", IF(ISNUMBER('Cost Inputs'!$M$86), $E$88,""),"")), ""),"")</f>
        <v/>
      </c>
      <c r="Y109" s="372" t="str">
        <f>IF($V$3="N.B.C.", IF(ISNUMBER($B$89), IF('Cost Inputs'!$L$86="Y", $E$88, IF('Cost Inputs'!$L$86="N", IF(ISNUMBER('Cost Inputs'!$M$86), $E$88,""),"")), ""),"")</f>
        <v/>
      </c>
      <c r="Z109" s="372" t="str">
        <f>IF($W$3="N.B.C.", IF(ISNUMBER($B$89), IF('Cost Inputs'!$L$86="Y", $E$88, IF('Cost Inputs'!$L$86="N", IF(ISNUMBER('Cost Inputs'!$M$86), $E$88,""),"")), ""),"")</f>
        <v/>
      </c>
      <c r="AA109" s="372" t="str">
        <f>IF($X$3="N.B.C.", IF(ISNUMBER($B$89), IF('Cost Inputs'!$L$86="Y", $E$88, IF('Cost Inputs'!$L$86="N", IF(ISNUMBER('Cost Inputs'!$M$86), $E$88,""),"")), ""),"")</f>
        <v/>
      </c>
    </row>
    <row r="110" spans="1:28" ht="14.45" customHeight="1" x14ac:dyDescent="0.25">
      <c r="A110" s="518" t="str">
        <f>Third_Stage</f>
        <v>Stage 1 Seedling Test Plots</v>
      </c>
      <c r="B110" s="503" t="str">
        <f>'Breeding Inputs'!B79</f>
        <v/>
      </c>
      <c r="C110" s="116" t="str">
        <f>IF(ISNUMBER(B110), _3_2_0, "")</f>
        <v/>
      </c>
      <c r="D110" s="92" t="str">
        <f>IF(AND(B110&lt;&gt;"", OR('Cost Inputs'!$H$67&lt;&gt;"", 'Cost Inputs'!$I$67&lt;&gt;"", 'Cost Inputs'!$J$67&lt;&gt;"")), 'Cost Inputs'!$G$67,"")</f>
        <v/>
      </c>
      <c r="E110" s="92" t="str">
        <f>IF(AND(C110&lt;&gt;"", 'Cost Inputs'!$H$67&lt;&gt;"", M$107&lt;&gt;"", M$107&gt;0), $E89-('Cost Inputs'!$H$67*M$107),
IF(AND(C110&lt;&gt;"", 'Cost Inputs'!$H$67&lt;&gt;""), $E89, ""))</f>
        <v/>
      </c>
      <c r="F110" s="92" t="str">
        <f>IF(AND(C110&lt;&gt;"", 'Cost Inputs'!$I$67&lt;&gt;""), 'Cost Inputs'!$I$67, "")</f>
        <v/>
      </c>
      <c r="G110" s="92" t="str">
        <f t="shared" si="5"/>
        <v/>
      </c>
      <c r="H110" s="92" t="str">
        <f>IF(AND(C110&lt;&gt;"", 'Cost Inputs'!$J$67&lt;&gt;""), 'Cost Inputs'!$J$67, "")</f>
        <v/>
      </c>
      <c r="I110" s="92" t="str">
        <f>IF(AND($E110&lt;&gt;"", $H110&lt;&gt;""), $H110/$E110, "")</f>
        <v/>
      </c>
      <c r="J110" s="92" t="str">
        <f>IF(AND(C110&lt;&gt;"",('Cost Inputs'!$I$67+'Cost Inputs'!$J$67+'Cost Inputs'!$K$67)&gt;0), 'Cost Inputs'!$I$67+'Cost Inputs'!$J$67+'Cost Inputs'!$K$67, "")</f>
        <v/>
      </c>
      <c r="K110" s="92" t="str">
        <f>IF(AND(C110&lt;&gt;"", 'Cost Inputs'!$N$67&gt;0),'Cost Inputs'!$N$67,"")</f>
        <v/>
      </c>
      <c r="L110" s="92"/>
      <c r="M110" s="101"/>
      <c r="R110" s="17"/>
      <c r="S110" s="373" t="str">
        <f>IF($O$3="N.B.C.",
IF(ISNUMBER($B$110),
IF($C110&lt;&gt;"",
IF('Cost Inputs'!$L$67="Y",
IF(AND(ISNUMBER(P$56), P$56&gt;$E$60), $E110+($E$60*(($E110/$E$60)+$P$55)), $E110),
IF('Cost Inputs'!$L$67="N",
IF(AND(ISNUMBER('Cost Inputs'!$M$67), OR('Cost Inputs'!$M$67=1,'Cost Inputs'!$M$67=2)),
IF(AND(ISNUMBER(P$56), P$56&gt;$E$60), $E110+($E$60*(($E110/$E$60)+$P$55)), $E110), ""),"")), ""), ""), "")</f>
        <v/>
      </c>
      <c r="T110" s="373" t="str">
        <f>IF($P$3="N.B.C.",
IF(ISNUMBER($B$110),
IF($C110&lt;&gt;"",
IF('Cost Inputs'!$L$67="Y",
IF(AND(ISNUMBER(Q$56), Q$56&gt;$E$60), $E110+($E$60*(($E110/$E$60)+$Q$55)), $E110),
IF('Cost Inputs'!$L$67="N",
IF(AND(ISNUMBER('Cost Inputs'!$M$67), OR('Cost Inputs'!$M$67=1,'Cost Inputs'!$M$67=3)),
IF(AND(ISNUMBER(Q$56), Q$56&gt;$E$60), $E110+($E$60*(($E110/$E$60)+$Q$55)), $E110), ""),"")), ""), ""), "")</f>
        <v/>
      </c>
      <c r="U110" s="373" t="str">
        <f>IF($Q$3="N.B.C.",
IF(ISNUMBER($B$110),
IF($C110&lt;&gt;"",
IF('Cost Inputs'!$L$67="Y",
IF(AND(ISNUMBER(R$56), R$56&gt;$E$60), $E110+($E$60*(($E110/$E$60)+$R$55)), $E110),
IF('Cost Inputs'!$L$67="N",
IF(AND(ISNUMBER('Cost Inputs'!$M$67), OR('Cost Inputs'!$M$67=1,'Cost Inputs'!$M$67=2, 'Cost Inputs'!$M$67=4)),
IF(AND(ISNUMBER(R$56), R$56&gt;$E$60), $E110+($E$60*(($E110/$E$60)+$R$55)), $E110), ""),"")), ""), ""), "")</f>
        <v/>
      </c>
      <c r="V110" s="373" t="str">
        <f>IF($R$3="N.B.C.",
IF(ISNUMBER($B$110),
IF($C110&lt;&gt;"",
IF('Cost Inputs'!$L$67="Y",
IF(AND(ISNUMBER(S$56), S$56&gt;$E$60), $E110+($E$60*(($E110/$E$60)+$S$55)), $E110),
IF('Cost Inputs'!$L$67="N",
IF(AND(ISNUMBER('Cost Inputs'!$M$67), OR('Cost Inputs'!$M$67=1,'Cost Inputs'!$M$67=5)),
IF(AND(ISNUMBER(S$56), S$56&gt;$E$60), $E110+($E$60*(($E110/$E$60)+$S$55)), $E110), ""),"")), ""), ""), "")</f>
        <v/>
      </c>
      <c r="W110" s="373" t="str">
        <f>IF($S$3="N.B.C.",
IF(ISNUMBER($B$110),
IF($C110&lt;&gt;"",
IF('Cost Inputs'!$L$67="Y",
IF(AND(ISNUMBER(T$56), T$56&gt;$E$60), $E110+($E$60*(($E110/$E$60)+$T$55)), $E110),
IF('Cost Inputs'!$L$67="N",
IF(AND(ISNUMBER('Cost Inputs'!$M$67),OR('Cost Inputs'!$M$67=1,'Cost Inputs'!$M$67=2, 'Cost Inputs'!$M$67=3,'Cost Inputs'!$M$67=6)),
IF(AND(ISNUMBER(T$56), T$56&gt;$E$60), $E110+($E$60*(($E110/$E$60)+$T$55)), $E110), ""),"")), ""), ""), "")</f>
        <v/>
      </c>
      <c r="X110" s="373" t="str">
        <f>IF($T$3="N.B.C.",
IF(ISNUMBER($B$110),
IF($C110&lt;&gt;"",
IF('Cost Inputs'!$L$67="Y",
IF(AND(ISNUMBER(U$56), U$56&gt;$E$60), $E110+($E$60*(($E110/$E$60)+$U$55)), $E110),
IF('Cost Inputs'!$L$67="N",
IF(AND(ISNUMBER('Cost Inputs'!$M$67), OR('Cost Inputs'!$M$67=1,'Cost Inputs'!$M$67=7)),
IF(AND(ISNUMBER(U$56), U$56&gt;$E$60), $E110+($E$60*(($E110/$E$60)+$U$55)), $E110), ""),"")), ""), ""), "")</f>
        <v/>
      </c>
      <c r="Y110" s="373" t="str">
        <f>IF($U$3="N.B.C.",
IF(ISNUMBER($B$110),
IF($C110&lt;&gt;"",
IF('Cost Inputs'!$L$67="Y",
IF(AND(ISNUMBER(V$56), V$56&gt;$E$60), $E110+($E$60*(($E110/$E$60)+$V$55)), $E110),
IF('Cost Inputs'!$L$67="N",
IF(AND(ISNUMBER('Cost Inputs'!$M$67), OR('Cost Inputs'!$M$67=1,'Cost Inputs'!$M$67=2,'Cost Inputs'!$M$67=4,'Cost Inputs'!$M$67=8)),
IF(AND(ISNUMBER(V$56), V$56&gt;$E$60), $E110+($E$60*(($E110/$E$60)+$V$55)), $E110), ""),"")), ""), ""), "")</f>
        <v/>
      </c>
      <c r="Z110" s="373" t="str">
        <f>IF($V$3="N.B.C.",
IF(ISNUMBER($B$110),
IF($C110&lt;&gt;"",
IF('Cost Inputs'!$L$67="Y",
IF(AND(ISNUMBER(W$56), W$56&gt;$E$60), $E110+($E$60*(($E110/$E$60)+$W$55)), $E110),
IF('Cost Inputs'!$L$67="N",
IF(AND(ISNUMBER('Cost Inputs'!$M$67), OR('Cost Inputs'!$M$67=1,'Cost Inputs'!$M$67=3, 'Cost Inputs'!$M$67=9)),
IF(AND(ISNUMBER(W$56), W$56&gt;$E$60), $E110+($E$60*(($E110/$E$60)+$W$55)), $E110), ""),"")), ""), ""), "")</f>
        <v/>
      </c>
      <c r="AA110" s="373" t="str">
        <f>IF($W$3="N.B.C.",
IF(ISNUMBER($B$110),
IF($C110&lt;&gt;"",
IF('Cost Inputs'!$L$67="Y",
IF(AND(ISNUMBER(X$56), X$56&gt;$E$60), $E110+($E$60*(($E110/$E$60)+$X$55)), $E110),
IF('Cost Inputs'!$L$67="N",
IF(AND(ISNUMBER('Cost Inputs'!$M$67), OR('Cost Inputs'!$M$67=1,'Cost Inputs'!$M$67=2, 'Cost Inputs'!$M$67=5)),
IF(AND(ISNUMBER(X$56), X$56&gt;$E$60), $E110+($E$60*(($E110/$E$60)+$X$55)), $E110), ""),"")), ""), ""), "")</f>
        <v/>
      </c>
      <c r="AB110" s="373" t="str">
        <f>IF($X$3="N.B.C.",
IF(ISNUMBER($B$110),
IF($C110&lt;&gt;"",
IF('Cost Inputs'!$L$67="Y",
IF(AND(ISNUMBER(Y$56), Y$56&gt;$E$60), $E110+($E$60*(($E110/$E$60)+$Y$55)), $E110),
IF('Cost Inputs'!$L$67="N",
IF(AND(ISNUMBER('Cost Inputs'!$M$67), OR('Cost Inputs'!$M$67=1)),
IF(AND(ISNUMBER(Y$56), Y$56&gt;$E$60), $E110+($E$60*(($E110/$E$60)+$Y$55)), $E110), ""),"")), ""), ""), "")</f>
        <v/>
      </c>
    </row>
    <row r="111" spans="1:28" x14ac:dyDescent="0.25">
      <c r="A111" s="518"/>
      <c r="B111" s="504"/>
      <c r="C111" s="104" t="str">
        <f>IF(AND(ISNUMBER(B110), OR('Cost Inputs'!$H$68&lt;&gt;"", 'Cost Inputs'!$I$68&lt;&gt;"", 'Cost Inputs'!$J$68&lt;&gt;"")), _3_2_1, "")</f>
        <v/>
      </c>
      <c r="D111" s="17" t="str">
        <f>IF(AND($C111&lt;&gt;"", 'Cost Inputs'!$G$68&lt;&gt;""), 'Cost Inputs'!$G$68, "")</f>
        <v/>
      </c>
      <c r="E111" s="17" t="str">
        <f>IF(AND(C111&lt;&gt;"", 'Cost Inputs'!$H$68&lt;&gt;"", M$107&lt;&gt;"", M$107&gt;0), $E90-('Cost Inputs'!$H$68*M$107), IF(AND(C111&lt;&gt;"", 'Cost Inputs'!$H$68&lt;&gt;""), $E90, ""))</f>
        <v/>
      </c>
      <c r="F111" s="17" t="str">
        <f>IF(AND(C111&lt;&gt;"", 'Cost Inputs'!$I$68&lt;&gt;""), 'Cost Inputs'!$I$68, "")</f>
        <v/>
      </c>
      <c r="G111" s="17" t="str">
        <f t="shared" si="5"/>
        <v/>
      </c>
      <c r="H111" s="17" t="str">
        <f>IF(AND(C111&lt;&gt;"", 'Cost Inputs'!$J$68&lt;&gt;""), 'Cost Inputs'!$J$68, "")</f>
        <v/>
      </c>
      <c r="I111" s="17" t="str">
        <f t="shared" si="4"/>
        <v/>
      </c>
      <c r="J111" s="17" t="str">
        <f>IF(AND(C111&lt;&gt;"",('Cost Inputs'!$I$68+'Cost Inputs'!$J$68+'Cost Inputs'!$K$68)&gt;0), 'Cost Inputs'!$I$68+'Cost Inputs'!$J$68+'Cost Inputs'!$K$68, "")</f>
        <v/>
      </c>
      <c r="K111" s="17" t="str">
        <f>IF(AND(C111&lt;&gt;"", 'Cost Inputs'!$N$68&gt;0),'Cost Inputs'!$N$68,"")</f>
        <v/>
      </c>
      <c r="M111" s="106"/>
      <c r="R111" s="17"/>
      <c r="S111" s="364" t="str">
        <f>IF($O$3="N.B.C.",
IF(ISNUMBER($B$110),
IF($C111&lt;&gt;"",
IF('Cost Inputs'!$L$68="Y",
IF(ISNUMBER($P$55), $E111+($E$89*(($E111/$E$89)+$P$55)), $E111),
IF('Cost Inputs'!$L$68="N",
IF(AND(ISNUMBER('Cost Inputs'!$M$68), OR('Cost Inputs'!$M$68=1,'Cost Inputs'!$M$68=2)),
IF(ISNUMBER($P$55), $E111+($E$89*(($E111/$E$89)+$P$55)), $E111),""),"")), ""),""),"")</f>
        <v/>
      </c>
      <c r="T111" s="364" t="str">
        <f>IF($P$3="N.B.C.",
IF(ISNUMBER($B$110),
IF($C111&lt;&gt;"",
IF('Cost Inputs'!$L$68="Y",
IF(ISNUMBER($Q$55), $E111+($E$89*(($E111/$E$89)+$Q$55)), $E111),
IF('Cost Inputs'!$L$68="N",
IF(AND(ISNUMBER('Cost Inputs'!$M$68), OR('Cost Inputs'!$M$68=1,'Cost Inputs'!$M$68=3)),
IF(ISNUMBER($Q$55), $E111+($E$89*(($E111/$E$89)+$Q$55)), $E111),""),"")), ""),""),"")</f>
        <v/>
      </c>
      <c r="U111" s="364" t="str">
        <f>IF($Q$3="N.B.C.",
IF(ISNUMBER($B$110),
IF($C111&lt;&gt;"",
IF('Cost Inputs'!$L$68="Y",
IF(ISNUMBER($R$55), $E111+($E$89*(($E111/$E$89)+$R$55)), $E111),
IF('Cost Inputs'!$L$68="N",
IF(AND(ISNUMBER('Cost Inputs'!$M$68), OR('Cost Inputs'!$M$68=1,'Cost Inputs'!$M$68=2,'Cost Inputs'!$M$68=4)),
IF(ISNUMBER($R$55), $E111+($E$89*(($E111/$E$89)+$R$55)), $E111),""),"")), ""),""),"")</f>
        <v/>
      </c>
      <c r="V111" s="364" t="str">
        <f>IF($R$3="N.B.C.",
IF(ISNUMBER($B$110),
IF($C111&lt;&gt;"",
IF('Cost Inputs'!$L$68="Y",
IF(ISNUMBER($S$55), $E111+($E$89*(($E111/$E$89)+$S$55)), $E111),
IF('Cost Inputs'!$L$68="N",
IF(AND(ISNUMBER('Cost Inputs'!$M$68), OR('Cost Inputs'!$M$68=1,'Cost Inputs'!$M$68=5)),
IF(ISNUMBER($S$55), $E111+($E$89*(($E111/$E$89)+$S$55)), $E111),""),"")), ""),""),"")</f>
        <v/>
      </c>
      <c r="W111" s="364" t="str">
        <f>IF($S$3="N.B.C.",
IF(ISNUMBER($B$110),
IF($C111&lt;&gt;"",
IF('Cost Inputs'!$L$68="Y",
IF(ISNUMBER($T$55), $E111+($E$89*(($E111/$E$89)+$T$55)), $E111),
IF('Cost Inputs'!$L$68="N",
IF(AND(ISNUMBER('Cost Inputs'!$M$68), OR('Cost Inputs'!$M$68=1,'Cost Inputs'!$M$68=2,'Cost Inputs'!$M$68=3,'Cost Inputs'!$M$68=6)),
IF(ISNUMBER($T$55), $E111+($E$89*(($E111/$E$89)+$T$55)), $E111),""),"")), ""),""),"")</f>
        <v/>
      </c>
      <c r="X111" s="364" t="str">
        <f>IF($T$3="N.B.C.",
IF(ISNUMBER($B$110),
IF($C111&lt;&gt;"",
IF('Cost Inputs'!$L$68="Y",
IF(ISNUMBER($U$55), $E111+($E$89*(($E111/$E$89)+$U$55)), $E111),
IF('Cost Inputs'!$L$68="N",
IF(AND(ISNUMBER('Cost Inputs'!$M$68), OR('Cost Inputs'!$M$68=1,'Cost Inputs'!$M$68=7)),
IF(ISNUMBER($U$55), $E111+($E$89*(($E111/$E$89)+$U$55)), $E111),""),"")), ""),""),"")</f>
        <v/>
      </c>
      <c r="Y111" s="364" t="str">
        <f>IF($U$3="N.B.C.",
IF(ISNUMBER($B$110),
IF($C111&lt;&gt;"",
IF('Cost Inputs'!$L$68="Y",
IF(ISNUMBER($V$55), $E111+($E$89*(($E111/$E$89)+$V$55)), $E111),
IF('Cost Inputs'!$L$68="N",
IF(AND(ISNUMBER('Cost Inputs'!$M$68), OR('Cost Inputs'!$M$68=1,'Cost Inputs'!$M$68=2,'Cost Inputs'!$M$68=4,'Cost Inputs'!$M$68=8)),
IF(ISNUMBER($V$55), $E111+($E$89*(($E111/$E$89)+$V$55)), $E111),""),"")), ""),""),"")</f>
        <v/>
      </c>
      <c r="Z111" s="364" t="str">
        <f>IF($V$3="N.B.C.",
IF(ISNUMBER($B$110),
IF($C111&lt;&gt;"",
IF('Cost Inputs'!$L$68="Y",
IF(ISNUMBER($W$55), $E111+($E$89*(($E111/$E$89)+$W$55)), $E111),
IF('Cost Inputs'!$L$68="N",
IF(AND(ISNUMBER('Cost Inputs'!$M$68), OR('Cost Inputs'!$M$68=1,'Cost Inputs'!$M$68=3,'Cost Inputs'!$M$68=9)),
IF(ISNUMBER($W$55), $E111+($E$89*(($E111/$E$89)+$W$55)), $E111),""),"")), ""),""),"")</f>
        <v/>
      </c>
      <c r="AA111" s="364" t="str">
        <f>IF($W$3="N.B.C.",
IF(ISNUMBER($B$110),
IF($C111&lt;&gt;"",
IF('Cost Inputs'!$L$68="Y",
IF(ISNUMBER($X$55), $E111+($E$89*(($E111/$E$89)+$X$55)), $E111),
IF('Cost Inputs'!$L$68="N",
IF(AND(ISNUMBER('Cost Inputs'!$M$68), OR('Cost Inputs'!$M$68=1,'Cost Inputs'!$M$68=2,'Cost Inputs'!$M$68=5)),
IF(ISNUMBER($X$55), $E111+($E$89*(($E111/$E$89)+$X$55)), $E111),""),"")), ""),""),"")</f>
        <v/>
      </c>
      <c r="AB111" s="364" t="str">
        <f>IF($X$3="N.B.C.",
IF(ISNUMBER($B$110),
IF($C111&lt;&gt;"",
IF('Cost Inputs'!$L$68="Y",
IF(ISNUMBER($Y$55), $E111+($E$89*(($E111/$E$89)+$Y$55)), $E111),
IF('Cost Inputs'!$L$68="N",
IF(AND(ISNUMBER('Cost Inputs'!$M$68), OR('Cost Inputs'!$M$68=1)),
IF(ISNUMBER($Y$55), $E111+($E$89*(($E111/$E$89)+$Y$55)), $E111),""),"")), ""),""),"")</f>
        <v/>
      </c>
    </row>
    <row r="112" spans="1:28" x14ac:dyDescent="0.25">
      <c r="A112" s="518"/>
      <c r="B112" s="504"/>
      <c r="C112" s="107" t="str">
        <f>IF(AND(ISNUMBER(B110), OR('Cost Inputs'!$H$69&lt;&gt;"", 'Cost Inputs'!$I$69&lt;&gt;"", 'Cost Inputs'!$J$69&lt;&gt;"")), _3_2_2, "")</f>
        <v/>
      </c>
      <c r="D112" s="93" t="str">
        <f>IF(AND($C112&lt;&gt;"", 'Cost Inputs'!$G$69&lt;&gt;""), 'Cost Inputs'!$G$69, "")</f>
        <v/>
      </c>
      <c r="E112" s="93" t="str">
        <f>IF(AND(C112&lt;&gt;"", 'Cost Inputs'!$H$69&lt;&gt;"", M$107&lt;&gt;"", M$107&gt;0), $E91-('Cost Inputs'!$H$69*M$107), IF(AND(C112&lt;&gt;"", 'Cost Inputs'!$H$69&lt;&gt;""), $E91, ""))</f>
        <v/>
      </c>
      <c r="F112" s="93" t="str">
        <f>IF(AND(C112&lt;&gt;"", 'Cost Inputs'!$I$69&lt;&gt;""), 'Cost Inputs'!$I$69, "")</f>
        <v/>
      </c>
      <c r="G112" s="93" t="str">
        <f t="shared" si="5"/>
        <v/>
      </c>
      <c r="H112" s="93" t="str">
        <f>IF(AND(C112&lt;&gt;"", 'Cost Inputs'!$J$69&lt;&gt;""), 'Cost Inputs'!$J$69, "")</f>
        <v/>
      </c>
      <c r="I112" s="93" t="str">
        <f t="shared" si="4"/>
        <v/>
      </c>
      <c r="J112" s="93" t="str">
        <f>IF(AND(C112&lt;&gt;"",('Cost Inputs'!$I$69+'Cost Inputs'!$J$69+'Cost Inputs'!$K$69)&gt;0), 'Cost Inputs'!$I$69+'Cost Inputs'!$J$69+'Cost Inputs'!$K$69, "")</f>
        <v/>
      </c>
      <c r="K112" s="93" t="str">
        <f>IF(AND(C112&lt;&gt;"", 'Cost Inputs'!$N$69&gt;0),'Cost Inputs'!$N$69,"")</f>
        <v/>
      </c>
      <c r="L112" s="93"/>
      <c r="M112" s="109"/>
      <c r="R112" s="17"/>
      <c r="S112" s="372" t="str">
        <f>IF($O$3="N.B.C.",
IF(ISNUMBER($B$110),
IF($C112&lt;&gt;"",
IF('Cost Inputs'!$L$69="Y",
IF(ISNUMBER($P$55), $E112+($E$89*(($E112/$E$89)+$P$55)), $E112),
IF('Cost Inputs'!$L$69="N",
IF(AND(ISNUMBER('Cost Inputs'!$M$69), OR('Cost Inputs'!$M$69=1,'Cost Inputs'!$M$69=2)),
IF(ISNUMBER($P$55), $E112+($E$89*(($E112/$E$89)+$P$55)), $E112),""),"")), ""),""),"")</f>
        <v/>
      </c>
      <c r="T112" s="372" t="str">
        <f>IF($P$3="N.B.C.",
IF(ISNUMBER($B$110),
IF($C112&lt;&gt;"",
IF('Cost Inputs'!$L$69="Y",
IF(ISNUMBER($Q$55), $E112+($E$89*(($E112/$E$89)+$Q$55)), $E112),
IF('Cost Inputs'!$L$69="N",
IF(AND(ISNUMBER('Cost Inputs'!$M$69), OR('Cost Inputs'!$M$69=1,'Cost Inputs'!$M$69=3)),
IF(ISNUMBER($Q$55), $E112+($E$89*(($E112/$E$89)+$Q$55)), $E112),""),"")), ""),""),"")</f>
        <v/>
      </c>
      <c r="U112" s="372" t="str">
        <f>IF($Q$3="N.B.C.",
IF(ISNUMBER($B$110),
IF($C112&lt;&gt;"",
IF('Cost Inputs'!$L$69="Y",
IF(ISNUMBER($R$55), $E112+($E$89*(($E112/$E$89)+$R$55)), $E112),
IF('Cost Inputs'!$L$69="N",
IF(AND(ISNUMBER('Cost Inputs'!$M$69), OR('Cost Inputs'!$M$69=1,'Cost Inputs'!$M$69=2,'Cost Inputs'!$M$69=4)),
IF(ISNUMBER($R$55), $E112+($E$89*(($E112/$E$89)+$R$55)), $E112),""),"")), ""),""),"")</f>
        <v/>
      </c>
      <c r="V112" s="372" t="str">
        <f>IF($R$3="N.B.C.",
IF(ISNUMBER($B$110),
IF($C112&lt;&gt;"",
IF('Cost Inputs'!$L$69="Y",
IF(ISNUMBER($S$55), $E112+($E$89*(($E112/$E$89)+$S$55)), $E112),
IF('Cost Inputs'!$L$69="N",
IF(AND(ISNUMBER('Cost Inputs'!$M$69), OR('Cost Inputs'!$M$69=1,'Cost Inputs'!$M$69=5)),
IF(ISNUMBER($S$55), $E112+($E$89*(($E112/$E$89)+$S$55)), $E112),""),"")), ""),""),"")</f>
        <v/>
      </c>
      <c r="W112" s="372" t="str">
        <f>IF($S$3="N.B.C.",
IF(ISNUMBER($B$110),
IF($C112&lt;&gt;"",
IF('Cost Inputs'!$L$69="Y",
IF(ISNUMBER($T$55), $E112+($E$89*(($E112/$E$89)+$T$55)), $E112),
IF('Cost Inputs'!$L$69="N",
IF(AND(ISNUMBER('Cost Inputs'!$M$69), OR('Cost Inputs'!$M$69=1,'Cost Inputs'!$M$69=2,'Cost Inputs'!$M$69=3,'Cost Inputs'!$M$69=6)),
IF(ISNUMBER($T$55), $E112+($E$89*(($E112/$E$89)+$T$55)), $E112),""),"")), ""),""),"")</f>
        <v/>
      </c>
      <c r="X112" s="372" t="str">
        <f>IF($T$3="N.B.C.",
IF(ISNUMBER($B$110),
IF($C112&lt;&gt;"",
IF('Cost Inputs'!$L$69="Y",
IF(ISNUMBER($U$55), $E112+($E$89*(($E112/$E$89)+$U$55)), $E112),
IF('Cost Inputs'!$L$69="N",
IF(AND(ISNUMBER('Cost Inputs'!$M$69), OR('Cost Inputs'!$M$69=1,'Cost Inputs'!$M$69=7)),
IF(ISNUMBER($U$55), $E112+($E$89*(($E112/$E$89)+$U$55)), $E112),""),"")), ""),""),"")</f>
        <v/>
      </c>
      <c r="Y112" s="372" t="str">
        <f>IF($U$3="N.B.C.",
IF(ISNUMBER($B$110),
IF($C112&lt;&gt;"",
IF('Cost Inputs'!$L$69="Y",
IF(ISNUMBER($V$55), $E112+($E$89*(($E112/$E$89)+$V$55)), $E112),
IF('Cost Inputs'!$L$69="N",
IF(AND(ISNUMBER('Cost Inputs'!$M$69), OR('Cost Inputs'!$M$69=1,'Cost Inputs'!$M$69=2,'Cost Inputs'!$M$69=4,'Cost Inputs'!$M$69=8)),
IF(ISNUMBER($V$55), $E112+($E$89*(($E112/$E$89)+$V$55)), $E112),""),"")), ""),""),"")</f>
        <v/>
      </c>
      <c r="Z112" s="372" t="str">
        <f>IF($V$3="N.B.C.",
IF(ISNUMBER($B$110),
IF($C112&lt;&gt;"",
IF('Cost Inputs'!$L$69="Y",
IF(ISNUMBER($W$55), $E112+($E$89*(($E112/$E$89)+$W$55)), $E112),
IF('Cost Inputs'!$L$69="N",
IF(AND(ISNUMBER('Cost Inputs'!$M$69), OR('Cost Inputs'!$M$69=1,'Cost Inputs'!$M$69=3,'Cost Inputs'!$M$69=9)),
IF(ISNUMBER($W$55), $E112+($E$89*(($E112/$E$89)+$W$55)), $E112),""),"")), ""),""),"")</f>
        <v/>
      </c>
      <c r="AA112" s="372" t="str">
        <f>IF($W$3="N.B.C.",
IF(ISNUMBER($B$110),
IF($C112&lt;&gt;"",
IF('Cost Inputs'!$L$69="Y",
IF(ISNUMBER($X$55), $E112+($E$89*(($E112/$E$89)+$X$55)), $E112),
IF('Cost Inputs'!$L$69="N",
IF(AND(ISNUMBER('Cost Inputs'!$M$69), OR('Cost Inputs'!$M$69=1,'Cost Inputs'!$M$69=2,'Cost Inputs'!$M$69=5)),
IF(ISNUMBER($X$55), $E112+($E$89*(($E112/$E$89)+$X$55)), $E112),""),"")), ""),""),"")</f>
        <v/>
      </c>
      <c r="AB112" s="372" t="str">
        <f>IF($X$3="N.B.C.",
IF(ISNUMBER($B$110),
IF($C112&lt;&gt;"",
IF('Cost Inputs'!$L$69="Y",
IF(ISNUMBER($Y$55), $E112+($E$89*(($E112/$E$89)+$Y$55)), $E112),
IF('Cost Inputs'!$L$69="N",
IF(AND(ISNUMBER('Cost Inputs'!$M$69), OR('Cost Inputs'!$M$69=1)),
IF(ISNUMBER($Y$55), $E112+($E$89*(($E112/$E$89)+$Y$55)), $E112),""),"")), ""),""),"")</f>
        <v/>
      </c>
    </row>
    <row r="113" spans="1:28" x14ac:dyDescent="0.25">
      <c r="A113" s="518"/>
      <c r="B113" s="504"/>
      <c r="C113" s="104" t="str">
        <f>IF(AND( ISNUMBER(B110), OR('Cost Inputs'!$H$70&lt;&gt;"", 'Cost Inputs'!$I$70&lt;&gt;"", 'Cost Inputs'!$J$70&lt;&gt;"")), _3_2_3, "")</f>
        <v/>
      </c>
      <c r="D113" s="17" t="str">
        <f>IF(AND($C113&lt;&gt;"", 'Cost Inputs'!$G$70&lt;&gt;""), 'Cost Inputs'!$G$70, "")</f>
        <v/>
      </c>
      <c r="E113" s="17" t="str">
        <f>IF(AND(C113&lt;&gt;"", 'Cost Inputs'!$H$70&lt;&gt;"", M$107&lt;&gt;"", M$107&gt;0), $E92-('Cost Inputs'!$H$70*M$107), IF(AND(C113&lt;&gt;"", 'Cost Inputs'!$H$70&lt;&gt;""), $E92, ""))</f>
        <v/>
      </c>
      <c r="F113" s="17" t="str">
        <f>IF(AND(C113&lt;&gt;"", 'Cost Inputs'!$I$70&lt;&gt;""), 'Cost Inputs'!$I$70, "")</f>
        <v/>
      </c>
      <c r="G113" s="17" t="str">
        <f t="shared" si="5"/>
        <v/>
      </c>
      <c r="H113" s="17" t="str">
        <f>IF(AND(C113&lt;&gt;"", 'Cost Inputs'!$J$70&lt;&gt;""), 'Cost Inputs'!$J$70, "")</f>
        <v/>
      </c>
      <c r="I113" s="17" t="str">
        <f t="shared" si="4"/>
        <v/>
      </c>
      <c r="J113" s="17" t="str">
        <f>IF(AND(C113&lt;&gt;"",('Cost Inputs'!$I$70+'Cost Inputs'!$J$70+'Cost Inputs'!$K$70)&gt;0), 'Cost Inputs'!$I$70+'Cost Inputs'!$J$70+'Cost Inputs'!$K$70, "")</f>
        <v/>
      </c>
      <c r="K113" s="17" t="str">
        <f>IF(AND(C113&lt;&gt;"", 'Cost Inputs'!$N$70&gt;0),'Cost Inputs'!$N$70,"")</f>
        <v/>
      </c>
      <c r="M113" s="106"/>
      <c r="R113" s="17"/>
      <c r="S113" s="364" t="str">
        <f>IF($O$3="N.B.C.",
IF(ISNUMBER($B$110),
IF($C113&lt;&gt;"",
IF('Cost Inputs'!$L$70="Y",
IF(ISNUMBER($P$55), $E113+($E$89*(($E113/$E$89)+$P$55)), $E113),
IF('Cost Inputs'!$L$70="N",
IF(AND(ISNUMBER('Cost Inputs'!$M$70), OR('Cost Inputs'!$M$70=1,'Cost Inputs'!$M$70=2)),
IF(ISNUMBER($P$55), $E113+($E$89*(($E113/$E$89)+$P$55)), $E113),""),"")), ""),""),"")</f>
        <v/>
      </c>
      <c r="T113" s="364" t="str">
        <f>IF($P$3="N.B.C.",
IF(ISNUMBER($B$110),
IF($C113&lt;&gt;"",
IF('Cost Inputs'!$L$70="Y",
IF(ISNUMBER($Q$55), $E113+($E$89*(($E113/$E$89)+$Q$55)), $E113),
IF('Cost Inputs'!$L$70="N",
IF(AND(ISNUMBER('Cost Inputs'!$M$70), OR('Cost Inputs'!$M$70=1,'Cost Inputs'!$M$70=3)),
IF(ISNUMBER($Q$55), $E113+($E$89*(($E113/$E$89)+$Q$55)), $E113),""),"")), ""),""),"")</f>
        <v/>
      </c>
      <c r="U113" s="364" t="str">
        <f>IF($Q$3="N.B.C.",
IF(ISNUMBER($B$110),
IF($C113&lt;&gt;"",
IF('Cost Inputs'!$L$70="Y",
IF(ISNUMBER($R$55), $E113+($E$89*(($E113/$E$89)+$R$55)), $E113),
IF('Cost Inputs'!$L$70="N",
IF(AND(ISNUMBER('Cost Inputs'!$M$70), OR('Cost Inputs'!$M$70=1,'Cost Inputs'!$M$70=2,'Cost Inputs'!$M$70=4)),
IF(ISNUMBER($R$55), $E113+($E$89*(($E113/$E$89)+$R$55)), $E113),""),"")), ""),""),"")</f>
        <v/>
      </c>
      <c r="V113" s="364" t="str">
        <f>IF($R$3="N.B.C.",
IF(ISNUMBER($B$110),
IF($C113&lt;&gt;"",
IF('Cost Inputs'!$L$70="Y",
IF(ISNUMBER($S$55), $E113+($E$89*(($E113/$E$89)+$S$55)), $E113),
IF('Cost Inputs'!$L$70="N",
IF(AND(ISNUMBER('Cost Inputs'!$M$70), OR('Cost Inputs'!$M$70=1,'Cost Inputs'!$M$70=5)),
IF(ISNUMBER($S$55), $E113+($E$89*(($E113/$E$89)+$S$55)), $E113),""),"")), ""),""),"")</f>
        <v/>
      </c>
      <c r="W113" s="364" t="str">
        <f>IF($S$3="N.B.C.",
IF(ISNUMBER($B$110),
IF($C113&lt;&gt;"",
IF('Cost Inputs'!$L$70="Y",
IF(ISNUMBER($T$55), $E113+($E$89*(($E113/$E$89)+$T$55)), $E113),
IF('Cost Inputs'!$L$70="N",
IF(AND(ISNUMBER('Cost Inputs'!$M$70), OR('Cost Inputs'!$M$70=1,'Cost Inputs'!$M$70=2,'Cost Inputs'!$M$70=3,'Cost Inputs'!$M$70=6)),
IF(ISNUMBER($T$55), $E113+($E$89*(($E113/$E$89)+$T$55)), $E113),""),"")), ""),""),"")</f>
        <v/>
      </c>
      <c r="X113" s="364" t="str">
        <f>IF($T$3="N.B.C.",
IF(ISNUMBER($B$110),
IF($C113&lt;&gt;"",
IF('Cost Inputs'!$L$70="Y",
IF(ISNUMBER($U$55), $E113+($E$89*(($E113/$E$89)+$U$55)), $E113),
IF('Cost Inputs'!$L$70="N",
IF(AND(ISNUMBER('Cost Inputs'!$M$70), OR('Cost Inputs'!$M$70=1,'Cost Inputs'!$M$70=7)),
IF(ISNUMBER($U$55), $E113+($E$89*(($E113/$E$89)+$U$55)), $E113),""),"")), ""),""),"")</f>
        <v/>
      </c>
      <c r="Y113" s="364" t="str">
        <f>IF($U$3="N.B.C.",
IF(ISNUMBER($B$110),
IF($C113&lt;&gt;"",
IF('Cost Inputs'!$L$70="Y",
IF(ISNUMBER($V$55), $E113+($E$89*(($E113/$E$89)+$V$55)), $E113),
IF('Cost Inputs'!$L$70="N",
IF(AND(ISNUMBER('Cost Inputs'!$M$70), OR('Cost Inputs'!$M$70=1,'Cost Inputs'!$M$70=2,'Cost Inputs'!$M$70=4,'Cost Inputs'!$M$70=8)),
IF(ISNUMBER($V$55), $E113+($E$89*(($E113/$E$89)+$V$55)), $E113),""),"")), ""),""),"")</f>
        <v/>
      </c>
      <c r="Z113" s="364" t="str">
        <f>IF($V$3="N.B.C.",
IF(ISNUMBER($B$110),
IF($C113&lt;&gt;"",
IF('Cost Inputs'!$L$70="Y",
IF(ISNUMBER($W$55), $E113+($E$89*(($E113/$E$89)+$W$55)), $E113),
IF('Cost Inputs'!$L$70="N",
IF(AND(ISNUMBER('Cost Inputs'!$M$70), OR('Cost Inputs'!$M$70=1,'Cost Inputs'!$M$70=3,'Cost Inputs'!$M$70=9)),
IF(ISNUMBER($W$55), $E113+($E$89*(($E113/$E$89)+$W$55)), $E113),""),"")), ""),""),"")</f>
        <v/>
      </c>
      <c r="AA113" s="364" t="str">
        <f>IF($W$3="N.B.C.",
IF(ISNUMBER($B$110),
IF($C113&lt;&gt;"",
IF('Cost Inputs'!$L$70="Y",
IF(ISNUMBER($X$55), $E113+($E$89*(($E113/$E$89)+$X$55)), $E113),
IF('Cost Inputs'!$L$70="N",
IF(AND(ISNUMBER('Cost Inputs'!$M$70), OR('Cost Inputs'!$M$70=1,'Cost Inputs'!$M$70=2,'Cost Inputs'!$M$70=5)),
IF(ISNUMBER($X$55), $E113+($E$89*(($E113/$E$89)+$X$55)), $E113),""),"")), ""),""),"")</f>
        <v/>
      </c>
      <c r="AB113" s="364" t="str">
        <f>IF($X$3="N.B.C.",
IF(ISNUMBER($B$110),
IF($C113&lt;&gt;"",
IF('Cost Inputs'!$L$70="Y",
IF(ISNUMBER($Y$55), $E113+($E$89*(($E113/$E$89)+$Y$55)), $E113),
IF('Cost Inputs'!$L$70="N",
IF(AND(ISNUMBER('Cost Inputs'!$M$70), OR('Cost Inputs'!$M$70=1)),
IF(ISNUMBER($Y$55), $E113+($E$89*(($E113/$E$89)+$Y$55)), $E113),""),"")), ""),""),"")</f>
        <v/>
      </c>
    </row>
    <row r="114" spans="1:28" x14ac:dyDescent="0.25">
      <c r="A114" s="518"/>
      <c r="B114" s="504"/>
      <c r="C114" s="107" t="str">
        <f>IF(AND( ISNUMBER(B110), OR('Cost Inputs'!$H$71&lt;&gt;"", 'Cost Inputs'!$I$71&lt;&gt;"", 'Cost Inputs'!$J$71&lt;&gt;"")), _3_2_4, "")</f>
        <v/>
      </c>
      <c r="D114" s="93" t="str">
        <f>IF(AND($C114&lt;&gt;"", 'Cost Inputs'!$G$71&lt;&gt;""), 'Cost Inputs'!$G$71, "")</f>
        <v/>
      </c>
      <c r="E114" s="93" t="str">
        <f>IF(AND(C114&lt;&gt;"", 'Cost Inputs'!$H$71&lt;&gt;"", M$107&lt;&gt;"", M$107&gt;0), $E93-('Cost Inputs'!$H$71*M$107), IF(AND(C114&lt;&gt;"", 'Cost Inputs'!$H$71&lt;&gt;""), $E93, ""))</f>
        <v/>
      </c>
      <c r="F114" s="93" t="str">
        <f>IF(AND(C114&lt;&gt;"", 'Cost Inputs'!$I$71&lt;&gt;""), 'Cost Inputs'!$I$71, "")</f>
        <v/>
      </c>
      <c r="G114" s="93" t="str">
        <f t="shared" si="5"/>
        <v/>
      </c>
      <c r="H114" s="93" t="str">
        <f>IF(AND(C114&lt;&gt;"", 'Cost Inputs'!$J$71&lt;&gt;""), 'Cost Inputs'!$J$71, "")</f>
        <v/>
      </c>
      <c r="I114" s="93" t="str">
        <f t="shared" si="4"/>
        <v/>
      </c>
      <c r="J114" s="93" t="str">
        <f>IF(AND(C114&lt;&gt;"",('Cost Inputs'!$I$71+'Cost Inputs'!$J$71+'Cost Inputs'!$K$71)&gt;0), 'Cost Inputs'!$I$71+'Cost Inputs'!$J$71+'Cost Inputs'!$K$71, "")</f>
        <v/>
      </c>
      <c r="K114" s="93" t="str">
        <f>IF(AND(C114&lt;&gt;"", 'Cost Inputs'!$N$71&gt;0),'Cost Inputs'!$N$71,"")</f>
        <v/>
      </c>
      <c r="L114" s="93"/>
      <c r="M114" s="109"/>
      <c r="R114" s="17"/>
      <c r="S114" s="372" t="str">
        <f>IF($O$3="N.B.C.",
IF(ISNUMBER($B$110),
IF($C114&lt;&gt;"",
IF('Cost Inputs'!$L$71="Y",
IF(ISNUMBER($P$55), $E114+($E$89*(($E114/$E$89)+$P$55)), $E114),
IF('Cost Inputs'!$L$71="N",
IF(AND(ISNUMBER('Cost Inputs'!$M$71), OR('Cost Inputs'!$M$71=1,'Cost Inputs'!$M$71=2)),
IF(ISNUMBER($P$55), $E114+($E$89*(($E114/$E$89)+$P$55)), $E114),""),"")), ""),""),"")</f>
        <v/>
      </c>
      <c r="T114" s="372" t="str">
        <f>IF($P$3="N.B.C.",
IF(ISNUMBER($B$110),
IF($C114&lt;&gt;"",
IF('Cost Inputs'!$L$71="Y",
IF(ISNUMBER($Q$55), $E114+($E$89*(($E114/$E$89)+$Q$55)), $E114),
IF('Cost Inputs'!$L$71="N",
IF(AND(ISNUMBER('Cost Inputs'!$M$71), OR('Cost Inputs'!$M$71=1,'Cost Inputs'!$M$71=3)),
IF(ISNUMBER($Q$55), $E114+($E$89*(($E114/$E$89)+$Q$55)), $E114),""),"")), ""),""),"")</f>
        <v/>
      </c>
      <c r="U114" s="372" t="str">
        <f>IF($Q$3="N.B.C.",
IF(ISNUMBER($B$110),
IF($C114&lt;&gt;"",
IF('Cost Inputs'!$L$71="Y",
IF(ISNUMBER($R$55), $E114+($E$89*(($E114/$E$89)+$R$55)), $E114),
IF('Cost Inputs'!$L$71="N",
IF(AND(ISNUMBER('Cost Inputs'!$M$71), OR('Cost Inputs'!$M$71=1,'Cost Inputs'!$M$71=2,'Cost Inputs'!$M$71=4)),
IF(ISNUMBER($R$55), $E114+($E$89*(($E114/$E$89)+$R$55)), $E114),""),"")), ""),""),"")</f>
        <v/>
      </c>
      <c r="V114" s="372" t="str">
        <f>IF($R$3="N.B.C.",
IF(ISNUMBER($B$110),
IF($C114&lt;&gt;"",
IF('Cost Inputs'!$L$71="Y",
IF(ISNUMBER($S$55), $E114+($E$89*(($E114/$E$89)+$S$55)), $E114),
IF('Cost Inputs'!$L$71="N",
IF(AND(ISNUMBER('Cost Inputs'!$M$71), OR('Cost Inputs'!$M$71=1,'Cost Inputs'!$M$71=5)),
IF(ISNUMBER($S$55), $E114+($E$89*(($E114/$E$89)+$S$55)), $E114),""),"")), ""),""),"")</f>
        <v/>
      </c>
      <c r="W114" s="372" t="str">
        <f>IF($S$3="N.B.C.",
IF(ISNUMBER($B$110),
IF($C114&lt;&gt;"",
IF('Cost Inputs'!$L$71="Y",
IF(ISNUMBER($T$55), $E114+($E$89*(($E114/$E$89)+$T$55)), $E114),
IF('Cost Inputs'!$L$71="N",
IF(AND(ISNUMBER('Cost Inputs'!$M$71), OR('Cost Inputs'!$M$71=1,'Cost Inputs'!$M$71=2,'Cost Inputs'!$M$71=3,'Cost Inputs'!$M$71=6)),
IF(ISNUMBER($T$55), $E114+($E$89*(($E114/$E$89)+$T$55)), $E114),""),"")), ""),""),"")</f>
        <v/>
      </c>
      <c r="X114" s="372" t="str">
        <f>IF($T$3="N.B.C.",
IF(ISNUMBER($B$110),
IF($C114&lt;&gt;"",
IF('Cost Inputs'!$L$71="Y",
IF(ISNUMBER($U$55), $E114+($E$89*(($E114/$E$89)+$U$55)), $E114),
IF('Cost Inputs'!$L$71="N",
IF(AND(ISNUMBER('Cost Inputs'!$M$71), OR('Cost Inputs'!$M$71=1,'Cost Inputs'!$M$71=7)),
IF(ISNUMBER($U$55), $E114+($E$89*(($E114/$E$89)+$U$55)), $E114),""),"")), ""),""),"")</f>
        <v/>
      </c>
      <c r="Y114" s="372" t="str">
        <f>IF($U$3="N.B.C.",
IF(ISNUMBER($B$110),
IF($C114&lt;&gt;"",
IF('Cost Inputs'!$L$71="Y",
IF(ISNUMBER($V$55), $E114+($E$89*(($E114/$E$89)+$V$55)), $E114),
IF('Cost Inputs'!$L$71="N",
IF(AND(ISNUMBER('Cost Inputs'!$M$71), OR('Cost Inputs'!$M$71=1,'Cost Inputs'!$M$71=2,'Cost Inputs'!$M$71=4,'Cost Inputs'!$M$71=8)),
IF(ISNUMBER($V$55), $E114+($E$89*(($E114/$E$89)+$V$55)), $E114),""),"")), ""),""),"")</f>
        <v/>
      </c>
      <c r="Z114" s="372" t="str">
        <f>IF($V$3="N.B.C.",
IF(ISNUMBER($B$110),
IF($C114&lt;&gt;"",
IF('Cost Inputs'!$L$71="Y",
IF(ISNUMBER($W$55), $E114+($E$89*(($E114/$E$89)+$W$55)), $E114),
IF('Cost Inputs'!$L$71="N",
IF(AND(ISNUMBER('Cost Inputs'!$M$71), OR('Cost Inputs'!$M$71=1,'Cost Inputs'!$M$71=3,'Cost Inputs'!$M$71=9)),
IF(ISNUMBER($W$55), $E114+($E$89*(($E114/$E$89)+$W$55)), $E114),""),"")), ""),""),"")</f>
        <v/>
      </c>
      <c r="AA114" s="372" t="str">
        <f>IF($W$3="N.B.C.",
IF(ISNUMBER($B$110),
IF($C114&lt;&gt;"",
IF('Cost Inputs'!$L$71="Y",
IF(ISNUMBER($X$55), $E114+($E$89*(($E114/$E$89)+$X$55)), $E114),
IF('Cost Inputs'!$L$71="N",
IF(AND(ISNUMBER('Cost Inputs'!$M$71), OR('Cost Inputs'!$M$71=1,'Cost Inputs'!$M$71=2,'Cost Inputs'!$M$71=5)),
IF(ISNUMBER($X$55), $E114+($E$89*(($E114/$E$89)+$X$55)), $E114),""),"")), ""),""),"")</f>
        <v/>
      </c>
      <c r="AB114" s="372" t="str">
        <f>IF($X$3="N.B.C.",
IF(ISNUMBER($B$110),
IF($C114&lt;&gt;"",
IF('Cost Inputs'!$L$71="Y",
IF(ISNUMBER($Y$55), $E114+($E$89*(($E114/$E$89)+$Y$55)), $E114),
IF('Cost Inputs'!$L$71="N",
IF(AND(ISNUMBER('Cost Inputs'!$M$71), OR('Cost Inputs'!$M$71=1)),
IF(ISNUMBER($Y$55), $E114+($E$89*(($E114/$E$89)+$Y$55)), $E114),""),"")), ""),""),"")</f>
        <v/>
      </c>
    </row>
    <row r="115" spans="1:28" x14ac:dyDescent="0.25">
      <c r="A115" s="518"/>
      <c r="B115" s="504"/>
      <c r="C115" s="110" t="str">
        <f>IF(AND(B110&lt;&gt;"", ISNUMBER(Stage1EvaluationBegins)), IF((INDEX(ProgramYearStage1,MATCH(Stage1EvaluationBegins,Years_in_Stage1,0)))=B110, _3_3_0, IF(AND(B110&lt;&gt;"", C94&lt;&gt;""), _3_3_0, IF(AND(B110&lt;&gt;"", OR(Stage1EvaluationBegins=0, Stage1EvaluationBegins="")),"", ""))),"")</f>
        <v/>
      </c>
      <c r="D115" s="94" t="str">
        <f>IF(AND(B110&lt;&gt;"", OR('Cost Inputs'!$H$72&lt;&gt;"", 'Cost Inputs'!$I$72&lt;&gt;"", 'Cost Inputs'!$J$72&lt;&gt;"")), 'Cost Inputs'!$G$72,"")</f>
        <v/>
      </c>
      <c r="E115" s="94" t="str">
        <f>IF(AND(C115&lt;&gt;"", 'Cost Inputs'!$H$72&lt;&gt;""), 'Cost Inputs'!$H$72, "")</f>
        <v/>
      </c>
      <c r="F115" s="94" t="str">
        <f>IF(AND(C115&lt;&gt;"", 'Cost Inputs'!$I$72&lt;&gt;""), 'Cost Inputs'!$I$72, "")</f>
        <v/>
      </c>
      <c r="G115" s="94" t="str">
        <f>IF(AND($E115&lt;&gt;"", $E115&gt;0, F115&lt;&gt;""), F115/$E115, "")</f>
        <v/>
      </c>
      <c r="H115" s="94" t="str">
        <f>IF(AND(C115&lt;&gt;"", 'Cost Inputs'!$J$72&lt;&gt;""), 'Cost Inputs'!$J$72, "")</f>
        <v/>
      </c>
      <c r="I115" s="94" t="str">
        <f>IF(AND($E115&lt;&gt;"", $H115&lt;&gt;""), $H115/$E115, "")</f>
        <v/>
      </c>
      <c r="J115" s="94" t="str">
        <f>IF(AND(C115&lt;&gt;"",('Cost Inputs'!$I$72+'Cost Inputs'!$J$72+'Cost Inputs'!$K$72)&gt;0), 'Cost Inputs'!$I$72+'Cost Inputs'!$J$72+'Cost Inputs'!$K$72, "")</f>
        <v/>
      </c>
      <c r="K115" s="94" t="str">
        <f>IF(AND(C115&lt;&gt;"", 'Cost Inputs'!$N$72&gt;0),'Cost Inputs'!$N$72,"")</f>
        <v/>
      </c>
      <c r="L115" s="130" t="str">
        <f>IF(AND($B110&lt;&gt;"", ISNUMBER(Stage1EvaluationBegins)), IF((INDEX(ProgramYearStage1,MATCH(Stage1EvaluationBegins,Years_in_Stage1,0)))=$B110, INDEX(Stage1Evaluation,MATCH(Stage1EvaluationBegins,Years_in_Stage1,0)), IF(AND($B110&lt;&gt;"", $C94&lt;&gt;""), INDEX(Stage1Evaluation,MATCH($B110,ProgramYearStage1,0)), IF(AND(B110&lt;&gt;"", OR(Stage1EvaluationBegins=0, Stage1EvaluationBegins="")),"", ""))),"")</f>
        <v/>
      </c>
      <c r="M115" s="103"/>
      <c r="R115" s="17"/>
      <c r="S115" s="373" t="str">
        <f>IF($O$3="N.B.C.",
IF(ISNUMBER($B$110),
IF($C115&lt;&gt;"",
IF('Cost Inputs'!$L$72="Y",
IF(AND(ISNUMBER(P$56), P$56&gt;$E$60), $E115+($E$60*(($E115/$E$60)+$P$55)), $E115),
IF('Cost Inputs'!$L$72="N",
IF(AND(ISNUMBER('Cost Inputs'!$M$72), OR('Cost Inputs'!$M$72=1,'Cost Inputs'!$M$72=2)),
IF(AND(ISNUMBER(P$56), P$56&gt;$E$60), $E115+($E$60*(($E115/$E$60)+$P$55)), $E115), ""),"")), ""), ""), "")</f>
        <v/>
      </c>
      <c r="T115" s="373" t="str">
        <f>IF($P$3="N.B.C.",
IF(ISNUMBER($B$110),
IF($C115&lt;&gt;"",
IF('Cost Inputs'!$L$72="Y",
IF(AND(ISNUMBER(Q$56), Q$56&gt;$E$60), $E115+($E$60*(($E115/$E$60)+$Q$55)), $E115),
IF('Cost Inputs'!$L$72="N",
IF(AND(ISNUMBER('Cost Inputs'!$M$72), OR('Cost Inputs'!$M$72=1,'Cost Inputs'!$M$72=3)),
IF(AND(ISNUMBER(Q$56), Q$56&gt;$E$60), $E115+($E$60*(($E115/$E$60)+$Q$55)), $E115), ""),"")), ""), ""), "")</f>
        <v/>
      </c>
      <c r="U115" s="373" t="str">
        <f>IF($Q$3="N.B.C.",
IF(ISNUMBER($B$110),
IF($C115&lt;&gt;"",
IF('Cost Inputs'!$L$72="Y",
IF(AND(ISNUMBER(R$56), R$56&gt;$E$60), $E115+($E$60*(($E115/$E$60)+$R$55)), $E115),
IF('Cost Inputs'!$L$72="N",
IF(AND(ISNUMBER('Cost Inputs'!$M$72), OR('Cost Inputs'!$M$72=1,'Cost Inputs'!$M$72=2, 'Cost Inputs'!$M$72=4)),
IF(AND(ISNUMBER(R$56), R$56&gt;$E$60), $E115+($E$60*(($E115/$E$60)+$R$55)), $E115), ""),"")), ""), ""), "")</f>
        <v/>
      </c>
      <c r="V115" s="373" t="str">
        <f>IF($R$3="N.B.C.",
IF(ISNUMBER($B$110),
IF($C115&lt;&gt;"",
IF('Cost Inputs'!$L$72="Y",
IF(AND(ISNUMBER(S$56), S$56&gt;$E$60), $E115+($E$60*(($E115/$E$60)+$S$55)), $E115),
IF('Cost Inputs'!$L$72="N",
IF(AND(ISNUMBER('Cost Inputs'!$M$72), OR('Cost Inputs'!$M$72=1,'Cost Inputs'!$M$72=5)),
IF(AND(ISNUMBER(S$56), S$56&gt;$E$60), $E115+($E$60*(($E115/$E$60)+$S$55)), $E115), ""),"")), ""), ""), "")</f>
        <v/>
      </c>
      <c r="W115" s="373" t="str">
        <f>IF($S$3="N.B.C.",
IF(ISNUMBER($B$110),
IF($C115&lt;&gt;"",
IF('Cost Inputs'!$L$72="Y",
IF(AND(ISNUMBER(T$56), T$56&gt;$E$60), $E115+($E$60*(($E115/$E$60)+$T$55)), $E115),
IF('Cost Inputs'!$L$72="N",
IF(AND(ISNUMBER('Cost Inputs'!$M$72), OR('Cost Inputs'!$M$72=1,'Cost Inputs'!$M$72=2, 'Cost Inputs'!$M$72=3,'Cost Inputs'!$M$72=6)),
IF(AND(ISNUMBER(T$56), T$56&gt;$E$60), $E115+($E$60*(($E115/$E$60)+$T$55)), $E115), ""),"")), ""), ""), "")</f>
        <v/>
      </c>
      <c r="X115" s="373" t="str">
        <f>IF($T$3="N.B.C.",
IF(ISNUMBER($B$110),
IF($C115&lt;&gt;"",
IF('Cost Inputs'!$L$72="Y",
IF(AND(ISNUMBER(U$56), U$56&gt;$E$60), $E115+($E$60*(($E115/$E$60)+$U$55)), $E115),
IF('Cost Inputs'!$L$72="N",
IF(AND(ISNUMBER('Cost Inputs'!$M$72), OR('Cost Inputs'!$M$72=1,'Cost Inputs'!$M$72=7)),
IF(AND(ISNUMBER(U$56), U$56&gt;$E$60), $E115+($E$60*(($E115/$E$60)+$U$55)), $E115), ""),"")), ""), ""), "")</f>
        <v/>
      </c>
      <c r="Y115" s="373" t="str">
        <f>IF($U$3="N.B.C.",
IF(ISNUMBER($B$110),
IF($C115&lt;&gt;"",
IF('Cost Inputs'!$L$72="Y",
IF(AND(ISNUMBER(V$56), V$56&gt;$E$60), $E115+($E$60*(($E115/$E$60)+$V$55)), $E115),
IF('Cost Inputs'!$L$72="N",
IF(AND(ISNUMBER('Cost Inputs'!$M$72), OR('Cost Inputs'!$M$72=1,'Cost Inputs'!$M$72=2,'Cost Inputs'!$M$72=4,'Cost Inputs'!$M$72=8)),
IF(AND(ISNUMBER(V$56), V$56&gt;$E$60), $E115+($E$60*(($E115/$E$60)+$V$55)), $E115), ""),"")), ""), ""), "")</f>
        <v/>
      </c>
      <c r="Z115" s="373" t="str">
        <f>IF($V$3="N.B.C.",
IF(ISNUMBER($B$110),
IF($C115&lt;&gt;"",
IF('Cost Inputs'!$L$72="Y",
IF(AND(ISNUMBER(W$56), W$56&gt;$E$60), $E115+($E$60*(($E115/$E$60)+$W$55)), $E115),
IF('Cost Inputs'!$L$72="N",
IF(AND(ISNUMBER('Cost Inputs'!$M$72), OR('Cost Inputs'!$M$72=1,'Cost Inputs'!$M$72=3, 'Cost Inputs'!$M$72=9)),
IF(AND(ISNUMBER(W$56), W$56&gt;$E$60), $E115+($E$60*(($E115/$E$60)+$W$55)), $E115), ""),"")), ""), ""), "")</f>
        <v/>
      </c>
      <c r="AA115" s="373" t="str">
        <f>IF($W$3="N.B.C.",
IF(ISNUMBER($B$110),
IF($C115&lt;&gt;"",
IF('Cost Inputs'!$L$72="Y",
IF(AND(ISNUMBER(X$56), X$56&gt;$E$60), $E115+($E$60*(($E115/$E$60)+$X$55)), $E115),
IF('Cost Inputs'!$L$72="N",
IF(AND(ISNUMBER('Cost Inputs'!$M$72), OR('Cost Inputs'!$M$72=1,'Cost Inputs'!$M$72=2, 'Cost Inputs'!$M$72=5)),
IF(AND(ISNUMBER(X$56), X$56&gt;$E$60), $E115+($E$60*(($E115/$E$60)+$X$55)), $E115), ""),"")), ""), ""), "")</f>
        <v/>
      </c>
      <c r="AB115" s="373" t="str">
        <f>IF($X$3="N.B.C.",
IF(ISNUMBER($B$110),
IF($C115&lt;&gt;"",
IF('Cost Inputs'!$L$72="Y",
IF(AND(ISNUMBER(Y$56), Y$56&gt;$E$60), $E115+($E$60*(($E115/$E$60)+$Y$55)), $E115),
IF('Cost Inputs'!$L$72="N",
IF(AND(ISNUMBER('Cost Inputs'!$M$72), OR('Cost Inputs'!$M$72=1)),
IF(AND(ISNUMBER(Y$56), Y$56&gt;$E$60), $E115+($E$60*(($E115/$E$60)+$Y$55)), $E115), ""),"")), ""), ""), "")</f>
        <v/>
      </c>
    </row>
    <row r="116" spans="1:28" x14ac:dyDescent="0.25">
      <c r="A116" s="518"/>
      <c r="B116" s="504"/>
      <c r="C116" s="104" t="str">
        <f>IF(AND(ISNUMBER(B110), C115&lt;&gt;"", OR('Cost Inputs'!$H$73&lt;&gt;"", 'Cost Inputs'!$I$73&lt;&gt;"", 'Cost Inputs'!$J$73&lt;&gt;"")), _3_3_1, "")</f>
        <v/>
      </c>
      <c r="D116" s="17" t="str">
        <f>IF(AND(C116&lt;&gt;"", 'Cost Inputs'!$G$73&lt;&gt;""), 'Cost Inputs'!$G$73, "")</f>
        <v/>
      </c>
      <c r="E116" s="17" t="str">
        <f>IF(AND(C116&lt;&gt;"", 'Cost Inputs'!$H$73&lt;&gt;""), 'Cost Inputs'!$H$73, "")</f>
        <v/>
      </c>
      <c r="F116" s="17" t="str">
        <f>IF(AND(C116&lt;&gt;"", 'Cost Inputs'!$I$73&lt;&gt;""), 'Cost Inputs'!$I$73, "")</f>
        <v/>
      </c>
      <c r="G116" s="17" t="str">
        <f t="shared" si="5"/>
        <v/>
      </c>
      <c r="H116" s="17" t="str">
        <f>IF(AND(C116&lt;&gt;"", 'Cost Inputs'!$J$73&lt;&gt;""), 'Cost Inputs'!$J$73, "")</f>
        <v/>
      </c>
      <c r="I116" s="17" t="str">
        <f t="shared" si="4"/>
        <v/>
      </c>
      <c r="J116" s="17" t="str">
        <f>IF(AND(C116&lt;&gt;"",('Cost Inputs'!$I$73+'Cost Inputs'!$J$73+'Cost Inputs'!$K$73)&gt;0), 'Cost Inputs'!$I$73+'Cost Inputs'!$J$73+'Cost Inputs'!$K$73, "")</f>
        <v/>
      </c>
      <c r="K116" s="17" t="str">
        <f>IF(AND(C116&lt;&gt;"", 'Cost Inputs'!$N$73&gt;0),'Cost Inputs'!$N$73,"")</f>
        <v/>
      </c>
      <c r="M116" s="106"/>
      <c r="R116" s="17"/>
      <c r="S116" s="364" t="str">
        <f>IF($O$3="N.B.C.",
IF(ISNUMBER($B$110),
IF($C116&lt;&gt;"",
IF('Cost Inputs'!$L$73="Y",
IF(ISNUMBER($P$55), $E116+($E$73*(($E116/$E$73)+$P$55)), $E116),
IF('Cost Inputs'!$L$73="N",
IF(AND(ISNUMBER('Cost Inputs'!$M$73), OR('Cost Inputs'!$M$73=1,'Cost Inputs'!$M$73=2)),
IF(ISNUMBER($P$55), $E116+($E$73*(($E116/$E$73)+$P$55)), $E116),""),"")), ""),""),"")</f>
        <v/>
      </c>
      <c r="T116" s="364" t="str">
        <f>IF($P$3="N.B.C.",
IF(ISNUMBER($B$110),
IF($C116&lt;&gt;"",
IF('Cost Inputs'!$L$73="Y",
IF(ISNUMBER($Q$55), $E116+($E$73*(($E116/$E$73)+$Q$55)), $E116),
IF('Cost Inputs'!$L$73="N",
IF(AND(ISNUMBER('Cost Inputs'!$M$73), OR('Cost Inputs'!$M$73=1,'Cost Inputs'!$M$73=3)),
IF(ISNUMBER($Q$55), $E116+($E$73*(($E116/$E$73)+$Q$55)), $E116),""),"")), ""),""),"")</f>
        <v/>
      </c>
      <c r="U116" s="364" t="str">
        <f>IF($Q$3="N.B.C.",
IF(ISNUMBER($B$110),
IF($C116&lt;&gt;"",
IF('Cost Inputs'!$L$73="Y",
IF(ISNUMBER($R$55), $E116+($E$73*(($E116/$E$73)+$R$55)), $E116),
IF('Cost Inputs'!$L$73="N",
IF(AND(ISNUMBER('Cost Inputs'!$M$73), OR('Cost Inputs'!$M$73=1,'Cost Inputs'!$M$73=2,'Cost Inputs'!$M$73=4)),
IF(ISNUMBER($R$55), $E116+($E$73*(($E116/$E$73)+$R$55)), $E116),""),"")), ""),""),"")</f>
        <v/>
      </c>
      <c r="V116" s="364" t="str">
        <f>IF($R$3="N.B.C.",
IF(ISNUMBER($B$110),
IF($C116&lt;&gt;"",
IF('Cost Inputs'!$L$73="Y",
IF(ISNUMBER($S$55), $E116+($E$73*(($E116/$E$73)+$S$55)), $E116),
IF('Cost Inputs'!$L$73="N",
IF(AND(ISNUMBER('Cost Inputs'!$M$73), OR('Cost Inputs'!$M$73=1,'Cost Inputs'!$M$73=5)),
IF(ISNUMBER($S$55), $E116+($E$73*(($E116/$E$73)+$S$55)), $E116),""),"")), ""),""),"")</f>
        <v/>
      </c>
      <c r="W116" s="364" t="str">
        <f>IF($S$3="N.B.C.",
IF(ISNUMBER($B$110),
IF($C116&lt;&gt;"",
IF('Cost Inputs'!$L$73="Y",
IF(ISNUMBER($T$55), $E116+($E$73*(($E116/$E$73)+$T$55)), $E116),
IF('Cost Inputs'!$L$73="N",
IF(AND(ISNUMBER('Cost Inputs'!$M$73), OR('Cost Inputs'!$M$73=1,'Cost Inputs'!$M$73=2,'Cost Inputs'!$M$73=3,'Cost Inputs'!$M$73=6)),
IF(ISNUMBER($T$55), $E116+($E$73*(($E116/$E$73)+$T$55)), $E116),""),"")), ""),""),"")</f>
        <v/>
      </c>
      <c r="X116" s="364" t="str">
        <f>IF($T$3="N.B.C.",
IF(ISNUMBER($B$110),
IF($C116&lt;&gt;"",
IF('Cost Inputs'!$L$73="Y",
IF(ISNUMBER($U$55), $E116+($E$73*(($E116/$E$73)+$U$55)), $E116),
IF('Cost Inputs'!$L$73="N",
IF(AND(ISNUMBER('Cost Inputs'!$M$73), OR('Cost Inputs'!$M$73=1,'Cost Inputs'!$M$73=7)),
IF(ISNUMBER($U$55), $E116+($E$73*(($E116/$E$73)+$U$55)), $E116),""),"")), ""),""),"")</f>
        <v/>
      </c>
      <c r="Y116" s="364" t="str">
        <f>IF($U$3="N.B.C.",
IF(ISNUMBER($B$110),
IF($C116&lt;&gt;"",
IF('Cost Inputs'!$L$73="Y",
IF(ISNUMBER($V$55), $E116+($E$73*(($E116/$E$73)+$V$55)), $E116),
IF('Cost Inputs'!$L$73="N",
IF(AND(ISNUMBER('Cost Inputs'!$M$73), OR('Cost Inputs'!$M$73=1,'Cost Inputs'!$M$73=2,'Cost Inputs'!$M$73=4,'Cost Inputs'!$M$73=8)),
IF(ISNUMBER($V$55), $E116+($E$73*(($E116/$E$73)+$V$55)), $E116),""),"")), ""),""),"")</f>
        <v/>
      </c>
      <c r="Z116" s="364" t="str">
        <f>IF($V$3="N.B.C.",
IF(ISNUMBER($B$110),
IF($C116&lt;&gt;"",
IF('Cost Inputs'!$L$73="Y",
IF(ISNUMBER($W$55), $E116+($E$73*(($E116/$E$73)+$W$55)), $E116),
IF('Cost Inputs'!$L$73="N",
IF(AND(ISNUMBER('Cost Inputs'!$M$73), OR('Cost Inputs'!$M$73=1,'Cost Inputs'!$M$73=3,'Cost Inputs'!$M$73=9)),
IF(ISNUMBER($W$55), $E116+($E$73*(($E116/$E$73)+$W$55)), $E116),""),"")), ""),""),"")</f>
        <v/>
      </c>
      <c r="AA116" s="364" t="str">
        <f>IF($W$3="N.B.C.",
IF(ISNUMBER($B$110),
IF($C116&lt;&gt;"",
IF('Cost Inputs'!$L$73="Y",
IF(ISNUMBER($X$55), $E116+($E$73*(($E116/$E$73)+$X$55)), $E116),
IF('Cost Inputs'!$L$73="N",
IF(AND(ISNUMBER('Cost Inputs'!$M$73), OR('Cost Inputs'!$M$73=1,'Cost Inputs'!$M$73=2,'Cost Inputs'!$M$73=5)),
IF(ISNUMBER($X$55), $E116+($E$73*(($E116/$E$73)+$X$55)), $E116),""),"")), ""),""),"")</f>
        <v/>
      </c>
      <c r="AB116" s="364" t="str">
        <f>IF($X$3="N.B.C.",
IF(ISNUMBER($B$110),
IF($C116&lt;&gt;"",
IF('Cost Inputs'!$L$73="Y",
IF(ISNUMBER($Y$55), $E116+($E$73*(($E116/$E$73)+$Y$55)), $E116),
IF('Cost Inputs'!$L$73="N",
IF(AND(ISNUMBER('Cost Inputs'!$M$73), OR('Cost Inputs'!$M$73=1)),
IF(ISNUMBER($Y$55), $E116+($E$73*(($E116/$E$73)+$Y$55)), $E116),""),"")), ""),""),"")</f>
        <v/>
      </c>
    </row>
    <row r="117" spans="1:28" x14ac:dyDescent="0.25">
      <c r="A117" s="518"/>
      <c r="B117" s="504"/>
      <c r="C117" s="107" t="str">
        <f>IF(AND(ISNUMBER(B110), C115&lt;&gt;"", OR('Cost Inputs'!$H$74&lt;&gt;"", 'Cost Inputs'!$I$74&lt;&gt;"", 'Cost Inputs'!$J$74&lt;&gt;"")), _3_3_2, "")</f>
        <v/>
      </c>
      <c r="D117" s="93" t="str">
        <f>IF(AND(C117&lt;&gt;"", 'Cost Inputs'!$G$74&lt;&gt;""), 'Cost Inputs'!$G$74, "")</f>
        <v/>
      </c>
      <c r="E117" s="93" t="str">
        <f>IF(AND(C117&lt;&gt;"", 'Cost Inputs'!$H$74&lt;&gt;""), 'Cost Inputs'!$H$74, "")</f>
        <v/>
      </c>
      <c r="F117" s="93" t="str">
        <f>IF(AND(C117&lt;&gt;"", 'Cost Inputs'!$I$74&lt;&gt;""), 'Cost Inputs'!$I$74, "")</f>
        <v/>
      </c>
      <c r="G117" s="93" t="str">
        <f t="shared" si="5"/>
        <v/>
      </c>
      <c r="H117" s="93" t="str">
        <f>IF(AND(C117&lt;&gt;"", 'Cost Inputs'!$J$74&lt;&gt;""), 'Cost Inputs'!$J$74, "")</f>
        <v/>
      </c>
      <c r="I117" s="93" t="str">
        <f t="shared" si="4"/>
        <v/>
      </c>
      <c r="J117" s="93" t="str">
        <f>IF(AND(C117&lt;&gt;"",('Cost Inputs'!$I$74+'Cost Inputs'!$J$74+'Cost Inputs'!$K$74)&gt;0), 'Cost Inputs'!$I$74+'Cost Inputs'!$J$74+'Cost Inputs'!$K$74, "")</f>
        <v/>
      </c>
      <c r="K117" s="93" t="str">
        <f>IF(AND(C117&lt;&gt;"", 'Cost Inputs'!$N$74&gt;0),'Cost Inputs'!$N$74,"")</f>
        <v/>
      </c>
      <c r="L117" s="93"/>
      <c r="M117" s="109"/>
      <c r="R117" s="17"/>
      <c r="S117" s="372" t="str">
        <f>IF($O$3="N.B.C.",
IF(ISNUMBER($B$110),
IF($C117&lt;&gt;"",
IF('Cost Inputs'!$L$74="Y",
IF(ISNUMBER($P$55), $E117+($E$73*(($E117/$E$73)+$P$55)), $E117),
IF('Cost Inputs'!$L$74="N",
IF(AND(ISNUMBER('Cost Inputs'!$M$74), OR('Cost Inputs'!$M$74=1,'Cost Inputs'!$M$74=2)),
IF(ISNUMBER($P$55), $E117+($E$73*(($E117/$E$73)+$P$55)), $E117),""),"")), ""),""),"")</f>
        <v/>
      </c>
      <c r="T117" s="372" t="str">
        <f>IF($P$3="N.B.C.",
IF(ISNUMBER($B$110),
IF($C117&lt;&gt;"",
IF('Cost Inputs'!$L$74="Y",
IF(ISNUMBER($Q$55), $E117+($E$73*(($E117/$E$73)+$Q$55)), $E117),
IF('Cost Inputs'!$L$74="N",
IF(AND(ISNUMBER('Cost Inputs'!$M$74), OR('Cost Inputs'!$M$74=1,'Cost Inputs'!$M$74=3)),
IF(ISNUMBER($Q$55), $E117+($E$73*(($E117/$E$73)+$Q$55)), $E117),""),"")), ""),""),"")</f>
        <v/>
      </c>
      <c r="U117" s="372" t="str">
        <f>IF($Q$3="N.B.C.",
IF(ISNUMBER($B$110),
IF($C117&lt;&gt;"",
IF('Cost Inputs'!$L$74="Y",
IF(ISNUMBER($R$55), $E117+($E$73*(($E117/$E$73)+$R$55)), $E117),
IF('Cost Inputs'!$L$74="N",
IF(AND(ISNUMBER('Cost Inputs'!$M$74), OR('Cost Inputs'!$M$74=1,'Cost Inputs'!$M$74=2,'Cost Inputs'!$M$74=4)),
IF(ISNUMBER($R$55), $E117+($E$73*(($E117/$E$73)+$R$55)), $E117),""),"")), ""),""),"")</f>
        <v/>
      </c>
      <c r="V117" s="372" t="str">
        <f>IF($R$3="N.B.C.",
IF(ISNUMBER($B$110),
IF($C117&lt;&gt;"",
IF('Cost Inputs'!$L$74="Y",
IF(ISNUMBER($S$55), $E117+($E$73*(($E117/$E$73)+$S$55)), $E117),
IF('Cost Inputs'!$L$74="N",
IF(AND(ISNUMBER('Cost Inputs'!$M$74), OR('Cost Inputs'!$M$74=1,'Cost Inputs'!$M$74=5)),
IF(ISNUMBER($S$55), $E117+($E$73*(($E117/$E$73)+$S$55)), $E117),""),"")), ""),""),"")</f>
        <v/>
      </c>
      <c r="W117" s="372" t="str">
        <f>IF($S$3="N.B.C.",
IF(ISNUMBER($B$110),
IF($C117&lt;&gt;"",
IF('Cost Inputs'!$L$74="Y",
IF(ISNUMBER($T$55), $E117+($E$73*(($E117/$E$73)+$T$55)), $E117),
IF('Cost Inputs'!$L$74="N",
IF(AND(ISNUMBER('Cost Inputs'!$M$74), OR('Cost Inputs'!$M$74=1,'Cost Inputs'!$M$74=2,'Cost Inputs'!$M$74=3,'Cost Inputs'!$M$74=6)),
IF(ISNUMBER($T$55), $E117+($E$73*(($E117/$E$73)+$T$55)), $E117),""),"")), ""),""),"")</f>
        <v/>
      </c>
      <c r="X117" s="372" t="str">
        <f>IF($T$3="N.B.C.",
IF(ISNUMBER($B$110),
IF($C117&lt;&gt;"",
IF('Cost Inputs'!$L$74="Y",
IF(ISNUMBER($U$55), $E117+($E$73*(($E117/$E$73)+$U$55)), $E117),
IF('Cost Inputs'!$L$74="N",
IF(AND(ISNUMBER('Cost Inputs'!$M$74), OR('Cost Inputs'!$M$74=1,'Cost Inputs'!$M$74=7)),
IF(ISNUMBER($U$55), $E117+($E$73*(($E117/$E$73)+$U$55)), $E117),""),"")), ""),""),"")</f>
        <v/>
      </c>
      <c r="Y117" s="372" t="str">
        <f>IF($U$3="N.B.C.",
IF(ISNUMBER($B$110),
IF($C117&lt;&gt;"",
IF('Cost Inputs'!$L$74="Y",
IF(ISNUMBER($V$55), $E117+($E$73*(($E117/$E$73)+$V$55)), $E117),
IF('Cost Inputs'!$L$74="N",
IF(AND(ISNUMBER('Cost Inputs'!$M$74), OR('Cost Inputs'!$M$74=1,'Cost Inputs'!$M$74=2,'Cost Inputs'!$M$74=4,'Cost Inputs'!$M$74=8)),
IF(ISNUMBER($V$55), $E117+($E$73*(($E117/$E$73)+$V$55)), $E117),""),"")), ""),""),"")</f>
        <v/>
      </c>
      <c r="Z117" s="372" t="str">
        <f>IF($V$3="N.B.C.",
IF(ISNUMBER($B$110),
IF($C117&lt;&gt;"",
IF('Cost Inputs'!$L$74="Y",
IF(ISNUMBER($W$55), $E117+($E$73*(($E117/$E$73)+$W$55)), $E117),
IF('Cost Inputs'!$L$74="N",
IF(AND(ISNUMBER('Cost Inputs'!$M$74), OR('Cost Inputs'!$M$74=1,'Cost Inputs'!$M$74=3,'Cost Inputs'!$M$74=9)),
IF(ISNUMBER($W$55), $E117+($E$73*(($E117/$E$73)+$W$55)), $E117),""),"")), ""),""),"")</f>
        <v/>
      </c>
      <c r="AA117" s="372" t="str">
        <f>IF($W$3="N.B.C.",
IF(ISNUMBER($B$110),
IF($C117&lt;&gt;"",
IF('Cost Inputs'!$L$74="Y",
IF(ISNUMBER($X$55), $E117+($E$73*(($E117/$E$73)+$X$55)), $E117),
IF('Cost Inputs'!$L$74="N",
IF(AND(ISNUMBER('Cost Inputs'!$M$74), OR('Cost Inputs'!$M$74=1,'Cost Inputs'!$M$74=2,'Cost Inputs'!$M$74=5)),
IF(ISNUMBER($X$55), $E117+($E$73*(($E117/$E$73)+$X$55)), $E117),""),"")), ""),""),"")</f>
        <v/>
      </c>
      <c r="AB117" s="372" t="str">
        <f>IF($X$3="N.B.C.",
IF(ISNUMBER($B$110),
IF($C117&lt;&gt;"",
IF('Cost Inputs'!$L$74="Y",
IF(ISNUMBER($Y$55), $E117+($E$73*(($E117/$E$73)+$Y$55)), $E117),
IF('Cost Inputs'!$L$74="N",
IF(AND(ISNUMBER('Cost Inputs'!$M$74), OR('Cost Inputs'!$M$74=1)),
IF(ISNUMBER($Y$55), $E117+($E$73*(($E117/$E$73)+$Y$55)), $E117),""),"")), ""),""),"")</f>
        <v/>
      </c>
    </row>
    <row r="118" spans="1:28" x14ac:dyDescent="0.25">
      <c r="A118" s="518"/>
      <c r="B118" s="504"/>
      <c r="C118" s="104" t="str">
        <f>IF(AND(ISNUMBER(B110), OR('Cost Inputs'!$H$75&lt;&gt;"", 'Cost Inputs'!$I$75&lt;&gt;"", 'Cost Inputs'!$J$75&lt;&gt;"")), _3_3_3, "")</f>
        <v/>
      </c>
      <c r="D118" s="17" t="str">
        <f>IF(AND(C118&lt;&gt;"", 'Cost Inputs'!$G$75&lt;&gt;""), 'Cost Inputs'!$G$75, "")</f>
        <v/>
      </c>
      <c r="E118" s="17" t="str">
        <f>IF(AND(C118&lt;&gt;"", 'Cost Inputs'!$H$75&lt;&gt;""), 'Cost Inputs'!$H$75, "")</f>
        <v/>
      </c>
      <c r="F118" s="17" t="str">
        <f>IF(AND(C118&lt;&gt;"", 'Cost Inputs'!$I$75&lt;&gt;""), 'Cost Inputs'!$I$75, "")</f>
        <v/>
      </c>
      <c r="G118" s="17" t="str">
        <f t="shared" si="5"/>
        <v/>
      </c>
      <c r="H118" s="17" t="str">
        <f>IF(AND(C118&lt;&gt;"", 'Cost Inputs'!$J$75&lt;&gt;""), 'Cost Inputs'!$J$75, "")</f>
        <v/>
      </c>
      <c r="I118" s="17" t="str">
        <f t="shared" si="4"/>
        <v/>
      </c>
      <c r="J118" s="17" t="str">
        <f>IF(AND(C118&lt;&gt;"",('Cost Inputs'!$I$75+'Cost Inputs'!$J$75+'Cost Inputs'!$K$75)&gt;0), 'Cost Inputs'!$I$75+'Cost Inputs'!$J$75+'Cost Inputs'!$K$75, "")</f>
        <v/>
      </c>
      <c r="K118" s="17" t="str">
        <f>IF(AND(C118&lt;&gt;"", 'Cost Inputs'!$N$75&gt;0),'Cost Inputs'!$N$75,"")</f>
        <v/>
      </c>
      <c r="M118" s="106"/>
      <c r="S118" s="364" t="str">
        <f>IF($O$3="N.B.C.",
IF(ISNUMBER($B$110),
IF($C118&lt;&gt;"",
IF('Cost Inputs'!$L$75="Y",
IF(ISNUMBER($P$55), $E118+($E$73*(($E118/$E$73)+$P$55)), $E118),
IF('Cost Inputs'!$L$75="N",
IF(AND(ISNUMBER('Cost Inputs'!$M$75), OR('Cost Inputs'!$M$75=1,'Cost Inputs'!$M$75=2)),
IF(ISNUMBER($P$55), $E118+($E$73*(($E118/$E$73)+$P$55)), $E118),""),"")), ""),""),"")</f>
        <v/>
      </c>
      <c r="T118" s="364" t="str">
        <f>IF($P$3="N.B.C.",
IF(ISNUMBER($B$110),
IF($C118&lt;&gt;"",
IF('Cost Inputs'!$L$75="Y",
IF(ISNUMBER($Q$55), $E118+($E$73*(($E118/$E$73)+$Q$55)), $E118),
IF('Cost Inputs'!$L$75="N",
IF(AND(ISNUMBER('Cost Inputs'!$M$75), OR('Cost Inputs'!$M$75=1,'Cost Inputs'!$M$75=3)),
IF(ISNUMBER($Q$55), $E118+($E$73*(($E118/$E$73)+$Q$55)), $E118),""),"")), ""),""),"")</f>
        <v/>
      </c>
      <c r="U118" s="364" t="str">
        <f>IF($Q$3="N.B.C.",
IF(ISNUMBER($B$110),
IF($C118&lt;&gt;"",
IF('Cost Inputs'!$L$75="Y",
IF(ISNUMBER($R$55), $E118+($E$73*(($E118/$E$73)+$R$55)), $E118),
IF('Cost Inputs'!$L$75="N",
IF(AND(ISNUMBER('Cost Inputs'!$M$75), OR('Cost Inputs'!$M$75=1,'Cost Inputs'!$M$75=2,'Cost Inputs'!$M$75=4)),
IF(ISNUMBER($R$55), $E118+($E$73*(($E118/$E$73)+$R$55)), $E118),""),"")), ""),""),"")</f>
        <v/>
      </c>
      <c r="V118" s="364" t="str">
        <f>IF($R$3="N.B.C.",
IF(ISNUMBER($B$110),
IF($C118&lt;&gt;"",
IF('Cost Inputs'!$L$75="Y",
IF(ISNUMBER($S$55), $E118+($E$73*(($E118/$E$73)+$S$55)), $E118),
IF('Cost Inputs'!$L$75="N",
IF(AND(ISNUMBER('Cost Inputs'!$M$75), OR('Cost Inputs'!$M$75=1,'Cost Inputs'!$M$75=5)),
IF(ISNUMBER($S$55), $E118+($E$73*(($E118/$E$73)+$S$55)), $E118),""),"")), ""),""),"")</f>
        <v/>
      </c>
      <c r="W118" s="364" t="str">
        <f>IF($S$3="N.B.C.",
IF(ISNUMBER($B$110),
IF($C118&lt;&gt;"",
IF('Cost Inputs'!$L$75="Y",
IF(ISNUMBER($T$55), $E118+($E$73*(($E118/$E$73)+$T$55)), $E118),
IF('Cost Inputs'!$L$75="N",
IF(AND(ISNUMBER('Cost Inputs'!$M$75), OR('Cost Inputs'!$M$75=1,'Cost Inputs'!$M$75=2,'Cost Inputs'!$M$75=3,'Cost Inputs'!$M$75=6)),
IF(ISNUMBER($T$55), $E118+($E$73*(($E118/$E$73)+$T$55)), $E118),""),"")), ""),""),"")</f>
        <v/>
      </c>
      <c r="X118" s="364" t="str">
        <f>IF($T$3="N.B.C.",
IF(ISNUMBER($B$110),
IF($C118&lt;&gt;"",
IF('Cost Inputs'!$L$75="Y",
IF(ISNUMBER($U$55), $E118+($E$73*(($E118/$E$73)+$U$55)), $E118),
IF('Cost Inputs'!$L$75="N",
IF(AND(ISNUMBER('Cost Inputs'!$M$75), OR('Cost Inputs'!$M$75=1,'Cost Inputs'!$M$75=7)),
IF(ISNUMBER($U$55), $E118+($E$73*(($E118/$E$73)+$U$55)), $E118),""),"")), ""),""),"")</f>
        <v/>
      </c>
      <c r="Y118" s="364" t="str">
        <f>IF($U$3="N.B.C.",
IF(ISNUMBER($B$110),
IF($C118&lt;&gt;"",
IF('Cost Inputs'!$L$75="Y",
IF(ISNUMBER($V$55), $E118+($E$73*(($E118/$E$73)+$V$55)), $E118),
IF('Cost Inputs'!$L$75="N",
IF(AND(ISNUMBER('Cost Inputs'!$M$75), OR('Cost Inputs'!$M$75=1,'Cost Inputs'!$M$75=2,'Cost Inputs'!$M$75=4,'Cost Inputs'!$M$75=8)),
IF(ISNUMBER($V$55), $E118+($E$73*(($E118/$E$73)+$V$55)), $E118),""),"")), ""),""),"")</f>
        <v/>
      </c>
      <c r="Z118" s="364" t="str">
        <f>IF($V$3="N.B.C.",
IF(ISNUMBER($B$110),
IF($C118&lt;&gt;"",
IF('Cost Inputs'!$L$75="Y",
IF(ISNUMBER($W$55), $E118+($E$73*(($E118/$E$73)+$W$55)), $E118),
IF('Cost Inputs'!$L$75="N",
IF(AND(ISNUMBER('Cost Inputs'!$M$75), OR('Cost Inputs'!$M$75=1,'Cost Inputs'!$M$75=3,'Cost Inputs'!$M$75=9)),
IF(ISNUMBER($W$55), $E118+($E$73*(($E118/$E$73)+$W$55)), $E118),""),"")), ""),""),"")</f>
        <v/>
      </c>
      <c r="AA118" s="364" t="str">
        <f>IF($W$3="N.B.C.",
IF(ISNUMBER($B$110),
IF($C118&lt;&gt;"",
IF('Cost Inputs'!$L$75="Y",
IF(ISNUMBER($X$55), $E118+($E$73*(($E118/$E$73)+$X$55)), $E118),
IF('Cost Inputs'!$L$75="N",
IF(AND(ISNUMBER('Cost Inputs'!$M$75), OR('Cost Inputs'!$M$75=1,'Cost Inputs'!$M$75=2,'Cost Inputs'!$M$75=5)),
IF(ISNUMBER($X$55), $E118+($E$73*(($E118/$E$73)+$X$55)), $E118),""),"")), ""),""),"")</f>
        <v/>
      </c>
      <c r="AB118" s="364" t="str">
        <f>IF($X$3="N.B.C.",
IF(ISNUMBER($B$110),
IF($C118&lt;&gt;"",
IF('Cost Inputs'!$L$75="Y",
IF(ISNUMBER($Y$55), $E118+($E$73*(($E118/$E$73)+$Y$55)), $E118),
IF('Cost Inputs'!$L$75="N",
IF(AND(ISNUMBER('Cost Inputs'!$M$75), OR('Cost Inputs'!$M$75=1)),
IF(ISNUMBER($Y$55), $E118+($E$73*(($E118/$E$73)+$Y$55)), $E118),""),"")), ""),""),"")</f>
        <v/>
      </c>
    </row>
    <row r="119" spans="1:28" x14ac:dyDescent="0.25">
      <c r="A119" s="518"/>
      <c r="B119" s="504"/>
      <c r="C119" s="107" t="str">
        <f>IF(AND(ISNUMBER(B110), OR('Cost Inputs'!$H$76&lt;&gt;"", 'Cost Inputs'!$I$76&lt;&gt;"", 'Cost Inputs'!$J$76&lt;&gt;"")), _3_3_4, "")</f>
        <v/>
      </c>
      <c r="D119" s="93" t="str">
        <f>IF(AND(C119&lt;&gt;"", 'Cost Inputs'!$G$76&lt;&gt;""), 'Cost Inputs'!$G$76, "")</f>
        <v/>
      </c>
      <c r="E119" s="93" t="str">
        <f>IF(AND(C119&lt;&gt;"", 'Cost Inputs'!$H$76&lt;&gt;""), 'Cost Inputs'!$H$76, "")</f>
        <v/>
      </c>
      <c r="F119" s="93" t="str">
        <f>IF(AND(C119&lt;&gt;"", 'Cost Inputs'!$I$76&lt;&gt;""), 'Cost Inputs'!$I$76, "")</f>
        <v/>
      </c>
      <c r="G119" s="93" t="str">
        <f t="shared" si="5"/>
        <v/>
      </c>
      <c r="H119" s="93" t="str">
        <f>IF(AND(C119&lt;&gt;"", 'Cost Inputs'!$J$76&lt;&gt;""), 'Cost Inputs'!$J$76, "")</f>
        <v/>
      </c>
      <c r="I119" s="93" t="str">
        <f t="shared" si="4"/>
        <v/>
      </c>
      <c r="J119" s="93" t="str">
        <f>IF(AND(C119&lt;&gt;"",('Cost Inputs'!$I$76+'Cost Inputs'!$J$76+'Cost Inputs'!$K$76)&gt;0), 'Cost Inputs'!$I$76+'Cost Inputs'!$J$76+'Cost Inputs'!$K$76, "")</f>
        <v/>
      </c>
      <c r="K119" s="93" t="str">
        <f>IF(AND(C119&lt;&gt;"", 'Cost Inputs'!$N$76&gt;0),'Cost Inputs'!$N$76,"")</f>
        <v/>
      </c>
      <c r="L119" s="93"/>
      <c r="M119" s="109"/>
      <c r="S119" s="372" t="str">
        <f>IF($O$3="N.B.C.",
IF(ISNUMBER($B$110),
IF($C119&lt;&gt;"",
IF('Cost Inputs'!$L$76="Y",
IF(ISNUMBER($P$55), $E119+($E$73*(($E119/$E$73)+$P$55)), $E119),
IF('Cost Inputs'!$L$76="N",
IF(AND(ISNUMBER('Cost Inputs'!$M$76), OR('Cost Inputs'!$M$76=1,'Cost Inputs'!$M$76=2)),
IF(ISNUMBER($P$55), $E119+($E$73*(($E119/$E$73)+$P$55)), $E119),""),"")), ""),""),"")</f>
        <v/>
      </c>
      <c r="T119" s="372" t="str">
        <f>IF($P$3="N.B.C.",
IF(ISNUMBER($B$110),
IF($C119&lt;&gt;"",
IF('Cost Inputs'!$L$76="Y",
IF(ISNUMBER($Q$55), $E119+($E$73*(($E119/$E$73)+$Q$55)), $E119),
IF('Cost Inputs'!$L$76="N",
IF(AND(ISNUMBER('Cost Inputs'!$M$76), OR('Cost Inputs'!$M$76=1,'Cost Inputs'!$M$76=3)),
IF(ISNUMBER($Q$55), $E119+($E$73*(($E119/$E$73)+$Q$55)), $E119),""),"")), ""),""),"")</f>
        <v/>
      </c>
      <c r="U119" s="372" t="str">
        <f>IF($Q$3="N.B.C.",
IF(ISNUMBER($B$110),
IF($C119&lt;&gt;"",
IF('Cost Inputs'!$L$76="Y",
IF(ISNUMBER($R$55), $E119+($E$73*(($E119/$E$73)+$R$55)), $E119),
IF('Cost Inputs'!$L$76="N",
IF(AND(ISNUMBER('Cost Inputs'!$M$76), OR('Cost Inputs'!$M$76=1,'Cost Inputs'!$M$76=2,'Cost Inputs'!$M$76=4)),
IF(ISNUMBER($R$55), $E119+($E$73*(($E119/$E$73)+$R$55)), $E119),""),"")), ""),""),"")</f>
        <v/>
      </c>
      <c r="V119" s="372" t="str">
        <f>IF($R$3="N.B.C.",
IF(ISNUMBER($B$110),
IF($C119&lt;&gt;"",
IF('Cost Inputs'!$L$76="Y",
IF(ISNUMBER($S$55), $E119+($E$73*(($E119/$E$73)+$S$55)), $E119),
IF('Cost Inputs'!$L$76="N",
IF(AND(ISNUMBER('Cost Inputs'!$M$76), OR('Cost Inputs'!$M$76=1,'Cost Inputs'!$M$76=5)),
IF(ISNUMBER($S$55), $E119+($E$73*(($E119/$E$73)+$S$55)), $E119),""),"")), ""),""),"")</f>
        <v/>
      </c>
      <c r="W119" s="372" t="str">
        <f>IF($S$3="N.B.C.",
IF(ISNUMBER($B$110),
IF($C119&lt;&gt;"",
IF('Cost Inputs'!$L$76="Y",
IF(ISNUMBER($T$55), $E119+($E$73*(($E119/$E$73)+$T$55)), $E119),
IF('Cost Inputs'!$L$76="N",
IF(AND(ISNUMBER('Cost Inputs'!$M$76), OR('Cost Inputs'!$M$76=1,'Cost Inputs'!$M$76=2,'Cost Inputs'!$M$76=3,'Cost Inputs'!$M$76=6)),
IF(ISNUMBER($T$55), $E119+($E$73*(($E119/$E$73)+$T$55)), $E119),""),"")), ""),""),"")</f>
        <v/>
      </c>
      <c r="X119" s="372" t="str">
        <f>IF($T$3="N.B.C.",
IF(ISNUMBER($B$110),
IF($C119&lt;&gt;"",
IF('Cost Inputs'!$L$76="Y",
IF(ISNUMBER($U$55), $E119+($E$73*(($E119/$E$73)+$U$55)), $E119),
IF('Cost Inputs'!$L$76="N",
IF(AND(ISNUMBER('Cost Inputs'!$M$76), OR('Cost Inputs'!$M$76=1,'Cost Inputs'!$M$76=7)),
IF(ISNUMBER($U$55), $E119+($E$73*(($E119/$E$73)+$U$55)), $E119),""),"")), ""),""),"")</f>
        <v/>
      </c>
      <c r="Y119" s="372" t="str">
        <f>IF($U$3="N.B.C.",
IF(ISNUMBER($B$110),
IF($C119&lt;&gt;"",
IF('Cost Inputs'!$L$76="Y",
IF(ISNUMBER($V$55), $E119+($E$73*(($E119/$E$73)+$V$55)), $E119),
IF('Cost Inputs'!$L$76="N",
IF(AND(ISNUMBER('Cost Inputs'!$M$76), OR('Cost Inputs'!$M$76=1,'Cost Inputs'!$M$76=2,'Cost Inputs'!$M$76=4,'Cost Inputs'!$M$76=8)),
IF(ISNUMBER($V$55), $E119+($E$73*(($E119/$E$73)+$V$55)), $E119),""),"")), ""),""),"")</f>
        <v/>
      </c>
      <c r="Z119" s="372" t="str">
        <f>IF($V$3="N.B.C.",
IF(ISNUMBER($B$110),
IF($C119&lt;&gt;"",
IF('Cost Inputs'!$L$76="Y",
IF(ISNUMBER($W$55), $E119+($E$73*(($E119/$E$73)+$W$55)), $E119),
IF('Cost Inputs'!$L$76="N",
IF(AND(ISNUMBER('Cost Inputs'!$M$76), OR('Cost Inputs'!$M$76=1,'Cost Inputs'!$M$76=3,'Cost Inputs'!$M$76=9)),
IF(ISNUMBER($W$55), $E119+($E$73*(($E119/$E$73)+$W$55)), $E119),""),"")), ""),""),"")</f>
        <v/>
      </c>
      <c r="AA119" s="372" t="str">
        <f>IF($W$3="N.B.C.",
IF(ISNUMBER($B$110),
IF($C119&lt;&gt;"",
IF('Cost Inputs'!$L$76="Y",
IF(ISNUMBER($X$55), $E119+($E$73*(($E119/$E$73)+$X$55)), $E119),
IF('Cost Inputs'!$L$76="N",
IF(AND(ISNUMBER('Cost Inputs'!$M$76), OR('Cost Inputs'!$M$76=1,'Cost Inputs'!$M$76=2,'Cost Inputs'!$M$76=5)),
IF(ISNUMBER($X$55), $E119+($E$73*(($E119/$E$73)+$X$55)), $E119),""),"")), ""),""),"")</f>
        <v/>
      </c>
      <c r="AB119" s="372" t="str">
        <f>IF($X$3="N.B.C.",
IF(ISNUMBER($B$110),
IF($C119&lt;&gt;"",
IF('Cost Inputs'!$L$76="Y",
IF(ISNUMBER($Y$55), $E119+($E$73*(($E119/$E$73)+$Y$55)), $E119),
IF('Cost Inputs'!$L$76="N",
IF(AND(ISNUMBER('Cost Inputs'!$M$76), OR('Cost Inputs'!$M$76=1)),
IF(ISNUMBER($Y$55), $E119+($E$73*(($E119/$E$73)+$Y$55)), $E119),""),"")), ""),""),"")</f>
        <v/>
      </c>
    </row>
    <row r="120" spans="1:28" x14ac:dyDescent="0.25">
      <c r="A120" s="518"/>
      <c r="B120" s="504"/>
      <c r="C120" s="110" t="str">
        <f>IF( ISNUMBER(B110), _3_4_0, "")</f>
        <v/>
      </c>
      <c r="D120" s="94" t="str">
        <f>IF(AND(B110&lt;&gt;"", OR('Cost Inputs'!$H$77&lt;&gt;"", 'Cost Inputs'!$I$77&lt;&gt;"", 'Cost Inputs'!$J$77&lt;&gt;"")), 'Cost Inputs'!$G$77,"")</f>
        <v/>
      </c>
      <c r="E120" s="94" t="str">
        <f>IF(AND(C120&lt;&gt;"", 'Cost Inputs'!$H$77&lt;&gt;""), 'Cost Inputs'!$H$77, "")</f>
        <v/>
      </c>
      <c r="F120" s="94" t="str">
        <f>IF(AND(C120&lt;&gt;"", 'Cost Inputs'!$I$77&lt;&gt;""), 'Cost Inputs'!$I$77, "")</f>
        <v/>
      </c>
      <c r="G120" s="94" t="str">
        <f t="shared" si="5"/>
        <v/>
      </c>
      <c r="H120" s="94" t="str">
        <f>IF(AND(C120&lt;&gt;"", 'Cost Inputs'!$J$77&lt;&gt;""), 'Cost Inputs'!$J$77, "")</f>
        <v/>
      </c>
      <c r="I120" s="94" t="str">
        <f>IF(AND($E120&lt;&gt;"", $H120&lt;&gt;""), $H120/$E120, "")</f>
        <v/>
      </c>
      <c r="J120" s="94" t="str">
        <f>IF(AND(C120&lt;&gt;"",('Cost Inputs'!$I$77+'Cost Inputs'!$J$77+'Cost Inputs'!$K$77)&gt;0), 'Cost Inputs'!$I$77+'Cost Inputs'!$J$77+'Cost Inputs'!$K$77, "")</f>
        <v/>
      </c>
      <c r="K120" s="94" t="str">
        <f>IF(AND(C120&lt;&gt;"", 'Cost Inputs'!$N$77&gt;0),'Cost Inputs'!$N$77,"")</f>
        <v/>
      </c>
      <c r="L120" s="94"/>
      <c r="M120" s="103"/>
      <c r="S120" s="373" t="str">
        <f>IF($O$3="N.B.C.",
IF(ISNUMBER($B$110),
IF($C120&lt;&gt;"",
IF('Cost Inputs'!$L$77="Y",
IF(AND(ISNUMBER(P$56), P$56&gt;$E$60), $E120+($E$60*(($E120/$E$60)+$P$55)), $E120),
IF('Cost Inputs'!$L$77="N",
IF(AND(ISNUMBER('Cost Inputs'!$M$77), OR('Cost Inputs'!$M$77=1,'Cost Inputs'!$M$77=2)),
IF(AND(ISNUMBER(P$56), P$56&gt;$E$60), $E120+($E$60*(($E120/$E$60)+$P$55)), $E120), ""),"")), ""), ""), "")</f>
        <v/>
      </c>
      <c r="T120" s="373" t="str">
        <f>IF($P$3="N.B.C.",
IF(ISNUMBER($B$110),
IF($C120&lt;&gt;"",
IF('Cost Inputs'!$L$77="Y",
IF(AND(ISNUMBER(Q$56), Q$56&gt;$E$60), $E120+($E$60*(($E120/$E$60)+$Q$55)), $E120),
IF('Cost Inputs'!$L$77="N",
IF(AND(ISNUMBER('Cost Inputs'!$M$77), OR('Cost Inputs'!$M$77=1,'Cost Inputs'!$M$77=3)),
IF(AND(ISNUMBER(Q$56), Q$56&gt;$E$60), $E120+($E$60*(($E120/$E$60)+$Q$55)), $E120), ""),"")), ""), ""), "")</f>
        <v/>
      </c>
      <c r="U120" s="373" t="str">
        <f>IF($Q$3="N.B.C.",
IF(ISNUMBER($B$110),
IF($C120&lt;&gt;"",
IF('Cost Inputs'!$L$77="Y",
IF(AND(ISNUMBER(R$56), R$56&gt;$E$60), $E120+($E$60*(($E120/$E$60)+$R$55)), $E120),
IF('Cost Inputs'!$L$77="N",
IF(AND(ISNUMBER('Cost Inputs'!$M$77), OR('Cost Inputs'!$M$77=1,'Cost Inputs'!$M$77=2, 'Cost Inputs'!$M$77=4)),
IF(AND(ISNUMBER(R$56), R$56&gt;$E$60), $E120+($E$60*(($E120/$E$60)+$R$55)), $E120), ""),"")), ""), ""), "")</f>
        <v/>
      </c>
      <c r="V120" s="373" t="str">
        <f>IF($R$3="N.B.C.",
IF(ISNUMBER($B$110),
IF($C120&lt;&gt;"",
IF('Cost Inputs'!$L$77="Y",
IF(AND(ISNUMBER(S$56), S$56&gt;$E$60), $E120+($E$60*(($E120/$E$60)+$S$55)), $E120),
IF('Cost Inputs'!$L$77="N",
IF(AND(ISNUMBER('Cost Inputs'!$M$77), OR('Cost Inputs'!$M$77=1,'Cost Inputs'!$M$77=5)),
IF(AND(ISNUMBER(S$56), S$56&gt;$E$60), $E120+($E$60*(($E120/$E$60)+$S$55)), $E120), ""),"")), ""), ""), "")</f>
        <v/>
      </c>
      <c r="W120" s="373" t="str">
        <f>IF($S$3="N.B.C.",
IF(ISNUMBER($B$110),
IF($C120&lt;&gt;"",
IF('Cost Inputs'!$L$77="Y",
IF(AND(ISNUMBER(T$56), T$56&gt;$E$60), $E120+($E$60*(($E120/$E$60)+$T$55)), $E120),
IF('Cost Inputs'!$L$77="N",
IF(AND(ISNUMBER('Cost Inputs'!$M$77), OR('Cost Inputs'!$M$77=1,'Cost Inputs'!$M$77=2, 'Cost Inputs'!$M$77=3,'Cost Inputs'!$M$77=6)),
IF(AND(ISNUMBER(T$56), T$56&gt;$E$60), $E120+($E$60*(($E120/$E$60)+$T$55)), $E120), ""),"")), ""), ""), "")</f>
        <v/>
      </c>
      <c r="X120" s="373" t="str">
        <f>IF($T$3="N.B.C.",
IF(ISNUMBER($B$110),
IF($C120&lt;&gt;"",
IF('Cost Inputs'!$L$77="Y",
IF(AND(ISNUMBER(U$56), U$56&gt;$E$60), $E120+($E$60*(($E120/$E$60)+$U$55)), $E120),
IF('Cost Inputs'!$L$77="N",
IF(AND(ISNUMBER('Cost Inputs'!$M$77), OR('Cost Inputs'!$M$77=1,'Cost Inputs'!$M$77=7)),
IF(AND(ISNUMBER(U$56), U$56&gt;$E$60), $E120+($E$60*(($E120/$E$60)+$U$55)), $E120), ""),"")), ""), ""), "")</f>
        <v/>
      </c>
      <c r="Y120" s="373" t="str">
        <f>IF($U$3="N.B.C.",
IF(ISNUMBER($B$110),
IF($C120&lt;&gt;"",
IF('Cost Inputs'!$L$77="Y",
IF(AND(ISNUMBER(V$56), V$56&gt;$E$60), $E120+($E$60*(($E120/$E$60)+$V$55)), $E120),
IF('Cost Inputs'!$L$77="N",
IF(AND(ISNUMBER('Cost Inputs'!$M$77), OR('Cost Inputs'!$M$77=1,'Cost Inputs'!$M$77=2,'Cost Inputs'!$M$77=4,'Cost Inputs'!$M$77=8)),
IF(AND(ISNUMBER(V$56), V$56&gt;$E$60), $E120+($E$60*(($E120/$E$60)+$V$55)), $E120), ""),"")), ""), ""), "")</f>
        <v/>
      </c>
      <c r="Z120" s="373" t="str">
        <f>IF($V$3="N.B.C.",
IF(ISNUMBER($B$110),
IF($C120&lt;&gt;"",
IF('Cost Inputs'!$L$77="Y",
IF(AND(ISNUMBER(W$56), W$56&gt;$E$60), $E120+($E$60*(($E120/$E$60)+$W$55)), $E120),
IF('Cost Inputs'!$L$77="N",
IF(AND(ISNUMBER('Cost Inputs'!$M$77), OR('Cost Inputs'!$M$77=1,'Cost Inputs'!$M$77=3, 'Cost Inputs'!$M$77=9)),
IF(AND(ISNUMBER(W$56), W$56&gt;$E$60), $E120+($E$60*(($E120/$E$60)+$W$55)), $E120), ""),"")), ""), ""), "")</f>
        <v/>
      </c>
      <c r="AA120" s="373" t="str">
        <f>IF($W$3="N.B.C.",
IF(ISNUMBER($B$110),
IF($C120&lt;&gt;"",
IF('Cost Inputs'!$L$77="Y",
IF(AND(ISNUMBER(X$56), X$56&gt;$E$60), $E120+($E$60*(($E120/$E$60)+$X$55)), $E120),
IF('Cost Inputs'!$L$77="N",
IF(AND(ISNUMBER('Cost Inputs'!$M$77), OR('Cost Inputs'!$M$77=1,'Cost Inputs'!$M$77=2, 'Cost Inputs'!$M$77=5)),
IF(AND(ISNUMBER(X$56), X$56&gt;$E$60), $E120+($E$60*(($E120/$E$60)+$X$55)), $E120), ""),"")), ""), ""), "")</f>
        <v/>
      </c>
      <c r="AB120" s="373" t="str">
        <f>IF($X$3="N.B.C.",
IF(ISNUMBER($B$110),
IF($C120&lt;&gt;"",
IF('Cost Inputs'!$L$77="Y",
IF(AND(ISNUMBER(Y$56), Y$56&gt;$E$60), $E120+($E$60*(($E120/$E$60)+$Y$55)), $E120),
IF('Cost Inputs'!$L$77="N",
IF(AND(ISNUMBER('Cost Inputs'!$M$77), OR('Cost Inputs'!$M$77=1)),
IF(AND(ISNUMBER(Y$56), Y$56&gt;$E$60), $E120+($E$60*(($E120/$E$60)+$Y$55)), $E120), ""),"")), ""), ""), "")</f>
        <v/>
      </c>
    </row>
    <row r="121" spans="1:28" x14ac:dyDescent="0.25">
      <c r="A121" s="518"/>
      <c r="B121" s="504"/>
      <c r="C121" s="358" t="str">
        <f>IF(AND(ISNUMBER(B110), OR('Cost Inputs'!$H$78&lt;&gt;"", 'Cost Inputs'!$I$78&lt;&gt;"", 'Cost Inputs'!$J$78&lt;&gt;"")),
IF((INDEX(ProgramYearStage1,MATCH(DNA_Test_1,Years_in_Stage1,0)))='Model_ of_individuals'!B110,  _3_4_1,
IF(C100&lt;&gt;"",  _3_4_1, "")),"")</f>
        <v/>
      </c>
      <c r="D121" s="17" t="str">
        <f>IF(AND(C121&lt;&gt;"", 'Cost Inputs'!$G$78&lt;&gt;""), 'Cost Inputs'!$G$78, "")</f>
        <v/>
      </c>
      <c r="E121" s="17" t="str">
        <f>IF(AND(C121&lt;&gt;"", 'Cost Inputs'!$H$78&lt;&gt;""), 'Cost Inputs'!$H$78, "")</f>
        <v/>
      </c>
      <c r="F121" s="17" t="str">
        <f>IF(AND(C121&lt;&gt;"", 'Cost Inputs'!$I$78&lt;&gt;""), 'Cost Inputs'!$I$78, "")</f>
        <v/>
      </c>
      <c r="G121" s="17" t="str">
        <f t="shared" si="5"/>
        <v/>
      </c>
      <c r="H121" s="17" t="str">
        <f>IF(AND(C121&lt;&gt;"", 'Cost Inputs'!$J$78&lt;&gt;""), 'Cost Inputs'!$J$78, "")</f>
        <v/>
      </c>
      <c r="I121" s="17" t="str">
        <f t="shared" si="4"/>
        <v/>
      </c>
      <c r="J121" s="17" t="str">
        <f>IF(AND(C121&lt;&gt;"",('Cost Inputs'!$I$78+'Cost Inputs'!$J$78+'Cost Inputs'!$K$78)&gt;0), 'Cost Inputs'!$I$78+'Cost Inputs'!$J$78+'Cost Inputs'!$K$78, "")</f>
        <v/>
      </c>
      <c r="K121" s="17" t="str">
        <f>IF(AND(C121&lt;&gt;"", 'Cost Inputs'!$N$78&gt;0),'Cost Inputs'!$N$78,"")</f>
        <v/>
      </c>
      <c r="M121" s="106"/>
      <c r="S121" s="364" t="str">
        <f>IF($O$3="N.B.C.",
IF(ISNUMBER($B$110),
IF($C121&lt;&gt;"",
IF('Cost Inputs'!$L$78="Y",
IF(ISNUMBER($P$55), $E121+($E$78*(($E121/$E$78)+$P$55)), $E121),
IF('Cost Inputs'!$L$78="N",
IF(AND(ISNUMBER('Cost Inputs'!$M$78), OR('Cost Inputs'!$M$78=1,'Cost Inputs'!$M$78=2)),
IF(ISNUMBER($P$55), $E121+($E$78*(($E121/$E$78)+$P$55)), $E121),""),"")), ""),""),"")</f>
        <v/>
      </c>
      <c r="T121" s="364" t="str">
        <f>IF($P$3="N.B.C.",
IF(ISNUMBER($B$110),
IF($C121&lt;&gt;"",
IF('Cost Inputs'!$L$78="Y",
IF(ISNUMBER($Q$55), $E121+($E$78*(($E121/$E$78)+$Q$55)), $E121),
IF('Cost Inputs'!$L$78="N",
IF(AND(ISNUMBER('Cost Inputs'!$M$78), OR('Cost Inputs'!$M$78=1,'Cost Inputs'!$M$78=3)),
IF(ISNUMBER($Q$55), $E121+($E$78*(($E121/$E$78)+$Q$55)), $E121),""),"")), ""),""),"")</f>
        <v/>
      </c>
      <c r="U121" s="364" t="str">
        <f>IF($Q$3="N.B.C.",
IF(ISNUMBER($B$110),
IF($C121&lt;&gt;"",
IF('Cost Inputs'!$L$78="Y",
IF(ISNUMBER($R$55), $E121+($E$78*(($E121/$E$78)+$R$55)), $E121),
IF('Cost Inputs'!$L$78="N",
IF(AND(ISNUMBER('Cost Inputs'!$M$78), OR('Cost Inputs'!$M$78=1,'Cost Inputs'!$M$78=2,'Cost Inputs'!$M$78=4)),
IF(ISNUMBER($R$55), $E121+($E$78*(($E121/$E$78)+$R$55)), $E121),""),"")), ""),""),"")</f>
        <v/>
      </c>
      <c r="V121" s="364" t="str">
        <f>IF($R$3="N.B.C.",
IF(ISNUMBER($B$110),
IF($C121&lt;&gt;"",
IF('Cost Inputs'!$L$78="Y",
IF(ISNUMBER($S$55), $E121+($E$78*(($E121/$E$78)+$S$55)), $E121),
IF('Cost Inputs'!$L$78="N",
IF(AND(ISNUMBER('Cost Inputs'!$M$78), OR('Cost Inputs'!$M$78=1,'Cost Inputs'!$M$78=5)),
IF(ISNUMBER($S$55), $E121+($E$78*(($E121/$E$78)+$S$55)), $E121),""),"")), ""),""),"")</f>
        <v/>
      </c>
      <c r="W121" s="364" t="str">
        <f>IF($S$3="N.B.C.",
IF(ISNUMBER($B$110),
IF($C121&lt;&gt;"",
IF('Cost Inputs'!$L$78="Y",
IF(ISNUMBER($T$55), $E121+($E$78*(($E121/$E$78)+$T$55)), $E121),
IF('Cost Inputs'!$L$78="N",
IF(AND(ISNUMBER('Cost Inputs'!$M$78), OR('Cost Inputs'!$M$78=1,'Cost Inputs'!$M$78=2,'Cost Inputs'!$M$78=3,'Cost Inputs'!$M$78=6)),
IF(ISNUMBER($T$55), $E121+($E$78*(($E121/$E$78)+$T$55)), $E121),""),"")), ""),""),"")</f>
        <v/>
      </c>
      <c r="X121" s="364" t="str">
        <f>IF($T$3="N.B.C.",
IF(ISNUMBER($B$110),
IF($C121&lt;&gt;"",
IF('Cost Inputs'!$L$78="Y",
IF(ISNUMBER($U$55), $E121+($E$78*(($E121/$E$78)+$U$55)), $E121),
IF('Cost Inputs'!$L$78="N",
IF(AND(ISNUMBER('Cost Inputs'!$M$78), OR('Cost Inputs'!$M$78=1,'Cost Inputs'!$M$78=7)),
IF(ISNUMBER($U$55), $E121+($E$78*(($E121/$E$78)+$U$55)), $E121),""),"")), ""),""),"")</f>
        <v/>
      </c>
      <c r="Y121" s="364" t="str">
        <f>IF($U$3="N.B.C.",
IF(ISNUMBER($B$110),
IF($C121&lt;&gt;"",
IF('Cost Inputs'!$L$78="Y",
IF(ISNUMBER($V$55), $E121+($E$78*(($E121/$E$78)+$V$55)), $E121),
IF('Cost Inputs'!$L$78="N",
IF(AND(ISNUMBER('Cost Inputs'!$M$78), OR('Cost Inputs'!$M$78=1,'Cost Inputs'!$M$78=2,'Cost Inputs'!$M$78=4,'Cost Inputs'!$M$78=8)),
IF(ISNUMBER($V$55), $E121+($E$78*(($E121/$E$78)+$V$55)), $E121),""),"")), ""),""),"")</f>
        <v/>
      </c>
      <c r="Z121" s="364" t="str">
        <f>IF($V$3="N.B.C.",
IF(ISNUMBER($B$110),
IF($C121&lt;&gt;"",
IF('Cost Inputs'!$L$78="Y",
IF(ISNUMBER($W$55), $E121+($E$78*(($E121/$E$78)+$W$55)), $E121),
IF('Cost Inputs'!$L$78="N",
IF(AND(ISNUMBER('Cost Inputs'!$M$78), OR('Cost Inputs'!$M$78=1,'Cost Inputs'!$M$78=3,'Cost Inputs'!$M$78=9)),
IF(ISNUMBER($W$55), $E121+($E$78*(($E121/$E$78)+$W$55)), $E121),""),"")), ""),""),"")</f>
        <v/>
      </c>
      <c r="AA121" s="364" t="str">
        <f>IF($W$3="N.B.C.",
IF(ISNUMBER($B$110),
IF($C121&lt;&gt;"",
IF('Cost Inputs'!$L$78="Y",
IF(ISNUMBER($X$55), $E121+($E$78*(($E121/$E$78)+$X$55)), $E121),
IF('Cost Inputs'!$L$78="N",
IF(AND(ISNUMBER('Cost Inputs'!$M$78), OR('Cost Inputs'!$M$78=1,'Cost Inputs'!$M$78=2,'Cost Inputs'!$M$78=5)),
IF(ISNUMBER($X$55), $E121+($E$78*(($E121/$E$78)+$X$55)), $E121),""),"")), ""),""),"")</f>
        <v/>
      </c>
      <c r="AB121" s="364" t="str">
        <f>IF($X$3="N.B.C.",
IF(ISNUMBER($B$110),
IF($C121&lt;&gt;"",
IF('Cost Inputs'!$L$78="Y",
IF(ISNUMBER($Y$55), $E121+($E$78*(($E121/$E$78)+$Y$55)), $E121),
IF('Cost Inputs'!$L$78="N",
IF(AND(ISNUMBER('Cost Inputs'!$M$78), OR('Cost Inputs'!$M$78=1)),
IF(ISNUMBER($Y$55), $E121+($E$78*(($E121/$E$78)+$Y$55)), $E121),""),"")), ""),""),"")</f>
        <v/>
      </c>
    </row>
    <row r="122" spans="1:28" x14ac:dyDescent="0.25">
      <c r="A122" s="518"/>
      <c r="B122" s="504"/>
      <c r="C122" s="361" t="str">
        <f>IF(AND(ISNUMBER(B110), OR('Cost Inputs'!$H$79&lt;&gt;"", 'Cost Inputs'!$I$79&lt;&gt;"", 'Cost Inputs'!$J$79&lt;&gt;"")),
IF((INDEX(ProgramYearStage1,MATCH(DNA_Test_1,Years_in_Stage1,0)))='Model_ of_individuals'!B110,  _3_4_2, ""),"")</f>
        <v/>
      </c>
      <c r="D122" s="93" t="str">
        <f>IF(AND(C122&lt;&gt;"", 'Cost Inputs'!$G$79&lt;&gt;""), 'Cost Inputs'!$G$79, "")</f>
        <v/>
      </c>
      <c r="E122" s="93" t="str">
        <f>IF(AND(C122&lt;&gt;"", 'Cost Inputs'!$H$79&lt;&gt;""), 'Cost Inputs'!$H$79, "")</f>
        <v/>
      </c>
      <c r="F122" s="93" t="str">
        <f>IF(AND(C122&lt;&gt;"", 'Cost Inputs'!$I$79&lt;&gt;""), 'Cost Inputs'!$I$79, "")</f>
        <v/>
      </c>
      <c r="G122" s="93" t="str">
        <f t="shared" si="5"/>
        <v/>
      </c>
      <c r="H122" s="93" t="str">
        <f>IF(AND(C122&lt;&gt;"", 'Cost Inputs'!$J$79&lt;&gt;""), 'Cost Inputs'!$J$79, "")</f>
        <v/>
      </c>
      <c r="I122" s="93" t="str">
        <f t="shared" si="4"/>
        <v/>
      </c>
      <c r="J122" s="93" t="str">
        <f>IF(AND(C122&lt;&gt;"",('Cost Inputs'!$I$79+'Cost Inputs'!$J$79+'Cost Inputs'!$K$79)&gt;0), 'Cost Inputs'!$I$79+'Cost Inputs'!$J$79+'Cost Inputs'!$K$79, "")</f>
        <v/>
      </c>
      <c r="K122" s="93" t="str">
        <f>IF(AND(C122&lt;&gt;"", 'Cost Inputs'!$N$79&gt;0),'Cost Inputs'!$N$79,"")</f>
        <v/>
      </c>
      <c r="L122" s="93"/>
      <c r="M122" s="109"/>
      <c r="S122" s="372" t="str">
        <f>IF($O$3="N.B.C.",
IF(ISNUMBER($B$110),
IF($C122&lt;&gt;"",
IF('Cost Inputs'!$L$79="Y",
IF(ISNUMBER($P$55), $E122+($E$78*(($E122/$E$78)+$P$55)), $E122),
IF('Cost Inputs'!$L$79="N",
IF(AND(ISNUMBER('Cost Inputs'!$M$79), OR('Cost Inputs'!$M$79=1,'Cost Inputs'!$M$79=2)),
IF(ISNUMBER($P$55), $E122+($E$78*(($E122/$E$78)+$P$55)), $E122),""),"")), ""),""),"")</f>
        <v/>
      </c>
      <c r="T122" s="372" t="str">
        <f>IF($P$3="N.B.C.",
IF(ISNUMBER($B$110),
IF($C122&lt;&gt;"",
IF('Cost Inputs'!$L$79="Y",
IF(ISNUMBER($Q$55), $E122+($E$78*(($E122/$E$78)+$Q$55)), $E122),
IF('Cost Inputs'!$L$79="N",
IF(AND(ISNUMBER('Cost Inputs'!$M$79), OR('Cost Inputs'!$M$79=1,'Cost Inputs'!$M$79=3)),
IF(ISNUMBER($Q$55), $E122+($E$78*(($E122/$E$78)+$Q$55)), $E122),""),"")), ""),""),"")</f>
        <v/>
      </c>
      <c r="U122" s="372" t="str">
        <f>IF($Q$3="N.B.C.",
IF(ISNUMBER($B$110),
IF($C122&lt;&gt;"",
IF('Cost Inputs'!$L$79="Y",
IF(ISNUMBER($R$55), $E122+($E$78*(($E122/$E$78)+$R$55)), $E122),
IF('Cost Inputs'!$L$79="N",
IF(AND(ISNUMBER('Cost Inputs'!$M$79), OR('Cost Inputs'!$M$79=1,'Cost Inputs'!$M$79=2,'Cost Inputs'!$M$79=4)),
IF(ISNUMBER($R$55), $E122+($E$78*(($E122/$E$78)+$R$55)), $E122),""),"")), ""),""),"")</f>
        <v/>
      </c>
      <c r="V122" s="372" t="str">
        <f>IF($R$3="N.B.C.",
IF(ISNUMBER($B$110),
IF($C122&lt;&gt;"",
IF('Cost Inputs'!$L$79="Y",
IF(ISNUMBER($S$55), $E122+($E$78*(($E122/$E$78)+$S$55)), $E122),
IF('Cost Inputs'!$L$79="N",
IF(AND(ISNUMBER('Cost Inputs'!$M$79), OR('Cost Inputs'!$M$79=1,'Cost Inputs'!$M$79=5)),
IF(ISNUMBER($S$55), $E122+($E$78*(($E122/$E$78)+$S$55)), $E122),""),"")), ""),""),"")</f>
        <v/>
      </c>
      <c r="W122" s="372" t="str">
        <f>IF($S$3="N.B.C.",
IF(ISNUMBER($B$110),
IF($C122&lt;&gt;"",
IF('Cost Inputs'!$L$79="Y",
IF(ISNUMBER($T$55), $E122+($E$78*(($E122/$E$78)+$T$55)), $E122),
IF('Cost Inputs'!$L$79="N",
IF(AND(ISNUMBER('Cost Inputs'!$M$79), OR('Cost Inputs'!$M$79=1,'Cost Inputs'!$M$79=2,'Cost Inputs'!$M$79=3,'Cost Inputs'!$M$79=6)),
IF(ISNUMBER($T$55), $E122+($E$78*(($E122/$E$78)+$T$55)), $E122),""),"")), ""),""),"")</f>
        <v/>
      </c>
      <c r="X122" s="372" t="str">
        <f>IF($T$3="N.B.C.",
IF(ISNUMBER($B$110),
IF($C122&lt;&gt;"",
IF('Cost Inputs'!$L$79="Y",
IF(ISNUMBER($U$55), $E122+($E$78*(($E122/$E$78)+$U$55)), $E122),
IF('Cost Inputs'!$L$79="N",
IF(AND(ISNUMBER('Cost Inputs'!$M$79), OR('Cost Inputs'!$M$79=1,'Cost Inputs'!$M$79=7)),
IF(ISNUMBER($U$55), $E122+($E$78*(($E122/$E$78)+$U$55)), $E122),""),"")), ""),""),"")</f>
        <v/>
      </c>
      <c r="Y122" s="372" t="str">
        <f>IF($U$3="N.B.C.",
IF(ISNUMBER($B$110),
IF($C122&lt;&gt;"",
IF('Cost Inputs'!$L$79="Y",
IF(ISNUMBER($V$55), $E122+($E$78*(($E122/$E$78)+$V$55)), $E122),
IF('Cost Inputs'!$L$79="N",
IF(AND(ISNUMBER('Cost Inputs'!$M$79), OR('Cost Inputs'!$M$79=1,'Cost Inputs'!$M$79=2,'Cost Inputs'!$M$79=4,'Cost Inputs'!$M$79=8)),
IF(ISNUMBER($V$55), $E122+($E$78*(($E122/$E$78)+$V$55)), $E122),""),"")), ""),""),"")</f>
        <v/>
      </c>
      <c r="Z122" s="372" t="str">
        <f>IF($V$3="N.B.C.",
IF(ISNUMBER($B$110),
IF($C122&lt;&gt;"",
IF('Cost Inputs'!$L$79="Y",
IF(ISNUMBER($W$55), $E122+($E$78*(($E122/$E$78)+$W$55)), $E122),
IF('Cost Inputs'!$L$79="N",
IF(AND(ISNUMBER('Cost Inputs'!$M$79), OR('Cost Inputs'!$M$79=1,'Cost Inputs'!$M$79=3,'Cost Inputs'!$M$79=9)),
IF(ISNUMBER($W$55), $E122+($E$78*(($E122/$E$78)+$W$55)), $E122),""),"")), ""),""),"")</f>
        <v/>
      </c>
      <c r="AA122" s="372" t="str">
        <f>IF($W$3="N.B.C.",
IF(ISNUMBER($B$110),
IF($C122&lt;&gt;"",
IF('Cost Inputs'!$L$79="Y",
IF(ISNUMBER($X$55), $E122+($E$78*(($E122/$E$78)+$X$55)), $E122),
IF('Cost Inputs'!$L$79="N",
IF(AND(ISNUMBER('Cost Inputs'!$M$79), OR('Cost Inputs'!$M$79=1,'Cost Inputs'!$M$79=2,'Cost Inputs'!$M$79=5)),
IF(ISNUMBER($X$55), $E122+($E$78*(($E122/$E$78)+$X$55)), $E122),""),"")), ""),""),"")</f>
        <v/>
      </c>
      <c r="AB122" s="372" t="str">
        <f>IF($X$3="N.B.C.",
IF(ISNUMBER($B$110),
IF($C122&lt;&gt;"",
IF('Cost Inputs'!$L$79="Y",
IF(ISNUMBER($Y$55), $E122+($E$78*(($E122/$E$78)+$Y$55)), $E122),
IF('Cost Inputs'!$L$79="N",
IF(AND(ISNUMBER('Cost Inputs'!$M$79), OR('Cost Inputs'!$M$79=1)),
IF(ISNUMBER($Y$55), $E122+($E$78*(($E122/$E$78)+$Y$55)), $E122),""),"")), ""),""),"")</f>
        <v/>
      </c>
    </row>
    <row r="123" spans="1:28" x14ac:dyDescent="0.25">
      <c r="A123" s="518"/>
      <c r="B123" s="504"/>
      <c r="C123" s="358" t="str">
        <f>IF(AND(ISNUMBER(B110), OR('Cost Inputs'!$H$80&lt;&gt;"", 'Cost Inputs'!$I$80&lt;&gt;"", 'Cost Inputs'!$J$80&lt;&gt;"")),
IF((INDEX(ProgramYearStage1,MATCH(DNA_Test_1,Years_in_Stage1,0)))='Model_ of_individuals'!B110,  _3_4_3, ""),"")</f>
        <v/>
      </c>
      <c r="D123" s="17" t="str">
        <f>IF(AND(C123&lt;&gt;"", 'Cost Inputs'!$G$80&lt;&gt;""), 'Cost Inputs'!$G$80, "")</f>
        <v/>
      </c>
      <c r="E123" s="17" t="str">
        <f>IF(AND(C123&lt;&gt;"", 'Cost Inputs'!$H$80&lt;&gt;""), 'Cost Inputs'!$H$80, "")</f>
        <v/>
      </c>
      <c r="F123" s="17" t="str">
        <f>IF(AND(C123&lt;&gt;"", 'Cost Inputs'!$I$80&lt;&gt;""), 'Cost Inputs'!$I$80, "")</f>
        <v/>
      </c>
      <c r="G123" s="17" t="str">
        <f t="shared" si="5"/>
        <v/>
      </c>
      <c r="H123" s="17" t="str">
        <f>IF(AND(C123&lt;&gt;"", 'Cost Inputs'!$J$80&lt;&gt;""), 'Cost Inputs'!$J$80, "")</f>
        <v/>
      </c>
      <c r="I123" s="17" t="str">
        <f t="shared" si="4"/>
        <v/>
      </c>
      <c r="J123" s="17" t="str">
        <f>IF(AND(C123&lt;&gt;"",('Cost Inputs'!$I$80+'Cost Inputs'!$J$80+'Cost Inputs'!$K$80)&gt;0), 'Cost Inputs'!$I$80+'Cost Inputs'!$J$80+'Cost Inputs'!$K$80, "")</f>
        <v/>
      </c>
      <c r="K123" s="17" t="str">
        <f>IF(AND(C123&lt;&gt;"", 'Cost Inputs'!$N$80&gt;0),'Cost Inputs'!$N$80,"")</f>
        <v/>
      </c>
      <c r="M123" s="106"/>
      <c r="S123" s="364" t="str">
        <f>IF($O$3="N.B.C.",
IF(ISNUMBER($B$110),
IF($C123&lt;&gt;"",
IF('Cost Inputs'!$L$80="Y",
IF(ISNUMBER($P$55), $E123+($E$78*(($E123/$E$78)+$P$55)), $E123),
IF('Cost Inputs'!$L$80="N",
IF(AND(ISNUMBER('Cost Inputs'!$M$80), OR('Cost Inputs'!$M$80=1,'Cost Inputs'!$M$80=2)),
IF(ISNUMBER($P$55), $E123+($E$78*(($E123/$E$78)+$P$55)), $E123),""),"")), ""),""),"")</f>
        <v/>
      </c>
      <c r="T123" s="364" t="str">
        <f>IF($P$3="N.B.C.",
IF(ISNUMBER($B$110),
IF($C123&lt;&gt;"",
IF('Cost Inputs'!$L$80="Y",
IF(ISNUMBER($Q$55), $E123+($E$78*(($E123/$E$78)+$Q$55)), $E123),
IF('Cost Inputs'!$L$80="N",
IF(AND(ISNUMBER('Cost Inputs'!$M$80), OR('Cost Inputs'!$M$80=1,'Cost Inputs'!$M$80=3)),
IF(ISNUMBER($Q$55), $E123+($E$78*(($E123/$E$78)+$Q$55)), $E123),""),"")), ""),""),"")</f>
        <v/>
      </c>
      <c r="U123" s="364" t="str">
        <f>IF($Q$3="N.B.C.",
IF(ISNUMBER($B$110),
IF($C123&lt;&gt;"",
IF('Cost Inputs'!$L$80="Y",
IF(ISNUMBER($R$55), $E123+($E$78*(($E123/$E$78)+$R$55)), $E123),
IF('Cost Inputs'!$L$80="N",
IF(AND(ISNUMBER('Cost Inputs'!$M$80), OR('Cost Inputs'!$M$80=1,'Cost Inputs'!$M$80=2,'Cost Inputs'!$M$80=4)),
IF(ISNUMBER($R$55), $E123+($E$78*(($E123/$E$78)+$R$55)), $E123),""),"")), ""),""),"")</f>
        <v/>
      </c>
      <c r="V123" s="364" t="str">
        <f>IF($R$3="N.B.C.",
IF(ISNUMBER($B$110),
IF($C123&lt;&gt;"",
IF('Cost Inputs'!$L$80="Y",
IF(ISNUMBER($S$55), $E123+($E$78*(($E123/$E$78)+$S$55)), $E123),
IF('Cost Inputs'!$L$80="N",
IF(AND(ISNUMBER('Cost Inputs'!$M$80), OR('Cost Inputs'!$M$80=1,'Cost Inputs'!$M$80=5)),
IF(ISNUMBER($S$55), $E123+($E$78*(($E123/$E$78)+$S$55)), $E123),""),"")), ""),""),"")</f>
        <v/>
      </c>
      <c r="W123" s="364" t="str">
        <f>IF($S$3="N.B.C.",
IF(ISNUMBER($B$110),
IF($C123&lt;&gt;"",
IF('Cost Inputs'!$L$80="Y",
IF(ISNUMBER($T$55), $E123+($E$78*(($E123/$E$78)+$T$55)), $E123),
IF('Cost Inputs'!$L$80="N",
IF(AND(ISNUMBER('Cost Inputs'!$M$80), OR('Cost Inputs'!$M$80=1,'Cost Inputs'!$M$80=2,'Cost Inputs'!$M$80=3,'Cost Inputs'!$M$80=6)),
IF(ISNUMBER($T$55), $E123+($E$78*(($E123/$E$78)+$T$55)), $E123),""),"")), ""),""),"")</f>
        <v/>
      </c>
      <c r="X123" s="364" t="str">
        <f>IF($T$3="N.B.C.",
IF(ISNUMBER($B$110),
IF($C123&lt;&gt;"",
IF('Cost Inputs'!$L$80="Y",
IF(ISNUMBER($U$55), $E123+($E$78*(($E123/$E$78)+$U$55)), $E123),
IF('Cost Inputs'!$L$80="N",
IF(AND(ISNUMBER('Cost Inputs'!$M$80), OR('Cost Inputs'!$M$80=1,'Cost Inputs'!$M$80=7)),
IF(ISNUMBER($U$55), $E123+($E$78*(($E123/$E$78)+$U$55)), $E123),""),"")), ""),""),"")</f>
        <v/>
      </c>
      <c r="Y123" s="364" t="str">
        <f>IF($U$3="N.B.C.",
IF(ISNUMBER($B$110),
IF($C123&lt;&gt;"",
IF('Cost Inputs'!$L$80="Y",
IF(ISNUMBER($V$55), $E123+($E$78*(($E123/$E$78)+$V$55)), $E123),
IF('Cost Inputs'!$L$80="N",
IF(AND(ISNUMBER('Cost Inputs'!$M$80), OR('Cost Inputs'!$M$80=1,'Cost Inputs'!$M$80=2,'Cost Inputs'!$M$80=4,'Cost Inputs'!$M$80=8)),
IF(ISNUMBER($V$55), $E123+($E$78*(($E123/$E$78)+$V$55)), $E123),""),"")), ""),""),"")</f>
        <v/>
      </c>
      <c r="Z123" s="364" t="str">
        <f>IF($V$3="N.B.C.",
IF(ISNUMBER($B$110),
IF($C123&lt;&gt;"",
IF('Cost Inputs'!$L$80="Y",
IF(ISNUMBER($W$55), $E123+($E$78*(($E123/$E$78)+$W$55)), $E123),
IF('Cost Inputs'!$L$80="N",
IF(AND(ISNUMBER('Cost Inputs'!$M$80), OR('Cost Inputs'!$M$80=1,'Cost Inputs'!$M$80=3,'Cost Inputs'!$M$80=9)),
IF(ISNUMBER($W$55), $E123+($E$78*(($E123/$E$78)+$W$55)), $E123),""),"")), ""),""),"")</f>
        <v/>
      </c>
      <c r="AA123" s="364" t="str">
        <f>IF($W$3="N.B.C.",
IF(ISNUMBER($B$110),
IF($C123&lt;&gt;"",
IF('Cost Inputs'!$L$80="Y",
IF(ISNUMBER($X$55), $E123+($E$78*(($E123/$E$78)+$X$55)), $E123),
IF('Cost Inputs'!$L$80="N",
IF(AND(ISNUMBER('Cost Inputs'!$M$80), OR('Cost Inputs'!$M$80=1,'Cost Inputs'!$M$80=2,'Cost Inputs'!$M$80=5)),
IF(ISNUMBER($X$55), $E123+($E$78*(($E123/$E$78)+$X$55)), $E123),""),"")), ""),""),"")</f>
        <v/>
      </c>
      <c r="AB123" s="364" t="str">
        <f>IF($X$3="N.B.C.",
IF(ISNUMBER($B$110),
IF($C123&lt;&gt;"",
IF('Cost Inputs'!$L$80="Y",
IF(ISNUMBER($Y$55), $E123+($E$78*(($E123/$E$78)+$Y$55)), $E123),
IF('Cost Inputs'!$L$80="N",
IF(AND(ISNUMBER('Cost Inputs'!$M$80), OR('Cost Inputs'!$M$80=1)),
IF(ISNUMBER($Y$55), $E123+($E$78*(($E123/$E$78)+$Y$55)), $E123),""),"")), ""),""),"")</f>
        <v/>
      </c>
    </row>
    <row r="124" spans="1:28" x14ac:dyDescent="0.25">
      <c r="A124" s="518"/>
      <c r="B124" s="504"/>
      <c r="C124" s="361" t="str">
        <f>IF(AND(ISNUMBER(B110), OR('Cost Inputs'!$H$81&lt;&gt;"", 'Cost Inputs'!$I$81&lt;&gt;"", 'Cost Inputs'!$J$81&lt;&gt;"")),
IF((INDEX(ProgramYearStage1,MATCH(DNA_Test_1,Years_in_Stage1,0)))='Model_ of_individuals'!B110,  _3_4_4, ""),"")</f>
        <v/>
      </c>
      <c r="D124" s="93" t="str">
        <f>IF(AND(C124&lt;&gt;"", 'Cost Inputs'!$G$81&lt;&gt;""), 'Cost Inputs'!$G$81, "")</f>
        <v/>
      </c>
      <c r="E124" s="93" t="str">
        <f>IF(AND(C124&lt;&gt;"", 'Cost Inputs'!$H$81&lt;&gt;""), 'Cost Inputs'!$H$81, "")</f>
        <v/>
      </c>
      <c r="F124" s="93" t="str">
        <f>IF(AND(C124&lt;&gt;"", 'Cost Inputs'!$I$81&lt;&gt;""), 'Cost Inputs'!$I$81, "")</f>
        <v/>
      </c>
      <c r="G124" s="93" t="str">
        <f t="shared" si="5"/>
        <v/>
      </c>
      <c r="H124" s="93" t="str">
        <f>IF(AND(C124&lt;&gt;"", 'Cost Inputs'!$J$81&lt;&gt;""), 'Cost Inputs'!$J$81, "")</f>
        <v/>
      </c>
      <c r="I124" s="93" t="str">
        <f t="shared" si="4"/>
        <v/>
      </c>
      <c r="J124" s="93" t="str">
        <f>IF(AND(C124&lt;&gt;"",('Cost Inputs'!$I$81+'Cost Inputs'!$J$81+'Cost Inputs'!$K$81)&gt;0), 'Cost Inputs'!$I$81+'Cost Inputs'!$J$81+'Cost Inputs'!$K$81, "")</f>
        <v/>
      </c>
      <c r="K124" s="93" t="str">
        <f>IF(AND(C124&lt;&gt;"", 'Cost Inputs'!$N$81&gt;0),'Cost Inputs'!$N$81,"")</f>
        <v/>
      </c>
      <c r="L124" s="93"/>
      <c r="M124" s="109"/>
      <c r="S124" s="372" t="str">
        <f>IF($O$3="N.B.C.",
IF(ISNUMBER($B$110),
IF($C124&lt;&gt;"",
IF('Cost Inputs'!$L$81="Y",
IF(ISNUMBER($P$55), $E124+($E$78*(($E124/$E$78)+$P$55)), $E124),
IF('Cost Inputs'!$L$81="N",
IF(AND(ISNUMBER('Cost Inputs'!$M$81), OR('Cost Inputs'!$M$81=1,'Cost Inputs'!$M$81=2)),
IF(ISNUMBER($P$55), $E124+($E$78*(($E124/$E$78)+$P$55)), $E124),""),"")), ""),""),"")</f>
        <v/>
      </c>
      <c r="T124" s="372" t="str">
        <f>IF($P$3="N.B.C.",
IF(ISNUMBER($B$110),
IF($C124&lt;&gt;"",
IF('Cost Inputs'!$L$81="Y",
IF(ISNUMBER($Q$55), $E124+($E$78*(($E124/$E$78)+$Q$55)), $E124),
IF('Cost Inputs'!$L$81="N",
IF(AND(ISNUMBER('Cost Inputs'!$M$81), OR('Cost Inputs'!$M$81=1,'Cost Inputs'!$M$81=3)),
IF(ISNUMBER($Q$55), $E124+($E$78*(($E124/$E$78)+$Q$55)), $E124),""),"")), ""),""),"")</f>
        <v/>
      </c>
      <c r="U124" s="372" t="str">
        <f>IF($Q$3="N.B.C.",
IF(ISNUMBER($B$110),
IF($C124&lt;&gt;"",
IF('Cost Inputs'!$L$81="Y",
IF(ISNUMBER($R$55), $E124+($E$78*(($E124/$E$78)+$R$55)), $E124),
IF('Cost Inputs'!$L$81="N",
IF(AND(ISNUMBER('Cost Inputs'!$M$81), OR('Cost Inputs'!$M$81=1,'Cost Inputs'!$M$81=2,'Cost Inputs'!$M$81=4)),
IF(ISNUMBER($R$55), $E124+($E$78*(($E124/$E$78)+$R$55)), $E124),""),"")), ""),""),"")</f>
        <v/>
      </c>
      <c r="V124" s="372" t="str">
        <f>IF($R$3="N.B.C.",
IF(ISNUMBER($B$110),
IF($C124&lt;&gt;"",
IF('Cost Inputs'!$L$81="Y",
IF(ISNUMBER($S$55), $E124+($E$78*(($E124/$E$78)+$S$55)), $E124),
IF('Cost Inputs'!$L$81="N",
IF(AND(ISNUMBER('Cost Inputs'!$M$81), OR('Cost Inputs'!$M$81=1,'Cost Inputs'!$M$81=5)),
IF(ISNUMBER($S$55), $E124+($E$78*(($E124/$E$78)+$S$55)), $E124),""),"")), ""),""),"")</f>
        <v/>
      </c>
      <c r="W124" s="372" t="str">
        <f>IF($S$3="N.B.C.",
IF(ISNUMBER($B$110),
IF($C124&lt;&gt;"",
IF('Cost Inputs'!$L$81="Y",
IF(ISNUMBER($T$55), $E124+($E$78*(($E124/$E$78)+$T$55)), $E124),
IF('Cost Inputs'!$L$81="N",
IF(AND(ISNUMBER('Cost Inputs'!$M$81), OR('Cost Inputs'!$M$81=1,'Cost Inputs'!$M$81=2,'Cost Inputs'!$M$81=3,'Cost Inputs'!$M$81=6)),
IF(ISNUMBER($T$55), $E124+($E$78*(($E124/$E$78)+$T$55)), $E124),""),"")), ""),""),"")</f>
        <v/>
      </c>
      <c r="X124" s="372" t="str">
        <f>IF($T$3="N.B.C.",
IF(ISNUMBER($B$110),
IF($C124&lt;&gt;"",
IF('Cost Inputs'!$L$81="Y",
IF(ISNUMBER($U$55), $E124+($E$78*(($E124/$E$78)+$U$55)), $E124),
IF('Cost Inputs'!$L$81="N",
IF(AND(ISNUMBER('Cost Inputs'!$M$81), OR('Cost Inputs'!$M$81=1,'Cost Inputs'!$M$81=7)),
IF(ISNUMBER($U$55), $E124+($E$78*(($E124/$E$78)+$U$55)), $E124),""),"")), ""),""),"")</f>
        <v/>
      </c>
      <c r="Y124" s="372" t="str">
        <f>IF($U$3="N.B.C.",
IF(ISNUMBER($B$110),
IF($C124&lt;&gt;"",
IF('Cost Inputs'!$L$81="Y",
IF(ISNUMBER($V$55), $E124+($E$78*(($E124/$E$78)+$V$55)), $E124),
IF('Cost Inputs'!$L$81="N",
IF(AND(ISNUMBER('Cost Inputs'!$M$81), OR('Cost Inputs'!$M$81=1,'Cost Inputs'!$M$81=2,'Cost Inputs'!$M$81=4,'Cost Inputs'!$M$81=8)),
IF(ISNUMBER($V$55), $E124+($E$78*(($E124/$E$78)+$V$55)), $E124),""),"")), ""),""),"")</f>
        <v/>
      </c>
      <c r="Z124" s="372" t="str">
        <f>IF($V$3="N.B.C.",
IF(ISNUMBER($B$110),
IF($C124&lt;&gt;"",
IF('Cost Inputs'!$L$81="Y",
IF(ISNUMBER($W$55), $E124+($E$78*(($E124/$E$78)+$W$55)), $E124),
IF('Cost Inputs'!$L$81="N",
IF(AND(ISNUMBER('Cost Inputs'!$M$81), OR('Cost Inputs'!$M$81=1,'Cost Inputs'!$M$81=3,'Cost Inputs'!$M$81=9)),
IF(ISNUMBER($W$55), $E124+($E$78*(($E124/$E$78)+$W$55)), $E124),""),"")), ""),""),"")</f>
        <v/>
      </c>
      <c r="AA124" s="372" t="str">
        <f>IF($W$3="N.B.C.",
IF(ISNUMBER($B$110),
IF($C124&lt;&gt;"",
IF('Cost Inputs'!$L$81="Y",
IF(ISNUMBER($X$55), $E124+($E$78*(($E124/$E$78)+$X$55)), $E124),
IF('Cost Inputs'!$L$81="N",
IF(AND(ISNUMBER('Cost Inputs'!$M$81), OR('Cost Inputs'!$M$81=1,'Cost Inputs'!$M$81=2,'Cost Inputs'!$M$81=5)),
IF(ISNUMBER($X$55), $E124+($E$78*(($E124/$E$78)+$X$55)), $E124),""),"")), ""),""),"")</f>
        <v/>
      </c>
      <c r="AB124" s="372" t="str">
        <f>IF($X$3="N.B.C.",
IF(ISNUMBER($B$110),
IF($C124&lt;&gt;"",
IF('Cost Inputs'!$L$81="Y",
IF(ISNUMBER($Y$55), $E124+($E$78*(($E124/$E$78)+$Y$55)), $E124),
IF('Cost Inputs'!$L$81="N",
IF(AND(ISNUMBER('Cost Inputs'!$M$81), OR('Cost Inputs'!$M$81=1)),
IF(ISNUMBER($Y$55), $E124+($E$78*(($E124/$E$78)+$Y$55)), $E124),""),"")), ""),""),"")</f>
        <v/>
      </c>
    </row>
    <row r="125" spans="1:28" x14ac:dyDescent="0.25">
      <c r="A125" s="518"/>
      <c r="B125" s="504"/>
      <c r="C125" s="358" t="str">
        <f>IF(AND(ISNUMBER(B110), OR('Cost Inputs'!$H$82&lt;&gt;"", 'Cost Inputs'!$I$82&lt;&gt;"", 'Cost Inputs'!$J$82&lt;&gt;"")),
IF((INDEX(ProgramYearStage1,MATCH(DNA_Test_1,Years_in_Stage1,0)))='Model_ of_individuals'!B110,  _3_4_5, ""),"")</f>
        <v/>
      </c>
      <c r="D125" s="17" t="str">
        <f>IF(AND(C125&lt;&gt;"", 'Cost Inputs'!$G$82&lt;&gt;""), 'Cost Inputs'!$G$82, "")</f>
        <v/>
      </c>
      <c r="E125" s="17" t="str">
        <f>IF(AND(C125&lt;&gt;"", 'Cost Inputs'!$H$82&lt;&gt;""), 'Cost Inputs'!$H$82, "")</f>
        <v/>
      </c>
      <c r="F125" s="17" t="str">
        <f>IF(AND(C125&lt;&gt;"", 'Cost Inputs'!$I$82&lt;&gt;""), 'Cost Inputs'!$I$82, "")</f>
        <v/>
      </c>
      <c r="G125" s="17" t="str">
        <f t="shared" si="5"/>
        <v/>
      </c>
      <c r="H125" s="17" t="str">
        <f>IF(AND(C125&lt;&gt;"", 'Cost Inputs'!$J$82&lt;&gt;""), 'Cost Inputs'!$J$82, "")</f>
        <v/>
      </c>
      <c r="I125" s="17" t="str">
        <f t="shared" si="4"/>
        <v/>
      </c>
      <c r="J125" s="17" t="str">
        <f>IF(AND(C125&lt;&gt;"",('Cost Inputs'!$I$82+'Cost Inputs'!$J$82+'Cost Inputs'!$K$82)&gt;0), 'Cost Inputs'!$I$82+'Cost Inputs'!$J$82+'Cost Inputs'!$K$82, "")</f>
        <v/>
      </c>
      <c r="K125" s="17" t="str">
        <f>IF(AND(C125&lt;&gt;"", 'Cost Inputs'!$N$82&gt;0),'Cost Inputs'!$N$82,"")</f>
        <v/>
      </c>
      <c r="M125" s="106"/>
      <c r="S125" s="364" t="str">
        <f>IF($O$3="N.B.C.",
IF(ISNUMBER($B$110),
IF($C125&lt;&gt;"",
IF('Cost Inputs'!$L$82="Y",
IF(ISNUMBER($P$55), $E125+($E$78*(($E125/$E$78)+$P$55)), $E125),
IF('Cost Inputs'!$L$82="N",
IF(AND(ISNUMBER('Cost Inputs'!$M$82), OR('Cost Inputs'!$M$82=1,'Cost Inputs'!$M$82=2)),
IF(ISNUMBER($P$55), $E125+($E$78*(($E125/$E$78)+$P$55)), $E125),""),"")), ""),""),"")</f>
        <v/>
      </c>
      <c r="T125" s="364" t="str">
        <f>IF($P$3="N.B.C.",
IF(ISNUMBER($B$110),
IF($C125&lt;&gt;"",
IF('Cost Inputs'!$L$82="Y",
IF(ISNUMBER($Q$55), $E125+($E$78*(($E125/$E$78)+$Q$55)), $E125),
IF('Cost Inputs'!$L$82="N",
IF(AND(ISNUMBER('Cost Inputs'!$M$82), OR('Cost Inputs'!$M$82=1,'Cost Inputs'!$M$82=3)),
IF(ISNUMBER($Q$55), $E125+($E$78*(($E125/$E$78)+$Q$55)), $E125),""),"")), ""),""),"")</f>
        <v/>
      </c>
      <c r="U125" s="364" t="str">
        <f>IF($Q$3="N.B.C.",
IF(ISNUMBER($B$110),
IF($C125&lt;&gt;"",
IF('Cost Inputs'!$L$82="Y",
IF(ISNUMBER($R$55), $E125+($E$78*(($E125/$E$78)+$R$55)), $E125),
IF('Cost Inputs'!$L$82="N",
IF(AND(ISNUMBER('Cost Inputs'!$M$82), OR('Cost Inputs'!$M$82=1,'Cost Inputs'!$M$82=2,'Cost Inputs'!$M$82=4)),
IF(ISNUMBER($R$55), $E125+($E$78*(($E125/$E$78)+$R$55)), $E125),""),"")), ""),""),"")</f>
        <v/>
      </c>
      <c r="V125" s="364" t="str">
        <f>IF($R$3="N.B.C.",
IF(ISNUMBER($B$110),
IF($C125&lt;&gt;"",
IF('Cost Inputs'!$L$82="Y",
IF(ISNUMBER($S$55), $E125+($E$78*(($E125/$E$78)+$S$55)), $E125),
IF('Cost Inputs'!$L$82="N",
IF(AND(ISNUMBER('Cost Inputs'!$M$82), OR('Cost Inputs'!$M$82=1,'Cost Inputs'!$M$82=5)),
IF(ISNUMBER($S$55), $E125+($E$78*(($E125/$E$78)+$S$55)), $E125),""),"")), ""),""),"")</f>
        <v/>
      </c>
      <c r="W125" s="364" t="str">
        <f>IF($S$3="N.B.C.",
IF(ISNUMBER($B$110),
IF($C125&lt;&gt;"",
IF('Cost Inputs'!$L$82="Y",
IF(ISNUMBER($T$55), $E125+($E$78*(($E125/$E$78)+$T$55)), $E125),
IF('Cost Inputs'!$L$82="N",
IF(AND(ISNUMBER('Cost Inputs'!$M$82), OR('Cost Inputs'!$M$82=1,'Cost Inputs'!$M$82=2,'Cost Inputs'!$M$82=3,'Cost Inputs'!$M$82=6)),
IF(ISNUMBER($T$55), $E125+($E$78*(($E125/$E$78)+$T$55)), $E125),""),"")), ""),""),"")</f>
        <v/>
      </c>
      <c r="X125" s="364" t="str">
        <f>IF($T$3="N.B.C.",
IF(ISNUMBER($B$110),
IF($C125&lt;&gt;"",
IF('Cost Inputs'!$L$82="Y",
IF(ISNUMBER($U$55), $E125+($E$78*(($E125/$E$78)+$U$55)), $E125),
IF('Cost Inputs'!$L$82="N",
IF(AND(ISNUMBER('Cost Inputs'!$M$82), OR('Cost Inputs'!$M$82=1,'Cost Inputs'!$M$82=7)),
IF(ISNUMBER($U$55), $E125+($E$78*(($E125/$E$78)+$U$55)), $E125),""),"")), ""),""),"")</f>
        <v/>
      </c>
      <c r="Y125" s="364" t="str">
        <f>IF($U$3="N.B.C.",
IF(ISNUMBER($B$110),
IF($C125&lt;&gt;"",
IF('Cost Inputs'!$L$82="Y",
IF(ISNUMBER($V$55), $E125+($E$78*(($E125/$E$78)+$V$55)), $E125),
IF('Cost Inputs'!$L$82="N",
IF(AND(ISNUMBER('Cost Inputs'!$M$82), OR('Cost Inputs'!$M$82=1,'Cost Inputs'!$M$82=2,'Cost Inputs'!$M$82=4,'Cost Inputs'!$M$82=8)),
IF(ISNUMBER($V$55), $E125+($E$78*(($E125/$E$78)+$V$55)), $E125),""),"")), ""),""),"")</f>
        <v/>
      </c>
      <c r="Z125" s="364" t="str">
        <f>IF($V$3="N.B.C.",
IF(ISNUMBER($B$110),
IF($C125&lt;&gt;"",
IF('Cost Inputs'!$L$82="Y",
IF(ISNUMBER($W$55), $E125+($E$78*(($E125/$E$78)+$W$55)), $E125),
IF('Cost Inputs'!$L$82="N",
IF(AND(ISNUMBER('Cost Inputs'!$M$82), OR('Cost Inputs'!$M$82=1,'Cost Inputs'!$M$82=3,'Cost Inputs'!$M$82=9)),
IF(ISNUMBER($W$55), $E125+($E$78*(($E125/$E$78)+$W$55)), $E125),""),"")), ""),""),"")</f>
        <v/>
      </c>
      <c r="AA125" s="364" t="str">
        <f>IF($W$3="N.B.C.",
IF(ISNUMBER($B$110),
IF($C125&lt;&gt;"",
IF('Cost Inputs'!$L$82="Y",
IF(ISNUMBER($X$55), $E125+($E$78*(($E125/$E$78)+$X$55)), $E125),
IF('Cost Inputs'!$L$82="N",
IF(AND(ISNUMBER('Cost Inputs'!$M$82), OR('Cost Inputs'!$M$82=1,'Cost Inputs'!$M$82=2,'Cost Inputs'!$M$82=5)),
IF(ISNUMBER($X$55), $E125+($E$78*(($E125/$E$78)+$X$55)), $E125),""),"")), ""),""),"")</f>
        <v/>
      </c>
      <c r="AB125" s="364" t="str">
        <f>IF($X$3="N.B.C.",
IF(ISNUMBER($B$110),
IF($C125&lt;&gt;"",
IF('Cost Inputs'!$L$82="Y",
IF(ISNUMBER($Y$55), $E125+($E$78*(($E125/$E$78)+$Y$55)), $E125),
IF('Cost Inputs'!$L$82="N",
IF(AND(ISNUMBER('Cost Inputs'!$M$82), OR('Cost Inputs'!$M$82=1)),
IF(ISNUMBER($Y$55), $E125+($E$78*(($E125/$E$78)+$Y$55)), $E125),""),"")), ""),""),"")</f>
        <v/>
      </c>
    </row>
    <row r="126" spans="1:28" x14ac:dyDescent="0.25">
      <c r="A126" s="518"/>
      <c r="B126" s="504"/>
      <c r="C126" s="361" t="str">
        <f>IF(AND(ISNUMBER(B110), OR('Cost Inputs'!$H$83&lt;&gt;"", 'Cost Inputs'!$I$83&lt;&gt;"", 'Cost Inputs'!$J$83&lt;&gt;"")),
IF((INDEX(ProgramYearStage1,MATCH(DNA_Test_1,Years_in_Stage1,0)))='Model_ of_individuals'!B110,  _3_4_6, ""),"")</f>
        <v/>
      </c>
      <c r="D126" s="93" t="str">
        <f>IF(AND(C126&lt;&gt;"", 'Cost Inputs'!$G$83&lt;&gt;""), 'Cost Inputs'!$G$83, "")</f>
        <v/>
      </c>
      <c r="E126" s="93" t="str">
        <f>IF(AND(C126&lt;&gt;"", 'Cost Inputs'!$H$83&lt;&gt;""), 'Cost Inputs'!$H$83, "")</f>
        <v/>
      </c>
      <c r="F126" s="93" t="str">
        <f>IF(AND(C126&lt;&gt;"", 'Cost Inputs'!$I$83&lt;&gt;""), 'Cost Inputs'!$I$83, "")</f>
        <v/>
      </c>
      <c r="G126" s="93" t="str">
        <f t="shared" si="5"/>
        <v/>
      </c>
      <c r="H126" s="93" t="str">
        <f>IF(AND(C126&lt;&gt;"", 'Cost Inputs'!$J$83&lt;&gt;""), 'Cost Inputs'!$J$83, "")</f>
        <v/>
      </c>
      <c r="I126" s="93" t="str">
        <f t="shared" si="4"/>
        <v/>
      </c>
      <c r="J126" s="93" t="str">
        <f>IF(AND(C126&lt;&gt;"",('Cost Inputs'!$I$83+'Cost Inputs'!$J$83+'Cost Inputs'!$K$83)&gt;0), 'Cost Inputs'!$I$83+'Cost Inputs'!$J$83+'Cost Inputs'!$K$83, "")</f>
        <v/>
      </c>
      <c r="K126" s="93" t="str">
        <f>IF(AND(C126&lt;&gt;"", 'Cost Inputs'!$N$83&gt;0),'Cost Inputs'!$N$83,"")</f>
        <v/>
      </c>
      <c r="L126" s="93"/>
      <c r="M126" s="109"/>
      <c r="S126" s="372" t="str">
        <f>IF($O$3="N.B.C.",
IF(ISNUMBER($B$110),
IF($C126&lt;&gt;"",
IF('Cost Inputs'!$L$83="Y",
IF(ISNUMBER($P$55), $E126+($E$78*(($E126/$E$78)+$P$55)), $E126),
IF('Cost Inputs'!$L$83="N",
IF(AND(ISNUMBER('Cost Inputs'!$M$83), OR('Cost Inputs'!$M$83=1,'Cost Inputs'!$M$83=2)),
IF(ISNUMBER($P$55), $E126+($E$78*(($E126/$E$78)+$P$55)), $E126),""),"")), ""),""),"")</f>
        <v/>
      </c>
      <c r="T126" s="372" t="str">
        <f>IF($P$3="N.B.C.",
IF(ISNUMBER($B$110),
IF($C126&lt;&gt;"",
IF('Cost Inputs'!$L$83="Y",
IF(ISNUMBER($Q$55), $E126+($E$78*(($E126/$E$78)+$Q$55)), $E126),
IF('Cost Inputs'!$L$83="N",
IF(AND(ISNUMBER('Cost Inputs'!$M$83), OR('Cost Inputs'!$M$83=1,'Cost Inputs'!$M$83=3)),
IF(ISNUMBER($Q$55), $E126+($E$78*(($E126/$E$78)+$Q$55)), $E126),""),"")), ""),""),"")</f>
        <v/>
      </c>
      <c r="U126" s="372" t="str">
        <f>IF($Q$3="N.B.C.",
IF(ISNUMBER($B$110),
IF($C126&lt;&gt;"",
IF('Cost Inputs'!$L$83="Y",
IF(ISNUMBER($R$55), $E126+($E$78*(($E126/$E$78)+$R$55)), $E126),
IF('Cost Inputs'!$L$83="N",
IF(AND(ISNUMBER('Cost Inputs'!$M$83), OR('Cost Inputs'!$M$83=1,'Cost Inputs'!$M$83=2,'Cost Inputs'!$M$83=4)),
IF(ISNUMBER($R$55), $E126+($E$78*(($E126/$E$78)+$R$55)), $E126),""),"")), ""),""),"")</f>
        <v/>
      </c>
      <c r="V126" s="372" t="str">
        <f>IF($R$3="N.B.C.",
IF(ISNUMBER($B$110),
IF($C126&lt;&gt;"",
IF('Cost Inputs'!$L$83="Y",
IF(ISNUMBER($S$55), $E126+($E$78*(($E126/$E$78)+$S$55)), $E126),
IF('Cost Inputs'!$L$83="N",
IF(AND(ISNUMBER('Cost Inputs'!$M$83), OR('Cost Inputs'!$M$83=1,'Cost Inputs'!$M$83=5)),
IF(ISNUMBER($S$55), $E126+($E$78*(($E126/$E$78)+$S$55)), $E126),""),"")), ""),""),"")</f>
        <v/>
      </c>
      <c r="W126" s="372" t="str">
        <f>IF($S$3="N.B.C.",
IF(ISNUMBER($B$110),
IF($C126&lt;&gt;"",
IF('Cost Inputs'!$L$83="Y",
IF(ISNUMBER($T$55), $E126+($E$78*(($E126/$E$78)+$T$55)), $E126),
IF('Cost Inputs'!$L$83="N",
IF(AND(ISNUMBER('Cost Inputs'!$M$83), OR('Cost Inputs'!$M$83=1,'Cost Inputs'!$M$83=2,'Cost Inputs'!$M$83=3,'Cost Inputs'!$M$83=6)),
IF(ISNUMBER($T$55), $E126+($E$78*(($E126/$E$78)+$T$55)), $E126),""),"")), ""),""),"")</f>
        <v/>
      </c>
      <c r="X126" s="372" t="str">
        <f>IF($T$3="N.B.C.",
IF(ISNUMBER($B$110),
IF($C126&lt;&gt;"",
IF('Cost Inputs'!$L$83="Y",
IF(ISNUMBER($U$55), $E126+($E$78*(($E126/$E$78)+$U$55)), $E126),
IF('Cost Inputs'!$L$83="N",
IF(AND(ISNUMBER('Cost Inputs'!$M$83), OR('Cost Inputs'!$M$83=1,'Cost Inputs'!$M$83=7)),
IF(ISNUMBER($U$55), $E126+($E$78*(($E126/$E$78)+$U$55)), $E126),""),"")), ""),""),"")</f>
        <v/>
      </c>
      <c r="Y126" s="372" t="str">
        <f>IF($U$3="N.B.C.",
IF(ISNUMBER($B$110),
IF($C126&lt;&gt;"",
IF('Cost Inputs'!$L$83="Y",
IF(ISNUMBER($V$55), $E126+($E$78*(($E126/$E$78)+$V$55)), $E126),
IF('Cost Inputs'!$L$83="N",
IF(AND(ISNUMBER('Cost Inputs'!$M$83), OR('Cost Inputs'!$M$83=1,'Cost Inputs'!$M$83=2,'Cost Inputs'!$M$83=4,'Cost Inputs'!$M$83=8)),
IF(ISNUMBER($V$55), $E126+($E$78*(($E126/$E$78)+$V$55)), $E126),""),"")), ""),""),"")</f>
        <v/>
      </c>
      <c r="Z126" s="372" t="str">
        <f>IF($V$3="N.B.C.",
IF(ISNUMBER($B$110),
IF($C126&lt;&gt;"",
IF('Cost Inputs'!$L$83="Y",
IF(ISNUMBER($W$55), $E126+($E$78*(($E126/$E$78)+$W$55)), $E126),
IF('Cost Inputs'!$L$83="N",
IF(AND(ISNUMBER('Cost Inputs'!$M$83), OR('Cost Inputs'!$M$83=1,'Cost Inputs'!$M$83=3,'Cost Inputs'!$M$83=9)),
IF(ISNUMBER($W$55), $E126+($E$78*(($E126/$E$78)+$W$55)), $E126),""),"")), ""),""),"")</f>
        <v/>
      </c>
      <c r="AA126" s="372" t="str">
        <f>IF($W$3="N.B.C.",
IF(ISNUMBER($B$110),
IF($C126&lt;&gt;"",
IF('Cost Inputs'!$L$83="Y",
IF(ISNUMBER($X$55), $E126+($E$78*(($E126/$E$78)+$X$55)), $E126),
IF('Cost Inputs'!$L$83="N",
IF(AND(ISNUMBER('Cost Inputs'!$M$83), OR('Cost Inputs'!$M$83=1,'Cost Inputs'!$M$83=2,'Cost Inputs'!$M$83=5)),
IF(ISNUMBER($X$55), $E126+($E$78*(($E126/$E$78)+$X$55)), $E126),""),"")), ""),""),"")</f>
        <v/>
      </c>
      <c r="AB126" s="372" t="str">
        <f>IF($X$3="N.B.C.",
IF(ISNUMBER($B$110),
IF($C126&lt;&gt;"",
IF('Cost Inputs'!$L$83="Y",
IF(ISNUMBER($Y$55), $E126+($E$78*(($E126/$E$78)+$Y$55)), $E126),
IF('Cost Inputs'!$L$83="N",
IF(AND(ISNUMBER('Cost Inputs'!$M$83), OR('Cost Inputs'!$M$83=1)),
IF(ISNUMBER($Y$55), $E126+($E$78*(($E126/$E$78)+$Y$55)), $E126),""),"")), ""),""),"")</f>
        <v/>
      </c>
    </row>
    <row r="127" spans="1:28" x14ac:dyDescent="0.25">
      <c r="A127" s="518"/>
      <c r="B127" s="504"/>
      <c r="C127" s="489" t="str">
        <f>IF('Model_ of_individuals'!C120&lt;&gt;"",
IF((INDEX(ProgramYearStage1,MATCH(DNA_Test_1,Years_in_Stage1,0)))='Model_ of_individuals'!B110, "Percentage decrease in marker culling",""),"")</f>
        <v/>
      </c>
      <c r="D127" s="490"/>
      <c r="E127" s="490"/>
      <c r="F127" s="490"/>
      <c r="G127" s="490"/>
      <c r="H127" s="490"/>
      <c r="I127" s="490"/>
      <c r="J127" s="490"/>
      <c r="K127" s="490"/>
      <c r="L127" s="490"/>
      <c r="M127" s="491"/>
      <c r="S127" s="364" t="str">
        <f>IF($O$3="N.B.C.",
IF(ISNUMBER($B$110),
IF($C127&lt;&gt;"",
IF('Cost Inputs'!$L$84="Y",
IF(ISNUMBER($P$55), $E127+($E$78*(($E127/$E$78)+$P$55)), $E127),
IF('Cost Inputs'!$L$84="N",
IF(AND(ISNUMBER('Cost Inputs'!$M$84), OR('Cost Inputs'!$M$84=1,'Cost Inputs'!$M$84=2)),
IF(ISNUMBER($P$55), $E127+($E$78*(($E127/$E$78)+$P$55)), $E127),""),"")), ""),""),"")</f>
        <v/>
      </c>
      <c r="T127" s="364" t="str">
        <f>IF($P$3="N.B.C.",
IF(ISNUMBER($B$110),
IF($C127&lt;&gt;"",
IF('Cost Inputs'!$L$84="Y",
IF(ISNUMBER($Q$55), $E127+($E$78*(($E127/$E$78)+$Q$55)), $E127),
IF('Cost Inputs'!$L$84="N",
IF(AND(ISNUMBER('Cost Inputs'!$M$84), OR('Cost Inputs'!$M$84=1,'Cost Inputs'!$M$84=3)),
IF(ISNUMBER($Q$55), $E127+($E$78*(($E127/$E$78)+$Q$55)), $E127),""),"")), ""),""),"")</f>
        <v/>
      </c>
      <c r="U127" s="364" t="str">
        <f>IF($Q$3="N.B.C.",
IF(ISNUMBER($B$110),
IF($C127&lt;&gt;"",
IF('Cost Inputs'!$L$84="Y",
IF(ISNUMBER($R$55), $E127+($E$78*(($E127/$E$78)+$R$55)), $E127),
IF('Cost Inputs'!$L$84="N",
IF(AND(ISNUMBER('Cost Inputs'!$M$84), OR('Cost Inputs'!$M$84=1,'Cost Inputs'!$M$84=2,'Cost Inputs'!$M$84=4)),
IF(ISNUMBER($R$55), $E127+($E$78*(($E127/$E$78)+$R$55)), $E127),""),"")), ""),""),"")</f>
        <v/>
      </c>
      <c r="V127" s="364" t="str">
        <f>IF($R$3="N.B.C.",
IF(ISNUMBER($B$110),
IF($C127&lt;&gt;"",
IF('Cost Inputs'!$L$84="Y",
IF(ISNUMBER($S$55), $E127+($E$78*(($E127/$E$78)+$S$55)), $E127),
IF('Cost Inputs'!$L$84="N",
IF(AND(ISNUMBER('Cost Inputs'!$M$84), OR('Cost Inputs'!$M$84=1,'Cost Inputs'!$M$84=5)),
IF(ISNUMBER($S$55), $E127+($E$78*(($E127/$E$78)+$S$55)), $E127),""),"")), ""),""),"")</f>
        <v/>
      </c>
      <c r="W127" s="364" t="str">
        <f>IF($S$3="N.B.C.",
IF(ISNUMBER($B$110),
IF($C127&lt;&gt;"",
IF('Cost Inputs'!$L$84="Y",
IF(ISNUMBER($T$55), $E127+($E$78*(($E127/$E$78)+$T$55)), $E127),
IF('Cost Inputs'!$L$84="N",
IF(AND(ISNUMBER('Cost Inputs'!$M$84), OR('Cost Inputs'!$M$84=1,'Cost Inputs'!$M$84=2,'Cost Inputs'!$M$84=3,'Cost Inputs'!$M$84=6)),
IF(ISNUMBER($T$55), $E127+($E$78*(($E127/$E$78)+$T$55)), $E127),""),"")), ""),""),"")</f>
        <v/>
      </c>
      <c r="X127" s="364" t="str">
        <f>IF($T$3="N.B.C.",
IF(ISNUMBER($B$110),
IF($C127&lt;&gt;"",
IF('Cost Inputs'!$L$84="Y",
IF(ISNUMBER($U$55), $E127+($E$78*(($E127/$E$78)+$U$55)), $E127),
IF('Cost Inputs'!$L$84="N",
IF(AND(ISNUMBER('Cost Inputs'!$M$84), OR('Cost Inputs'!$M$84=1,'Cost Inputs'!$M$84=7)),
IF(ISNUMBER($U$55), $E127+($E$78*(($E127/$E$78)+$U$55)), $E127),""),"")), ""),""),"")</f>
        <v/>
      </c>
      <c r="Y127" s="364" t="str">
        <f>IF($U$3="N.B.C.",
IF(ISNUMBER($B$110),
IF($C127&lt;&gt;"",
IF('Cost Inputs'!$L$84="Y",
IF(ISNUMBER($V$55), $E127+($E$78*(($E127/$E$78)+$V$55)), $E127),
IF('Cost Inputs'!$L$84="N",
IF(AND(ISNUMBER('Cost Inputs'!$M$84), OR('Cost Inputs'!$M$84=1,'Cost Inputs'!$M$84=2,'Cost Inputs'!$M$84=4,'Cost Inputs'!$M$84=8)),
IF(ISNUMBER($V$55), $E127+($E$78*(($E127/$E$78)+$V$55)), $E127),""),"")), ""),""),"")</f>
        <v/>
      </c>
      <c r="Z127" s="364" t="str">
        <f>IF($V$3="N.B.C.",
IF(ISNUMBER($B$110),
IF($C127&lt;&gt;"",
IF('Cost Inputs'!$L$84="Y",
IF(ISNUMBER($W$55), $E127+($E$78*(($E127/$E$78)+$W$55)), $E127),
IF('Cost Inputs'!$L$84="N",
IF(AND(ISNUMBER('Cost Inputs'!$M$84), OR('Cost Inputs'!$M$84=1,'Cost Inputs'!$M$84=3,'Cost Inputs'!$M$84=9)),
IF(ISNUMBER($W$55), $E127+($E$78*(($E127/$E$78)+$W$55)), $E127),""),"")), ""),""),"")</f>
        <v/>
      </c>
      <c r="AA127" s="364" t="str">
        <f>IF($W$3="N.B.C.",
IF(ISNUMBER($B$110),
IF($C127&lt;&gt;"",
IF('Cost Inputs'!$L$84="Y",
IF(ISNUMBER($X$55), $E127+($E$78*(($E127/$E$78)+$X$55)), $E127),
IF('Cost Inputs'!$L$84="N",
IF(AND(ISNUMBER('Cost Inputs'!$M$84), OR('Cost Inputs'!$M$84=1,'Cost Inputs'!$M$84=2,'Cost Inputs'!$M$84=5)),
IF(ISNUMBER($X$55), $E127+($E$78*(($E127/$E$78)+$X$55)), $E127),""),"")), ""),""),"")</f>
        <v/>
      </c>
      <c r="AB127" s="364" t="str">
        <f>IF($X$3="N.B.C.",
IF(ISNUMBER($B$110),
IF($C127&lt;&gt;"",
IF('Cost Inputs'!$L$84="Y",
IF(ISNUMBER($Y$55), $E127+($E$78*(($E127/$E$78)+$Y$55)), $E127),
IF('Cost Inputs'!$L$84="N",
IF(AND(ISNUMBER('Cost Inputs'!$M$84), OR('Cost Inputs'!$M$84=1)),
IF(ISNUMBER($Y$55), $E127+($E$78*(($E127/$E$78)+$Y$55)), $E127),""),"")), ""),""),"")</f>
        <v/>
      </c>
    </row>
    <row r="128" spans="1:28" x14ac:dyDescent="0.25">
      <c r="A128" s="518"/>
      <c r="B128" s="504"/>
      <c r="C128" s="110" t="str">
        <f>IF(ISNUMBER(B110), _3_5_0,"")</f>
        <v/>
      </c>
      <c r="D128" s="94" t="str">
        <f>IF(AND(B110&lt;&gt;"", OR('Cost Inputs'!$H$84&lt;&gt;"", 'Cost Inputs'!$I$84&lt;&gt;"", 'Cost Inputs'!$J$84&lt;&gt;"")), 'Cost Inputs'!$G$84,"")</f>
        <v/>
      </c>
      <c r="E128" s="94" t="str">
        <f>IF(AND(C128&lt;&gt;"", 'Cost Inputs'!$H$84&lt;&gt;""), 'Cost Inputs'!$H$84, "")</f>
        <v/>
      </c>
      <c r="F128" s="94" t="str">
        <f>IF(AND(C128&lt;&gt;"", 'Cost Inputs'!$I$84&lt;&gt;""), 'Cost Inputs'!$I$84, "")</f>
        <v/>
      </c>
      <c r="G128" s="94" t="str">
        <f t="shared" si="5"/>
        <v/>
      </c>
      <c r="H128" s="94" t="str">
        <f>IF(AND(C128&lt;&gt;"", 'Cost Inputs'!$J$84&lt;&gt;""), 'Cost Inputs'!$J$84, "")</f>
        <v/>
      </c>
      <c r="I128" s="94" t="str">
        <f>IF(AND($E128&lt;&gt;"", $H128&lt;&gt;""), $H128/$E128, "")</f>
        <v/>
      </c>
      <c r="J128" s="94" t="str">
        <f>IF(AND(C128&lt;&gt;"",('Cost Inputs'!$I$84+'Cost Inputs'!$J$84+'Cost Inputs'!$K$84)&gt;0), 'Cost Inputs'!$I$84+'Cost Inputs'!$J$84+'Cost Inputs'!$K$84, "")</f>
        <v/>
      </c>
      <c r="K128" s="94" t="str">
        <f>IF(AND(C128&lt;&gt;"", 'Cost Inputs'!$N$84&gt;0),'Cost Inputs'!$N$84,"")</f>
        <v/>
      </c>
      <c r="L128" s="94"/>
      <c r="M128" s="129" t="str">
        <f>IF(ISNUMBER(B110), 'Breeding Inputs'!D79+'Breeding Inputs'!E79, "")</f>
        <v/>
      </c>
      <c r="S128" s="373" t="str">
        <f>IF($O$3="N.B.C.",
IF(ISNUMBER($B$110),
IF('Cost Inputs'!$L$84="Y", $E$128*$M$128,
IF('Cost Inputs'!$L$84="N",
IF(ISNUMBER('Cost Inputs'!$M$84), $E$128*$M$128,""),"")), ""),"")</f>
        <v/>
      </c>
      <c r="T128" s="373" t="str">
        <f>IF($P$3="N.B.C.",
IF(ISNUMBER($B$110),
IF('Cost Inputs'!$L$84="Y", $E$128*$M$128,
IF('Cost Inputs'!$L$84="N",
IF(ISNUMBER('Cost Inputs'!$M$84), $E$128*$M$128,""),"")), ""),"")</f>
        <v/>
      </c>
      <c r="U128" s="373" t="str">
        <f>IF($Q$3="N.B.C.",
IF(ISNUMBER($B$110),
IF('Cost Inputs'!$L$84="Y", $E$128*$M$128,
IF('Cost Inputs'!$L$84="N",
IF(ISNUMBER('Cost Inputs'!$M$84), $E$128*$M$128,""),"")), ""),"")</f>
        <v/>
      </c>
      <c r="V128" s="373" t="str">
        <f>IF($R$3="N.B.C.",
IF(ISNUMBER($B$110),
IF('Cost Inputs'!$L$84="Y", $E$128*$M$128,
IF('Cost Inputs'!$L$84="N",
IF(ISNUMBER('Cost Inputs'!$M$84), $E$128*$M$128,""),"")), ""),"")</f>
        <v/>
      </c>
      <c r="W128" s="373" t="str">
        <f>IF($S$3="N.B.C.",
IF(ISNUMBER($B$110),
IF('Cost Inputs'!$L$84="Y", $E$128*$M$128,
IF('Cost Inputs'!$L$84="N",
IF(ISNUMBER('Cost Inputs'!$M$84), $E$128*$M$128,""),"")), ""),"")</f>
        <v/>
      </c>
      <c r="X128" s="373" t="str">
        <f>IF($T$3="N.B.C.",
IF(ISNUMBER($B$110),
IF('Cost Inputs'!$L$84="Y", $E$128*$M$128,
IF('Cost Inputs'!$L$84="N",
IF(ISNUMBER('Cost Inputs'!$M$84), $E$128*$M$128,""),"")), ""),"")</f>
        <v/>
      </c>
      <c r="Y128" s="373" t="str">
        <f>IF($U$3="N.B.C.",
IF(ISNUMBER($B$110),
IF('Cost Inputs'!$L$84="Y", $E$128*$M$128,
IF('Cost Inputs'!$L$84="N",
IF(ISNUMBER('Cost Inputs'!$M$84), $E$128*$M$128,""),"")), ""),"")</f>
        <v/>
      </c>
      <c r="Z128" s="373" t="str">
        <f>IF($V$3="N.B.C.",
IF(ISNUMBER($B$110),
IF('Cost Inputs'!$L$84="Y", $E$128*$M$128,
IF('Cost Inputs'!$L$84="N",
IF(ISNUMBER('Cost Inputs'!$M$84), $E$128*$M$128,""),"")), ""),"")</f>
        <v/>
      </c>
      <c r="AA128" s="373" t="str">
        <f>IF($W$3="N.B.C.",
IF(ISNUMBER($B$110),
IF('Cost Inputs'!$L$84="Y", $E$128*$M$128,
IF('Cost Inputs'!$L$84="N",
IF(ISNUMBER('Cost Inputs'!$M$84), $E$128*$M$128,""),"")), ""),"")</f>
        <v/>
      </c>
      <c r="AB128" s="373" t="str">
        <f>IF($X$3="N.B.C.",
IF(ISNUMBER($B$110),
IF('Cost Inputs'!$L$84="Y", $E$128*$M$128,
IF('Cost Inputs'!$L$84="N",
IF(ISNUMBER('Cost Inputs'!$M$84), $E$128*$M$128,""),"")), ""),"")</f>
        <v/>
      </c>
    </row>
    <row r="129" spans="1:29" x14ac:dyDescent="0.25">
      <c r="A129" s="518"/>
      <c r="B129" s="504"/>
      <c r="C129" s="104" t="str">
        <f>IF(AND(ISNUMBER(B110), OR('Cost Inputs'!$H$85&lt;&gt;"", 'Cost Inputs'!$I$85&lt;&gt;"", 'Cost Inputs'!$J$85&lt;&gt;"")), _3_5_1, "")</f>
        <v/>
      </c>
      <c r="D129" s="17" t="str">
        <f>IF(AND(C129&lt;&gt;"", 'Cost Inputs'!$G$85&lt;&gt;""), 'Cost Inputs'!$G$85, "")</f>
        <v/>
      </c>
      <c r="E129" s="17" t="str">
        <f>IF(AND(C129&lt;&gt;"", 'Cost Inputs'!$H$85&lt;&gt;""), 'Cost Inputs'!$H$85, "")</f>
        <v/>
      </c>
      <c r="F129" s="17" t="str">
        <f>IF(AND(C129&lt;&gt;"", 'Cost Inputs'!$I$85&lt;&gt;""), 'Cost Inputs'!$I$85, "")</f>
        <v/>
      </c>
      <c r="G129" s="17" t="str">
        <f t="shared" si="5"/>
        <v/>
      </c>
      <c r="H129" s="17" t="str">
        <f>IF(AND(C129&lt;&gt;"", 'Cost Inputs'!$J$85&lt;&gt;""), 'Cost Inputs'!$J$85, "")</f>
        <v/>
      </c>
      <c r="I129" s="17" t="str">
        <f t="shared" ref="I129:I130" si="6">IF(AND($E129&lt;&gt;"", $H129&lt;&gt;""), $H129/$E129, "")</f>
        <v/>
      </c>
      <c r="J129" s="17" t="str">
        <f>IF(AND(C129&lt;&gt;"",('Cost Inputs'!$I$85+'Cost Inputs'!$J$85+'Cost Inputs'!$K$85)&gt;0), 'Cost Inputs'!$I$85+'Cost Inputs'!$J$85+'Cost Inputs'!$K$85, "")</f>
        <v/>
      </c>
      <c r="K129" s="17" t="str">
        <f>IF(AND(C129&lt;&gt;"", 'Cost Inputs'!$N$85&gt;0),'Cost Inputs'!$N$85,"")</f>
        <v/>
      </c>
      <c r="M129" s="106"/>
      <c r="S129" s="364" t="str">
        <f>IF($O$3="N.B.C.", IF(ISNUMBER($B$110), IF('Cost Inputs'!$L$85="Y", $E$87, IF('Cost Inputs'!$L$85="N", IF(ISNUMBER('Cost Inputs'!$M$85), $E$87,""),"")), ""),"")</f>
        <v/>
      </c>
      <c r="T129" s="364" t="str">
        <f>IF($P$3="N.B.C.", IF(ISNUMBER($B$110), IF('Cost Inputs'!$L$85="Y", $E$87, IF('Cost Inputs'!$L$85="N", IF(ISNUMBER('Cost Inputs'!$M$85), $E$87,""),"")), ""),"")</f>
        <v/>
      </c>
      <c r="U129" s="364" t="str">
        <f>IF($Q$3="N.B.C.", IF(ISNUMBER($B$110), IF('Cost Inputs'!$L$85="Y", $E$87, IF('Cost Inputs'!$L$85="N", IF(ISNUMBER('Cost Inputs'!$M$85), $E$87,""),"")), ""),"")</f>
        <v/>
      </c>
      <c r="V129" s="364" t="str">
        <f>IF($R$3="N.B.C.", IF(ISNUMBER($B$110), IF('Cost Inputs'!$L$85="Y", $E$87, IF('Cost Inputs'!$L$85="N", IF(ISNUMBER('Cost Inputs'!$M$85), $E$87,""),"")), ""),"")</f>
        <v/>
      </c>
      <c r="W129" s="364" t="str">
        <f>IF($S$3="N.B.C.", IF(ISNUMBER($B$110), IF('Cost Inputs'!$L$85="Y", $E$87, IF('Cost Inputs'!$L$85="N", IF(ISNUMBER('Cost Inputs'!$M$85), $E$87,""),"")), ""),"")</f>
        <v/>
      </c>
      <c r="X129" s="364" t="str">
        <f>IF($T$3="N.B.C.", IF(ISNUMBER($B$110), IF('Cost Inputs'!$L$85="Y", $E$87, IF('Cost Inputs'!$L$85="N", IF(ISNUMBER('Cost Inputs'!$M$85), $E$87,""),"")), ""),"")</f>
        <v/>
      </c>
      <c r="Y129" s="364" t="str">
        <f>IF($U$3="N.B.C.", IF(ISNUMBER($B$110), IF('Cost Inputs'!$L$85="Y", $E$87, IF('Cost Inputs'!$L$85="N", IF(ISNUMBER('Cost Inputs'!$M$85), $E$87,""),"")), ""),"")</f>
        <v/>
      </c>
      <c r="Z129" s="364" t="str">
        <f>IF($V$3="N.B.C.", IF(ISNUMBER($B$110), IF('Cost Inputs'!$L$85="Y", $E$87, IF('Cost Inputs'!$L$85="N", IF(ISNUMBER('Cost Inputs'!$M$85), $E$87,""),"")), ""),"")</f>
        <v/>
      </c>
      <c r="AA129" s="364" t="str">
        <f>IF($W$3="N.B.C.", IF(ISNUMBER($B$110), IF('Cost Inputs'!$L$85="Y", $E$87, IF('Cost Inputs'!$L$85="N", IF(ISNUMBER('Cost Inputs'!$M$85), $E$87,""),"")), ""),"")</f>
        <v/>
      </c>
      <c r="AB129" s="364" t="str">
        <f>IF($X$3="N.B.C.", IF(ISNUMBER($B$110), IF('Cost Inputs'!$L$85="Y", $E$87, IF('Cost Inputs'!$L$85="N", IF(ISNUMBER('Cost Inputs'!$M$85), $E$87,""),"")), ""),"")</f>
        <v/>
      </c>
    </row>
    <row r="130" spans="1:29" ht="15.75" thickBot="1" x14ac:dyDescent="0.3">
      <c r="A130" s="518"/>
      <c r="B130" s="505"/>
      <c r="C130" s="111" t="str">
        <f>IF(AND(ISNUMBER(B110), OR('Cost Inputs'!$H$86&lt;&gt;"", 'Cost Inputs'!$I$86&lt;&gt;"", 'Cost Inputs'!$J$86&lt;&gt;"")), _3_5_2, "")</f>
        <v/>
      </c>
      <c r="D130" s="95" t="str">
        <f>IF(AND(C130&lt;&gt;"", 'Cost Inputs'!$G$86&lt;&gt;""), 'Cost Inputs'!$G$86, "")</f>
        <v/>
      </c>
      <c r="E130" s="95" t="str">
        <f>IF(AND(C130&lt;&gt;"", 'Cost Inputs'!$H$86&lt;&gt;""), 'Cost Inputs'!$H$86, "")</f>
        <v/>
      </c>
      <c r="F130" s="95" t="str">
        <f>IF(AND(C130&lt;&gt;"", 'Cost Inputs'!$I$86&lt;&gt;""), 'Cost Inputs'!$I$86, "")</f>
        <v/>
      </c>
      <c r="G130" s="95" t="str">
        <f t="shared" si="5"/>
        <v/>
      </c>
      <c r="H130" s="95" t="str">
        <f>IF(AND(C130&lt;&gt;"", 'Cost Inputs'!$J$86&lt;&gt;""), 'Cost Inputs'!$J$86, "")</f>
        <v/>
      </c>
      <c r="I130" s="95" t="str">
        <f t="shared" si="6"/>
        <v/>
      </c>
      <c r="J130" s="95" t="str">
        <f>IF(AND(C130&lt;&gt;"",('Cost Inputs'!$I$86+'Cost Inputs'!$J$86+'Cost Inputs'!$K$86)&gt;0), 'Cost Inputs'!$I$86+'Cost Inputs'!$J$86+'Cost Inputs'!$K$86, "")</f>
        <v/>
      </c>
      <c r="K130" s="95" t="str">
        <f>IF(AND(C130&lt;&gt;"", 'Cost Inputs'!$N$86&gt;0),'Cost Inputs'!$N$86,"")</f>
        <v/>
      </c>
      <c r="L130" s="95"/>
      <c r="M130" s="113"/>
      <c r="S130" s="372" t="str">
        <f>IF($O$3="N.B.C.", IF(ISNUMBER($B$110), IF('Cost Inputs'!$L$86="Y", $E$88, IF('Cost Inputs'!$L$86="N", IF(ISNUMBER('Cost Inputs'!$M$86), $E$88,""),"")), ""),"")</f>
        <v/>
      </c>
      <c r="T130" s="372" t="str">
        <f>IF($P$3="N.B.C.", IF(ISNUMBER($B$110), IF('Cost Inputs'!$L$86="Y", $E$88, IF('Cost Inputs'!$L$86="N", IF(ISNUMBER('Cost Inputs'!$M$86), $E$88,""),"")), ""),"")</f>
        <v/>
      </c>
      <c r="U130" s="372" t="str">
        <f>IF($Q$3="N.B.C.", IF(ISNUMBER($B$110), IF('Cost Inputs'!$L$86="Y", $E$88, IF('Cost Inputs'!$L$86="N", IF(ISNUMBER('Cost Inputs'!$M$86), $E$88,""),"")), ""),"")</f>
        <v/>
      </c>
      <c r="V130" s="372" t="str">
        <f>IF($R$3="N.B.C.", IF(ISNUMBER($B$110), IF('Cost Inputs'!$L$86="Y", $E$88, IF('Cost Inputs'!$L$86="N", IF(ISNUMBER('Cost Inputs'!$M$86), $E$88,""),"")), ""),"")</f>
        <v/>
      </c>
      <c r="W130" s="372" t="str">
        <f>IF($S$3="N.B.C.", IF(ISNUMBER($B$110), IF('Cost Inputs'!$L$86="Y", $E$88, IF('Cost Inputs'!$L$86="N", IF(ISNUMBER('Cost Inputs'!$M$86), $E$88,""),"")), ""),"")</f>
        <v/>
      </c>
      <c r="X130" s="372" t="str">
        <f>IF($T$3="N.B.C.", IF(ISNUMBER($B$110), IF('Cost Inputs'!$L$86="Y", $E$88, IF('Cost Inputs'!$L$86="N", IF(ISNUMBER('Cost Inputs'!$M$86), $E$88,""),"")), ""),"")</f>
        <v/>
      </c>
      <c r="Y130" s="372" t="str">
        <f>IF($U$3="N.B.C.", IF(ISNUMBER($B$110), IF('Cost Inputs'!$L$86="Y", $E$88, IF('Cost Inputs'!$L$86="N", IF(ISNUMBER('Cost Inputs'!$M$86), $E$88,""),"")), ""),"")</f>
        <v/>
      </c>
      <c r="Z130" s="372" t="str">
        <f>IF($V$3="N.B.C.", IF(ISNUMBER($B$110), IF('Cost Inputs'!$L$86="Y", $E$88, IF('Cost Inputs'!$L$86="N", IF(ISNUMBER('Cost Inputs'!$M$86), $E$88,""),"")), ""),"")</f>
        <v/>
      </c>
      <c r="AA130" s="372" t="str">
        <f>IF($W$3="N.B.C.", IF(ISNUMBER($B$110), IF('Cost Inputs'!$L$86="Y", $E$88, IF('Cost Inputs'!$L$86="N", IF(ISNUMBER('Cost Inputs'!$M$86), $E$88,""),"")), ""),"")</f>
        <v/>
      </c>
      <c r="AB130" s="372" t="str">
        <f>IF($X$3="N.B.C.", IF(ISNUMBER($B$110), IF('Cost Inputs'!$L$86="Y", $E$88, IF('Cost Inputs'!$L$86="N", IF(ISNUMBER('Cost Inputs'!$M$86), $E$88,""),"")), ""),"")</f>
        <v/>
      </c>
    </row>
    <row r="131" spans="1:29" ht="14.45" customHeight="1" x14ac:dyDescent="0.25">
      <c r="A131" s="518" t="str">
        <f>Third_Stage</f>
        <v>Stage 1 Seedling Test Plots</v>
      </c>
      <c r="B131" s="503" t="str">
        <f>'Breeding Inputs'!B80</f>
        <v/>
      </c>
      <c r="C131" s="116" t="str">
        <f>IF(ISNUMBER(B131), _3_2_0, "")</f>
        <v/>
      </c>
      <c r="D131" s="92" t="str">
        <f>IF(AND(B131&lt;&gt;"", OR('Cost Inputs'!$H$67&lt;&gt;"", 'Cost Inputs'!$I$67&lt;&gt;"", 'Cost Inputs'!$J$67&lt;&gt;"")), 'Cost Inputs'!$G$67,"")</f>
        <v/>
      </c>
      <c r="E131" s="92" t="str">
        <f>IF(AND(C131&lt;&gt;"", 'Cost Inputs'!$H$67&lt;&gt;"", M$128&lt;&gt;"", M$128&gt;0), $E110-('Cost Inputs'!$H$67*M$128), IF(AND(C131&lt;&gt;"", 'Cost Inputs'!$H$67&lt;&gt;""), $E110, ""))</f>
        <v/>
      </c>
      <c r="F131" s="92" t="str">
        <f>IF(AND(C131&lt;&gt;"", 'Cost Inputs'!$I$67&lt;&gt;""), 'Cost Inputs'!$I$67, "")</f>
        <v/>
      </c>
      <c r="G131" s="92" t="str">
        <f t="shared" si="5"/>
        <v/>
      </c>
      <c r="H131" s="92" t="str">
        <f>IF(AND(C131&lt;&gt;"", 'Cost Inputs'!$J$67&lt;&gt;""), 'Cost Inputs'!$J$67, "")</f>
        <v/>
      </c>
      <c r="I131" s="92" t="str">
        <f>IF(AND($E131&lt;&gt;"", $H131&lt;&gt;""), $H131/$E131, "")</f>
        <v/>
      </c>
      <c r="J131" s="92" t="str">
        <f>IF(AND(C131&lt;&gt;"",('Cost Inputs'!$I$67+'Cost Inputs'!$J$67+'Cost Inputs'!$K$67)&gt;0), 'Cost Inputs'!$I$67+'Cost Inputs'!$J$67+'Cost Inputs'!$K$67, "")</f>
        <v/>
      </c>
      <c r="K131" s="92" t="str">
        <f>IF(AND(C131&lt;&gt;"", 'Cost Inputs'!$N$67&gt;0),'Cost Inputs'!$N$67,"")</f>
        <v/>
      </c>
      <c r="L131" s="92"/>
      <c r="M131" s="101"/>
      <c r="T131" s="373" t="str">
        <f>IF($O$3="N.B.C.",
IF(ISNUMBER($B$131),
IF($C131&lt;&gt;"",
IF('Cost Inputs'!$L$67="Y",
IF(AND(ISNUMBER(P$56), P$56&gt;$E$60), $E131+($E$60*(($E131/$E$60)+$P$55)), $E131),
IF('Cost Inputs'!$L$67="N",
IF(AND(ISNUMBER('Cost Inputs'!$M$67), OR('Cost Inputs'!$M$67=1,'Cost Inputs'!$M$67=3)),
IF(AND(ISNUMBER(P$56), P$56&gt;$E$60), $E131+($E$60*(($E131/$E$60)+$P$55)), $E131), ""),"")), ""), ""), "")</f>
        <v/>
      </c>
      <c r="U131" s="373" t="str">
        <f>IF($P$3="N.B.C.",
IF(ISNUMBER($B$131),
IF($C131&lt;&gt;"",
IF('Cost Inputs'!$L$67="Y",
IF(AND(ISNUMBER(Q$56), Q$56&gt;$E$60), $E131+($E$60*(($E131/$E$60)+$Q$55)), $E131),
IF('Cost Inputs'!$L$67="N",
IF(AND(ISNUMBER('Cost Inputs'!$M$67), OR('Cost Inputs'!$M$67=1,'Cost Inputs'!$M$67=2, 'Cost Inputs'!$M$67=4)),
IF(AND(ISNUMBER(Q$56), Q$56&gt;$E$60), $E131+($E$60*(($E131/$E$60)+$Q$55)), $E131), ""),"")), ""), ""), "")</f>
        <v/>
      </c>
      <c r="V131" s="373" t="str">
        <f>IF($Q$3="N.B.C.",
IF(ISNUMBER($B$131),
IF($C131&lt;&gt;"",
IF('Cost Inputs'!$L$67="Y",
IF(AND(ISNUMBER(R$56), R$56&gt;$E$60), $E131+($E$60*(($E131/$E$60)+$R$55)), $E131),
IF('Cost Inputs'!$L$67="N",
IF(AND(ISNUMBER('Cost Inputs'!$M$67), OR('Cost Inputs'!$M$67=1,'Cost Inputs'!$M$67=5)),
IF(AND(ISNUMBER(R$56), R$56&gt;$E$60), $E131+($E$60*(($E131/$E$60)+$R$55)), $E131), ""),"")), ""), ""), "")</f>
        <v/>
      </c>
      <c r="W131" s="373" t="str">
        <f>IF($R$3="N.B.C.",
IF(ISNUMBER($B$131),
IF($C131&lt;&gt;"",
IF('Cost Inputs'!$L$67="Y",
IF(AND(ISNUMBER(S$56), S$56&gt;$E$60), $E131+($E$60*(($E131/$E$60)+$S$55)), $E131),
IF('Cost Inputs'!$L$67="N",
IF(AND(ISNUMBER('Cost Inputs'!$M$67), OR('Cost Inputs'!$M$67=1,'Cost Inputs'!$M$67=2, 'Cost Inputs'!$M$67=3,'Cost Inputs'!$M$67=6)),
IF(AND(ISNUMBER(S$56), S$56&gt;$E$60), $E131+($E$60*(($E131/$E$60)+$S$55)), $E131), ""),"")), ""), ""), "")</f>
        <v/>
      </c>
      <c r="X131" s="373" t="str">
        <f>IF($S$3="N.B.C.",
IF(ISNUMBER($B$131),
IF($C131&lt;&gt;"",
IF('Cost Inputs'!$L$67="Y",
IF(AND(ISNUMBER(T$56), T$56&gt;$E$60), $E131+($E$60*(($E131/$E$60)+$T$55)), $E131),
IF('Cost Inputs'!$L$67="N",
IF(AND(ISNUMBER('Cost Inputs'!$M$67), OR('Cost Inputs'!$M$67=1,'Cost Inputs'!$M$67=7)),
IF(AND(ISNUMBER(T$56), T$56&gt;$E$60), $E131+($E$60*(($E131/$E$60)+$T$55)), $E131), ""),"")), ""), ""), "")</f>
        <v/>
      </c>
      <c r="Y131" s="373" t="str">
        <f>IF($T$3="N.B.C.",
IF(ISNUMBER($B$131),
IF($C131&lt;&gt;"",
IF('Cost Inputs'!$L$67="Y",
IF(AND(ISNUMBER(U$56), U$56&gt;$E$60), $E131+($E$60*(($E131/$E$60)+$U$55)), $E131),
IF('Cost Inputs'!$L$67="N",
IF(AND(ISNUMBER('Cost Inputs'!$M$67), OR('Cost Inputs'!$M$67=1,'Cost Inputs'!$M$67=2,'Cost Inputs'!$M$67=4,'Cost Inputs'!$M$67=8)),
IF(AND(ISNUMBER(U$56), U$56&gt;$E$60), $E131+($E$60*(($E131/$E$60)+$U$55)), $E131), ""),"")), ""), ""), "")</f>
        <v/>
      </c>
      <c r="Z131" s="373" t="str">
        <f>IF($U$3="N.B.C.",
IF(ISNUMBER($B$131),
IF($C131&lt;&gt;"",
IF('Cost Inputs'!$L$67="Y",
IF(AND(ISNUMBER(V$56), V$56&gt;$E$60), $E131+($E$60*(($E131/$E$60)+$V$55)), $E131),
IF('Cost Inputs'!$L$67="N",
IF(AND(ISNUMBER('Cost Inputs'!$M$67), OR('Cost Inputs'!$M$67=1,'Cost Inputs'!$M$67=3, 'Cost Inputs'!$M$67=9)),
IF(AND(ISNUMBER(V$56), V$56&gt;$E$60), $E131+($E$60*(($E131/$E$60)+$V$55)), $E131), ""),"")), ""), ""), "")</f>
        <v/>
      </c>
      <c r="AA131" s="373" t="str">
        <f>IF($V$3="N.B.C.",
IF(ISNUMBER($B$131),
IF($C131&lt;&gt;"",
IF('Cost Inputs'!$L$67="Y",
IF(AND(ISNUMBER(W$56), W$56&gt;$E$60), $E131+($E$60*(($E131/$E$60)+$W$55)), $E131),
IF('Cost Inputs'!$L$67="N",
IF(AND(ISNUMBER('Cost Inputs'!$M$67), OR('Cost Inputs'!$M$67=1,'Cost Inputs'!$M$67=2, 'Cost Inputs'!$M$67=5)),
IF(AND(ISNUMBER(W$56), W$56&gt;$E$60), $E131+($E$60*(($E131/$E$60)+$W$55)), $E131), ""),"")), ""), ""), "")</f>
        <v/>
      </c>
      <c r="AB131" s="373" t="str">
        <f>IF($W$3="N.B.C.",
IF(ISNUMBER($B$131),
IF($C131&lt;&gt;"",
IF('Cost Inputs'!$L$67="Y",
IF(AND(ISNUMBER(X$56), X$56&gt;$E$60), $E131+($E$60*(($E131/$E$60)+$X$55)), $E131),
IF('Cost Inputs'!$L$67="N",
IF(AND(ISNUMBER('Cost Inputs'!$M$67), OR('Cost Inputs'!$M$67=1)),
IF(AND(ISNUMBER(X$56), X$56&gt;$E$60), $E131+($E$60*(($E131/$E$60)+$X$55)), $E131), ""),"")), ""), ""), "")</f>
        <v/>
      </c>
      <c r="AC131" s="373" t="str">
        <f>IF($X$3="N.B.C.",
IF(ISNUMBER($B$131),
IF($C131&lt;&gt;"",
IF('Cost Inputs'!$L$67="Y",
IF(AND(ISNUMBER(Y$56), Y$56&gt;$E$60), $E131+($E$60*(($E131/$E$60)+$Y$55)), $E131),
IF('Cost Inputs'!$L$67="N",
IF(AND(ISNUMBER('Cost Inputs'!$M$67), OR('Cost Inputs'!$M$67=1,'Cost Inputs'!$M$67=2,'Cost Inputs'!$M$67=3,'Cost Inputs'!$M$67=4,'Cost Inputs'!$M$67=6)),
IF(AND(ISNUMBER(Y$56), Y$56&gt;$E$60), $E131+($E$60*(($E131/$E$60)+$Y$55)), $E131), ""),"")), ""), ""), "")</f>
        <v/>
      </c>
    </row>
    <row r="132" spans="1:29" x14ac:dyDescent="0.25">
      <c r="A132" s="518"/>
      <c r="B132" s="504"/>
      <c r="C132" s="104" t="str">
        <f>IF(AND(ISNUMBER(B131), OR('Cost Inputs'!$H$68&lt;&gt;"", 'Cost Inputs'!$I$68&lt;&gt;"", 'Cost Inputs'!$J$68&lt;&gt;"")), _3_2_1, "")</f>
        <v/>
      </c>
      <c r="D132" s="17" t="str">
        <f>IF(AND($C132&lt;&gt;"", 'Cost Inputs'!$G$68&lt;&gt;""), 'Cost Inputs'!$G$68, "")</f>
        <v/>
      </c>
      <c r="E132" s="17" t="str">
        <f>IF(AND(C132&lt;&gt;"", 'Cost Inputs'!$H$68&lt;&gt;"", M$128&lt;&gt;"", M$128&gt;0), $E111-('Cost Inputs'!$H$68*M$128), IF(AND(C132&lt;&gt;"", 'Cost Inputs'!$H$68&lt;&gt;""), $E111, ""))</f>
        <v/>
      </c>
      <c r="F132" s="17" t="str">
        <f>IF(AND(C132&lt;&gt;"", 'Cost Inputs'!$I$68&lt;&gt;""), 'Cost Inputs'!$I$68, "")</f>
        <v/>
      </c>
      <c r="G132" s="17" t="str">
        <f t="shared" si="5"/>
        <v/>
      </c>
      <c r="H132" s="17" t="str">
        <f>IF(AND(C132&lt;&gt;"", 'Cost Inputs'!$J$68&lt;&gt;""), 'Cost Inputs'!$J$68, "")</f>
        <v/>
      </c>
      <c r="I132" s="17" t="str">
        <f t="shared" ref="I132:I198" si="7">IF(AND($E132&lt;&gt;"", $H132&lt;&gt;""), $H132/$E132, "")</f>
        <v/>
      </c>
      <c r="J132" s="17" t="str">
        <f>IF(AND(C132&lt;&gt;"",('Cost Inputs'!$I$68+'Cost Inputs'!$J$68+'Cost Inputs'!$K$68)&gt;0), 'Cost Inputs'!$I$68+'Cost Inputs'!$J$68+'Cost Inputs'!$K$68, "")</f>
        <v/>
      </c>
      <c r="K132" s="17" t="str">
        <f>IF(AND(C132&lt;&gt;"", 'Cost Inputs'!$N$68&gt;0),'Cost Inputs'!$N$68,"")</f>
        <v/>
      </c>
      <c r="M132" s="106"/>
      <c r="T132" s="364" t="str">
        <f>IF($O$3="N.B.C.",
IF(ISNUMBER($B$131),
IF($C132&lt;&gt;"",
IF('Cost Inputs'!$L$68="Y",
IF(ISNUMBER($P$55), $E132+($E$89*(($E132/$E$89)+$P$55)), $E132),
IF('Cost Inputs'!$L$68="N",
IF(AND(ISNUMBER('Cost Inputs'!$M$68), OR('Cost Inputs'!$M$68=1,'Cost Inputs'!$M$68=3)),
IF(ISNUMBER($P$55), $E132+($E$89*(($E132/$E$89)+$P$55)), $E132),""),"")), ""),""),"")</f>
        <v/>
      </c>
      <c r="U132" s="364" t="str">
        <f>IF($P$3="N.B.C.",
IF(ISNUMBER($B$131),
IF($C132&lt;&gt;"",
IF('Cost Inputs'!$L$68="Y",
IF(ISNUMBER($Q$55), $E132+($E$89*(($E132/$E$89)+$Q$55)), $E132),
IF('Cost Inputs'!$L$68="N",
IF(AND(ISNUMBER('Cost Inputs'!$M$68), OR('Cost Inputs'!$M$68=1,'Cost Inputs'!$M$68=2,'Cost Inputs'!$M$68=4)),
IF(ISNUMBER($Q$55), $E132+($E$89*(($E132/$E$89)+$Q$55)), $E132),""),"")), ""),""),"")</f>
        <v/>
      </c>
      <c r="V132" s="364" t="str">
        <f>IF($Q$3="N.B.C.",
IF(ISNUMBER($B$131),
IF($C132&lt;&gt;"",
IF('Cost Inputs'!$L$68="Y",
IF(ISNUMBER($R$55), $E132+($E$89*(($E132/$E$89)+$R$55)), $E132),
IF('Cost Inputs'!$L$68="N",
IF(AND(ISNUMBER('Cost Inputs'!$M$68), OR('Cost Inputs'!$M$68=1,'Cost Inputs'!$M$68=5)),
IF(ISNUMBER($R$55), $E132+($E$89*(($E132/$E$89)+$R$55)), $E132),""),"")), ""),""),"")</f>
        <v/>
      </c>
      <c r="W132" s="364" t="str">
        <f>IF($R$3="N.B.C.",
IF(ISNUMBER($B$131),
IF($C132&lt;&gt;"",
IF('Cost Inputs'!$L$68="Y",
IF(ISNUMBER($S$55), $E132+($E$89*(($E132/$E$89)+$S$55)), $E132),
IF('Cost Inputs'!$L$68="N",
IF(AND(ISNUMBER('Cost Inputs'!$M$68), OR('Cost Inputs'!$M$68=1,'Cost Inputs'!$M$68=2,'Cost Inputs'!$M$68=3,'Cost Inputs'!$M$68=6)),
IF(ISNUMBER($S$55), $E132+($E$89*(($E132/$E$89)+$S$55)), $E132),""),"")), ""),""),"")</f>
        <v/>
      </c>
      <c r="X132" s="364" t="str">
        <f>IF($S$3="N.B.C.",
IF(ISNUMBER($B$131),
IF($C132&lt;&gt;"",
IF('Cost Inputs'!$L$68="Y",
IF(ISNUMBER($T$55), $E132+($E$89*(($E132/$E$89)+$T$55)), $E132),
IF('Cost Inputs'!$L$68="N",
IF(AND(ISNUMBER('Cost Inputs'!$M$68), OR('Cost Inputs'!$M$68=1,'Cost Inputs'!$M$68=7)),
IF(ISNUMBER($T$55), $E132+($E$89*(($E132/$E$89)+$T$55)), $E132),""),"")), ""),""),"")</f>
        <v/>
      </c>
      <c r="Y132" s="364" t="str">
        <f>IF($T$3="N.B.C.",
IF(ISNUMBER($B$131),
IF($C132&lt;&gt;"",
IF('Cost Inputs'!$L$68="Y",
IF(ISNUMBER($U$55), $E132+($E$89*(($E132/$E$89)+$U$55)), $E132),
IF('Cost Inputs'!$L$68="N",
IF(AND(ISNUMBER('Cost Inputs'!$M$68), OR('Cost Inputs'!$M$68=1,'Cost Inputs'!$M$68=2,'Cost Inputs'!$M$68=4,'Cost Inputs'!$M$68=8)),
IF(ISNUMBER($U$55), $E132+($E$89*(($E132/$E$89)+$U$55)), $E132),""),"")), ""),""),"")</f>
        <v/>
      </c>
      <c r="Z132" s="364" t="str">
        <f>IF($U$3="N.B.C.",
IF(ISNUMBER($B$131),
IF($C132&lt;&gt;"",
IF('Cost Inputs'!$L$68="Y",
IF(ISNUMBER($V$55), $E132+($E$89*(($E132/$E$89)+$V$55)), $E132),
IF('Cost Inputs'!$L$68="N",
IF(AND(ISNUMBER('Cost Inputs'!$M$68), OR('Cost Inputs'!$M$68=1,'Cost Inputs'!$M$68=3,'Cost Inputs'!$M$68=9)),
IF(ISNUMBER($V$55), $E132+($E$89*(($E132/$E$89)+$V$55)), $E132),""),"")), ""),""),"")</f>
        <v/>
      </c>
      <c r="AA132" s="364" t="str">
        <f>IF($V$3="N.B.C.",
IF(ISNUMBER($B$131),
IF($C132&lt;&gt;"",
IF('Cost Inputs'!$L$68="Y",
IF(ISNUMBER($W$55), $E132+($E$89*(($E132/$E$89)+$W$55)), $E132),
IF('Cost Inputs'!$L$68="N",
IF(AND(ISNUMBER('Cost Inputs'!$M$68), OR('Cost Inputs'!$M$68=1,'Cost Inputs'!$M$68=2,'Cost Inputs'!$M$68=5)),
IF(ISNUMBER($W$55), $E132+($E$89*(($E132/$E$89)+$W$55)), $E132),""),"")), ""),""),"")</f>
        <v/>
      </c>
      <c r="AB132" s="364" t="str">
        <f>IF($W$3="N.B.C.",
IF(ISNUMBER($B$131),
IF($C132&lt;&gt;"",
IF('Cost Inputs'!$L$68="Y",
IF(ISNUMBER($X$55), $E132+($E$89*(($E132/$E$89)+$X$55)), $E132),
IF('Cost Inputs'!$L$68="N",
IF(AND(ISNUMBER('Cost Inputs'!$M$68), OR('Cost Inputs'!$M$68=1)),
IF(ISNUMBER($X$55), $E132+($E$89*(($E132/$E$89)+$X$55)), $E132),""),"")), ""),""),"")</f>
        <v/>
      </c>
      <c r="AC132" s="364" t="str">
        <f>IF($X$3="N.B.C.",
IF(ISNUMBER($B$131),
IF($C132&lt;&gt;"",
IF('Cost Inputs'!$L$68="Y",
IF(ISNUMBER($Y$55), $E132+($E$89*(($E132/$E$89)+$Y$55)), $E132),
IF('Cost Inputs'!$L$68="N",
IF(AND(ISNUMBER('Cost Inputs'!$M$68), OR('Cost Inputs'!$M$68=1,'Cost Inputs'!$M$68=2,'Cost Inputs'!$M$68=3,'Cost Inputs'!$M$68=4,'Cost Inputs'!$M$68=6)),
IF(ISNUMBER($Y$55), $E132+($E$89*(($E132/$E$89)+$Y$55)), $E132),""),"")), ""),""),"")</f>
        <v/>
      </c>
    </row>
    <row r="133" spans="1:29" x14ac:dyDescent="0.25">
      <c r="A133" s="518"/>
      <c r="B133" s="504"/>
      <c r="C133" s="107" t="str">
        <f>IF(AND(ISNUMBER(B131), OR('Cost Inputs'!$H$69&lt;&gt;"", 'Cost Inputs'!$I$69&lt;&gt;"", 'Cost Inputs'!$J$69&lt;&gt;"")), _3_2_2, "")</f>
        <v/>
      </c>
      <c r="D133" s="93" t="str">
        <f>IF(AND($C133&lt;&gt;"", 'Cost Inputs'!$G$69&lt;&gt;""), 'Cost Inputs'!$G$69, "")</f>
        <v/>
      </c>
      <c r="E133" s="93" t="str">
        <f>IF(AND(C133&lt;&gt;"", 'Cost Inputs'!$H$69&lt;&gt;"", M$128&lt;&gt;"", M$128&gt;0), $E112-('Cost Inputs'!$H$69*M$128), IF(AND(C133&lt;&gt;"", 'Cost Inputs'!$H$69&lt;&gt;""), $E112, ""))</f>
        <v/>
      </c>
      <c r="F133" s="93" t="str">
        <f>IF(AND(C133&lt;&gt;"", 'Cost Inputs'!$I$69&lt;&gt;""), 'Cost Inputs'!$I$69, "")</f>
        <v/>
      </c>
      <c r="G133" s="93" t="str">
        <f t="shared" si="5"/>
        <v/>
      </c>
      <c r="H133" s="93" t="str">
        <f>IF(AND(C133&lt;&gt;"", 'Cost Inputs'!$J$69&lt;&gt;""), 'Cost Inputs'!$J$69, "")</f>
        <v/>
      </c>
      <c r="I133" s="93" t="str">
        <f t="shared" si="7"/>
        <v/>
      </c>
      <c r="J133" s="93" t="str">
        <f>IF(AND(C133&lt;&gt;"",('Cost Inputs'!$I$69+'Cost Inputs'!$J$69+'Cost Inputs'!$K$69)&gt;0), 'Cost Inputs'!$I$69+'Cost Inputs'!$J$69+'Cost Inputs'!$K$69, "")</f>
        <v/>
      </c>
      <c r="K133" s="93" t="str">
        <f>IF(AND(C133&lt;&gt;"", 'Cost Inputs'!$N$69&gt;0),'Cost Inputs'!$N$69,"")</f>
        <v/>
      </c>
      <c r="L133" s="93"/>
      <c r="M133" s="109"/>
      <c r="T133" s="372" t="str">
        <f>IF($O$3="N.B.C.",
IF(ISNUMBER($B$131),
IF($C133&lt;&gt;"",
IF('Cost Inputs'!$L$69="Y",
IF(ISNUMBER($P$55), $E133+($E$89*(($E133/$E$89)+$P$55)), $E133),
IF('Cost Inputs'!$L$69="N",
IF(AND(ISNUMBER('Cost Inputs'!$M$69), OR('Cost Inputs'!$M$69=1,'Cost Inputs'!$M$69=3)),
IF(ISNUMBER($P$55), $E133+($E$89*(($E133/$E$89)+$P$55)), $E133),""),"")), ""),""),"")</f>
        <v/>
      </c>
      <c r="U133" s="372" t="str">
        <f>IF($P$3="N.B.C.",
IF(ISNUMBER($B$131),
IF($C133&lt;&gt;"",
IF('Cost Inputs'!$L$69="Y",
IF(ISNUMBER($Q$55), $E133+($E$89*(($E133/$E$89)+$Q$55)), $E133),
IF('Cost Inputs'!$L$69="N",
IF(AND(ISNUMBER('Cost Inputs'!$M$69), OR('Cost Inputs'!$M$69=1,'Cost Inputs'!$M$69=2,'Cost Inputs'!$M$69=4)),
IF(ISNUMBER($Q$55), $E133+($E$89*(($E133/$E$89)+$Q$55)), $E133),""),"")), ""),""),"")</f>
        <v/>
      </c>
      <c r="V133" s="372" t="str">
        <f>IF($Q$3="N.B.C.",
IF(ISNUMBER($B$131),
IF($C133&lt;&gt;"",
IF('Cost Inputs'!$L$69="Y",
IF(ISNUMBER($R$55), $E133+($E$89*(($E133/$E$89)+$R$55)), $E133),
IF('Cost Inputs'!$L$69="N",
IF(AND(ISNUMBER('Cost Inputs'!$M$69), OR('Cost Inputs'!$M$69=1,'Cost Inputs'!$M$69=5)),
IF(ISNUMBER($R$55), $E133+($E$89*(($E133/$E$89)+$R$55)), $E133),""),"")), ""),""),"")</f>
        <v/>
      </c>
      <c r="W133" s="372" t="str">
        <f>IF($R$3="N.B.C.",
IF(ISNUMBER($B$131),
IF($C133&lt;&gt;"",
IF('Cost Inputs'!$L$69="Y",
IF(ISNUMBER($S$55), $E133+($E$89*(($E133/$E$89)+$S$55)), $E133),
IF('Cost Inputs'!$L$69="N",
IF(AND(ISNUMBER('Cost Inputs'!$M$69), OR('Cost Inputs'!$M$69=1,'Cost Inputs'!$M$69=2,'Cost Inputs'!$M$69=3,'Cost Inputs'!$M$69=6)),
IF(ISNUMBER($S$55), $E133+($E$89*(($E133/$E$89)+$S$55)), $E133),""),"")), ""),""),"")</f>
        <v/>
      </c>
      <c r="X133" s="372" t="str">
        <f>IF($S$3="N.B.C.",
IF(ISNUMBER($B$131),
IF($C133&lt;&gt;"",
IF('Cost Inputs'!$L$69="Y",
IF(ISNUMBER($T$55), $E133+($E$89*(($E133/$E$89)+$T$55)), $E133),
IF('Cost Inputs'!$L$69="N",
IF(AND(ISNUMBER('Cost Inputs'!$M$69), OR('Cost Inputs'!$M$69=1,'Cost Inputs'!$M$69=7)),
IF(ISNUMBER($T$55), $E133+($E$89*(($E133/$E$89)+$T$55)), $E133),""),"")), ""),""),"")</f>
        <v/>
      </c>
      <c r="Y133" s="372" t="str">
        <f>IF($T$3="N.B.C.",
IF(ISNUMBER($B$131),
IF($C133&lt;&gt;"",
IF('Cost Inputs'!$L$69="Y",
IF(ISNUMBER($U$55), $E133+($E$89*(($E133/$E$89)+$U$55)), $E133),
IF('Cost Inputs'!$L$69="N",
IF(AND(ISNUMBER('Cost Inputs'!$M$69), OR('Cost Inputs'!$M$69=1,'Cost Inputs'!$M$69=2,'Cost Inputs'!$M$69=4,'Cost Inputs'!$M$69=8)),
IF(ISNUMBER($U$55), $E133+($E$89*(($E133/$E$89)+$U$55)), $E133),""),"")), ""),""),"")</f>
        <v/>
      </c>
      <c r="Z133" s="372" t="str">
        <f>IF($U$3="N.B.C.",
IF(ISNUMBER($B$131),
IF($C133&lt;&gt;"",
IF('Cost Inputs'!$L$69="Y",
IF(ISNUMBER($V$55), $E133+($E$89*(($E133/$E$89)+$V$55)), $E133),
IF('Cost Inputs'!$L$69="N",
IF(AND(ISNUMBER('Cost Inputs'!$M$69), OR('Cost Inputs'!$M$69=1,'Cost Inputs'!$M$69=3,'Cost Inputs'!$M$69=9)),
IF(ISNUMBER($V$55), $E133+($E$89*(($E133/$E$89)+$V$55)), $E133),""),"")), ""),""),"")</f>
        <v/>
      </c>
      <c r="AA133" s="372" t="str">
        <f>IF($V$3="N.B.C.",
IF(ISNUMBER($B$131),
IF($C133&lt;&gt;"",
IF('Cost Inputs'!$L$69="Y",
IF(ISNUMBER($W$55), $E133+($E$89*(($E133/$E$89)+$W$55)), $E133),
IF('Cost Inputs'!$L$69="N",
IF(AND(ISNUMBER('Cost Inputs'!$M$69), OR('Cost Inputs'!$M$69=1,'Cost Inputs'!$M$69=2,'Cost Inputs'!$M$69=5)),
IF(ISNUMBER($W$55), $E133+($E$89*(($E133/$E$89)+$W$55)), $E133),""),"")), ""),""),"")</f>
        <v/>
      </c>
      <c r="AB133" s="372" t="str">
        <f>IF($W$3="N.B.C.",
IF(ISNUMBER($B$131),
IF($C133&lt;&gt;"",
IF('Cost Inputs'!$L$69="Y",
IF(ISNUMBER($X$55), $E133+($E$89*(($E133/$E$89)+$X$55)), $E133),
IF('Cost Inputs'!$L$69="N",
IF(AND(ISNUMBER('Cost Inputs'!$M$69), OR('Cost Inputs'!$M$69=1)),
IF(ISNUMBER($X$55), $E133+($E$89*(($E133/$E$89)+$X$55)), $E133),""),"")), ""),""),"")</f>
        <v/>
      </c>
      <c r="AC133" s="372" t="str">
        <f>IF($X$3="N.B.C.",
IF(ISNUMBER($B$131),
IF($C133&lt;&gt;"",
IF('Cost Inputs'!$L$69="Y",
IF(ISNUMBER($Y$55), $E133+($E$89*(($E133/$E$89)+$Y$55)), $E133),
IF('Cost Inputs'!$L$69="N",
IF(AND(ISNUMBER('Cost Inputs'!$M$69), OR('Cost Inputs'!$M$69=1,'Cost Inputs'!$M$69=2,'Cost Inputs'!$M$69=3,'Cost Inputs'!$M$69=4,'Cost Inputs'!$M$69=6)),
IF(ISNUMBER($Y$55), $E133+($E$89*(($E133/$E$89)+$Y$55)), $E133),""),"")), ""),""),"")</f>
        <v/>
      </c>
    </row>
    <row r="134" spans="1:29" x14ac:dyDescent="0.25">
      <c r="A134" s="518"/>
      <c r="B134" s="504"/>
      <c r="C134" s="104" t="str">
        <f>IF(AND( ISNUMBER(B131), OR('Cost Inputs'!$H$70&lt;&gt;"", 'Cost Inputs'!$I$70&lt;&gt;"", 'Cost Inputs'!$J$70&lt;&gt;"")), _3_2_3, "")</f>
        <v/>
      </c>
      <c r="D134" s="17" t="str">
        <f>IF(AND($C134&lt;&gt;"", 'Cost Inputs'!$G$70&lt;&gt;""), 'Cost Inputs'!$G$70, "")</f>
        <v/>
      </c>
      <c r="E134" s="17" t="str">
        <f>IF(AND(C134&lt;&gt;"", 'Cost Inputs'!$H$70&lt;&gt;"", M$128&lt;&gt;"", M$128&gt;0), $E113-('Cost Inputs'!$H$70*M$128), IF(AND(C134&lt;&gt;"", 'Cost Inputs'!$H$70&lt;&gt;""), $E113, ""))</f>
        <v/>
      </c>
      <c r="F134" s="17" t="str">
        <f>IF(AND(C134&lt;&gt;"", 'Cost Inputs'!$I$70&lt;&gt;""), 'Cost Inputs'!$I$70, "")</f>
        <v/>
      </c>
      <c r="G134" s="17" t="str">
        <f t="shared" si="5"/>
        <v/>
      </c>
      <c r="H134" s="17" t="str">
        <f>IF(AND(C134&lt;&gt;"", 'Cost Inputs'!$J$70&lt;&gt;""), 'Cost Inputs'!$J$70, "")</f>
        <v/>
      </c>
      <c r="I134" s="17" t="str">
        <f t="shared" si="7"/>
        <v/>
      </c>
      <c r="J134" s="17" t="str">
        <f>IF(AND(C134&lt;&gt;"",('Cost Inputs'!$I$70+'Cost Inputs'!$J$70+'Cost Inputs'!$K$70)&gt;0), 'Cost Inputs'!$I$70+'Cost Inputs'!$J$70+'Cost Inputs'!$K$70, "")</f>
        <v/>
      </c>
      <c r="K134" s="17" t="str">
        <f>IF(AND(C134&lt;&gt;"", 'Cost Inputs'!$N$70&gt;0),'Cost Inputs'!$N$70,"")</f>
        <v/>
      </c>
      <c r="M134" s="106"/>
      <c r="T134" s="364" t="str">
        <f>IF($O$3="N.B.C.",
IF(ISNUMBER($B$131),
IF($C134&lt;&gt;"",
IF('Cost Inputs'!$L$70="Y",
IF(ISNUMBER($P$55), $E134+($E$89*(($E134/$E$89)+$P$55)), $E134),
IF('Cost Inputs'!$L$70="N",
IF(AND(ISNUMBER('Cost Inputs'!$M$70), OR('Cost Inputs'!$M$70=1,'Cost Inputs'!$M$70=3)),
IF(ISNUMBER($P$55), $E134+($E$89*(($E134/$E$89)+$P$55)), $E134),""),"")), ""),""),"")</f>
        <v/>
      </c>
      <c r="U134" s="364" t="str">
        <f>IF($P$3="N.B.C.",
IF(ISNUMBER($B$131),
IF($C134&lt;&gt;"",
IF('Cost Inputs'!$L$70="Y",
IF(ISNUMBER($Q$55), $E134+($E$89*(($E134/$E$89)+$Q$55)), $E134),
IF('Cost Inputs'!$L$70="N",
IF(AND(ISNUMBER('Cost Inputs'!$M$70), OR('Cost Inputs'!$M$70=1,'Cost Inputs'!$M$70=2,'Cost Inputs'!$M$70=4)),
IF(ISNUMBER($Q$55), $E134+($E$89*(($E134/$E$89)+$Q$55)), $E134),""),"")), ""),""),"")</f>
        <v/>
      </c>
      <c r="V134" s="364" t="str">
        <f>IF($Q$3="N.B.C.",
IF(ISNUMBER($B$131),
IF($C134&lt;&gt;"",
IF('Cost Inputs'!$L$70="Y",
IF(ISNUMBER($R$55), $E134+($E$89*(($E134/$E$89)+$R$55)), $E134),
IF('Cost Inputs'!$L$70="N",
IF(AND(ISNUMBER('Cost Inputs'!$M$70), OR('Cost Inputs'!$M$70=1,'Cost Inputs'!$M$70=5)),
IF(ISNUMBER($R$55), $E134+($E$89*(($E134/$E$89)+$R$55)), $E134),""),"")), ""),""),"")</f>
        <v/>
      </c>
      <c r="W134" s="364" t="str">
        <f>IF($R$3="N.B.C.",
IF(ISNUMBER($B$131),
IF($C134&lt;&gt;"",
IF('Cost Inputs'!$L$70="Y",
IF(ISNUMBER($S$55), $E134+($E$89*(($E134/$E$89)+$S$55)), $E134),
IF('Cost Inputs'!$L$70="N",
IF(AND(ISNUMBER('Cost Inputs'!$M$70), OR('Cost Inputs'!$M$70=1,'Cost Inputs'!$M$70=2,'Cost Inputs'!$M$70=3,'Cost Inputs'!$M$70=6)),
IF(ISNUMBER($S$55), $E134+($E$89*(($E134/$E$89)+$S$55)), $E134),""),"")), ""),""),"")</f>
        <v/>
      </c>
      <c r="X134" s="364" t="str">
        <f>IF($S$3="N.B.C.",
IF(ISNUMBER($B$131),
IF($C134&lt;&gt;"",
IF('Cost Inputs'!$L$70="Y",
IF(ISNUMBER($T$55), $E134+($E$89*(($E134/$E$89)+$T$55)), $E134),
IF('Cost Inputs'!$L$70="N",
IF(AND(ISNUMBER('Cost Inputs'!$M$70), OR('Cost Inputs'!$M$70=1,'Cost Inputs'!$M$70=7)),
IF(ISNUMBER($T$55), $E134+($E$89*(($E134/$E$89)+$T$55)), $E134),""),"")), ""),""),"")</f>
        <v/>
      </c>
      <c r="Y134" s="364" t="str">
        <f>IF($T$3="N.B.C.",
IF(ISNUMBER($B$131),
IF($C134&lt;&gt;"",
IF('Cost Inputs'!$L$70="Y",
IF(ISNUMBER($U$55), $E134+($E$89*(($E134/$E$89)+$U$55)), $E134),
IF('Cost Inputs'!$L$70="N",
IF(AND(ISNUMBER('Cost Inputs'!$M$70), OR('Cost Inputs'!$M$70=1,'Cost Inputs'!$M$70=2,'Cost Inputs'!$M$70=4,'Cost Inputs'!$M$70=8)),
IF(ISNUMBER($U$55), $E134+($E$89*(($E134/$E$89)+$U$55)), $E134),""),"")), ""),""),"")</f>
        <v/>
      </c>
      <c r="Z134" s="364" t="str">
        <f>IF($U$3="N.B.C.",
IF(ISNUMBER($B$131),
IF($C134&lt;&gt;"",
IF('Cost Inputs'!$L$70="Y",
IF(ISNUMBER($V$55), $E134+($E$89*(($E134/$E$89)+$V$55)), $E134),
IF('Cost Inputs'!$L$70="N",
IF(AND(ISNUMBER('Cost Inputs'!$M$70), OR('Cost Inputs'!$M$70=1,'Cost Inputs'!$M$70=3,'Cost Inputs'!$M$70=9)),
IF(ISNUMBER($V$55), $E134+($E$89*(($E134/$E$89)+$V$55)), $E134),""),"")), ""),""),"")</f>
        <v/>
      </c>
      <c r="AA134" s="364" t="str">
        <f>IF($V$3="N.B.C.",
IF(ISNUMBER($B$131),
IF($C134&lt;&gt;"",
IF('Cost Inputs'!$L$70="Y",
IF(ISNUMBER($W$55), $E134+($E$89*(($E134/$E$89)+$W$55)), $E134),
IF('Cost Inputs'!$L$70="N",
IF(AND(ISNUMBER('Cost Inputs'!$M$70), OR('Cost Inputs'!$M$70=1,'Cost Inputs'!$M$70=2,'Cost Inputs'!$M$70=5)),
IF(ISNUMBER($W$55), $E134+($E$89*(($E134/$E$89)+$W$55)), $E134),""),"")), ""),""),"")</f>
        <v/>
      </c>
      <c r="AB134" s="364" t="str">
        <f>IF($W$3="N.B.C.",
IF(ISNUMBER($B$131),
IF($C134&lt;&gt;"",
IF('Cost Inputs'!$L$70="Y",
IF(ISNUMBER($X$55), $E134+($E$89*(($E134/$E$89)+$X$55)), $E134),
IF('Cost Inputs'!$L$70="N",
IF(AND(ISNUMBER('Cost Inputs'!$M$70), OR('Cost Inputs'!$M$70=1)),
IF(ISNUMBER($X$55), $E134+($E$89*(($E134/$E$89)+$X$55)), $E134),""),"")), ""),""),"")</f>
        <v/>
      </c>
      <c r="AC134" s="364" t="str">
        <f>IF($X$3="N.B.C.",
IF(ISNUMBER($B$131),
IF($C134&lt;&gt;"",
IF('Cost Inputs'!$L$70="Y",
IF(ISNUMBER($Y$55), $E134+($E$89*(($E134/$E$89)+$Y$55)), $E134),
IF('Cost Inputs'!$L$70="N",
IF(AND(ISNUMBER('Cost Inputs'!$M$70), OR('Cost Inputs'!$M$70=1,'Cost Inputs'!$M$70=2,'Cost Inputs'!$M$70=3,'Cost Inputs'!$M$70=4,'Cost Inputs'!$M$70=6)),
IF(ISNUMBER($Y$55), $E134+($E$89*(($E134/$E$89)+$Y$55)), $E134),""),"")), ""),""),"")</f>
        <v/>
      </c>
    </row>
    <row r="135" spans="1:29" x14ac:dyDescent="0.25">
      <c r="A135" s="518"/>
      <c r="B135" s="504"/>
      <c r="C135" s="107" t="str">
        <f>IF(AND( ISNUMBER(B131), OR('Cost Inputs'!$H$71&lt;&gt;"", 'Cost Inputs'!$I$71&lt;&gt;"", 'Cost Inputs'!$J$71&lt;&gt;"")), _3_2_4, "")</f>
        <v/>
      </c>
      <c r="D135" s="93" t="str">
        <f>IF(AND($C135&lt;&gt;"", 'Cost Inputs'!$G$71&lt;&gt;""), 'Cost Inputs'!$G$71, "")</f>
        <v/>
      </c>
      <c r="E135" s="93" t="str">
        <f>IF(AND(C135&lt;&gt;"", 'Cost Inputs'!$H$71&lt;&gt;"", M$128&lt;&gt;"", M$128&gt;0), $E114-('Cost Inputs'!$H$71*M$128), IF(AND(C135&lt;&gt;"", 'Cost Inputs'!$H$71&lt;&gt;""), $E114, ""))</f>
        <v/>
      </c>
      <c r="F135" s="93" t="str">
        <f>IF(AND(C135&lt;&gt;"", 'Cost Inputs'!$I$71&lt;&gt;""), 'Cost Inputs'!$I$71, "")</f>
        <v/>
      </c>
      <c r="G135" s="93" t="str">
        <f t="shared" si="5"/>
        <v/>
      </c>
      <c r="H135" s="93" t="str">
        <f>IF(AND(C135&lt;&gt;"", 'Cost Inputs'!$J$71&lt;&gt;""), 'Cost Inputs'!$J$71, "")</f>
        <v/>
      </c>
      <c r="I135" s="93" t="str">
        <f t="shared" si="7"/>
        <v/>
      </c>
      <c r="J135" s="93" t="str">
        <f>IF(AND(C135&lt;&gt;"",('Cost Inputs'!$I$71+'Cost Inputs'!$J$71+'Cost Inputs'!$K$71)&gt;0), 'Cost Inputs'!$I$71+'Cost Inputs'!$J$71+'Cost Inputs'!$K$71, "")</f>
        <v/>
      </c>
      <c r="K135" s="93" t="str">
        <f>IF(AND(C135&lt;&gt;"", 'Cost Inputs'!$N$71&gt;0),'Cost Inputs'!$N$71,"")</f>
        <v/>
      </c>
      <c r="L135" s="93"/>
      <c r="M135" s="109"/>
      <c r="T135" s="372" t="str">
        <f>IF($O$3="N.B.C.",
IF(ISNUMBER($B$131),
IF($C135&lt;&gt;"",
IF('Cost Inputs'!$L$71="Y",
IF(ISNUMBER($P$55), $E135+($E$89*(($E135/$E$89)+$P$55)), $E135),
IF('Cost Inputs'!$L$71="N",
IF(AND(ISNUMBER('Cost Inputs'!$M$71), OR('Cost Inputs'!$M$71=1,'Cost Inputs'!$M$71=3)),
IF(ISNUMBER($P$55), $E135+($E$89*(($E135/$E$89)+$P$55)), $E135),""),"")), ""),""),"")</f>
        <v/>
      </c>
      <c r="U135" s="372" t="str">
        <f>IF($P$3="N.B.C.",
IF(ISNUMBER($B$131),
IF($C135&lt;&gt;"",
IF('Cost Inputs'!$L$71="Y",
IF(ISNUMBER($Q$55), $E135+($E$89*(($E135/$E$89)+$Q$55)), $E135),
IF('Cost Inputs'!$L$71="N",
IF(AND(ISNUMBER('Cost Inputs'!$M$71), OR('Cost Inputs'!$M$71=1,'Cost Inputs'!$M$71=2,'Cost Inputs'!$M$71=4)),
IF(ISNUMBER($Q$55), $E135+($E$89*(($E135/$E$89)+$Q$55)), $E135),""),"")), ""),""),"")</f>
        <v/>
      </c>
      <c r="V135" s="372" t="str">
        <f>IF($Q$3="N.B.C.",
IF(ISNUMBER($B$131),
IF($C135&lt;&gt;"",
IF('Cost Inputs'!$L$71="Y",
IF(ISNUMBER($R$55), $E135+($E$89*(($E135/$E$89)+$R$55)), $E135),
IF('Cost Inputs'!$L$71="N",
IF(AND(ISNUMBER('Cost Inputs'!$M$71), OR('Cost Inputs'!$M$71=1,'Cost Inputs'!$M$71=5)),
IF(ISNUMBER($R$55), $E135+($E$89*(($E135/$E$89)+$R$55)), $E135),""),"")), ""),""),"")</f>
        <v/>
      </c>
      <c r="W135" s="372" t="str">
        <f>IF($R$3="N.B.C.",
IF(ISNUMBER($B$131),
IF($C135&lt;&gt;"",
IF('Cost Inputs'!$L$71="Y",
IF(ISNUMBER($S$55), $E135+($E$89*(($E135/$E$89)+$S$55)), $E135),
IF('Cost Inputs'!$L$71="N",
IF(AND(ISNUMBER('Cost Inputs'!$M$71), OR('Cost Inputs'!$M$71=1,'Cost Inputs'!$M$71=2,'Cost Inputs'!$M$71=3,'Cost Inputs'!$M$71=6)),
IF(ISNUMBER($S$55), $E135+($E$89*(($E135/$E$89)+$S$55)), $E135),""),"")), ""),""),"")</f>
        <v/>
      </c>
      <c r="X135" s="372" t="str">
        <f>IF($S$3="N.B.C.",
IF(ISNUMBER($B$131),
IF($C135&lt;&gt;"",
IF('Cost Inputs'!$L$71="Y",
IF(ISNUMBER($T$55), $E135+($E$89*(($E135/$E$89)+$T$55)), $E135),
IF('Cost Inputs'!$L$71="N",
IF(AND(ISNUMBER('Cost Inputs'!$M$71), OR('Cost Inputs'!$M$71=1,'Cost Inputs'!$M$71=7)),
IF(ISNUMBER($T$55), $E135+($E$89*(($E135/$E$89)+$T$55)), $E135),""),"")), ""),""),"")</f>
        <v/>
      </c>
      <c r="Y135" s="372" t="str">
        <f>IF($T$3="N.B.C.",
IF(ISNUMBER($B$131),
IF($C135&lt;&gt;"",
IF('Cost Inputs'!$L$71="Y",
IF(ISNUMBER($U$55), $E135+($E$89*(($E135/$E$89)+$U$55)), $E135),
IF('Cost Inputs'!$L$71="N",
IF(AND(ISNUMBER('Cost Inputs'!$M$71), OR('Cost Inputs'!$M$71=1,'Cost Inputs'!$M$71=2,'Cost Inputs'!$M$71=4,'Cost Inputs'!$M$71=8)),
IF(ISNUMBER($U$55), $E135+($E$89*(($E135/$E$89)+$U$55)), $E135),""),"")), ""),""),"")</f>
        <v/>
      </c>
      <c r="Z135" s="372" t="str">
        <f>IF($U$3="N.B.C.",
IF(ISNUMBER($B$131),
IF($C135&lt;&gt;"",
IF('Cost Inputs'!$L$71="Y",
IF(ISNUMBER($V$55), $E135+($E$89*(($E135/$E$89)+$V$55)), $E135),
IF('Cost Inputs'!$L$71="N",
IF(AND(ISNUMBER('Cost Inputs'!$M$71), OR('Cost Inputs'!$M$71=1,'Cost Inputs'!$M$71=3,'Cost Inputs'!$M$71=9)),
IF(ISNUMBER($V$55), $E135+($E$89*(($E135/$E$89)+$V$55)), $E135),""),"")), ""),""),"")</f>
        <v/>
      </c>
      <c r="AA135" s="372" t="str">
        <f>IF($V$3="N.B.C.",
IF(ISNUMBER($B$131),
IF($C135&lt;&gt;"",
IF('Cost Inputs'!$L$71="Y",
IF(ISNUMBER($W$55), $E135+($E$89*(($E135/$E$89)+$W$55)), $E135),
IF('Cost Inputs'!$L$71="N",
IF(AND(ISNUMBER('Cost Inputs'!$M$71), OR('Cost Inputs'!$M$71=1,'Cost Inputs'!$M$71=2,'Cost Inputs'!$M$71=5)),
IF(ISNUMBER($W$55), $E135+($E$89*(($E135/$E$89)+$W$55)), $E135),""),"")), ""),""),"")</f>
        <v/>
      </c>
      <c r="AB135" s="372" t="str">
        <f>IF($W$3="N.B.C.",
IF(ISNUMBER($B$131),
IF($C135&lt;&gt;"",
IF('Cost Inputs'!$L$71="Y",
IF(ISNUMBER($X$55), $E135+($E$89*(($E135/$E$89)+$X$55)), $E135),
IF('Cost Inputs'!$L$71="N",
IF(AND(ISNUMBER('Cost Inputs'!$M$71), OR('Cost Inputs'!$M$71=1)),
IF(ISNUMBER($X$55), $E135+($E$89*(($E135/$E$89)+$X$55)), $E135),""),"")), ""),""),"")</f>
        <v/>
      </c>
      <c r="AC135" s="372" t="str">
        <f>IF($X$3="N.B.C.",
IF(ISNUMBER($B$131),
IF($C135&lt;&gt;"",
IF('Cost Inputs'!$L$71="Y",
IF(ISNUMBER($Y$55), $E135+($E$89*(($E135/$E$89)+$Y$55)), $E135),
IF('Cost Inputs'!$L$71="N",
IF(AND(ISNUMBER('Cost Inputs'!$M$71), OR('Cost Inputs'!$M$71=1,'Cost Inputs'!$M$71=2,'Cost Inputs'!$M$71=3,'Cost Inputs'!$M$71=4,'Cost Inputs'!$M$71=6)),
IF(ISNUMBER($Y$55), $E135+($E$89*(($E135/$E$89)+$Y$55)), $E135),""),"")), ""),""),"")</f>
        <v/>
      </c>
    </row>
    <row r="136" spans="1:29" x14ac:dyDescent="0.25">
      <c r="A136" s="518"/>
      <c r="B136" s="504"/>
      <c r="C136" s="110" t="str">
        <f>IF(AND(B131&lt;&gt;"", ISNUMBER(Stage1EvaluationBegins)), IF((INDEX(ProgramYearStage1,MATCH(Stage1EvaluationBegins,Years_in_Stage1,0)))=B131, _3_3_0, IF(AND(B131&lt;&gt;"", C115&lt;&gt;""), _3_3_0, IF(AND(B131&lt;&gt;"", OR(Stage1EvaluationBegins=0, Stage1EvaluationBegins="")),"", ""))),"")</f>
        <v/>
      </c>
      <c r="D136" s="94" t="str">
        <f>IF(AND(B131&lt;&gt;"", OR('Cost Inputs'!$H$72&lt;&gt;"", 'Cost Inputs'!$I$72&lt;&gt;"", 'Cost Inputs'!$J$72&lt;&gt;"")), 'Cost Inputs'!$G$72,"")</f>
        <v/>
      </c>
      <c r="E136" s="94" t="str">
        <f>IF(AND(C136&lt;&gt;"", 'Cost Inputs'!$H$72&lt;&gt;""), 'Cost Inputs'!$H$72, "")</f>
        <v/>
      </c>
      <c r="F136" s="94" t="str">
        <f>IF(AND(C136&lt;&gt;"", 'Cost Inputs'!$I$72&lt;&gt;""), 'Cost Inputs'!$I$72, "")</f>
        <v/>
      </c>
      <c r="G136" s="94" t="str">
        <f t="shared" ref="G136:G202" si="8">IF(AND($E136&lt;&gt;"", $E136&gt;0, F136&lt;&gt;""), F136/$E136, "")</f>
        <v/>
      </c>
      <c r="H136" s="94" t="str">
        <f>IF(AND(C136&lt;&gt;"", 'Cost Inputs'!$J$72&lt;&gt;""), 'Cost Inputs'!$J$72, "")</f>
        <v/>
      </c>
      <c r="I136" s="94" t="str">
        <f>IF(AND($E136&lt;&gt;"", $H136&lt;&gt;""), $H136/$E136, "")</f>
        <v/>
      </c>
      <c r="J136" s="94" t="str">
        <f>IF(AND(C136&lt;&gt;"",('Cost Inputs'!$I$72+'Cost Inputs'!$J$72+'Cost Inputs'!$K$72)&gt;0), 'Cost Inputs'!$I$72+'Cost Inputs'!$J$72+'Cost Inputs'!$K$72, "")</f>
        <v/>
      </c>
      <c r="K136" s="94" t="str">
        <f>IF(AND(C136&lt;&gt;"", 'Cost Inputs'!$N$72&gt;0),'Cost Inputs'!$N$72,"")</f>
        <v/>
      </c>
      <c r="L136" s="130" t="str">
        <f>IF(AND($B131&lt;&gt;"", ISNUMBER(Stage1EvaluationBegins)), IF((INDEX(ProgramYearStage1,MATCH(Stage1EvaluationBegins,Years_in_Stage1,0)))=$B131, INDEX(Stage1Evaluation,MATCH(Stage1EvaluationBegins,Years_in_Stage1,0)), IF(AND($B131&lt;&gt;"", $C115&lt;&gt;""), INDEX(Stage1Evaluation,MATCH($B131,ProgramYearStage1,0)), IF(AND(B131&lt;&gt;"", OR(Stage1EvaluationBegins=0, Stage1EvaluationBegins="")),"", ""))),"")</f>
        <v/>
      </c>
      <c r="M136" s="103"/>
      <c r="T136" s="373" t="str">
        <f>IF($O$3="N.B.C.",
IF(ISNUMBER($B$131),
IF($C136&lt;&gt;"",
IF('Cost Inputs'!$L$72="Y",
IF(AND(ISNUMBER(P$56), P$56&gt;$E$60), $E136+($E$60*(($E136/$E$60)+$P$55)), $E136),
IF('Cost Inputs'!$L$72="N",
IF(AND(ISNUMBER('Cost Inputs'!$M$72), OR('Cost Inputs'!$M$72=1,'Cost Inputs'!$M$72=3)),
IF(AND(ISNUMBER(P$56), P$56&gt;$E$60), $E136+($E$60*(($E136/$E$60)+$P$55)), $E136), ""),"")), ""), ""), "")</f>
        <v/>
      </c>
      <c r="U136" s="373" t="str">
        <f>IF($P$3="N.B.C.",
IF(ISNUMBER($B$131),
IF($C136&lt;&gt;"",
IF('Cost Inputs'!$L$72="Y",
IF(AND(ISNUMBER(Q$56), Q$56&gt;$E$60), $E136+($E$60*(($E136/$E$60)+$Q$55)), $E136),
IF('Cost Inputs'!$L$72="N",
IF(AND(ISNUMBER('Cost Inputs'!$M$72), OR('Cost Inputs'!$M$72=1,'Cost Inputs'!$M$72=2, 'Cost Inputs'!$M$72=4)),
IF(AND(ISNUMBER(Q$56), Q$56&gt;$E$60), $E136+($E$60*(($E136/$E$60)+$Q$55)), $E136), ""),"")), ""), ""), "")</f>
        <v/>
      </c>
      <c r="V136" s="373" t="str">
        <f>IF($Q$3="N.B.C.",
IF(ISNUMBER($B$131),
IF($C136&lt;&gt;"",
IF('Cost Inputs'!$L$72="Y",
IF(AND(ISNUMBER(R$56), R$56&gt;$E$60), $E136+($E$60*(($E136/$E$60)+$R$55)), $E136),
IF('Cost Inputs'!$L$72="N",
IF(AND(ISNUMBER('Cost Inputs'!$M$72), OR('Cost Inputs'!$M$72=1,'Cost Inputs'!$M$72=5)),
IF(AND(ISNUMBER(R$56), R$56&gt;$E$60), $E136+($E$60*(($E136/$E$60)+$R$55)), $E136), ""),"")), ""), ""), "")</f>
        <v/>
      </c>
      <c r="W136" s="373" t="str">
        <f>IF($R$3="N.B.C.",
IF(ISNUMBER($B$131),
IF($C136&lt;&gt;"",
IF('Cost Inputs'!$L$72="Y",
IF(AND(ISNUMBER(S$56), S$56&gt;$E$60), $E136+($E$60*(($E136/$E$60)+$S$55)), $E136),
IF('Cost Inputs'!$L$72="N",
IF(AND(ISNUMBER('Cost Inputs'!$M$72), OR('Cost Inputs'!$M$72=1,'Cost Inputs'!$M$72=2, 'Cost Inputs'!$M$72=3,'Cost Inputs'!$M$72=6)),
IF(AND(ISNUMBER(S$56), S$56&gt;$E$60), $E136+($E$60*(($E136/$E$60)+$S$55)), $E136), ""),"")), ""), ""), "")</f>
        <v/>
      </c>
      <c r="X136" s="373" t="str">
        <f>IF($S$3="N.B.C.",
IF(ISNUMBER($B$131),
IF($C136&lt;&gt;"",
IF('Cost Inputs'!$L$72="Y",
IF(AND(ISNUMBER(T$56), T$56&gt;$E$60), $E136+($E$60*(($E136/$E$60)+$T$55)), $E136),
IF('Cost Inputs'!$L$72="N",
IF(AND(ISNUMBER('Cost Inputs'!$M$72), OR('Cost Inputs'!$M$72=1,'Cost Inputs'!$M$72=7)),
IF(AND(ISNUMBER(T$56), T$56&gt;$E$60), $E136+($E$60*(($E136/$E$60)+$T$55)), $E136), ""),"")), ""), ""), "")</f>
        <v/>
      </c>
      <c r="Y136" s="373" t="str">
        <f>IF($T$3="N.B.C.",
IF(ISNUMBER($B$131),
IF($C136&lt;&gt;"",
IF('Cost Inputs'!$L$72="Y",
IF(AND(ISNUMBER(U$56), U$56&gt;$E$60), $E136+($E$60*(($E136/$E$60)+$U$55)), $E136),
IF('Cost Inputs'!$L$72="N",
IF(AND(ISNUMBER('Cost Inputs'!$M$72), OR('Cost Inputs'!$M$72=1,'Cost Inputs'!$M$72=2,'Cost Inputs'!$M$72=4,'Cost Inputs'!$M$72=8)),
IF(AND(ISNUMBER(U$56), U$56&gt;$E$60), $E136+($E$60*(($E136/$E$60)+$U$55)), $E136), ""),"")), ""), ""), "")</f>
        <v/>
      </c>
      <c r="Z136" s="373" t="str">
        <f>IF($U$3="N.B.C.",
IF(ISNUMBER($B$131),
IF($C136&lt;&gt;"",
IF('Cost Inputs'!$L$72="Y",
IF(AND(ISNUMBER(V$56), V$56&gt;$E$60), $E136+($E$60*(($E136/$E$60)+$V$55)), $E136),
IF('Cost Inputs'!$L$72="N",
IF(AND(ISNUMBER('Cost Inputs'!$M$72), OR('Cost Inputs'!$M$72=1,'Cost Inputs'!$M$72=3, 'Cost Inputs'!$M$72=9)),
IF(AND(ISNUMBER(V$56), V$56&gt;$E$60), $E136+($E$60*(($E136/$E$60)+$V$55)), $E136), ""),"")), ""), ""), "")</f>
        <v/>
      </c>
      <c r="AA136" s="373" t="str">
        <f>IF($V$3="N.B.C.",
IF(ISNUMBER($B$131),
IF($C136&lt;&gt;"",
IF('Cost Inputs'!$L$72="Y",
IF(AND(ISNUMBER(W$56), W$56&gt;$E$60), $E136+($E$60*(($E136/$E$60)+$W$55)), $E136),
IF('Cost Inputs'!$L$72="N",
IF(AND(ISNUMBER('Cost Inputs'!$M$72), OR('Cost Inputs'!$M$72=1,'Cost Inputs'!$M$72=2, 'Cost Inputs'!$M$72=5)),
IF(AND(ISNUMBER(W$56), W$56&gt;$E$60), $E136+($E$60*(($E136/$E$60)+$W$55)), $E136), ""),"")), ""), ""), "")</f>
        <v/>
      </c>
      <c r="AB136" s="373" t="str">
        <f>IF($W$3="N.B.C.",
IF(ISNUMBER($B$131),
IF($C136&lt;&gt;"",
IF('Cost Inputs'!$L$72="Y",
IF(AND(ISNUMBER(X$56), X$56&gt;$E$60), $E136+($E$60*(($E136/$E$60)+$X$55)), $E136),
IF('Cost Inputs'!$L$72="N",
IF(AND(ISNUMBER('Cost Inputs'!$M$72), OR('Cost Inputs'!$M$72=1)),
IF(AND(ISNUMBER(X$56), X$56&gt;$E$60), $E136+($E$60*(($E136/$E$60)+$X$55)), $E136), ""),"")), ""), ""), "")</f>
        <v/>
      </c>
      <c r="AC136" s="373" t="str">
        <f>IF($X$3="N.B.C.",
IF(ISNUMBER($B$131),
IF($C136&lt;&gt;"",
IF('Cost Inputs'!$L$72="Y",
IF(AND(ISNUMBER(Y$56), Y$56&gt;$E$60), $E136+($E$60*(($E136/$E$60)+$Y$55)), $E136),
IF('Cost Inputs'!$L$72="N",
IF(AND(ISNUMBER('Cost Inputs'!$M$72), OR('Cost Inputs'!$M$72=1,'Cost Inputs'!$M$72=2,'Cost Inputs'!$M$72=3,'Cost Inputs'!$M$72=4,'Cost Inputs'!$M$72=6)),
IF(AND(ISNUMBER(Y$56), Y$56&gt;$E$60), $E136+($E$60*(($E136/$E$60)+$Y$55)), $E136), ""),"")), ""), ""), "")</f>
        <v/>
      </c>
    </row>
    <row r="137" spans="1:29" x14ac:dyDescent="0.25">
      <c r="A137" s="518"/>
      <c r="B137" s="504"/>
      <c r="C137" s="104" t="str">
        <f>IF(AND(ISNUMBER(B131), C136&lt;&gt;"", OR('Cost Inputs'!$H$73&lt;&gt;"", 'Cost Inputs'!$I$73&lt;&gt;"", 'Cost Inputs'!$J$73&lt;&gt;"")), _3_3_1, "")</f>
        <v/>
      </c>
      <c r="D137" s="17" t="str">
        <f>IF(AND(C137&lt;&gt;"", 'Cost Inputs'!$G$73&lt;&gt;""), 'Cost Inputs'!$G$73, "")</f>
        <v/>
      </c>
      <c r="E137" s="17" t="str">
        <f>IF(AND(C137&lt;&gt;"", 'Cost Inputs'!$H$73&lt;&gt;""), 'Cost Inputs'!$H$73, "")</f>
        <v/>
      </c>
      <c r="F137" s="17" t="str">
        <f>IF(AND(C137&lt;&gt;"", 'Cost Inputs'!$I$73&lt;&gt;""), 'Cost Inputs'!$I$73, "")</f>
        <v/>
      </c>
      <c r="G137" s="17" t="str">
        <f t="shared" si="8"/>
        <v/>
      </c>
      <c r="H137" s="17" t="str">
        <f>IF(AND(C137&lt;&gt;"", 'Cost Inputs'!$J$73&lt;&gt;""), 'Cost Inputs'!$J$73, "")</f>
        <v/>
      </c>
      <c r="I137" s="17" t="str">
        <f t="shared" si="7"/>
        <v/>
      </c>
      <c r="J137" s="17" t="str">
        <f>IF(AND(C137&lt;&gt;"",('Cost Inputs'!$I$73+'Cost Inputs'!$J$73+'Cost Inputs'!$K$73)&gt;0), 'Cost Inputs'!$I$73+'Cost Inputs'!$J$73+'Cost Inputs'!$K$73, "")</f>
        <v/>
      </c>
      <c r="K137" s="17" t="str">
        <f>IF(AND(C137&lt;&gt;"", 'Cost Inputs'!$N$73&gt;0),'Cost Inputs'!$N$73,"")</f>
        <v/>
      </c>
      <c r="M137" s="106"/>
      <c r="T137" s="364" t="str">
        <f>IF($O$3="N.B.C.",
IF(ISNUMBER($B$131),
IF($C137&lt;&gt;"",
IF('Cost Inputs'!$L$73="Y",
IF(ISNUMBER($P$55), $E137+($E$73*(($E137/$E$73)+$P$55)), $E137),
IF('Cost Inputs'!$L$73="N",
IF(AND(ISNUMBER('Cost Inputs'!$M$73), OR('Cost Inputs'!$M$73=1,'Cost Inputs'!$M$73=3)),
IF(ISNUMBER($P$55), $E137+($E$73*(($E137/$E$73)+$P$55)), $E137),""),"")), ""),""),"")</f>
        <v/>
      </c>
      <c r="U137" s="364" t="str">
        <f>IF($P$3="N.B.C.",
IF(ISNUMBER($B$131),
IF($C137&lt;&gt;"",
IF('Cost Inputs'!$L$73="Y",
IF(ISNUMBER($Q$55), $E137+($E$73*(($E137/$E$73)+$Q$55)), $E137),
IF('Cost Inputs'!$L$73="N",
IF(AND(ISNUMBER('Cost Inputs'!$M$73), OR('Cost Inputs'!$M$73=1,'Cost Inputs'!$M$73=2,'Cost Inputs'!$M$73=4)),
IF(ISNUMBER($Q$55), $E137+($E$73*(($E137/$E$73)+$Q$55)), $E137),""),"")), ""),""),"")</f>
        <v/>
      </c>
      <c r="V137" s="364" t="str">
        <f>IF($Q$3="N.B.C.",
IF(ISNUMBER($B$131),
IF($C137&lt;&gt;"",
IF('Cost Inputs'!$L$73="Y",
IF(ISNUMBER($R$55), $E137+($E$73*(($E137/$E$73)+$R$55)), $E137),
IF('Cost Inputs'!$L$73="N",
IF(AND(ISNUMBER('Cost Inputs'!$M$73), OR('Cost Inputs'!$M$73=1,'Cost Inputs'!$M$73=5)),
IF(ISNUMBER($R$55), $E137+($E$73*(($E137/$E$73)+$R$55)), $E137),""),"")), ""),""),"")</f>
        <v/>
      </c>
      <c r="W137" s="364" t="str">
        <f>IF($R$3="N.B.C.",
IF(ISNUMBER($B$131),
IF($C137&lt;&gt;"",
IF('Cost Inputs'!$L$73="Y",
IF(ISNUMBER($S$55), $E137+($E$73*(($E137/$E$73)+$S$55)), $E137),
IF('Cost Inputs'!$L$73="N",
IF(AND(ISNUMBER('Cost Inputs'!$M$73), OR('Cost Inputs'!$M$73=1,'Cost Inputs'!$M$73=2,'Cost Inputs'!$M$73=3,'Cost Inputs'!$M$73=6)),
IF(ISNUMBER($S$55), $E137+($E$73*(($E137/$E$73)+$S$55)), $E137),""),"")), ""),""),"")</f>
        <v/>
      </c>
      <c r="X137" s="364" t="str">
        <f>IF($S$3="N.B.C.",
IF(ISNUMBER($B$131),
IF($C137&lt;&gt;"",
IF('Cost Inputs'!$L$73="Y",
IF(ISNUMBER($T$55), $E137+($E$73*(($E137/$E$73)+$T$55)), $E137),
IF('Cost Inputs'!$L$73="N",
IF(AND(ISNUMBER('Cost Inputs'!$M$73), OR('Cost Inputs'!$M$73=1,'Cost Inputs'!$M$73=7)),
IF(ISNUMBER($T$55), $E137+($E$73*(($E137/$E$73)+$T$55)), $E137),""),"")), ""),""),"")</f>
        <v/>
      </c>
      <c r="Y137" s="364" t="str">
        <f>IF($T$3="N.B.C.",
IF(ISNUMBER($B$131),
IF($C137&lt;&gt;"",
IF('Cost Inputs'!$L$73="Y",
IF(ISNUMBER($U$55), $E137+($E$73*(($E137/$E$73)+$U$55)), $E137),
IF('Cost Inputs'!$L$73="N",
IF(AND(ISNUMBER('Cost Inputs'!$M$73), OR('Cost Inputs'!$M$73=1,'Cost Inputs'!$M$73=2,'Cost Inputs'!$M$73=4,'Cost Inputs'!$M$73=8)),
IF(ISNUMBER($U$55), $E137+($E$73*(($E137/$E$73)+$U$55)), $E137),""),"")), ""),""),"")</f>
        <v/>
      </c>
      <c r="Z137" s="364" t="str">
        <f>IF($U$3="N.B.C.",
IF(ISNUMBER($B$131),
IF($C137&lt;&gt;"",
IF('Cost Inputs'!$L$73="Y",
IF(ISNUMBER($V$55), $E137+($E$73*(($E137/$E$73)+$V$55)), $E137),
IF('Cost Inputs'!$L$73="N",
IF(AND(ISNUMBER('Cost Inputs'!$M$73), OR('Cost Inputs'!$M$73=1,'Cost Inputs'!$M$73=3,'Cost Inputs'!$M$73=9)),
IF(ISNUMBER($V$55), $E137+($E$73*(($E137/$E$73)+$V$55)), $E137),""),"")), ""),""),"")</f>
        <v/>
      </c>
      <c r="AA137" s="364" t="str">
        <f>IF($V$3="N.B.C.",
IF(ISNUMBER($B$131),
IF($C137&lt;&gt;"",
IF('Cost Inputs'!$L$73="Y",
IF(ISNUMBER($W$55), $E137+($E$73*(($E137/$E$73)+$W$55)), $E137),
IF('Cost Inputs'!$L$73="N",
IF(AND(ISNUMBER('Cost Inputs'!$M$73), OR('Cost Inputs'!$M$73=1,'Cost Inputs'!$M$73=2,'Cost Inputs'!$M$73=5)),
IF(ISNUMBER($W$55), $E137+($E$73*(($E137/$E$73)+$W$55)), $E137),""),"")), ""),""),"")</f>
        <v/>
      </c>
      <c r="AB137" s="364" t="str">
        <f>IF($W$3="N.B.C.",
IF(ISNUMBER($B$131),
IF($C137&lt;&gt;"",
IF('Cost Inputs'!$L$73="Y",
IF(ISNUMBER($X$55), $E137+($E$73*(($E137/$E$73)+$X$55)), $E137),
IF('Cost Inputs'!$L$73="N",
IF(AND(ISNUMBER('Cost Inputs'!$M$73), OR('Cost Inputs'!$M$73=1)),
IF(ISNUMBER($X$55), $E137+($E$73*(($E137/$E$73)+$X$55)), $E137),""),"")), ""),""),"")</f>
        <v/>
      </c>
      <c r="AC137" s="364" t="str">
        <f>IF($X$3="N.B.C.",
IF(ISNUMBER($B$131),
IF($C137&lt;&gt;"",
IF('Cost Inputs'!$L$73="Y",
IF(ISNUMBER($Y$55), $E137+($E$73*(($E137/$E$73)+$Y$55)), $E137),
IF('Cost Inputs'!$L$73="N",
IF(AND(ISNUMBER('Cost Inputs'!$M$73), OR('Cost Inputs'!$M$73=1,'Cost Inputs'!$M$73=2,'Cost Inputs'!$M$73=3,'Cost Inputs'!$M$73=4,'Cost Inputs'!$M$73=6)),
IF(ISNUMBER($Y$55), $E137+($E$73*(($E137/$E$73)+$Y$55)), $E137),""),"")), ""),""),"")</f>
        <v/>
      </c>
    </row>
    <row r="138" spans="1:29" x14ac:dyDescent="0.25">
      <c r="A138" s="518"/>
      <c r="B138" s="504"/>
      <c r="C138" s="107" t="str">
        <f>IF(AND(ISNUMBER(B131), C136&lt;&gt;"", OR('Cost Inputs'!$H$74&lt;&gt;"", 'Cost Inputs'!$I$74&lt;&gt;"", 'Cost Inputs'!$J$74&lt;&gt;"")), _3_3_2, "")</f>
        <v/>
      </c>
      <c r="D138" s="93" t="str">
        <f>IF(AND(C138&lt;&gt;"", 'Cost Inputs'!$G$74&lt;&gt;""), 'Cost Inputs'!$G$74, "")</f>
        <v/>
      </c>
      <c r="E138" s="93" t="str">
        <f>IF(AND(C138&lt;&gt;"", 'Cost Inputs'!$H$74&lt;&gt;""), 'Cost Inputs'!$H$74, "")</f>
        <v/>
      </c>
      <c r="F138" s="93" t="str">
        <f>IF(AND(C138&lt;&gt;"", 'Cost Inputs'!$I$74&lt;&gt;""), 'Cost Inputs'!$I$74, "")</f>
        <v/>
      </c>
      <c r="G138" s="93" t="str">
        <f t="shared" si="8"/>
        <v/>
      </c>
      <c r="H138" s="93" t="str">
        <f>IF(AND(C138&lt;&gt;"", 'Cost Inputs'!$J$74&lt;&gt;""), 'Cost Inputs'!$J$74, "")</f>
        <v/>
      </c>
      <c r="I138" s="93" t="str">
        <f t="shared" si="7"/>
        <v/>
      </c>
      <c r="J138" s="93" t="str">
        <f>IF(AND(C138&lt;&gt;"",('Cost Inputs'!$I$74+'Cost Inputs'!$J$74+'Cost Inputs'!$K$74)&gt;0), 'Cost Inputs'!$I$74+'Cost Inputs'!$J$74+'Cost Inputs'!$K$74, "")</f>
        <v/>
      </c>
      <c r="K138" s="93" t="str">
        <f>IF(AND(C138&lt;&gt;"", 'Cost Inputs'!$N$74&gt;0),'Cost Inputs'!$N$74,"")</f>
        <v/>
      </c>
      <c r="L138" s="93"/>
      <c r="M138" s="109"/>
      <c r="T138" s="372" t="str">
        <f>IF($O$3="N.B.C.",
IF(ISNUMBER($B$131),
IF($C138&lt;&gt;"",
IF('Cost Inputs'!$L$74="Y",
IF(ISNUMBER($P$55), $E138+($E$73*(($E138/$E$73)+$P$55)), $E138),
IF('Cost Inputs'!$L$74="N",
IF(AND(ISNUMBER('Cost Inputs'!$M$74), OR('Cost Inputs'!$M$74=1,'Cost Inputs'!$M$74=3)),
IF(ISNUMBER($P$55), $E138+($E$73*(($E138/$E$73)+$P$55)), $E138),""),"")), ""),""),"")</f>
        <v/>
      </c>
      <c r="U138" s="372" t="str">
        <f>IF($P$3="N.B.C.",
IF(ISNUMBER($B$131),
IF($C138&lt;&gt;"",
IF('Cost Inputs'!$L$74="Y",
IF(ISNUMBER($Q$55), $E138+($E$73*(($E138/$E$73)+$Q$55)), $E138),
IF('Cost Inputs'!$L$74="N",
IF(AND(ISNUMBER('Cost Inputs'!$M$74), OR('Cost Inputs'!$M$74=1,'Cost Inputs'!$M$74=2,'Cost Inputs'!$M$74=4)),
IF(ISNUMBER($Q$55), $E138+($E$73*(($E138/$E$73)+$Q$55)), $E138),""),"")), ""),""),"")</f>
        <v/>
      </c>
      <c r="V138" s="372" t="str">
        <f>IF($Q$3="N.B.C.",
IF(ISNUMBER($B$131),
IF($C138&lt;&gt;"",
IF('Cost Inputs'!$L$74="Y",
IF(ISNUMBER($R$55), $E138+($E$73*(($E138/$E$73)+$R$55)), $E138),
IF('Cost Inputs'!$L$74="N",
IF(AND(ISNUMBER('Cost Inputs'!$M$74), OR('Cost Inputs'!$M$74=1,'Cost Inputs'!$M$74=5)),
IF(ISNUMBER($R$55), $E138+($E$73*(($E138/$E$73)+$R$55)), $E138),""),"")), ""),""),"")</f>
        <v/>
      </c>
      <c r="W138" s="372" t="str">
        <f>IF($R$3="N.B.C.",
IF(ISNUMBER($B$131),
IF($C138&lt;&gt;"",
IF('Cost Inputs'!$L$74="Y",
IF(ISNUMBER($S$55), $E138+($E$73*(($E138/$E$73)+$S$55)), $E138),
IF('Cost Inputs'!$L$74="N",
IF(AND(ISNUMBER('Cost Inputs'!$M$74), OR('Cost Inputs'!$M$74=1,'Cost Inputs'!$M$74=2,'Cost Inputs'!$M$74=3,'Cost Inputs'!$M$74=6)),
IF(ISNUMBER($S$55), $E138+($E$73*(($E138/$E$73)+$S$55)), $E138),""),"")), ""),""),"")</f>
        <v/>
      </c>
      <c r="X138" s="372" t="str">
        <f>IF($S$3="N.B.C.",
IF(ISNUMBER($B$131),
IF($C138&lt;&gt;"",
IF('Cost Inputs'!$L$74="Y",
IF(ISNUMBER($T$55), $E138+($E$73*(($E138/$E$73)+$T$55)), $E138),
IF('Cost Inputs'!$L$74="N",
IF(AND(ISNUMBER('Cost Inputs'!$M$74), OR('Cost Inputs'!$M$74=1,'Cost Inputs'!$M$74=7)),
IF(ISNUMBER($T$55), $E138+($E$73*(($E138/$E$73)+$T$55)), $E138),""),"")), ""),""),"")</f>
        <v/>
      </c>
      <c r="Y138" s="372" t="str">
        <f>IF($T$3="N.B.C.",
IF(ISNUMBER($B$131),
IF($C138&lt;&gt;"",
IF('Cost Inputs'!$L$74="Y",
IF(ISNUMBER($U$55), $E138+($E$73*(($E138/$E$73)+$U$55)), $E138),
IF('Cost Inputs'!$L$74="N",
IF(AND(ISNUMBER('Cost Inputs'!$M$74), OR('Cost Inputs'!$M$74=1,'Cost Inputs'!$M$74=2,'Cost Inputs'!$M$74=4,'Cost Inputs'!$M$74=8)),
IF(ISNUMBER($U$55), $E138+($E$73*(($E138/$E$73)+$U$55)), $E138),""),"")), ""),""),"")</f>
        <v/>
      </c>
      <c r="Z138" s="372" t="str">
        <f>IF($U$3="N.B.C.",
IF(ISNUMBER($B$131),
IF($C138&lt;&gt;"",
IF('Cost Inputs'!$L$74="Y",
IF(ISNUMBER($V$55), $E138+($E$73*(($E138/$E$73)+$V$55)), $E138),
IF('Cost Inputs'!$L$74="N",
IF(AND(ISNUMBER('Cost Inputs'!$M$74), OR('Cost Inputs'!$M$74=1,'Cost Inputs'!$M$74=3,'Cost Inputs'!$M$74=9)),
IF(ISNUMBER($V$55), $E138+($E$73*(($E138/$E$73)+$V$55)), $E138),""),"")), ""),""),"")</f>
        <v/>
      </c>
      <c r="AA138" s="372" t="str">
        <f>IF($V$3="N.B.C.",
IF(ISNUMBER($B$131),
IF($C138&lt;&gt;"",
IF('Cost Inputs'!$L$74="Y",
IF(ISNUMBER($W$55), $E138+($E$73*(($E138/$E$73)+$W$55)), $E138),
IF('Cost Inputs'!$L$74="N",
IF(AND(ISNUMBER('Cost Inputs'!$M$74), OR('Cost Inputs'!$M$74=1,'Cost Inputs'!$M$74=2,'Cost Inputs'!$M$74=5)),
IF(ISNUMBER($W$55), $E138+($E$73*(($E138/$E$73)+$W$55)), $E138),""),"")), ""),""),"")</f>
        <v/>
      </c>
      <c r="AB138" s="372" t="str">
        <f>IF($W$3="N.B.C.",
IF(ISNUMBER($B$131),
IF($C138&lt;&gt;"",
IF('Cost Inputs'!$L$74="Y",
IF(ISNUMBER($X$55), $E138+($E$73*(($E138/$E$73)+$X$55)), $E138),
IF('Cost Inputs'!$L$74="N",
IF(AND(ISNUMBER('Cost Inputs'!$M$74), OR('Cost Inputs'!$M$74=1)),
IF(ISNUMBER($X$55), $E138+($E$73*(($E138/$E$73)+$X$55)), $E138),""),"")), ""),""),"")</f>
        <v/>
      </c>
      <c r="AC138" s="372" t="str">
        <f>IF($X$3="N.B.C.",
IF(ISNUMBER($B$131),
IF($C138&lt;&gt;"",
IF('Cost Inputs'!$L$74="Y",
IF(ISNUMBER($Y$55), $E138+($E$73*(($E138/$E$73)+$Y$55)), $E138),
IF('Cost Inputs'!$L$74="N",
IF(AND(ISNUMBER('Cost Inputs'!$M$74), OR('Cost Inputs'!$M$74=1,'Cost Inputs'!$M$74=2,'Cost Inputs'!$M$74=3,'Cost Inputs'!$M$74=4,'Cost Inputs'!$M$74=6)),
IF(ISNUMBER($Y$55), $E138+($E$73*(($E138/$E$73)+$Y$55)), $E138),""),"")), ""),""),"")</f>
        <v/>
      </c>
    </row>
    <row r="139" spans="1:29" x14ac:dyDescent="0.25">
      <c r="A139" s="518"/>
      <c r="B139" s="504"/>
      <c r="C139" s="104" t="str">
        <f>IF(AND(ISNUMBER(B131), OR('Cost Inputs'!$H$75&lt;&gt;"", 'Cost Inputs'!$I$75&lt;&gt;"", 'Cost Inputs'!$J$75&lt;&gt;"")), _3_3_3, "")</f>
        <v/>
      </c>
      <c r="D139" s="17" t="str">
        <f>IF(AND(C139&lt;&gt;"", 'Cost Inputs'!$G$75&lt;&gt;""), 'Cost Inputs'!$G$75, "")</f>
        <v/>
      </c>
      <c r="E139" s="17" t="str">
        <f>IF(AND(C139&lt;&gt;"", 'Cost Inputs'!$H$75&lt;&gt;""), 'Cost Inputs'!$H$75, "")</f>
        <v/>
      </c>
      <c r="F139" s="17" t="str">
        <f>IF(AND(C139&lt;&gt;"", 'Cost Inputs'!$I$75&lt;&gt;""), 'Cost Inputs'!$I$75, "")</f>
        <v/>
      </c>
      <c r="G139" s="17" t="str">
        <f t="shared" si="8"/>
        <v/>
      </c>
      <c r="H139" s="17" t="str">
        <f>IF(AND(C139&lt;&gt;"", 'Cost Inputs'!$J$75&lt;&gt;""), 'Cost Inputs'!$J$75, "")</f>
        <v/>
      </c>
      <c r="I139" s="17" t="str">
        <f t="shared" si="7"/>
        <v/>
      </c>
      <c r="J139" s="17" t="str">
        <f>IF(AND(C139&lt;&gt;"",('Cost Inputs'!$I$75+'Cost Inputs'!$J$75+'Cost Inputs'!$K$75)&gt;0), 'Cost Inputs'!$I$75+'Cost Inputs'!$J$75+'Cost Inputs'!$K$75, "")</f>
        <v/>
      </c>
      <c r="K139" s="17" t="str">
        <f>IF(AND(C139&lt;&gt;"", 'Cost Inputs'!$N$75&gt;0),'Cost Inputs'!$N$75,"")</f>
        <v/>
      </c>
      <c r="M139" s="106"/>
      <c r="T139" s="364" t="str">
        <f>IF($O$3="N.B.C.",
IF(ISNUMBER($B$131),
IF($C139&lt;&gt;"",
IF('Cost Inputs'!$L$75="Y",
IF(ISNUMBER($P$55), $E139+($E$73*(($E139/$E$73)+$P$55)), $E139),
IF('Cost Inputs'!$L$75="N",
IF(AND(ISNUMBER('Cost Inputs'!$M$75), OR('Cost Inputs'!$M$75=1,'Cost Inputs'!$M$75=3)),
IF(ISNUMBER($P$55), $E139+($E$73*(($E139/$E$73)+$P$55)), $E139),""),"")), ""),""),"")</f>
        <v/>
      </c>
      <c r="U139" s="364" t="str">
        <f>IF($P$3="N.B.C.",
IF(ISNUMBER($B$131),
IF($C139&lt;&gt;"",
IF('Cost Inputs'!$L$75="Y",
IF(ISNUMBER($Q$55), $E139+($E$73*(($E139/$E$73)+$Q$55)), $E139),
IF('Cost Inputs'!$L$75="N",
IF(AND(ISNUMBER('Cost Inputs'!$M$75), OR('Cost Inputs'!$M$75=1,'Cost Inputs'!$M$75=2,'Cost Inputs'!$M$75=4)),
IF(ISNUMBER($Q$55), $E139+($E$73*(($E139/$E$73)+$Q$55)), $E139),""),"")), ""),""),"")</f>
        <v/>
      </c>
      <c r="V139" s="364" t="str">
        <f>IF($Q$3="N.B.C.",
IF(ISNUMBER($B$131),
IF($C139&lt;&gt;"",
IF('Cost Inputs'!$L$75="Y",
IF(ISNUMBER($R$55), $E139+($E$73*(($E139/$E$73)+$R$55)), $E139),
IF('Cost Inputs'!$L$75="N",
IF(AND(ISNUMBER('Cost Inputs'!$M$75), OR('Cost Inputs'!$M$75=1,'Cost Inputs'!$M$75=5)),
IF(ISNUMBER($R$55), $E139+($E$73*(($E139/$E$73)+$R$55)), $E139),""),"")), ""),""),"")</f>
        <v/>
      </c>
      <c r="W139" s="364" t="str">
        <f>IF($R$3="N.B.C.",
IF(ISNUMBER($B$131),
IF($C139&lt;&gt;"",
IF('Cost Inputs'!$L$75="Y",
IF(ISNUMBER($S$55), $E139+($E$73*(($E139/$E$73)+$S$55)), $E139),
IF('Cost Inputs'!$L$75="N",
IF(AND(ISNUMBER('Cost Inputs'!$M$75), OR('Cost Inputs'!$M$75=1,'Cost Inputs'!$M$75=2,'Cost Inputs'!$M$75=3,'Cost Inputs'!$M$75=6)),
IF(ISNUMBER($S$55), $E139+($E$73*(($E139/$E$73)+$S$55)), $E139),""),"")), ""),""),"")</f>
        <v/>
      </c>
      <c r="X139" s="364" t="str">
        <f>IF($S$3="N.B.C.",
IF(ISNUMBER($B$131),
IF($C139&lt;&gt;"",
IF('Cost Inputs'!$L$75="Y",
IF(ISNUMBER($T$55), $E139+($E$73*(($E139/$E$73)+$T$55)), $E139),
IF('Cost Inputs'!$L$75="N",
IF(AND(ISNUMBER('Cost Inputs'!$M$75), OR('Cost Inputs'!$M$75=1,'Cost Inputs'!$M$75=7)),
IF(ISNUMBER($T$55), $E139+($E$73*(($E139/$E$73)+$T$55)), $E139),""),"")), ""),""),"")</f>
        <v/>
      </c>
      <c r="Y139" s="364" t="str">
        <f>IF($T$3="N.B.C.",
IF(ISNUMBER($B$131),
IF($C139&lt;&gt;"",
IF('Cost Inputs'!$L$75="Y",
IF(ISNUMBER($U$55), $E139+($E$73*(($E139/$E$73)+$U$55)), $E139),
IF('Cost Inputs'!$L$75="N",
IF(AND(ISNUMBER('Cost Inputs'!$M$75), OR('Cost Inputs'!$M$75=1,'Cost Inputs'!$M$75=2,'Cost Inputs'!$M$75=4,'Cost Inputs'!$M$75=8)),
IF(ISNUMBER($U$55), $E139+($E$73*(($E139/$E$73)+$U$55)), $E139),""),"")), ""),""),"")</f>
        <v/>
      </c>
      <c r="Z139" s="364" t="str">
        <f>IF($U$3="N.B.C.",
IF(ISNUMBER($B$131),
IF($C139&lt;&gt;"",
IF('Cost Inputs'!$L$75="Y",
IF(ISNUMBER($V$55), $E139+($E$73*(($E139/$E$73)+$V$55)), $E139),
IF('Cost Inputs'!$L$75="N",
IF(AND(ISNUMBER('Cost Inputs'!$M$75), OR('Cost Inputs'!$M$75=1,'Cost Inputs'!$M$75=3,'Cost Inputs'!$M$75=9)),
IF(ISNUMBER($V$55), $E139+($E$73*(($E139/$E$73)+$V$55)), $E139),""),"")), ""),""),"")</f>
        <v/>
      </c>
      <c r="AA139" s="364" t="str">
        <f>IF($V$3="N.B.C.",
IF(ISNUMBER($B$131),
IF($C139&lt;&gt;"",
IF('Cost Inputs'!$L$75="Y",
IF(ISNUMBER($W$55), $E139+($E$73*(($E139/$E$73)+$W$55)), $E139),
IF('Cost Inputs'!$L$75="N",
IF(AND(ISNUMBER('Cost Inputs'!$M$75), OR('Cost Inputs'!$M$75=1,'Cost Inputs'!$M$75=2,'Cost Inputs'!$M$75=5)),
IF(ISNUMBER($W$55), $E139+($E$73*(($E139/$E$73)+$W$55)), $E139),""),"")), ""),""),"")</f>
        <v/>
      </c>
      <c r="AB139" s="364" t="str">
        <f>IF($W$3="N.B.C.",
IF(ISNUMBER($B$131),
IF($C139&lt;&gt;"",
IF('Cost Inputs'!$L$75="Y",
IF(ISNUMBER($X$55), $E139+($E$73*(($E139/$E$73)+$X$55)), $E139),
IF('Cost Inputs'!$L$75="N",
IF(AND(ISNUMBER('Cost Inputs'!$M$75), OR('Cost Inputs'!$M$75=1)),
IF(ISNUMBER($X$55), $E139+($E$73*(($E139/$E$73)+$X$55)), $E139),""),"")), ""),""),"")</f>
        <v/>
      </c>
      <c r="AC139" s="364" t="str">
        <f>IF($X$3="N.B.C.",
IF(ISNUMBER($B$131),
IF($C139&lt;&gt;"",
IF('Cost Inputs'!$L$75="Y",
IF(ISNUMBER($Y$55), $E139+($E$73*(($E139/$E$73)+$Y$55)), $E139),
IF('Cost Inputs'!$L$75="N",
IF(AND(ISNUMBER('Cost Inputs'!$M$75), OR('Cost Inputs'!$M$75=1,'Cost Inputs'!$M$75=2,'Cost Inputs'!$M$75=3,'Cost Inputs'!$M$75=4,'Cost Inputs'!$M$75=6)),
IF(ISNUMBER($Y$55), $E139+($E$73*(($E139/$E$73)+$Y$55)), $E139),""),"")), ""),""),"")</f>
        <v/>
      </c>
    </row>
    <row r="140" spans="1:29" x14ac:dyDescent="0.25">
      <c r="A140" s="518"/>
      <c r="B140" s="504"/>
      <c r="C140" s="107" t="str">
        <f>IF(AND(ISNUMBER(B131), OR('Cost Inputs'!$H$76&lt;&gt;"", 'Cost Inputs'!$I$76&lt;&gt;"", 'Cost Inputs'!$J$76&lt;&gt;"")), _3_3_4, "")</f>
        <v/>
      </c>
      <c r="D140" s="93" t="str">
        <f>IF(AND(C140&lt;&gt;"", 'Cost Inputs'!$G$76&lt;&gt;""), 'Cost Inputs'!$G$76, "")</f>
        <v/>
      </c>
      <c r="E140" s="93" t="str">
        <f>IF(AND(C140&lt;&gt;"", 'Cost Inputs'!$H$76&lt;&gt;""), 'Cost Inputs'!$H$76, "")</f>
        <v/>
      </c>
      <c r="F140" s="93" t="str">
        <f>IF(AND(C140&lt;&gt;"", 'Cost Inputs'!$I$76&lt;&gt;""), 'Cost Inputs'!$I$76, "")</f>
        <v/>
      </c>
      <c r="G140" s="93" t="str">
        <f t="shared" si="8"/>
        <v/>
      </c>
      <c r="H140" s="93" t="str">
        <f>IF(AND(C140&lt;&gt;"", 'Cost Inputs'!$J$76&lt;&gt;""), 'Cost Inputs'!$J$76, "")</f>
        <v/>
      </c>
      <c r="I140" s="93" t="str">
        <f t="shared" si="7"/>
        <v/>
      </c>
      <c r="J140" s="93" t="str">
        <f>IF(AND(C140&lt;&gt;"",('Cost Inputs'!$I$76+'Cost Inputs'!$J$76+'Cost Inputs'!$K$76)&gt;0), 'Cost Inputs'!$I$76+'Cost Inputs'!$J$76+'Cost Inputs'!$K$76, "")</f>
        <v/>
      </c>
      <c r="K140" s="93" t="str">
        <f>IF(AND(C140&lt;&gt;"", 'Cost Inputs'!$N$76&gt;0),'Cost Inputs'!$N$76,"")</f>
        <v/>
      </c>
      <c r="L140" s="93"/>
      <c r="M140" s="109"/>
      <c r="T140" s="372" t="str">
        <f>IF($O$3="N.B.C.",
IF(ISNUMBER($B$131),
IF($C140&lt;&gt;"",
IF('Cost Inputs'!$L$76="Y",
IF(ISNUMBER($P$55), $E140+($E$73*(($E140/$E$73)+$P$55)), $E140),
IF('Cost Inputs'!$L$76="N",
IF(AND(ISNUMBER('Cost Inputs'!$M$76), OR('Cost Inputs'!$M$76=1,'Cost Inputs'!$M$76=3)),
IF(ISNUMBER($P$55), $E140+($E$73*(($E140/$E$73)+$P$55)), $E140),""),"")), ""),""),"")</f>
        <v/>
      </c>
      <c r="U140" s="372" t="str">
        <f>IF($P$3="N.B.C.",
IF(ISNUMBER($B$131),
IF($C140&lt;&gt;"",
IF('Cost Inputs'!$L$76="Y",
IF(ISNUMBER($Q$55), $E140+($E$73*(($E140/$E$73)+$Q$55)), $E140),
IF('Cost Inputs'!$L$76="N",
IF(AND(ISNUMBER('Cost Inputs'!$M$76), OR('Cost Inputs'!$M$76=1,'Cost Inputs'!$M$76=2,'Cost Inputs'!$M$76=4)),
IF(ISNUMBER($Q$55), $E140+($E$73*(($E140/$E$73)+$Q$55)), $E140),""),"")), ""),""),"")</f>
        <v/>
      </c>
      <c r="V140" s="372" t="str">
        <f>IF($Q$3="N.B.C.",
IF(ISNUMBER($B$131),
IF($C140&lt;&gt;"",
IF('Cost Inputs'!$L$76="Y",
IF(ISNUMBER($R$55), $E140+($E$73*(($E140/$E$73)+$R$55)), $E140),
IF('Cost Inputs'!$L$76="N",
IF(AND(ISNUMBER('Cost Inputs'!$M$76), OR('Cost Inputs'!$M$76=1,'Cost Inputs'!$M$76=5)),
IF(ISNUMBER($R$55), $E140+($E$73*(($E140/$E$73)+$R$55)), $E140),""),"")), ""),""),"")</f>
        <v/>
      </c>
      <c r="W140" s="372" t="str">
        <f>IF($R$3="N.B.C.",
IF(ISNUMBER($B$131),
IF($C140&lt;&gt;"",
IF('Cost Inputs'!$L$76="Y",
IF(ISNUMBER($S$55), $E140+($E$73*(($E140/$E$73)+$S$55)), $E140),
IF('Cost Inputs'!$L$76="N",
IF(AND(ISNUMBER('Cost Inputs'!$M$76), OR('Cost Inputs'!$M$76=1,'Cost Inputs'!$M$76=2,'Cost Inputs'!$M$76=3,'Cost Inputs'!$M$76=6)),
IF(ISNUMBER($S$55), $E140+($E$73*(($E140/$E$73)+$S$55)), $E140),""),"")), ""),""),"")</f>
        <v/>
      </c>
      <c r="X140" s="372" t="str">
        <f>IF($S$3="N.B.C.",
IF(ISNUMBER($B$131),
IF($C140&lt;&gt;"",
IF('Cost Inputs'!$L$76="Y",
IF(ISNUMBER($T$55), $E140+($E$73*(($E140/$E$73)+$T$55)), $E140),
IF('Cost Inputs'!$L$76="N",
IF(AND(ISNUMBER('Cost Inputs'!$M$76),OR('Cost Inputs'!$M$76=1,'Cost Inputs'!$M$76=7)),
IF(ISNUMBER($T$55), $E140+($E$73*(($E140/$E$73)+$T$55)), $E140),""),"")), ""),""),"")</f>
        <v/>
      </c>
      <c r="Y140" s="372" t="str">
        <f>IF($T$3="N.B.C.",
IF(ISNUMBER($B$131),
IF($C140&lt;&gt;"",
IF('Cost Inputs'!$L$76="Y",
IF(ISNUMBER($U$55), $E140+($E$73*(($E140/$E$73)+$U$55)), $E140),
IF('Cost Inputs'!$L$76="N",
IF(AND(ISNUMBER('Cost Inputs'!$M$76), OR('Cost Inputs'!$M$76=1,'Cost Inputs'!$M$76=2,'Cost Inputs'!$M$76=4,'Cost Inputs'!$M$76=8)),
IF(ISNUMBER($U$55), $E140+($E$73*(($E140/$E$73)+$U$55)), $E140),""),"")), ""),""),"")</f>
        <v/>
      </c>
      <c r="Z140" s="372" t="str">
        <f>IF($U$3="N.B.C.",
IF(ISNUMBER($B$131),
IF($C140&lt;&gt;"",
IF('Cost Inputs'!$L$76="Y",
IF(ISNUMBER($V$55), $E140+($E$73*(($E140/$E$73)+$V$55)), $E140),
IF('Cost Inputs'!$L$76="N",
IF(AND(ISNUMBER('Cost Inputs'!$M$76), OR('Cost Inputs'!$M$76=1,'Cost Inputs'!$M$76=3,'Cost Inputs'!$M$76=9)),
IF(ISNUMBER($V$55), $E140+($E$73*(($E140/$E$73)+$V$55)), $E140),""),"")), ""),""),"")</f>
        <v/>
      </c>
      <c r="AA140" s="372" t="str">
        <f>IF($V$3="N.B.C.",
IF(ISNUMBER($B$131),
IF($C140&lt;&gt;"",
IF('Cost Inputs'!$L$76="Y",
IF(ISNUMBER($W$55), $E140+($E$73*(($E140/$E$73)+$W$55)), $E140),
IF('Cost Inputs'!$L$76="N",
IF(AND(ISNUMBER('Cost Inputs'!$M$76), OR('Cost Inputs'!$M$76=1,'Cost Inputs'!$M$76=2,'Cost Inputs'!$M$76=5)),
IF(ISNUMBER($W$55), $E140+($E$73*(($E140/$E$73)+$W$55)), $E140),""),"")), ""),""),"")</f>
        <v/>
      </c>
      <c r="AB140" s="372" t="str">
        <f>IF($W$3="N.B.C.",
IF(ISNUMBER($B$131),
IF($C140&lt;&gt;"",
IF('Cost Inputs'!$L$76="Y",
IF(ISNUMBER($X$55), $E140+($E$73*(($E140/$E$73)+$X$55)), $E140),
IF('Cost Inputs'!$L$76="N",
IF(AND(ISNUMBER('Cost Inputs'!$M$76), OR('Cost Inputs'!$M$76=1)),
IF(ISNUMBER($X$55), $E140+($E$73*(($E140/$E$73)+$X$55)), $E140),""),"")), ""),""),"")</f>
        <v/>
      </c>
      <c r="AC140" s="372" t="str">
        <f>IF($X$3="N.B.C.",
IF(ISNUMBER($B$131),
IF($C140&lt;&gt;"",
IF('Cost Inputs'!$L$76="Y",
IF(ISNUMBER($Y$55), $E140+($E$73*(($E140/$E$73)+$Y$55)), $E140),
IF('Cost Inputs'!$L$76="N",
IF(AND(ISNUMBER('Cost Inputs'!$M$76), OR('Cost Inputs'!$M$76=1,'Cost Inputs'!$M$76=2,'Cost Inputs'!$M$76=3,'Cost Inputs'!$M$76=4,'Cost Inputs'!$M$76=6)),
IF(ISNUMBER($Y$55), $E140+($E$73*(($E140/$E$73)+$Y$55)), $E140),""),"")), ""),""),"")</f>
        <v/>
      </c>
    </row>
    <row r="141" spans="1:29" x14ac:dyDescent="0.25">
      <c r="A141" s="518"/>
      <c r="B141" s="504"/>
      <c r="C141" s="110" t="str">
        <f>IF( ISNUMBER(B131), _3_4_0, "")</f>
        <v/>
      </c>
      <c r="D141" s="94" t="str">
        <f>IF(AND(B131&lt;&gt;"", OR('Cost Inputs'!$H$77&lt;&gt;"", 'Cost Inputs'!$I$77&lt;&gt;"", 'Cost Inputs'!$J$77&lt;&gt;"")), 'Cost Inputs'!$G$77,"")</f>
        <v/>
      </c>
      <c r="E141" s="94" t="str">
        <f>IF(AND(C141&lt;&gt;"", 'Cost Inputs'!$H$77&lt;&gt;""), 'Cost Inputs'!$H$77, "")</f>
        <v/>
      </c>
      <c r="F141" s="94" t="str">
        <f>IF(AND(C141&lt;&gt;"", 'Cost Inputs'!$I$77&lt;&gt;""), 'Cost Inputs'!$I$77, "")</f>
        <v/>
      </c>
      <c r="G141" s="94" t="str">
        <f t="shared" si="8"/>
        <v/>
      </c>
      <c r="H141" s="94" t="str">
        <f>IF(AND(C141&lt;&gt;"", 'Cost Inputs'!$J$77&lt;&gt;""), 'Cost Inputs'!$J$77, "")</f>
        <v/>
      </c>
      <c r="I141" s="94" t="str">
        <f>IF(AND($E141&lt;&gt;"", $H141&lt;&gt;""), $H141/$E141, "")</f>
        <v/>
      </c>
      <c r="J141" s="94" t="str">
        <f>IF(AND(C141&lt;&gt;"",('Cost Inputs'!$I$77+'Cost Inputs'!$J$77+'Cost Inputs'!$K$77)&gt;0), 'Cost Inputs'!$I$77+'Cost Inputs'!$J$77+'Cost Inputs'!$K$77, "")</f>
        <v/>
      </c>
      <c r="K141" s="94" t="str">
        <f>IF(AND(C141&lt;&gt;"", 'Cost Inputs'!$N$77&gt;0),'Cost Inputs'!$N$77,"")</f>
        <v/>
      </c>
      <c r="L141" s="94"/>
      <c r="M141" s="103"/>
      <c r="T141" s="373" t="str">
        <f>IF($O$3="N.B.C.",
IF(ISNUMBER($B$131),
IF($C141&lt;&gt;"",
IF('Cost Inputs'!$L$77="Y",
IF(AND(ISNUMBER(P$56), P$56&gt;$E$60), $E141+($E$60*(($E141/$E$60)+$P$55)), $E141),
IF('Cost Inputs'!$L$77="N",
IF(AND(ISNUMBER('Cost Inputs'!$M$77), OR('Cost Inputs'!$M$77=1,'Cost Inputs'!$M$77=3)),
IF(AND(ISNUMBER(P$56), P$56&gt;$E$60), $E141+($E$60*(($E141/$E$60)+$P$55)), $E141), ""),"")), ""), ""), "")</f>
        <v/>
      </c>
      <c r="U141" s="373" t="str">
        <f>IF($P$3="N.B.C.",
IF(ISNUMBER($B$131),
IF($C141&lt;&gt;"",
IF('Cost Inputs'!$L$77="Y",
IF(AND(ISNUMBER(Q$56), Q$56&gt;$E$60), $E141+($E$60*(($E141/$E$60)+$Q$55)), $E141),
IF('Cost Inputs'!$L$77="N",
IF(AND(ISNUMBER('Cost Inputs'!$M$77), OR('Cost Inputs'!$M$77=1,'Cost Inputs'!$M$77=2, 'Cost Inputs'!$M$77=4)),
IF(AND(ISNUMBER(Q$56), Q$56&gt;$E$60), $E141+($E$60*(($E141/$E$60)+$Q$55)), $E141), ""),"")), ""), ""), "")</f>
        <v/>
      </c>
      <c r="V141" s="373" t="str">
        <f>IF($Q$3="N.B.C.",
IF(ISNUMBER($B$131),
IF($C141&lt;&gt;"",
IF('Cost Inputs'!$L$77="Y",
IF(AND(ISNUMBER(R$56), R$56&gt;$E$60), $E141+($E$60*(($E141/$E$60)+$R$55)), $E141),
IF('Cost Inputs'!$L$77="N",
IF(AND(ISNUMBER('Cost Inputs'!$M$77), OR('Cost Inputs'!$M$77=1,'Cost Inputs'!$M$77=5)),
IF(AND(ISNUMBER(R$56), R$56&gt;$E$60), $E141+($E$60*(($E141/$E$60)+$R$55)), $E141), ""),"")), ""), ""), "")</f>
        <v/>
      </c>
      <c r="W141" s="373" t="str">
        <f>IF($R$3="N.B.C.",
IF(ISNUMBER($B$131),
IF($C141&lt;&gt;"",
IF('Cost Inputs'!$L$77="Y",
IF(AND(ISNUMBER(S$56), S$56&gt;$E$60), $E141+($E$60*(($E141/$E$60)+$S$55)), $E141),
IF('Cost Inputs'!$L$77="N",
IF(AND(ISNUMBER('Cost Inputs'!$M$77), OR('Cost Inputs'!$M$77=1,'Cost Inputs'!$M$77=2, 'Cost Inputs'!$M$77=3,'Cost Inputs'!$M$77=6)),
IF(AND(ISNUMBER(S$56), S$56&gt;$E$60), $E141+($E$60*(($E141/$E$60)+$S$55)), $E141), ""),"")), ""), ""), "")</f>
        <v/>
      </c>
      <c r="X141" s="373" t="str">
        <f>IF($S$3="N.B.C.",
IF(ISNUMBER($B$131),
IF($C141&lt;&gt;"",
IF('Cost Inputs'!$L$77="Y",
IF(AND(ISNUMBER(T$56), T$56&gt;$E$60), $E141+($E$60*(($E141/$E$60)+$T$55)), $E141),
IF('Cost Inputs'!$L$77="N",
IF(AND(ISNUMBER('Cost Inputs'!$M$77), OR('Cost Inputs'!$M$77=1,'Cost Inputs'!$M$77=7)),
IF(AND(ISNUMBER(T$56), T$56&gt;$E$60), $E141+($E$60*(($E141/$E$60)+$T$55)), $E141), ""),"")), ""), ""), "")</f>
        <v/>
      </c>
      <c r="Y141" s="373" t="str">
        <f>IF($T$3="N.B.C.",
IF(ISNUMBER($B$131),
IF($C141&lt;&gt;"",
IF('Cost Inputs'!$L$77="Y",
IF(AND(ISNUMBER(U$56), U$56&gt;$E$60), $E141+($E$60*(($E141/$E$60)+$U$55)), $E141),
IF('Cost Inputs'!$L$77="N",
IF(AND(ISNUMBER('Cost Inputs'!$M$77), OR('Cost Inputs'!$M$77=1,'Cost Inputs'!$M$77=2,'Cost Inputs'!$M$77=4,'Cost Inputs'!$M$77=8)),
IF(AND(ISNUMBER(U$56), U$56&gt;$E$60), $E141+($E$60*(($E141/$E$60)+$U$55)), $E141), ""),"")), ""), ""), "")</f>
        <v/>
      </c>
      <c r="Z141" s="373" t="str">
        <f>IF($U$3="N.B.C.",
IF(ISNUMBER($B$131),
IF($C141&lt;&gt;"",
IF('Cost Inputs'!$L$77="Y",
IF(AND(ISNUMBER(V$56), V$56&gt;$E$60), $E141+($E$60*(($E141/$E$60)+$V$55)), $E141),
IF('Cost Inputs'!$L$77="N",
IF(AND(ISNUMBER('Cost Inputs'!$M$77), OR('Cost Inputs'!$M$77=1,'Cost Inputs'!$M$77=3, 'Cost Inputs'!$M$77=9)),
IF(AND(ISNUMBER(V$56), V$56&gt;$E$60), $E141+($E$60*(($E141/$E$60)+$V$55)), $E141), ""),"")), ""), ""), "")</f>
        <v/>
      </c>
      <c r="AA141" s="373" t="str">
        <f>IF($V$3="N.B.C.",
IF(ISNUMBER($B$131),
IF($C141&lt;&gt;"",
IF('Cost Inputs'!$L$77="Y",
IF(AND(ISNUMBER(W$56), W$56&gt;$E$60), $E141+($E$60*(($E141/$E$60)+$W$55)), $E141),
IF('Cost Inputs'!$L$77="N",
IF(AND(ISNUMBER('Cost Inputs'!$M$77), OR('Cost Inputs'!$M$77=1,'Cost Inputs'!$M$77=2, 'Cost Inputs'!$M$77=5)),
IF(AND(ISNUMBER(W$56), W$56&gt;$E$60), $E141+($E$60*(($E141/$E$60)+$W$55)), $E141), ""),"")), ""), ""), "")</f>
        <v/>
      </c>
      <c r="AB141" s="373" t="str">
        <f>IF($W$3="N.B.C.",
IF(ISNUMBER($B$131),
IF($C141&lt;&gt;"",
IF('Cost Inputs'!$L$77="Y",
IF(AND(ISNUMBER(X$56), X$56&gt;$E$60), $E141+($E$60*(($E141/$E$60)+$X$55)), $E141),
IF('Cost Inputs'!$L$77="N",
IF(AND(ISNUMBER('Cost Inputs'!$M$77), OR('Cost Inputs'!$M$77=1)),
IF(AND(ISNUMBER(X$56), X$56&gt;$E$60), $E141+($E$60*(($E141/$E$60)+$X$55)), $E141), ""),"")), ""), ""), "")</f>
        <v/>
      </c>
      <c r="AC141" s="373" t="str">
        <f>IF($X$3="N.B.C.",
IF(ISNUMBER($B$131),
IF($C141&lt;&gt;"",
IF('Cost Inputs'!$L$77="Y",
IF(AND(ISNUMBER(Y$56), Y$56&gt;$E$60), $E141+($E$60*(($E141/$E$60)+$Y$55)), $E141),
IF('Cost Inputs'!$L$77="N",
IF(AND(ISNUMBER('Cost Inputs'!$M$77), OR('Cost Inputs'!$M$77=1,'Cost Inputs'!$M$77=2,'Cost Inputs'!$M$77=3,'Cost Inputs'!$M$77=4,'Cost Inputs'!$M$77=6)),
IF(AND(ISNUMBER(Y$56), Y$56&gt;$E$60), $E141+($E$60*(($E141/$E$60)+$Y$55)), $E141), ""),"")), ""), ""), "")</f>
        <v/>
      </c>
    </row>
    <row r="142" spans="1:29" x14ac:dyDescent="0.25">
      <c r="A142" s="518"/>
      <c r="B142" s="504"/>
      <c r="C142" s="358" t="str">
        <f>IF(AND(ISNUMBER(B131), OR('Cost Inputs'!$H$78&lt;&gt;"", 'Cost Inputs'!$I$78&lt;&gt;"", 'Cost Inputs'!$J$78&lt;&gt;"")),
IF((INDEX(ProgramYearStage1,MATCH(DNA_Test_1,Years_in_Stage1,0)))='Model_ of_individuals'!B131,  _3_4_1,
IF(C121&lt;&gt;"",  _3_4_1, "")),"")</f>
        <v/>
      </c>
      <c r="D142" s="17" t="str">
        <f>IF(AND(C142&lt;&gt;"", 'Cost Inputs'!$G$78&lt;&gt;""), 'Cost Inputs'!$G$78, "")</f>
        <v/>
      </c>
      <c r="E142" s="17" t="str">
        <f>IF(AND(C142&lt;&gt;"", 'Cost Inputs'!$H$78&lt;&gt;""), 'Cost Inputs'!$H$78, "")</f>
        <v/>
      </c>
      <c r="F142" s="17" t="str">
        <f>IF(AND(C142&lt;&gt;"", 'Cost Inputs'!$I$78&lt;&gt;""), 'Cost Inputs'!$I$78, "")</f>
        <v/>
      </c>
      <c r="G142" s="17" t="str">
        <f t="shared" si="8"/>
        <v/>
      </c>
      <c r="H142" s="17" t="str">
        <f>IF(AND(C142&lt;&gt;"", 'Cost Inputs'!$J$78&lt;&gt;""), 'Cost Inputs'!$J$78, "")</f>
        <v/>
      </c>
      <c r="I142" s="17" t="str">
        <f t="shared" si="7"/>
        <v/>
      </c>
      <c r="J142" s="17" t="str">
        <f>IF(AND(C142&lt;&gt;"",('Cost Inputs'!$I$78+'Cost Inputs'!$J$78+'Cost Inputs'!$K$78)&gt;0), 'Cost Inputs'!$I$78+'Cost Inputs'!$J$78+'Cost Inputs'!$K$78, "")</f>
        <v/>
      </c>
      <c r="K142" s="17" t="str">
        <f>IF(AND(C142&lt;&gt;"", 'Cost Inputs'!$N$78&gt;0),'Cost Inputs'!$N$78,"")</f>
        <v/>
      </c>
      <c r="M142" s="106"/>
      <c r="T142" s="364" t="str">
        <f>IF($O$3="N.B.C.",
IF(ISNUMBER($B$131),
IF($C142&lt;&gt;"",
IF('Cost Inputs'!$L$78="Y",
IF(ISNUMBER($P$55), $E142+($E$78*(($E142/$E$78)+$P$55)), $E142),
IF('Cost Inputs'!$L$78="N",
IF(AND(ISNUMBER('Cost Inputs'!$M$78), OR('Cost Inputs'!$M$78=1,'Cost Inputs'!$M$78=3)),
IF(ISNUMBER($P$55), $E142+($E$78*(($E142/$E$78)+$P$55)), $E142),""),"")), ""),""),"")</f>
        <v/>
      </c>
      <c r="U142" s="364" t="str">
        <f>IF($P$3="N.B.C.",
IF(ISNUMBER($B$131),
IF($C142&lt;&gt;"",
IF('Cost Inputs'!$L$78="Y",
IF(ISNUMBER($Q$55), $E142+($E$78*(($E142/$E$78)+$Q$55)), $E142),
IF('Cost Inputs'!$L$78="N",
IF(AND(ISNUMBER('Cost Inputs'!$M$78), OR('Cost Inputs'!$M$78=1,'Cost Inputs'!$M$78=2,'Cost Inputs'!$M$78=4)),
IF(ISNUMBER($Q$55), $E142+($E$78*(($E142/$E$78)+$Q$55)), $E142),""),"")), ""),""),"")</f>
        <v/>
      </c>
      <c r="V142" s="364" t="str">
        <f>IF($Q$3="N.B.C.",
IF(ISNUMBER($B$131),
IF($C142&lt;&gt;"",
IF('Cost Inputs'!$L$78="Y",
IF(ISNUMBER($R$55), $E142+($E$78*(($E142/$E$78)+$R$55)), $E142),
IF('Cost Inputs'!$L$78="N",
IF(AND(ISNUMBER('Cost Inputs'!$M$78), OR('Cost Inputs'!$M$78=1,'Cost Inputs'!$M$78=5)),
IF(ISNUMBER($R$55), $E142+($E$78*(($E142/$E$78)+$R$55)), $E142),""),"")), ""),""),"")</f>
        <v/>
      </c>
      <c r="W142" s="364" t="str">
        <f>IF($R$3="N.B.C.",
IF(ISNUMBER($B$131),
IF($C142&lt;&gt;"",
IF('Cost Inputs'!$L$78="Y",
IF(ISNUMBER($S$55), $E142+($E$78*(($E142/$E$78)+$S$55)), $E142),
IF('Cost Inputs'!$L$78="N",
IF(AND(ISNUMBER('Cost Inputs'!$M$78), OR('Cost Inputs'!$M$78=1,'Cost Inputs'!$M$78=2,'Cost Inputs'!$M$78=3,'Cost Inputs'!$M$78=6)),
IF(ISNUMBER($S$55), $E142+($E$78*(($E142/$E$78)+$S$55)), $E142),""),"")), ""),""),"")</f>
        <v/>
      </c>
      <c r="X142" s="364" t="str">
        <f>IF($S$3="N.B.C.",
IF(ISNUMBER($B$131),
IF($C142&lt;&gt;"",
IF('Cost Inputs'!$L$78="Y",
IF(ISNUMBER($T$55), $E142+($E$78*(($E142/$E$78)+$T$55)), $E142),
IF('Cost Inputs'!$L$78="N",
IF(AND(ISNUMBER('Cost Inputs'!$M$78), OR('Cost Inputs'!$M$78=1,'Cost Inputs'!$M$78=7)),
IF(ISNUMBER($T$55), $E142+($E$78*(($E142/$E$78)+$T$55)), $E142),""),"")), ""),""),"")</f>
        <v/>
      </c>
      <c r="Y142" s="364" t="str">
        <f>IF($T$3="N.B.C.",
IF(ISNUMBER($B$131),
IF($C142&lt;&gt;"",
IF('Cost Inputs'!$L$78="Y",
IF(ISNUMBER($U$55), $E142+($E$78*(($E142/$E$78)+$U$55)), $E142),
IF('Cost Inputs'!$L$78="N",
IF(AND(ISNUMBER('Cost Inputs'!$M$78), OR('Cost Inputs'!$M$78=1,'Cost Inputs'!$M$78=2,'Cost Inputs'!$M$78=4,'Cost Inputs'!$M$78=8)),
IF(ISNUMBER($U$55), $E142+($E$78*(($E142/$E$78)+$U$55)), $E142),""),"")), ""),""),"")</f>
        <v/>
      </c>
      <c r="Z142" s="364" t="str">
        <f>IF($U$3="N.B.C.",
IF(ISNUMBER($B$131),
IF($C142&lt;&gt;"",
IF('Cost Inputs'!$L$78="Y",
IF(ISNUMBER($V$55), $E142+($E$78*(($E142/$E$78)+$V$55)), $E142),
IF('Cost Inputs'!$L$78="N",
IF(AND(ISNUMBER('Cost Inputs'!$M$78), OR('Cost Inputs'!$M$78=1,'Cost Inputs'!$M$78=3,'Cost Inputs'!$M$78=9)),
IF(ISNUMBER($V$55), $E142+($E$78*(($E142/$E$78)+$V$55)), $E142),""),"")), ""),""),"")</f>
        <v/>
      </c>
      <c r="AA142" s="364" t="str">
        <f>IF($V$3="N.B.C.",
IF(ISNUMBER($B$131),
IF($C142&lt;&gt;"",
IF('Cost Inputs'!$L$78="Y",
IF(ISNUMBER($W$55), $E142+($E$78*(($E142/$E$78)+$W$55)), $E142),
IF('Cost Inputs'!$L$78="N",
IF(AND(ISNUMBER('Cost Inputs'!$M$78), OR('Cost Inputs'!$M$78=1,'Cost Inputs'!$M$78=2,'Cost Inputs'!$M$78=5)),
IF(ISNUMBER($W$55), $E142+($E$78*(($E142/$E$78)+$W$55)), $E142),""),"")), ""),""),"")</f>
        <v/>
      </c>
      <c r="AB142" s="364" t="str">
        <f>IF($W$3="N.B.C.",
IF(ISNUMBER($B$131),
IF($C142&lt;&gt;"",
IF('Cost Inputs'!$L$78="Y",
IF(ISNUMBER($X$55), $E142+($E$78*(($E142/$E$78)+$X$55)), $E142),
IF('Cost Inputs'!$L$78="N",
IF(AND(ISNUMBER('Cost Inputs'!$M$78), OR('Cost Inputs'!$M$78=1)),
IF(ISNUMBER($X$55), $E142+($E$78*(($E142/$E$78)+$X$55)), $E142),""),"")), ""),""),"")</f>
        <v/>
      </c>
      <c r="AC142" s="364" t="str">
        <f>IF($X$3="N.B.C.",
IF(ISNUMBER($B$131),
IF($C142&lt;&gt;"",
IF('Cost Inputs'!$L$78="Y",
IF(ISNUMBER($Y$55), $E142+($E$78*(($E142/$E$78)+$Y$55)), $E142),
IF('Cost Inputs'!$L$78="N",
IF(AND(ISNUMBER('Cost Inputs'!$M$78), OR('Cost Inputs'!$M$78=1,'Cost Inputs'!$M$78=2,'Cost Inputs'!$M$78=3,'Cost Inputs'!$M$78=4,'Cost Inputs'!$M$78=6)),
IF(ISNUMBER($Y$55), $E142+($E$78*(($E142/$E$78)+$Y$55)), $E142),""),"")), ""),""),"")</f>
        <v/>
      </c>
    </row>
    <row r="143" spans="1:29" x14ac:dyDescent="0.25">
      <c r="A143" s="518"/>
      <c r="B143" s="504"/>
      <c r="C143" s="361" t="str">
        <f>IF(AND(ISNUMBER(B131), OR('Cost Inputs'!$H$79&lt;&gt;"", 'Cost Inputs'!$I$79&lt;&gt;"", 'Cost Inputs'!$J$79&lt;&gt;"")),
IF((INDEX(ProgramYearStage1,MATCH(DNA_Test_1,Years_in_Stage1,0)))='Model_ of_individuals'!B131,  _3_4_2, ""),"")</f>
        <v/>
      </c>
      <c r="D143" s="93" t="str">
        <f>IF(AND(C143&lt;&gt;"", 'Cost Inputs'!$G$79&lt;&gt;""), 'Cost Inputs'!$G$79, "")</f>
        <v/>
      </c>
      <c r="E143" s="93" t="str">
        <f>IF(AND(C143&lt;&gt;"", 'Cost Inputs'!$H$79&lt;&gt;""), 'Cost Inputs'!$H$79, "")</f>
        <v/>
      </c>
      <c r="F143" s="93" t="str">
        <f>IF(AND(C143&lt;&gt;"", 'Cost Inputs'!$I$79&lt;&gt;""), 'Cost Inputs'!$I$79, "")</f>
        <v/>
      </c>
      <c r="G143" s="93" t="str">
        <f t="shared" si="8"/>
        <v/>
      </c>
      <c r="H143" s="93" t="str">
        <f>IF(AND(C143&lt;&gt;"", 'Cost Inputs'!$J$79&lt;&gt;""), 'Cost Inputs'!$J$79, "")</f>
        <v/>
      </c>
      <c r="I143" s="93" t="str">
        <f t="shared" si="7"/>
        <v/>
      </c>
      <c r="J143" s="93" t="str">
        <f>IF(AND(C143&lt;&gt;"",('Cost Inputs'!$I$79+'Cost Inputs'!$J$79+'Cost Inputs'!$K$79)&gt;0), 'Cost Inputs'!$I$79+'Cost Inputs'!$J$79+'Cost Inputs'!$K$79, "")</f>
        <v/>
      </c>
      <c r="K143" s="93" t="str">
        <f>IF(AND(C143&lt;&gt;"", 'Cost Inputs'!$N$79&gt;0),'Cost Inputs'!$N$79,"")</f>
        <v/>
      </c>
      <c r="L143" s="93"/>
      <c r="M143" s="109"/>
      <c r="T143" s="372" t="str">
        <f>IF($O$3="N.B.C.",
IF(ISNUMBER($B$131),
IF($C143&lt;&gt;"",
IF('Cost Inputs'!$L$79="Y",
IF(ISNUMBER($P$55), $E143+($E$78*(($E143/$E$78)+$P$55)), $E143),
IF('Cost Inputs'!$L$79="N",
IF(AND(ISNUMBER('Cost Inputs'!$M$79), OR('Cost Inputs'!$M$79=1,'Cost Inputs'!$M$79=3)),
IF(ISNUMBER($P$55), $E143+($E$78*(($E143/$E$78)+$P$55)), $E143),""),"")), ""),""),"")</f>
        <v/>
      </c>
      <c r="U143" s="372" t="str">
        <f>IF($P$3="N.B.C.",
IF(ISNUMBER($B$131),
IF($C143&lt;&gt;"",
IF('Cost Inputs'!$L$79="Y",
IF(ISNUMBER($Q$55), $E143+($E$78*(($E143/$E$78)+$Q$55)), $E143),
IF('Cost Inputs'!$L$79="N",
IF(AND(ISNUMBER('Cost Inputs'!$M$79), OR('Cost Inputs'!$M$79=1,'Cost Inputs'!$M$79=2,'Cost Inputs'!$M$79=4)),
IF(ISNUMBER($Q$55), $E143+($E$78*(($E143/$E$78)+$Q$55)), $E143),""),"")), ""),""),"")</f>
        <v/>
      </c>
      <c r="V143" s="372" t="str">
        <f>IF($Q$3="N.B.C.",
IF(ISNUMBER($B$131),
IF($C143&lt;&gt;"",
IF('Cost Inputs'!$L$79="Y",
IF(ISNUMBER($R$55), $E143+($E$78*(($E143/$E$78)+$R$55)), $E143),
IF('Cost Inputs'!$L$79="N",
IF(AND(ISNUMBER('Cost Inputs'!$M$79), OR('Cost Inputs'!$M$79=1,'Cost Inputs'!$M$79=5)),
IF(ISNUMBER($R$55), $E143+($E$78*(($E143/$E$78)+$R$55)), $E143),""),"")), ""),""),"")</f>
        <v/>
      </c>
      <c r="W143" s="372" t="str">
        <f>IF($R$3="N.B.C.",
IF(ISNUMBER($B$131),
IF($C143&lt;&gt;"",
IF('Cost Inputs'!$L$79="Y",
IF(ISNUMBER($S$55), $E143+($E$78*(($E143/$E$78)+$S$55)), $E143),
IF('Cost Inputs'!$L$79="N",
IF(AND(ISNUMBER('Cost Inputs'!$M$79), OR('Cost Inputs'!$M$79=1,'Cost Inputs'!$M$79=2,'Cost Inputs'!$M$79=3,'Cost Inputs'!$M$79=6)),
IF(ISNUMBER($S$55), $E143+($E$78*(($E143/$E$78)+$S$55)), $E143),""),"")), ""),""),"")</f>
        <v/>
      </c>
      <c r="X143" s="372" t="str">
        <f>IF($S$3="N.B.C.",
IF(ISNUMBER($B$131),
IF($C143&lt;&gt;"",
IF('Cost Inputs'!$L$79="Y",
IF(ISNUMBER($T$55), $E143+($E$78*(($E143/$E$78)+$T$55)), $E143),
IF('Cost Inputs'!$L$79="N",
IF(AND(ISNUMBER('Cost Inputs'!$M$79), OR('Cost Inputs'!$M$79=1,'Cost Inputs'!$M$79=7)),
IF(ISNUMBER($T$55), $E143+($E$78*(($E143/$E$78)+$T$55)), $E143),""),"")), ""),""),"")</f>
        <v/>
      </c>
      <c r="Y143" s="372" t="str">
        <f>IF($T$3="N.B.C.",
IF(ISNUMBER($B$131),
IF($C143&lt;&gt;"",
IF('Cost Inputs'!$L$79="Y",
IF(ISNUMBER($U$55), $E143+($E$78*(($E143/$E$78)+$U$55)), $E143),
IF('Cost Inputs'!$L$79="N",
IF(AND(ISNUMBER('Cost Inputs'!$M$79), OR('Cost Inputs'!$M$79=1,'Cost Inputs'!$M$79=2,'Cost Inputs'!$M$79=4,'Cost Inputs'!$M$79=8)),
IF(ISNUMBER($U$55), $E143+($E$78*(($E143/$E$78)+$U$55)), $E143),""),"")), ""),""),"")</f>
        <v/>
      </c>
      <c r="Z143" s="372" t="str">
        <f>IF($U$3="N.B.C.",
IF(ISNUMBER($B$131),
IF($C143&lt;&gt;"",
IF('Cost Inputs'!$L$79="Y",
IF(ISNUMBER($V$55), $E143+($E$78*(($E143/$E$78)+$V$55)), $E143),
IF('Cost Inputs'!$L$79="N",
IF(AND(ISNUMBER('Cost Inputs'!$M$79), OR('Cost Inputs'!$M$79=1,'Cost Inputs'!$M$79=3,'Cost Inputs'!$M$79=9)),
IF(ISNUMBER($V$55), $E143+($E$78*(($E143/$E$78)+$V$55)), $E143),""),"")), ""),""),"")</f>
        <v/>
      </c>
      <c r="AA143" s="372" t="str">
        <f>IF($V$3="N.B.C.",
IF(ISNUMBER($B$131),
IF($C143&lt;&gt;"",
IF('Cost Inputs'!$L$79="Y",
IF(ISNUMBER($W$55), $E143+($E$78*(($E143/$E$78)+$W$55)), $E143),
IF('Cost Inputs'!$L$79="N",
IF(AND(ISNUMBER('Cost Inputs'!$M$79), OR('Cost Inputs'!$M$79=1,'Cost Inputs'!$M$79=2,'Cost Inputs'!$M$79=5)),
IF(ISNUMBER($W$55), $E143+($E$78*(($E143/$E$78)+$W$55)), $E143),""),"")), ""),""),"")</f>
        <v/>
      </c>
      <c r="AB143" s="372" t="str">
        <f>IF($W$3="N.B.C.",
IF(ISNUMBER($B$131),
IF($C143&lt;&gt;"",
IF('Cost Inputs'!$L$79="Y",
IF(ISNUMBER($X$55), $E143+($E$78*(($E143/$E$78)+$X$55)), $E143),
IF('Cost Inputs'!$L$79="N",
IF(AND(ISNUMBER('Cost Inputs'!$M$79), OR('Cost Inputs'!$M$79=1)),
IF(ISNUMBER($X$55), $E143+($E$78*(($E143/$E$78)+$X$55)), $E143),""),"")), ""),""),"")</f>
        <v/>
      </c>
      <c r="AC143" s="372" t="str">
        <f>IF($X$3="N.B.C.",
IF(ISNUMBER($B$131),
IF($C143&lt;&gt;"",
IF('Cost Inputs'!$L$79="Y",
IF(ISNUMBER($Y$55), $E143+($E$78*(($E143/$E$78)+$Y$55)), $E143),
IF('Cost Inputs'!$L$79="N",
IF(AND(ISNUMBER('Cost Inputs'!$M$79), OR('Cost Inputs'!$M$79=1,'Cost Inputs'!$M$79=2,'Cost Inputs'!$M$79=3,'Cost Inputs'!$M$79=4,'Cost Inputs'!$M$79=6)),
IF(ISNUMBER($Y$55), $E143+($E$78*(($E143/$E$78)+$Y$55)), $E143),""),"")), ""),""),"")</f>
        <v/>
      </c>
    </row>
    <row r="144" spans="1:29" x14ac:dyDescent="0.25">
      <c r="A144" s="518"/>
      <c r="B144" s="504"/>
      <c r="C144" s="358" t="str">
        <f>IF(AND(ISNUMBER(B131), OR('Cost Inputs'!$H$80&lt;&gt;"", 'Cost Inputs'!$I$80&lt;&gt;"", 'Cost Inputs'!$J$80&lt;&gt;"")),
IF((INDEX(ProgramYearStage1,MATCH(DNA_Test_1,Years_in_Stage1,0)))='Model_ of_individuals'!B131,  _3_4_3, ""),"")</f>
        <v/>
      </c>
      <c r="D144" s="17" t="str">
        <f>IF(AND(C144&lt;&gt;"", 'Cost Inputs'!$G$80&lt;&gt;""), 'Cost Inputs'!$G$80, "")</f>
        <v/>
      </c>
      <c r="E144" s="17" t="str">
        <f>IF(AND(C144&lt;&gt;"", 'Cost Inputs'!$H$80&lt;&gt;""), 'Cost Inputs'!$H$80, "")</f>
        <v/>
      </c>
      <c r="F144" s="17" t="str">
        <f>IF(AND(C144&lt;&gt;"", 'Cost Inputs'!$I$80&lt;&gt;""), 'Cost Inputs'!$I$80, "")</f>
        <v/>
      </c>
      <c r="G144" s="17" t="str">
        <f t="shared" si="8"/>
        <v/>
      </c>
      <c r="H144" s="17" t="str">
        <f>IF(AND(C144&lt;&gt;"", 'Cost Inputs'!$J$80&lt;&gt;""), 'Cost Inputs'!$J$80, "")</f>
        <v/>
      </c>
      <c r="I144" s="17" t="str">
        <f t="shared" si="7"/>
        <v/>
      </c>
      <c r="J144" s="17" t="str">
        <f>IF(AND(C144&lt;&gt;"",('Cost Inputs'!$I$80+'Cost Inputs'!$J$80+'Cost Inputs'!$K$80)&gt;0), 'Cost Inputs'!$I$80+'Cost Inputs'!$J$80+'Cost Inputs'!$K$80, "")</f>
        <v/>
      </c>
      <c r="K144" s="17" t="str">
        <f>IF(AND(C144&lt;&gt;"", 'Cost Inputs'!$N$80&gt;0),'Cost Inputs'!$N$80,"")</f>
        <v/>
      </c>
      <c r="M144" s="106"/>
      <c r="T144" s="364" t="str">
        <f>IF($O$3="N.B.C.",
IF(ISNUMBER($B$131),
IF($C144&lt;&gt;"",
IF('Cost Inputs'!$L$80="Y",
IF(ISNUMBER($P$55), $E144+($E$78*(($E144/$E$78)+$P$55)), $E144),
IF('Cost Inputs'!$L$80="N",
IF(AND(ISNUMBER('Cost Inputs'!$M$80), OR('Cost Inputs'!$M$80=1,'Cost Inputs'!$M$80=3)),
IF(ISNUMBER($P$55), $E144+($E$78*(($E144/$E$78)+$P$55)), $E144),""),"")), ""),""),"")</f>
        <v/>
      </c>
      <c r="U144" s="364" t="str">
        <f>IF($P$3="N.B.C.",
IF(ISNUMBER($B$131),
IF($C144&lt;&gt;"",
IF('Cost Inputs'!$L$80="Y",
IF(ISNUMBER($Q$55), $E144+($E$78*(($E144/$E$78)+$Q$55)), $E144),
IF('Cost Inputs'!$L$80="N",
IF(AND(ISNUMBER('Cost Inputs'!$M$80), OR('Cost Inputs'!$M$80=1,'Cost Inputs'!$M$80=2,'Cost Inputs'!$M$80=4)),
IF(ISNUMBER($Q$55), $E144+($E$78*(($E144/$E$78)+$Q$55)), $E144),""),"")), ""),""),"")</f>
        <v/>
      </c>
      <c r="V144" s="364" t="str">
        <f>IF($Q$3="N.B.C.",
IF(ISNUMBER($B$131),
IF($C144&lt;&gt;"",
IF('Cost Inputs'!$L$80="Y",
IF(ISNUMBER($R$55), $E144+($E$78*(($E144/$E$78)+$R$55)), $E144),
IF('Cost Inputs'!$L$80="N",
IF(AND(ISNUMBER('Cost Inputs'!$M$80), OR('Cost Inputs'!$M$80=1,'Cost Inputs'!$M$80=5)),
IF(ISNUMBER($R$55), $E144+($E$78*(($E144/$E$78)+$R$55)), $E144),""),"")), ""),""),"")</f>
        <v/>
      </c>
      <c r="W144" s="364" t="str">
        <f>IF($R$3="N.B.C.",
IF(ISNUMBER($B$131),
IF($C144&lt;&gt;"",
IF('Cost Inputs'!$L$80="Y",
IF(ISNUMBER($S$55), $E144+($E$78*(($E144/$E$78)+$S$55)), $E144),
IF('Cost Inputs'!$L$80="N",
IF(AND(ISNUMBER('Cost Inputs'!$M$80), OR('Cost Inputs'!$M$80=1,'Cost Inputs'!$M$80=2,'Cost Inputs'!$M$80=3,'Cost Inputs'!$M$80=6)),
IF(ISNUMBER($S$55), $E144+($E$78*(($E144/$E$78)+$S$55)), $E144),""),"")), ""),""),"")</f>
        <v/>
      </c>
      <c r="X144" s="364" t="str">
        <f>IF($S$3="N.B.C.",
IF(ISNUMBER($B$131),
IF($C144&lt;&gt;"",
IF('Cost Inputs'!$L$80="Y",
IF(ISNUMBER($T$55), $E144+($E$78*(($E144/$E$78)+$T$55)), $E144),
IF('Cost Inputs'!$L$80="N",
IF(AND(ISNUMBER('Cost Inputs'!$M$80), OR('Cost Inputs'!$M$80=1,'Cost Inputs'!$M$80=7)),
IF(ISNUMBER($T$55), $E144+($E$78*(($E144/$E$78)+$T$55)), $E144),""),"")), ""),""),"")</f>
        <v/>
      </c>
      <c r="Y144" s="364" t="str">
        <f>IF($T$3="N.B.C.",
IF(ISNUMBER($B$131),
IF($C144&lt;&gt;"",
IF('Cost Inputs'!$L$80="Y",
IF(ISNUMBER($U$55), $E144+($E$78*(($E144/$E$78)+$U$55)), $E144),
IF('Cost Inputs'!$L$80="N",
IF(AND(ISNUMBER('Cost Inputs'!$M$80), OR('Cost Inputs'!$M$80=1,'Cost Inputs'!$M$80=2,'Cost Inputs'!$M$80=4,'Cost Inputs'!$M$80=8)),
IF(ISNUMBER($U$55), $E144+($E$78*(($E144/$E$78)+$U$55)), $E144),""),"")), ""),""),"")</f>
        <v/>
      </c>
      <c r="Z144" s="364" t="str">
        <f>IF($U$3="N.B.C.",
IF(ISNUMBER($B$131),
IF($C144&lt;&gt;"",
IF('Cost Inputs'!$L$80="Y",
IF(ISNUMBER($V$55), $E144+($E$78*(($E144/$E$78)+$V$55)), $E144),
IF('Cost Inputs'!$L$80="N",
IF(AND(ISNUMBER('Cost Inputs'!$M$80), OR('Cost Inputs'!$M$80=1,'Cost Inputs'!$M$80=3,'Cost Inputs'!$M$80=9)),
IF(ISNUMBER($V$55), $E144+($E$78*(($E144/$E$78)+$V$55)), $E144),""),"")), ""),""),"")</f>
        <v/>
      </c>
      <c r="AA144" s="364" t="str">
        <f>IF($V$3="N.B.C.",
IF(ISNUMBER($B$131),
IF($C144&lt;&gt;"",
IF('Cost Inputs'!$L$80="Y",
IF(ISNUMBER($W$55), $E144+($E$78*(($E144/$E$78)+$W$55)), $E144),
IF('Cost Inputs'!$L$80="N",
IF(AND(ISNUMBER('Cost Inputs'!$M$80), OR('Cost Inputs'!$M$80=1,'Cost Inputs'!$M$80=2,'Cost Inputs'!$M$80=5)),
IF(ISNUMBER($W$55), $E144+($E$78*(($E144/$E$78)+$W$55)), $E144),""),"")), ""),""),"")</f>
        <v/>
      </c>
      <c r="AB144" s="364" t="str">
        <f>IF($W$3="N.B.C.",
IF(ISNUMBER($B$131),
IF($C144&lt;&gt;"",
IF('Cost Inputs'!$L$80="Y",
IF(ISNUMBER($X$55), $E144+($E$78*(($E144/$E$78)+$X$55)), $E144),
IF('Cost Inputs'!$L$80="N",
IF(AND(ISNUMBER('Cost Inputs'!$M$80), OR('Cost Inputs'!$M$80=1)),
IF(ISNUMBER($X$55), $E144+($E$78*(($E144/$E$78)+$X$55)), $E144),""),"")), ""),""),"")</f>
        <v/>
      </c>
      <c r="AC144" s="364" t="str">
        <f>IF($X$3="N.B.C.",
IF(ISNUMBER($B$131),
IF($C144&lt;&gt;"",
IF('Cost Inputs'!$L$80="Y",
IF(ISNUMBER($Y$55), $E144+($E$78*(($E144/$E$78)+$Y$55)), $E144),
IF('Cost Inputs'!$L$80="N",
IF(AND(ISNUMBER('Cost Inputs'!$M$80), OR('Cost Inputs'!$M$80=1,'Cost Inputs'!$M$80=2,'Cost Inputs'!$M$80=3,'Cost Inputs'!$M$80=4,'Cost Inputs'!$M$80=6)),
IF(ISNUMBER($Y$55), $E144+($E$78*(($E144/$E$78)+$Y$55)), $E144),""),"")), ""),""),"")</f>
        <v/>
      </c>
    </row>
    <row r="145" spans="1:30" x14ac:dyDescent="0.25">
      <c r="A145" s="518"/>
      <c r="B145" s="504"/>
      <c r="C145" s="361" t="str">
        <f>IF(AND(ISNUMBER(B131), OR('Cost Inputs'!$H$81&lt;&gt;"", 'Cost Inputs'!$I$81&lt;&gt;"", 'Cost Inputs'!$J$81&lt;&gt;"")),
IF((INDEX(ProgramYearStage1,MATCH(DNA_Test_1,Years_in_Stage1,0)))='Model_ of_individuals'!B131,  _3_4_4, ""),"")</f>
        <v/>
      </c>
      <c r="D145" s="93" t="str">
        <f>IF(AND(C145&lt;&gt;"", 'Cost Inputs'!$G$81&lt;&gt;""), 'Cost Inputs'!$G$81, "")</f>
        <v/>
      </c>
      <c r="E145" s="93" t="str">
        <f>IF(AND(C145&lt;&gt;"", 'Cost Inputs'!$H$81&lt;&gt;""), 'Cost Inputs'!$H$81, "")</f>
        <v/>
      </c>
      <c r="F145" s="93" t="str">
        <f>IF(AND(C145&lt;&gt;"", 'Cost Inputs'!$I$81&lt;&gt;""), 'Cost Inputs'!$I$81, "")</f>
        <v/>
      </c>
      <c r="G145" s="93" t="str">
        <f t="shared" si="8"/>
        <v/>
      </c>
      <c r="H145" s="93" t="str">
        <f>IF(AND(C145&lt;&gt;"", 'Cost Inputs'!$J$81&lt;&gt;""), 'Cost Inputs'!$J$81, "")</f>
        <v/>
      </c>
      <c r="I145" s="93" t="str">
        <f t="shared" si="7"/>
        <v/>
      </c>
      <c r="J145" s="93" t="str">
        <f>IF(AND(C145&lt;&gt;"",('Cost Inputs'!$I$81+'Cost Inputs'!$J$81+'Cost Inputs'!$K$81)&gt;0), 'Cost Inputs'!$I$81+'Cost Inputs'!$J$81+'Cost Inputs'!$K$81, "")</f>
        <v/>
      </c>
      <c r="K145" s="93" t="str">
        <f>IF(AND(C145&lt;&gt;"", 'Cost Inputs'!$N$81&gt;0),'Cost Inputs'!$N$81,"")</f>
        <v/>
      </c>
      <c r="L145" s="93"/>
      <c r="M145" s="109"/>
      <c r="T145" s="372" t="str">
        <f>IF($O$3="N.B.C.",
IF(ISNUMBER($B$131),
IF($C145&lt;&gt;"",
IF('Cost Inputs'!$L$81="Y",
IF(ISNUMBER($P$55), $E145+($E$78*(($E145/$E$78)+$P$55)), $E145),
IF('Cost Inputs'!$L$81="N",
IF(AND(ISNUMBER('Cost Inputs'!$M$81), OR('Cost Inputs'!$M$81=1,'Cost Inputs'!$M$81=3)),
IF(ISNUMBER($P$55), $E145+($E$78*(($E145/$E$78)+$P$55)), $E145),""),"")), ""),""),"")</f>
        <v/>
      </c>
      <c r="U145" s="372" t="str">
        <f>IF($P$3="N.B.C.",
IF(ISNUMBER($B$131),
IF($C145&lt;&gt;"",
IF('Cost Inputs'!$L$81="Y",
IF(ISNUMBER($Q$55), $E145+($E$78*(($E145/$E$78)+$Q$55)), $E145),
IF('Cost Inputs'!$L$81="N",
IF(AND(ISNUMBER('Cost Inputs'!$M$81), OR('Cost Inputs'!$M$81=1,'Cost Inputs'!$M$81=2,'Cost Inputs'!$M$81=4)),
IF(ISNUMBER($Q$55), $E145+($E$78*(($E145/$E$78)+$Q$55)), $E145),""),"")), ""),""),"")</f>
        <v/>
      </c>
      <c r="V145" s="372" t="str">
        <f>IF($Q$3="N.B.C.",
IF(ISNUMBER($B$131),
IF($C145&lt;&gt;"",
IF('Cost Inputs'!$L$81="Y",
IF(ISNUMBER($R$55), $E145+($E$78*(($E145/$E$78)+$R$55)), $E145),
IF('Cost Inputs'!$L$81="N",
IF(AND(ISNUMBER('Cost Inputs'!$M$81), OR('Cost Inputs'!$M$81=1,'Cost Inputs'!$M$81=5)),
IF(ISNUMBER($R$55), $E145+($E$78*(($E145/$E$78)+$R$55)), $E145),""),"")), ""),""),"")</f>
        <v/>
      </c>
      <c r="W145" s="372" t="str">
        <f>IF($R$3="N.B.C.",
IF(ISNUMBER($B$131),
IF($C145&lt;&gt;"",
IF('Cost Inputs'!$L$81="Y",
IF(ISNUMBER($S$55), $E145+($E$78*(($E145/$E$78)+$S$55)), $E145),
IF('Cost Inputs'!$L$81="N",
IF(AND(ISNUMBER('Cost Inputs'!$M$81), OR('Cost Inputs'!$M$81=1,'Cost Inputs'!$M$81=2,'Cost Inputs'!$M$81=3,'Cost Inputs'!$M$81=6)),
IF(ISNUMBER($S$55), $E145+($E$78*(($E145/$E$78)+$S$55)), $E145),""),"")), ""),""),"")</f>
        <v/>
      </c>
      <c r="X145" s="372" t="str">
        <f>IF($S$3="N.B.C.",
IF(ISNUMBER($B$131),
IF($C145&lt;&gt;"",
IF('Cost Inputs'!$L$81="Y",
IF(ISNUMBER($T$55), $E145+($E$78*(($E145/$E$78)+$T$55)), $E145),
IF('Cost Inputs'!$L$81="N",
IF(AND(ISNUMBER('Cost Inputs'!$M$81), OR('Cost Inputs'!$M$81=1,'Cost Inputs'!$M$81=7)),
IF(ISNUMBER($T$55), $E145+($E$78*(($E145/$E$78)+$T$55)), $E145),""),"")), ""),""),"")</f>
        <v/>
      </c>
      <c r="Y145" s="372" t="str">
        <f>IF($T$3="N.B.C.",
IF(ISNUMBER($B$131),
IF($C145&lt;&gt;"",
IF('Cost Inputs'!$L$81="Y",
IF(ISNUMBER($U$55), $E145+($E$78*(($E145/$E$78)+$U$55)), $E145),
IF('Cost Inputs'!$L$81="N",
IF(AND(ISNUMBER('Cost Inputs'!$M$81), OR('Cost Inputs'!$M$81=1,'Cost Inputs'!$M$81=2,'Cost Inputs'!$M$81=4,'Cost Inputs'!$M$81=8)),
IF(ISNUMBER($U$55), $E145+($E$78*(($E145/$E$78)+$U$55)), $E145),""),"")), ""),""),"")</f>
        <v/>
      </c>
      <c r="Z145" s="372" t="str">
        <f>IF($U$3="N.B.C.",
IF(ISNUMBER($B$131),
IF($C145&lt;&gt;"",
IF('Cost Inputs'!$L$81="Y",
IF(ISNUMBER($V$55), $E145+($E$78*(($E145/$E$78)+$V$55)), $E145),
IF('Cost Inputs'!$L$81="N",
IF(AND(ISNUMBER('Cost Inputs'!$M$81), OR('Cost Inputs'!$M$81=1,'Cost Inputs'!$M$81=3,'Cost Inputs'!$M$81=9)),
IF(ISNUMBER($V$55), $E145+($E$78*(($E145/$E$78)+$V$55)), $E145),""),"")), ""),""),"")</f>
        <v/>
      </c>
      <c r="AA145" s="372" t="str">
        <f>IF($V$3="N.B.C.",
IF(ISNUMBER($B$131),
IF($C145&lt;&gt;"",
IF('Cost Inputs'!$L$81="Y",
IF(ISNUMBER($W$55), $E145+($E$78*(($E145/$E$78)+$W$55)), $E145),
IF('Cost Inputs'!$L$81="N",
IF(AND(ISNUMBER('Cost Inputs'!$M$81), OR('Cost Inputs'!$M$81=1,'Cost Inputs'!$M$81=2,'Cost Inputs'!$M$81=5)),
IF(ISNUMBER($W$55), $E145+($E$78*(($E145/$E$78)+$W$55)), $E145),""),"")), ""),""),"")</f>
        <v/>
      </c>
      <c r="AB145" s="372" t="str">
        <f>IF($W$3="N.B.C.",
IF(ISNUMBER($B$131),
IF($C145&lt;&gt;"",
IF('Cost Inputs'!$L$81="Y",
IF(ISNUMBER($X$55), $E145+($E$78*(($E145/$E$78)+$X$55)), $E145),
IF('Cost Inputs'!$L$81="N",
IF(AND(ISNUMBER('Cost Inputs'!$M$81), OR('Cost Inputs'!$M$81=1)),
IF(ISNUMBER($X$55), $E145+($E$78*(($E145/$E$78)+$X$55)), $E145),""),"")), ""),""),"")</f>
        <v/>
      </c>
      <c r="AC145" s="372" t="str">
        <f>IF($X$3="N.B.C.",
IF(ISNUMBER($B$131),
IF($C145&lt;&gt;"",
IF('Cost Inputs'!$L$81="Y",
IF(ISNUMBER($Y$55), $E145+($E$78*(($E145/$E$78)+$Y$55)), $E145),
IF('Cost Inputs'!$L$81="N",
IF(AND(ISNUMBER('Cost Inputs'!$M$81), OR('Cost Inputs'!$M$81=1,'Cost Inputs'!$M$81=2,'Cost Inputs'!$M$81=3,'Cost Inputs'!$M$81=4,'Cost Inputs'!$M$81=6)),
IF(ISNUMBER($Y$55), $E145+($E$78*(($E145/$E$78)+$Y$55)), $E145),""),"")), ""),""),"")</f>
        <v/>
      </c>
    </row>
    <row r="146" spans="1:30" x14ac:dyDescent="0.25">
      <c r="A146" s="518"/>
      <c r="B146" s="504"/>
      <c r="C146" s="358" t="str">
        <f>IF(AND(ISNUMBER(B131), OR('Cost Inputs'!$H$82&lt;&gt;"", 'Cost Inputs'!$I$82&lt;&gt;"", 'Cost Inputs'!$J$82&lt;&gt;"")),
IF((INDEX(ProgramYearStage1,MATCH(DNA_Test_1,Years_in_Stage1,0)))='Model_ of_individuals'!B131,  _3_4_5, ""),"")</f>
        <v/>
      </c>
      <c r="D146" s="17" t="str">
        <f>IF(AND(C146&lt;&gt;"", 'Cost Inputs'!$G$82&lt;&gt;""), 'Cost Inputs'!$G$82, "")</f>
        <v/>
      </c>
      <c r="E146" s="17" t="str">
        <f>IF(AND(C146&lt;&gt;"", 'Cost Inputs'!$H$82&lt;&gt;""), 'Cost Inputs'!$H$82, "")</f>
        <v/>
      </c>
      <c r="F146" s="17" t="str">
        <f>IF(AND(C146&lt;&gt;"", 'Cost Inputs'!$I$82&lt;&gt;""), 'Cost Inputs'!$I$82, "")</f>
        <v/>
      </c>
      <c r="G146" s="17" t="str">
        <f t="shared" si="8"/>
        <v/>
      </c>
      <c r="H146" s="17" t="str">
        <f>IF(AND(C146&lt;&gt;"", 'Cost Inputs'!$J$82&lt;&gt;""), 'Cost Inputs'!$J$82, "")</f>
        <v/>
      </c>
      <c r="I146" s="17" t="str">
        <f t="shared" si="7"/>
        <v/>
      </c>
      <c r="J146" s="17" t="str">
        <f>IF(AND(C146&lt;&gt;"",('Cost Inputs'!$I$82+'Cost Inputs'!$J$82+'Cost Inputs'!$K$82)&gt;0), 'Cost Inputs'!$I$82+'Cost Inputs'!$J$82+'Cost Inputs'!$K$82, "")</f>
        <v/>
      </c>
      <c r="K146" s="17" t="str">
        <f>IF(AND(C146&lt;&gt;"", 'Cost Inputs'!$N$82&gt;0),'Cost Inputs'!$N$82,"")</f>
        <v/>
      </c>
      <c r="M146" s="106"/>
      <c r="T146" s="364" t="str">
        <f>IF($O$3="N.B.C.",
IF(ISNUMBER($B$131),
IF($C146&lt;&gt;"",
IF('Cost Inputs'!$L$82="Y",
IF(ISNUMBER($P$55), $E146+($E$78*(($E146/$E$78)+$P$55)), $E146),
IF('Cost Inputs'!$L$82="N",
IF(AND(ISNUMBER('Cost Inputs'!$M$82), OR('Cost Inputs'!$M$82=1,'Cost Inputs'!$M$82=3)),
IF(ISNUMBER($P$55), $E146+($E$78*(($E146/$E$78)+$P$55)), $E146),""),"")), ""),""),"")</f>
        <v/>
      </c>
      <c r="U146" s="364" t="str">
        <f>IF($P$3="N.B.C.",
IF(ISNUMBER($B$131),
IF($C146&lt;&gt;"",
IF('Cost Inputs'!$L$82="Y",
IF(ISNUMBER($Q$55), $E146+($E$78*(($E146/$E$78)+$Q$55)), $E146),
IF('Cost Inputs'!$L$82="N",
IF(AND(ISNUMBER('Cost Inputs'!$M$82), OR('Cost Inputs'!$M$82=1,'Cost Inputs'!$M$82=2,'Cost Inputs'!$M$82=4)),
IF(ISNUMBER($Q$55), $E146+($E$78*(($E146/$E$78)+$Q$55)), $E146),""),"")), ""),""),"")</f>
        <v/>
      </c>
      <c r="V146" s="364" t="str">
        <f>IF($Q$3="N.B.C.",
IF(ISNUMBER($B$131),
IF($C146&lt;&gt;"",
IF('Cost Inputs'!$L$82="Y",
IF(ISNUMBER($R$55), $E146+($E$78*(($E146/$E$78)+$R$55)), $E146),
IF('Cost Inputs'!$L$82="N",
IF(AND(ISNUMBER('Cost Inputs'!$M$82), OR('Cost Inputs'!$M$82=1,'Cost Inputs'!$M$82=5)),
IF(ISNUMBER($R$55), $E146+($E$78*(($E146/$E$78)+$R$55)), $E146),""),"")), ""),""),"")</f>
        <v/>
      </c>
      <c r="W146" s="364" t="str">
        <f>IF($R$3="N.B.C.",
IF(ISNUMBER($B$131),
IF($C146&lt;&gt;"",
IF('Cost Inputs'!$L$82="Y",
IF(ISNUMBER($S$55), $E146+($E$78*(($E146/$E$78)+$S$55)), $E146),
IF('Cost Inputs'!$L$82="N",
IF(AND(ISNUMBER('Cost Inputs'!$M$82), OR('Cost Inputs'!$M$82=1,'Cost Inputs'!$M$82=2,'Cost Inputs'!$M$82=3,'Cost Inputs'!$M$82=6)),
IF(ISNUMBER($S$55), $E146+($E$78*(($E146/$E$78)+$S$55)), $E146),""),"")), ""),""),"")</f>
        <v/>
      </c>
      <c r="X146" s="364" t="str">
        <f>IF($S$3="N.B.C.",
IF(ISNUMBER($B$131),
IF($C146&lt;&gt;"",
IF('Cost Inputs'!$L$82="Y",
IF(ISNUMBER($T$55), $E146+($E$78*(($E146/$E$78)+$T$55)), $E146),
IF('Cost Inputs'!$L$82="N",
IF(AND(ISNUMBER('Cost Inputs'!$M$82), OR('Cost Inputs'!$M$82=1,'Cost Inputs'!$M$82=7)),
IF(ISNUMBER($T$55), $E146+($E$78*(($E146/$E$78)+$T$55)), $E146),""),"")), ""),""),"")</f>
        <v/>
      </c>
      <c r="Y146" s="364" t="str">
        <f>IF($T$3="N.B.C.",
IF(ISNUMBER($B$131),
IF($C146&lt;&gt;"",
IF('Cost Inputs'!$L$82="Y",
IF(ISNUMBER($U$55), $E146+($E$78*(($E146/$E$78)+$U$55)), $E146),
IF('Cost Inputs'!$L$82="N",
IF(AND(ISNUMBER('Cost Inputs'!$M$82), OR('Cost Inputs'!$M$82=1,'Cost Inputs'!$M$82=2,'Cost Inputs'!$M$82=4,'Cost Inputs'!$M$82=8)),
IF(ISNUMBER($U$55), $E146+($E$78*(($E146/$E$78)+$U$55)), $E146),""),"")), ""),""),"")</f>
        <v/>
      </c>
      <c r="Z146" s="364" t="str">
        <f>IF($U$3="N.B.C.",
IF(ISNUMBER($B$131),
IF($C146&lt;&gt;"",
IF('Cost Inputs'!$L$82="Y",
IF(ISNUMBER($V$55), $E146+($E$78*(($E146/$E$78)+$V$55)), $E146),
IF('Cost Inputs'!$L$82="N",
IF(AND(ISNUMBER('Cost Inputs'!$M$82), OR('Cost Inputs'!$M$82=1,'Cost Inputs'!$M$82=3,'Cost Inputs'!$M$82=9)),
IF(ISNUMBER($V$55), $E146+($E$78*(($E146/$E$78)+$V$55)), $E146),""),"")), ""),""),"")</f>
        <v/>
      </c>
      <c r="AA146" s="364" t="str">
        <f>IF($V$3="N.B.C.",
IF(ISNUMBER($B$131),
IF($C146&lt;&gt;"",
IF('Cost Inputs'!$L$82="Y",
IF(ISNUMBER($W$55), $E146+($E$78*(($E146/$E$78)+$W$55)), $E146),
IF('Cost Inputs'!$L$82="N",
IF(AND(ISNUMBER('Cost Inputs'!$M$82), OR('Cost Inputs'!$M$82=1,'Cost Inputs'!$M$82=2,'Cost Inputs'!$M$82=5)),
IF(ISNUMBER($W$55), $E146+($E$78*(($E146/$E$78)+$W$55)), $E146),""),"")), ""),""),"")</f>
        <v/>
      </c>
      <c r="AB146" s="364" t="str">
        <f>IF($W$3="N.B.C.",
IF(ISNUMBER($B$131),
IF($C146&lt;&gt;"",
IF('Cost Inputs'!$L$82="Y",
IF(ISNUMBER($X$55), $E146+($E$78*(($E146/$E$78)+$X$55)), $E146),
IF('Cost Inputs'!$L$82="N",
IF(AND(ISNUMBER('Cost Inputs'!$M$82), OR('Cost Inputs'!$M$82=1)),
IF(ISNUMBER($X$55), $E146+($E$78*(($E146/$E$78)+$X$55)), $E146),""),"")), ""),""),"")</f>
        <v/>
      </c>
      <c r="AC146" s="364" t="str">
        <f>IF($X$3="N.B.C.",
IF(ISNUMBER($B$131),
IF($C146&lt;&gt;"",
IF('Cost Inputs'!$L$82="Y",
IF(ISNUMBER($Y$55), $E146+($E$78*(($E146/$E$78)+$Y$55)), $E146),
IF('Cost Inputs'!$L$82="N",
IF(AND(ISNUMBER('Cost Inputs'!$M$82), OR('Cost Inputs'!$M$82=1,'Cost Inputs'!$M$82=2,'Cost Inputs'!$M$82=3,'Cost Inputs'!$M$82=4,'Cost Inputs'!$M$82=6)),
IF(ISNUMBER($Y$55), $E146+($E$78*(($E146/$E$78)+$Y$55)), $E146),""),"")), ""),""),"")</f>
        <v/>
      </c>
    </row>
    <row r="147" spans="1:30" x14ac:dyDescent="0.25">
      <c r="A147" s="518"/>
      <c r="B147" s="504"/>
      <c r="C147" s="361" t="str">
        <f>IF(AND(ISNUMBER(B131), OR('Cost Inputs'!$H$83&lt;&gt;"", 'Cost Inputs'!$I$83&lt;&gt;"", 'Cost Inputs'!$J$83&lt;&gt;"")),
IF((INDEX(ProgramYearStage1,MATCH(DNA_Test_1,Years_in_Stage1,0)))='Model_ of_individuals'!B131,  _3_4_6, ""),"")</f>
        <v/>
      </c>
      <c r="D147" s="93" t="str">
        <f>IF(AND(C147&lt;&gt;"", 'Cost Inputs'!$G$83&lt;&gt;""), 'Cost Inputs'!$G$83, "")</f>
        <v/>
      </c>
      <c r="E147" s="93" t="str">
        <f>IF(AND(C147&lt;&gt;"", 'Cost Inputs'!$H$83&lt;&gt;""), 'Cost Inputs'!$H$83, "")</f>
        <v/>
      </c>
      <c r="F147" s="93" t="str">
        <f>IF(AND(C147&lt;&gt;"", 'Cost Inputs'!$I$83&lt;&gt;""), 'Cost Inputs'!$I$83, "")</f>
        <v/>
      </c>
      <c r="G147" s="93" t="str">
        <f t="shared" si="8"/>
        <v/>
      </c>
      <c r="H147" s="93" t="str">
        <f>IF(AND(C147&lt;&gt;"", 'Cost Inputs'!$J$83&lt;&gt;""), 'Cost Inputs'!$J$83, "")</f>
        <v/>
      </c>
      <c r="I147" s="93" t="str">
        <f t="shared" si="7"/>
        <v/>
      </c>
      <c r="J147" s="93" t="str">
        <f>IF(AND(C147&lt;&gt;"",('Cost Inputs'!$I$83+'Cost Inputs'!$J$83+'Cost Inputs'!$K$83)&gt;0), 'Cost Inputs'!$I$83+'Cost Inputs'!$J$83+'Cost Inputs'!$K$83, "")</f>
        <v/>
      </c>
      <c r="K147" s="93" t="str">
        <f>IF(AND(C147&lt;&gt;"", 'Cost Inputs'!$N$83&gt;0),'Cost Inputs'!$N$83,"")</f>
        <v/>
      </c>
      <c r="L147" s="93"/>
      <c r="M147" s="109"/>
      <c r="T147" s="372" t="str">
        <f>IF($O$3="N.B.C.",
IF(ISNUMBER($B$131),
IF($C147&lt;&gt;"",
IF('Cost Inputs'!$L$83="Y",
IF(ISNUMBER($P$55), $E147+($E$78*(($E147/$E$78)+$P$55)), $E147),
IF('Cost Inputs'!$L$83="N",
IF(AND(ISNUMBER('Cost Inputs'!$M$83), OR('Cost Inputs'!$M$83=1,'Cost Inputs'!$M$83=3)),
IF(ISNUMBER($P$55), $E147+($E$78*(($E147/$E$78)+$P$55)), $E147),""),"")), ""),""),"")</f>
        <v/>
      </c>
      <c r="U147" s="372" t="str">
        <f>IF($P$3="N.B.C.",
IF(ISNUMBER($B$131),
IF($C147&lt;&gt;"",
IF('Cost Inputs'!$L$83="Y",
IF(ISNUMBER($Q$55), $E147+($E$78*(($E147/$E$78)+$Q$55)), $E147),
IF('Cost Inputs'!$L$83="N",
IF(AND(ISNUMBER('Cost Inputs'!$M$83), OR('Cost Inputs'!$M$83=1,'Cost Inputs'!$M$83=2,'Cost Inputs'!$M$83=4)),
IF(ISNUMBER($Q$55), $E147+($E$78*(($E147/$E$78)+$Q$55)), $E147),""),"")), ""),""),"")</f>
        <v/>
      </c>
      <c r="V147" s="372" t="str">
        <f>IF($Q$3="N.B.C.",
IF(ISNUMBER($B$131),
IF($C147&lt;&gt;"",
IF('Cost Inputs'!$L$83="Y",
IF(ISNUMBER($R$55), $E147+($E$78*(($E147/$E$78)+$R$55)), $E147),
IF('Cost Inputs'!$L$83="N",
IF(AND(ISNUMBER('Cost Inputs'!$M$83), OR('Cost Inputs'!$M$83=1,'Cost Inputs'!$M$83=5)),
IF(ISNUMBER($R$55), $E147+($E$78*(($E147/$E$78)+$R$55)), $E147),""),"")), ""),""),"")</f>
        <v/>
      </c>
      <c r="W147" s="372" t="str">
        <f>IF($R$3="N.B.C.",
IF(ISNUMBER($B$131),
IF($C147&lt;&gt;"",
IF('Cost Inputs'!$L$83="Y",
IF(ISNUMBER($S$55), $E147+($E$78*(($E147/$E$78)+$S$55)), $E147),
IF('Cost Inputs'!$L$83="N",
IF(AND(ISNUMBER('Cost Inputs'!$M$83), OR('Cost Inputs'!$M$83=1,'Cost Inputs'!$M$83=2,'Cost Inputs'!$M$83=3,'Cost Inputs'!$M$83=6)),
IF(ISNUMBER($S$55), $E147+($E$78*(($E147/$E$78)+$S$55)), $E147),""),"")), ""),""),"")</f>
        <v/>
      </c>
      <c r="X147" s="372" t="str">
        <f>IF($S$3="N.B.C.",
IF(ISNUMBER($B$131),
IF($C147&lt;&gt;"",
IF('Cost Inputs'!$L$83="Y",
IF(ISNUMBER($T$55), $E147+($E$78*(($E147/$E$78)+$T$55)), $E147),
IF('Cost Inputs'!$L$83="N",
IF(AND(ISNUMBER('Cost Inputs'!$M$83), OR('Cost Inputs'!$M$83=1,'Cost Inputs'!$M$83=7)),
IF(ISNUMBER($T$55), $E147+($E$78*(($E147/$E$78)+$T$55)), $E147),""),"")), ""),""),"")</f>
        <v/>
      </c>
      <c r="Y147" s="372" t="str">
        <f>IF($T$3="N.B.C.",
IF(ISNUMBER($B$131),
IF($C147&lt;&gt;"",
IF('Cost Inputs'!$L$83="Y",
IF(ISNUMBER($U$55), $E147+($E$78*(($E147/$E$78)+$U$55)), $E147),
IF('Cost Inputs'!$L$83="N",
IF(AND(ISNUMBER('Cost Inputs'!$M$83), OR('Cost Inputs'!$M$83=1,'Cost Inputs'!$M$83=2,'Cost Inputs'!$M$83=4,'Cost Inputs'!$M$83=8)),
IF(ISNUMBER($U$55), $E147+($E$78*(($E147/$E$78)+$U$55)), $E147),""),"")), ""),""),"")</f>
        <v/>
      </c>
      <c r="Z147" s="372" t="str">
        <f>IF($U$3="N.B.C.",
IF(ISNUMBER($B$131),
IF($C147&lt;&gt;"",
IF('Cost Inputs'!$L$83="Y",
IF(ISNUMBER($V$55), $E147+($E$78*(($E147/$E$78)+$V$55)), $E147),
IF('Cost Inputs'!$L$83="N",
IF(AND(ISNUMBER('Cost Inputs'!$M$83), OR('Cost Inputs'!$M$83=1,'Cost Inputs'!$M$83=3,'Cost Inputs'!$M$83=9)),
IF(ISNUMBER($V$55), $E147+($E$78*(($E147/$E$78)+$V$55)), $E147),""),"")), ""),""),"")</f>
        <v/>
      </c>
      <c r="AA147" s="372" t="str">
        <f>IF($V$3="N.B.C.",
IF(ISNUMBER($B$131),
IF($C147&lt;&gt;"",
IF('Cost Inputs'!$L$83="Y",
IF(ISNUMBER($W$55), $E147+($E$78*(($E147/$E$78)+$W$55)), $E147),
IF('Cost Inputs'!$L$83="N",
IF(AND(ISNUMBER('Cost Inputs'!$M$83), OR('Cost Inputs'!$M$83=1,'Cost Inputs'!$M$83=2,'Cost Inputs'!$M$83=5)),
IF(ISNUMBER($W$55), $E147+($E$78*(($E147/$E$78)+$W$55)), $E147),""),"")), ""),""),"")</f>
        <v/>
      </c>
      <c r="AB147" s="372" t="str">
        <f>IF($W$3="N.B.C.",
IF(ISNUMBER($B$131),
IF($C147&lt;&gt;"",
IF('Cost Inputs'!$L$83="Y",
IF(ISNUMBER($X$55), $E147+($E$78*(($E147/$E$78)+$X$55)), $E147),
IF('Cost Inputs'!$L$83="N",
IF(AND(ISNUMBER('Cost Inputs'!$M$83), OR('Cost Inputs'!$M$83=1)),
IF(ISNUMBER($X$55), $E147+($E$78*(($E147/$E$78)+$X$55)), $E147),""),"")), ""),""),"")</f>
        <v/>
      </c>
      <c r="AC147" s="372" t="str">
        <f>IF($X$3="N.B.C.",
IF(ISNUMBER($B$131),
IF($C147&lt;&gt;"",
IF('Cost Inputs'!$L$83="Y",
IF(ISNUMBER($Y$55), $E147+($E$78*(($E147/$E$78)+$Y$55)), $E147),
IF('Cost Inputs'!$L$83="N",
IF(AND(ISNUMBER('Cost Inputs'!$M$83), OR('Cost Inputs'!$M$83=1,'Cost Inputs'!$M$83=2,'Cost Inputs'!$M$83=3,'Cost Inputs'!$M$83=4,'Cost Inputs'!$M$83=6)),
IF(ISNUMBER($Y$55), $E147+($E$78*(($E147/$E$78)+$Y$55)), $E147),""),"")), ""),""),"")</f>
        <v/>
      </c>
    </row>
    <row r="148" spans="1:30" x14ac:dyDescent="0.25">
      <c r="A148" s="518"/>
      <c r="B148" s="504"/>
      <c r="C148" s="489" t="str">
        <f>IF('Model_ of_individuals'!C141&lt;&gt;"",
IF((INDEX(ProgramYearStage1,MATCH(DNA_Test_1,Years_in_Stage1,0)))='Model_ of_individuals'!B131, "Percentage decrease in marker culling",""),"")</f>
        <v/>
      </c>
      <c r="D148" s="490"/>
      <c r="E148" s="490"/>
      <c r="F148" s="490"/>
      <c r="G148" s="490"/>
      <c r="H148" s="490"/>
      <c r="I148" s="490"/>
      <c r="J148" s="490"/>
      <c r="K148" s="490"/>
      <c r="L148" s="490"/>
      <c r="M148" s="491"/>
      <c r="T148" s="364" t="str">
        <f>IF($O$3="N.B.C.",
IF(ISNUMBER($B$131),
IF($C148&lt;&gt;"",
IF('Cost Inputs'!$L$84="Y",
IF(ISNUMBER($P$55), $E148+($E$78*(($E148/$E$78)+$P$55)), $E148),
IF('Cost Inputs'!$L$84="N",
IF(AND(ISNUMBER('Cost Inputs'!$M$84), OR('Cost Inputs'!$M$84=1,'Cost Inputs'!$M$84=3)),
IF(ISNUMBER($P$55), $E148+($E$78*(($E148/$E$78)+$P$55)), $E148),""),"")), ""),""),"")</f>
        <v/>
      </c>
      <c r="U148" s="364" t="str">
        <f>IF($P$3="N.B.C.",
IF(ISNUMBER($B$131),
IF($C148&lt;&gt;"",
IF('Cost Inputs'!$L$84="Y",
IF(ISNUMBER($Q$55), $E148+($E$78*(($E148/$E$78)+$Q$55)), $E148),
IF('Cost Inputs'!$L$84="N",
IF(AND(ISNUMBER('Cost Inputs'!$M$84), OR('Cost Inputs'!$M$84=1,'Cost Inputs'!$M$84=2,'Cost Inputs'!$M$84=4)),
IF(ISNUMBER($Q$55), $E148+($E$78*(($E148/$E$78)+$Q$55)), $E148),""),"")), ""),""),"")</f>
        <v/>
      </c>
      <c r="V148" s="364" t="str">
        <f>IF($Q$3="N.B.C.",
IF(ISNUMBER($B$131),
IF($C148&lt;&gt;"",
IF('Cost Inputs'!$L$84="Y",
IF(ISNUMBER($R$55), $E148+($E$78*(($E148/$E$78)+$R$55)), $E148),
IF('Cost Inputs'!$L$84="N",
IF(AND(ISNUMBER('Cost Inputs'!$M$84), OR('Cost Inputs'!$M$84=1,'Cost Inputs'!$M$84=5)),
IF(ISNUMBER($R$55), $E148+($E$78*(($E148/$E$78)+$R$55)), $E148),""),"")), ""),""),"")</f>
        <v/>
      </c>
      <c r="W148" s="364" t="str">
        <f>IF($R$3="N.B.C.",
IF(ISNUMBER($B$131),
IF($C148&lt;&gt;"",
IF('Cost Inputs'!$L$84="Y",
IF(ISNUMBER($S$55), $E148+($E$78*(($E148/$E$78)+$S$55)), $E148),
IF('Cost Inputs'!$L$84="N",
IF(AND(ISNUMBER('Cost Inputs'!$M$84), OR('Cost Inputs'!$M$84=1,'Cost Inputs'!$M$84=2,'Cost Inputs'!$M$84=3,'Cost Inputs'!$M$84=6)),
IF(ISNUMBER($S$55), $E148+($E$78*(($E148/$E$78)+$S$55)), $E148),""),"")), ""),""),"")</f>
        <v/>
      </c>
      <c r="X148" s="364" t="str">
        <f>IF($S$3="N.B.C.",
IF(ISNUMBER($B$131),
IF($C148&lt;&gt;"",
IF('Cost Inputs'!$L$84="Y",
IF(ISNUMBER($T$55), $E148+($E$78*(($E148/$E$78)+$T$55)), $E148),
IF('Cost Inputs'!$L$84="N",
IF(AND(ISNUMBER('Cost Inputs'!$M$84), OR('Cost Inputs'!$M$84=1,'Cost Inputs'!$M$84=7)),
IF(ISNUMBER($T$55), $E148+($E$78*(($E148/$E$78)+$T$55)), $E148),""),"")), ""),""),"")</f>
        <v/>
      </c>
      <c r="Y148" s="364" t="str">
        <f>IF($T$3="N.B.C.",
IF(ISNUMBER($B$131),
IF($C148&lt;&gt;"",
IF('Cost Inputs'!$L$84="Y",
IF(ISNUMBER($U$55), $E148+($E$78*(($E148/$E$78)+$U$55)), $E148),
IF('Cost Inputs'!$L$84="N",
IF(AND(ISNUMBER('Cost Inputs'!$M$84), OR('Cost Inputs'!$M$84=1,'Cost Inputs'!$M$84=2,'Cost Inputs'!$M$84=4,'Cost Inputs'!$M$84=8)),
IF(ISNUMBER($U$55), $E148+($E$78*(($E148/$E$78)+$U$55)), $E148),""),"")), ""),""),"")</f>
        <v/>
      </c>
      <c r="Z148" s="364" t="str">
        <f>IF($U$3="N.B.C.",
IF(ISNUMBER($B$131),
IF($C148&lt;&gt;"",
IF('Cost Inputs'!$L$84="Y",
IF(ISNUMBER($V$55), $E148+($E$78*(($E148/$E$78)+$V$55)), $E148),
IF('Cost Inputs'!$L$84="N",
IF(AND(ISNUMBER('Cost Inputs'!$M$84), OR('Cost Inputs'!$M$84=1,'Cost Inputs'!$M$84=3,'Cost Inputs'!$M$84=9)),
IF(ISNUMBER($V$55), $E148+($E$78*(($E148/$E$78)+$V$55)), $E148),""),"")), ""),""),"")</f>
        <v/>
      </c>
      <c r="AA148" s="364" t="str">
        <f>IF($V$3="N.B.C.",
IF(ISNUMBER($B$131),
IF($C148&lt;&gt;"",
IF('Cost Inputs'!$L$84="Y",
IF(ISNUMBER($W$55), $E148+($E$78*(($E148/$E$78)+$W$55)), $E148),
IF('Cost Inputs'!$L$84="N",
IF(AND(ISNUMBER('Cost Inputs'!$M$84), OR('Cost Inputs'!$M$84=1,'Cost Inputs'!$M$84=2,'Cost Inputs'!$M$84=5)),
IF(ISNUMBER($W$55), $E148+($E$78*(($E148/$E$78)+$W$55)), $E148),""),"")), ""),""),"")</f>
        <v/>
      </c>
      <c r="AB148" s="364" t="str">
        <f>IF($W$3="N.B.C.",
IF(ISNUMBER($B$131),
IF($C148&lt;&gt;"",
IF('Cost Inputs'!$L$84="Y",
IF(ISNUMBER($X$55), $E148+($E$78*(($E148/$E$78)+$X$55)), $E148),
IF('Cost Inputs'!$L$84="N",
IF(AND(ISNUMBER('Cost Inputs'!$M$84), OR('Cost Inputs'!$M$84=1)),
IF(ISNUMBER($X$55), $E148+($E$78*(($E148/$E$78)+$X$55)), $E148),""),"")), ""),""),"")</f>
        <v/>
      </c>
      <c r="AC148" s="364" t="str">
        <f>IF($X$3="N.B.C.",
IF(ISNUMBER($B$131),
IF($C148&lt;&gt;"",
IF('Cost Inputs'!$L$84="Y",
IF(ISNUMBER($Y$55), $E148+($E$78*(($E148/$E$78)+$Y$55)), $E148),
IF('Cost Inputs'!$L$84="N",
IF(AND(ISNUMBER('Cost Inputs'!$M$84), OR('Cost Inputs'!$M$84=1,'Cost Inputs'!$M$84=2,'Cost Inputs'!$M$84=3,'Cost Inputs'!$M$84=4,'Cost Inputs'!$M$84=6)),
IF(ISNUMBER($Y$55), $E148+($E$78*(($E148/$E$78)+$Y$55)), $E148),""),"")), ""),""),"")</f>
        <v/>
      </c>
    </row>
    <row r="149" spans="1:30" x14ac:dyDescent="0.25">
      <c r="A149" s="518"/>
      <c r="B149" s="504"/>
      <c r="C149" s="110" t="str">
        <f>IF(ISNUMBER(B131), _3_5_0,"")</f>
        <v/>
      </c>
      <c r="D149" s="94" t="str">
        <f>IF(AND(B131&lt;&gt;"", OR('Cost Inputs'!$H$84&lt;&gt;"", 'Cost Inputs'!$I$84&lt;&gt;"", 'Cost Inputs'!$J$84&lt;&gt;"")), 'Cost Inputs'!$G$84,"")</f>
        <v/>
      </c>
      <c r="E149" s="94" t="str">
        <f>IF(AND(C149&lt;&gt;"", 'Cost Inputs'!$H$84&lt;&gt;""), 'Cost Inputs'!$H$84, "")</f>
        <v/>
      </c>
      <c r="F149" s="94" t="str">
        <f>IF(AND(C149&lt;&gt;"", 'Cost Inputs'!$I$84&lt;&gt;""), 'Cost Inputs'!$I$84, "")</f>
        <v/>
      </c>
      <c r="G149" s="94" t="str">
        <f t="shared" si="8"/>
        <v/>
      </c>
      <c r="H149" s="94" t="str">
        <f>IF(AND(C149&lt;&gt;"", 'Cost Inputs'!$J$84&lt;&gt;""), 'Cost Inputs'!$J$84, "")</f>
        <v/>
      </c>
      <c r="I149" s="94" t="str">
        <f>IF(AND($E149&lt;&gt;"", $H149&lt;&gt;""), $H149/$E149, "")</f>
        <v/>
      </c>
      <c r="J149" s="94" t="str">
        <f>IF(AND(C149&lt;&gt;"",('Cost Inputs'!$I$84+'Cost Inputs'!$J$84+'Cost Inputs'!$K$84)&gt;0), 'Cost Inputs'!$I$84+'Cost Inputs'!$J$84+'Cost Inputs'!$K$84, "")</f>
        <v/>
      </c>
      <c r="K149" s="94" t="str">
        <f>IF(AND(C149&lt;&gt;"", 'Cost Inputs'!$N$84&gt;0),'Cost Inputs'!$N$84,"")</f>
        <v/>
      </c>
      <c r="L149" s="94"/>
      <c r="M149" s="129" t="str">
        <f>IF(ISNUMBER(B131), 'Breeding Inputs'!D80+'Breeding Inputs'!E80, "")</f>
        <v/>
      </c>
      <c r="T149" s="373" t="str">
        <f>IF($O$3="N.B.C.",
IF(ISNUMBER($B$131),
IF('Cost Inputs'!$L$84="Y", $E$149*$M$149,
IF('Cost Inputs'!$L$84="N",
IF(ISNUMBER('Cost Inputs'!$M$84), $E$149*$M$149,""),"")), ""),"")</f>
        <v/>
      </c>
      <c r="U149" s="373" t="str">
        <f>IF($P$3="N.B.C.",
IF(ISNUMBER($B$131),
IF('Cost Inputs'!$L$84="Y", $E$149*$M$149,
IF('Cost Inputs'!$L$84="N",
IF(ISNUMBER('Cost Inputs'!$M$84), $E$149*$M$149,""),"")), ""),"")</f>
        <v/>
      </c>
      <c r="V149" s="373" t="str">
        <f>IF($Q$3="N.B.C.",
IF(ISNUMBER($B$131),
IF('Cost Inputs'!$L$84="Y", $E$149*$M$149,
IF('Cost Inputs'!$L$84="N",
IF(ISNUMBER('Cost Inputs'!$M$84), $E$149*$M$149,""),"")), ""),"")</f>
        <v/>
      </c>
      <c r="W149" s="373" t="str">
        <f>IF($R$3="N.B.C.",
IF(ISNUMBER($B$131),
IF('Cost Inputs'!$L$84="Y", $E$149*$M$149,
IF('Cost Inputs'!$L$84="N",
IF(ISNUMBER('Cost Inputs'!$M$84), $E$149*$M$149,""),"")), ""),"")</f>
        <v/>
      </c>
      <c r="X149" s="373" t="str">
        <f>IF($S$3="N.B.C.",
IF(ISNUMBER($B$131),
IF('Cost Inputs'!$L$84="Y", $E$149*$M$149,
IF('Cost Inputs'!$L$84="N",
IF(ISNUMBER('Cost Inputs'!$M$84), $E$149*$M$149,""),"")), ""),"")</f>
        <v/>
      </c>
      <c r="Y149" s="373" t="str">
        <f>IF($T$3="N.B.C.",
IF(ISNUMBER($B$131),
IF('Cost Inputs'!$L$84="Y", $E$149*$M$149,
IF('Cost Inputs'!$L$84="N",
IF(ISNUMBER('Cost Inputs'!$M$84), $E$149*$M$149,""),"")), ""),"")</f>
        <v/>
      </c>
      <c r="Z149" s="373" t="str">
        <f>IF($U$3="N.B.C.",
IF(ISNUMBER($B$131),
IF('Cost Inputs'!$L$84="Y", $E$149*$M$149,
IF('Cost Inputs'!$L$84="N",
IF(ISNUMBER('Cost Inputs'!$M$84), $E$149*$M$149,""),"")), ""),"")</f>
        <v/>
      </c>
      <c r="AA149" s="373" t="str">
        <f>IF($V$3="N.B.C.",
IF(ISNUMBER($B$131),
IF('Cost Inputs'!$L$84="Y", $E$149*$M$149,
IF('Cost Inputs'!$L$84="N",
IF(ISNUMBER('Cost Inputs'!$M$84), $E$149*$M$149,""),"")), ""),"")</f>
        <v/>
      </c>
      <c r="AB149" s="373" t="str">
        <f>IF($W$3="N.B.C.",
IF(ISNUMBER($B$131),
IF('Cost Inputs'!$L$84="Y", $E$149*$M$149,
IF('Cost Inputs'!$L$84="N",
IF(ISNUMBER('Cost Inputs'!$M$84), $E$149*$M$149,""),"")), ""),"")</f>
        <v/>
      </c>
      <c r="AC149" s="373" t="str">
        <f>IF($X$3="N.B.C.",
IF(ISNUMBER($B$131),
IF('Cost Inputs'!$L$84="Y", $E$149*$M$149,
IF('Cost Inputs'!$L$84="N",
IF(ISNUMBER('Cost Inputs'!$M$84), $E$149*$M$149,""),"")), ""),"")</f>
        <v/>
      </c>
    </row>
    <row r="150" spans="1:30" x14ac:dyDescent="0.25">
      <c r="A150" s="518"/>
      <c r="B150" s="504"/>
      <c r="C150" s="104" t="str">
        <f>IF(AND(ISNUMBER(B131), OR('Cost Inputs'!$H$85&lt;&gt;"", 'Cost Inputs'!$I$85&lt;&gt;"", 'Cost Inputs'!$J$85&lt;&gt;"")), _3_5_1, "")</f>
        <v/>
      </c>
      <c r="D150" s="17" t="str">
        <f>IF(AND(C150&lt;&gt;"", 'Cost Inputs'!$G$85&lt;&gt;""), 'Cost Inputs'!$G$85, "")</f>
        <v/>
      </c>
      <c r="E150" s="17" t="str">
        <f>IF(AND(C150&lt;&gt;"", 'Cost Inputs'!$H$85&lt;&gt;""), 'Cost Inputs'!$H$85, "")</f>
        <v/>
      </c>
      <c r="F150" s="17" t="str">
        <f>IF(AND(C150&lt;&gt;"", 'Cost Inputs'!$I$85&lt;&gt;""), 'Cost Inputs'!$I$85, "")</f>
        <v/>
      </c>
      <c r="G150" s="17" t="str">
        <f t="shared" si="8"/>
        <v/>
      </c>
      <c r="H150" s="17" t="str">
        <f>IF(AND(C150&lt;&gt;"", 'Cost Inputs'!$J$85&lt;&gt;""), 'Cost Inputs'!$J$85, "")</f>
        <v/>
      </c>
      <c r="I150" s="17" t="str">
        <f t="shared" si="7"/>
        <v/>
      </c>
      <c r="J150" s="17" t="str">
        <f>IF(AND(C150&lt;&gt;"",('Cost Inputs'!$I$85+'Cost Inputs'!$J$85+'Cost Inputs'!$K$85)&gt;0), 'Cost Inputs'!$I$85+'Cost Inputs'!$J$85+'Cost Inputs'!$K$85, "")</f>
        <v/>
      </c>
      <c r="K150" s="17" t="str">
        <f>IF(AND(C150&lt;&gt;"", 'Cost Inputs'!$N$85&gt;0),'Cost Inputs'!$N$85,"")</f>
        <v/>
      </c>
      <c r="M150" s="106"/>
      <c r="T150" s="364" t="str">
        <f>IF($O$3="N.B.C.", IF(ISNUMBER($B$131), IF('Cost Inputs'!$L$85="Y", $E$87, IF('Cost Inputs'!$L$85="N", IF(ISNUMBER('Cost Inputs'!$M$85), $E$87,""),"")), ""),"")</f>
        <v/>
      </c>
      <c r="U150" s="364" t="str">
        <f>IF($P$3="N.B.C.", IF(ISNUMBER($B$131), IF('Cost Inputs'!$L$85="Y", $E$87, IF('Cost Inputs'!$L$85="N", IF(ISNUMBER('Cost Inputs'!$M$85), $E$87,""),"")), ""),"")</f>
        <v/>
      </c>
      <c r="V150" s="364" t="str">
        <f>IF($Q$3="N.B.C.", IF(ISNUMBER($B$131), IF('Cost Inputs'!$L$85="Y", $E$87, IF('Cost Inputs'!$L$85="N", IF(ISNUMBER('Cost Inputs'!$M$85), $E$87,""),"")), ""),"")</f>
        <v/>
      </c>
      <c r="W150" s="364" t="str">
        <f>IF($R$3="N.B.C.", IF(ISNUMBER($B$131), IF('Cost Inputs'!$L$85="Y", $E$87, IF('Cost Inputs'!$L$85="N", IF(ISNUMBER('Cost Inputs'!$M$85), $E$87,""),"")), ""),"")</f>
        <v/>
      </c>
      <c r="X150" s="364" t="str">
        <f>IF($S$3="N.B.C.", IF(ISNUMBER($B$131), IF('Cost Inputs'!$L$85="Y", $E$87, IF('Cost Inputs'!$L$85="N", IF(ISNUMBER('Cost Inputs'!$M$85), $E$87,""),"")), ""),"")</f>
        <v/>
      </c>
      <c r="Y150" s="364" t="str">
        <f>IF($T$3="N.B.C.", IF(ISNUMBER($B$131), IF('Cost Inputs'!$L$85="Y", $E$87, IF('Cost Inputs'!$L$85="N", IF(ISNUMBER('Cost Inputs'!$M$85), $E$87,""),"")), ""),"")</f>
        <v/>
      </c>
      <c r="Z150" s="364" t="str">
        <f>IF($U$3="N.B.C.", IF(ISNUMBER($B$131), IF('Cost Inputs'!$L$85="Y", $E$87, IF('Cost Inputs'!$L$85="N", IF(ISNUMBER('Cost Inputs'!$M$85), $E$87,""),"")), ""),"")</f>
        <v/>
      </c>
      <c r="AA150" s="364" t="str">
        <f>IF($V$3="N.B.C.", IF(ISNUMBER($B$131), IF('Cost Inputs'!$L$85="Y", $E$87, IF('Cost Inputs'!$L$85="N", IF(ISNUMBER('Cost Inputs'!$M$85), $E$87,""),"")), ""),"")</f>
        <v/>
      </c>
      <c r="AB150" s="364" t="str">
        <f>IF($W$3="N.B.C.", IF(ISNUMBER($B$131), IF('Cost Inputs'!$L$85="Y", $E$87, IF('Cost Inputs'!$L$85="N", IF(ISNUMBER('Cost Inputs'!$M$85), $E$87,""),"")), ""),"")</f>
        <v/>
      </c>
      <c r="AC150" s="364" t="str">
        <f>IF($X$3="N.B.C.", IF(ISNUMBER($B$131), IF('Cost Inputs'!$L$85="Y", $E$87, IF('Cost Inputs'!$L$85="N", IF(ISNUMBER('Cost Inputs'!$M$85), $E$87,""),"")), ""),"")</f>
        <v/>
      </c>
    </row>
    <row r="151" spans="1:30" ht="15.75" thickBot="1" x14ac:dyDescent="0.3">
      <c r="A151" s="518"/>
      <c r="B151" s="505"/>
      <c r="C151" s="111" t="str">
        <f>IF(AND(ISNUMBER(B131), OR('Cost Inputs'!$H$86&lt;&gt;"", 'Cost Inputs'!$I$86&lt;&gt;"", 'Cost Inputs'!$J$86&lt;&gt;"")), _3_5_2, "")</f>
        <v/>
      </c>
      <c r="D151" s="95" t="str">
        <f>IF(AND(C151&lt;&gt;"", 'Cost Inputs'!$G$86&lt;&gt;""), 'Cost Inputs'!$G$86, "")</f>
        <v/>
      </c>
      <c r="E151" s="95" t="str">
        <f>IF(AND(C151&lt;&gt;"", 'Cost Inputs'!$H$86&lt;&gt;""), 'Cost Inputs'!$H$86, "")</f>
        <v/>
      </c>
      <c r="F151" s="95" t="str">
        <f>IF(AND(C151&lt;&gt;"", 'Cost Inputs'!$I$86&lt;&gt;""), 'Cost Inputs'!$I$86, "")</f>
        <v/>
      </c>
      <c r="G151" s="95" t="str">
        <f t="shared" si="8"/>
        <v/>
      </c>
      <c r="H151" s="95" t="str">
        <f>IF(AND(C151&lt;&gt;"", 'Cost Inputs'!$J$86&lt;&gt;""), 'Cost Inputs'!$J$86, "")</f>
        <v/>
      </c>
      <c r="I151" s="95" t="str">
        <f t="shared" si="7"/>
        <v/>
      </c>
      <c r="J151" s="95" t="str">
        <f>IF(AND(C151&lt;&gt;"",('Cost Inputs'!$I$86+'Cost Inputs'!$J$86+'Cost Inputs'!$K$86)&gt;0), 'Cost Inputs'!$I$86+'Cost Inputs'!$J$86+'Cost Inputs'!$K$86, "")</f>
        <v/>
      </c>
      <c r="K151" s="95" t="str">
        <f>IF(AND(C151&lt;&gt;"", 'Cost Inputs'!$N$86&gt;0),'Cost Inputs'!$N$86,"")</f>
        <v/>
      </c>
      <c r="L151" s="95"/>
      <c r="M151" s="113"/>
      <c r="T151" s="372" t="str">
        <f>IF($O$3="N.B.C.", IF(ISNUMBER($B$131), IF('Cost Inputs'!$L$86="Y", $E$88, IF('Cost Inputs'!$L$86="N", IF(ISNUMBER('Cost Inputs'!$M$86), $E$88,""),"")), ""),"")</f>
        <v/>
      </c>
      <c r="U151" s="372" t="str">
        <f>IF($P$3="N.B.C.", IF(ISNUMBER($B$131), IF('Cost Inputs'!$L$86="Y", $E$88, IF('Cost Inputs'!$L$86="N", IF(ISNUMBER('Cost Inputs'!$M$86), $E$88,""),"")), ""),"")</f>
        <v/>
      </c>
      <c r="V151" s="372" t="str">
        <f>IF($Q$3="N.B.C.", IF(ISNUMBER($B$131), IF('Cost Inputs'!$L$86="Y", $E$88, IF('Cost Inputs'!$L$86="N", IF(ISNUMBER('Cost Inputs'!$M$86), $E$88,""),"")), ""),"")</f>
        <v/>
      </c>
      <c r="W151" s="372" t="str">
        <f>IF($R$3="N.B.C.", IF(ISNUMBER($B$131), IF('Cost Inputs'!$L$86="Y", $E$88, IF('Cost Inputs'!$L$86="N", IF(ISNUMBER('Cost Inputs'!$M$86), $E$88,""),"")), ""),"")</f>
        <v/>
      </c>
      <c r="X151" s="372" t="str">
        <f>IF($S$3="N.B.C.", IF(ISNUMBER($B$131), IF('Cost Inputs'!$L$86="Y", $E$88, IF('Cost Inputs'!$L$86="N", IF(ISNUMBER('Cost Inputs'!$M$86), $E$88,""),"")), ""),"")</f>
        <v/>
      </c>
      <c r="Y151" s="372" t="str">
        <f>IF($T$3="N.B.C.", IF(ISNUMBER($B$131), IF('Cost Inputs'!$L$86="Y", $E$88, IF('Cost Inputs'!$L$86="N", IF(ISNUMBER('Cost Inputs'!$M$86), $E$88,""),"")), ""),"")</f>
        <v/>
      </c>
      <c r="Z151" s="372" t="str">
        <f>IF($U$3="N.B.C.", IF(ISNUMBER($B$131), IF('Cost Inputs'!$L$86="Y", $E$88, IF('Cost Inputs'!$L$86="N", IF(ISNUMBER('Cost Inputs'!$M$86), $E$88,""),"")), ""),"")</f>
        <v/>
      </c>
      <c r="AA151" s="372" t="str">
        <f>IF($V$3="N.B.C.", IF(ISNUMBER($B$131), IF('Cost Inputs'!$L$86="Y", $E$88, IF('Cost Inputs'!$L$86="N", IF(ISNUMBER('Cost Inputs'!$M$86), $E$88,""),"")), ""),"")</f>
        <v/>
      </c>
      <c r="AB151" s="372" t="str">
        <f>IF($W$3="N.B.C.", IF(ISNUMBER($B$131), IF('Cost Inputs'!$L$86="Y", $E$88, IF('Cost Inputs'!$L$86="N", IF(ISNUMBER('Cost Inputs'!$M$86), $E$88,""),"")), ""),"")</f>
        <v/>
      </c>
      <c r="AC151" s="372" t="str">
        <f>IF($X$3="N.B.C.", IF(ISNUMBER($B$131), IF('Cost Inputs'!$L$86="Y", $E$88, IF('Cost Inputs'!$L$86="N", IF(ISNUMBER('Cost Inputs'!$M$86), $E$88,""),"")), ""),"")</f>
        <v/>
      </c>
    </row>
    <row r="152" spans="1:30" ht="14.45" customHeight="1" x14ac:dyDescent="0.25">
      <c r="A152" s="518" t="str">
        <f>Third_Stage</f>
        <v>Stage 1 Seedling Test Plots</v>
      </c>
      <c r="B152" s="503" t="str">
        <f>'Breeding Inputs'!B81</f>
        <v/>
      </c>
      <c r="C152" s="116" t="str">
        <f>IF(ISNUMBER(B152), _3_2_0, "")</f>
        <v/>
      </c>
      <c r="D152" s="92" t="str">
        <f>IF(AND(B152&lt;&gt;"", OR('Cost Inputs'!$H$67&lt;&gt;"", 'Cost Inputs'!$I$67&lt;&gt;"", 'Cost Inputs'!$J$67&lt;&gt;"")), 'Cost Inputs'!$G$67,"")</f>
        <v/>
      </c>
      <c r="E152" s="92" t="str">
        <f>IF(AND(C152&lt;&gt;"", 'Cost Inputs'!$H$67&lt;&gt;"", M$149&lt;&gt;"", M$149&gt;0), $E131-('Cost Inputs'!$H$67*M$149), IF(AND(C152&lt;&gt;"", 'Cost Inputs'!$H$67&lt;&gt;""), $E131, ""))</f>
        <v/>
      </c>
      <c r="F152" s="92" t="str">
        <f>IF(AND(C152&lt;&gt;"", 'Cost Inputs'!$I$67&lt;&gt;""), 'Cost Inputs'!$I$67, "")</f>
        <v/>
      </c>
      <c r="G152" s="92" t="str">
        <f t="shared" si="8"/>
        <v/>
      </c>
      <c r="H152" s="92" t="str">
        <f>IF(AND(C152&lt;&gt;"", 'Cost Inputs'!$J$67&lt;&gt;""), 'Cost Inputs'!$J$67, "")</f>
        <v/>
      </c>
      <c r="I152" s="92" t="str">
        <f>IF(AND($E152&lt;&gt;"", $H152&lt;&gt;""), $H152/$E152, "")</f>
        <v/>
      </c>
      <c r="J152" s="92" t="str">
        <f>IF(AND(C152&lt;&gt;"",('Cost Inputs'!$I$67+'Cost Inputs'!$J$67+'Cost Inputs'!$K$67)&gt;0), 'Cost Inputs'!$I$67+'Cost Inputs'!$J$67+'Cost Inputs'!$K$67, "")</f>
        <v/>
      </c>
      <c r="K152" s="92" t="str">
        <f>IF(AND(C152&lt;&gt;"", 'Cost Inputs'!$N$67&gt;0),'Cost Inputs'!$N$67,"")</f>
        <v/>
      </c>
      <c r="L152" s="92"/>
      <c r="M152" s="101"/>
      <c r="U152" s="373" t="str">
        <f>IF($O$3="N.B.C.",
IF(ISNUMBER($B$152),
IF($C152&lt;&gt;"",
IF('Cost Inputs'!$L$67="Y",
IF(AND(ISNUMBER(P$56), P$56&gt;$E$60), $E152+($E$60*(($E152/$E$60)+$P$55)), $E152),
IF('Cost Inputs'!$L$67="N",
IF(AND(ISNUMBER('Cost Inputs'!$M$67), OR('Cost Inputs'!$M$67=1,'Cost Inputs'!$M$67=2, 'Cost Inputs'!$M$67=4)),
IF(AND(ISNUMBER(P$56), P$56&gt;$E$60), $E152+($E$60*(($E152/$E$60)+$P$55)), $E152), ""),"")), ""), ""), "")</f>
        <v/>
      </c>
      <c r="V152" s="373" t="str">
        <f>IF($P$3="N.B.C.",
IF(ISNUMBER($B$152),
IF($C152&lt;&gt;"",
IF('Cost Inputs'!$L$67="Y",
IF(AND(ISNUMBER(Q$56), Q$56&gt;$E$60), $E152+($E$60*(($E152/$E$60)+$Q$55)), $E152),
IF('Cost Inputs'!$L$67="N",
IF(AND(ISNUMBER('Cost Inputs'!$M$67), OR('Cost Inputs'!$M$67=1,'Cost Inputs'!$M$67=5)),
IF(AND(ISNUMBER(Q$56), Q$56&gt;$E$60), $E152+($E$60*(($E152/$E$60)+$Q$55)), $E152), ""),"")), ""), ""), "")</f>
        <v/>
      </c>
      <c r="W152" s="373" t="str">
        <f>IF($Q$3="N.B.C.",
IF(ISNUMBER($B$152),
IF($C152&lt;&gt;"",
IF('Cost Inputs'!$L$67="Y",
IF(AND(ISNUMBER(R$56), R$56&gt;$E$60), $E152+($E$60*(($E152/$E$60)+$R$55)), $E152),
IF('Cost Inputs'!$L$67="N",
IF(AND(ISNUMBER('Cost Inputs'!$M$67), OR('Cost Inputs'!$M$67=1,'Cost Inputs'!$M$67=2, 'Cost Inputs'!$M$67=3,'Cost Inputs'!$M$67=6)),
IF(AND(ISNUMBER(R$56), R$56&gt;$E$60), $E152+($E$60*(($E152/$E$60)+$R$55)), $E152), ""),"")), ""), ""), "")</f>
        <v/>
      </c>
      <c r="X152" s="373" t="str">
        <f>IF($R$3="N.B.C.",
IF(ISNUMBER($B$152),
IF($C152&lt;&gt;"",
IF('Cost Inputs'!$L$67="Y",
IF(AND(ISNUMBER(S$56), S$56&gt;$E$60), $E152+($E$60*(($E152/$E$60)+$S$56)), $E152),
IF('Cost Inputs'!$L$67="N",
IF(AND(ISNUMBER('Cost Inputs'!$M$67), OR('Cost Inputs'!$M$67=1,'Cost Inputs'!$M$67=7)),
IF(AND(ISNUMBER(S$56), S$56&gt;$E$60), $E152+($E$60*(($E152/$E$60)+$S$56)), $E152), ""),"")), ""), ""), "")</f>
        <v/>
      </c>
      <c r="Y152" s="373" t="str">
        <f>IF($S$3="N.B.C.",
IF(ISNUMBER($B$152),
IF($C152&lt;&gt;"",
IF('Cost Inputs'!$L$67="Y",
IF(AND(ISNUMBER(T$56), T$56&gt;$E$60), $E152+($E$60*(($E152/$E$60)+$T$55)), $E152),
IF('Cost Inputs'!$L$67="N",
IF(AND(ISNUMBER('Cost Inputs'!$M$67), OR('Cost Inputs'!$M$67=1,'Cost Inputs'!$M$67=2,'Cost Inputs'!$M$67=4,'Cost Inputs'!$M$67=8)),
IF(AND(ISNUMBER(T$56), T$56&gt;$E$60), $E152+($E$60*(($E152/$E$60)+$T$55)), $E152), ""),"")), ""), ""), "")</f>
        <v/>
      </c>
      <c r="Z152" s="373" t="str">
        <f>IF($T$3="N.B.C.",
IF(ISNUMBER($B$152),
IF($C152&lt;&gt;"",
IF('Cost Inputs'!$L$67="Y",
IF(AND(ISNUMBER(U$56), U$56&gt;$E$60), $E152+($E$60*(($E152/$E$60)+$U$55)), $E152),
IF('Cost Inputs'!$L$67="N",
IF(AND(ISNUMBER('Cost Inputs'!$M$67), OR('Cost Inputs'!$M$67=1,'Cost Inputs'!$M$67=3, 'Cost Inputs'!$M$67=9)),
IF(AND(ISNUMBER(U$56), U$56&gt;$E$60), $E152+($E$60*(($E152/$E$60)+$U$55)), $E152), ""),"")), ""), ""), "")</f>
        <v/>
      </c>
      <c r="AA152" s="373" t="str">
        <f>IF($U$3="N.B.C.",
IF(ISNUMBER($B$152),
IF($C152&lt;&gt;"",
IF('Cost Inputs'!$L$67="Y",
IF(AND(ISNUMBER(V$56), V$56&gt;$E$60), $E152+($E$60*(($E152/$E$60)+$V$55)), $E152),
IF('Cost Inputs'!$L$67="N",
IF(AND(ISNUMBER('Cost Inputs'!$M$67), OR('Cost Inputs'!$M$67=1,'Cost Inputs'!$M$67=2, 'Cost Inputs'!$M$67=5)),
IF(AND(ISNUMBER(V$56), V$56&gt;$E$60), $E152+($E$60*(($E152/$E$60)+$V$55)), $E152), ""),"")), ""), ""), "")</f>
        <v/>
      </c>
      <c r="AB152" s="373" t="str">
        <f>IF($V$3="N.B.C.",
IF(ISNUMBER($B$152),
IF($C152&lt;&gt;"",
IF('Cost Inputs'!$L$67="Y",
IF(AND(ISNUMBER(W$56), W$56&gt;$E$60), $E152+($E$60*(($E152/$E$60)+$W$55)), $E152),
IF('Cost Inputs'!$L$67="N",
IF(AND(ISNUMBER('Cost Inputs'!$M$67), OR('Cost Inputs'!$M$67=1)),
IF(AND(ISNUMBER(W$56), W$56&gt;$E$60), $E152+($E$60*(($E152/$E$60)+$W$55)), $E152), ""),"")), ""), ""), "")</f>
        <v/>
      </c>
      <c r="AC152" s="373" t="str">
        <f>IF($W$3="N.B.C.",
IF(ISNUMBER($B$152),
IF($C152&lt;&gt;"",
IF('Cost Inputs'!$L$67="Y",
IF(AND(ISNUMBER(X$56), X$56&gt;$E$60), $E152+($E$60*(($E152/$E$60)+$X$55)), $E152),
IF('Cost Inputs'!$L$67="N",
IF(AND(ISNUMBER('Cost Inputs'!$M$67), OR('Cost Inputs'!$M$67=1,'Cost Inputs'!$M$67=2,'Cost Inputs'!$M$67=3,'Cost Inputs'!$M$67=4,'Cost Inputs'!$M$67=6)),
IF(AND(ISNUMBER(X$56), X$56&gt;$E$60), $E152+($E$60*(($E152/$E$60)+$X$55)), $E152), ""),"")), ""), ""), "")</f>
        <v/>
      </c>
      <c r="AD152" s="373" t="str">
        <f>IF($X$3="N.B.C.",
IF(ISNUMBER($B$152),
IF($C152&lt;&gt;"",
IF('Cost Inputs'!$L$67="Y",
IF(AND(ISNUMBER(Y$56), Y$56&gt;$E$60), $E152+($E$60*(($E152/$E$60)+$Y$55)), $E152),
IF('Cost Inputs'!$L$67="N",
IF(AND(ISNUMBER('Cost Inputs'!$M$67), OR('Cost Inputs'!$M$67=1)),
IF(AND(ISNUMBER(Y$56), Y$56&gt;$E$60), $E152+($E$60*(($E152/$E$60)+$Y$55)), $E152), ""),"")), ""), ""), "")</f>
        <v/>
      </c>
    </row>
    <row r="153" spans="1:30" x14ac:dyDescent="0.25">
      <c r="A153" s="518"/>
      <c r="B153" s="504"/>
      <c r="C153" s="104" t="str">
        <f>IF(AND(ISNUMBER(B152), OR('Cost Inputs'!$H$68&lt;&gt;"", 'Cost Inputs'!$I$68&lt;&gt;"", 'Cost Inputs'!$J$68&lt;&gt;"")), _3_2_1, "")</f>
        <v/>
      </c>
      <c r="D153" s="17" t="str">
        <f>IF(AND($C153&lt;&gt;"", 'Cost Inputs'!$G$68&lt;&gt;""), 'Cost Inputs'!$G$68, "")</f>
        <v/>
      </c>
      <c r="E153" s="17" t="str">
        <f>IF(AND(C153&lt;&gt;"", 'Cost Inputs'!$H$68&lt;&gt;"", M$149&lt;&gt;"", M$149&gt;0), $E132-('Cost Inputs'!$H$68*M$149), IF(AND(C153&lt;&gt;"", 'Cost Inputs'!$H$68&lt;&gt;""), $E132, ""))</f>
        <v/>
      </c>
      <c r="F153" s="17" t="str">
        <f>IF(AND(C153&lt;&gt;"", 'Cost Inputs'!$I$68&lt;&gt;""), 'Cost Inputs'!$I$68, "")</f>
        <v/>
      </c>
      <c r="G153" s="17" t="str">
        <f t="shared" si="8"/>
        <v/>
      </c>
      <c r="H153" s="17" t="str">
        <f>IF(AND(C153&lt;&gt;"", 'Cost Inputs'!$J$68&lt;&gt;""), 'Cost Inputs'!$J$68, "")</f>
        <v/>
      </c>
      <c r="I153" s="17" t="str">
        <f t="shared" si="7"/>
        <v/>
      </c>
      <c r="J153" s="17" t="str">
        <f>IF(AND(C153&lt;&gt;"",('Cost Inputs'!$I$68+'Cost Inputs'!$J$68+'Cost Inputs'!$K$68)&gt;0), 'Cost Inputs'!$I$68+'Cost Inputs'!$J$68+'Cost Inputs'!$K$68, "")</f>
        <v/>
      </c>
      <c r="K153" s="17" t="str">
        <f>IF(AND(C153&lt;&gt;"", 'Cost Inputs'!$N$68&gt;0),'Cost Inputs'!$N$68,"")</f>
        <v/>
      </c>
      <c r="M153" s="106"/>
      <c r="U153" s="364" t="str">
        <f>IF($O$3="N.B.C.",
IF(ISNUMBER($B$152),
IF($C153&lt;&gt;"",
IF('Cost Inputs'!$L$68="Y",
IF(ISNUMBER($P$55), $E153+($E$89*(($E153/$E$89)+$P$55)), $E153),
IF('Cost Inputs'!$L$68="N",
IF(AND(ISNUMBER('Cost Inputs'!$M$68), OR('Cost Inputs'!$M$68=1,'Cost Inputs'!$M$68=2,'Cost Inputs'!$M$68=4)),
IF(ISNUMBER($P$55), $E153+($E$89*(($E153/$E$89)+$P$55)), $E153),""),"")), ""),""),"")</f>
        <v/>
      </c>
      <c r="V153" s="364" t="str">
        <f>IF($P$3="N.B.C.",
IF(ISNUMBER($B$152),
IF($C153&lt;&gt;"",
IF('Cost Inputs'!$L$68="Y",
IF(ISNUMBER($Q$55), $E153+($E$89*(($E153/$E$89)+$Q$55)), $E153),
IF('Cost Inputs'!$L$68="N",
IF(AND(ISNUMBER('Cost Inputs'!$M$68), OR('Cost Inputs'!$M$68=1,'Cost Inputs'!$M$68=5)),
IF(ISNUMBER($Q$55), $E153+($E$89*(($E153/$E$89)+$Q$55)), $E153),""),"")), ""),""),"")</f>
        <v/>
      </c>
      <c r="W153" s="364" t="str">
        <f>IF($Q$3="N.B.C.",
IF(ISNUMBER($B$152),
IF($C153&lt;&gt;"",
IF('Cost Inputs'!$L$68="Y",
IF(ISNUMBER($R$55), $E153+($E$89*(($E153/$E$89)+$R$55)), $E153),
IF('Cost Inputs'!$L$68="N",
IF(AND(ISNUMBER('Cost Inputs'!$M$68), OR('Cost Inputs'!$M$68=1,'Cost Inputs'!$M$68=2,'Cost Inputs'!$M$68=3,'Cost Inputs'!$M$68=6)),
IF(ISNUMBER($R$55), $E153+($E$89*(($E153/$E$89)+$R$55)), $E153),""),"")), ""),""),"")</f>
        <v/>
      </c>
      <c r="X153" s="364" t="str">
        <f>IF($R$3="N.B.C.",
IF(ISNUMBER($B$152),
IF($C153&lt;&gt;"",
IF('Cost Inputs'!$L$68="Y",
IF(ISNUMBER($S$55), $E153+($E$89*(($E153/$E$89)+$S$55)), $E153),
IF('Cost Inputs'!$L$68="N",
IF(AND(ISNUMBER('Cost Inputs'!$M$68), OR('Cost Inputs'!$M$68=1,'Cost Inputs'!$M$68=7)),
IF(ISNUMBER($S$55), $E153+($E$89*(($E153/$E$89)+$S$55)), $E153),""),"")), ""),""),"")</f>
        <v/>
      </c>
      <c r="Y153" s="364" t="str">
        <f>IF($S$3="N.B.C.",
IF(ISNUMBER($B$152),
IF($C153&lt;&gt;"",
IF('Cost Inputs'!$L$68="Y",
IF(ISNUMBER($T$55), $E153+($E$89*(($E153/$E$89)+$T$55)), $E153),
IF('Cost Inputs'!$L$68="N",
IF(AND(ISNUMBER('Cost Inputs'!$M$68), OR('Cost Inputs'!$M$68=1,'Cost Inputs'!$M$68=2,'Cost Inputs'!$M$68=4,'Cost Inputs'!$M$68=8)),
IF(ISNUMBER($T$55), $E153+($E$89*(($E153/$E$89)+$T$55)), $E153),""),"")), ""),""),"")</f>
        <v/>
      </c>
      <c r="Z153" s="364" t="str">
        <f>IF($T$3="N.B.C.",
IF(ISNUMBER($B$152),
IF($C153&lt;&gt;"",
IF('Cost Inputs'!$L$68="Y",
IF(ISNUMBER($U$55), $E153+($E$89*(($E153/$E$89)+$U$55)), $E153),
IF('Cost Inputs'!$L$68="N",
IF(AND(ISNUMBER('Cost Inputs'!$M$68), OR('Cost Inputs'!$M$68=1,'Cost Inputs'!$M$68=3,'Cost Inputs'!$M$68=9)),
IF(ISNUMBER($U$55), $E153+($E$89*(($E153/$E$89)+$U$55)), $E153),""),"")), ""),""),"")</f>
        <v/>
      </c>
      <c r="AA153" s="364" t="str">
        <f>IF($U$3="N.B.C.",
IF(ISNUMBER($B$152),
IF($C153&lt;&gt;"",
IF('Cost Inputs'!$L$68="Y",
IF(ISNUMBER($V$55), $E153+($E$89*(($E153/$E$89)+$V$55)), $E153),
IF('Cost Inputs'!$L$68="N",
IF(AND(ISNUMBER('Cost Inputs'!$M$68), OR('Cost Inputs'!$M$68=1,'Cost Inputs'!$M$68=2,'Cost Inputs'!$M$68=5)),
IF(ISNUMBER($V$55), $E153+($E$89*(($E153/$E$89)+$V$55)), $E153),""),"")), ""),""),"")</f>
        <v/>
      </c>
      <c r="AB153" s="364" t="str">
        <f>IF($V$3="N.B.C.",
IF(ISNUMBER($B$152),
IF($C153&lt;&gt;"",
IF('Cost Inputs'!$L$68="Y",
IF(ISNUMBER($W$55), $E153+($E$89*(($E153/$E$89)+$W$55)), $E153),
IF('Cost Inputs'!$L$68="N",
IF(AND(ISNUMBER('Cost Inputs'!$M$68), OR('Cost Inputs'!$M$68=1)),
IF(ISNUMBER($W$55), $E153+($E$89*(($E153/$E$89)+$W$55)), $E153),""),"")), ""),""),"")</f>
        <v/>
      </c>
      <c r="AC153" s="364" t="str">
        <f>IF($W$3="N.B.C.",
IF(ISNUMBER($B$152),
IF($C153&lt;&gt;"",
IF('Cost Inputs'!$L$68="Y",
IF(ISNUMBER($X$55), $E153+($E$89*(($E153/$E$89)+$X$55)), $E153),
IF('Cost Inputs'!$L$68="N",
IF(AND(ISNUMBER('Cost Inputs'!$M$68), OR('Cost Inputs'!$M$68=1,'Cost Inputs'!$M$68=2,'Cost Inputs'!$M$68=3,'Cost Inputs'!$M$68=4,'Cost Inputs'!$M$68=6)),
IF(ISNUMBER($X$55), $E153+($E$89*(($E153/$E$89)+$X$55)), $E153),""),"")), ""),""),"")</f>
        <v/>
      </c>
      <c r="AD153" s="364" t="str">
        <f>IF($X$3="N.B.C.",
IF(ISNUMBER($B$152),
IF($C153&lt;&gt;"",
IF('Cost Inputs'!$L$68="Y",
IF(ISNUMBER($Y$55), $E153+($E$89*(($E153/$E$89)+$Y$55)), $E153),
IF('Cost Inputs'!$L$68="N",
IF(AND(ISNUMBER('Cost Inputs'!$M$68), OR('Cost Inputs'!$M$68=1)),
IF(ISNUMBER($Y$55), $E153+($E$89*(($E153/$E$89)+$Y$55)), $E153),""),"")), ""),""),"")</f>
        <v/>
      </c>
    </row>
    <row r="154" spans="1:30" x14ac:dyDescent="0.25">
      <c r="A154" s="518"/>
      <c r="B154" s="504"/>
      <c r="C154" s="107" t="str">
        <f>IF(AND(ISNUMBER(B152), OR('Cost Inputs'!$H$69&lt;&gt;"", 'Cost Inputs'!$I$69&lt;&gt;"", 'Cost Inputs'!$J$69&lt;&gt;"")), _3_2_2, "")</f>
        <v/>
      </c>
      <c r="D154" s="93" t="str">
        <f>IF(AND($C154&lt;&gt;"", 'Cost Inputs'!$G$69&lt;&gt;""), 'Cost Inputs'!$G$69, "")</f>
        <v/>
      </c>
      <c r="E154" s="93" t="str">
        <f>IF(AND(C154&lt;&gt;"", 'Cost Inputs'!$H$69&lt;&gt;"", M$149&lt;&gt;"", M$149&gt;0), $E133-('Cost Inputs'!$H$69*M$149), IF(AND(C154&lt;&gt;"", 'Cost Inputs'!$H$69&lt;&gt;""), $E133, ""))</f>
        <v/>
      </c>
      <c r="F154" s="93" t="str">
        <f>IF(AND(C154&lt;&gt;"", 'Cost Inputs'!$I$69&lt;&gt;""), 'Cost Inputs'!$I$69, "")</f>
        <v/>
      </c>
      <c r="G154" s="93" t="str">
        <f t="shared" si="8"/>
        <v/>
      </c>
      <c r="H154" s="93" t="str">
        <f>IF(AND(C154&lt;&gt;"", 'Cost Inputs'!$J$69&lt;&gt;""), 'Cost Inputs'!$J$69, "")</f>
        <v/>
      </c>
      <c r="I154" s="93" t="str">
        <f t="shared" si="7"/>
        <v/>
      </c>
      <c r="J154" s="93" t="str">
        <f>IF(AND(C154&lt;&gt;"",('Cost Inputs'!$I$69+'Cost Inputs'!$J$69+'Cost Inputs'!$K$69)&gt;0), 'Cost Inputs'!$I$69+'Cost Inputs'!$J$69+'Cost Inputs'!$K$69, "")</f>
        <v/>
      </c>
      <c r="K154" s="93" t="str">
        <f>IF(AND(C154&lt;&gt;"", 'Cost Inputs'!$N$69&gt;0),'Cost Inputs'!$N$69,"")</f>
        <v/>
      </c>
      <c r="L154" s="93"/>
      <c r="M154" s="109"/>
      <c r="U154" s="372" t="str">
        <f>IF($O$3="N.B.C.",
IF(ISNUMBER($B$152),
IF($C154&lt;&gt;"",
IF('Cost Inputs'!$L$69="Y",
IF(ISNUMBER($P$55), $E154+($E$89*(($E154/$E$89)+$P$55)), $E154),
IF('Cost Inputs'!$L$69="N",
IF(AND(ISNUMBER('Cost Inputs'!$M$69), OR('Cost Inputs'!$M$69=1,'Cost Inputs'!$M$69=2,'Cost Inputs'!$M$69=4)),
IF(ISNUMBER($P$55), $E154+($E$89*(($E154/$E$89)+$P$55)), $E154),""),"")), ""),""),"")</f>
        <v/>
      </c>
      <c r="V154" s="372" t="str">
        <f>IF($P$3="N.B.C.",
IF(ISNUMBER($B$152),
IF($C154&lt;&gt;"",
IF('Cost Inputs'!$L$69="Y",
IF(ISNUMBER($Q$55), $E154+($E$89*(($E154/$E$89)+$Q$55)), $E154),
IF('Cost Inputs'!$L$69="N",
IF(AND(ISNUMBER('Cost Inputs'!$M$69), OR('Cost Inputs'!$M$69=1,'Cost Inputs'!$M$69=5)),
IF(ISNUMBER($Q$55), $E154+($E$89*(($E154/$E$89)+$Q$55)), $E154),""),"")), ""),""),"")</f>
        <v/>
      </c>
      <c r="W154" s="372" t="str">
        <f>IF($Q$3="N.B.C.",
IF(ISNUMBER($B$152),
IF($C154&lt;&gt;"",
IF('Cost Inputs'!$L$69="Y",
IF(ISNUMBER($R$55), $E154+($E$89*(($E154/$E$89)+$R$55)), $E154),
IF('Cost Inputs'!$L$69="N",
IF(AND(ISNUMBER('Cost Inputs'!$M$69), OR('Cost Inputs'!$M$69=1,'Cost Inputs'!$M$69=2,'Cost Inputs'!$M$69=3,'Cost Inputs'!$M$69=6)),
IF(ISNUMBER($R$55), $E154+($E$89*(($E154/$E$89)+$R$55)), $E154),""),"")), ""),""),"")</f>
        <v/>
      </c>
      <c r="X154" s="372" t="str">
        <f>IF($R$3="N.B.C.",
IF(ISNUMBER($B$152),
IF($C154&lt;&gt;"",
IF('Cost Inputs'!$L$69="Y",
IF(ISNUMBER($S$55), $E154+($E$89*(($E154/$E$89)+$S$55)), $E154),
IF('Cost Inputs'!$L$69="N",
IF(AND(ISNUMBER('Cost Inputs'!$M$69), OR('Cost Inputs'!$M$69=1,'Cost Inputs'!$M$69=7)),
IF(ISNUMBER($S$55), $E154+($E$89*(($E154/$E$89)+$S$55)), $E154),""),"")), ""),""),"")</f>
        <v/>
      </c>
      <c r="Y154" s="372" t="str">
        <f>IF($S$3="N.B.C.",
IF(ISNUMBER($B$152),
IF($C154&lt;&gt;"",
IF('Cost Inputs'!$L$69="Y",
IF(ISNUMBER($T$55), $E154+($E$89*(($E154/$E$89)+$T$55)), $E154),
IF('Cost Inputs'!$L$69="N",
IF(AND(ISNUMBER('Cost Inputs'!$M$69), OR('Cost Inputs'!$M$69=1,'Cost Inputs'!$M$69=2,'Cost Inputs'!$M$69=4,'Cost Inputs'!$M$69=8)),
IF(ISNUMBER($T$55), $E154+($E$89*(($E154/$E$89)+$T$55)), $E154),""),"")), ""),""),"")</f>
        <v/>
      </c>
      <c r="Z154" s="372" t="str">
        <f>IF($T$3="N.B.C.",
IF(ISNUMBER($B$152),
IF($C154&lt;&gt;"",
IF('Cost Inputs'!$L$69="Y",
IF(ISNUMBER($U$55), $E154+($E$89*(($E154/$E$89)+$U$55)), $E154),
IF('Cost Inputs'!$L$69="N",
IF(AND(ISNUMBER('Cost Inputs'!$M$69), OR('Cost Inputs'!$M$69=1,'Cost Inputs'!$M$69=3,'Cost Inputs'!$M$69=9)),
IF(ISNUMBER($U$55), $E154+($E$89*(($E154/$E$89)+$U$55)), $E154),""),"")), ""),""),"")</f>
        <v/>
      </c>
      <c r="AA154" s="372" t="str">
        <f>IF($U$3="N.B.C.",
IF(ISNUMBER($B$152),
IF($C154&lt;&gt;"",
IF('Cost Inputs'!$L$69="Y",
IF(ISNUMBER($V$55), $E154+($E$89*(($E154/$E$89)+$V$55)), $E154),
IF('Cost Inputs'!$L$69="N",
IF(AND(ISNUMBER('Cost Inputs'!$M$69), OR('Cost Inputs'!$M$69=1,'Cost Inputs'!$M$69=2,'Cost Inputs'!$M$69=5)),
IF(ISNUMBER($V$55), $E154+($E$89*(($E154/$E$89)+$V$55)), $E154),""),"")), ""),""),"")</f>
        <v/>
      </c>
      <c r="AB154" s="372" t="str">
        <f>IF($V$3="N.B.C.",
IF(ISNUMBER($B$152),
IF($C154&lt;&gt;"",
IF('Cost Inputs'!$L$69="Y",
IF(ISNUMBER($W$55), $E154+($E$89*(($E154/$E$89)+$W$55)), $E154),
IF('Cost Inputs'!$L$69="N",
IF(AND(ISNUMBER('Cost Inputs'!$M$69), OR('Cost Inputs'!$M$69=1)),
IF(ISNUMBER($W$55), $E154+($E$89*(($E154/$E$89)+$W$55)), $E154),""),"")), ""),""),"")</f>
        <v/>
      </c>
      <c r="AC154" s="372" t="str">
        <f>IF($W$3="N.B.C.",
IF(ISNUMBER($B$152),
IF($C154&lt;&gt;"",
IF('Cost Inputs'!$L$69="Y",
IF(ISNUMBER($X$55), $E154+($E$89*(($E154/$E$89)+$X$55)), $E154),
IF('Cost Inputs'!$L$69="N",
IF(AND(ISNUMBER('Cost Inputs'!$M$69), OR('Cost Inputs'!$M$69=1,'Cost Inputs'!$M$69=2,'Cost Inputs'!$M$69=3,'Cost Inputs'!$M$69=4,'Cost Inputs'!$M$69=6)),
IF(ISNUMBER($X$55), $E154+($E$89*(($E154/$E$89)+$X$55)), $E154),""),"")), ""),""),"")</f>
        <v/>
      </c>
      <c r="AD154" s="372" t="str">
        <f>IF($X$3="N.B.C.",
IF(ISNUMBER($B$152),
IF($C154&lt;&gt;"",
IF('Cost Inputs'!$L$69="Y",
IF(ISNUMBER($Y$55), $E154+($E$89*(($E154/$E$89)+$Y$55)), $E154),
IF('Cost Inputs'!$L$69="N",
IF(AND(ISNUMBER('Cost Inputs'!$M$69), OR('Cost Inputs'!$M$69=1)),
IF(ISNUMBER($Y$55), $E154+($E$89*(($E154/$E$89)+$Y$55)), $E154),""),"")), ""),""),"")</f>
        <v/>
      </c>
    </row>
    <row r="155" spans="1:30" x14ac:dyDescent="0.25">
      <c r="A155" s="518"/>
      <c r="B155" s="504"/>
      <c r="C155" s="104" t="str">
        <f>IF(AND( ISNUMBER(B152), OR('Cost Inputs'!$H$70&lt;&gt;"", 'Cost Inputs'!$I$70&lt;&gt;"", 'Cost Inputs'!$J$70&lt;&gt;"")), _3_2_3, "")</f>
        <v/>
      </c>
      <c r="D155" s="17" t="str">
        <f>IF(AND($C155&lt;&gt;"", 'Cost Inputs'!$G$70&lt;&gt;""), 'Cost Inputs'!$G$70, "")</f>
        <v/>
      </c>
      <c r="E155" s="17" t="str">
        <f>IF(AND(C155&lt;&gt;"", 'Cost Inputs'!$H$70&lt;&gt;"", M$149&lt;&gt;"", M$149&gt;0), $E134-('Cost Inputs'!$H$70*M$149), IF(AND(C155&lt;&gt;"", 'Cost Inputs'!$H$70&lt;&gt;""), $E134, ""))</f>
        <v/>
      </c>
      <c r="F155" s="17" t="str">
        <f>IF(AND(C155&lt;&gt;"", 'Cost Inputs'!$I$70&lt;&gt;""), 'Cost Inputs'!$I$70, "")</f>
        <v/>
      </c>
      <c r="G155" s="17" t="str">
        <f t="shared" si="8"/>
        <v/>
      </c>
      <c r="H155" s="17" t="str">
        <f>IF(AND(C155&lt;&gt;"", 'Cost Inputs'!$J$70&lt;&gt;""), 'Cost Inputs'!$J$70, "")</f>
        <v/>
      </c>
      <c r="I155" s="17" t="str">
        <f t="shared" si="7"/>
        <v/>
      </c>
      <c r="J155" s="17" t="str">
        <f>IF(AND(C155&lt;&gt;"",('Cost Inputs'!$I$70+'Cost Inputs'!$J$70+'Cost Inputs'!$K$70)&gt;0), 'Cost Inputs'!$I$70+'Cost Inputs'!$J$70+'Cost Inputs'!$K$70, "")</f>
        <v/>
      </c>
      <c r="K155" s="17" t="str">
        <f>IF(AND(C155&lt;&gt;"", 'Cost Inputs'!$N$70&gt;0),'Cost Inputs'!$N$70,"")</f>
        <v/>
      </c>
      <c r="M155" s="106"/>
      <c r="U155" s="364" t="str">
        <f>IF($O$3="N.B.C.",
IF(ISNUMBER($B$152),
IF($C155&lt;&gt;"",
IF('Cost Inputs'!$L$70="Y",
IF(ISNUMBER($P$55), $E155+($E$89*(($E155/$E$89)+$P$55)), $E155),
IF('Cost Inputs'!$L$70="N",
IF(AND(ISNUMBER('Cost Inputs'!$M$70), OR('Cost Inputs'!$M$70=1,'Cost Inputs'!$M$70=2,'Cost Inputs'!$M$70=4)),
IF(ISNUMBER($P$55), $E155+($E$89*(($E155/$E$89)+$P$55)), $E155),""),"")), ""),""),"")</f>
        <v/>
      </c>
      <c r="V155" s="364" t="str">
        <f>IF($P$3="N.B.C.",
IF(ISNUMBER($B$152),
IF($C155&lt;&gt;"",
IF('Cost Inputs'!$L$70="Y",
IF(ISNUMBER($Q$55), $E155+($E$89*(($E155/$E$89)+$Q$55)), $E155),
IF('Cost Inputs'!$L$70="N",
IF(AND(ISNUMBER('Cost Inputs'!$M$70), OR('Cost Inputs'!$M$70=1,'Cost Inputs'!$M$70=5)),
IF(ISNUMBER($Q$55), $E155+($E$89*(($E155/$E$89)+$Q$55)), $E155),""),"")), ""),""),"")</f>
        <v/>
      </c>
      <c r="W155" s="364" t="str">
        <f>IF($Q$3="N.B.C.",
IF(ISNUMBER($B$152),
IF($C155&lt;&gt;"",
IF('Cost Inputs'!$L$70="Y",
IF(ISNUMBER($R$55), $E155+($E$89*(($E155/$E$89)+$R$55)), $E155),
IF('Cost Inputs'!$L$70="N",
IF(AND(ISNUMBER('Cost Inputs'!$M$70), OR('Cost Inputs'!$M$70=1,'Cost Inputs'!$M$70=2,'Cost Inputs'!$M$70=3,'Cost Inputs'!$M$70=6)),
IF(ISNUMBER($R$55), $E155+($E$89*(($E155/$E$89)+$R$55)), $E155),""),"")), ""),""),"")</f>
        <v/>
      </c>
      <c r="X155" s="364" t="str">
        <f>IF($R$3="N.B.C.",
IF(ISNUMBER($B$152),
IF($C155&lt;&gt;"",
IF('Cost Inputs'!$L$70="Y",
IF(ISNUMBER($S$55), $E155+($E$89*(($E155/$E$89)+$S$55)), $E155),
IF('Cost Inputs'!$L$70="N",
IF(AND(ISNUMBER('Cost Inputs'!$M$70), OR('Cost Inputs'!$M$70=1,'Cost Inputs'!$M$70=7)),
IF(ISNUMBER($S$55), $E155+($E$89*(($E155/$E$89)+$S$55)), $E155),""),"")), ""),""),"")</f>
        <v/>
      </c>
      <c r="Y155" s="364" t="str">
        <f>IF($S$3="N.B.C.",
IF(ISNUMBER($B$152),
IF($C155&lt;&gt;"",
IF('Cost Inputs'!$L$70="Y",
IF(ISNUMBER($T$55), $E155+($E$89*(($E155/$E$89)+$T$55)), $E155),
IF('Cost Inputs'!$L$70="N",
IF(AND(ISNUMBER('Cost Inputs'!$M$70), OR('Cost Inputs'!$M$70=1,'Cost Inputs'!$M$70=2,'Cost Inputs'!$M$70=4,'Cost Inputs'!$M$70=8)),
IF(ISNUMBER($T$55), $E155+($E$89*(($E155/$E$89)+$T$55)), $E155),""),"")), ""),""),"")</f>
        <v/>
      </c>
      <c r="Z155" s="364" t="str">
        <f>IF($T$3="N.B.C.",
IF(ISNUMBER($B$152),
IF($C155&lt;&gt;"",
IF('Cost Inputs'!$L$70="Y",
IF(ISNUMBER($U$55), $E155+($E$89*(($E155/$E$89)+$U$55)), $E155),
IF('Cost Inputs'!$L$70="N",
IF(AND(ISNUMBER('Cost Inputs'!$M$70), OR('Cost Inputs'!$M$70=1,'Cost Inputs'!$M$70=3,'Cost Inputs'!$M$70=9)),
IF(ISNUMBER($U$55), $E155+($E$89*(($E155/$E$89)+$U$55)), $E155),""),"")), ""),""),"")</f>
        <v/>
      </c>
      <c r="AA155" s="364" t="str">
        <f>IF($U$3="N.B.C.",
IF(ISNUMBER($B$152),
IF($C155&lt;&gt;"",
IF('Cost Inputs'!$L$70="Y",
IF(ISNUMBER($V$55), $E155+($E$89*(($E155/$E$89)+$V$55)), $E155),
IF('Cost Inputs'!$L$70="N",
IF(AND(ISNUMBER('Cost Inputs'!$M$70), OR('Cost Inputs'!$M$70=1,'Cost Inputs'!$M$70=2,'Cost Inputs'!$M$70=5)),
IF(ISNUMBER($V$55), $E155+($E$89*(($E155/$E$89)+$V$55)), $E155),""),"")), ""),""),"")</f>
        <v/>
      </c>
      <c r="AB155" s="364" t="str">
        <f>IF($V$3="N.B.C.",
IF(ISNUMBER($B$152),
IF($C155&lt;&gt;"",
IF('Cost Inputs'!$L$70="Y",
IF(ISNUMBER($W$55), $E155+($E$89*(($E155/$E$89)+$W$55)), $E155),
IF('Cost Inputs'!$L$70="N",
IF(AND(ISNUMBER('Cost Inputs'!$M$70), OR('Cost Inputs'!$M$70=1)),
IF(ISNUMBER($W$55), $E155+($E$89*(($E155/$E$89)+$W$55)), $E155),""),"")), ""),""),"")</f>
        <v/>
      </c>
      <c r="AC155" s="364" t="str">
        <f>IF($W$3="N.B.C.",
IF(ISNUMBER($B$152),
IF($C155&lt;&gt;"",
IF('Cost Inputs'!$L$70="Y",
IF(ISNUMBER($X$55), $E155+($E$89*(($E155/$E$89)+$X$55)), $E155),
IF('Cost Inputs'!$L$70="N",
IF(AND(ISNUMBER('Cost Inputs'!$M$70), OR('Cost Inputs'!$M$70=1,'Cost Inputs'!$M$70=2,'Cost Inputs'!$M$70=3,'Cost Inputs'!$M$70=4,'Cost Inputs'!$M$70=6)),
IF(ISNUMBER($X$55), $E155+($E$89*(($E155/$E$89)+$X$55)), $E155),""),"")), ""),""),"")</f>
        <v/>
      </c>
      <c r="AD155" s="364" t="str">
        <f>IF($X$3="N.B.C.",
IF(ISNUMBER($B$152),
IF($C155&lt;&gt;"",
IF('Cost Inputs'!$L$70="Y",
IF(ISNUMBER($Y$55), $E155+($E$89*(($E155/$E$89)+$Y$55)), $E155),
IF('Cost Inputs'!$L$70="N",
IF(AND(ISNUMBER('Cost Inputs'!$M$70), OR('Cost Inputs'!$M$70=1)),
IF(ISNUMBER($Y$55), $E155+($E$89*(($E155/$E$89)+$Y$55)), $E155),""),"")), ""),""),"")</f>
        <v/>
      </c>
    </row>
    <row r="156" spans="1:30" x14ac:dyDescent="0.25">
      <c r="A156" s="518"/>
      <c r="B156" s="504"/>
      <c r="C156" s="107" t="str">
        <f>IF(AND( ISNUMBER(B152), OR('Cost Inputs'!$H$71&lt;&gt;"", 'Cost Inputs'!$I$71&lt;&gt;"", 'Cost Inputs'!$J$71&lt;&gt;"")), _3_2_4, "")</f>
        <v/>
      </c>
      <c r="D156" s="93" t="str">
        <f>IF(AND($C156&lt;&gt;"", 'Cost Inputs'!$G$71&lt;&gt;""), 'Cost Inputs'!$G$71, "")</f>
        <v/>
      </c>
      <c r="E156" s="93" t="str">
        <f>IF(AND(C156&lt;&gt;"", 'Cost Inputs'!$H$71&lt;&gt;"", M$149&lt;&gt;"", M$149&gt;0), $E135-('Cost Inputs'!$H$71*M$149), IF(AND(C156&lt;&gt;"", 'Cost Inputs'!$H$71&lt;&gt;""), $E135, ""))</f>
        <v/>
      </c>
      <c r="F156" s="93" t="str">
        <f>IF(AND(C156&lt;&gt;"", 'Cost Inputs'!$I$71&lt;&gt;""), 'Cost Inputs'!$I$71, "")</f>
        <v/>
      </c>
      <c r="G156" s="93" t="str">
        <f t="shared" si="8"/>
        <v/>
      </c>
      <c r="H156" s="93" t="str">
        <f>IF(AND(C156&lt;&gt;"", 'Cost Inputs'!$J$71&lt;&gt;""), 'Cost Inputs'!$J$71, "")</f>
        <v/>
      </c>
      <c r="I156" s="93" t="str">
        <f t="shared" si="7"/>
        <v/>
      </c>
      <c r="J156" s="93" t="str">
        <f>IF(AND(C156&lt;&gt;"",('Cost Inputs'!$I$71+'Cost Inputs'!$J$71+'Cost Inputs'!$K$71)&gt;0), 'Cost Inputs'!$I$71+'Cost Inputs'!$J$71+'Cost Inputs'!$K$71, "")</f>
        <v/>
      </c>
      <c r="K156" s="93" t="str">
        <f>IF(AND(C156&lt;&gt;"", 'Cost Inputs'!$N$71&gt;0),'Cost Inputs'!$N$71,"")</f>
        <v/>
      </c>
      <c r="L156" s="93"/>
      <c r="M156" s="109"/>
      <c r="U156" s="372" t="str">
        <f>IF($O$3="N.B.C.",
IF(ISNUMBER($B$152),
IF($C156&lt;&gt;"",
IF('Cost Inputs'!$L$71="Y",
IF(ISNUMBER($P$55), $E156+($E$89*(($E156/$E$89)+$P$55)), $E156),
IF('Cost Inputs'!$L$71="N",
IF(AND(ISNUMBER('Cost Inputs'!$M$71), OR('Cost Inputs'!$M$71=1,'Cost Inputs'!$M$71=2,'Cost Inputs'!$M$71=4)),
IF(ISNUMBER($P$55), $E156+($E$89*(($E156/$E$89)+$P$55)), $E156),""),"")), ""),""),"")</f>
        <v/>
      </c>
      <c r="V156" s="372" t="str">
        <f>IF($P$3="N.B.C.",
IF(ISNUMBER($B$152),
IF($C156&lt;&gt;"",
IF('Cost Inputs'!$L$71="Y",
IF(ISNUMBER($Q$55), $E156+($E$89*(($E156/$E$89)+$Q$55)), $E156),
IF('Cost Inputs'!$L$71="N",
IF(AND(ISNUMBER('Cost Inputs'!$M$71), OR('Cost Inputs'!$M$71=1,'Cost Inputs'!$M$71=5)),
IF(ISNUMBER($Q$55), $E156+($E$89*(($E156/$E$89)+$Q$55)), $E156),""),"")), ""),""),"")</f>
        <v/>
      </c>
      <c r="W156" s="372" t="str">
        <f>IF($Q$3="N.B.C.",
IF(ISNUMBER($B$152),
IF($C156&lt;&gt;"",
IF('Cost Inputs'!$L$71="Y",
IF(ISNUMBER($R$55), $E156+($E$89*(($E156/$E$89)+$R$55)), $E156),
IF('Cost Inputs'!$L$71="N",
IF(AND(ISNUMBER('Cost Inputs'!$M$71), OR('Cost Inputs'!$M$71=1,'Cost Inputs'!$M$71=2,'Cost Inputs'!$M$71=3,'Cost Inputs'!$M$71=6)),
IF(ISNUMBER($R$55), $E156+($E$89*(($E156/$E$89)+$R$55)), $E156),""),"")), ""),""),"")</f>
        <v/>
      </c>
      <c r="X156" s="372" t="str">
        <f>IF($R$3="N.B.C.",
IF(ISNUMBER($B$152),
IF($C156&lt;&gt;"",
IF('Cost Inputs'!$L$71="Y",
IF(ISNUMBER($S$55), $E156+($E$89*(($E156/$E$89)+$S$55)), $E156),
IF('Cost Inputs'!$L$71="N",
IF(AND(ISNUMBER('Cost Inputs'!$M$71), OR('Cost Inputs'!$M$71=1,'Cost Inputs'!$M$71=7)),
IF(ISNUMBER($S$55), $E156+($E$89*(($E156/$E$89)+$S$55)), $E156),""),"")), ""),""),"")</f>
        <v/>
      </c>
      <c r="Y156" s="372" t="str">
        <f>IF($S$3="N.B.C.",
IF(ISNUMBER($B$152),
IF($C156&lt;&gt;"",
IF('Cost Inputs'!$L$71="Y",
IF(ISNUMBER($T$55), $E156+($E$89*(($E156/$E$89)+$T$55)), $E156),
IF('Cost Inputs'!$L$71="N",
IF(AND(ISNUMBER('Cost Inputs'!$M$71), OR('Cost Inputs'!$M$71=1,'Cost Inputs'!$M$71=2,'Cost Inputs'!$M$71=4,'Cost Inputs'!$M$71=8)),
IF(ISNUMBER($T$55), $E156+($E$89*(($E156/$E$89)+$T$55)), $E156),""),"")), ""),""),"")</f>
        <v/>
      </c>
      <c r="Z156" s="372" t="str">
        <f>IF($T$3="N.B.C.",
IF(ISNUMBER($B$152),
IF($C156&lt;&gt;"",
IF('Cost Inputs'!$L$71="Y",
IF(ISNUMBER($U$55), $E156+($E$89*(($E156/$E$89)+$U$55)), $E156),
IF('Cost Inputs'!$L$71="N",
IF(AND(ISNUMBER('Cost Inputs'!$M$71), OR('Cost Inputs'!$M$71=1,'Cost Inputs'!$M$71=3,'Cost Inputs'!$M$71=9)),
IF(ISNUMBER($U$55), $E156+($E$89*(($E156/$E$89)+$U$55)), $E156),""),"")), ""),""),"")</f>
        <v/>
      </c>
      <c r="AA156" s="372" t="str">
        <f>IF($U$3="N.B.C.",
IF(ISNUMBER($B$152),
IF($C156&lt;&gt;"",
IF('Cost Inputs'!$L$71="Y",
IF(ISNUMBER($V$55), $E156+($E$89*(($E156/$E$89)+$V$55)), $E156),
IF('Cost Inputs'!$L$71="N",
IF(AND(ISNUMBER('Cost Inputs'!$M$71), OR('Cost Inputs'!$M$71=1,'Cost Inputs'!$M$71=2,'Cost Inputs'!$M$71=5)),
IF(ISNUMBER($V$55), $E156+($E$89*(($E156/$E$89)+$V$55)), $E156),""),"")), ""),""),"")</f>
        <v/>
      </c>
      <c r="AB156" s="372" t="str">
        <f>IF($V$3="N.B.C.",
IF(ISNUMBER($B$152),
IF($C156&lt;&gt;"",
IF('Cost Inputs'!$L$71="Y",
IF(ISNUMBER($W$55), $E156+($E$89*(($E156/$E$89)+$W$55)), $E156),
IF('Cost Inputs'!$L$71="N",
IF(AND(ISNUMBER('Cost Inputs'!$M$71), OR('Cost Inputs'!$M$71=1)),
IF(ISNUMBER($W$55), $E156+($E$89*(($E156/$E$89)+$W$55)), $E156),""),"")), ""),""),"")</f>
        <v/>
      </c>
      <c r="AC156" s="372" t="str">
        <f>IF($W$3="N.B.C.",
IF(ISNUMBER($B$152),
IF($C156&lt;&gt;"",
IF('Cost Inputs'!$L$71="Y",
IF(ISNUMBER($X$55), $E156+($E$89*(($E156/$E$89)+$X$55)), $E156),
IF('Cost Inputs'!$L$71="N",
IF(AND(ISNUMBER('Cost Inputs'!$M$71), OR('Cost Inputs'!$M$71=1,'Cost Inputs'!$M$71=2,'Cost Inputs'!$M$71=3,'Cost Inputs'!$M$71=4,'Cost Inputs'!$M$71=6)),
IF(ISNUMBER($X$55), $E156+($E$89*(($E156/$E$89)+$X$55)), $E156),""),"")), ""),""),"")</f>
        <v/>
      </c>
      <c r="AD156" s="372" t="str">
        <f>IF($X$3="N.B.C.",
IF(ISNUMBER($B$152),
IF($C156&lt;&gt;"",
IF('Cost Inputs'!$L$71="Y",
IF(ISNUMBER($Y$55), $E156+($E$89*(($E156/$E$89)+$Y$55)), $E156),
IF('Cost Inputs'!$L$71="N",
IF(AND(ISNUMBER('Cost Inputs'!$M$71), OR('Cost Inputs'!$M$71=1)),
IF(ISNUMBER($Y$55), $E156+($E$89*(($E156/$E$89)+$Y$55)), $E156),""),"")), ""),""),"")</f>
        <v/>
      </c>
    </row>
    <row r="157" spans="1:30" x14ac:dyDescent="0.25">
      <c r="A157" s="518"/>
      <c r="B157" s="504"/>
      <c r="C157" s="110" t="str">
        <f>IF(AND(B152&lt;&gt;"", ISNUMBER(Stage1EvaluationBegins)), IF((INDEX(ProgramYearStage1,MATCH(Stage1EvaluationBegins,Years_in_Stage1,0)))=B152, _3_3_0, IF(AND(B152&lt;&gt;"", C136&lt;&gt;""), _3_3_0, IF(AND(B152&lt;&gt;"", OR(Stage1EvaluationBegins=0, Stage1EvaluationBegins="")),"", ""))),"")</f>
        <v/>
      </c>
      <c r="D157" s="94" t="str">
        <f>IF(AND(B152&lt;&gt;"", OR('Cost Inputs'!$H$72&lt;&gt;"", 'Cost Inputs'!$I$72&lt;&gt;"", 'Cost Inputs'!$J$72&lt;&gt;"")), 'Cost Inputs'!$G$72,"")</f>
        <v/>
      </c>
      <c r="E157" s="94" t="str">
        <f>IF(AND(C157&lt;&gt;"", 'Cost Inputs'!$H$72&lt;&gt;""), 'Cost Inputs'!$H$72, "")</f>
        <v/>
      </c>
      <c r="F157" s="94" t="str">
        <f>IF(AND(C157&lt;&gt;"", 'Cost Inputs'!$I$72&lt;&gt;""), 'Cost Inputs'!$I$72, "")</f>
        <v/>
      </c>
      <c r="G157" s="94" t="str">
        <f t="shared" si="8"/>
        <v/>
      </c>
      <c r="H157" s="94" t="str">
        <f>IF(AND(C157&lt;&gt;"", 'Cost Inputs'!$J$72&lt;&gt;""), 'Cost Inputs'!$J$72, "")</f>
        <v/>
      </c>
      <c r="I157" s="94" t="str">
        <f>IF(AND($E157&lt;&gt;"", $H157&lt;&gt;""), $H157/$E157, "")</f>
        <v/>
      </c>
      <c r="J157" s="94" t="str">
        <f>IF(AND(C157&lt;&gt;"",('Cost Inputs'!$I$72+'Cost Inputs'!$J$72+'Cost Inputs'!$K$72)&gt;0), 'Cost Inputs'!$I$72+'Cost Inputs'!$J$72+'Cost Inputs'!$K$72, "")</f>
        <v/>
      </c>
      <c r="K157" s="94" t="str">
        <f>IF(AND(C157&lt;&gt;"", 'Cost Inputs'!$N$72&gt;0),'Cost Inputs'!$N$72,"")</f>
        <v/>
      </c>
      <c r="L157" s="130" t="str">
        <f>IF(AND($B152&lt;&gt;"", ISNUMBER(Stage1EvaluationBegins)), IF((INDEX(ProgramYearStage1,MATCH(Stage1EvaluationBegins,Years_in_Stage1,0)))=$B152, INDEX(Stage1Evaluation,MATCH(Stage1EvaluationBegins,Years_in_Stage1,0)), IF(AND($B152&lt;&gt;"", $C136&lt;&gt;""), INDEX(Stage1Evaluation,MATCH($B152,ProgramYearStage1,0)), IF(AND(B152&lt;&gt;"", OR(Stage1EvaluationBegins=0, Stage1EvaluationBegins="")),"", ""))),"")</f>
        <v/>
      </c>
      <c r="M157" s="103"/>
      <c r="U157" s="373" t="str">
        <f>IF($O$3="N.B.C.",
IF(ISNUMBER($B$152),
IF($C157&lt;&gt;"",
IF('Cost Inputs'!$L$72="Y",
IF(AND(ISNUMBER(P$56), P$56&gt;$E$60), $E157+($E$60*(($E157/$E$60)+$P$55)), $E157),
IF('Cost Inputs'!$L$72="N",
IF(AND(ISNUMBER('Cost Inputs'!$M$72), OR('Cost Inputs'!$M$72=1,'Cost Inputs'!$M$72=2, 'Cost Inputs'!$M$72=4)),
IF(AND(ISNUMBER(P$56), P$56&gt;$E$60), $E157+($E$60*(($E157/$E$60)+$P$55)), $E157), ""),"")), ""), ""), "")</f>
        <v/>
      </c>
      <c r="V157" s="373" t="str">
        <f>IF($P$3="N.B.C.",
IF(ISNUMBER($B$152),
IF($C157&lt;&gt;"",
IF('Cost Inputs'!$L$72="Y",
IF(AND(ISNUMBER(Q$56), Q$56&gt;$E$60), $E157+($E$60*(($E157/$E$60)+$Q$55)), $E157),
IF('Cost Inputs'!$L$72="N",
IF(AND(ISNUMBER('Cost Inputs'!$M$72), OR('Cost Inputs'!$M$72=1,'Cost Inputs'!$M$72=5)),
IF(AND(ISNUMBER(Q$56), Q$56&gt;$E$60), $E157+($E$60*(($E157/$E$60)+$Q$55)), $E157), ""),"")), ""), ""), "")</f>
        <v/>
      </c>
      <c r="W157" s="373" t="str">
        <f>IF($Q$3="N.B.C.",
IF(ISNUMBER($B$152),
IF($C157&lt;&gt;"",
IF('Cost Inputs'!$L$72="Y",
IF(AND(ISNUMBER(R$56), R$56&gt;$E$60), $E157+($E$60*(($E157/$E$60)+$R$55)), $E157),
IF('Cost Inputs'!$L$72="N",
IF(AND(ISNUMBER('Cost Inputs'!$M$72), OR('Cost Inputs'!$M$72=1,'Cost Inputs'!$M$72=2, 'Cost Inputs'!$M$72=3,'Cost Inputs'!$M$72=6)),
IF(AND(ISNUMBER(R$56), R$56&gt;$E$60), $E157+($E$60*(($E157/$E$60)+$R$55)), $E157), ""),"")), ""), ""), "")</f>
        <v/>
      </c>
      <c r="X157" s="373" t="str">
        <f>IF($R$3="N.B.C.",
IF(ISNUMBER($B$152),
IF($C157&lt;&gt;"",
IF('Cost Inputs'!$L$72="Y",
IF(AND(ISNUMBER(S$56), S$56&gt;$E$60), $E157+($E$60*(($E157/$E$60)+$S$55)), $E157),
IF('Cost Inputs'!$L$72="N",
IF(AND(ISNUMBER('Cost Inputs'!$M$72), OR('Cost Inputs'!$M$72=1,'Cost Inputs'!$M$72=7)),
IF(AND(ISNUMBER(S$56), S$56&gt;$E$60), $E157+($E$60*(($E157/$E$60)+$S$55)), $E157), ""),"")), ""), ""), "")</f>
        <v/>
      </c>
      <c r="Y157" s="373" t="str">
        <f>IF($S$3="N.B.C.",
IF(ISNUMBER($B$152),
IF($C157&lt;&gt;"",
IF('Cost Inputs'!$L$72="Y",
IF(AND(ISNUMBER(T$56), T$56&gt;$E$60), $E157+($E$60*(($E157/$E$60)+$T$55)), $E157),
IF('Cost Inputs'!$L$72="N",
IF(AND(ISNUMBER('Cost Inputs'!$M$72), OR('Cost Inputs'!$M$72=1,'Cost Inputs'!$M$72=2,'Cost Inputs'!$M$72=4,'Cost Inputs'!$M$72=8)),
IF(AND(ISNUMBER(T$56), T$56&gt;$E$60), $E157+($E$60*(($E157/$E$60)+$T$55)), $E157), ""),"")), ""), ""), "")</f>
        <v/>
      </c>
      <c r="Z157" s="373" t="str">
        <f>IF($T$3="N.B.C.",
IF(ISNUMBER($B$152),
IF($C157&lt;&gt;"",
IF('Cost Inputs'!$L$72="Y",
IF(AND(ISNUMBER(U$56), U$56&gt;$E$60), $E157+($E$60*(($E157/$E$60)+$U$55)), $E157),
IF('Cost Inputs'!$L$72="N",
IF(AND(ISNUMBER('Cost Inputs'!$M$72), OR('Cost Inputs'!$M$72=1,'Cost Inputs'!$M$72=3, 'Cost Inputs'!$M$72=9)),
IF(AND(ISNUMBER(U$56), U$56&gt;$E$60), $E157+($E$60*(($E157/$E$60)+$U$55)), $E157), ""),"")), ""), ""), "")</f>
        <v/>
      </c>
      <c r="AA157" s="373" t="str">
        <f>IF($U$3="N.B.C.",
IF(ISNUMBER($B$152),
IF($C157&lt;&gt;"",
IF('Cost Inputs'!$L$72="Y",
IF(AND(ISNUMBER(V$56), V$56&gt;$E$60), $E157+($E$60*(($E157/$E$60)+$V$55)), $E157),
IF('Cost Inputs'!$L$72="N",
IF(AND(ISNUMBER('Cost Inputs'!$M$72), OR('Cost Inputs'!$M$72=1,'Cost Inputs'!$M$72=2, 'Cost Inputs'!$M$72=5)),
IF(AND(ISNUMBER(V$56), V$56&gt;$E$60), $E157+($E$60*(($E157/$E$60)+$V$55)), $E157), ""),"")), ""), ""), "")</f>
        <v/>
      </c>
      <c r="AB157" s="373" t="str">
        <f>IF($V$3="N.B.C.",
IF(ISNUMBER($B$152),
IF($C157&lt;&gt;"",
IF('Cost Inputs'!$L$72="Y",
IF(AND(ISNUMBER(W$56), W$56&gt;$E$60), $E157+($E$60*(($E157/$E$60)+$W$55)), $E157),
IF('Cost Inputs'!$L$72="N",
IF(AND(ISNUMBER('Cost Inputs'!$M$72), OR('Cost Inputs'!$M$72=1)),
IF(AND(ISNUMBER(W$56), W$56&gt;$E$60), $E157+($E$60*(($E157/$E$60)+$W$55)), $E157), ""),"")), ""), ""), "")</f>
        <v/>
      </c>
      <c r="AC157" s="373" t="str">
        <f>IF($W$3="N.B.C.",
IF(ISNUMBER($B$152),
IF($C157&lt;&gt;"",
IF('Cost Inputs'!$L$72="Y",
IF(AND(ISNUMBER(X$56), X$56&gt;$E$60), $E157+($E$60*(($E157/$E$60)+$X$55)), $E157),
IF('Cost Inputs'!$L$72="N",
IF(AND(ISNUMBER('Cost Inputs'!$M$72), OR('Cost Inputs'!$M$72=1,'Cost Inputs'!$M$72=2,'Cost Inputs'!$M$72=3,'Cost Inputs'!$M$72=4,'Cost Inputs'!$M$72=6)),
IF(AND(ISNUMBER(X$56), X$56&gt;$E$60), $E157+($E$60*(($E157/$E$60)+$X$55)), $E157), ""),"")), ""), ""), "")</f>
        <v/>
      </c>
      <c r="AD157" s="373" t="str">
        <f>IF($X$3="N.B.C.",
IF(ISNUMBER($B$152),
IF($C157&lt;&gt;"",
IF('Cost Inputs'!$L$72="Y",
IF(AND(ISNUMBER(Y$56), Y$56&gt;$E$60), $E157+($E$60*(($E157/$E$60)+$Y$55)), $E157),
IF('Cost Inputs'!$L$72="N",
IF(AND(ISNUMBER('Cost Inputs'!$M$72), OR('Cost Inputs'!$M$72=1)),
IF(AND(ISNUMBER(Y$56), Y$56&gt;$E$60), $E157+($E$60*(($E157/$E$60)+$Y$55)), $E157), ""),"")), ""), ""), "")</f>
        <v/>
      </c>
    </row>
    <row r="158" spans="1:30" x14ac:dyDescent="0.25">
      <c r="A158" s="518"/>
      <c r="B158" s="504"/>
      <c r="C158" s="104" t="str">
        <f>IF(AND(ISNUMBER(B152), C157&lt;&gt;"", OR('Cost Inputs'!$H$73&lt;&gt;"", 'Cost Inputs'!$I$73&lt;&gt;"", 'Cost Inputs'!$J$73&lt;&gt;"")), _3_3_1, "")</f>
        <v/>
      </c>
      <c r="D158" s="17" t="str">
        <f>IF(AND(C158&lt;&gt;"", 'Cost Inputs'!$G$73&lt;&gt;""), 'Cost Inputs'!$G$73, "")</f>
        <v/>
      </c>
      <c r="E158" s="17" t="str">
        <f>IF(AND(C158&lt;&gt;"", 'Cost Inputs'!$H$73&lt;&gt;""), 'Cost Inputs'!$H$73, "")</f>
        <v/>
      </c>
      <c r="F158" s="17" t="str">
        <f>IF(AND(C158&lt;&gt;"", 'Cost Inputs'!$I$73&lt;&gt;""), 'Cost Inputs'!$I$73, "")</f>
        <v/>
      </c>
      <c r="G158" s="17" t="str">
        <f t="shared" si="8"/>
        <v/>
      </c>
      <c r="H158" s="17" t="str">
        <f>IF(AND(C158&lt;&gt;"", 'Cost Inputs'!$J$73&lt;&gt;""), 'Cost Inputs'!$J$73, "")</f>
        <v/>
      </c>
      <c r="I158" s="17" t="str">
        <f t="shared" si="7"/>
        <v/>
      </c>
      <c r="J158" s="17" t="str">
        <f>IF(AND(C158&lt;&gt;"",('Cost Inputs'!$I$73+'Cost Inputs'!$J$73+'Cost Inputs'!$K$73)&gt;0), 'Cost Inputs'!$I$73+'Cost Inputs'!$J$73+'Cost Inputs'!$K$73, "")</f>
        <v/>
      </c>
      <c r="K158" s="17" t="str">
        <f>IF(AND(C158&lt;&gt;"", 'Cost Inputs'!$N$73&gt;0),'Cost Inputs'!$N$73,"")</f>
        <v/>
      </c>
      <c r="M158" s="106"/>
      <c r="U158" s="364" t="str">
        <f>IF($O$3="N.B.C.",
IF(ISNUMBER($B$152),
IF($C158&lt;&gt;"",
IF('Cost Inputs'!$L$73="Y",
IF(ISNUMBER($P$55), $E158+($E$73*(($E158/$E$73)+$P$55)), $E158),
IF('Cost Inputs'!$L$73="N",
IF(AND(ISNUMBER('Cost Inputs'!$M$73), OR('Cost Inputs'!$M$73=1,'Cost Inputs'!$M$73=2,'Cost Inputs'!$M$73=4)),
IF(ISNUMBER($P$55), $E158+($E$73*(($E158/$E$73)+$P$55)), $E158),""),"")), ""),""),"")</f>
        <v/>
      </c>
      <c r="V158" s="364" t="str">
        <f>IF($P$3="N.B.C.",
IF(ISNUMBER($B$152),
IF($C158&lt;&gt;"",
IF('Cost Inputs'!$L$73="Y",
IF(ISNUMBER($Q$55), $E158+($E$73*(($E158/$E$73)+$Q$55)), $E158),
IF('Cost Inputs'!$L$73="N",
IF(AND(ISNUMBER('Cost Inputs'!$M$73), OR('Cost Inputs'!$M$73=1,'Cost Inputs'!$M$73=5)),
IF(ISNUMBER($Q$55), $E158+($E$73*(($E158/$E$73)+$Q$55)), $E158),""),"")), ""),""),"")</f>
        <v/>
      </c>
      <c r="W158" s="364" t="str">
        <f>IF($Q$3="N.B.C.",
IF(ISNUMBER($B$152),
IF($C158&lt;&gt;"",
IF('Cost Inputs'!$L$73="Y",
IF(ISNUMBER($R$55), $E158+($E$73*(($E158/$E$73)+$R$55)), $E158),
IF('Cost Inputs'!$L$73="N",
IF(AND(ISNUMBER('Cost Inputs'!$M$73), OR('Cost Inputs'!$M$73=1,'Cost Inputs'!$M$73=2,'Cost Inputs'!$M$73=3,'Cost Inputs'!$M$73=6)),
IF(ISNUMBER($R$55), $E158+($E$73*(($E158/$E$73)+$R$55)), $E158),""),"")), ""),""),"")</f>
        <v/>
      </c>
      <c r="X158" s="364" t="str">
        <f>IF($R$3="N.B.C.",
IF(ISNUMBER($B$152),
IF($C158&lt;&gt;"",
IF('Cost Inputs'!$L$73="Y",
IF(ISNUMBER($S$55), $E158+($E$73*(($E158/$E$73)+$S$55)), $E158),
IF('Cost Inputs'!$L$73="N",
IF(AND(ISNUMBER('Cost Inputs'!$M$73), OR('Cost Inputs'!$M$73=1,'Cost Inputs'!$M$73=7)),
IF(ISNUMBER($S$55), $E158+($E$73*(($E158/$E$73)+$S$55)), $E158),""),"")), ""),""),"")</f>
        <v/>
      </c>
      <c r="Y158" s="364" t="str">
        <f>IF($S$3="N.B.C.",
IF(ISNUMBER($B$152),
IF($C158&lt;&gt;"",
IF('Cost Inputs'!$L$73="Y",
IF(ISNUMBER($T$55), $E158+($E$73*(($E158/$E$73)+$T$55)), $E158),
IF('Cost Inputs'!$L$73="N",
IF(AND(ISNUMBER('Cost Inputs'!$M$73), OR('Cost Inputs'!$M$73=1,'Cost Inputs'!$M$73=2,'Cost Inputs'!$M$73=4,'Cost Inputs'!$M$73=8)),
IF(ISNUMBER($T$55), $E158+($E$73*(($E158/$E$73)+$T$55)), $E158),""),"")), ""),""),"")</f>
        <v/>
      </c>
      <c r="Z158" s="364" t="str">
        <f>IF($T$3="N.B.C.",
IF(ISNUMBER($B$152),
IF($C158&lt;&gt;"",
IF('Cost Inputs'!$L$73="Y",
IF(ISNUMBER($U$55), $E158+($E$73*(($E158/$E$73)+$U$55)), $E158),
IF('Cost Inputs'!$L$73="N",
IF(AND(ISNUMBER('Cost Inputs'!$M$73), OR('Cost Inputs'!$M$73=1,'Cost Inputs'!$M$73=3,'Cost Inputs'!$M$73=9)),
IF(ISNUMBER($U$55), $E158+($E$73*(($E158/$E$73)+$U$55)), $E158),""),"")), ""),""),"")</f>
        <v/>
      </c>
      <c r="AA158" s="364" t="str">
        <f>IF($U$3="N.B.C.",
IF(ISNUMBER($B$152),
IF($C158&lt;&gt;"",
IF('Cost Inputs'!$L$73="Y",
IF(ISNUMBER($V$55), $E158+($E$73*(($E158/$E$73)+$V$55)), $E158),
IF('Cost Inputs'!$L$73="N",
IF(AND(ISNUMBER('Cost Inputs'!$M$73), OR('Cost Inputs'!$M$73=1,'Cost Inputs'!$M$73=2,'Cost Inputs'!$M$73=5)),
IF(ISNUMBER($V$55), $E158+($E$73*(($E158/$E$73)+$V$55)), $E158),""),"")), ""),""),"")</f>
        <v/>
      </c>
      <c r="AB158" s="364" t="str">
        <f>IF($V$3="N.B.C.",
IF(ISNUMBER($B$152),
IF($C158&lt;&gt;"",
IF('Cost Inputs'!$L$73="Y",
IF(ISNUMBER($W$55), $E158+($E$73*(($E158/$E$73)+$W$55)), $E158),
IF('Cost Inputs'!$L$73="N",
IF(AND(ISNUMBER('Cost Inputs'!$M$73), OR('Cost Inputs'!$M$73=1)),
IF(ISNUMBER($W$55), $E158+($E$73*(($E158/$E$73)+$W$55)), $E158),""),"")), ""),""),"")</f>
        <v/>
      </c>
      <c r="AC158" s="364" t="str">
        <f>IF($W$3="N.B.C.",
IF(ISNUMBER($B$152),
IF($C158&lt;&gt;"",
IF('Cost Inputs'!$L$73="Y",
IF(ISNUMBER($X$55), $E158+($E$73*(($E158/$E$73)+$X$55)), $E158),
IF('Cost Inputs'!$L$73="N",
IF(AND(ISNUMBER('Cost Inputs'!$M$73), OR('Cost Inputs'!$M$73=1,'Cost Inputs'!$M$73=2,'Cost Inputs'!$M$73=3,'Cost Inputs'!$M$73=4,'Cost Inputs'!$M$73=6)),
IF(ISNUMBER($X$55), $E158+($E$73*(($E158/$E$73)+$X$55)), $E158),""),"")), ""),""),"")</f>
        <v/>
      </c>
      <c r="AD158" s="364" t="str">
        <f>IF($X$3="N.B.C.",
IF(ISNUMBER($B$152),
IF($C158&lt;&gt;"",
IF('Cost Inputs'!$L$73="Y",
IF(ISNUMBER($Y$55), $E158+($E$73*(($E158/$E$73)+$Y$55)), $E158),
IF('Cost Inputs'!$L$73="N",
IF(AND(ISNUMBER('Cost Inputs'!$M$73), OR('Cost Inputs'!$M$73=1)),
IF(ISNUMBER($Y$55), $E158+($E$73*(($E158/$E$73)+$Y$55)), $E158),""),"")), ""),""),"")</f>
        <v/>
      </c>
    </row>
    <row r="159" spans="1:30" x14ac:dyDescent="0.25">
      <c r="A159" s="518"/>
      <c r="B159" s="504"/>
      <c r="C159" s="107" t="str">
        <f>IF(AND(ISNUMBER(B152), C157&lt;&gt;"", OR('Cost Inputs'!$H$74&lt;&gt;"", 'Cost Inputs'!$I$74&lt;&gt;"", 'Cost Inputs'!$J$74&lt;&gt;"")), _3_3_2, "")</f>
        <v/>
      </c>
      <c r="D159" s="93" t="str">
        <f>IF(AND(C159&lt;&gt;"", 'Cost Inputs'!$G$74&lt;&gt;""), 'Cost Inputs'!$G$74, "")</f>
        <v/>
      </c>
      <c r="E159" s="93" t="str">
        <f>IF(AND(C159&lt;&gt;"", 'Cost Inputs'!$H$74&lt;&gt;""), 'Cost Inputs'!$H$74, "")</f>
        <v/>
      </c>
      <c r="F159" s="93" t="str">
        <f>IF(AND(C159&lt;&gt;"", 'Cost Inputs'!$I$74&lt;&gt;""), 'Cost Inputs'!$I$74, "")</f>
        <v/>
      </c>
      <c r="G159" s="93" t="str">
        <f t="shared" si="8"/>
        <v/>
      </c>
      <c r="H159" s="93" t="str">
        <f>IF(AND(C159&lt;&gt;"", 'Cost Inputs'!$J$74&lt;&gt;""), 'Cost Inputs'!$J$74, "")</f>
        <v/>
      </c>
      <c r="I159" s="93" t="str">
        <f t="shared" si="7"/>
        <v/>
      </c>
      <c r="J159" s="93" t="str">
        <f>IF(AND(C159&lt;&gt;"",('Cost Inputs'!$I$74+'Cost Inputs'!$J$74+'Cost Inputs'!$K$74)&gt;0), 'Cost Inputs'!$I$74+'Cost Inputs'!$J$74+'Cost Inputs'!$K$74, "")</f>
        <v/>
      </c>
      <c r="K159" s="93" t="str">
        <f>IF(AND(C159&lt;&gt;"", 'Cost Inputs'!$N$74&gt;0),'Cost Inputs'!$N$74,"")</f>
        <v/>
      </c>
      <c r="L159" s="93"/>
      <c r="M159" s="109"/>
      <c r="U159" s="372" t="str">
        <f>IF($O$3="N.B.C.",
IF(ISNUMBER($B$152),
IF($C159&lt;&gt;"",
IF('Cost Inputs'!$L$74="Y",
IF(ISNUMBER($P$55), $E159+($E$73*(($E159/$E$73)+$P$55)), $E159),
IF('Cost Inputs'!$L$74="N",
IF(AND(ISNUMBER('Cost Inputs'!$M$74), OR('Cost Inputs'!$M$74=1,'Cost Inputs'!$M$74=2,'Cost Inputs'!$M$74=4)),
IF(ISNUMBER($P$55), $E159+($E$73*(($E159/$E$73)+$P$55)), $E159),""),"")), ""),""),"")</f>
        <v/>
      </c>
      <c r="V159" s="372" t="str">
        <f>IF($P$3="N.B.C.",
IF(ISNUMBER($B$152),
IF($C159&lt;&gt;"",
IF('Cost Inputs'!$L$74="Y",
IF(ISNUMBER($Q$55), $E159+($E$73*(($E159/$E$73)+$Q$55)), $E159),
IF('Cost Inputs'!$L$74="N",
IF(AND(ISNUMBER('Cost Inputs'!$M$74), OR('Cost Inputs'!$M$74=1,'Cost Inputs'!$M$74=5)),
IF(ISNUMBER($Q$55), $E159+($E$73*(($E159/$E$73)+$Q$55)), $E159),""),"")), ""),""),"")</f>
        <v/>
      </c>
      <c r="W159" s="372" t="str">
        <f>IF($Q$3="N.B.C.",
IF(ISNUMBER($B$152),
IF($C159&lt;&gt;"",
IF('Cost Inputs'!$L$74="Y",
IF(ISNUMBER($R$55), $E159+($E$73*(($E159/$E$73)+$R$55)), $E159),
IF('Cost Inputs'!$L$74="N",
IF(AND(ISNUMBER('Cost Inputs'!$M$74), OR('Cost Inputs'!$M$74=1,'Cost Inputs'!$M$74=2,'Cost Inputs'!$M$74=3,'Cost Inputs'!$M$74=6)),
IF(ISNUMBER($R$55), $E159+($E$73*(($E159/$E$73)+$R$55)), $E159),""),"")), ""),""),"")</f>
        <v/>
      </c>
      <c r="X159" s="372" t="str">
        <f>IF($R$3="N.B.C.",
IF(ISNUMBER($B$152),
IF($C159&lt;&gt;"",
IF('Cost Inputs'!$L$74="Y",
IF(ISNUMBER($S$55), $E159+($E$73*(($E159/$E$73)+$S$55)), $E159),
IF('Cost Inputs'!$L$74="N",
IF(AND(ISNUMBER('Cost Inputs'!$M$74), OR('Cost Inputs'!$M$74=1,'Cost Inputs'!$M$74=7)),
IF(ISNUMBER($S$55), $E159+($E$73*(($E159/$E$73)+$S$55)), $E159),""),"")), ""),""),"")</f>
        <v/>
      </c>
      <c r="Y159" s="372" t="str">
        <f>IF($S$3="N.B.C.",
IF(ISNUMBER($B$152),
IF($C159&lt;&gt;"",
IF('Cost Inputs'!$L$74="Y",
IF(ISNUMBER($T$55), $E159+($E$73*(($E159/$E$73)+$T$55)), $E159),
IF('Cost Inputs'!$L$74="N",
IF(AND(ISNUMBER('Cost Inputs'!$M$74), OR('Cost Inputs'!$M$74=1,'Cost Inputs'!$M$74=2,'Cost Inputs'!$M$74=4,'Cost Inputs'!$M$74=8)),
IF(ISNUMBER($T$55), $E159+($E$73*(($E159/$E$73)+$T$55)), $E159),""),"")), ""),""),"")</f>
        <v/>
      </c>
      <c r="Z159" s="372" t="str">
        <f>IF($T$3="N.B.C.",
IF(ISNUMBER($B$152),
IF($C159&lt;&gt;"",
IF('Cost Inputs'!$L$74="Y",
IF(ISNUMBER($U$55), $E159+($E$73*(($E159/$E$73)+$U$55)), $E159),
IF('Cost Inputs'!$L$74="N",
IF(AND(ISNUMBER('Cost Inputs'!$M$74), OR('Cost Inputs'!$M$74=1,'Cost Inputs'!$M$74=3,'Cost Inputs'!$M$74=9)),
IF(ISNUMBER($U$55), $E159+($E$73*(($E159/$E$73)+$U$55)), $E159),""),"")), ""),""),"")</f>
        <v/>
      </c>
      <c r="AA159" s="372" t="str">
        <f>IF($U$3="N.B.C.",
IF(ISNUMBER($B$152),
IF($C159&lt;&gt;"",
IF('Cost Inputs'!$L$74="Y",
IF(ISNUMBER($V$55), $E159+($E$73*(($E159/$E$73)+$V$55)), $E159),
IF('Cost Inputs'!$L$74="N",
IF(AND(ISNUMBER('Cost Inputs'!$M$74), OR('Cost Inputs'!$M$74=1,'Cost Inputs'!$M$74=2,'Cost Inputs'!$M$74=5)),
IF(ISNUMBER($V$55), $E159+($E$73*(($E159/$E$73)+$V$55)), $E159),""),"")), ""),""),"")</f>
        <v/>
      </c>
      <c r="AB159" s="372" t="str">
        <f>IF($V$3="N.B.C.",
IF(ISNUMBER($B$152),
IF($C159&lt;&gt;"",
IF('Cost Inputs'!$L$74="Y",
IF(ISNUMBER($W$55), $E159+($E$73*(($E159/$E$73)+$W$55)), $E159),
IF('Cost Inputs'!$L$74="N",
IF(AND(ISNUMBER('Cost Inputs'!$M$74), OR('Cost Inputs'!$M$74=1)),
IF(ISNUMBER($W$55), $E159+($E$73*(($E159/$E$73)+$W$55)), $E159),""),"")), ""),""),"")</f>
        <v/>
      </c>
      <c r="AC159" s="372" t="str">
        <f>IF($W$3="N.B.C.",
IF(ISNUMBER($B$152),
IF($C159&lt;&gt;"",
IF('Cost Inputs'!$L$74="Y",
IF(ISNUMBER($X$55), $E159+($E$73*(($E159/$E$73)+$X$55)), $E159),
IF('Cost Inputs'!$L$74="N",
IF(AND(ISNUMBER('Cost Inputs'!$M$74), OR('Cost Inputs'!$M$74=1,'Cost Inputs'!$M$74=2,'Cost Inputs'!$M$74=3,'Cost Inputs'!$M$74=4,'Cost Inputs'!$M$74=6)),
IF(ISNUMBER($X$55), $E159+($E$73*(($E159/$E$73)+$X$55)), $E159),""),"")), ""),""),"")</f>
        <v/>
      </c>
      <c r="AD159" s="372" t="str">
        <f>IF($X$3="N.B.C.",
IF(ISNUMBER($B$152),
IF($C159&lt;&gt;"",
IF('Cost Inputs'!$L$74="Y",
IF(ISNUMBER($Y$55), $E159+($E$73*(($E159/$E$73)+$Y$55)), $E159),
IF('Cost Inputs'!$L$74="N",
IF(AND(ISNUMBER('Cost Inputs'!$M$74), OR('Cost Inputs'!$M$74=1)),
IF(ISNUMBER($Y$55), $E159+($E$73*(($E159/$E$73)+$Y$55)), $E159),""),"")), ""),""),"")</f>
        <v/>
      </c>
    </row>
    <row r="160" spans="1:30" x14ac:dyDescent="0.25">
      <c r="A160" s="518"/>
      <c r="B160" s="504"/>
      <c r="C160" s="104" t="str">
        <f>IF(AND(ISNUMBER(B152), OR('Cost Inputs'!$H$75&lt;&gt;"", 'Cost Inputs'!$I$75&lt;&gt;"", 'Cost Inputs'!$J$75&lt;&gt;"")), _3_3_3, "")</f>
        <v/>
      </c>
      <c r="D160" s="17" t="str">
        <f>IF(AND(C160&lt;&gt;"", 'Cost Inputs'!$G$75&lt;&gt;""), 'Cost Inputs'!$G$75, "")</f>
        <v/>
      </c>
      <c r="E160" s="17" t="str">
        <f>IF(AND(C160&lt;&gt;"", 'Cost Inputs'!$H$75&lt;&gt;""), 'Cost Inputs'!$H$75, "")</f>
        <v/>
      </c>
      <c r="F160" s="17" t="str">
        <f>IF(AND(C160&lt;&gt;"", 'Cost Inputs'!$I$75&lt;&gt;""), 'Cost Inputs'!$I$75, "")</f>
        <v/>
      </c>
      <c r="G160" s="17" t="str">
        <f t="shared" si="8"/>
        <v/>
      </c>
      <c r="H160" s="17" t="str">
        <f>IF(AND(C160&lt;&gt;"", 'Cost Inputs'!$J$75&lt;&gt;""), 'Cost Inputs'!$J$75, "")</f>
        <v/>
      </c>
      <c r="I160" s="17" t="str">
        <f t="shared" si="7"/>
        <v/>
      </c>
      <c r="J160" s="17" t="str">
        <f>IF(AND(C160&lt;&gt;"",('Cost Inputs'!$I$75+'Cost Inputs'!$J$75+'Cost Inputs'!$K$75)&gt;0), 'Cost Inputs'!$I$75+'Cost Inputs'!$J$75+'Cost Inputs'!$K$75, "")</f>
        <v/>
      </c>
      <c r="K160" s="17" t="str">
        <f>IF(AND(C160&lt;&gt;"", 'Cost Inputs'!$N$75&gt;0),'Cost Inputs'!$N$75,"")</f>
        <v/>
      </c>
      <c r="M160" s="106"/>
      <c r="U160" s="364" t="str">
        <f>IF($O$3="N.B.C.",
IF(ISNUMBER($B$152),
IF($C160&lt;&gt;"",
IF('Cost Inputs'!$L$75="Y",
IF(ISNUMBER($P$55), $E160+($E$73*(($E160/$E$73)+$P$55)), $E160),
IF('Cost Inputs'!$L$75="N",
IF(AND(ISNUMBER('Cost Inputs'!$M$75), OR('Cost Inputs'!$M$75=1,'Cost Inputs'!$M$75=2,'Cost Inputs'!$M$75=4)),
IF(ISNUMBER($P$55), $E160+($E$73*(($E160/$E$73)+$P$55)), $E160),""),"")), ""),""),"")</f>
        <v/>
      </c>
      <c r="V160" s="364" t="str">
        <f>IF($P$3="N.B.C.",
IF(ISNUMBER($B$152),
IF($C160&lt;&gt;"",
IF('Cost Inputs'!$L$75="Y",
IF(ISNUMBER($Q$55), $E160+($E$73*(($E160/$E$73)+$Q$55)), $E160),
IF('Cost Inputs'!$L$75="N",
IF(AND(ISNUMBER('Cost Inputs'!$M$75), OR('Cost Inputs'!$M$75=1,'Cost Inputs'!$M$75=5)),
IF(ISNUMBER($Q$55), $E160+($E$73*(($E160/$E$73)+$Q$55)), $E160),""),"")), ""),""),"")</f>
        <v/>
      </c>
      <c r="W160" s="364" t="str">
        <f>IF($Q$3="N.B.C.",
IF(ISNUMBER($B$152),
IF($C160&lt;&gt;"",
IF('Cost Inputs'!$L$75="Y",
IF(ISNUMBER($R$55), $E160+($E$73*(($E160/$E$73)+$R$55)), $E160),
IF('Cost Inputs'!$L$75="N",
IF(AND(ISNUMBER('Cost Inputs'!$M$75), OR('Cost Inputs'!$M$75=1,'Cost Inputs'!$M$75=2,'Cost Inputs'!$M$75=3,'Cost Inputs'!$M$75=6)),
IF(ISNUMBER($R$55), $E160+($E$73*(($E160/$E$73)+$R$55)), $E160),""),"")), ""),""),"")</f>
        <v/>
      </c>
      <c r="X160" s="364" t="str">
        <f>IF($R$3="N.B.C.",
IF(ISNUMBER($B$152),
IF($C160&lt;&gt;"",
IF('Cost Inputs'!$L$75="Y",
IF(ISNUMBER($S$55), $E160+($E$73*(($E160/$E$73)+$S$55)), $E160),
IF('Cost Inputs'!$L$75="N",
IF(AND(ISNUMBER('Cost Inputs'!$M$75), OR('Cost Inputs'!$M$75=1,'Cost Inputs'!$M$75=7)),
IF(ISNUMBER($S$55), $E160+($E$73*(($E160/$E$73)+$S$55)), $E160),""),"")), ""),""),"")</f>
        <v/>
      </c>
      <c r="Y160" s="364" t="str">
        <f>IF($S$3="N.B.C.",
IF(ISNUMBER($B$152),
IF($C160&lt;&gt;"",
IF('Cost Inputs'!$L$75="Y",
IF(ISNUMBER($T$55), $E160+($E$73*(($E160/$E$73)+$T$55)), $E160),
IF('Cost Inputs'!$L$75="N",
IF(AND(ISNUMBER('Cost Inputs'!$M$75), OR('Cost Inputs'!$M$75=1,'Cost Inputs'!$M$75=2,'Cost Inputs'!$M$75=4,'Cost Inputs'!$M$75=8)),
IF(ISNUMBER($T$55), $E160+($E$73*(($E160/$E$73)+$T$55)), $E160),""),"")), ""),""),"")</f>
        <v/>
      </c>
      <c r="Z160" s="364" t="str">
        <f>IF($T$3="N.B.C.",
IF(ISNUMBER($B$152),
IF($C160&lt;&gt;"",
IF('Cost Inputs'!$L$75="Y",
IF(ISNUMBER($U$55), $E160+($E$73*(($E160/$E$73)+$U$55)), $E160),
IF('Cost Inputs'!$L$75="N",
IF(AND(ISNUMBER('Cost Inputs'!$M$75), OR('Cost Inputs'!$M$75=1,'Cost Inputs'!$M$75=3,'Cost Inputs'!$M$75=9)),
IF(ISNUMBER($U$55), $E160+($E$73*(($E160/$E$73)+$U$55)), $E160),""),"")), ""),""),"")</f>
        <v/>
      </c>
      <c r="AA160" s="364" t="str">
        <f>IF($U$3="N.B.C.",
IF(ISNUMBER($B$152),
IF($C160&lt;&gt;"",
IF('Cost Inputs'!$L$75="Y",
IF(ISNUMBER($V$55), $E160+($E$73*(($E160/$E$73)+$V$55)), $E160),
IF('Cost Inputs'!$L$75="N",
IF(AND(ISNUMBER('Cost Inputs'!$M$75), OR('Cost Inputs'!$M$75=1,'Cost Inputs'!$M$75=2,'Cost Inputs'!$M$75=5)),
IF(ISNUMBER($V$55), $E160+($E$73*(($E160/$E$73)+$V$55)), $E160),""),"")), ""),""),"")</f>
        <v/>
      </c>
      <c r="AB160" s="364" t="str">
        <f>IF($V$3="N.B.C.",
IF(ISNUMBER($B$152),
IF($C160&lt;&gt;"",
IF('Cost Inputs'!$L$75="Y",
IF(ISNUMBER($W$55), $E160+($E$73*(($E160/$E$73)+$W$55)), $E160),
IF('Cost Inputs'!$L$75="N",
IF(AND(ISNUMBER('Cost Inputs'!$M$75), OR('Cost Inputs'!$M$75=1)),
IF(ISNUMBER($W$55), $E160+($E$73*(($E160/$E$73)+$W$55)), $E160),""),"")), ""),""),"")</f>
        <v/>
      </c>
      <c r="AC160" s="364" t="str">
        <f>IF($W$3="N.B.C.",
IF(ISNUMBER($B$152),
IF($C160&lt;&gt;"",
IF('Cost Inputs'!$L$75="Y",
IF(ISNUMBER($X$55), $E160+($E$73*(($E160/$E$73)+$X$55)), $E160),
IF('Cost Inputs'!$L$75="N",
IF(AND(ISNUMBER('Cost Inputs'!$M$75), OR('Cost Inputs'!$M$75=1,'Cost Inputs'!$M$75=2,'Cost Inputs'!$M$75=3,'Cost Inputs'!$M$75=4,'Cost Inputs'!$M$75=6)),
IF(ISNUMBER($X$55), $E160+($E$73*(($E160/$E$73)+$X$55)), $E160),""),"")), ""),""),"")</f>
        <v/>
      </c>
      <c r="AD160" s="364" t="str">
        <f>IF($X$3="N.B.C.",
IF(ISNUMBER($B$152),
IF($C160&lt;&gt;"",
IF('Cost Inputs'!$L$75="Y",
IF(ISNUMBER($Y$55), $E160+($E$73*(($E160/$E$73)+$Y$55)), $E160),
IF('Cost Inputs'!$L$75="N",
IF(AND(ISNUMBER('Cost Inputs'!$M$75), OR('Cost Inputs'!$M$75=1)),
IF(ISNUMBER($Y$55), $E160+($E$73*(($E160/$E$73)+$Y$55)), $E160),""),"")), ""),""),"")</f>
        <v/>
      </c>
    </row>
    <row r="161" spans="1:31" x14ac:dyDescent="0.25">
      <c r="A161" s="518"/>
      <c r="B161" s="504"/>
      <c r="C161" s="107" t="str">
        <f>IF(AND(ISNUMBER(B152), OR('Cost Inputs'!$H$76&lt;&gt;"", 'Cost Inputs'!$I$76&lt;&gt;"", 'Cost Inputs'!$J$76&lt;&gt;"")), _3_3_4, "")</f>
        <v/>
      </c>
      <c r="D161" s="93" t="str">
        <f>IF(AND(C161&lt;&gt;"", 'Cost Inputs'!$G$76&lt;&gt;""), 'Cost Inputs'!$G$76, "")</f>
        <v/>
      </c>
      <c r="E161" s="93" t="str">
        <f>IF(AND(C161&lt;&gt;"", 'Cost Inputs'!$H$76&lt;&gt;""), 'Cost Inputs'!$H$76, "")</f>
        <v/>
      </c>
      <c r="F161" s="93" t="str">
        <f>IF(AND(C161&lt;&gt;"", 'Cost Inputs'!$I$76&lt;&gt;""), 'Cost Inputs'!$I$76, "")</f>
        <v/>
      </c>
      <c r="G161" s="93" t="str">
        <f t="shared" si="8"/>
        <v/>
      </c>
      <c r="H161" s="93" t="str">
        <f>IF(AND(C161&lt;&gt;"", 'Cost Inputs'!$J$76&lt;&gt;""), 'Cost Inputs'!$J$76, "")</f>
        <v/>
      </c>
      <c r="I161" s="93" t="str">
        <f t="shared" si="7"/>
        <v/>
      </c>
      <c r="J161" s="93" t="str">
        <f>IF(AND(C161&lt;&gt;"",('Cost Inputs'!$I$76+'Cost Inputs'!$J$76+'Cost Inputs'!$K$76)&gt;0), 'Cost Inputs'!$I$76+'Cost Inputs'!$J$76+'Cost Inputs'!$K$76, "")</f>
        <v/>
      </c>
      <c r="K161" s="93" t="str">
        <f>IF(AND(C161&lt;&gt;"", 'Cost Inputs'!$N$76&gt;0),'Cost Inputs'!$N$76,"")</f>
        <v/>
      </c>
      <c r="L161" s="93"/>
      <c r="M161" s="109"/>
      <c r="U161" s="372" t="str">
        <f>IF($O$3="N.B.C.",
IF(ISNUMBER($B$152),
IF($C161&lt;&gt;"",
IF('Cost Inputs'!$L$76="Y",
IF(ISNUMBER($P$55), $E161+($E$73*(($E161/$E$73)+$P$55)), $E161),
IF('Cost Inputs'!$L$76="N",
IF(AND(ISNUMBER('Cost Inputs'!$M$76), OR('Cost Inputs'!$M$76=1,'Cost Inputs'!$M$76=2,'Cost Inputs'!$M$76=4)),
IF(ISNUMBER($P$55), $E161+($E$73*(($E161/$E$73)+$P$55)), $E161),""),"")), ""),""),"")</f>
        <v/>
      </c>
      <c r="V161" s="372" t="str">
        <f>IF($P$3="N.B.C.",
IF(ISNUMBER($B$152),
IF($C161&lt;&gt;"",
IF('Cost Inputs'!$L$76="Y",
IF(ISNUMBER($Q$55), $E161+($E$73*(($E161/$E$73)+$Q$55)), $E161),
IF('Cost Inputs'!$L$76="N",
IF(AND(ISNUMBER('Cost Inputs'!$M$76), OR('Cost Inputs'!$M$76=1,'Cost Inputs'!$M$76=5)),
IF(ISNUMBER($Q$55), $E161+($E$73*(($E161/$E$73)+$Q$55)), $E161),""),"")), ""),""),"")</f>
        <v/>
      </c>
      <c r="W161" s="372" t="str">
        <f>IF($Q$3="N.B.C.",
IF(ISNUMBER($B$152),
IF($C161&lt;&gt;"",
IF('Cost Inputs'!$L$76="Y",
IF(ISNUMBER($R$55), $E161+($E$73*(($E161/$E$73)+$R$55)), $E161),
IF('Cost Inputs'!$L$76="N",
IF(AND(ISNUMBER('Cost Inputs'!$M$76), OR('Cost Inputs'!$M$76=1,'Cost Inputs'!$M$76=2,'Cost Inputs'!$M$76=3,'Cost Inputs'!$M$76=6)),
IF(ISNUMBER($R$55), $E161+($E$73*(($E161/$E$73)+$R$55)), $E161),""),"")), ""),""),"")</f>
        <v/>
      </c>
      <c r="X161" s="372" t="str">
        <f>IF($R$3="N.B.C.",
IF(ISNUMBER($B$152),
IF($C161&lt;&gt;"",
IF('Cost Inputs'!$L$76="Y",
IF(ISNUMBER($S$55), $E161+($E$73*(($E161/$E$73)+$S$55)), $E161),
IF('Cost Inputs'!$L$76="N",
IF(AND(ISNUMBER('Cost Inputs'!$M$76),OR('Cost Inputs'!$M$76=1,'Cost Inputs'!$M$76=7)),
IF(ISNUMBER($S$55), $E161+($E$73*(($E161/$E$73)+$S$55)), $E161),""),"")), ""),""),"")</f>
        <v/>
      </c>
      <c r="Y161" s="372" t="str">
        <f>IF($S$3="N.B.C.",
IF(ISNUMBER($B$152),
IF($C161&lt;&gt;"",
IF('Cost Inputs'!$L$76="Y",
IF(ISNUMBER($T$55), $E161+($E$73*(($E161/$E$73)+$T$55)), $E161),
IF('Cost Inputs'!$L$76="N",
IF(AND(ISNUMBER('Cost Inputs'!$M$76), OR('Cost Inputs'!$M$76=1,'Cost Inputs'!$M$76=2,'Cost Inputs'!$M$76=4,'Cost Inputs'!$M$76=8)),
IF(ISNUMBER($T$55), $E161+($E$73*(($E161/$E$73)+$T$55)), $E161),""),"")), ""),""),"")</f>
        <v/>
      </c>
      <c r="Z161" s="372" t="str">
        <f>IF($T$3="N.B.C.",
IF(ISNUMBER($B$152),
IF($C161&lt;&gt;"",
IF('Cost Inputs'!$L$76="Y",
IF(ISNUMBER($U$55), $E161+($E$73*(($E161/$E$73)+$U$55)), $E161),
IF('Cost Inputs'!$L$76="N",
IF(AND(ISNUMBER('Cost Inputs'!$M$76), OR('Cost Inputs'!$M$76=1,'Cost Inputs'!$M$76=3,'Cost Inputs'!$M$76=9)),
IF(ISNUMBER($U$55), $E161+($E$73*(($E161/$E$73)+$U$55)), $E161),""),"")), ""),""),"")</f>
        <v/>
      </c>
      <c r="AA161" s="372" t="str">
        <f>IF($U$3="N.B.C.",
IF(ISNUMBER($B$152),
IF($C161&lt;&gt;"",
IF('Cost Inputs'!$L$76="Y",
IF(ISNUMBER($V$55), $E161+($E$73*(($E161/$E$73)+$V$55)), $E161),
IF('Cost Inputs'!$L$76="N",
IF(AND(ISNUMBER('Cost Inputs'!$M$76), OR('Cost Inputs'!$M$76=1,'Cost Inputs'!$M$76=2,'Cost Inputs'!$M$76=5)),
IF(ISNUMBER($V$55), $E161+($E$73*(($E161/$E$73)+$V$55)), $E161),""),"")), ""),""),"")</f>
        <v/>
      </c>
      <c r="AB161" s="372" t="str">
        <f>IF($V$3="N.B.C.",
IF(ISNUMBER($B$152),
IF($C161&lt;&gt;"",
IF('Cost Inputs'!$L$76="Y",
IF(ISNUMBER($W$55), $E161+($E$73*(($E161/$E$73)+$W$55)), $E161),
IF('Cost Inputs'!$L$76="N",
IF(AND(ISNUMBER('Cost Inputs'!$M$76), OR('Cost Inputs'!$M$76=1)),
IF(ISNUMBER($W$55), $E161+($E$73*(($E161/$E$73)+$W$55)), $E161),""),"")), ""),""),"")</f>
        <v/>
      </c>
      <c r="AC161" s="372" t="str">
        <f>IF($W$3="N.B.C.",
IF(ISNUMBER($B$152),
IF($C161&lt;&gt;"",
IF('Cost Inputs'!$L$76="Y",
IF(ISNUMBER($X$55), $E161+($E$73*(($E161/$E$73)+$X$55)), $E161),
IF('Cost Inputs'!$L$76="N",
IF(AND(ISNUMBER('Cost Inputs'!$M$76), OR('Cost Inputs'!$M$76=1,'Cost Inputs'!$M$76=2,'Cost Inputs'!$M$76=3,'Cost Inputs'!$M$76=4,'Cost Inputs'!$M$76=6)),
IF(ISNUMBER($X$55), $E161+($E$73*(($E161/$E$73)+$X$55)), $E161),""),"")), ""),""),"")</f>
        <v/>
      </c>
      <c r="AD161" s="372" t="str">
        <f>IF($X$3="N.B.C.",
IF(ISNUMBER($B$152),
IF($C161&lt;&gt;"",
IF('Cost Inputs'!$L$76="Y",
IF(ISNUMBER($Y$55), $E161+($E$73*(($E161/$E$73)+$Y$55)), $E161),
IF('Cost Inputs'!$L$76="N",
IF(AND(ISNUMBER('Cost Inputs'!$M$76), OR('Cost Inputs'!$M$76=1)),
IF(ISNUMBER($Y$55), $E161+($E$73*(($E161/$E$73)+$Y$55)), $E161),""),"")), ""),""),"")</f>
        <v/>
      </c>
    </row>
    <row r="162" spans="1:31" x14ac:dyDescent="0.25">
      <c r="A162" s="518"/>
      <c r="B162" s="504"/>
      <c r="C162" s="110" t="str">
        <f>IF( ISNUMBER(B152), _3_4_0, "")</f>
        <v/>
      </c>
      <c r="D162" s="94" t="str">
        <f>IF(AND(B152&lt;&gt;"", OR('Cost Inputs'!$H$77&lt;&gt;"", 'Cost Inputs'!$I$77&lt;&gt;"", 'Cost Inputs'!$J$77&lt;&gt;"")), 'Cost Inputs'!$G$77,"")</f>
        <v/>
      </c>
      <c r="E162" s="94" t="str">
        <f>IF(AND(C162&lt;&gt;"", 'Cost Inputs'!$H$77&lt;&gt;""), 'Cost Inputs'!$H$77, "")</f>
        <v/>
      </c>
      <c r="F162" s="94" t="str">
        <f>IF(AND(C162&lt;&gt;"", 'Cost Inputs'!$I$77&lt;&gt;""), 'Cost Inputs'!$I$77, "")</f>
        <v/>
      </c>
      <c r="G162" s="94" t="str">
        <f t="shared" si="8"/>
        <v/>
      </c>
      <c r="H162" s="94" t="str">
        <f>IF(AND(C162&lt;&gt;"", 'Cost Inputs'!$J$77&lt;&gt;""), 'Cost Inputs'!$J$77, "")</f>
        <v/>
      </c>
      <c r="I162" s="94" t="str">
        <f>IF(AND($E162&lt;&gt;"", $H162&lt;&gt;""), $H162/$E162, "")</f>
        <v/>
      </c>
      <c r="J162" s="94" t="str">
        <f>IF(AND(C162&lt;&gt;"",('Cost Inputs'!$I$77+'Cost Inputs'!$J$77+'Cost Inputs'!$K$77)&gt;0), 'Cost Inputs'!$I$77+'Cost Inputs'!$J$77+'Cost Inputs'!$K$77, "")</f>
        <v/>
      </c>
      <c r="K162" s="94" t="str">
        <f>IF(AND(C162&lt;&gt;"", 'Cost Inputs'!$N$77&gt;0),'Cost Inputs'!$N$77,"")</f>
        <v/>
      </c>
      <c r="L162" s="94"/>
      <c r="M162" s="103"/>
      <c r="U162" s="373" t="str">
        <f>IF($O$3="N.B.C.",
IF(ISNUMBER($B$152),
IF($C162&lt;&gt;"",
IF('Cost Inputs'!$L$77="Y",
IF(AND(ISNUMBER(P$56), P$56&gt;$E$60), $E162+($E$60*(($E162/$E$60)+$P$55)), $E162),
IF('Cost Inputs'!$L$77="N",
IF(AND(ISNUMBER('Cost Inputs'!$M$77), OR('Cost Inputs'!$M$77=1,'Cost Inputs'!$M$77=2, 'Cost Inputs'!$M$77=4)),
IF(AND(ISNUMBER(P$56), P$56&gt;$E$60), $E162+($E$60*(($E162/$E$60)+$P$55)), $E162), ""),"")), ""), ""), "")</f>
        <v/>
      </c>
      <c r="V162" s="373" t="str">
        <f>IF($P$3="N.B.C.",
IF(ISNUMBER($B$152),
IF($C162&lt;&gt;"",
IF('Cost Inputs'!$L$77="Y",
IF(AND(ISNUMBER(Q$56), Q$56&gt;$E$60), $E162+($E$60*(($E162/$E$60)+$Q$55)), $E162),
IF('Cost Inputs'!$L$77="N",
IF(AND(ISNUMBER('Cost Inputs'!$M$77), OR('Cost Inputs'!$M$77=1,'Cost Inputs'!$M$77=5)),
IF(AND(ISNUMBER(Q$56), Q$56&gt;$E$60), $E162+($E$60*(($E162/$E$60)+$Q$55)), $E162), ""),"")), ""), ""), "")</f>
        <v/>
      </c>
      <c r="W162" s="373" t="str">
        <f>IF($Q$3="N.B.C.",
IF(ISNUMBER($B$152),
IF($C162&lt;&gt;"",
IF('Cost Inputs'!$L$77="Y",
IF(AND(ISNUMBER(R$56), R$56&gt;$E$60), $E162+($E$60*(($E162/$E$60)+$R$55)), $E162),
IF('Cost Inputs'!$L$77="N",
IF(AND(ISNUMBER('Cost Inputs'!$M$77), OR('Cost Inputs'!$M$77=1,'Cost Inputs'!$M$77=2, 'Cost Inputs'!$M$77=3,'Cost Inputs'!$M$77=6)),
IF(AND(ISNUMBER(R$56), R$56&gt;$E$60), $E162+($E$60*(($E162/$E$60)+$R$55)), $E162), ""),"")), ""), ""), "")</f>
        <v/>
      </c>
      <c r="X162" s="373" t="str">
        <f>IF($R$3="N.B.C.",
IF(ISNUMBER($B$152),
IF($C162&lt;&gt;"",
IF('Cost Inputs'!$L$77="Y",
IF(AND(ISNUMBER(S$56), S$56&gt;$E$60), $E162+($E$60*(($E162/$E$60)+$S$55)), $E162),
IF('Cost Inputs'!$L$77="N",
IF(AND(ISNUMBER('Cost Inputs'!$M$77), OR('Cost Inputs'!$M$77=1,'Cost Inputs'!$M$77=7)),
IF(AND(ISNUMBER(S$56), S$56&gt;$E$60), $E162+($E$60*(($E162/$E$60)+$S$55)), $E162), ""),"")), ""), ""), "")</f>
        <v/>
      </c>
      <c r="Y162" s="373" t="str">
        <f>IF($S$3="N.B.C.",
IF(ISNUMBER($B$152),
IF($C162&lt;&gt;"",
IF('Cost Inputs'!$L$77="Y",
IF(AND(ISNUMBER(T$56), T$56&gt;$E$60), $E162+($E$60*(($E162/$E$60)+$T$55)), $E162),
IF('Cost Inputs'!$L$77="N",
IF(AND(ISNUMBER('Cost Inputs'!$M$77), OR('Cost Inputs'!$M$77=1,'Cost Inputs'!$M$77=2,'Cost Inputs'!$M$77=4,'Cost Inputs'!$M$77=8)),
IF(AND(ISNUMBER(T$56), T$56&gt;$E$60), $E162+($E$60*(($E162/$E$60)+$T$55)), $E162), ""),"")), ""), ""), "")</f>
        <v/>
      </c>
      <c r="Z162" s="373" t="str">
        <f>IF($T$3="N.B.C.",
IF(ISNUMBER($B$152),
IF($C162&lt;&gt;"",
IF('Cost Inputs'!$L$77="Y",
IF(AND(ISNUMBER(U$56), U$56&gt;$E$60), $E162+($E$60*(($E162/$E$60)+$U$55)), $E162),
IF('Cost Inputs'!$L$77="N",
IF(AND(ISNUMBER('Cost Inputs'!$M$77), OR('Cost Inputs'!$M$77=1,'Cost Inputs'!$M$77=3, 'Cost Inputs'!$M$77=9)),
IF(AND(ISNUMBER(U$56), U$56&gt;$E$60), $E162+($E$60*(($E162/$E$60)+$U$55)), $E162), ""),"")), ""), ""), "")</f>
        <v/>
      </c>
      <c r="AA162" s="373" t="str">
        <f>IF($U$3="N.B.C.",
IF(ISNUMBER($B$152),
IF($C162&lt;&gt;"",
IF('Cost Inputs'!$L$77="Y",
IF(AND(ISNUMBER(V$56), V$56&gt;$E$60), $E162+($E$60*(($E162/$E$60)+$V$55)), $E162),
IF('Cost Inputs'!$L$77="N",
IF(AND(ISNUMBER('Cost Inputs'!$M$77), OR('Cost Inputs'!$M$77=1,'Cost Inputs'!$M$77=2, 'Cost Inputs'!$M$77=5)),
IF(AND(ISNUMBER(V$56), V$56&gt;$E$60), $E162+($E$60*(($E162/$E$60)+$V$55)), $E162), ""),"")), ""), ""), "")</f>
        <v/>
      </c>
      <c r="AB162" s="373" t="str">
        <f>IF($V$3="N.B.C.",
IF(ISNUMBER($B$152),
IF($C162&lt;&gt;"",
IF('Cost Inputs'!$L$77="Y",
IF(AND(ISNUMBER(W$56), W$56&gt;$E$60), $E162+($E$60*(($E162/$E$60)+$W$55)), $E162),
IF('Cost Inputs'!$L$77="N",
IF(AND(ISNUMBER('Cost Inputs'!$M$77), OR('Cost Inputs'!$M$77=1)),
IF(AND(ISNUMBER(W$56), W$56&gt;$E$60), $E162+($E$60*(($E162/$E$60)+$W$55)), $E162), ""),"")), ""), ""), "")</f>
        <v/>
      </c>
      <c r="AC162" s="373" t="str">
        <f>IF($W$3="N.B.C.",
IF(ISNUMBER($B$152),
IF($C162&lt;&gt;"",
IF('Cost Inputs'!$L$77="Y",
IF(AND(ISNUMBER(X$56), X$56&gt;$E$60), $E162+($E$60*(($E162/$E$60)+$X$55)), $E162),
IF('Cost Inputs'!$L$77="N",
IF(AND(ISNUMBER('Cost Inputs'!$M$77), OR('Cost Inputs'!$M$77=1,'Cost Inputs'!$M$77=2,'Cost Inputs'!$M$77=3,'Cost Inputs'!$M$77=4,'Cost Inputs'!$M$77=6)),
IF(AND(ISNUMBER(X$56), X$56&gt;$E$60), $E162+($E$60*(($E162/$E$60)+$X$55)), $E162), ""),"")), ""), ""), "")</f>
        <v/>
      </c>
      <c r="AD162" s="373" t="str">
        <f>IF($X$3="N.B.C.",
IF(ISNUMBER($B$152),
IF($C162&lt;&gt;"",
IF('Cost Inputs'!$L$77="Y",
IF(AND(ISNUMBER(Y$56), Y$56&gt;$E$60), $E162+($E$60*(($E162/$E$60)+$Y$55)), $E162),
IF('Cost Inputs'!$L$77="N",
IF(AND(ISNUMBER('Cost Inputs'!$M$77), OR('Cost Inputs'!$M$77=1)),
IF(AND(ISNUMBER(Y$56), Y$56&gt;$E$60), $E162+($E$60*(($E162/$E$60)+$Y$55)), $E162), ""),"")), ""), ""), "")</f>
        <v/>
      </c>
    </row>
    <row r="163" spans="1:31" x14ac:dyDescent="0.25">
      <c r="A163" s="518"/>
      <c r="B163" s="504"/>
      <c r="C163" s="104" t="str">
        <f>IF(AND(ISNUMBER(B152), OR('Cost Inputs'!$H$78&lt;&gt;"", 'Cost Inputs'!$I$78&lt;&gt;"", 'Cost Inputs'!$J$78&lt;&gt;"")),
IF((INDEX(ProgramYearStage1,MATCH(DNA_Test_1,Years_in_Stage1,0)))='Model_ of_individuals'!B152,  _3_4_1,
IF(C142&lt;&gt;"",  _3_4_1, "")),"")</f>
        <v/>
      </c>
      <c r="D163" s="17" t="str">
        <f>IF(AND(C163&lt;&gt;"", 'Cost Inputs'!$G$78&lt;&gt;""), 'Cost Inputs'!$G$78, "")</f>
        <v/>
      </c>
      <c r="E163" s="17" t="str">
        <f>IF(AND(C163&lt;&gt;"", 'Cost Inputs'!$H$78&lt;&gt;""), 'Cost Inputs'!$H$78, "")</f>
        <v/>
      </c>
      <c r="F163" s="17" t="str">
        <f>IF(AND(C163&lt;&gt;"", 'Cost Inputs'!$I$78&lt;&gt;""), 'Cost Inputs'!$I$78, "")</f>
        <v/>
      </c>
      <c r="G163" s="17" t="str">
        <f t="shared" si="8"/>
        <v/>
      </c>
      <c r="H163" s="17" t="str">
        <f>IF(AND(C163&lt;&gt;"", 'Cost Inputs'!$J$78&lt;&gt;""), 'Cost Inputs'!$J$78, "")</f>
        <v/>
      </c>
      <c r="I163" s="17" t="str">
        <f t="shared" si="7"/>
        <v/>
      </c>
      <c r="J163" s="17" t="str">
        <f>IF(AND(C163&lt;&gt;"",('Cost Inputs'!$I$78+'Cost Inputs'!$J$78+'Cost Inputs'!$K$78)&gt;0), 'Cost Inputs'!$I$78+'Cost Inputs'!$J$78+'Cost Inputs'!$K$78, "")</f>
        <v/>
      </c>
      <c r="K163" s="17" t="str">
        <f>IF(AND(C163&lt;&gt;"", 'Cost Inputs'!$N$78&gt;0),'Cost Inputs'!$N$78,"")</f>
        <v/>
      </c>
      <c r="M163" s="106"/>
      <c r="U163" s="364" t="str">
        <f>IF($O$3="N.B.C.",
IF(ISNUMBER($B$152),
IF($C163&lt;&gt;"",
IF('Cost Inputs'!$L$78="Y",
IF(ISNUMBER($P$55), $E163+($E$78*(($E163/$E$78)+$P$55)), $E163),
IF('Cost Inputs'!$L$78="N",
IF(AND(ISNUMBER('Cost Inputs'!$M$78), OR('Cost Inputs'!$M$78=1,'Cost Inputs'!$M$78=2,'Cost Inputs'!$M$78=4)),
IF(ISNUMBER($P$55), $E163+($E$78*(($E163/$E$78)+$P$55)), $E163),""),"")), ""),""),"")</f>
        <v/>
      </c>
      <c r="V163" s="364" t="str">
        <f>IF($P$3="N.B.C.",
IF(ISNUMBER($B$152),
IF($C163&lt;&gt;"",
IF('Cost Inputs'!$L$78="Y",
IF(ISNUMBER($Q$55), $E163+($E$78*(($E163/$E$78)+$Q$55)), $E163),
IF('Cost Inputs'!$L$78="N",
IF(AND(ISNUMBER('Cost Inputs'!$M$78), OR('Cost Inputs'!$M$78=1,'Cost Inputs'!$M$78=5)),
IF(ISNUMBER($Q$55), $E163+($E$78*(($E163/$E$78)+$Q$55)), $E163),""),"")), ""),""),"")</f>
        <v/>
      </c>
      <c r="W163" s="364" t="str">
        <f>IF($Q$3="N.B.C.",
IF(ISNUMBER($B$152),
IF($C163&lt;&gt;"",
IF('Cost Inputs'!$L$78="Y",
IF(ISNUMBER($R$55), $E163+($E$78*(($E163/$E$78)+$R$55)), $E163),
IF('Cost Inputs'!$L$78="N",
IF(AND(ISNUMBER('Cost Inputs'!$M$78), OR('Cost Inputs'!$M$78=1,'Cost Inputs'!$M$78=2,'Cost Inputs'!$M$78=3,'Cost Inputs'!$M$78=6)),
IF(ISNUMBER($R$55), $E163+($E$78*(($E163/$E$78)+$R$55)), $E163),""),"")), ""),""),"")</f>
        <v/>
      </c>
      <c r="X163" s="364" t="str">
        <f>IF($R$3="N.B.C.",
IF(ISNUMBER($B$152),
IF($C163&lt;&gt;"",
IF('Cost Inputs'!$L$78="Y",
IF(ISNUMBER($S$55), $E163+($E$78*(($E163/$E$78)+$S$55)), $E163),
IF('Cost Inputs'!$L$78="N",
IF(AND(ISNUMBER('Cost Inputs'!$M$78), OR('Cost Inputs'!$M$78=1,'Cost Inputs'!$M$78=7)),
IF(ISNUMBER($S$55), $E163+($E$78*(($E163/$E$78)+$S$55)), $E163),""),"")), ""),""),"")</f>
        <v/>
      </c>
      <c r="Y163" s="364" t="str">
        <f>IF($S$3="N.B.C.",
IF(ISNUMBER($B$152),
IF($C163&lt;&gt;"",
IF('Cost Inputs'!$L$78="Y",
IF(ISNUMBER($T$55), $E163+($E$78*(($E163/$E$78)+$T$55)), $E163),
IF('Cost Inputs'!$L$78="N",
IF(AND(ISNUMBER('Cost Inputs'!$M$78), OR('Cost Inputs'!$M$78=1,'Cost Inputs'!$M$78=2,'Cost Inputs'!$M$78=4,'Cost Inputs'!$M$78=8)),
IF(ISNUMBER($T$55), $E163+($E$78*(($E163/$E$78)+$T$55)), $E163),""),"")), ""),""),"")</f>
        <v/>
      </c>
      <c r="Z163" s="364" t="str">
        <f>IF($T$3="N.B.C.",
IF(ISNUMBER($B$152),
IF($C163&lt;&gt;"",
IF('Cost Inputs'!$L$78="Y",
IF(ISNUMBER($U$55), $E163+($E$78*(($E163/$E$78)+$U$55)), $E163),
IF('Cost Inputs'!$L$78="N",
IF(AND(ISNUMBER('Cost Inputs'!$M$78), OR('Cost Inputs'!$M$78=1,'Cost Inputs'!$M$78=3,'Cost Inputs'!$M$78=9)),
IF(ISNUMBER($U$55), $E163+($E$78*(($E163/$E$78)+$U$55)), $E163),""),"")), ""),""),"")</f>
        <v/>
      </c>
      <c r="AA163" s="364" t="str">
        <f>IF($U$3="N.B.C.",
IF(ISNUMBER($B$152),
IF($C163&lt;&gt;"",
IF('Cost Inputs'!$L$78="Y",
IF(ISNUMBER($V$55), $E163+($E$78*(($E163/$E$78)+$V$55)), $E163),
IF('Cost Inputs'!$L$78="N",
IF(AND(ISNUMBER('Cost Inputs'!$M$78), OR('Cost Inputs'!$M$78=1,'Cost Inputs'!$M$78=2,'Cost Inputs'!$M$78=5)),
IF(ISNUMBER($V$55), $E163+($E$78*(($E163/$E$78)+$V$55)), $E163),""),"")), ""),""),"")</f>
        <v/>
      </c>
      <c r="AB163" s="364" t="str">
        <f>IF($V$3="N.B.C.",
IF(ISNUMBER($B$152),
IF($C163&lt;&gt;"",
IF('Cost Inputs'!$L$78="Y",
IF(ISNUMBER($W$55), $E163+($E$78*(($E163/$E$78)+$W$55)), $E163),
IF('Cost Inputs'!$L$78="N",
IF(AND(ISNUMBER('Cost Inputs'!$M$78), OR('Cost Inputs'!$M$78=1)),
IF(ISNUMBER($W$55), $E163+($E$78*(($E163/$E$78)+$W$55)), $E163),""),"")), ""),""),"")</f>
        <v/>
      </c>
      <c r="AC163" s="364" t="str">
        <f>IF($W$3="N.B.C.",
IF(ISNUMBER($B$152),
IF($C163&lt;&gt;"",
IF('Cost Inputs'!$L$78="Y",
IF(ISNUMBER($X$55), $E163+($E$78*(($E163/$E$78)+$X$55)), $E163),
IF('Cost Inputs'!$L$78="N",
IF(AND(ISNUMBER('Cost Inputs'!$M$78), OR('Cost Inputs'!$M$78=1,'Cost Inputs'!$M$78=2,'Cost Inputs'!$M$78=3,'Cost Inputs'!$M$78=4,'Cost Inputs'!$M$78=6)),
IF(ISNUMBER($X$55), $E163+($E$78*(($E163/$E$78)+$X$55)), $E163),""),"")), ""),""),"")</f>
        <v/>
      </c>
      <c r="AD163" s="364" t="str">
        <f>IF($X$3="N.B.C.",
IF(ISNUMBER($B$152),
IF($C163&lt;&gt;"",
IF('Cost Inputs'!$L$78="Y",
IF(ISNUMBER($Y$55), $E163+($E$78*(($E163/$E$78)+$Y$55)), $E163),
IF('Cost Inputs'!$L$78="N",
IF(AND(ISNUMBER('Cost Inputs'!$M$78), OR('Cost Inputs'!$M$78=1)),
IF(ISNUMBER($Y$55), $E163+($E$78*(($E163/$E$78)+$Y$55)), $E163),""),"")), ""),""),"")</f>
        <v/>
      </c>
    </row>
    <row r="164" spans="1:31" x14ac:dyDescent="0.25">
      <c r="A164" s="518"/>
      <c r="B164" s="504"/>
      <c r="C164" s="107" t="str">
        <f>IF(AND(ISNUMBER(B152), OR('Cost Inputs'!$H$79&lt;&gt;"", 'Cost Inputs'!$I$79&lt;&gt;"", 'Cost Inputs'!$J$79&lt;&gt;"")),
IF((INDEX(ProgramYearStage1,MATCH(DNA_Test_1,Years_in_Stage1,0)))='Model_ of_individuals'!B152,  _3_4_2, ""),"")</f>
        <v/>
      </c>
      <c r="D164" s="93" t="str">
        <f>IF(AND(C164&lt;&gt;"", 'Cost Inputs'!$G$79&lt;&gt;""), 'Cost Inputs'!$G$79, "")</f>
        <v/>
      </c>
      <c r="E164" s="93" t="str">
        <f>IF(AND(C164&lt;&gt;"", 'Cost Inputs'!$H$79&lt;&gt;""), 'Cost Inputs'!$H$79, "")</f>
        <v/>
      </c>
      <c r="F164" s="93" t="str">
        <f>IF(AND(C164&lt;&gt;"", 'Cost Inputs'!$I$79&lt;&gt;""), 'Cost Inputs'!$I$79, "")</f>
        <v/>
      </c>
      <c r="G164" s="93" t="str">
        <f t="shared" si="8"/>
        <v/>
      </c>
      <c r="H164" s="93" t="str">
        <f>IF(AND(C164&lt;&gt;"", 'Cost Inputs'!$J$79&lt;&gt;""), 'Cost Inputs'!$J$79, "")</f>
        <v/>
      </c>
      <c r="I164" s="93" t="str">
        <f t="shared" si="7"/>
        <v/>
      </c>
      <c r="J164" s="93" t="str">
        <f>IF(AND(C164&lt;&gt;"",('Cost Inputs'!$I$79+'Cost Inputs'!$J$79+'Cost Inputs'!$K$79)&gt;0), 'Cost Inputs'!$I$79+'Cost Inputs'!$J$79+'Cost Inputs'!$K$79, "")</f>
        <v/>
      </c>
      <c r="K164" s="93" t="str">
        <f>IF(AND(C164&lt;&gt;"", 'Cost Inputs'!$N$79&gt;0),'Cost Inputs'!$N$79,"")</f>
        <v/>
      </c>
      <c r="L164" s="93"/>
      <c r="M164" s="109"/>
      <c r="U164" s="372" t="str">
        <f>IF($O$3="N.B.C.",
IF(ISNUMBER($B$152),
IF($C164&lt;&gt;"",
IF('Cost Inputs'!$L$79="Y",
IF(ISNUMBER($P$55), $E164+($E$78*(($E164/$E$78)+$P$55)), $E164),
IF('Cost Inputs'!$L$79="N",
IF(AND(ISNUMBER('Cost Inputs'!$M$79), OR('Cost Inputs'!$M$79=1,'Cost Inputs'!$M$79=2,'Cost Inputs'!$M$79=4)),
IF(ISNUMBER($P$55), $E164+($E$78*(($E164/$E$78)+$P$55)), $E164),""),"")), ""),""),"")</f>
        <v/>
      </c>
      <c r="V164" s="372" t="str">
        <f>IF($P$3="N.B.C.",
IF(ISNUMBER($B$152),
IF($C164&lt;&gt;"",
IF('Cost Inputs'!$L$79="Y",
IF(ISNUMBER($Q$55), $E164+($E$78*(($E164/$E$78)+$Q$55)), $E164),
IF('Cost Inputs'!$L$79="N",
IF(AND(ISNUMBER('Cost Inputs'!$M$79), OR('Cost Inputs'!$M$79=1,'Cost Inputs'!$M$79=5)),
IF(ISNUMBER($Q$55), $E164+($E$78*(($E164/$E$78)+$Q$55)), $E164),""),"")), ""),""),"")</f>
        <v/>
      </c>
      <c r="W164" s="372" t="str">
        <f>IF($Q$3="N.B.C.",
IF(ISNUMBER($B$152),
IF($C164&lt;&gt;"",
IF('Cost Inputs'!$L$79="Y",
IF(ISNUMBER($R$55), $E164+($E$78*(($E164/$E$78)+$R$55)), $E164),
IF('Cost Inputs'!$L$79="N",
IF(AND(ISNUMBER('Cost Inputs'!$M$79), OR('Cost Inputs'!$M$79=1,'Cost Inputs'!$M$79=2,'Cost Inputs'!$M$79=3,'Cost Inputs'!$M$79=6)),
IF(ISNUMBER($R$55), $E164+($E$78*(($E164/$E$78)+$R$55)), $E164),""),"")), ""),""),"")</f>
        <v/>
      </c>
      <c r="X164" s="372" t="str">
        <f>IF($R$3="N.B.C.",
IF(ISNUMBER($B$152),
IF($C164&lt;&gt;"",
IF('Cost Inputs'!$L$79="Y",
IF(ISNUMBER($S$55), $E164+($E$78*(($E164/$E$78)+$S$55)), $E164),
IF('Cost Inputs'!$L$79="N",
IF(AND(ISNUMBER('Cost Inputs'!$M$79), OR('Cost Inputs'!$M$79=1,'Cost Inputs'!$M$79=7)),
IF(ISNUMBER($S$55), $E164+($E$78*(($E164/$E$78)+$S$55)), $E164),""),"")), ""),""),"")</f>
        <v/>
      </c>
      <c r="Y164" s="372" t="str">
        <f>IF($S$3="N.B.C.",
IF(ISNUMBER($B$152),
IF($C164&lt;&gt;"",
IF('Cost Inputs'!$L$79="Y",
IF(ISNUMBER($T$55), $E164+($E$78*(($E164/$E$78)+$T$55)), $E164),
IF('Cost Inputs'!$L$79="N",
IF(AND(ISNUMBER('Cost Inputs'!$M$79), OR('Cost Inputs'!$M$79=1,'Cost Inputs'!$M$79=2,'Cost Inputs'!$M$79=4,'Cost Inputs'!$M$79=8)),
IF(ISNUMBER($T$55), $E164+($E$78*(($E164/$E$78)+$T$55)), $E164),""),"")), ""),""),"")</f>
        <v/>
      </c>
      <c r="Z164" s="372" t="str">
        <f>IF($T$3="N.B.C.",
IF(ISNUMBER($B$152),
IF($C164&lt;&gt;"",
IF('Cost Inputs'!$L$79="Y",
IF(ISNUMBER($U$55), $E164+($E$78*(($E164/$E$78)+$U$55)), $E164),
IF('Cost Inputs'!$L$79="N",
IF(AND(ISNUMBER('Cost Inputs'!$M$79), OR('Cost Inputs'!$M$79=1,'Cost Inputs'!$M$79=3,'Cost Inputs'!$M$79=9)),
IF(ISNUMBER($U$55), $E164+($E$78*(($E164/$E$78)+$U$55)), $E164),""),"")), ""),""),"")</f>
        <v/>
      </c>
      <c r="AA164" s="372" t="str">
        <f>IF($U$3="N.B.C.",
IF(ISNUMBER($B$152),
IF($C164&lt;&gt;"",
IF('Cost Inputs'!$L$79="Y",
IF(ISNUMBER($V$55), $E164+($E$78*(($E164/$E$78)+$V$55)), $E164),
IF('Cost Inputs'!$L$79="N",
IF(AND(ISNUMBER('Cost Inputs'!$M$79), OR('Cost Inputs'!$M$79=1,'Cost Inputs'!$M$79=2,'Cost Inputs'!$M$79=5)),
IF(ISNUMBER($V$55), $E164+($E$78*(($E164/$E$78)+$V$55)), $E164),""),"")), ""),""),"")</f>
        <v/>
      </c>
      <c r="AB164" s="372" t="str">
        <f>IF($V$3="N.B.C.",
IF(ISNUMBER($B$152),
IF($C164&lt;&gt;"",
IF('Cost Inputs'!$L$79="Y",
IF(ISNUMBER($W$55), $E164+($E$78*(($E164/$E$78)+$W$55)), $E164),
IF('Cost Inputs'!$L$79="N",
IF(AND(ISNUMBER('Cost Inputs'!$M$79), OR('Cost Inputs'!$M$79=1)),
IF(ISNUMBER($W$55), $E164+($E$78*(($E164/$E$78)+$W$55)), $E164),""),"")), ""),""),"")</f>
        <v/>
      </c>
      <c r="AC164" s="372" t="str">
        <f>IF($W$3="N.B.C.",
IF(ISNUMBER($B$152),
IF($C164&lt;&gt;"",
IF('Cost Inputs'!$L$79="Y",
IF(ISNUMBER($X$55), $E164+($E$78*(($E164/$E$78)+$X$55)), $E164),
IF('Cost Inputs'!$L$79="N",
IF(AND(ISNUMBER('Cost Inputs'!$M$79), OR('Cost Inputs'!$M$79=1,'Cost Inputs'!$M$79=2,'Cost Inputs'!$M$79=3,'Cost Inputs'!$M$79=4,'Cost Inputs'!$M$79=6)),
IF(ISNUMBER($X$55), $E164+($E$78*(($E164/$E$78)+$X$55)), $E164),""),"")), ""),""),"")</f>
        <v/>
      </c>
      <c r="AD164" s="372" t="str">
        <f>IF($X$3="N.B.C.",
IF(ISNUMBER($B$152),
IF($C164&lt;&gt;"",
IF('Cost Inputs'!$L$79="Y",
IF(ISNUMBER($Y$55), $E164+($E$78*(($E164/$E$78)+$Y$55)), $E164),
IF('Cost Inputs'!$L$79="N",
IF(AND(ISNUMBER('Cost Inputs'!$M$79), OR('Cost Inputs'!$M$79=1)),
IF(ISNUMBER($Y$55), $E164+($E$78*(($E164/$E$78)+$Y$55)), $E164),""),"")), ""),""),"")</f>
        <v/>
      </c>
    </row>
    <row r="165" spans="1:31" x14ac:dyDescent="0.25">
      <c r="A165" s="518"/>
      <c r="B165" s="504"/>
      <c r="C165" s="104" t="str">
        <f>IF(AND(ISNUMBER(B152), OR('Cost Inputs'!$H$80&lt;&gt;"", 'Cost Inputs'!$I$80&lt;&gt;"", 'Cost Inputs'!$J$80&lt;&gt;"")),
IF((INDEX(ProgramYearStage1,MATCH(DNA_Test_1,Years_in_Stage1,0)))='Model_ of_individuals'!B152,  _3_4_3, ""),"")</f>
        <v/>
      </c>
      <c r="D165" s="17" t="str">
        <f>IF(AND(C165&lt;&gt;"", 'Cost Inputs'!$G$80&lt;&gt;""), 'Cost Inputs'!$G$80, "")</f>
        <v/>
      </c>
      <c r="E165" s="17" t="str">
        <f>IF(AND(C165&lt;&gt;"", 'Cost Inputs'!$H$80&lt;&gt;""), 'Cost Inputs'!$H$80, "")</f>
        <v/>
      </c>
      <c r="F165" s="17" t="str">
        <f>IF(AND(C165&lt;&gt;"", 'Cost Inputs'!$I$80&lt;&gt;""), 'Cost Inputs'!$I$80, "")</f>
        <v/>
      </c>
      <c r="G165" s="17" t="str">
        <f t="shared" si="8"/>
        <v/>
      </c>
      <c r="H165" s="17" t="str">
        <f>IF(AND(C165&lt;&gt;"", 'Cost Inputs'!$J$80&lt;&gt;""), 'Cost Inputs'!$J$80, "")</f>
        <v/>
      </c>
      <c r="I165" s="17" t="str">
        <f t="shared" si="7"/>
        <v/>
      </c>
      <c r="J165" s="17" t="str">
        <f>IF(AND(C165&lt;&gt;"",('Cost Inputs'!$I$80+'Cost Inputs'!$J$80+'Cost Inputs'!$K$80)&gt;0), 'Cost Inputs'!$I$80+'Cost Inputs'!$J$80+'Cost Inputs'!$K$80, "")</f>
        <v/>
      </c>
      <c r="K165" s="17" t="str">
        <f>IF(AND(C165&lt;&gt;"", 'Cost Inputs'!$N$80&gt;0),'Cost Inputs'!$N$80,"")</f>
        <v/>
      </c>
      <c r="M165" s="106"/>
      <c r="U165" s="364" t="str">
        <f>IF($O$3="N.B.C.",
IF(ISNUMBER($B$152),
IF($C165&lt;&gt;"",
IF('Cost Inputs'!$L$80="Y",
IF(ISNUMBER($P$55), $E165+($E$78*(($E165/$E$78)+$P$55)), $E165),
IF('Cost Inputs'!$L$80="N",
IF(AND(ISNUMBER('Cost Inputs'!$M$80), OR('Cost Inputs'!$M$80=1,'Cost Inputs'!$M$80=2,'Cost Inputs'!$M$80=4)),
IF(ISNUMBER($P$55), $E165+($E$78*(($E165/$E$78)+$P$55)), $E165),""),"")), ""),""),"")</f>
        <v/>
      </c>
      <c r="V165" s="364" t="str">
        <f>IF($P$3="N.B.C.",
IF(ISNUMBER($B$152),
IF($C165&lt;&gt;"",
IF('Cost Inputs'!$L$80="Y",
IF(ISNUMBER($Q$55), $E165+($E$78*(($E165/$E$78)+$Q$55)), $E165),
IF('Cost Inputs'!$L$80="N",
IF(AND(ISNUMBER('Cost Inputs'!$M$80), OR('Cost Inputs'!$M$80=1,'Cost Inputs'!$M$80=5)),
IF(ISNUMBER($Q$55), $E165+($E$78*(($E165/$E$78)+$Q$55)), $E165),""),"")), ""),""),"")</f>
        <v/>
      </c>
      <c r="W165" s="364" t="str">
        <f>IF($Q$3="N.B.C.",
IF(ISNUMBER($B$152),
IF($C165&lt;&gt;"",
IF('Cost Inputs'!$L$80="Y",
IF(ISNUMBER($R$55), $E165+($E$78*(($E165/$E$78)+$R$55)), $E165),
IF('Cost Inputs'!$L$80="N",
IF(AND(ISNUMBER('Cost Inputs'!$M$80), OR('Cost Inputs'!$M$80=1,'Cost Inputs'!$M$80=2,'Cost Inputs'!$M$80=3,'Cost Inputs'!$M$80=6)),
IF(ISNUMBER($R$55), $E165+($E$78*(($E165/$E$78)+$R$55)), $E165),""),"")), ""),""),"")</f>
        <v/>
      </c>
      <c r="X165" s="364" t="str">
        <f>IF($R$3="N.B.C.",
IF(ISNUMBER($B$152),
IF($C165&lt;&gt;"",
IF('Cost Inputs'!$L$80="Y",
IF(ISNUMBER($S$55), $E165+($E$78*(($E165/$E$78)+$S$55)), $E165),
IF('Cost Inputs'!$L$80="N",
IF(AND(ISNUMBER('Cost Inputs'!$M$80), OR('Cost Inputs'!$M$80=1,'Cost Inputs'!$M$80=7)),
IF(ISNUMBER($S$55), $E165+($E$78*(($E165/$E$78)+$S$55)), $E165),""),"")), ""),""),"")</f>
        <v/>
      </c>
      <c r="Y165" s="364" t="str">
        <f>IF($S$3="N.B.C.",
IF(ISNUMBER($B$152),
IF($C165&lt;&gt;"",
IF('Cost Inputs'!$L$80="Y",
IF(ISNUMBER($T$55), $E165+($E$78*(($E165/$E$78)+$T$55)), $E165),
IF('Cost Inputs'!$L$80="N",
IF(AND(ISNUMBER('Cost Inputs'!$M$80), OR('Cost Inputs'!$M$80=1,'Cost Inputs'!$M$80=2,'Cost Inputs'!$M$80=4,'Cost Inputs'!$M$80=8)),
IF(ISNUMBER($T$55), $E165+($E$78*(($E165/$E$78)+$T$55)), $E165),""),"")), ""),""),"")</f>
        <v/>
      </c>
      <c r="Z165" s="364" t="str">
        <f>IF($T$3="N.B.C.",
IF(ISNUMBER($B$152),
IF($C165&lt;&gt;"",
IF('Cost Inputs'!$L$80="Y",
IF(ISNUMBER($U$55), $E165+($E$78*(($E165/$E$78)+$U$55)), $E165),
IF('Cost Inputs'!$L$80="N",
IF(AND(ISNUMBER('Cost Inputs'!$M$80), OR('Cost Inputs'!$M$80=1,'Cost Inputs'!$M$80=3,'Cost Inputs'!$M$80=9)),
IF(ISNUMBER($U$55), $E165+($E$78*(($E165/$E$78)+$U$55)), $E165),""),"")), ""),""),"")</f>
        <v/>
      </c>
      <c r="AA165" s="364" t="str">
        <f>IF($U$3="N.B.C.",
IF(ISNUMBER($B$152),
IF($C165&lt;&gt;"",
IF('Cost Inputs'!$L$80="Y",
IF(ISNUMBER($V$55), $E165+($E$78*(($E165/$E$78)+$V$55)), $E165),
IF('Cost Inputs'!$L$80="N",
IF(AND(ISNUMBER('Cost Inputs'!$M$80), OR('Cost Inputs'!$M$80=1,'Cost Inputs'!$M$80=2,'Cost Inputs'!$M$80=5)),
IF(ISNUMBER($V$55), $E165+($E$78*(($E165/$E$78)+$V$55)), $E165),""),"")), ""),""),"")</f>
        <v/>
      </c>
      <c r="AB165" s="364" t="str">
        <f>IF($V$3="N.B.C.",
IF(ISNUMBER($B$152),
IF($C165&lt;&gt;"",
IF('Cost Inputs'!$L$80="Y",
IF(ISNUMBER($W$55), $E165+($E$78*(($E165/$E$78)+$W$55)), $E165),
IF('Cost Inputs'!$L$80="N",
IF(AND(ISNUMBER('Cost Inputs'!$M$80), OR('Cost Inputs'!$M$80=1)),
IF(ISNUMBER($W$55), $E165+($E$78*(($E165/$E$78)+$W$55)), $E165),""),"")), ""),""),"")</f>
        <v/>
      </c>
      <c r="AC165" s="364" t="str">
        <f>IF($W$3="N.B.C.",
IF(ISNUMBER($B$152),
IF($C165&lt;&gt;"",
IF('Cost Inputs'!$L$80="Y",
IF(ISNUMBER($X$55), $E165+($E$78*(($E165/$E$78)+$X$55)), $E165),
IF('Cost Inputs'!$L$80="N",
IF(AND(ISNUMBER('Cost Inputs'!$M$80), OR('Cost Inputs'!$M$80=1,'Cost Inputs'!$M$80=2,'Cost Inputs'!$M$80=3,'Cost Inputs'!$M$80=4,'Cost Inputs'!$M$80=6)),
IF(ISNUMBER($X$55), $E165+($E$78*(($E165/$E$78)+$X$55)), $E165),""),"")), ""),""),"")</f>
        <v/>
      </c>
      <c r="AD165" s="364" t="str">
        <f>IF($X$3="N.B.C.",
IF(ISNUMBER($B$152),
IF($C165&lt;&gt;"",
IF('Cost Inputs'!$L$80="Y",
IF(ISNUMBER($Y$55), $E165+($E$78*(($E165/$E$78)+$Y$55)), $E165),
IF('Cost Inputs'!$L$80="N",
IF(AND(ISNUMBER('Cost Inputs'!$M$80), OR('Cost Inputs'!$M$80=1)),
IF(ISNUMBER($Y$55), $E165+($E$78*(($E165/$E$78)+$Y$55)), $E165),""),"")), ""),""),"")</f>
        <v/>
      </c>
    </row>
    <row r="166" spans="1:31" x14ac:dyDescent="0.25">
      <c r="A166" s="518"/>
      <c r="B166" s="504"/>
      <c r="C166" s="107" t="str">
        <f>IF(AND(ISNUMBER(B152), OR('Cost Inputs'!$H$81&lt;&gt;"", 'Cost Inputs'!$I$81&lt;&gt;"", 'Cost Inputs'!$J$81&lt;&gt;"")),
IF((INDEX(ProgramYearStage1,MATCH(DNA_Test_1,Years_in_Stage1,0)))='Model_ of_individuals'!B152,  _3_4_4, ""),"")</f>
        <v/>
      </c>
      <c r="D166" s="93" t="str">
        <f>IF(AND(C166&lt;&gt;"", 'Cost Inputs'!$G$81&lt;&gt;""), 'Cost Inputs'!$G$81, "")</f>
        <v/>
      </c>
      <c r="E166" s="93" t="str">
        <f>IF(AND(C166&lt;&gt;"", 'Cost Inputs'!$H$81&lt;&gt;""), 'Cost Inputs'!$H$81, "")</f>
        <v/>
      </c>
      <c r="F166" s="93" t="str">
        <f>IF(AND(C166&lt;&gt;"", 'Cost Inputs'!$I$81&lt;&gt;""), 'Cost Inputs'!$I$81, "")</f>
        <v/>
      </c>
      <c r="G166" s="93" t="str">
        <f t="shared" si="8"/>
        <v/>
      </c>
      <c r="H166" s="93" t="str">
        <f>IF(AND(C166&lt;&gt;"", 'Cost Inputs'!$J$81&lt;&gt;""), 'Cost Inputs'!$J$81, "")</f>
        <v/>
      </c>
      <c r="I166" s="93" t="str">
        <f t="shared" si="7"/>
        <v/>
      </c>
      <c r="J166" s="93" t="str">
        <f>IF(AND(C166&lt;&gt;"",('Cost Inputs'!$I$81+'Cost Inputs'!$J$81+'Cost Inputs'!$K$81)&gt;0), 'Cost Inputs'!$I$81+'Cost Inputs'!$J$81+'Cost Inputs'!$K$81, "")</f>
        <v/>
      </c>
      <c r="K166" s="93" t="str">
        <f>IF(AND(C166&lt;&gt;"", 'Cost Inputs'!$N$81&gt;0),'Cost Inputs'!$N$81,"")</f>
        <v/>
      </c>
      <c r="L166" s="93"/>
      <c r="M166" s="109"/>
      <c r="U166" s="372" t="str">
        <f>IF($O$3="N.B.C.",
IF(ISNUMBER($B$152),
IF($C166&lt;&gt;"",
IF('Cost Inputs'!$L$81="Y",
IF(ISNUMBER($P$55), $E166+($E$78*(($E166/$E$78)+$P$55)), $E166),
IF('Cost Inputs'!$L$81="N",
IF(AND(ISNUMBER('Cost Inputs'!$M$81), OR('Cost Inputs'!$M$81=1,'Cost Inputs'!$M$81=2,'Cost Inputs'!$M$81=4)),
IF(ISNUMBER($P$55), $E166+($E$78*(($E166/$E$78)+$P$55)), $E166),""),"")), ""),""),"")</f>
        <v/>
      </c>
      <c r="V166" s="372" t="str">
        <f>IF($P$3="N.B.C.",
IF(ISNUMBER($B$152),
IF($C166&lt;&gt;"",
IF('Cost Inputs'!$L$81="Y",
IF(ISNUMBER($Q$55), $E166+($E$78*(($E166/$E$78)+$Q$55)), $E166),
IF('Cost Inputs'!$L$81="N",
IF(AND(ISNUMBER('Cost Inputs'!$M$81), OR('Cost Inputs'!$M$81=1,'Cost Inputs'!$M$81=5)),
IF(ISNUMBER($Q$55), $E166+($E$78*(($E166/$E$78)+$Q$55)), $E166),""),"")), ""),""),"")</f>
        <v/>
      </c>
      <c r="W166" s="372" t="str">
        <f>IF($Q$3="N.B.C.",
IF(ISNUMBER($B$152),
IF($C166&lt;&gt;"",
IF('Cost Inputs'!$L$81="Y",
IF(ISNUMBER($R$55), $E166+($E$78*(($E166/$E$78)+$R$55)), $E166),
IF('Cost Inputs'!$L$81="N",
IF(AND(ISNUMBER('Cost Inputs'!$M$81), OR('Cost Inputs'!$M$81=1,'Cost Inputs'!$M$81=2,'Cost Inputs'!$M$81=3,'Cost Inputs'!$M$81=6)),
IF(ISNUMBER($R$55), $E166+($E$78*(($E166/$E$78)+$R$55)), $E166),""),"")), ""),""),"")</f>
        <v/>
      </c>
      <c r="X166" s="372" t="str">
        <f>IF($R$3="N.B.C.",
IF(ISNUMBER($B$152),
IF($C166&lt;&gt;"",
IF('Cost Inputs'!$L$81="Y",
IF(ISNUMBER($S$55), $E166+($E$78*(($E166/$E$78)+$S$55)), $E166),
IF('Cost Inputs'!$L$81="N",
IF(AND(ISNUMBER('Cost Inputs'!$M$81), OR('Cost Inputs'!$M$81=1,'Cost Inputs'!$M$81=7)),
IF(ISNUMBER($S$55), $E166+($E$78*(($E166/$E$78)+$S$55)), $E166),""),"")), ""),""),"")</f>
        <v/>
      </c>
      <c r="Y166" s="372" t="str">
        <f>IF($S$3="N.B.C.",
IF(ISNUMBER($B$152),
IF($C166&lt;&gt;"",
IF('Cost Inputs'!$L$81="Y",
IF(ISNUMBER($T$55), $E166+($E$78*(($E166/$E$78)+$T$55)), $E166),
IF('Cost Inputs'!$L$81="N",
IF(AND(ISNUMBER('Cost Inputs'!$M$81), OR('Cost Inputs'!$M$81=1,'Cost Inputs'!$M$81=2,'Cost Inputs'!$M$81=4,'Cost Inputs'!$M$81=8)),
IF(ISNUMBER($T$55), $E166+($E$78*(($E166/$E$78)+$T$55)), $E166),""),"")), ""),""),"")</f>
        <v/>
      </c>
      <c r="Z166" s="372" t="str">
        <f>IF($T$3="N.B.C.",
IF(ISNUMBER($B$152),
IF($C166&lt;&gt;"",
IF('Cost Inputs'!$L$81="Y",
IF(ISNUMBER($U$55), $E166+($E$78*(($E166/$E$78)+$U$55)), $E166),
IF('Cost Inputs'!$L$81="N",
IF(AND(ISNUMBER('Cost Inputs'!$M$81), OR('Cost Inputs'!$M$81=1,'Cost Inputs'!$M$81=3,'Cost Inputs'!$M$81=9)),
IF(ISNUMBER($U$55), $E166+($E$78*(($E166/$E$78)+$U$55)), $E166),""),"")), ""),""),"")</f>
        <v/>
      </c>
      <c r="AA166" s="372" t="str">
        <f>IF($U$3="N.B.C.",
IF(ISNUMBER($B$152),
IF($C166&lt;&gt;"",
IF('Cost Inputs'!$L$81="Y",
IF(ISNUMBER($V$55), $E166+($E$78*(($E166/$E$78)+$V$55)), $E166),
IF('Cost Inputs'!$L$81="N",
IF(AND(ISNUMBER('Cost Inputs'!$M$81), OR('Cost Inputs'!$M$81=1,'Cost Inputs'!$M$81=2,'Cost Inputs'!$M$81=5)),
IF(ISNUMBER($V$55), $E166+($E$78*(($E166/$E$78)+$V$55)), $E166),""),"")), ""),""),"")</f>
        <v/>
      </c>
      <c r="AB166" s="372" t="str">
        <f>IF($V$3="N.B.C.",
IF(ISNUMBER($B$152),
IF($C166&lt;&gt;"",
IF('Cost Inputs'!$L$81="Y",
IF(ISNUMBER($W$55), $E166+($E$78*(($E166/$E$78)+$W$55)), $E166),
IF('Cost Inputs'!$L$81="N",
IF(AND(ISNUMBER('Cost Inputs'!$M$81), OR('Cost Inputs'!$M$81=1)),
IF(ISNUMBER($W$55), $E166+($E$78*(($E166/$E$78)+$W$55)), $E166),""),"")), ""),""),"")</f>
        <v/>
      </c>
      <c r="AC166" s="372" t="str">
        <f>IF($W$3="N.B.C.",
IF(ISNUMBER($B$152),
IF($C166&lt;&gt;"",
IF('Cost Inputs'!$L$81="Y",
IF(ISNUMBER($X$55), $E166+($E$78*(($E166/$E$78)+$X$55)), $E166),
IF('Cost Inputs'!$L$81="N",
IF(AND(ISNUMBER('Cost Inputs'!$M$81), OR('Cost Inputs'!$M$81=1,'Cost Inputs'!$M$81=2,'Cost Inputs'!$M$81=3,'Cost Inputs'!$M$81=4,'Cost Inputs'!$M$81=6)),
IF(ISNUMBER($X$55), $E166+($E$78*(($E166/$E$78)+$X$55)), $E166),""),"")), ""),""),"")</f>
        <v/>
      </c>
      <c r="AD166" s="372" t="str">
        <f>IF($X$3="N.B.C.",
IF(ISNUMBER($B$152),
IF($C166&lt;&gt;"",
IF('Cost Inputs'!$L$81="Y",
IF(ISNUMBER($Y$55), $E166+($E$78*(($E166/$E$78)+$Y$55)), $E166),
IF('Cost Inputs'!$L$81="N",
IF(AND(ISNUMBER('Cost Inputs'!$M$81), OR('Cost Inputs'!$M$81=1)),
IF(ISNUMBER($Y$55), $E166+($E$78*(($E166/$E$78)+$Y$55)), $E166),""),"")), ""),""),"")</f>
        <v/>
      </c>
    </row>
    <row r="167" spans="1:31" x14ac:dyDescent="0.25">
      <c r="A167" s="518"/>
      <c r="B167" s="504"/>
      <c r="C167" s="104" t="str">
        <f>IF(AND(ISNUMBER(B152), OR('Cost Inputs'!$H$82&lt;&gt;"", 'Cost Inputs'!$I$82&lt;&gt;"", 'Cost Inputs'!$J$82&lt;&gt;"")),
IF((INDEX(ProgramYearStage1,MATCH(DNA_Test_1,Years_in_Stage1,0)))='Model_ of_individuals'!B152,  _3_4_5, ""),"")</f>
        <v/>
      </c>
      <c r="D167" s="17" t="str">
        <f>IF(AND(C167&lt;&gt;"", 'Cost Inputs'!$G$82&lt;&gt;""), 'Cost Inputs'!$G$82, "")</f>
        <v/>
      </c>
      <c r="E167" s="17" t="str">
        <f>IF(AND(C167&lt;&gt;"", 'Cost Inputs'!$H$82&lt;&gt;""), 'Cost Inputs'!$H$82, "")</f>
        <v/>
      </c>
      <c r="F167" s="17" t="str">
        <f>IF(AND(C167&lt;&gt;"", 'Cost Inputs'!$I$82&lt;&gt;""), 'Cost Inputs'!$I$82, "")</f>
        <v/>
      </c>
      <c r="G167" s="17" t="str">
        <f t="shared" si="8"/>
        <v/>
      </c>
      <c r="H167" s="17" t="str">
        <f>IF(AND(C167&lt;&gt;"", 'Cost Inputs'!$J$82&lt;&gt;""), 'Cost Inputs'!$J$82, "")</f>
        <v/>
      </c>
      <c r="I167" s="17" t="str">
        <f t="shared" si="7"/>
        <v/>
      </c>
      <c r="J167" s="17" t="str">
        <f>IF(AND(C167&lt;&gt;"",('Cost Inputs'!$I$82+'Cost Inputs'!$J$82+'Cost Inputs'!$K$82)&gt;0), 'Cost Inputs'!$I$82+'Cost Inputs'!$J$82+'Cost Inputs'!$K$82, "")</f>
        <v/>
      </c>
      <c r="K167" s="17" t="str">
        <f>IF(AND(C167&lt;&gt;"", 'Cost Inputs'!$N$82&gt;0),'Cost Inputs'!$N$82,"")</f>
        <v/>
      </c>
      <c r="M167" s="106"/>
      <c r="U167" s="364" t="str">
        <f>IF($O$3="N.B.C.",
IF(ISNUMBER($B$152),
IF($C167&lt;&gt;"",
IF('Cost Inputs'!$L$82="Y",
IF(ISNUMBER($P$55), $E167+($E$78*(($E167/$E$78)+$P$55)), $E167),
IF('Cost Inputs'!$L$82="N",
IF(AND(ISNUMBER('Cost Inputs'!$M$82), OR('Cost Inputs'!$M$82=1,'Cost Inputs'!$M$82=2,'Cost Inputs'!$M$82=4)),
IF(ISNUMBER($P$55), $E167+($E$78*(($E167/$E$78)+$P$55)), $E167),""),"")), ""),""),"")</f>
        <v/>
      </c>
      <c r="V167" s="364" t="str">
        <f>IF($P$3="N.B.C.",
IF(ISNUMBER($B$152),
IF($C167&lt;&gt;"",
IF('Cost Inputs'!$L$82="Y",
IF(ISNUMBER($Q$55), $E167+($E$78*(($E167/$E$78)+$Q$55)), $E167),
IF('Cost Inputs'!$L$82="N",
IF(AND(ISNUMBER('Cost Inputs'!$M$82), OR('Cost Inputs'!$M$82=1,'Cost Inputs'!$M$82=5)),
IF(ISNUMBER($Q$55), $E167+($E$78*(($E167/$E$78)+$Q$55)), $E167),""),"")), ""),""),"")</f>
        <v/>
      </c>
      <c r="W167" s="364" t="str">
        <f>IF($Q$3="N.B.C.",
IF(ISNUMBER($B$152),
IF($C167&lt;&gt;"",
IF('Cost Inputs'!$L$82="Y",
IF(ISNUMBER($R$55), $E167+($E$78*(($E167/$E$78)+$R$55)), $E167),
IF('Cost Inputs'!$L$82="N",
IF(AND(ISNUMBER('Cost Inputs'!$M$82), OR('Cost Inputs'!$M$82=1,'Cost Inputs'!$M$82=2,'Cost Inputs'!$M$82=3,'Cost Inputs'!$M$82=6)),
IF(ISNUMBER($R$55), $E167+($E$78*(($E167/$E$78)+$R$55)), $E167),""),"")), ""),""),"")</f>
        <v/>
      </c>
      <c r="X167" s="364" t="str">
        <f>IF($R$3="N.B.C.",
IF(ISNUMBER($B$152),
IF($C167&lt;&gt;"",
IF('Cost Inputs'!$L$82="Y",
IF(ISNUMBER($S$55), $E167+($E$78*(($E167/$E$78)+$S$55)), $E167),
IF('Cost Inputs'!$L$82="N",
IF(AND(ISNUMBER('Cost Inputs'!$M$82), OR('Cost Inputs'!$M$82=1,'Cost Inputs'!$M$82=7)),
IF(ISNUMBER($S$55), $E167+($E$78*(($E167/$E$78)+$S$55)), $E167),""),"")), ""),""),"")</f>
        <v/>
      </c>
      <c r="Y167" s="364" t="str">
        <f>IF($S$3="N.B.C.",
IF(ISNUMBER($B$152),
IF($C167&lt;&gt;"",
IF('Cost Inputs'!$L$82="Y",
IF(ISNUMBER($T$55), $E167+($E$78*(($E167/$E$78)+$T$55)), $E167),
IF('Cost Inputs'!$L$82="N",
IF(AND(ISNUMBER('Cost Inputs'!$M$82), OR('Cost Inputs'!$M$82=1,'Cost Inputs'!$M$82=2,'Cost Inputs'!$M$82=4,'Cost Inputs'!$M$82=8)),
IF(ISNUMBER($T$55), $E167+($E$78*(($E167/$E$78)+$T$55)), $E167),""),"")), ""),""),"")</f>
        <v/>
      </c>
      <c r="Z167" s="364" t="str">
        <f>IF($T$3="N.B.C.",
IF(ISNUMBER($B$152),
IF($C167&lt;&gt;"",
IF('Cost Inputs'!$L$82="Y",
IF(ISNUMBER($U$55), $E167+($E$78*(($E167/$E$78)+$U$55)), $E167),
IF('Cost Inputs'!$L$82="N",
IF(AND(ISNUMBER('Cost Inputs'!$M$82), OR('Cost Inputs'!$M$82=1,'Cost Inputs'!$M$82=3,'Cost Inputs'!$M$82=9)),
IF(ISNUMBER($U$55), $E167+($E$78*(($E167/$E$78)+$U$55)), $E167),""),"")), ""),""),"")</f>
        <v/>
      </c>
      <c r="AA167" s="364" t="str">
        <f>IF($U$3="N.B.C.",
IF(ISNUMBER($B$152),
IF($C167&lt;&gt;"",
IF('Cost Inputs'!$L$82="Y",
IF(ISNUMBER($V$55), $E167+($E$78*(($E167/$E$78)+$V$55)), $E167),
IF('Cost Inputs'!$L$82="N",
IF(AND(ISNUMBER('Cost Inputs'!$M$82), OR('Cost Inputs'!$M$82=1,'Cost Inputs'!$M$82=2,'Cost Inputs'!$M$82=5)),
IF(ISNUMBER($V$55), $E167+($E$78*(($E167/$E$78)+$V$55)), $E167),""),"")), ""),""),"")</f>
        <v/>
      </c>
      <c r="AB167" s="364" t="str">
        <f>IF($V$3="N.B.C.",
IF(ISNUMBER($B$152),
IF($C167&lt;&gt;"",
IF('Cost Inputs'!$L$82="Y",
IF(ISNUMBER($W$55), $E167+($E$78*(($E167/$E$78)+$W$55)), $E167),
IF('Cost Inputs'!$L$82="N",
IF(AND(ISNUMBER('Cost Inputs'!$M$82), OR('Cost Inputs'!$M$82=1)),
IF(ISNUMBER($W$55), $E167+($E$78*(($E167/$E$78)+$W$55)), $E167),""),"")), ""),""),"")</f>
        <v/>
      </c>
      <c r="AC167" s="364" t="str">
        <f>IF($W$3="N.B.C.",
IF(ISNUMBER($B$152),
IF($C167&lt;&gt;"",
IF('Cost Inputs'!$L$82="Y",
IF(ISNUMBER($X$55), $E167+($E$78*(($E167/$E$78)+$X$55)), $E167),
IF('Cost Inputs'!$L$82="N",
IF(AND(ISNUMBER('Cost Inputs'!$M$82), OR('Cost Inputs'!$M$82=1,'Cost Inputs'!$M$82=2,'Cost Inputs'!$M$82=3,'Cost Inputs'!$M$82=4,'Cost Inputs'!$M$82=6)),
IF(ISNUMBER($X$55), $E167+($E$78*(($E167/$E$78)+$X$55)), $E167),""),"")), ""),""),"")</f>
        <v/>
      </c>
      <c r="AD167" s="364" t="str">
        <f>IF($X$3="N.B.C.",
IF(ISNUMBER($B$152),
IF($C167&lt;&gt;"",
IF('Cost Inputs'!$L$82="Y",
IF(ISNUMBER($Y$55), $E167+($E$78*(($E167/$E$78)+$Y$55)), $E167),
IF('Cost Inputs'!$L$82="N",
IF(AND(ISNUMBER('Cost Inputs'!$M$82), OR('Cost Inputs'!$M$82=1)),
IF(ISNUMBER($Y$55), $E167+($E$78*(($E167/$E$78)+$Y$55)), $E167),""),"")), ""),""),"")</f>
        <v/>
      </c>
    </row>
    <row r="168" spans="1:31" x14ac:dyDescent="0.25">
      <c r="A168" s="518"/>
      <c r="B168" s="504"/>
      <c r="C168" s="107" t="str">
        <f>IF(AND(ISNUMBER(B152), OR('Cost Inputs'!$H$83&lt;&gt;"", 'Cost Inputs'!$I$83&lt;&gt;"", 'Cost Inputs'!$J$83&lt;&gt;"")),
IF((INDEX(ProgramYearStage1,MATCH(DNA_Test_1,Years_in_Stage1,0)))='Model_ of_individuals'!B152,  _3_4_6, ""),"")</f>
        <v/>
      </c>
      <c r="D168" s="93" t="str">
        <f>IF(AND(C168&lt;&gt;"", 'Cost Inputs'!$G$83&lt;&gt;""), 'Cost Inputs'!$G$83, "")</f>
        <v/>
      </c>
      <c r="E168" s="93" t="str">
        <f>IF(AND(C168&lt;&gt;"", 'Cost Inputs'!$H$83&lt;&gt;""), 'Cost Inputs'!$H$83, "")</f>
        <v/>
      </c>
      <c r="F168" s="93" t="str">
        <f>IF(AND(C168&lt;&gt;"", 'Cost Inputs'!$I$83&lt;&gt;""), 'Cost Inputs'!$I$83, "")</f>
        <v/>
      </c>
      <c r="G168" s="93" t="str">
        <f t="shared" si="8"/>
        <v/>
      </c>
      <c r="H168" s="93" t="str">
        <f>IF(AND(C168&lt;&gt;"", 'Cost Inputs'!$J$83&lt;&gt;""), 'Cost Inputs'!$J$83, "")</f>
        <v/>
      </c>
      <c r="I168" s="93" t="str">
        <f t="shared" si="7"/>
        <v/>
      </c>
      <c r="J168" s="93" t="str">
        <f>IF(AND(C168&lt;&gt;"",('Cost Inputs'!$I$83+'Cost Inputs'!$J$83+'Cost Inputs'!$K$83)&gt;0), 'Cost Inputs'!$I$83+'Cost Inputs'!$J$83+'Cost Inputs'!$K$83, "")</f>
        <v/>
      </c>
      <c r="K168" s="93" t="str">
        <f>IF(AND(C168&lt;&gt;"", 'Cost Inputs'!$N$83&gt;0),'Cost Inputs'!$N$83,"")</f>
        <v/>
      </c>
      <c r="L168" s="93"/>
      <c r="M168" s="109"/>
      <c r="U168" s="372" t="str">
        <f>IF($O$3="N.B.C.",
IF(ISNUMBER($B$152),
IF($C168&lt;&gt;"",
IF('Cost Inputs'!$L$83="Y",
IF(ISNUMBER($P$55), $E168+($E$78*(($E168/$E$78)+$P$55)), $E168),
IF('Cost Inputs'!$L$83="N",
IF(AND(ISNUMBER('Cost Inputs'!$M$83), OR('Cost Inputs'!$M$83=1,'Cost Inputs'!$M$83=2,'Cost Inputs'!$M$83=4)),
IF(ISNUMBER($P$55), $E168+($E$78*(($E168/$E$78)+$P$55)), $E168),""),"")), ""),""),"")</f>
        <v/>
      </c>
      <c r="V168" s="372" t="str">
        <f>IF($P$3="N.B.C.",
IF(ISNUMBER($B$152),
IF($C168&lt;&gt;"",
IF('Cost Inputs'!$L$83="Y",
IF(ISNUMBER($Q$55), $E168+($E$78*(($E168/$E$78)+$Q$55)), $E168),
IF('Cost Inputs'!$L$83="N",
IF(AND(ISNUMBER('Cost Inputs'!$M$83), OR('Cost Inputs'!$M$83=1,'Cost Inputs'!$M$83=5)),
IF(ISNUMBER($Q$55), $E168+($E$78*(($E168/$E$78)+$Q$55)), $E168),""),"")), ""),""),"")</f>
        <v/>
      </c>
      <c r="W168" s="372" t="str">
        <f>IF($Q$3="N.B.C.",
IF(ISNUMBER($B$152),
IF($C168&lt;&gt;"",
IF('Cost Inputs'!$L$83="Y",
IF(ISNUMBER($R$55), $E168+($E$78*(($E168/$E$78)+$R$55)), $E168),
IF('Cost Inputs'!$L$83="N",
IF(AND(ISNUMBER('Cost Inputs'!$M$83), OR('Cost Inputs'!$M$83=1,'Cost Inputs'!$M$83=2,'Cost Inputs'!$M$83=3,'Cost Inputs'!$M$83=6)),
IF(ISNUMBER($R$55), $E168+($E$78*(($E168/$E$78)+$R$55)), $E168),""),"")), ""),""),"")</f>
        <v/>
      </c>
      <c r="X168" s="372" t="str">
        <f>IF($R$3="N.B.C.",
IF(ISNUMBER($B$152),
IF($C168&lt;&gt;"",
IF('Cost Inputs'!$L$83="Y",
IF(ISNUMBER($S$55), $E168+($E$78*(($E168/$E$78)+$S$55)), $E168),
IF('Cost Inputs'!$L$83="N",
IF(AND(ISNUMBER('Cost Inputs'!$M$83), OR('Cost Inputs'!$M$83=1,'Cost Inputs'!$M$83=7)),
IF(ISNUMBER($S$55), $E168+($E$78*(($E168/$E$78)+$S$55)), $E168),""),"")), ""),""),"")</f>
        <v/>
      </c>
      <c r="Y168" s="372" t="str">
        <f>IF($S$3="N.B.C.",
IF(ISNUMBER($B$152),
IF($C168&lt;&gt;"",
IF('Cost Inputs'!$L$83="Y",
IF(ISNUMBER($T$55), $E168+($E$78*(($E168/$E$78)+$T$55)), $E168),
IF('Cost Inputs'!$L$83="N",
IF(AND(ISNUMBER('Cost Inputs'!$M$83), OR('Cost Inputs'!$M$83=1,'Cost Inputs'!$M$83=2,'Cost Inputs'!$M$83=4,'Cost Inputs'!$M$83=8)),
IF(ISNUMBER($T$55), $E168+($E$78*(($E168/$E$78)+$T$55)), $E168),""),"")), ""),""),"")</f>
        <v/>
      </c>
      <c r="Z168" s="372" t="str">
        <f>IF($T$3="N.B.C.",
IF(ISNUMBER($B$152),
IF($C168&lt;&gt;"",
IF('Cost Inputs'!$L$83="Y",
IF(ISNUMBER($U$55), $E168+($E$78*(($E168/$E$78)+$U$55)), $E168),
IF('Cost Inputs'!$L$83="N",
IF(AND(ISNUMBER('Cost Inputs'!$M$83), OR('Cost Inputs'!$M$83=1,'Cost Inputs'!$M$83=3,'Cost Inputs'!$M$83=9)),
IF(ISNUMBER($U$55), $E168+($E$78*(($E168/$E$78)+$U$55)), $E168),""),"")), ""),""),"")</f>
        <v/>
      </c>
      <c r="AA168" s="372" t="str">
        <f>IF($U$3="N.B.C.",
IF(ISNUMBER($B$152),
IF($C168&lt;&gt;"",
IF('Cost Inputs'!$L$83="Y",
IF(ISNUMBER($V$55), $E168+($E$78*(($E168/$E$78)+$V$55)), $E168),
IF('Cost Inputs'!$L$83="N",
IF(AND(ISNUMBER('Cost Inputs'!$M$83), OR('Cost Inputs'!$M$83=1,'Cost Inputs'!$M$83=2,'Cost Inputs'!$M$83=5)),
IF(ISNUMBER($V$55), $E168+($E$78*(($E168/$E$78)+$V$55)), $E168),""),"")), ""),""),"")</f>
        <v/>
      </c>
      <c r="AB168" s="372" t="str">
        <f>IF($V$3="N.B.C.",
IF(ISNUMBER($B$152),
IF($C168&lt;&gt;"",
IF('Cost Inputs'!$L$83="Y",
IF(ISNUMBER($W$55), $E168+($E$78*(($E168/$E$78)+$W$55)), $E168),
IF('Cost Inputs'!$L$83="N",
IF(AND(ISNUMBER('Cost Inputs'!$M$83), OR('Cost Inputs'!$M$83=1)),
IF(ISNUMBER($W$55), $E168+($E$78*(($E168/$E$78)+$W$55)), $E168),""),"")), ""),""),"")</f>
        <v/>
      </c>
      <c r="AC168" s="372" t="str">
        <f>IF($W$3="N.B.C.",
IF(ISNUMBER($B$152),
IF($C168&lt;&gt;"",
IF('Cost Inputs'!$L$83="Y",
IF(ISNUMBER($X$55), $E168+($E$78*(($E168/$E$78)+$X$55)), $E168),
IF('Cost Inputs'!$L$83="N",
IF(AND(ISNUMBER('Cost Inputs'!$M$83), OR('Cost Inputs'!$M$83=1,'Cost Inputs'!$M$83=2,'Cost Inputs'!$M$83=3,'Cost Inputs'!$M$83=4,'Cost Inputs'!$M$83=6)),
IF(ISNUMBER($X$55), $E168+($E$78*(($E168/$E$78)+$X$55)), $E168),""),"")), ""),""),"")</f>
        <v/>
      </c>
      <c r="AD168" s="372" t="str">
        <f>IF($X$3="N.B.C.",
IF(ISNUMBER($B$152),
IF($C168&lt;&gt;"",
IF('Cost Inputs'!$L$83="Y",
IF(ISNUMBER($Y$55), $E168+($E$78*(($E168/$E$78)+$Y$55)), $E168),
IF('Cost Inputs'!$L$83="N",
IF(AND(ISNUMBER('Cost Inputs'!$M$83), OR('Cost Inputs'!$M$83=1)),
IF(ISNUMBER($Y$55), $E168+($E$78*(($E168/$E$78)+$Y$55)), $E168),""),"")), ""),""),"")</f>
        <v/>
      </c>
    </row>
    <row r="169" spans="1:31" x14ac:dyDescent="0.25">
      <c r="A169" s="518"/>
      <c r="B169" s="504"/>
      <c r="C169" s="489" t="str">
        <f>IF('Model_ of_individuals'!C162&lt;&gt;"",
IF((INDEX(ProgramYearStage1,MATCH(DNA_Test_1,Years_in_Stage1,0)))='Model_ of_individuals'!B152,  "Percentage decrease in marker culling",""),"")</f>
        <v/>
      </c>
      <c r="D169" s="490"/>
      <c r="E169" s="490"/>
      <c r="F169" s="490"/>
      <c r="G169" s="490"/>
      <c r="H169" s="490"/>
      <c r="I169" s="490"/>
      <c r="J169" s="490"/>
      <c r="K169" s="490"/>
      <c r="L169" s="490"/>
      <c r="M169" s="491"/>
      <c r="U169" s="364" t="str">
        <f>IF($O$3="N.B.C.",
IF(ISNUMBER($B$152),
IF($C169&lt;&gt;"",
IF('Cost Inputs'!$L$84="Y",
IF(ISNUMBER($P$55), $E169+($E$78*(($E169/$E$78)+$P$55)), $E169),
IF('Cost Inputs'!$L$84="N",
IF(AND(ISNUMBER('Cost Inputs'!$M$84), OR('Cost Inputs'!$M$84=1,'Cost Inputs'!$M$84=2,'Cost Inputs'!$M$84=4)),
IF(ISNUMBER($P$55), $E169+($E$78*(($E169/$E$78)+$P$55)), $E169),""),"")), ""),""),"")</f>
        <v/>
      </c>
      <c r="V169" s="364" t="str">
        <f>IF($P$3="N.B.C.",
IF(ISNUMBER($B$152),
IF($C169&lt;&gt;"",
IF('Cost Inputs'!$L$84="Y",
IF(ISNUMBER($Q$55), $E169+($E$78*(($E169/$E$78)+$Q$55)), $E169),
IF('Cost Inputs'!$L$84="N",
IF(AND(ISNUMBER('Cost Inputs'!$M$84), OR('Cost Inputs'!$M$84=1,'Cost Inputs'!$M$84=5)),
IF(ISNUMBER($Q$55), $E169+($E$78*(($E169/$E$78)+$Q$55)), $E169),""),"")), ""),""),"")</f>
        <v/>
      </c>
      <c r="W169" s="364" t="str">
        <f>IF($Q$3="N.B.C.",
IF(ISNUMBER($B$152),
IF($C169&lt;&gt;"",
IF('Cost Inputs'!$L$84="Y",
IF(ISNUMBER($R$55), $E169+($E$78*(($E169/$E$78)+$R$55)), $E169),
IF('Cost Inputs'!$L$84="N",
IF(AND(ISNUMBER('Cost Inputs'!$M$84), OR('Cost Inputs'!$M$84=1,'Cost Inputs'!$M$84=2,'Cost Inputs'!$M$84=3,'Cost Inputs'!$M$84=6)),
IF(ISNUMBER($R$55), $E169+($E$78*(($E169/$E$78)+$R$55)), $E169),""),"")), ""),""),"")</f>
        <v/>
      </c>
      <c r="X169" s="364" t="str">
        <f>IF($R$3="N.B.C.",
IF(ISNUMBER($B$152),
IF($C169&lt;&gt;"",
IF('Cost Inputs'!$L$84="Y",
IF(ISNUMBER($S$55), $E169+($E$78*(($E169/$E$78)+$S$55)), $E169),
IF('Cost Inputs'!$L$84="N",
IF(AND(ISNUMBER('Cost Inputs'!$M$84), OR('Cost Inputs'!$M$84=1,'Cost Inputs'!$M$84=7)),
IF(ISNUMBER($S$55), $E169+($E$78*(($E169/$E$78)+$S$55)), $E169),""),"")), ""),""),"")</f>
        <v/>
      </c>
      <c r="Y169" s="364" t="str">
        <f>IF($S$3="N.B.C.",
IF(ISNUMBER($B$152),
IF($C169&lt;&gt;"",
IF('Cost Inputs'!$L$84="Y",
IF(ISNUMBER($T$55), $E169+($E$78*(($E169/$E$78)+$T$55)), $E169),
IF('Cost Inputs'!$L$84="N",
IF(AND(ISNUMBER('Cost Inputs'!$M$84), OR('Cost Inputs'!$M$84=1,'Cost Inputs'!$M$84=2,'Cost Inputs'!$M$84=4,'Cost Inputs'!$M$84=8)),
IF(ISNUMBER($T$55), $E169+($E$78*(($E169/$E$78)+$T$55)), $E169),""),"")), ""),""),"")</f>
        <v/>
      </c>
      <c r="Z169" s="364" t="str">
        <f>IF($T$3="N.B.C.",
IF(ISNUMBER($B$152),
IF($C169&lt;&gt;"",
IF('Cost Inputs'!$L$84="Y",
IF(ISNUMBER($U$55), $E169+($E$78*(($E169/$E$78)+$U$55)), $E169),
IF('Cost Inputs'!$L$84="N",
IF(AND(ISNUMBER('Cost Inputs'!$M$84), OR('Cost Inputs'!$M$84=1,'Cost Inputs'!$M$84=3,'Cost Inputs'!$M$84=9)),
IF(ISNUMBER($U$55), $E169+($E$78*(($E169/$E$78)+$U$55)), $E169),""),"")), ""),""),"")</f>
        <v/>
      </c>
      <c r="AA169" s="364" t="str">
        <f>IF($U$3="N.B.C.",
IF(ISNUMBER($B$152),
IF($C169&lt;&gt;"",
IF('Cost Inputs'!$L$84="Y",
IF(ISNUMBER($V$55), $E169+($E$78*(($E169/$E$78)+$V$55)), $E169),
IF('Cost Inputs'!$L$84="N",
IF(AND(ISNUMBER('Cost Inputs'!$M$84), OR('Cost Inputs'!$M$84=1,'Cost Inputs'!$M$84=2,'Cost Inputs'!$M$84=5)),
IF(ISNUMBER($V$55), $E169+($E$78*(($E169/$E$78)+$V$55)), $E169),""),"")), ""),""),"")</f>
        <v/>
      </c>
      <c r="AB169" s="364" t="str">
        <f>IF($V$3="N.B.C.",
IF(ISNUMBER($B$152),
IF($C169&lt;&gt;"",
IF('Cost Inputs'!$L$84="Y",
IF(ISNUMBER($W$55), $E169+($E$78*(($E169/$E$78)+$W$55)), $E169),
IF('Cost Inputs'!$L$84="N",
IF(AND(ISNUMBER('Cost Inputs'!$M$84), OR('Cost Inputs'!$M$84=1)),
IF(ISNUMBER($W$55), $E169+($E$78*(($E169/$E$78)+$W$55)), $E169),""),"")), ""),""),"")</f>
        <v/>
      </c>
      <c r="AC169" s="364" t="str">
        <f>IF($W$3="N.B.C.",
IF(ISNUMBER($B$152),
IF($C169&lt;&gt;"",
IF('Cost Inputs'!$L$84="Y",
IF(ISNUMBER($X$55), $E169+($E$78*(($E169/$E$78)+$X$55)), $E169),
IF('Cost Inputs'!$L$84="N",
IF(AND(ISNUMBER('Cost Inputs'!$M$84), OR('Cost Inputs'!$M$84=1,'Cost Inputs'!$M$84=2,'Cost Inputs'!$M$84=3,'Cost Inputs'!$M$84=4,'Cost Inputs'!$M$84=6)),
IF(ISNUMBER($X$55), $E169+($E$78*(($E169/$E$78)+$X$55)), $E169),""),"")), ""),""),"")</f>
        <v/>
      </c>
      <c r="AD169" s="364" t="str">
        <f>IF($X$3="N.B.C.",
IF(ISNUMBER($B$152),
IF($C169&lt;&gt;"",
IF('Cost Inputs'!$L$84="Y",
IF(ISNUMBER($Y$55), $E169+($E$78*(($E169/$E$78)+$Y$55)), $E169),
IF('Cost Inputs'!$L$84="N",
IF(AND(ISNUMBER('Cost Inputs'!$M$84), OR('Cost Inputs'!$M$84=1)),
IF(ISNUMBER($Y$55), $E169+($E$78*(($E169/$E$78)+$Y$55)), $E169),""),"")), ""),""),"")</f>
        <v/>
      </c>
    </row>
    <row r="170" spans="1:31" x14ac:dyDescent="0.25">
      <c r="A170" s="518"/>
      <c r="B170" s="504"/>
      <c r="C170" s="110" t="str">
        <f>IF(ISNUMBER(B152), _3_5_0,"")</f>
        <v/>
      </c>
      <c r="D170" s="94" t="str">
        <f>IF(AND(B152&lt;&gt;"", OR('Cost Inputs'!$H$84&lt;&gt;"", 'Cost Inputs'!$I$84&lt;&gt;"", 'Cost Inputs'!$J$84&lt;&gt;"")), 'Cost Inputs'!$G$84,"")</f>
        <v/>
      </c>
      <c r="E170" s="94" t="str">
        <f>IF(AND(C170&lt;&gt;"", 'Cost Inputs'!$H$84&lt;&gt;""), 'Cost Inputs'!$H$84, "")</f>
        <v/>
      </c>
      <c r="F170" s="94" t="str">
        <f>IF(AND(C170&lt;&gt;"", 'Cost Inputs'!$I$84&lt;&gt;""), 'Cost Inputs'!$I$84, "")</f>
        <v/>
      </c>
      <c r="G170" s="94" t="str">
        <f t="shared" si="8"/>
        <v/>
      </c>
      <c r="H170" s="94" t="str">
        <f>IF(AND(C170&lt;&gt;"", 'Cost Inputs'!$J$84&lt;&gt;""), 'Cost Inputs'!$J$84, "")</f>
        <v/>
      </c>
      <c r="I170" s="94" t="str">
        <f>IF(AND($E170&lt;&gt;"", $H170&lt;&gt;""), $H170/$E170, "")</f>
        <v/>
      </c>
      <c r="J170" s="94" t="str">
        <f>IF(AND(C170&lt;&gt;"",('Cost Inputs'!$I$84+'Cost Inputs'!$J$84+'Cost Inputs'!$K$84)&gt;0), 'Cost Inputs'!$I$84+'Cost Inputs'!$J$84+'Cost Inputs'!$K$84, "")</f>
        <v/>
      </c>
      <c r="K170" s="94" t="str">
        <f>IF(AND(C170&lt;&gt;"", 'Cost Inputs'!$N$84&gt;0),'Cost Inputs'!$N$84,"")</f>
        <v/>
      </c>
      <c r="L170" s="94"/>
      <c r="M170" s="129" t="str">
        <f>IF(ISNUMBER(B152), 'Breeding Inputs'!D81+'Breeding Inputs'!E81, "")</f>
        <v/>
      </c>
      <c r="U170" s="373" t="str">
        <f>IF($O$3="N.B.C.",
IF(ISNUMBER($B$152),
IF('Cost Inputs'!$L$84="Y", $E$170*$M$170,
IF('Cost Inputs'!$L$84="N",
IF(ISNUMBER('Cost Inputs'!$M$84), $E$170*$M$170,""),"")), ""),"")</f>
        <v/>
      </c>
      <c r="V170" s="373" t="str">
        <f>IF($P$3="N.B.C.",
IF(ISNUMBER($B$152),
IF('Cost Inputs'!$L$84="Y", $E$170*$M$170,
IF('Cost Inputs'!$L$84="N",
IF(ISNUMBER('Cost Inputs'!$M$84), $E$170*$M$170,""),"")), ""),"")</f>
        <v/>
      </c>
      <c r="W170" s="373" t="str">
        <f>IF($Q$3="N.B.C.",
IF(ISNUMBER($B$152),
IF('Cost Inputs'!$L$84="Y", $E$170*$M$170,
IF('Cost Inputs'!$L$84="N",
IF(ISNUMBER('Cost Inputs'!$M$84), $E$170*$M$170,""),"")), ""),"")</f>
        <v/>
      </c>
      <c r="X170" s="373" t="str">
        <f>IF($R$3="N.B.C.",
IF(ISNUMBER($B$152),
IF('Cost Inputs'!$L$84="Y", $E$170*$M$170,
IF('Cost Inputs'!$L$84="N",
IF(ISNUMBER('Cost Inputs'!$M$84), $E$170*$M$170,""),"")), ""),"")</f>
        <v/>
      </c>
      <c r="Y170" s="373" t="str">
        <f>IF($S$3="N.B.C.",
IF(ISNUMBER($B$152),
IF('Cost Inputs'!$L$84="Y", $E$170*$M$170,
IF('Cost Inputs'!$L$84="N",
IF(ISNUMBER('Cost Inputs'!$M$84), $E$170*$M$170,""),"")), ""),"")</f>
        <v/>
      </c>
      <c r="Z170" s="373" t="str">
        <f>IF($T$3="N.B.C.",
IF(ISNUMBER($B$152),
IF('Cost Inputs'!$L$84="Y", $E$170*$M$170,
IF('Cost Inputs'!$L$84="N",
IF(ISNUMBER('Cost Inputs'!$M$84), $E$170*$M$170,""),"")), ""),"")</f>
        <v/>
      </c>
      <c r="AA170" s="373" t="str">
        <f>IF($U$3="N.B.C.",
IF(ISNUMBER($B$152),
IF('Cost Inputs'!$L$84="Y", $E$170*$M$170,
IF('Cost Inputs'!$L$84="N",
IF(ISNUMBER('Cost Inputs'!$M$84), $E$170*$M$170,""),"")), ""),"")</f>
        <v/>
      </c>
      <c r="AB170" s="373" t="str">
        <f>IF($V$3="N.B.C.",
IF(ISNUMBER($B$152),
IF('Cost Inputs'!$L$84="Y", $E$170*$M$170,
IF('Cost Inputs'!$L$84="N",
IF(ISNUMBER('Cost Inputs'!$M$84), $E$170*$M$170,""),"")), ""),"")</f>
        <v/>
      </c>
      <c r="AC170" s="373" t="str">
        <f>IF($W$3="N.B.C.",
IF(ISNUMBER($B$152),
IF('Cost Inputs'!$L$84="Y", $E$170*$M$170,
IF('Cost Inputs'!$L$84="N",
IF(ISNUMBER('Cost Inputs'!$M$84), $E$170*$M$170,""),"")), ""),"")</f>
        <v/>
      </c>
      <c r="AD170" s="373" t="str">
        <f>IF($X$3="N.B.C.",
IF(ISNUMBER($B$152),
IF('Cost Inputs'!$L$84="Y", $E$170*$M$170,
IF('Cost Inputs'!$L$84="N",
IF(ISNUMBER('Cost Inputs'!$M$84), $E$170*$M$170,""),"")), ""),"")</f>
        <v/>
      </c>
    </row>
    <row r="171" spans="1:31" x14ac:dyDescent="0.25">
      <c r="A171" s="518"/>
      <c r="B171" s="504"/>
      <c r="C171" s="104" t="str">
        <f>IF(AND(ISNUMBER(B152), OR('Cost Inputs'!$H$85&lt;&gt;"", 'Cost Inputs'!$I$85&lt;&gt;"", 'Cost Inputs'!$J$85&lt;&gt;"")), _3_5_1, "")</f>
        <v/>
      </c>
      <c r="D171" s="17" t="str">
        <f>IF(AND(C171&lt;&gt;"", 'Cost Inputs'!$G$85&lt;&gt;""), 'Cost Inputs'!$G$85, "")</f>
        <v/>
      </c>
      <c r="E171" s="17" t="str">
        <f>IF(AND(C171&lt;&gt;"", 'Cost Inputs'!$H$85&lt;&gt;""), 'Cost Inputs'!$H$85, "")</f>
        <v/>
      </c>
      <c r="F171" s="17" t="str">
        <f>IF(AND(C171&lt;&gt;"", 'Cost Inputs'!$I$85&lt;&gt;""), 'Cost Inputs'!$I$85, "")</f>
        <v/>
      </c>
      <c r="G171" s="17" t="str">
        <f t="shared" si="8"/>
        <v/>
      </c>
      <c r="H171" s="17" t="str">
        <f>IF(AND(C171&lt;&gt;"", 'Cost Inputs'!$J$85&lt;&gt;""), 'Cost Inputs'!$J$85, "")</f>
        <v/>
      </c>
      <c r="I171" s="17" t="str">
        <f t="shared" si="7"/>
        <v/>
      </c>
      <c r="J171" s="17" t="str">
        <f>IF(AND(C171&lt;&gt;"",('Cost Inputs'!$I$85+'Cost Inputs'!$J$85+'Cost Inputs'!$K$85)&gt;0), 'Cost Inputs'!$I$85+'Cost Inputs'!$J$85+'Cost Inputs'!$K$85, "")</f>
        <v/>
      </c>
      <c r="K171" s="17" t="str">
        <f>IF(AND(C171&lt;&gt;"", 'Cost Inputs'!$N$85&gt;0),'Cost Inputs'!$N$85,"")</f>
        <v/>
      </c>
      <c r="M171" s="106"/>
      <c r="U171" s="364" t="str">
        <f>IF($O$3="N.B.C.", IF(ISNUMBER($B$152), IF('Cost Inputs'!$L$85="Y", $E$87, IF('Cost Inputs'!$L$85="N", IF(ISNUMBER('Cost Inputs'!$M$85), $E$87,""),"")), ""),"")</f>
        <v/>
      </c>
      <c r="V171" s="364" t="str">
        <f>IF($P$3="N.B.C.", IF(ISNUMBER($B$152), IF('Cost Inputs'!$L$85="Y", $E$87, IF('Cost Inputs'!$L$85="N", IF(ISNUMBER('Cost Inputs'!$M$85), $E$87,""),"")), ""),"")</f>
        <v/>
      </c>
      <c r="W171" s="364" t="str">
        <f>IF($Q$3="N.B.C.", IF(ISNUMBER($B$152), IF('Cost Inputs'!$L$85="Y", $E$87, IF('Cost Inputs'!$L$85="N", IF(ISNUMBER('Cost Inputs'!$M$85), $E$87,""),"")), ""),"")</f>
        <v/>
      </c>
      <c r="X171" s="364" t="str">
        <f>IF($R$3="N.B.C.", IF(ISNUMBER($B$152), IF('Cost Inputs'!$L$85="Y", $E$87, IF('Cost Inputs'!$L$85="N", IF(ISNUMBER('Cost Inputs'!$M$85), $E$87,""),"")), ""),"")</f>
        <v/>
      </c>
      <c r="Y171" s="364" t="str">
        <f>IF($S$3="N.B.C.", IF(ISNUMBER($B$152), IF('Cost Inputs'!$L$85="Y", $E$87, IF('Cost Inputs'!$L$85="N", IF(ISNUMBER('Cost Inputs'!$M$85), $E$87,""),"")), ""),"")</f>
        <v/>
      </c>
      <c r="Z171" s="364" t="str">
        <f>IF($T$3="N.B.C.", IF(ISNUMBER($B$152), IF('Cost Inputs'!$L$85="Y", $E$87, IF('Cost Inputs'!$L$85="N", IF(ISNUMBER('Cost Inputs'!$M$85), $E$87,""),"")), ""),"")</f>
        <v/>
      </c>
      <c r="AA171" s="364" t="str">
        <f>IF($U$3="N.B.C.", IF(ISNUMBER($B$152), IF('Cost Inputs'!$L$85="Y", $E$87, IF('Cost Inputs'!$L$85="N", IF(ISNUMBER('Cost Inputs'!$M$85), $E$87,""),"")), ""),"")</f>
        <v/>
      </c>
      <c r="AB171" s="364" t="str">
        <f>IF($V$3="N.B.C.", IF(ISNUMBER($B$152), IF('Cost Inputs'!$L$85="Y", $E$87, IF('Cost Inputs'!$L$85="N", IF(ISNUMBER('Cost Inputs'!$M$85), $E$87,""),"")), ""),"")</f>
        <v/>
      </c>
      <c r="AC171" s="364" t="str">
        <f>IF($W$3="N.B.C.", IF(ISNUMBER($B$152), IF('Cost Inputs'!$L$85="Y", $E$87, IF('Cost Inputs'!$L$85="N", IF(ISNUMBER('Cost Inputs'!$M$85), $E$87,""),"")), ""),"")</f>
        <v/>
      </c>
      <c r="AD171" s="364" t="str">
        <f>IF($X$3="N.B.C.", IF(ISNUMBER($B$152), IF('Cost Inputs'!$L$85="Y", $E$87, IF('Cost Inputs'!$L$85="N", IF(ISNUMBER('Cost Inputs'!$M$85), $E$87,""),"")), ""),"")</f>
        <v/>
      </c>
    </row>
    <row r="172" spans="1:31" ht="15.75" thickBot="1" x14ac:dyDescent="0.3">
      <c r="A172" s="518"/>
      <c r="B172" s="505"/>
      <c r="C172" s="111" t="str">
        <f>IF(AND(ISNUMBER(B152), OR('Cost Inputs'!$H$86&lt;&gt;"", 'Cost Inputs'!$I$86&lt;&gt;"", 'Cost Inputs'!$J$86&lt;&gt;"")), _3_5_2, "")</f>
        <v/>
      </c>
      <c r="D172" s="95" t="str">
        <f>IF(AND(C172&lt;&gt;"", 'Cost Inputs'!$G$86&lt;&gt;""), 'Cost Inputs'!$G$86, "")</f>
        <v/>
      </c>
      <c r="E172" s="95" t="str">
        <f>IF(AND(C172&lt;&gt;"", 'Cost Inputs'!$H$86&lt;&gt;""), 'Cost Inputs'!$H$86, "")</f>
        <v/>
      </c>
      <c r="F172" s="95" t="str">
        <f>IF(AND(C172&lt;&gt;"", 'Cost Inputs'!$I$86&lt;&gt;""), 'Cost Inputs'!$I$86, "")</f>
        <v/>
      </c>
      <c r="G172" s="95" t="str">
        <f t="shared" si="8"/>
        <v/>
      </c>
      <c r="H172" s="95" t="str">
        <f>IF(AND(C172&lt;&gt;"", 'Cost Inputs'!$J$86&lt;&gt;""), 'Cost Inputs'!$J$86, "")</f>
        <v/>
      </c>
      <c r="I172" s="95" t="str">
        <f t="shared" si="7"/>
        <v/>
      </c>
      <c r="J172" s="95" t="str">
        <f>IF(AND(C172&lt;&gt;"",('Cost Inputs'!$I$86+'Cost Inputs'!$J$86+'Cost Inputs'!$K$86)&gt;0), 'Cost Inputs'!$I$86+'Cost Inputs'!$J$86+'Cost Inputs'!$K$86, "")</f>
        <v/>
      </c>
      <c r="K172" s="95" t="str">
        <f>IF(AND(C172&lt;&gt;"", 'Cost Inputs'!$N$86&gt;0),'Cost Inputs'!$N$86,"")</f>
        <v/>
      </c>
      <c r="L172" s="95"/>
      <c r="M172" s="113"/>
      <c r="U172" s="372" t="str">
        <f>IF($O$3="N.B.C.", IF(ISNUMBER($B$152), IF('Cost Inputs'!$L$86="Y", $E$88, IF('Cost Inputs'!$L$86="N", IF(ISNUMBER('Cost Inputs'!$M$86), $E$88,""),"")), ""),"")</f>
        <v/>
      </c>
      <c r="V172" s="372" t="str">
        <f>IF($P$3="N.B.C.", IF(ISNUMBER($B$152), IF('Cost Inputs'!$L$86="Y", $E$88, IF('Cost Inputs'!$L$86="N", IF(ISNUMBER('Cost Inputs'!$M$86), $E$88,""),"")), ""),"")</f>
        <v/>
      </c>
      <c r="W172" s="372" t="str">
        <f>IF($Q$3="N.B.C.", IF(ISNUMBER($B$152), IF('Cost Inputs'!$L$86="Y", $E$88, IF('Cost Inputs'!$L$86="N", IF(ISNUMBER('Cost Inputs'!$M$86), $E$88,""),"")), ""),"")</f>
        <v/>
      </c>
      <c r="X172" s="372" t="str">
        <f>IF($R$3="N.B.C.", IF(ISNUMBER($B$152), IF('Cost Inputs'!$L$86="Y", $E$88, IF('Cost Inputs'!$L$86="N", IF(ISNUMBER('Cost Inputs'!$M$86), $E$88,""),"")), ""),"")</f>
        <v/>
      </c>
      <c r="Y172" s="372" t="str">
        <f>IF($S$3="N.B.C.", IF(ISNUMBER($B$152), IF('Cost Inputs'!$L$86="Y", $E$88, IF('Cost Inputs'!$L$86="N", IF(ISNUMBER('Cost Inputs'!$M$86), $E$88,""),"")), ""),"")</f>
        <v/>
      </c>
      <c r="Z172" s="372" t="str">
        <f>IF($T$3="N.B.C.", IF(ISNUMBER($B$152), IF('Cost Inputs'!$L$86="Y", $E$88, IF('Cost Inputs'!$L$86="N", IF(ISNUMBER('Cost Inputs'!$M$86), $E$88,""),"")), ""),"")</f>
        <v/>
      </c>
      <c r="AA172" s="372" t="str">
        <f>IF($U$3="N.B.C.", IF(ISNUMBER($B$152), IF('Cost Inputs'!$L$86="Y", $E$88, IF('Cost Inputs'!$L$86="N", IF(ISNUMBER('Cost Inputs'!$M$86), $E$88,""),"")), ""),"")</f>
        <v/>
      </c>
      <c r="AB172" s="372" t="str">
        <f>IF($V$3="N.B.C.", IF(ISNUMBER($B$152), IF('Cost Inputs'!$L$86="Y", $E$88, IF('Cost Inputs'!$L$86="N", IF(ISNUMBER('Cost Inputs'!$M$86), $E$88,""),"")), ""),"")</f>
        <v/>
      </c>
      <c r="AC172" s="372" t="str">
        <f>IF($W$3="N.B.C.", IF(ISNUMBER($B$152), IF('Cost Inputs'!$L$86="Y", $E$88, IF('Cost Inputs'!$L$86="N", IF(ISNUMBER('Cost Inputs'!$M$86), $E$88,""),"")), ""),"")</f>
        <v/>
      </c>
      <c r="AD172" s="372" t="str">
        <f>IF($X$3="N.B.C.", IF(ISNUMBER($B$152), IF('Cost Inputs'!$L$86="Y", $E$88, IF('Cost Inputs'!$L$86="N", IF(ISNUMBER('Cost Inputs'!$M$86), $E$88,""),"")), ""),"")</f>
        <v/>
      </c>
    </row>
    <row r="173" spans="1:31" ht="14.45" customHeight="1" x14ac:dyDescent="0.25">
      <c r="A173" s="518" t="str">
        <f>Third_Stage</f>
        <v>Stage 1 Seedling Test Plots</v>
      </c>
      <c r="B173" s="503" t="str">
        <f>'Breeding Inputs'!B82</f>
        <v/>
      </c>
      <c r="C173" s="116" t="str">
        <f>IF(ISNUMBER(B173), _3_2_0, "")</f>
        <v/>
      </c>
      <c r="D173" s="92" t="str">
        <f>IF(AND(B173&lt;&gt;"", OR('Cost Inputs'!$H$67&lt;&gt;"", 'Cost Inputs'!$I$67&lt;&gt;"", 'Cost Inputs'!$J$67&lt;&gt;"")), 'Cost Inputs'!$G$67,"")</f>
        <v/>
      </c>
      <c r="E173" s="92" t="str">
        <f>IF(AND(C173&lt;&gt;"", 'Cost Inputs'!$H$67&lt;&gt;"", M$170&lt;&gt;"", M$170&gt;0), $E152-('Cost Inputs'!$H$67*M$170), IF(AND(C173&lt;&gt;"", 'Cost Inputs'!$H$67&lt;&gt;""), $E152, ""))</f>
        <v/>
      </c>
      <c r="F173" s="92" t="str">
        <f>IF(AND(C173&lt;&gt;"", 'Cost Inputs'!$I$67&lt;&gt;""), 'Cost Inputs'!$I$67, "")</f>
        <v/>
      </c>
      <c r="G173" s="92" t="str">
        <f t="shared" si="8"/>
        <v/>
      </c>
      <c r="H173" s="92" t="str">
        <f>IF(AND(C173&lt;&gt;"", 'Cost Inputs'!$J$67&lt;&gt;""), 'Cost Inputs'!$J$67, "")</f>
        <v/>
      </c>
      <c r="I173" s="92" t="str">
        <f>IF(AND($E173&lt;&gt;"", $H173&lt;&gt;""), $H173/$E173, "")</f>
        <v/>
      </c>
      <c r="J173" s="92" t="str">
        <f>IF(AND(C173&lt;&gt;"",('Cost Inputs'!$I$67+'Cost Inputs'!$J$67+'Cost Inputs'!$K$67)&gt;0), 'Cost Inputs'!$I$67+'Cost Inputs'!$J$67+'Cost Inputs'!$K$67, "")</f>
        <v/>
      </c>
      <c r="K173" s="92" t="str">
        <f>IF(AND(C173&lt;&gt;"", 'Cost Inputs'!$N$67&gt;0),'Cost Inputs'!$N$67,"")</f>
        <v/>
      </c>
      <c r="L173" s="92"/>
      <c r="M173" s="101"/>
      <c r="V173" s="373" t="str">
        <f>IF($O$3="N.B.C.",
IF(ISNUMBER($B$173),
IF($C173&lt;&gt;"",
IF('Cost Inputs'!$L$67="Y",
IF(AND(ISNUMBER(P$56), P$56&gt;$E$60), $E173+($E$60*(($E173/$E$60)+$P$55)), $E173),
IF('Cost Inputs'!$L$67="N",
IF(AND(ISNUMBER('Cost Inputs'!$M$67), OR('Cost Inputs'!$M$67=1,'Cost Inputs'!$M$67=5)),
IF(AND(ISNUMBER(P$56), P$56&gt;$E$60), $E173+($E$60*(($E173/$E$60)+$P$55)), $E173), ""),"")), ""), ""), "")</f>
        <v/>
      </c>
      <c r="W173" s="373" t="str">
        <f>IF($P$3="N.B.C.",
IF(ISNUMBER($B$173),
IF($C173&lt;&gt;"",
IF('Cost Inputs'!$L$67="Y",
IF(AND(ISNUMBER(Q$56), Q$56&gt;$E$60), $E173+($E$60*(($E173/$E$60)+$Q$55)), $E173),
IF('Cost Inputs'!$L$67="N",
IF(AND(ISNUMBER('Cost Inputs'!$M$67), OR('Cost Inputs'!$M$67=1,'Cost Inputs'!$M$67=2, 'Cost Inputs'!$M$67=3,'Cost Inputs'!$M$67=6)),
IF(AND(ISNUMBER(Q$56), Q$56&gt;$E$60), $E173+($E$60*(($E173/$E$60)+$Q$55)), $E173), ""),"")), ""), ""), "")</f>
        <v/>
      </c>
      <c r="X173" s="373" t="str">
        <f>IF($Q$3="N.B.C.",
IF(ISNUMBER($B$173),
IF($C173&lt;&gt;"",
IF('Cost Inputs'!$L$67="Y",
IF(AND(ISNUMBER(R$56), R$56&gt;$E$60), $E173+($E$60*(($E173/$E$60)+$R$55)), $E173),
IF('Cost Inputs'!$L$67="N",
IF(AND(ISNUMBER('Cost Inputs'!$M$67), OR('Cost Inputs'!$M$67=1,'Cost Inputs'!$M$67=7)),
IF(AND(ISNUMBER(R$56), R$56&gt;$E$60), $E173+($E$60*(($E173/$E$60)+$R$55)), $E173), ""),"")), ""), ""), "")</f>
        <v/>
      </c>
      <c r="Y173" s="373" t="str">
        <f>IF($R$3="N.B.C.",
IF(ISNUMBER($B$173),
IF($C173&lt;&gt;"",
IF('Cost Inputs'!$L$67="Y",
IF(AND(ISNUMBER(S$56), S$56&gt;$E$60), $E173+($E$60*(($E173/$E$60)+$S$55)), $E173),
IF('Cost Inputs'!$L$67="N",
IF(AND(ISNUMBER('Cost Inputs'!$M$67), OR('Cost Inputs'!$M$67=1,'Cost Inputs'!$M$67=2,'Cost Inputs'!$M$67=4,'Cost Inputs'!$M$67=8)),
IF(AND(ISNUMBER(S$56), S$56&gt;$E$60), $E173+($E$60*(($E173/$E$60)+$S$55)), $E173), ""),"")), ""), ""), "")</f>
        <v/>
      </c>
      <c r="Z173" s="373" t="str">
        <f>IF($S$3="N.B.C.",
IF(ISNUMBER($B$173),
IF($C173&lt;&gt;"",
IF('Cost Inputs'!$L$67="Y",
IF(AND(ISNUMBER(T$56), T$56&gt;$E$60), $E173+($E$60*(($E173/$E$60)+$T$55)), $E173),
IF('Cost Inputs'!$L$67="N",
IF(AND(ISNUMBER('Cost Inputs'!$M$67), OR('Cost Inputs'!$M$67=1,'Cost Inputs'!$M$67=3, 'Cost Inputs'!$M$67=9)),
IF(AND(ISNUMBER(T$56), T$56&gt;$E$60), $E173+($E$60*(($E173/$E$60)+$T$55)), $E173), ""),"")), ""), ""), "")</f>
        <v/>
      </c>
      <c r="AA173" s="373" t="str">
        <f>IF($T$3="N.B.C.",
IF(ISNUMBER($B$173),
IF($C173&lt;&gt;"",
IF('Cost Inputs'!$L$67="Y",
IF(AND(ISNUMBER(U$56), U$56&gt;$E$60), $E173+($E$60*(($E173/$E$60)+$U$55)), $E173),
IF('Cost Inputs'!$L$67="N",
IF(AND(ISNUMBER('Cost Inputs'!$M$67), OR('Cost Inputs'!$M$67=1,'Cost Inputs'!$M$67=2, 'Cost Inputs'!$M$67=5)),
IF(AND(ISNUMBER(U$56), U$56&gt;$E$60), $E173+($E$60*(($E173/$E$60)+$U$55)), $E173), ""),"")), ""), ""), "")</f>
        <v/>
      </c>
      <c r="AB173" s="373" t="str">
        <f>IF($U$3="N.B.C.",
IF(ISNUMBER($B$173),
IF($C173&lt;&gt;"",
IF('Cost Inputs'!$L$67="Y",
IF(AND(ISNUMBER(V$56), V$56&gt;$E$60), $E173+($E$60*(($E173/$E$60)+$V$55)), $E173),
IF('Cost Inputs'!$L$67="N",
IF(AND(ISNUMBER('Cost Inputs'!$M$67), OR('Cost Inputs'!$M$67=1)),
IF(AND(ISNUMBER(V$56), V$56&gt;$E$60), $E173+($E$60*(($E173/$E$60)+$V$55)), $E173), ""),"")), ""), ""), "")</f>
        <v/>
      </c>
      <c r="AC173" s="373" t="str">
        <f>IF($V$3="N.B.C.",
IF(ISNUMBER($B$173),
IF($C173&lt;&gt;"",
IF('Cost Inputs'!$L$67="Y",
IF(AND(ISNUMBER(W$56), W$56&gt;$E$60), $E173+($E$60*(($E173/$E$60)+$W$55)), $E173),
IF('Cost Inputs'!$L$67="N",
IF(AND(ISNUMBER('Cost Inputs'!$M$67), OR('Cost Inputs'!$M$67=1,'Cost Inputs'!$M$67=2,'Cost Inputs'!$M$67=3,'Cost Inputs'!$M$67=4,'Cost Inputs'!$M$67=6)),
IF(AND(ISNUMBER(W$56), W$56&gt;$E$60), $E173+($E$60*(($E173/$E$60)+$W$55)), $E173), ""),"")), ""), ""), "")</f>
        <v/>
      </c>
      <c r="AD173" s="373" t="str">
        <f>IF($W$3="N.B.C.",
IF(ISNUMBER($B$173),
IF($C173&lt;&gt;"",
IF('Cost Inputs'!$L$67="Y",
IF(AND(ISNUMBER(X$56), X$56&gt;$E$60), $E173+($E$60*(($E173/$E$60)+$X$55)), $E173),
IF('Cost Inputs'!$L$67="N",
IF(AND(ISNUMBER('Cost Inputs'!$M$67), OR('Cost Inputs'!$M$67=1)),
IF(AND(ISNUMBER(X$56), X$56&gt;$E$60), $E173+($E$60*(($E173/$E$60)+$X$55)), $E173), ""),"")), ""), ""), "")</f>
        <v/>
      </c>
      <c r="AE173" s="373" t="str">
        <f>IF($X$3="N.B.C.",
IF(ISNUMBER($B$173),
IF($C173&lt;&gt;"",
IF('Cost Inputs'!$L$67="Y",
IF(AND(ISNUMBER(Y$56), Y$56&gt;$E$60), $E173+($E$60*(($E173/$E$60)+$Y$55)), $E173),
IF('Cost Inputs'!$L$67="N",
IF(AND(ISNUMBER('Cost Inputs'!$M$67), OR('Cost Inputs'!$M$67=1, 'Cost Inputs'!$M$67=2, 'Cost Inputs'!$M$67=7)),
IF(AND(ISNUMBER(Y$56), Y$56&gt;$E$60), $E173+($E$60*(($E173/$E$60)+$Y$55)), $E173), ""),"")), ""), ""), "")</f>
        <v/>
      </c>
    </row>
    <row r="174" spans="1:31" x14ac:dyDescent="0.25">
      <c r="A174" s="518"/>
      <c r="B174" s="504"/>
      <c r="C174" s="104" t="str">
        <f>IF(AND(ISNUMBER(B173), OR('Cost Inputs'!$H$68&lt;&gt;"", 'Cost Inputs'!$I$68&lt;&gt;"", 'Cost Inputs'!$J$68&lt;&gt;"")), _3_2_1, "")</f>
        <v/>
      </c>
      <c r="D174" s="17" t="str">
        <f>IF(AND($C174&lt;&gt;"", 'Cost Inputs'!$G$68&lt;&gt;""), 'Cost Inputs'!$G$68, "")</f>
        <v/>
      </c>
      <c r="E174" s="17" t="str">
        <f>IF(AND(C174&lt;&gt;"", 'Cost Inputs'!$H$68&lt;&gt;"", M$170&lt;&gt;"", M$170&gt;0), $E153-('Cost Inputs'!$H$68*M$170), IF(AND(C174&lt;&gt;"", 'Cost Inputs'!$H$68&lt;&gt;""), $E153, ""))</f>
        <v/>
      </c>
      <c r="F174" s="17" t="str">
        <f>IF(AND(C174&lt;&gt;"", 'Cost Inputs'!$I$68&lt;&gt;""), 'Cost Inputs'!$I$68, "")</f>
        <v/>
      </c>
      <c r="G174" s="17" t="str">
        <f t="shared" si="8"/>
        <v/>
      </c>
      <c r="H174" s="17" t="str">
        <f>IF(AND(C174&lt;&gt;"", 'Cost Inputs'!$J$68&lt;&gt;""), 'Cost Inputs'!$J$68, "")</f>
        <v/>
      </c>
      <c r="I174" s="17" t="str">
        <f t="shared" si="7"/>
        <v/>
      </c>
      <c r="J174" s="17" t="str">
        <f>IF(AND(C174&lt;&gt;"",('Cost Inputs'!$I$68+'Cost Inputs'!$J$68+'Cost Inputs'!$K$68)&gt;0), 'Cost Inputs'!$I$68+'Cost Inputs'!$J$68+'Cost Inputs'!$K$68, "")</f>
        <v/>
      </c>
      <c r="K174" s="17" t="str">
        <f>IF(AND(C174&lt;&gt;"", 'Cost Inputs'!$N$68&gt;0),'Cost Inputs'!$N$68,"")</f>
        <v/>
      </c>
      <c r="M174" s="106"/>
      <c r="V174" s="364" t="str">
        <f>IF($O$3="N.B.C.",
IF(ISNUMBER($B$173),
IF($C174&lt;&gt;"",
IF('Cost Inputs'!$L$68="Y",
IF(ISNUMBER($P$55), $E174+($E$89*(($E174/$E$89)+$P$55)), $E174),
IF('Cost Inputs'!$L$68="N",
IF(AND(ISNUMBER('Cost Inputs'!$M$68), OR('Cost Inputs'!$M$68=1,'Cost Inputs'!$M$68=5)),
IF(ISNUMBER($P$55), $E174+($E$89*(($E174/$E$89)+$P$55)), $E174),""),"")), ""),""),"")</f>
        <v/>
      </c>
      <c r="W174" s="364" t="str">
        <f>IF($P$3="N.B.C.",
IF(ISNUMBER($B$173),
IF($C174&lt;&gt;"",
IF('Cost Inputs'!$L$68="Y",
IF(ISNUMBER($Q$55), $E174+($E$89*(($E174/$E$89)+$Q$55)), $E174),
IF('Cost Inputs'!$L$68="N",
IF(AND(ISNUMBER('Cost Inputs'!$M$68), OR('Cost Inputs'!$M$68=1,'Cost Inputs'!$M$68=2,'Cost Inputs'!$M$68=3,'Cost Inputs'!$M$68=6)),
IF(ISNUMBER($Q$55), $E174+($E$89*(($E174/$E$89)+$Q$55)), $E174),""),"")), ""),""),"")</f>
        <v/>
      </c>
      <c r="X174" s="364" t="str">
        <f>IF($Q$3="N.B.C.",
IF(ISNUMBER($B$173),
IF($C174&lt;&gt;"",
IF('Cost Inputs'!$L$68="Y",
IF(ISNUMBER($R$55), $E174+($E$89*(($E174/$E$89)+$R$55)), $E174),
IF('Cost Inputs'!$L$68="N",
IF(AND(ISNUMBER('Cost Inputs'!$M$68), OR('Cost Inputs'!$M$68=1,'Cost Inputs'!$M$68=7)),
IF(ISNUMBER($R$55), $E174+($E$89*(($E174/$E$89)+$R$55)), $E174),""),"")), ""),""),"")</f>
        <v/>
      </c>
      <c r="Y174" s="364" t="str">
        <f>IF($R$3="N.B.C.",
IF(ISNUMBER($B$173),
IF($C174&lt;&gt;"",
IF('Cost Inputs'!$L$68="Y",
IF(ISNUMBER($S$55), $E174+($E$89*(($E174/$E$89)+$S$55)), $E174),
IF('Cost Inputs'!$L$68="N",
IF(AND(ISNUMBER('Cost Inputs'!$M$68), OR('Cost Inputs'!$M$68=1,'Cost Inputs'!$M$68=2,'Cost Inputs'!$M$68=4,'Cost Inputs'!$M$68=8)),
IF(ISNUMBER($S$55), $E174+($E$89*(($E174/$E$89)+$S$55)), $E174),""),"")), ""),""),"")</f>
        <v/>
      </c>
      <c r="Z174" s="364" t="str">
        <f>IF($S$3="N.B.C.",
IF(ISNUMBER($B$173),
IF($C174&lt;&gt;"",
IF('Cost Inputs'!$L$68="Y",
IF(ISNUMBER($T$55), $E174+($E$89*(($E174/$E$89)+$T$55)), $E174),
IF('Cost Inputs'!$L$68="N",
IF(AND(ISNUMBER('Cost Inputs'!$M$68), OR('Cost Inputs'!$M$68=1,'Cost Inputs'!$M$68=3,'Cost Inputs'!$M$68=9)),
IF(ISNUMBER($T$55), $E174+($E$89*(($E174/$E$89)+$T$55)), $E174),""),"")), ""),""),"")</f>
        <v/>
      </c>
      <c r="AA174" s="364" t="str">
        <f>IF($T$3="N.B.C.",
IF(ISNUMBER($B$173),
IF($C174&lt;&gt;"",
IF('Cost Inputs'!$L$68="Y",
IF(ISNUMBER($U$55), $E174+($E$89*(($E174/$E$89)+$U$55)), $E174),
IF('Cost Inputs'!$L$68="N",
IF(AND(ISNUMBER('Cost Inputs'!$M$68), OR('Cost Inputs'!$M$68=1,'Cost Inputs'!$M$68=2,'Cost Inputs'!$M$68=5)),
IF(ISNUMBER($U$55), $E174+($E$89*(($E174/$E$89)+$U$55)), $E174),""),"")), ""),""),"")</f>
        <v/>
      </c>
      <c r="AB174" s="364" t="str">
        <f>IF($U$3="N.B.C.",
IF(ISNUMBER($B$173),
IF($C174&lt;&gt;"",
IF('Cost Inputs'!$L$68="Y",
IF(ISNUMBER($V$55), $E174+($E$89*(($E174/$E$89)+$V$55)), $E174),
IF('Cost Inputs'!$L$68="N",
IF(AND(ISNUMBER('Cost Inputs'!$M$68), OR('Cost Inputs'!$M$68=1)),
IF(ISNUMBER($V$55), $E174+($E$89*(($E174/$E$89)+$V$55)), $E174),""),"")), ""),""),"")</f>
        <v/>
      </c>
      <c r="AC174" s="364" t="str">
        <f>IF($V$3="N.B.C.",
IF(ISNUMBER($B$173),
IF($C174&lt;&gt;"",
IF('Cost Inputs'!$L$68="Y",
IF(ISNUMBER($W$55), $E174+($E$89*(($E174/$E$89)+$W$55)), $E174),
IF('Cost Inputs'!$L$68="N",
IF(AND(ISNUMBER('Cost Inputs'!$M$68), OR('Cost Inputs'!$M$68=1,'Cost Inputs'!$M$68=2,'Cost Inputs'!$M$68=3,'Cost Inputs'!$M$68=4,'Cost Inputs'!$M$68=6)),
IF(ISNUMBER($W$55), $E174+($E$89*(($E174/$E$89)+$W$55)), $E174),""),"")), ""),""),"")</f>
        <v/>
      </c>
      <c r="AD174" s="364" t="str">
        <f>IF($W$3="N.B.C.",
IF(ISNUMBER($B$173),
IF($C174&lt;&gt;"",
IF('Cost Inputs'!$L$68="Y",
IF(ISNUMBER($X$55), $E174+($E$89*(($E174/$E$89)+$X$55)), $E174),
IF('Cost Inputs'!$L$68="N",
IF(AND(ISNUMBER('Cost Inputs'!$M$68), OR('Cost Inputs'!$M$68=1)),
IF(ISNUMBER($X$55), $E174+($E$89*(($E174/$E$89)+$X$55)), $E174),""),"")), ""),""),"")</f>
        <v/>
      </c>
      <c r="AE174" s="364" t="str">
        <f>IF($X$3="N.B.C.",
IF(ISNUMBER($B$173),
IF($C174&lt;&gt;"",
IF('Cost Inputs'!$L$68="Y",
IF(ISNUMBER($Y$55), $E174+($E$89*(($E174/$E$89)+$Y$55)), $E174),
IF('Cost Inputs'!$L$68="N",
IF(AND(ISNUMBER('Cost Inputs'!$M$68), OR('Cost Inputs'!$M$68=1,'Cost Inputs'!$M$68=2,'Cost Inputs'!$M$68=7)),
IF(ISNUMBER($Y$55), $E174+($E$89*(($E174/$E$89)+$Y$55)), $E174),""),"")), ""),""),"")</f>
        <v/>
      </c>
    </row>
    <row r="175" spans="1:31" x14ac:dyDescent="0.25">
      <c r="A175" s="518"/>
      <c r="B175" s="504"/>
      <c r="C175" s="107" t="str">
        <f>IF(AND(ISNUMBER(B173), OR('Cost Inputs'!$H$69&lt;&gt;"", 'Cost Inputs'!$I$69&lt;&gt;"", 'Cost Inputs'!$J$69&lt;&gt;"")), _3_2_2, "")</f>
        <v/>
      </c>
      <c r="D175" s="93" t="str">
        <f>IF(AND($C175&lt;&gt;"", 'Cost Inputs'!$G$69&lt;&gt;""), 'Cost Inputs'!$G$69, "")</f>
        <v/>
      </c>
      <c r="E175" s="93" t="str">
        <f>IF(AND(C175&lt;&gt;"", 'Cost Inputs'!$H$69&lt;&gt;"", M$170&lt;&gt;"", M$170&gt;0), $E154-('Cost Inputs'!$H$69*M$170), IF(AND(C175&lt;&gt;"", 'Cost Inputs'!$H$69&lt;&gt;""), $E154, ""))</f>
        <v/>
      </c>
      <c r="F175" s="93" t="str">
        <f>IF(AND(C175&lt;&gt;"", 'Cost Inputs'!$I$69&lt;&gt;""), 'Cost Inputs'!$I$69, "")</f>
        <v/>
      </c>
      <c r="G175" s="93" t="str">
        <f t="shared" si="8"/>
        <v/>
      </c>
      <c r="H175" s="93" t="str">
        <f>IF(AND(C175&lt;&gt;"", 'Cost Inputs'!$J$69&lt;&gt;""), 'Cost Inputs'!$J$69, "")</f>
        <v/>
      </c>
      <c r="I175" s="93" t="str">
        <f t="shared" si="7"/>
        <v/>
      </c>
      <c r="J175" s="93" t="str">
        <f>IF(AND(C175&lt;&gt;"",('Cost Inputs'!$I$69+'Cost Inputs'!$J$69+'Cost Inputs'!$K$69)&gt;0), 'Cost Inputs'!$I$69+'Cost Inputs'!$J$69+'Cost Inputs'!$K$69, "")</f>
        <v/>
      </c>
      <c r="K175" s="93" t="str">
        <f>IF(AND(C175&lt;&gt;"", 'Cost Inputs'!$N$69&gt;0),'Cost Inputs'!$N$69,"")</f>
        <v/>
      </c>
      <c r="L175" s="93"/>
      <c r="M175" s="109"/>
      <c r="V175" s="372" t="str">
        <f>IF($O$3="N.B.C.",
IF(ISNUMBER($B$173),
IF($C175&lt;&gt;"",
IF('Cost Inputs'!$L$69="Y",
IF(ISNUMBER($P$55), $E175+($E$89*(($E175/$E$89)+$P$55)), $E175),
IF('Cost Inputs'!$L$69="N",
IF(AND(ISNUMBER('Cost Inputs'!$M$69), OR('Cost Inputs'!$M$69=1,'Cost Inputs'!$M$69=5)),
IF(ISNUMBER($P$55), $E175+($E$89*(($E175/$E$89)+$P$55)), $E175),""),"")), ""),""),"")</f>
        <v/>
      </c>
      <c r="W175" s="372" t="str">
        <f>IF($P$3="N.B.C.",
IF(ISNUMBER($B$173),
IF($C175&lt;&gt;"",
IF('Cost Inputs'!$L$69="Y",
IF(ISNUMBER($Q$55), $E175+($E$89*(($E175/$E$89)+$Q$55)), $E175),
IF('Cost Inputs'!$L$69="N",
IF(AND(ISNUMBER('Cost Inputs'!$M$69), OR('Cost Inputs'!$M$69=1,'Cost Inputs'!$M$69=2,'Cost Inputs'!$M$69=3,'Cost Inputs'!$M$69=6)),
IF(ISNUMBER($Q$55), $E175+($E$89*(($E175/$E$89)+$Q$55)), $E175),""),"")), ""),""),"")</f>
        <v/>
      </c>
      <c r="X175" s="372" t="str">
        <f>IF($Q$3="N.B.C.",
IF(ISNUMBER($B$173),
IF($C175&lt;&gt;"",
IF('Cost Inputs'!$L$69="Y",
IF(ISNUMBER($R$55), $E175+($E$89*(($E175/$E$89)+$R$55)), $E175),
IF('Cost Inputs'!$L$69="N",
IF(AND(ISNUMBER('Cost Inputs'!$M$69), OR('Cost Inputs'!$M$69=1,'Cost Inputs'!$M$69=7)),
IF(ISNUMBER($R$55), $E175+($E$89*(($E175/$E$89)+$R$55)), $E175),""),"")), ""),""),"")</f>
        <v/>
      </c>
      <c r="Y175" s="372" t="str">
        <f>IF($R$3="N.B.C.",
IF(ISNUMBER($B$173),
IF($C175&lt;&gt;"",
IF('Cost Inputs'!$L$69="Y",
IF(ISNUMBER($S$55), $E175+($E$89*(($E175/$E$89)+$S$55)), $E175),
IF('Cost Inputs'!$L$69="N",
IF(AND(ISNUMBER('Cost Inputs'!$M$69), OR('Cost Inputs'!$M$69=1,'Cost Inputs'!$M$69=2,'Cost Inputs'!$M$69=4,'Cost Inputs'!$M$69=8)),
IF(ISNUMBER($S$55), $E175+($E$89*(($E175/$E$89)+$S$55)), $E175),""),"")), ""),""),"")</f>
        <v/>
      </c>
      <c r="Z175" s="372" t="str">
        <f>IF($S$3="N.B.C.",
IF(ISNUMBER($B$173),
IF($C175&lt;&gt;"",
IF('Cost Inputs'!$L$69="Y",
IF(ISNUMBER($T$55), $E175+($E$89*(($E175/$E$89)+$T$55)), $E175),
IF('Cost Inputs'!$L$69="N",
IF(AND(ISNUMBER('Cost Inputs'!$M$69), OR('Cost Inputs'!$M$69=1,'Cost Inputs'!$M$69=3,'Cost Inputs'!$M$69=9)),
IF(ISNUMBER($T$55), $E175+($E$89*(($E175/$E$89)+$T$55)), $E175),""),"")), ""),""),"")</f>
        <v/>
      </c>
      <c r="AA175" s="372" t="str">
        <f>IF($T$3="N.B.C.",
IF(ISNUMBER($B$173),
IF($C175&lt;&gt;"",
IF('Cost Inputs'!$L$69="Y",
IF(ISNUMBER($U$55), $E175+($E$89*(($E175/$E$89)+$U$55)), $E175),
IF('Cost Inputs'!$L$69="N",
IF(AND(ISNUMBER('Cost Inputs'!$M$69), OR('Cost Inputs'!$M$69=1,'Cost Inputs'!$M$69=2,'Cost Inputs'!$M$69=5)),
IF(ISNUMBER($U$55), $E175+($E$89*(($E175/$E$89)+$U$55)), $E175),""),"")), ""),""),"")</f>
        <v/>
      </c>
      <c r="AB175" s="372" t="str">
        <f>IF($U$3="N.B.C.",
IF(ISNUMBER($B$173),
IF($C175&lt;&gt;"",
IF('Cost Inputs'!$L$69="Y",
IF(ISNUMBER($V$55), $E175+($E$89*(($E175/$E$89)+$V$55)), $E175),
IF('Cost Inputs'!$L$69="N",
IF(AND(ISNUMBER('Cost Inputs'!$M$69), OR('Cost Inputs'!$M$69=1)),
IF(ISNUMBER($V$55), $E175+($E$89*(($E175/$E$89)+$V$55)), $E175),""),"")), ""),""),"")</f>
        <v/>
      </c>
      <c r="AC175" s="372" t="str">
        <f>IF($V$3="N.B.C.",
IF(ISNUMBER($B$173),
IF($C175&lt;&gt;"",
IF('Cost Inputs'!$L$69="Y",
IF(ISNUMBER($W$55), $E175+($E$89*(($E175/$E$89)+$W$55)), $E175),
IF('Cost Inputs'!$L$69="N",
IF(AND(ISNUMBER('Cost Inputs'!$M$69), OR('Cost Inputs'!$M$69=1,'Cost Inputs'!$M$69=2,'Cost Inputs'!$M$69=3,'Cost Inputs'!$M$69=4,'Cost Inputs'!$M$69=6)),
IF(ISNUMBER($W$55), $E175+($E$89*(($E175/$E$89)+$W$55)), $E175),""),"")), ""),""),"")</f>
        <v/>
      </c>
      <c r="AD175" s="372" t="str">
        <f>IF($W$3="N.B.C.",
IF(ISNUMBER($B$173),
IF($C175&lt;&gt;"",
IF('Cost Inputs'!$L$69="Y",
IF(ISNUMBER($X$55), $E175+($E$89*(($E175/$E$89)+$X$55)), $E175),
IF('Cost Inputs'!$L$69="N",
IF(AND(ISNUMBER('Cost Inputs'!$M$69), OR('Cost Inputs'!$M$69=1)),
IF(ISNUMBER($X$55), $E175+($E$89*(($E175/$E$89)+$X$55)), $E175),""),"")), ""),""),"")</f>
        <v/>
      </c>
      <c r="AE175" s="372" t="str">
        <f>IF($X$3="N.B.C.",
IF(ISNUMBER($B$173),
IF($C175&lt;&gt;"",
IF('Cost Inputs'!$L$69="Y",
IF(ISNUMBER($Y$55), $E175+($E$89*(($E175/$E$89)+$Y$55)), $E175),
IF('Cost Inputs'!$L$69="N",
IF(AND(ISNUMBER('Cost Inputs'!$M$69), OR('Cost Inputs'!$M$69=1,'Cost Inputs'!$M$69=2,'Cost Inputs'!$M$69=7)),
IF(ISNUMBER($Y$55), $E175+($E$89*(($E175/$E$89)+$Y$55)), $E175),""),"")), ""),""),"")</f>
        <v/>
      </c>
    </row>
    <row r="176" spans="1:31" x14ac:dyDescent="0.25">
      <c r="A176" s="518"/>
      <c r="B176" s="504"/>
      <c r="C176" s="104" t="str">
        <f>IF(AND( ISNUMBER(B173), OR('Cost Inputs'!$H$70&lt;&gt;"", 'Cost Inputs'!$I$70&lt;&gt;"", 'Cost Inputs'!$J$70&lt;&gt;"")), _3_2_3, "")</f>
        <v/>
      </c>
      <c r="D176" s="17" t="str">
        <f>IF(AND($C176&lt;&gt;"", 'Cost Inputs'!$G$70&lt;&gt;""), 'Cost Inputs'!$G$70, "")</f>
        <v/>
      </c>
      <c r="E176" s="17" t="str">
        <f>IF(AND(C176&lt;&gt;"", 'Cost Inputs'!$H$70&lt;&gt;"", M$170&lt;&gt;"", M$170&gt;0), $E155-('Cost Inputs'!$H$70*M$170), IF(AND(C176&lt;&gt;"", 'Cost Inputs'!$H$70&lt;&gt;""), $E155, ""))</f>
        <v/>
      </c>
      <c r="F176" s="17" t="str">
        <f>IF(AND(C176&lt;&gt;"", 'Cost Inputs'!$I$70&lt;&gt;""), 'Cost Inputs'!$I$70, "")</f>
        <v/>
      </c>
      <c r="G176" s="17" t="str">
        <f t="shared" si="8"/>
        <v/>
      </c>
      <c r="H176" s="17" t="str">
        <f>IF(AND(C176&lt;&gt;"", 'Cost Inputs'!$J$70&lt;&gt;""), 'Cost Inputs'!$J$70, "")</f>
        <v/>
      </c>
      <c r="I176" s="17" t="str">
        <f t="shared" si="7"/>
        <v/>
      </c>
      <c r="J176" s="17" t="str">
        <f>IF(AND(C176&lt;&gt;"",('Cost Inputs'!$I$70+'Cost Inputs'!$J$70+'Cost Inputs'!$K$70)&gt;0), 'Cost Inputs'!$I$70+'Cost Inputs'!$J$70+'Cost Inputs'!$K$70, "")</f>
        <v/>
      </c>
      <c r="K176" s="17" t="str">
        <f>IF(AND(C176&lt;&gt;"", 'Cost Inputs'!$N$70&gt;0),'Cost Inputs'!$N$70,"")</f>
        <v/>
      </c>
      <c r="M176" s="106"/>
      <c r="V176" s="364" t="str">
        <f>IF($O$3="N.B.C.",
IF(ISNUMBER($B$173),
IF($C176&lt;&gt;"",
IF('Cost Inputs'!$L$70="Y",
IF(ISNUMBER($P$55), $E176+($E$89*(($E176/$E$89)+$P$55)), $E176),
IF('Cost Inputs'!$L$70="N",
IF(AND(ISNUMBER('Cost Inputs'!$M$70), OR('Cost Inputs'!$M$70=1,'Cost Inputs'!$M$70=5)),
IF(ISNUMBER($P$55), $E176+($E$89*(($E176/$E$89)+$P$55)), $E176),""),"")), ""),""),"")</f>
        <v/>
      </c>
      <c r="W176" s="364" t="str">
        <f>IF($P$3="N.B.C.",
IF(ISNUMBER($B$173),
IF($C176&lt;&gt;"",
IF('Cost Inputs'!$L$70="Y",
IF(ISNUMBER($Q$55), $E176+($E$89*(($E176/$E$89)+$Q$55)), $E176),
IF('Cost Inputs'!$L$70="N",
IF(AND(ISNUMBER('Cost Inputs'!$M$70), OR('Cost Inputs'!$M$70=1,'Cost Inputs'!$M$70=2,'Cost Inputs'!$M$70=3,'Cost Inputs'!$M$70=6)),
IF(ISNUMBER($Q$55), $E176+($E$89*(($E176/$E$89)+$Q$55)), $E176),""),"")), ""),""),"")</f>
        <v/>
      </c>
      <c r="X176" s="364" t="str">
        <f>IF($Q$3="N.B.C.",
IF(ISNUMBER($B$173),
IF($C176&lt;&gt;"",
IF('Cost Inputs'!$L$70="Y",
IF(ISNUMBER($R$55), $E176+($E$89*(($E176/$E$89)+$R$55)), $E176),
IF('Cost Inputs'!$L$70="N",
IF(AND(ISNUMBER('Cost Inputs'!$M$70), OR('Cost Inputs'!$M$70=1,'Cost Inputs'!$M$70=7)),
IF(ISNUMBER($R$55), $E176+($E$89*(($E176/$E$89)+$R$55)), $E176),""),"")), ""),""),"")</f>
        <v/>
      </c>
      <c r="Y176" s="364" t="str">
        <f>IF($R$3="N.B.C.",
IF(ISNUMBER($B$173),
IF($C176&lt;&gt;"",
IF('Cost Inputs'!$L$70="Y",
IF(ISNUMBER($S$55), $E176+($E$89*(($E176/$E$89)+$S$55)), $E176),
IF('Cost Inputs'!$L$70="N",
IF(AND(ISNUMBER('Cost Inputs'!$M$70), OR('Cost Inputs'!$M$70=1,'Cost Inputs'!$M$70=2,'Cost Inputs'!$M$70=4,'Cost Inputs'!$M$70=8)),
IF(ISNUMBER($S$55), $E176+($E$89*(($E176/$E$89)+$S$55)), $E176),""),"")), ""),""),"")</f>
        <v/>
      </c>
      <c r="Z176" s="364" t="str">
        <f>IF($S$3="N.B.C.",
IF(ISNUMBER($B$173),
IF($C176&lt;&gt;"",
IF('Cost Inputs'!$L$70="Y",
IF(ISNUMBER($T$55), $E176+($E$89*(($E176/$E$89)+$T$55)), $E176),
IF('Cost Inputs'!$L$70="N",
IF(AND(ISNUMBER('Cost Inputs'!$M$70), OR('Cost Inputs'!$M$70=1,'Cost Inputs'!$M$70=3,'Cost Inputs'!$M$70=9)),
IF(ISNUMBER($T$55), $E176+($E$89*(($E176/$E$89)+$T$55)), $E176),""),"")), ""),""),"")</f>
        <v/>
      </c>
      <c r="AA176" s="364" t="str">
        <f>IF($T$3="N.B.C.",
IF(ISNUMBER($B$173),
IF($C176&lt;&gt;"",
IF('Cost Inputs'!$L$70="Y",
IF(ISNUMBER($U$55), $E176+($E$89*(($E176/$E$89)+$U$55)), $E176),
IF('Cost Inputs'!$L$70="N",
IF(AND(ISNUMBER('Cost Inputs'!$M$70), OR('Cost Inputs'!$M$70=1,'Cost Inputs'!$M$70=2,'Cost Inputs'!$M$70=5)),
IF(ISNUMBER($U$55), $E176+($E$89*(($E176/$E$89)+$U$55)), $E176),""),"")), ""),""),"")</f>
        <v/>
      </c>
      <c r="AB176" s="364" t="str">
        <f>IF($U$3="N.B.C.",
IF(ISNUMBER($B$173),
IF($C176&lt;&gt;"",
IF('Cost Inputs'!$L$70="Y",
IF(ISNUMBER($V$55), $E176+($E$89*(($E176/$E$89)+$V$55)), $E176),
IF('Cost Inputs'!$L$70="N",
IF(AND(ISNUMBER('Cost Inputs'!$M$70), OR('Cost Inputs'!$M$70=1)),
IF(ISNUMBER($V$55), $E176+($E$89*(($E176/$E$89)+$V$55)), $E176),""),"")), ""),""),"")</f>
        <v/>
      </c>
      <c r="AC176" s="364" t="str">
        <f>IF($V$3="N.B.C.",
IF(ISNUMBER($B$173),
IF($C176&lt;&gt;"",
IF('Cost Inputs'!$L$70="Y",
IF(ISNUMBER($W$55), $E176+($E$89*(($E176/$E$89)+$W$55)), $E176),
IF('Cost Inputs'!$L$70="N",
IF(AND(ISNUMBER('Cost Inputs'!$M$70), OR('Cost Inputs'!$M$70=1,'Cost Inputs'!$M$70=2,'Cost Inputs'!$M$70=3,'Cost Inputs'!$M$70=4,'Cost Inputs'!$M$70=6)),
IF(ISNUMBER($W$55), $E176+($E$89*(($E176/$E$89)+$W$55)), $E176),""),"")), ""),""),"")</f>
        <v/>
      </c>
      <c r="AD176" s="364" t="str">
        <f>IF($W$3="N.B.C.",
IF(ISNUMBER($B$173),
IF($C176&lt;&gt;"",
IF('Cost Inputs'!$L$70="Y",
IF(ISNUMBER($X$55), $E176+($E$89*(($E176/$E$89)+$X$55)), $E176),
IF('Cost Inputs'!$L$70="N",
IF(AND(ISNUMBER('Cost Inputs'!$M$70), OR('Cost Inputs'!$M$70=1)),
IF(ISNUMBER($X$55), $E176+($E$89*(($E176/$E$89)+$X$55)), $E176),""),"")), ""),""),"")</f>
        <v/>
      </c>
      <c r="AE176" s="364" t="str">
        <f>IF($X$3="N.B.C.",
IF(ISNUMBER($B$173),
IF($C176&lt;&gt;"",
IF('Cost Inputs'!$L$70="Y",
IF(ISNUMBER($Y$55), $E176+($E$89*(($E176/$E$89)+$Y$55)), $E176),
IF('Cost Inputs'!$L$70="N",
IF(AND(ISNUMBER('Cost Inputs'!$M$70), OR('Cost Inputs'!$M$70=1,'Cost Inputs'!$M$70=2,'Cost Inputs'!$M$70=7)),
IF(ISNUMBER($Y$55), $E176+($E$89*(($E176/$E$89)+$Y$55)), $E176),""),"")), ""),""),"")</f>
        <v/>
      </c>
    </row>
    <row r="177" spans="1:31" x14ac:dyDescent="0.25">
      <c r="A177" s="518"/>
      <c r="B177" s="504"/>
      <c r="C177" s="107" t="str">
        <f>IF(AND( ISNUMBER(B173), OR('Cost Inputs'!$H$71&lt;&gt;"", 'Cost Inputs'!$I$71&lt;&gt;"", 'Cost Inputs'!$J$71&lt;&gt;"")), _3_2_4, "")</f>
        <v/>
      </c>
      <c r="D177" s="93" t="str">
        <f>IF(AND($C177&lt;&gt;"", 'Cost Inputs'!$G$71&lt;&gt;""), 'Cost Inputs'!$G$71, "")</f>
        <v/>
      </c>
      <c r="E177" s="93" t="str">
        <f>IF(AND(C177&lt;&gt;"", 'Cost Inputs'!$H$71&lt;&gt;"", M$170&lt;&gt;"", M$170&gt;0), $E156-('Cost Inputs'!$H$71*M$170), IF(AND(C177&lt;&gt;"", 'Cost Inputs'!$H$71&lt;&gt;""), $E156, ""))</f>
        <v/>
      </c>
      <c r="F177" s="93" t="str">
        <f>IF(AND(C177&lt;&gt;"", 'Cost Inputs'!$I$71&lt;&gt;""), 'Cost Inputs'!$I$71, "")</f>
        <v/>
      </c>
      <c r="G177" s="93" t="str">
        <f t="shared" si="8"/>
        <v/>
      </c>
      <c r="H177" s="93" t="str">
        <f>IF(AND(C177&lt;&gt;"", 'Cost Inputs'!$J$71&lt;&gt;""), 'Cost Inputs'!$J$71, "")</f>
        <v/>
      </c>
      <c r="I177" s="93" t="str">
        <f t="shared" si="7"/>
        <v/>
      </c>
      <c r="J177" s="93" t="str">
        <f>IF(AND(C177&lt;&gt;"",('Cost Inputs'!$I$71+'Cost Inputs'!$J$71+'Cost Inputs'!$K$71)&gt;0), 'Cost Inputs'!$I$71+'Cost Inputs'!$J$71+'Cost Inputs'!$K$71, "")</f>
        <v/>
      </c>
      <c r="K177" s="93" t="str">
        <f>IF(AND(C177&lt;&gt;"", 'Cost Inputs'!$N$71&gt;0),'Cost Inputs'!$N$71,"")</f>
        <v/>
      </c>
      <c r="L177" s="93"/>
      <c r="M177" s="109"/>
      <c r="V177" s="372" t="str">
        <f>IF($O$3="N.B.C.",
IF(ISNUMBER($B$173),
IF($C177&lt;&gt;"",
IF('Cost Inputs'!$L$71="Y",
IF(ISNUMBER($P$55), $E177+($E$89*(($E177/$E$89)+$P$55)), $E177),
IF('Cost Inputs'!$L$71="N",
IF(AND(ISNUMBER('Cost Inputs'!$M$71), OR('Cost Inputs'!$M$71=1,'Cost Inputs'!$M$71=5)),
IF(ISNUMBER($P$55), $E177+($E$89*(($E177/$E$89)+$P$55)), $E177),""),"")), ""),""),"")</f>
        <v/>
      </c>
      <c r="W177" s="372" t="str">
        <f>IF($P$3="N.B.C.",
IF(ISNUMBER($B$173),
IF($C177&lt;&gt;"",
IF('Cost Inputs'!$L$71="Y",
IF(ISNUMBER($Q$55), $E177+($E$89*(($E177/$E$89)+$Q$55)), $E177),
IF('Cost Inputs'!$L$71="N",
IF(AND(ISNUMBER('Cost Inputs'!$M$71), OR('Cost Inputs'!$M$71=1,'Cost Inputs'!$M$71=2,'Cost Inputs'!$M$71=3,'Cost Inputs'!$M$71=6)),
IF(ISNUMBER($Q$55), $E177+($E$89*(($E177/$E$89)+$Q$55)), $E177),""),"")), ""),""),"")</f>
        <v/>
      </c>
      <c r="X177" s="372" t="str">
        <f>IF($Q$3="N.B.C.",
IF(ISNUMBER($B$173),
IF($C177&lt;&gt;"",
IF('Cost Inputs'!$L$71="Y",
IF(ISNUMBER($R$55), $E177+($E$89*(($E177/$E$89)+$R$55)), $E177),
IF('Cost Inputs'!$L$71="N",
IF(AND(ISNUMBER('Cost Inputs'!$M$71), OR('Cost Inputs'!$M$71=1,'Cost Inputs'!$M$71=7)),
IF(ISNUMBER($R$55), $E177+($E$89*(($E177/$E$89)+$R$55)), $E177),""),"")), ""),""),"")</f>
        <v/>
      </c>
      <c r="Y177" s="372" t="str">
        <f>IF($R$3="N.B.C.",
IF(ISNUMBER($B$173),
IF($C177&lt;&gt;"",
IF('Cost Inputs'!$L$71="Y",
IF(ISNUMBER($S$55), $E177+($E$89*(($E177/$E$89)+$S$55)), $E177),
IF('Cost Inputs'!$L$71="N",
IF(AND(ISNUMBER('Cost Inputs'!$M$71), OR('Cost Inputs'!$M$71=1,'Cost Inputs'!$M$71=2,'Cost Inputs'!$M$71=4,'Cost Inputs'!$M$71=8)),
IF(ISNUMBER($S$55), $E177+($E$89*(($E177/$E$89)+$S$55)), $E177),""),"")), ""),""),"")</f>
        <v/>
      </c>
      <c r="Z177" s="372" t="str">
        <f>IF($S$3="N.B.C.",
IF(ISNUMBER($B$173),
IF($C177&lt;&gt;"",
IF('Cost Inputs'!$L$71="Y",
IF(ISNUMBER($T$55), $E177+($E$89*(($E177/$E$89)+$T$55)), $E177),
IF('Cost Inputs'!$L$71="N",
IF(AND(ISNUMBER('Cost Inputs'!$M$71), OR('Cost Inputs'!$M$71=1,'Cost Inputs'!$M$71=3,'Cost Inputs'!$M$71=9)),
IF(ISNUMBER($T$55), $E177+($E$89*(($E177/$E$89)+$T$55)), $E177),""),"")), ""),""),"")</f>
        <v/>
      </c>
      <c r="AA177" s="372" t="str">
        <f>IF($T$3="N.B.C.",
IF(ISNUMBER($B$173),
IF($C177&lt;&gt;"",
IF('Cost Inputs'!$L$71="Y",
IF(ISNUMBER($U$55), $E177+($E$89*(($E177/$E$89)+$U$55)), $E177),
IF('Cost Inputs'!$L$71="N",
IF(AND(ISNUMBER('Cost Inputs'!$M$71), OR('Cost Inputs'!$M$71=1,'Cost Inputs'!$M$71=2,'Cost Inputs'!$M$71=5)),
IF(ISNUMBER($U$55), $E177+($E$89*(($E177/$E$89)+$U$55)), $E177),""),"")), ""),""),"")</f>
        <v/>
      </c>
      <c r="AB177" s="372" t="str">
        <f>IF($U$3="N.B.C.",
IF(ISNUMBER($B$173),
IF($C177&lt;&gt;"",
IF('Cost Inputs'!$L$71="Y",
IF(ISNUMBER($V$55), $E177+($E$89*(($E177/$E$89)+$V$55)), $E177),
IF('Cost Inputs'!$L$71="N",
IF(AND(ISNUMBER('Cost Inputs'!$M$71), OR('Cost Inputs'!$M$71=1)),
IF(ISNUMBER($V$55), $E177+($E$89*(($E177/$E$89)+$V$55)), $E177),""),"")), ""),""),"")</f>
        <v/>
      </c>
      <c r="AC177" s="372" t="str">
        <f>IF($V$3="N.B.C.",
IF(ISNUMBER($B$173),
IF($C177&lt;&gt;"",
IF('Cost Inputs'!$L$71="Y",
IF(ISNUMBER($W$55), $E177+($E$89*(($E177/$E$89)+$W$55)), $E177),
IF('Cost Inputs'!$L$71="N",
IF(AND(ISNUMBER('Cost Inputs'!$M$71), OR('Cost Inputs'!$M$71=1,'Cost Inputs'!$M$71=2,'Cost Inputs'!$M$71=3,'Cost Inputs'!$M$71=4,'Cost Inputs'!$M$71=6)),
IF(ISNUMBER($W$55), $E177+($E$89*(($E177/$E$89)+$W$55)), $E177),""),"")), ""),""),"")</f>
        <v/>
      </c>
      <c r="AD177" s="372" t="str">
        <f>IF($W$3="N.B.C.",
IF(ISNUMBER($B$173),
IF($C177&lt;&gt;"",
IF('Cost Inputs'!$L$71="Y",
IF(ISNUMBER($X$55), $E177+($E$89*(($E177/$E$89)+$X$55)), $E177),
IF('Cost Inputs'!$L$71="N",
IF(AND(ISNUMBER('Cost Inputs'!$M$71), OR('Cost Inputs'!$M$71=1)),
IF(ISNUMBER($X$55), $E177+($E$89*(($E177/$E$89)+$X$55)), $E177),""),"")), ""),""),"")</f>
        <v/>
      </c>
      <c r="AE177" s="372" t="str">
        <f>IF($X$3="N.B.C.",
IF(ISNUMBER($B$173),
IF($C177&lt;&gt;"",
IF('Cost Inputs'!$L$71="Y",
IF(ISNUMBER($Y$55), $E177+($E$89*(($E177/$E$89)+$Y$55)), $E177),
IF('Cost Inputs'!$L$71="N",
IF(AND(ISNUMBER('Cost Inputs'!$M$71), OR('Cost Inputs'!$M$71=1,'Cost Inputs'!$M$71=2,'Cost Inputs'!$M$71=7)),
IF(ISNUMBER($Y$55), $E177+($E$89*(($E177/$E$89)+$Y$55)), $E177),""),"")), ""),""),"")</f>
        <v/>
      </c>
    </row>
    <row r="178" spans="1:31" x14ac:dyDescent="0.25">
      <c r="A178" s="518"/>
      <c r="B178" s="504"/>
      <c r="C178" s="110" t="str">
        <f>IF(AND(B173&lt;&gt;"", ISNUMBER(Stage1EvaluationBegins)), IF((INDEX(ProgramYearStage1,MATCH(Stage1EvaluationBegins,Years_in_Stage1,0)))=B173, _3_3_0, IF(AND(B173&lt;&gt;"", C157&lt;&gt;""), _3_3_0, IF(AND(B173&lt;&gt;"", OR(Stage1EvaluationBegins=0, Stage1EvaluationBegins="")),"", ""))),"")</f>
        <v/>
      </c>
      <c r="D178" s="94" t="str">
        <f>IF(AND(B173&lt;&gt;"", OR('Cost Inputs'!$H$72&lt;&gt;"", 'Cost Inputs'!$I$72&lt;&gt;"", 'Cost Inputs'!$J$72&lt;&gt;"")), 'Cost Inputs'!$G$72,"")</f>
        <v/>
      </c>
      <c r="E178" s="94" t="str">
        <f>IF(AND(C178&lt;&gt;"", 'Cost Inputs'!$H$72&lt;&gt;""), 'Cost Inputs'!$H$72, "")</f>
        <v/>
      </c>
      <c r="F178" s="94" t="str">
        <f>IF(AND(C178&lt;&gt;"", 'Cost Inputs'!$I$72&lt;&gt;""), 'Cost Inputs'!$I$72, "")</f>
        <v/>
      </c>
      <c r="G178" s="94" t="str">
        <f t="shared" si="8"/>
        <v/>
      </c>
      <c r="H178" s="94" t="str">
        <f>IF(AND(C178&lt;&gt;"", 'Cost Inputs'!$J$72&lt;&gt;""), 'Cost Inputs'!$J$72, "")</f>
        <v/>
      </c>
      <c r="I178" s="94" t="str">
        <f>IF(AND($E178&lt;&gt;"", $H178&lt;&gt;""), $H178/$E178, "")</f>
        <v/>
      </c>
      <c r="J178" s="94" t="str">
        <f>IF(AND(C178&lt;&gt;"",('Cost Inputs'!$I$72+'Cost Inputs'!$J$72+'Cost Inputs'!$K$72)&gt;0), 'Cost Inputs'!$I$72+'Cost Inputs'!$J$72+'Cost Inputs'!$K$72, "")</f>
        <v/>
      </c>
      <c r="K178" s="94" t="str">
        <f>IF(AND(C178&lt;&gt;"", 'Cost Inputs'!$N$72&gt;0),'Cost Inputs'!$N$72,"")</f>
        <v/>
      </c>
      <c r="L178" s="130" t="str">
        <f>IF(AND($B173&lt;&gt;"", ISNUMBER(Stage1EvaluationBegins)), IF((INDEX(ProgramYearStage1,MATCH(Stage1EvaluationBegins,Years_in_Stage1,0)))=$B173, INDEX(Stage1Evaluation,MATCH(Stage1EvaluationBegins,Years_in_Stage1,0)), IF(AND($B173&lt;&gt;"", $C157&lt;&gt;""), INDEX(Stage1Evaluation,MATCH($B173,ProgramYearStage1,0)), IF(AND(B173&lt;&gt;"", OR(Stage1EvaluationBegins=0, Stage1EvaluationBegins="")),"", ""))),"")</f>
        <v/>
      </c>
      <c r="M178" s="103"/>
      <c r="V178" s="373" t="str">
        <f>IF($O$3="N.B.C.",
IF(ISNUMBER($B$173),
IF($C178&lt;&gt;"",
IF('Cost Inputs'!$L$72="Y",
IF(AND(ISNUMBER(P$56), P$56&gt;$E$60), $E178+($E$60*(($E178/$E$60)+$P$55)), $E178),
IF('Cost Inputs'!$L$72="N",
IF(AND(ISNUMBER('Cost Inputs'!$M$72), OR('Cost Inputs'!$M$72=1,'Cost Inputs'!$M$72=5)),
IF(AND(ISNUMBER(P$56), P$56&gt;$E$60), $E178+($E$60*(($E178/$E$60)+$P$55)), $E178), ""),"")), ""), ""), "")</f>
        <v/>
      </c>
      <c r="W178" s="373" t="str">
        <f>IF($P$3="N.B.C.",
IF(ISNUMBER($B$173),
IF($C178&lt;&gt;"",
IF('Cost Inputs'!$L$72="Y",
IF(AND(ISNUMBER(Q$56), Q$56&gt;$E$60), $E178+($E$60*(($E178/$E$60)+$Q$55)), $E178),
IF('Cost Inputs'!$L$72="N",
IF(AND(ISNUMBER('Cost Inputs'!$M$72), OR('Cost Inputs'!$M$72=1,'Cost Inputs'!$M$72=2, 'Cost Inputs'!$M$72=3,'Cost Inputs'!$M$72=6)),
IF(AND(ISNUMBER(Q$56), Q$56&gt;$E$60), $E178+($E$60*(($E178/$E$60)+$Q$55)), $E178), ""),"")), ""), ""), "")</f>
        <v/>
      </c>
      <c r="X178" s="373" t="str">
        <f>IF($Q$3="N.B.C.",
IF(ISNUMBER($B$173),
IF($C178&lt;&gt;"",
IF('Cost Inputs'!$L$72="Y",
IF(AND(ISNUMBER(R$56), R$56&gt;$E$60), $E178+($E$60*(($E178/$E$60)+$R$55)), $E178),
IF('Cost Inputs'!$L$72="N",
IF(AND(ISNUMBER('Cost Inputs'!$M$72), OR('Cost Inputs'!$M$72=1,'Cost Inputs'!$M$72=7)),
IF(AND(ISNUMBER(R$56), R$56&gt;$E$60), $E178+($E$60*(($E178/$E$60)+$R$55)), $E178), ""),"")), ""), ""), "")</f>
        <v/>
      </c>
      <c r="Y178" s="373" t="str">
        <f>IF($R$3="N.B.C.",
IF(ISNUMBER($B$173),
IF($C178&lt;&gt;"",
IF('Cost Inputs'!$L$72="Y",
IF(AND(ISNUMBER(S$56), S$56&gt;$E$60), $E178+($E$60*(($E178/$E$60)+$S$55)), $E178),
IF('Cost Inputs'!$L$72="N",
IF(AND(ISNUMBER('Cost Inputs'!$M$72), OR('Cost Inputs'!$M$72=1,'Cost Inputs'!$M$72=2,'Cost Inputs'!$M$72=4,'Cost Inputs'!$M$72=8)),
IF(AND(ISNUMBER(S$56), S$56&gt;$E$60), $E178+($E$60*(($E178/$E$60)+$S$55)), $E178), ""),"")), ""), ""), "")</f>
        <v/>
      </c>
      <c r="Z178" s="373" t="str">
        <f>IF($S$3="N.B.C.",
IF(ISNUMBER($B$173),
IF($C178&lt;&gt;"",
IF('Cost Inputs'!$L$72="Y",
IF(AND(ISNUMBER(T$56), T$56&gt;$E$60), $E178+($E$60*(($E178/$E$60)+$T$55)), $E178),
IF('Cost Inputs'!$L$72="N",
IF(AND(ISNUMBER('Cost Inputs'!$M$72), OR('Cost Inputs'!$M$72=1,'Cost Inputs'!$M$72=3, 'Cost Inputs'!$M$72=9)),
IF(AND(ISNUMBER(T$56), T$56&gt;$E$60), $E178+($E$60*(($E178/$E$60)+$T$55)), $E178), ""),"")), ""), ""), "")</f>
        <v/>
      </c>
      <c r="AA178" s="373" t="str">
        <f>IF($T$3="N.B.C.",
IF(ISNUMBER($B$173),
IF($C178&lt;&gt;"",
IF('Cost Inputs'!$L$72="Y",
IF(AND(ISNUMBER(U$56), U$56&gt;$E$60), $E178+($E$60*(($E178/$E$60)+$U$55)), $E178),
IF('Cost Inputs'!$L$72="N",
IF(AND(ISNUMBER('Cost Inputs'!$M$72), OR('Cost Inputs'!$M$72=1,'Cost Inputs'!$M$72=2, 'Cost Inputs'!$M$72=5)),
IF(AND(ISNUMBER(U$56), U$56&gt;$E$60), $E178+($E$60*(($E178/$E$60)+$U$55)), $E178), ""),"")), ""), ""), "")</f>
        <v/>
      </c>
      <c r="AB178" s="373" t="str">
        <f>IF($U$3="N.B.C.",
IF(ISNUMBER($B$173),
IF($C178&lt;&gt;"",
IF('Cost Inputs'!$L$72="Y",
IF(AND(ISNUMBER(V$56), V$56&gt;$E$60), $E178+($E$60*(($E178/$E$60)+$V$55)), $E178),
IF('Cost Inputs'!$L$72="N",
IF(AND(ISNUMBER('Cost Inputs'!$M$72), OR('Cost Inputs'!$M$72=1)),
IF(AND(ISNUMBER(V$56), V$56&gt;$E$60), $E178+($E$60*(($E178/$E$60)+$V$55)), $E178), ""),"")), ""), ""), "")</f>
        <v/>
      </c>
      <c r="AC178" s="373" t="str">
        <f>IF($V$3="N.B.C.",
IF(ISNUMBER($B$173),
IF($C178&lt;&gt;"",
IF('Cost Inputs'!$L$72="Y",
IF(AND(ISNUMBER(W$56), W$56&gt;$E$60), $E178+($E$60*(($E178/$E$60)+$W$55)), $E178),
IF('Cost Inputs'!$L$72="N",
IF(AND(ISNUMBER('Cost Inputs'!$M$72), OR('Cost Inputs'!$M$72=1,'Cost Inputs'!$M$72=2,'Cost Inputs'!$M$72=3,'Cost Inputs'!$M$72=4,'Cost Inputs'!$M$72=6)),
IF(AND(ISNUMBER(W$56), W$56&gt;$E$60), $E178+($E$60*(($E178/$E$60)+$W$55)), $E178), ""),"")), ""), ""), "")</f>
        <v/>
      </c>
      <c r="AD178" s="373" t="str">
        <f>IF($W$3="N.B.C.",
IF(ISNUMBER($B$173),
IF($C178&lt;&gt;"",
IF('Cost Inputs'!$L$72="Y",
IF(AND(ISNUMBER(X$56), X$56&gt;$E$60), $E178+($E$60*(($E178/$E$60)+$X$55)), $E178),
IF('Cost Inputs'!$L$72="N",
IF(AND(ISNUMBER('Cost Inputs'!$M$72), OR('Cost Inputs'!$M$72=1)),
IF(AND(ISNUMBER(X$56), X$56&gt;$E$60), $E178+($E$60*(($E178/$E$60)+$X$55)), $E178), ""),"")), ""), ""), "")</f>
        <v/>
      </c>
      <c r="AE178" s="373" t="str">
        <f>IF($X$3="N.B.C.",
IF(ISNUMBER($B$173),
IF($C178&lt;&gt;"",
IF('Cost Inputs'!$L$72="Y",
IF(AND(ISNUMBER(Y$56), Y$56&gt;$E$60), $E178+($E$60*(($E178/$E$60)+$Y$55)), $E178),
IF('Cost Inputs'!$L$72="N",
IF(AND(ISNUMBER('Cost Inputs'!$M$72), OR('Cost Inputs'!$M$72=1,'Cost Inputs'!$M$72=2,'Cost Inputs'!$M$72=7)),
IF(AND(ISNUMBER(Y$56), Y$56&gt;$E$60), $E178+($E$60*(($E178/$E$60)+$Y$55)), $E178), ""),"")), ""), ""), "")</f>
        <v/>
      </c>
    </row>
    <row r="179" spans="1:31" x14ac:dyDescent="0.25">
      <c r="A179" s="518"/>
      <c r="B179" s="504"/>
      <c r="C179" s="104" t="str">
        <f>IF(AND(ISNUMBER(B173), C178&lt;&gt;"", OR('Cost Inputs'!$H$73&lt;&gt;"", 'Cost Inputs'!$I$73&lt;&gt;"", 'Cost Inputs'!$J$73&lt;&gt;"")), _3_3_1, "")</f>
        <v/>
      </c>
      <c r="D179" s="17" t="str">
        <f>IF(AND(C179&lt;&gt;"", 'Cost Inputs'!$G$73&lt;&gt;""), 'Cost Inputs'!$G$73, "")</f>
        <v/>
      </c>
      <c r="E179" s="17" t="str">
        <f>IF(AND(C179&lt;&gt;"", 'Cost Inputs'!$H$73&lt;&gt;""), 'Cost Inputs'!$H$73, "")</f>
        <v/>
      </c>
      <c r="F179" s="17" t="str">
        <f>IF(AND(C179&lt;&gt;"", 'Cost Inputs'!$I$73&lt;&gt;""), 'Cost Inputs'!$I$73, "")</f>
        <v/>
      </c>
      <c r="G179" s="17" t="str">
        <f t="shared" si="8"/>
        <v/>
      </c>
      <c r="H179" s="17" t="str">
        <f>IF(AND(C179&lt;&gt;"", 'Cost Inputs'!$J$73&lt;&gt;""), 'Cost Inputs'!$J$73, "")</f>
        <v/>
      </c>
      <c r="I179" s="17" t="str">
        <f t="shared" si="7"/>
        <v/>
      </c>
      <c r="J179" s="17" t="str">
        <f>IF(AND(C179&lt;&gt;"",('Cost Inputs'!$I$73+'Cost Inputs'!$J$73+'Cost Inputs'!$K$73)&gt;0), 'Cost Inputs'!$I$73+'Cost Inputs'!$J$73+'Cost Inputs'!$K$73, "")</f>
        <v/>
      </c>
      <c r="K179" s="17" t="str">
        <f>IF(AND(C179&lt;&gt;"", 'Cost Inputs'!$N$73&gt;0),'Cost Inputs'!$N$73,"")</f>
        <v/>
      </c>
      <c r="M179" s="106"/>
      <c r="V179" s="364" t="str">
        <f>IF($O$3="N.B.C.",
IF(ISNUMBER($B$173),
IF($C179&lt;&gt;"",
IF('Cost Inputs'!$L$73="Y",
IF(ISNUMBER($P$55), $E179+($E$73*(($E179/$E$73)+$P$55)), $E179),
IF('Cost Inputs'!$L$73="N",
IF(AND(ISNUMBER('Cost Inputs'!$M$73), OR('Cost Inputs'!$M$73=1,'Cost Inputs'!$M$73=5)),
IF(ISNUMBER($P$55), $E179+($E$73*(($E179/$E$73)+$P$55)), $E179),""),"")), ""),""),"")</f>
        <v/>
      </c>
      <c r="W179" s="364" t="str">
        <f>IF($P$3="N.B.C.",
IF(ISNUMBER($B$173),
IF($C179&lt;&gt;"",
IF('Cost Inputs'!$L$73="Y",
IF(ISNUMBER($Q$55), $E179+($E$73*(($E179/$E$73)+$Q$55)), $E179),
IF('Cost Inputs'!$L$73="N",
IF(AND(ISNUMBER('Cost Inputs'!$M$73), OR('Cost Inputs'!$M$73=1,'Cost Inputs'!$M$73=2,'Cost Inputs'!$M$73=3,'Cost Inputs'!$M$73=6)),
IF(ISNUMBER($Q$55), $E179+($E$73*(($E179/$E$73)+$Q$55)), $E179),""),"")), ""),""),"")</f>
        <v/>
      </c>
      <c r="X179" s="364" t="str">
        <f>IF($Q$3="N.B.C.",
IF(ISNUMBER($B$173),
IF($C179&lt;&gt;"",
IF('Cost Inputs'!$L$73="Y",
IF(ISNUMBER($R$55), $E179+($E$73*(($E179/$E$73)+$R$55)), $E179),
IF('Cost Inputs'!$L$73="N",
IF(AND(ISNUMBER('Cost Inputs'!$M$73), OR('Cost Inputs'!$M$73=1,'Cost Inputs'!$M$73=7)),
IF(ISNUMBER($R$55), $E179+($E$73*(($E179/$E$73)+$R$55)), $E179),""),"")), ""),""),"")</f>
        <v/>
      </c>
      <c r="Y179" s="364" t="str">
        <f>IF($R$3="N.B.C.",
IF(ISNUMBER($B$173),
IF($C179&lt;&gt;"",
IF('Cost Inputs'!$L$73="Y",
IF(ISNUMBER($S$55), $E179+($E$73*(($E179/$E$73)+$S$55)), $E179),
IF('Cost Inputs'!$L$73="N",
IF(AND(ISNUMBER('Cost Inputs'!$M$73), OR('Cost Inputs'!$M$73=1,'Cost Inputs'!$M$73=2,'Cost Inputs'!$M$73=4,'Cost Inputs'!$M$73=8)),
IF(ISNUMBER($S$55), $E179+($E$73*(($E179/$E$73)+$S$55)), $E179),""),"")), ""),""),"")</f>
        <v/>
      </c>
      <c r="Z179" s="364" t="str">
        <f>IF($S$3="N.B.C.",
IF(ISNUMBER($B$173),
IF($C179&lt;&gt;"",
IF('Cost Inputs'!$L$73="Y",
IF(ISNUMBER($T$55), $E179+($E$73*(($E179/$E$73)+$T$55)), $E179),
IF('Cost Inputs'!$L$73="N",
IF(AND(ISNUMBER('Cost Inputs'!$M$73), OR('Cost Inputs'!$M$73=1,'Cost Inputs'!$M$73=3,'Cost Inputs'!$M$73=9)),
IF(ISNUMBER($T$55), $E179+($E$73*(($E179/$E$73)+$T$55)), $E179),""),"")), ""),""),"")</f>
        <v/>
      </c>
      <c r="AA179" s="364" t="str">
        <f>IF($T$3="N.B.C.",
IF(ISNUMBER($B$173),
IF($C179&lt;&gt;"",
IF('Cost Inputs'!$L$73="Y",
IF(ISNUMBER($U$55), $E179+($E$73*(($E179/$E$73)+$U$55)), $E179),
IF('Cost Inputs'!$L$73="N",
IF(AND(ISNUMBER('Cost Inputs'!$M$73), OR('Cost Inputs'!$M$73=1,'Cost Inputs'!$M$73=2,'Cost Inputs'!$M$73=5)),
IF(ISNUMBER($U$55), $E179+($E$73*(($E179/$E$73)+$U$55)), $E179),""),"")), ""),""),"")</f>
        <v/>
      </c>
      <c r="AB179" s="364" t="str">
        <f>IF($U$3="N.B.C.",
IF(ISNUMBER($B$173),
IF($C179&lt;&gt;"",
IF('Cost Inputs'!$L$73="Y",
IF(ISNUMBER($V$55), $E179+($E$73*(($E179/$E$73)+$V$55)), $E179),
IF('Cost Inputs'!$L$73="N",
IF(AND(ISNUMBER('Cost Inputs'!$M$73), OR('Cost Inputs'!$M$73=1)),
IF(ISNUMBER($V$55), $E179+($E$73*(($E179/$E$73)+$V$55)), $E179),""),"")), ""),""),"")</f>
        <v/>
      </c>
      <c r="AC179" s="364" t="str">
        <f>IF($V$3="N.B.C.",
IF(ISNUMBER($B$173),
IF($C179&lt;&gt;"",
IF('Cost Inputs'!$L$73="Y",
IF(ISNUMBER($W$55), $E179+($E$73*(($E179/$E$73)+$W$55)), $E179),
IF('Cost Inputs'!$L$73="N",
IF(AND(ISNUMBER('Cost Inputs'!$M$73), OR('Cost Inputs'!$M$73=1,'Cost Inputs'!$M$73=2,'Cost Inputs'!$M$73=3,'Cost Inputs'!$M$73=4,'Cost Inputs'!$M$73=6)),
IF(ISNUMBER($W$55), $E179+($E$73*(($E179/$E$73)+$W$55)), $E179),""),"")), ""),""),"")</f>
        <v/>
      </c>
      <c r="AD179" s="364" t="str">
        <f>IF($W$3="N.B.C.",
IF(ISNUMBER($B$173),
IF($C179&lt;&gt;"",
IF('Cost Inputs'!$L$73="Y",
IF(ISNUMBER($X$55), $E179+($E$73*(($E179/$E$73)+$X$55)), $E179),
IF('Cost Inputs'!$L$73="N",
IF(AND(ISNUMBER('Cost Inputs'!$M$73), OR('Cost Inputs'!$M$73=1)),
IF(ISNUMBER($X$55), $E179+($E$73*(($E179/$E$73)+$X$55)), $E179),""),"")), ""),""),"")</f>
        <v/>
      </c>
      <c r="AE179" s="364" t="str">
        <f>IF($X$3="N.B.C.",
IF(ISNUMBER($B$173),
IF($C179&lt;&gt;"",
IF('Cost Inputs'!$L$73="Y",
IF(ISNUMBER($Y$55), $E179+($E$73*(($E179/$E$73)+$Y$55)), $E179),
IF('Cost Inputs'!$L$73="N",
IF(AND(ISNUMBER('Cost Inputs'!$M$73), OR('Cost Inputs'!$M$73=1,'Cost Inputs'!$M$73=2,'Cost Inputs'!$M$73=7)),
IF(ISNUMBER($Y$55), $E179+($E$73*(($E179/$E$73)+$Y$55)), $E179),""),"")), ""),""),"")</f>
        <v/>
      </c>
    </row>
    <row r="180" spans="1:31" x14ac:dyDescent="0.25">
      <c r="A180" s="518"/>
      <c r="B180" s="504"/>
      <c r="C180" s="107" t="str">
        <f>IF(AND(ISNUMBER(B173), C178&lt;&gt;"", OR('Cost Inputs'!$H$74&lt;&gt;"", 'Cost Inputs'!$I$74&lt;&gt;"", 'Cost Inputs'!$J$74&lt;&gt;"")), _3_3_2, "")</f>
        <v/>
      </c>
      <c r="D180" s="93" t="str">
        <f>IF(AND(C180&lt;&gt;"", 'Cost Inputs'!$G$74&lt;&gt;""), 'Cost Inputs'!$G$74, "")</f>
        <v/>
      </c>
      <c r="E180" s="93" t="str">
        <f>IF(AND(C180&lt;&gt;"", 'Cost Inputs'!$H$74&lt;&gt;""), 'Cost Inputs'!$H$74, "")</f>
        <v/>
      </c>
      <c r="F180" s="93" t="str">
        <f>IF(AND(C180&lt;&gt;"", 'Cost Inputs'!$I$74&lt;&gt;""), 'Cost Inputs'!$I$74, "")</f>
        <v/>
      </c>
      <c r="G180" s="93" t="str">
        <f t="shared" si="8"/>
        <v/>
      </c>
      <c r="H180" s="93" t="str">
        <f>IF(AND(C180&lt;&gt;"", 'Cost Inputs'!$J$74&lt;&gt;""), 'Cost Inputs'!$J$74, "")</f>
        <v/>
      </c>
      <c r="I180" s="93" t="str">
        <f t="shared" si="7"/>
        <v/>
      </c>
      <c r="J180" s="93" t="str">
        <f>IF(AND(C180&lt;&gt;"",('Cost Inputs'!$I$74+'Cost Inputs'!$J$74+'Cost Inputs'!$K$74)&gt;0), 'Cost Inputs'!$I$74+'Cost Inputs'!$J$74+'Cost Inputs'!$K$74, "")</f>
        <v/>
      </c>
      <c r="K180" s="93" t="str">
        <f>IF(AND(C180&lt;&gt;"", 'Cost Inputs'!$N$74&gt;0),'Cost Inputs'!$N$74,"")</f>
        <v/>
      </c>
      <c r="L180" s="93"/>
      <c r="M180" s="109"/>
      <c r="V180" s="372" t="str">
        <f>IF($O$3="N.B.C.",
IF(ISNUMBER($B$173),
IF($C180&lt;&gt;"",
IF('Cost Inputs'!$L$74="Y",
IF(ISNUMBER($P$55), $E180+($E$73*(($E180/$E$73)+$P$55)), $E180),
IF('Cost Inputs'!$L$74="N",
IF(AND(ISNUMBER('Cost Inputs'!$M$74), OR('Cost Inputs'!$M$74=1,'Cost Inputs'!$M$74=5)),
IF(ISNUMBER($P$55), $E180+($E$73*(($E180/$E$73)+$P$55)), $E180),""),"")), ""),""),"")</f>
        <v/>
      </c>
      <c r="W180" s="372" t="str">
        <f>IF($P$3="N.B.C.",
IF(ISNUMBER($B$173),
IF($C180&lt;&gt;"",
IF('Cost Inputs'!$L$74="Y",
IF(ISNUMBER($Q$55), $E180+($E$73*(($E180/$E$73)+$Q$55)), $E180),
IF('Cost Inputs'!$L$74="N",
IF(AND(ISNUMBER('Cost Inputs'!$M$74), OR('Cost Inputs'!$M$74=1,'Cost Inputs'!$M$74=2,'Cost Inputs'!$M$74=3,'Cost Inputs'!$M$74=6)),
IF(ISNUMBER($Q$55), $E180+($E$73*(($E180/$E$73)+$Q$55)), $E180),""),"")), ""),""),"")</f>
        <v/>
      </c>
      <c r="X180" s="372" t="str">
        <f>IF($Q$3="N.B.C.",
IF(ISNUMBER($B$173),
IF($C180&lt;&gt;"",
IF('Cost Inputs'!$L$74="Y",
IF(ISNUMBER($R$55), $E180+($E$73*(($E180/$E$73)+$R$55)), $E180),
IF('Cost Inputs'!$L$74="N",
IF(AND(ISNUMBER('Cost Inputs'!$M$74), OR('Cost Inputs'!$M$74=1,'Cost Inputs'!$M$74=7)),
IF(ISNUMBER($R$55), $E180+($E$73*(($E180/$E$73)+$R$55)), $E180),""),"")), ""),""),"")</f>
        <v/>
      </c>
      <c r="Y180" s="372" t="str">
        <f>IF($R$3="N.B.C.",
IF(ISNUMBER($B$173),
IF($C180&lt;&gt;"",
IF('Cost Inputs'!$L$74="Y",
IF(ISNUMBER($S$55), $E180+($E$73*(($E180/$E$73)+$S$55)), $E180),
IF('Cost Inputs'!$L$74="N",
IF(AND(ISNUMBER('Cost Inputs'!$M$74), OR('Cost Inputs'!$M$74=1,'Cost Inputs'!$M$74=2,'Cost Inputs'!$M$74=4,'Cost Inputs'!$M$74=8)),
IF(ISNUMBER($S$55), $E180+($E$73*(($E180/$E$73)+$S$55)), $E180),""),"")), ""),""),"")</f>
        <v/>
      </c>
      <c r="Z180" s="372" t="str">
        <f>IF($S$3="N.B.C.",
IF(ISNUMBER($B$173),
IF($C180&lt;&gt;"",
IF('Cost Inputs'!$L$74="Y",
IF(ISNUMBER($T$55), $E180+($E$73*(($E180/$E$73)+$T$55)), $E180),
IF('Cost Inputs'!$L$74="N",
IF(AND(ISNUMBER('Cost Inputs'!$M$74), OR('Cost Inputs'!$M$74=1,'Cost Inputs'!$M$74=3,'Cost Inputs'!$M$74=9)),
IF(ISNUMBER($T$55), $E180+($E$73*(($E180/$E$73)+$T$55)), $E180),""),"")), ""),""),"")</f>
        <v/>
      </c>
      <c r="AA180" s="372" t="str">
        <f>IF($T$3="N.B.C.",
IF(ISNUMBER($B$173),
IF($C180&lt;&gt;"",
IF('Cost Inputs'!$L$74="Y",
IF(ISNUMBER($U$55), $E180+($E$73*(($E180/$E$73)+$U$55)), $E180),
IF('Cost Inputs'!$L$74="N",
IF(AND(ISNUMBER('Cost Inputs'!$M$74), OR('Cost Inputs'!$M$74=1,'Cost Inputs'!$M$74=2,'Cost Inputs'!$M$74=5)),
IF(ISNUMBER($U$55), $E180+($E$73*(($E180/$E$73)+$U$55)), $E180),""),"")), ""),""),"")</f>
        <v/>
      </c>
      <c r="AB180" s="372" t="str">
        <f>IF($U$3="N.B.C.",
IF(ISNUMBER($B$173),
IF($C180&lt;&gt;"",
IF('Cost Inputs'!$L$74="Y",
IF(ISNUMBER($V$55), $E180+($E$73*(($E180/$E$73)+$V$55)), $E180),
IF('Cost Inputs'!$L$74="N",
IF(AND(ISNUMBER('Cost Inputs'!$M$74), OR('Cost Inputs'!$M$74=1)),
IF(ISNUMBER($V$55), $E180+($E$73*(($E180/$E$73)+$V$55)), $E180),""),"")), ""),""),"")</f>
        <v/>
      </c>
      <c r="AC180" s="372" t="str">
        <f>IF($V$3="N.B.C.",
IF(ISNUMBER($B$173),
IF($C180&lt;&gt;"",
IF('Cost Inputs'!$L$74="Y",
IF(ISNUMBER($W$55), $E180+($E$73*(($E180/$E$73)+$W$55)), $E180),
IF('Cost Inputs'!$L$74="N",
IF(AND(ISNUMBER('Cost Inputs'!$M$74), OR('Cost Inputs'!$M$74=1,'Cost Inputs'!$M$74=2,'Cost Inputs'!$M$74=3,'Cost Inputs'!$M$74=4,'Cost Inputs'!$M$74=6)),
IF(ISNUMBER($W$55), $E180+($E$73*(($E180/$E$73)+$W$55)), $E180),""),"")), ""),""),"")</f>
        <v/>
      </c>
      <c r="AD180" s="372" t="str">
        <f>IF($W$3="N.B.C.",
IF(ISNUMBER($B$173),
IF($C180&lt;&gt;"",
IF('Cost Inputs'!$L$74="Y",
IF(ISNUMBER($X$55), $E180+($E$73*(($E180/$E$73)+$X$55)), $E180),
IF('Cost Inputs'!$L$74="N",
IF(AND(ISNUMBER('Cost Inputs'!$M$74), OR('Cost Inputs'!$M$74=1)),
IF(ISNUMBER($X$55), $E180+($E$73*(($E180/$E$73)+$X$55)), $E180),""),"")), ""),""),"")</f>
        <v/>
      </c>
      <c r="AE180" s="372" t="str">
        <f>IF($X$3="N.B.C.",
IF(ISNUMBER($B$173),
IF($C180&lt;&gt;"",
IF('Cost Inputs'!$L$74="Y",
IF(ISNUMBER($Y$55), $E180+($E$73*(($E180/$E$73)+$Y$55)), $E180),
IF('Cost Inputs'!$L$74="N",
IF(AND(ISNUMBER('Cost Inputs'!$M$74), OR('Cost Inputs'!$M$74=1,'Cost Inputs'!$M$74=2,'Cost Inputs'!$M$74=7)),
IF(ISNUMBER($Y$55), $E180+($E$73*(($E180/$E$73)+$Y$55)), $E180),""),"")), ""),""),"")</f>
        <v/>
      </c>
    </row>
    <row r="181" spans="1:31" x14ac:dyDescent="0.25">
      <c r="A181" s="518"/>
      <c r="B181" s="504"/>
      <c r="C181" s="104" t="str">
        <f>IF(AND(ISNUMBER(B173), OR('Cost Inputs'!$H$75&lt;&gt;"", 'Cost Inputs'!$I$75&lt;&gt;"", 'Cost Inputs'!$J$75&lt;&gt;"")), _3_3_3, "")</f>
        <v/>
      </c>
      <c r="D181" s="17" t="str">
        <f>IF(AND(C181&lt;&gt;"", 'Cost Inputs'!$G$75&lt;&gt;""), 'Cost Inputs'!$G$75, "")</f>
        <v/>
      </c>
      <c r="E181" s="17" t="str">
        <f>IF(AND(C181&lt;&gt;"", 'Cost Inputs'!$H$75&lt;&gt;""), 'Cost Inputs'!$H$75, "")</f>
        <v/>
      </c>
      <c r="F181" s="17" t="str">
        <f>IF(AND(C181&lt;&gt;"", 'Cost Inputs'!$I$75&lt;&gt;""), 'Cost Inputs'!$I$75, "")</f>
        <v/>
      </c>
      <c r="G181" s="17" t="str">
        <f t="shared" si="8"/>
        <v/>
      </c>
      <c r="H181" s="17" t="str">
        <f>IF(AND(C181&lt;&gt;"", 'Cost Inputs'!$J$75&lt;&gt;""), 'Cost Inputs'!$J$75, "")</f>
        <v/>
      </c>
      <c r="I181" s="17" t="str">
        <f t="shared" si="7"/>
        <v/>
      </c>
      <c r="J181" s="17" t="str">
        <f>IF(AND(C181&lt;&gt;"",('Cost Inputs'!$I$75+'Cost Inputs'!$J$75+'Cost Inputs'!$K$75)&gt;0), 'Cost Inputs'!$I$75+'Cost Inputs'!$J$75+'Cost Inputs'!$K$75, "")</f>
        <v/>
      </c>
      <c r="K181" s="17" t="str">
        <f>IF(AND(C181&lt;&gt;"", 'Cost Inputs'!$N$75&gt;0),'Cost Inputs'!$N$75,"")</f>
        <v/>
      </c>
      <c r="M181" s="106"/>
      <c r="V181" s="364" t="str">
        <f>IF($O$3="N.B.C.",
IF(ISNUMBER($B$173),
IF($C181&lt;&gt;"",
IF('Cost Inputs'!$L$75="Y",
IF(ISNUMBER($P$55), $E181+($E$73*(($E181/$E$73)+$P$55)), $E181),
IF('Cost Inputs'!$L$75="N",
IF(AND(ISNUMBER('Cost Inputs'!$M$75), OR('Cost Inputs'!$M$75=1,'Cost Inputs'!$M$75=5)),
IF(ISNUMBER($P$55), $E181+($E$73*(($E181/$E$73)+$P$55)), $E181),""),"")), ""),""),"")</f>
        <v/>
      </c>
      <c r="W181" s="364" t="str">
        <f>IF($P$3="N.B.C.",
IF(ISNUMBER($B$173),
IF($C181&lt;&gt;"",
IF('Cost Inputs'!$L$75="Y",
IF(ISNUMBER($Q$55), $E181+($E$73*(($E181/$E$73)+$Q$55)), $E181),
IF('Cost Inputs'!$L$75="N",
IF(AND(ISNUMBER('Cost Inputs'!$M$75), OR('Cost Inputs'!$M$75=1,'Cost Inputs'!$M$75=2,'Cost Inputs'!$M$75=3,'Cost Inputs'!$M$75=6)),
IF(ISNUMBER($Q$55), $E181+($E$73*(($E181/$E$73)+$Q$55)), $E181),""),"")), ""),""),"")</f>
        <v/>
      </c>
      <c r="X181" s="364" t="str">
        <f>IF($Q$3="N.B.C.",
IF(ISNUMBER($B$173),
IF($C181&lt;&gt;"",
IF('Cost Inputs'!$L$75="Y",
IF(ISNUMBER($R$55), $E181+($E$73*(($E181/$E$73)+$R$55)), $E181),
IF('Cost Inputs'!$L$75="N",
IF(AND(ISNUMBER('Cost Inputs'!$M$75), OR('Cost Inputs'!$M$75=1,'Cost Inputs'!$M$75=7)),
IF(ISNUMBER($R$55), $E181+($E$73*(($E181/$E$73)+$R$55)), $E181),""),"")), ""),""),"")</f>
        <v/>
      </c>
      <c r="Y181" s="364" t="str">
        <f>IF($R$3="N.B.C.",
IF(ISNUMBER($B$173),
IF($C181&lt;&gt;"",
IF('Cost Inputs'!$L$75="Y",
IF(ISNUMBER($S$55), $E181+($E$73*(($E181/$E$73)+$S$55)), $E181),
IF('Cost Inputs'!$L$75="N",
IF(AND(ISNUMBER('Cost Inputs'!$M$75), OR('Cost Inputs'!$M$75=1,'Cost Inputs'!$M$75=2,'Cost Inputs'!$M$75=4,'Cost Inputs'!$M$75=8)),
IF(ISNUMBER($S$55), $E181+($E$73*(($E181/$E$73)+$S$55)), $E181),""),"")), ""),""),"")</f>
        <v/>
      </c>
      <c r="Z181" s="364" t="str">
        <f>IF($S$3="N.B.C.",
IF(ISNUMBER($B$173),
IF($C181&lt;&gt;"",
IF('Cost Inputs'!$L$75="Y",
IF(ISNUMBER($T$55), $E181+($E$73*(($E181/$E$73)+$T$55)), $E181),
IF('Cost Inputs'!$L$75="N",
IF(AND(ISNUMBER('Cost Inputs'!$M$75), OR('Cost Inputs'!$M$75=1,'Cost Inputs'!$M$75=3,'Cost Inputs'!$M$75=9)),
IF(ISNUMBER($T$55), $E181+($E$73*(($E181/$E$73)+$T$55)), $E181),""),"")), ""),""),"")</f>
        <v/>
      </c>
      <c r="AA181" s="364" t="str">
        <f>IF($T$3="N.B.C.",
IF(ISNUMBER($B$173),
IF($C181&lt;&gt;"",
IF('Cost Inputs'!$L$75="Y",
IF(ISNUMBER($U$55), $E181+($E$73*(($E181/$E$73)+$U$55)), $E181),
IF('Cost Inputs'!$L$75="N",
IF(AND(ISNUMBER('Cost Inputs'!$M$75), OR('Cost Inputs'!$M$75=1,'Cost Inputs'!$M$75=2,'Cost Inputs'!$M$75=5)),
IF(ISNUMBER($U$55), $E181+($E$73*(($E181/$E$73)+$U$55)), $E181),""),"")), ""),""),"")</f>
        <v/>
      </c>
      <c r="AB181" s="364" t="str">
        <f>IF($U$3="N.B.C.",
IF(ISNUMBER($B$173),
IF($C181&lt;&gt;"",
IF('Cost Inputs'!$L$75="Y",
IF(ISNUMBER($V$55), $E181+($E$73*(($E181/$E$73)+$V$55)), $E181),
IF('Cost Inputs'!$L$75="N",
IF(AND(ISNUMBER('Cost Inputs'!$M$75), OR('Cost Inputs'!$M$75=1)),
IF(ISNUMBER($V$55), $E181+($E$73*(($E181/$E$73)+$V$55)), $E181),""),"")), ""),""),"")</f>
        <v/>
      </c>
      <c r="AC181" s="364" t="str">
        <f>IF($V$3="N.B.C.",
IF(ISNUMBER($B$173),
IF($C181&lt;&gt;"",
IF('Cost Inputs'!$L$75="Y",
IF(ISNUMBER($W$55), $E181+($E$73*(($E181/$E$73)+$W$55)), $E181),
IF('Cost Inputs'!$L$75="N",
IF(AND(ISNUMBER('Cost Inputs'!$M$75), OR('Cost Inputs'!$M$75=1,'Cost Inputs'!$M$75=2,'Cost Inputs'!$M$75=3,'Cost Inputs'!$M$75=4,'Cost Inputs'!$M$75=6)),
IF(ISNUMBER($W$55), $E181+($E$73*(($E181/$E$73)+$W$55)), $E181),""),"")), ""),""),"")</f>
        <v/>
      </c>
      <c r="AD181" s="364" t="str">
        <f>IF($W$3="N.B.C.",
IF(ISNUMBER($B$173),
IF($C181&lt;&gt;"",
IF('Cost Inputs'!$L$75="Y",
IF(ISNUMBER($X$55), $E181+($E$73*(($E181/$E$73)+$X$55)), $E181),
IF('Cost Inputs'!$L$75="N",
IF(AND(ISNUMBER('Cost Inputs'!$M$75), OR('Cost Inputs'!$M$75=1)),
IF(ISNUMBER($X$55), $E181+($E$73*(($E181/$E$73)+$X$55)), $E181),""),"")), ""),""),"")</f>
        <v/>
      </c>
      <c r="AE181" s="364" t="str">
        <f>IF($X$3="N.B.C.",
IF(ISNUMBER($B$173),
IF($C181&lt;&gt;"",
IF('Cost Inputs'!$L$75="Y",
IF(ISNUMBER($Y$55), $E181+($E$73*(($E181/$E$73)+$Y$55)), $E181),
IF('Cost Inputs'!$L$75="N",
IF(AND(ISNUMBER('Cost Inputs'!$M$75), OR('Cost Inputs'!$M$75=1,'Cost Inputs'!$M$75=2,'Cost Inputs'!$M$75=7)),
IF(ISNUMBER($Y$55), $E181+($E$73*(($E181/$E$73)+$Y$55)), $E181),""),"")), ""),""),"")</f>
        <v/>
      </c>
    </row>
    <row r="182" spans="1:31" x14ac:dyDescent="0.25">
      <c r="A182" s="518"/>
      <c r="B182" s="504"/>
      <c r="C182" s="107" t="str">
        <f>IF(AND(ISNUMBER(B173), OR('Cost Inputs'!$H$76&lt;&gt;"", 'Cost Inputs'!$I$76&lt;&gt;"", 'Cost Inputs'!$J$76&lt;&gt;"")), _3_3_4, "")</f>
        <v/>
      </c>
      <c r="D182" s="93" t="str">
        <f>IF(AND(C182&lt;&gt;"", 'Cost Inputs'!$G$76&lt;&gt;""), 'Cost Inputs'!$G$76, "")</f>
        <v/>
      </c>
      <c r="E182" s="93" t="str">
        <f>IF(AND(C182&lt;&gt;"", 'Cost Inputs'!$H$76&lt;&gt;""), 'Cost Inputs'!$H$76, "")</f>
        <v/>
      </c>
      <c r="F182" s="93" t="str">
        <f>IF(AND(C182&lt;&gt;"", 'Cost Inputs'!$I$76&lt;&gt;""), 'Cost Inputs'!$I$76, "")</f>
        <v/>
      </c>
      <c r="G182" s="93" t="str">
        <f t="shared" si="8"/>
        <v/>
      </c>
      <c r="H182" s="93" t="str">
        <f>IF(AND(C182&lt;&gt;"", 'Cost Inputs'!$J$76&lt;&gt;""), 'Cost Inputs'!$J$76, "")</f>
        <v/>
      </c>
      <c r="I182" s="93" t="str">
        <f t="shared" si="7"/>
        <v/>
      </c>
      <c r="J182" s="93" t="str">
        <f>IF(AND(C182&lt;&gt;"",('Cost Inputs'!$I$76+'Cost Inputs'!$J$76+'Cost Inputs'!$K$76)&gt;0), 'Cost Inputs'!$I$76+'Cost Inputs'!$J$76+'Cost Inputs'!$K$76, "")</f>
        <v/>
      </c>
      <c r="K182" s="93" t="str">
        <f>IF(AND(C182&lt;&gt;"", 'Cost Inputs'!$N$76&gt;0),'Cost Inputs'!$N$76,"")</f>
        <v/>
      </c>
      <c r="L182" s="93"/>
      <c r="M182" s="109"/>
      <c r="V182" s="372" t="str">
        <f>IF($O$3="N.B.C.",
IF(ISNUMBER($B$173),
IF($C182&lt;&gt;"",
IF('Cost Inputs'!$L$76="Y",
IF(ISNUMBER($P$55), $E182+($E$73*(($E182/$E$73)+$P$55)), $E182),
IF('Cost Inputs'!$L$76="N",
IF(AND(ISNUMBER('Cost Inputs'!$M$76), OR('Cost Inputs'!$M$76=1,'Cost Inputs'!$M$76=5)),
IF(ISNUMBER($P$55), $E182+($E$73*(($E182/$E$73)+$P$55)), $E182),""),"")), ""),""),"")</f>
        <v/>
      </c>
      <c r="W182" s="372" t="str">
        <f>IF($P$3="N.B.C.",
IF(ISNUMBER($B$173),
IF($C182&lt;&gt;"",
IF('Cost Inputs'!$L$76="Y",
IF(ISNUMBER($Q$55), $E182+($E$73*(($E182/$E$73)+$Q$55)), $E182),
IF('Cost Inputs'!$L$76="N",
IF(AND(ISNUMBER('Cost Inputs'!$M$76), OR('Cost Inputs'!$M$76=1,'Cost Inputs'!$M$76=2,'Cost Inputs'!$M$76=3,'Cost Inputs'!$M$76=6)),
IF(ISNUMBER($Q$55), $E182+($E$73*(($E182/$E$73)+$Q$55)), $E182),""),"")), ""),""),"")</f>
        <v/>
      </c>
      <c r="X182" s="372" t="str">
        <f>IF($Q$3="N.B.C.",
IF(ISNUMBER($B$173),
IF($C182&lt;&gt;"",
IF('Cost Inputs'!$L$76="Y",
IF(ISNUMBER($R$55), $E182+($E$73*(($E182/$E$73)+$R$55)), $E182),
IF('Cost Inputs'!$L$76="N",
IF(AND(ISNUMBER('Cost Inputs'!$M$76),OR('Cost Inputs'!$M$76=1,'Cost Inputs'!$M$76=7)),
IF(ISNUMBER($R$55), $E182+($E$73*(($E182/$E$73)+$R$55)), $E182),""),"")), ""),""),"")</f>
        <v/>
      </c>
      <c r="Y182" s="372" t="str">
        <f>IF($R$3="N.B.C.",
IF(ISNUMBER($B$173),
IF($C182&lt;&gt;"",
IF('Cost Inputs'!$L$76="Y",
IF(ISNUMBER($S$55), $E182+($E$73*(($E182/$E$73)+$S$55)), $E182),
IF('Cost Inputs'!$L$76="N",
IF(AND(ISNUMBER('Cost Inputs'!$M$76), OR('Cost Inputs'!$M$76=1,'Cost Inputs'!$M$76=2,'Cost Inputs'!$M$76=4,'Cost Inputs'!$M$76=8)),
IF(ISNUMBER($S$55), $E182+($E$73*(($E182/$E$73)+$S$55)), $E182),""),"")), ""),""),"")</f>
        <v/>
      </c>
      <c r="Z182" s="372" t="str">
        <f>IF($S$3="N.B.C.",
IF(ISNUMBER($B$173),
IF($C182&lt;&gt;"",
IF('Cost Inputs'!$L$76="Y",
IF(ISNUMBER($T$55), $E182+($E$73*(($E182/$E$73)+$T$55)), $E182),
IF('Cost Inputs'!$L$76="N",
IF(AND(ISNUMBER('Cost Inputs'!$M$76), OR('Cost Inputs'!$M$76=1,'Cost Inputs'!$M$76=3,'Cost Inputs'!$M$76=9)),
IF(ISNUMBER($T$55), $E182+($E$73*(($E182/$E$73)+$T$55)), $E182),""),"")), ""),""),"")</f>
        <v/>
      </c>
      <c r="AA182" s="372" t="str">
        <f>IF($T$3="N.B.C.",
IF(ISNUMBER($B$173),
IF($C182&lt;&gt;"",
IF('Cost Inputs'!$L$76="Y",
IF(ISNUMBER($U$55), $E182+($E$73*(($E182/$E$73)+$U$55)), $E182),
IF('Cost Inputs'!$L$76="N",
IF(AND(ISNUMBER('Cost Inputs'!$M$76), OR('Cost Inputs'!$M$76=1,'Cost Inputs'!$M$76=2,'Cost Inputs'!$M$76=5)),
IF(ISNUMBER($U$55), $E182+($E$73*(($E182/$E$73)+$U$55)), $E182),""),"")), ""),""),"")</f>
        <v/>
      </c>
      <c r="AB182" s="372" t="str">
        <f>IF($U$3="N.B.C.",
IF(ISNUMBER($B$173),
IF($C182&lt;&gt;"",
IF('Cost Inputs'!$L$76="Y",
IF(ISNUMBER($V$55), $E182+($E$73*(($E182/$E$73)+$V$55)), $E182),
IF('Cost Inputs'!$L$76="N",
IF(AND(ISNUMBER('Cost Inputs'!$M$76), OR('Cost Inputs'!$M$76=1)),
IF(ISNUMBER($V$55), $E182+($E$73*(($E182/$E$73)+$V$55)), $E182),""),"")), ""),""),"")</f>
        <v/>
      </c>
      <c r="AC182" s="372" t="str">
        <f>IF($V$3="N.B.C.",
IF(ISNUMBER($B$173),
IF($C182&lt;&gt;"",
IF('Cost Inputs'!$L$76="Y",
IF(ISNUMBER($W$55), $E182+($E$73*(($E182/$E$73)+$W$55)), $E182),
IF('Cost Inputs'!$L$76="N",
IF(AND(ISNUMBER('Cost Inputs'!$M$76), OR('Cost Inputs'!$M$76=1,'Cost Inputs'!$M$76=2,'Cost Inputs'!$M$76=3,'Cost Inputs'!$M$76=4,'Cost Inputs'!$M$76=6)),
IF(ISNUMBER($W$55), $E182+($E$73*(($E182/$E$73)+$W$55)), $E182),""),"")), ""),""),"")</f>
        <v/>
      </c>
      <c r="AD182" s="372" t="str">
        <f>IF($W$3="N.B.C.",
IF(ISNUMBER($B$173),
IF($C182&lt;&gt;"",
IF('Cost Inputs'!$L$76="Y",
IF(ISNUMBER($X$55), $E182+($E$73*(($E182/$E$73)+$X$55)), $E182),
IF('Cost Inputs'!$L$76="N",
IF(AND(ISNUMBER('Cost Inputs'!$M$76), OR('Cost Inputs'!$M$76=1)),
IF(ISNUMBER($X$55), $E182+($E$73*(($E182/$E$73)+$X$55)), $E182),""),"")), ""),""),"")</f>
        <v/>
      </c>
      <c r="AE182" s="372" t="str">
        <f>IF($X$3="N.B.C.",
IF(ISNUMBER($B$173),
IF($C182&lt;&gt;"",
IF('Cost Inputs'!$L$76="Y",
IF(ISNUMBER($Y$55), $E182+($E$73*(($E182/$E$73)+$Y$55)), $E182),
IF('Cost Inputs'!$L$76="N",
IF(AND(ISNUMBER('Cost Inputs'!$M$76), OR('Cost Inputs'!$M$76=1,'Cost Inputs'!$M$76=2,'Cost Inputs'!$M$76=7)),
IF(ISNUMBER($Y$55), $E182+($E$73*(($E182/$E$73)+$Y$55)), $E182),""),"")), ""),""),"")</f>
        <v/>
      </c>
    </row>
    <row r="183" spans="1:31" x14ac:dyDescent="0.25">
      <c r="A183" s="518"/>
      <c r="B183" s="504"/>
      <c r="C183" s="110" t="str">
        <f>IF( ISNUMBER(B173), _3_4_0, "")</f>
        <v/>
      </c>
      <c r="D183" s="94" t="str">
        <f>IF(AND(B173&lt;&gt;"", OR('Cost Inputs'!$H$77&lt;&gt;"", 'Cost Inputs'!$I$77&lt;&gt;"", 'Cost Inputs'!$J$77&lt;&gt;"")), 'Cost Inputs'!$G$77,"")</f>
        <v/>
      </c>
      <c r="E183" s="94" t="str">
        <f>IF(AND(C183&lt;&gt;"", 'Cost Inputs'!$H$77&lt;&gt;""), 'Cost Inputs'!$H$77, "")</f>
        <v/>
      </c>
      <c r="F183" s="94" t="str">
        <f>IF(AND(C183&lt;&gt;"", 'Cost Inputs'!$I$77&lt;&gt;""), 'Cost Inputs'!$I$77, "")</f>
        <v/>
      </c>
      <c r="G183" s="94" t="str">
        <f t="shared" si="8"/>
        <v/>
      </c>
      <c r="H183" s="94" t="str">
        <f>IF(AND(C183&lt;&gt;"", 'Cost Inputs'!$J$77&lt;&gt;""), 'Cost Inputs'!$J$77, "")</f>
        <v/>
      </c>
      <c r="I183" s="94" t="str">
        <f>IF(AND($E183&lt;&gt;"", $H183&lt;&gt;""), $H183/$E183, "")</f>
        <v/>
      </c>
      <c r="J183" s="94" t="str">
        <f>IF(AND(C183&lt;&gt;"",('Cost Inputs'!$I$77+'Cost Inputs'!$J$77+'Cost Inputs'!$K$77)&gt;0), 'Cost Inputs'!$I$77+'Cost Inputs'!$J$77+'Cost Inputs'!$K$77, "")</f>
        <v/>
      </c>
      <c r="K183" s="94" t="str">
        <f>IF(AND(C183&lt;&gt;"", 'Cost Inputs'!$N$77&gt;0),'Cost Inputs'!$N$77,"")</f>
        <v/>
      </c>
      <c r="L183" s="94"/>
      <c r="M183" s="103"/>
      <c r="V183" s="373" t="str">
        <f>IF($O$3="N.B.C.",
IF(ISNUMBER($B$173),
IF($C183&lt;&gt;"",
IF('Cost Inputs'!$L$77="Y",
IF(AND(ISNUMBER(P$56), P$56&gt;$E$60), $E183+($E$60*(($E183/$E$60)+$P$55)), $E183),
IF('Cost Inputs'!$L$77="N",
IF(AND(ISNUMBER('Cost Inputs'!$M$77), OR('Cost Inputs'!$M$77=1,'Cost Inputs'!$M$77=5)),
IF(AND(ISNUMBER(P$56), P$56&gt;$E$60), $E183+($E$60*(($E183/$E$60)+$P$55)), $E183), ""),"")), ""), ""), "")</f>
        <v/>
      </c>
      <c r="W183" s="373" t="str">
        <f>IF($P$3="N.B.C.",
IF(ISNUMBER($B$173),
IF($C183&lt;&gt;"",
IF('Cost Inputs'!$L$77="Y",
IF(AND(ISNUMBER(Q$56), Q$56&gt;$E$60), $E183+($E$60*(($E183/$E$60)+$Q$55)), $E183),
IF('Cost Inputs'!$L$77="N",
IF(AND(ISNUMBER('Cost Inputs'!$M$77), OR('Cost Inputs'!$M$77=1,'Cost Inputs'!$M$77=2, 'Cost Inputs'!$M$77=3,'Cost Inputs'!$M$77=6)),
IF(AND(ISNUMBER(Q$56), Q$56&gt;$E$60), $E183+($E$60*(($E183/$E$60)+$Q$55)), $E183), ""),"")), ""), ""), "")</f>
        <v/>
      </c>
      <c r="X183" s="373" t="str">
        <f>IF($Q$3="N.B.C.",
IF(ISNUMBER($B$173),
IF($C183&lt;&gt;"",
IF('Cost Inputs'!$L$77="Y",
IF(AND(ISNUMBER(R$56), R$56&gt;$E$60), $E183+($E$60*(($E183/$E$60)+$R$55)), $E183),
IF('Cost Inputs'!$L$77="N",
IF(AND(ISNUMBER('Cost Inputs'!$M$77), OR('Cost Inputs'!$M$77=1,'Cost Inputs'!$M$77=7)),
IF(AND(ISNUMBER(R$56), R$56&gt;$E$60), $E183+($E$60*(($E183/$E$60)+$R$55)), $E183), ""),"")), ""), ""), "")</f>
        <v/>
      </c>
      <c r="Y183" s="373" t="str">
        <f>IF($R$3="N.B.C.",
IF(ISNUMBER($B$173),
IF($C183&lt;&gt;"",
IF('Cost Inputs'!$L$77="Y",
IF(AND(ISNUMBER(S$56), S$56&gt;$E$60), $E183+($E$60*(($E183/$E$60)+$S$55)), $E183),
IF('Cost Inputs'!$L$77="N",
IF(AND(ISNUMBER('Cost Inputs'!$M$77), OR('Cost Inputs'!$M$77=1,'Cost Inputs'!$M$77=2,'Cost Inputs'!$M$77=4,'Cost Inputs'!$M$77=8)),
IF(AND(ISNUMBER(S$56), S$56&gt;$E$60), $E183+($E$60*(($E183/$E$60)+$S$55)), $E183), ""),"")), ""), ""), "")</f>
        <v/>
      </c>
      <c r="Z183" s="373" t="str">
        <f>IF($S$3="N.B.C.",
IF(ISNUMBER($B$173),
IF($C183&lt;&gt;"",
IF('Cost Inputs'!$L$77="Y",
IF(AND(ISNUMBER(T$56), T$56&gt;$E$60), $E183+($E$60*(($E183/$E$60)+$T$55)), $E183),
IF('Cost Inputs'!$L$77="N",
IF(AND(ISNUMBER('Cost Inputs'!$M$77), OR('Cost Inputs'!$M$77=1,'Cost Inputs'!$M$77=3, 'Cost Inputs'!$M$77=9)),
IF(AND(ISNUMBER(T$56), T$56&gt;$E$60), $E183+($E$60*(($E183/$E$60)+$T$55)), $E183), ""),"")), ""), ""), "")</f>
        <v/>
      </c>
      <c r="AA183" s="373" t="str">
        <f>IF($T$3="N.B.C.",
IF(ISNUMBER($B$173),
IF($C183&lt;&gt;"",
IF('Cost Inputs'!$L$77="Y",
IF(AND(ISNUMBER(U$56), U$56&gt;$E$60), $E183+($E$60*(($E183/$E$60)+$U$55)), $E183),
IF('Cost Inputs'!$L$77="N",
IF(AND(ISNUMBER('Cost Inputs'!$M$77), OR('Cost Inputs'!$M$77=1,'Cost Inputs'!$M$77=2, 'Cost Inputs'!$M$77=5)),
IF(AND(ISNUMBER(U$56), U$56&gt;$E$60), $E183+($E$60*(($E183/$E$60)+$U$55)), $E183), ""),"")), ""), ""), "")</f>
        <v/>
      </c>
      <c r="AB183" s="373" t="str">
        <f>IF($U$3="N.B.C.",
IF(ISNUMBER($B$173),
IF($C183&lt;&gt;"",
IF('Cost Inputs'!$L$77="Y",
IF(AND(ISNUMBER(V$56), V$56&gt;$E$60), $E183+($E$60*(($E183/$E$60)+$V$55)), $E183),
IF('Cost Inputs'!$L$77="N",
IF(AND(ISNUMBER('Cost Inputs'!$M$77), OR('Cost Inputs'!$M$77=1)),
IF(AND(ISNUMBER(V$56), V$56&gt;$E$60), $E183+($E$60*(($E183/$E$60)+$V$55)), $E183), ""),"")), ""), ""), "")</f>
        <v/>
      </c>
      <c r="AC183" s="373" t="str">
        <f>IF($V$3="N.B.C.",
IF(ISNUMBER($B$173),
IF($C183&lt;&gt;"",
IF('Cost Inputs'!$L$77="Y",
IF(AND(ISNUMBER(W$56), W$56&gt;$E$60), $E183+($E$60*(($E183/$E$60)+$W$55)), $E183),
IF('Cost Inputs'!$L$77="N",
IF(AND(ISNUMBER('Cost Inputs'!$M$77), OR('Cost Inputs'!$M$77=1,'Cost Inputs'!$M$77=2,'Cost Inputs'!$M$77=3,'Cost Inputs'!$M$77=4,'Cost Inputs'!$M$77=6)),
IF(AND(ISNUMBER(W$56), W$56&gt;$E$60), $E183+($E$60*(($E183/$E$60)+$W$55)), $E183), ""),"")), ""), ""), "")</f>
        <v/>
      </c>
      <c r="AD183" s="373" t="str">
        <f>IF($W$3="N.B.C.",
IF(ISNUMBER($B$173),
IF($C183&lt;&gt;"",
IF('Cost Inputs'!$L$77="Y",
IF(AND(ISNUMBER(X$56), X$56&gt;$E$60), $E183+($E$60*(($E183/$E$60)+$X$55)), $E183),
IF('Cost Inputs'!$L$77="N",
IF(AND(ISNUMBER('Cost Inputs'!$M$77), OR('Cost Inputs'!$M$77=1)),
IF(AND(ISNUMBER(X$56), X$56&gt;$E$60), $E183+($E$60*(($E183/$E$60)+$X$55)), $E183), ""),"")), ""), ""), "")</f>
        <v/>
      </c>
      <c r="AE183" s="373" t="str">
        <f>IF($X$3="N.B.C.",
IF(ISNUMBER($B$173),
IF($C183&lt;&gt;"",
IF('Cost Inputs'!$L$77="Y",
IF(AND(ISNUMBER(Y$56), Y$56&gt;$E$60), $E183+($E$60*(($E183/$E$60)+$Y$55)), $E183),
IF('Cost Inputs'!$L$77="N",
IF(AND(ISNUMBER('Cost Inputs'!$M$77), OR('Cost Inputs'!$M$77=1,'Cost Inputs'!$M$77=2,'Cost Inputs'!$M$77=7)),
IF(AND(ISNUMBER(Y$56), Y$56&gt;$E$60), $E183+($E$60*(($E183/$E$60)+$Y$55)), $E183), ""),"")), ""), ""), "")</f>
        <v/>
      </c>
    </row>
    <row r="184" spans="1:31" x14ac:dyDescent="0.25">
      <c r="A184" s="518"/>
      <c r="B184" s="504"/>
      <c r="C184" s="104" t="str">
        <f>IF(AND(ISNUMBER(B173), OR('Cost Inputs'!$H$78&lt;&gt;"", 'Cost Inputs'!$I$78&lt;&gt;"", 'Cost Inputs'!$J$78&lt;&gt;"")),
IF((INDEX(ProgramYearStage1,MATCH(DNA_Test_1,Years_in_Stage1,0)))='Model_ of_individuals'!B173,  _3_4_1,
IF(AND(C163&lt;&gt;"",ISNUMBER(B173)), _3_4_1, "")),"")</f>
        <v/>
      </c>
      <c r="D184" s="17" t="str">
        <f>IF(AND(C184&lt;&gt;"", 'Cost Inputs'!$G$78&lt;&gt;""), 'Cost Inputs'!$G$78, "")</f>
        <v/>
      </c>
      <c r="E184" s="17" t="str">
        <f>IF(AND(C184&lt;&gt;"", 'Cost Inputs'!$H$78&lt;&gt;""), 'Cost Inputs'!$H$78, "")</f>
        <v/>
      </c>
      <c r="F184" s="17" t="str">
        <f>IF(AND(C184&lt;&gt;"", 'Cost Inputs'!$I$78&lt;&gt;""), 'Cost Inputs'!$I$78, "")</f>
        <v/>
      </c>
      <c r="G184" s="17" t="str">
        <f t="shared" si="8"/>
        <v/>
      </c>
      <c r="H184" s="17" t="str">
        <f>IF(AND(C184&lt;&gt;"", 'Cost Inputs'!$J$78&lt;&gt;""), 'Cost Inputs'!$J$78, "")</f>
        <v/>
      </c>
      <c r="I184" s="17" t="str">
        <f t="shared" si="7"/>
        <v/>
      </c>
      <c r="J184" s="17" t="str">
        <f>IF(AND(C184&lt;&gt;"",('Cost Inputs'!$I$78+'Cost Inputs'!$J$78+'Cost Inputs'!$K$78)&gt;0), 'Cost Inputs'!$I$78+'Cost Inputs'!$J$78+'Cost Inputs'!$K$78, "")</f>
        <v/>
      </c>
      <c r="K184" s="17" t="str">
        <f>IF(AND(C184&lt;&gt;"", 'Cost Inputs'!$N$78&gt;0),'Cost Inputs'!$N$78,"")</f>
        <v/>
      </c>
      <c r="M184" s="106"/>
      <c r="V184" s="364" t="str">
        <f>IF($O$3="N.B.C.",
IF(ISNUMBER($B$173),
IF($C184&lt;&gt;"",
IF('Cost Inputs'!$L$78="Y",
IF(ISNUMBER($P$55), $E184+($E$78*(($E184/$E$78)+$P$55)), $E184),
IF('Cost Inputs'!$L$78="N",
IF(AND(ISNUMBER('Cost Inputs'!$M$78), OR('Cost Inputs'!$M$78=1,'Cost Inputs'!$M$78=5)),
IF(ISNUMBER($P$55), $E184+($E$78*(($E184/$E$78)+$P$55)), $E184),""),"")), ""),""),"")</f>
        <v/>
      </c>
      <c r="W184" s="364" t="str">
        <f>IF($P$3="N.B.C.",
IF(ISNUMBER($B$173),
IF($C184&lt;&gt;"",
IF('Cost Inputs'!$L$78="Y",
IF(ISNUMBER($Q$55), $E184+($E$78*(($E184/$E$78)+$Q$55)), $E184),
IF('Cost Inputs'!$L$78="N",
IF(AND(ISNUMBER('Cost Inputs'!$M$78), OR('Cost Inputs'!$M$78=1,'Cost Inputs'!$M$78=2,'Cost Inputs'!$M$78=3,'Cost Inputs'!$M$78=6)),
IF(ISNUMBER($Q$55), $E184+($E$78*(($E184/$E$78)+$Q$55)), $E184),""),"")), ""),""),"")</f>
        <v/>
      </c>
      <c r="X184" s="364" t="str">
        <f>IF($Q$3="N.B.C.",
IF(ISNUMBER($B$173),
IF($C184&lt;&gt;"",
IF('Cost Inputs'!$L$78="Y",
IF(ISNUMBER($R$55), $E184+($E$78*(($E184/$E$78)+$R$55)), $E184),
IF('Cost Inputs'!$L$78="N",
IF(AND(ISNUMBER('Cost Inputs'!$M$78), OR('Cost Inputs'!$M$78=1,'Cost Inputs'!$M$78=7)),
IF(ISNUMBER($R$55), $E184+($E$78*(($E184/$E$78)+$R$55)), $E184),""),"")), ""),""),"")</f>
        <v/>
      </c>
      <c r="Y184" s="364" t="str">
        <f>IF($R$3="N.B.C.",
IF(ISNUMBER($B$173),
IF($C184&lt;&gt;"",
IF('Cost Inputs'!$L$78="Y",
IF(ISNUMBER($S$55), $E184+($E$78*(($E184/$E$78)+$S$55)), $E184),
IF('Cost Inputs'!$L$78="N",
IF(AND(ISNUMBER('Cost Inputs'!$M$78), OR('Cost Inputs'!$M$78=1,'Cost Inputs'!$M$78=2,'Cost Inputs'!$M$78=4,'Cost Inputs'!$M$78=8)),
IF(ISNUMBER($S$55), $E184+($E$78*(($E184/$E$78)+$S$55)), $E184),""),"")), ""),""),"")</f>
        <v/>
      </c>
      <c r="Z184" s="364" t="str">
        <f>IF($S$3="N.B.C.",
IF(ISNUMBER($B$173),
IF($C184&lt;&gt;"",
IF('Cost Inputs'!$L$78="Y",
IF(ISNUMBER($T$55), $E184+($E$78*(($E184/$E$78)+$T$55)), $E184),
IF('Cost Inputs'!$L$78="N",
IF(AND(ISNUMBER('Cost Inputs'!$M$78), OR('Cost Inputs'!$M$78=1,'Cost Inputs'!$M$78=3,'Cost Inputs'!$M$78=9)),
IF(ISNUMBER($T$55), $E184+($E$78*(($E184/$E$78)+$T$55)), $E184),""),"")), ""),""),"")</f>
        <v/>
      </c>
      <c r="AA184" s="364" t="str">
        <f>IF($T$3="N.B.C.",
IF(ISNUMBER($B$173),
IF($C184&lt;&gt;"",
IF('Cost Inputs'!$L$78="Y",
IF(ISNUMBER($U$55), $E184+($E$78*(($E184/$E$78)+$U$55)), $E184),
IF('Cost Inputs'!$L$78="N",
IF(AND(ISNUMBER('Cost Inputs'!$M$78), OR('Cost Inputs'!$M$78=1,'Cost Inputs'!$M$78=2,'Cost Inputs'!$M$78=5)),
IF(ISNUMBER($U$55), $E184+($E$78*(($E184/$E$78)+$U$55)), $E184),""),"")), ""),""),"")</f>
        <v/>
      </c>
      <c r="AB184" s="364" t="str">
        <f>IF($U$3="N.B.C.",
IF(ISNUMBER($B$173),
IF($C184&lt;&gt;"",
IF('Cost Inputs'!$L$78="Y",
IF(ISNUMBER($V$55), $E184+($E$78*(($E184/$E$78)+$V$55)), $E184),
IF('Cost Inputs'!$L$78="N",
IF(AND(ISNUMBER('Cost Inputs'!$M$78), OR('Cost Inputs'!$M$78=1)),
IF(ISNUMBER($V$55), $E184+($E$78*(($E184/$E$78)+$V$55)), $E184),""),"")), ""),""),"")</f>
        <v/>
      </c>
      <c r="AC184" s="364" t="str">
        <f>IF($V$3="N.B.C.",
IF(ISNUMBER($B$173),
IF($C184&lt;&gt;"",
IF('Cost Inputs'!$L$78="Y",
IF(ISNUMBER($W$55), $E184+($E$78*(($E184/$E$78)+$W$55)), $E184),
IF('Cost Inputs'!$L$78="N",
IF(AND(ISNUMBER('Cost Inputs'!$M$78), OR('Cost Inputs'!$M$78=1,'Cost Inputs'!$M$78=2,'Cost Inputs'!$M$78=3,'Cost Inputs'!$M$78=4,'Cost Inputs'!$M$78=6)),
IF(ISNUMBER($W$55), $E184+($E$78*(($E184/$E$78)+$W$55)), $E184),""),"")), ""),""),"")</f>
        <v/>
      </c>
      <c r="AD184" s="364" t="str">
        <f>IF($W$3="N.B.C.",
IF(ISNUMBER($B$173),
IF($C184&lt;&gt;"",
IF('Cost Inputs'!$L$78="Y",
IF(ISNUMBER($X$55), $E184+($E$78*(($E184/$E$78)+$X$55)), $E184),
IF('Cost Inputs'!$L$78="N",
IF(AND(ISNUMBER('Cost Inputs'!$M$78), OR('Cost Inputs'!$M$78=1)),
IF(ISNUMBER($X$55), $E184+($E$78*(($E184/$E$78)+$X$55)), $E184),""),"")), ""),""),"")</f>
        <v/>
      </c>
      <c r="AE184" s="364" t="str">
        <f>IF($X$3="N.B.C.",
IF(ISNUMBER($B$173),
IF($C184&lt;&gt;"",
IF('Cost Inputs'!$L$78="Y",
IF(ISNUMBER($Y$55), $E184+($E$78*(($E184/$E$78)+$Y$55)), $E184),
IF('Cost Inputs'!$L$78="N",
IF(AND(ISNUMBER('Cost Inputs'!$M$78), OR('Cost Inputs'!$M$78=1,'Cost Inputs'!$M$78=2,'Cost Inputs'!$M$78=7)),
IF(ISNUMBER($Y$55), $E184+($E$78*(($E184/$E$78)+$Y$55)), $E184),""),"")), ""),""),"")</f>
        <v/>
      </c>
    </row>
    <row r="185" spans="1:31" x14ac:dyDescent="0.25">
      <c r="A185" s="518"/>
      <c r="B185" s="504"/>
      <c r="C185" s="107" t="str">
        <f>IF(AND(ISNUMBER(B173), OR('Cost Inputs'!$H$79&lt;&gt;"", 'Cost Inputs'!$I$79&lt;&gt;"", 'Cost Inputs'!$J$79&lt;&gt;"")),
IF((INDEX(ProgramYearStage1,MATCH(DNA_Test_1,Years_in_Stage1,0)))='Model_ of_individuals'!B173,  _3_4_2,
IF(AND(ISNUMBER(B173), C164&lt;&gt;""),  _3_4_2, "")),"")</f>
        <v/>
      </c>
      <c r="D185" s="93" t="str">
        <f>IF(AND(C185&lt;&gt;"", 'Cost Inputs'!$G$79&lt;&gt;""), 'Cost Inputs'!$G$79, "")</f>
        <v/>
      </c>
      <c r="E185" s="93" t="str">
        <f>IF(AND(C185&lt;&gt;"", 'Cost Inputs'!$H$79&lt;&gt;""), 'Cost Inputs'!$H$79, "")</f>
        <v/>
      </c>
      <c r="F185" s="93" t="str">
        <f>IF(AND(C185&lt;&gt;"", 'Cost Inputs'!$I$79&lt;&gt;""), 'Cost Inputs'!$I$79, "")</f>
        <v/>
      </c>
      <c r="G185" s="93" t="str">
        <f t="shared" si="8"/>
        <v/>
      </c>
      <c r="H185" s="93" t="str">
        <f>IF(AND(C185&lt;&gt;"", 'Cost Inputs'!$J$79&lt;&gt;""), 'Cost Inputs'!$J$79, "")</f>
        <v/>
      </c>
      <c r="I185" s="93" t="str">
        <f t="shared" si="7"/>
        <v/>
      </c>
      <c r="J185" s="93" t="str">
        <f>IF(AND(C185&lt;&gt;"",('Cost Inputs'!$I$79+'Cost Inputs'!$J$79+'Cost Inputs'!$K$79)&gt;0), 'Cost Inputs'!$I$79+'Cost Inputs'!$J$79+'Cost Inputs'!$K$79, "")</f>
        <v/>
      </c>
      <c r="K185" s="93" t="str">
        <f>IF(AND(C185&lt;&gt;"", 'Cost Inputs'!$N$79&gt;0),'Cost Inputs'!$N$79,"")</f>
        <v/>
      </c>
      <c r="L185" s="93"/>
      <c r="M185" s="109"/>
      <c r="V185" s="372" t="str">
        <f>IF($O$3="N.B.C.",
IF(ISNUMBER($B$173),
IF($C185&lt;&gt;"",
IF('Cost Inputs'!$L$79="Y",
IF(ISNUMBER($P$55), $E185+($E$78*(($E185/$E$78)+$P$55)), $E185),
IF('Cost Inputs'!$L$79="N",
IF(AND(ISNUMBER('Cost Inputs'!$M$79), OR('Cost Inputs'!$M$79=1,'Cost Inputs'!$M$79=5)),
IF(ISNUMBER($P$55), $E185+($E$78*(($E185/$E$78)+$P$55)), $E185),""),"")), ""),""),"")</f>
        <v/>
      </c>
      <c r="W185" s="372" t="str">
        <f>IF($P$3="N.B.C.",
IF(ISNUMBER($B$173),
IF($C185&lt;&gt;"",
IF('Cost Inputs'!$L$79="Y",
IF(ISNUMBER($Q$55), $E185+($E$78*(($E185/$E$78)+$Q$55)), $E185),
IF('Cost Inputs'!$L$79="N",
IF(AND(ISNUMBER('Cost Inputs'!$M$79), OR('Cost Inputs'!$M$79=1,'Cost Inputs'!$M$79=2,'Cost Inputs'!$M$79=3,'Cost Inputs'!$M$79=6)),
IF(ISNUMBER($Q$55), $E185+($E$78*(($E185/$E$78)+$Q$55)), $E185),""),"")), ""),""),"")</f>
        <v/>
      </c>
      <c r="X185" s="372" t="str">
        <f>IF($Q$3="N.B.C.",
IF(ISNUMBER($B$173),
IF($C185&lt;&gt;"",
IF('Cost Inputs'!$L$79="Y",
IF(ISNUMBER($R$55), $E185+($E$78*(($E185/$E$78)+$R$55)), $E185),
IF('Cost Inputs'!$L$79="N",
IF(AND(ISNUMBER('Cost Inputs'!$M$79), OR('Cost Inputs'!$M$79=1,'Cost Inputs'!$M$79=7)),
IF(ISNUMBER($R$55), $E185+($E$78*(($E185/$E$78)+$R$55)), $E185),""),"")), ""),""),"")</f>
        <v/>
      </c>
      <c r="Y185" s="372" t="str">
        <f>IF($R$3="N.B.C.",
IF(ISNUMBER($B$173),
IF($C185&lt;&gt;"",
IF('Cost Inputs'!$L$79="Y",
IF(ISNUMBER($S$55), $E185+($E$78*(($E185/$E$78)+$S$55)), $E185),
IF('Cost Inputs'!$L$79="N",
IF(AND(ISNUMBER('Cost Inputs'!$M$79), OR('Cost Inputs'!$M$79=1,'Cost Inputs'!$M$79=2,'Cost Inputs'!$M$79=4,'Cost Inputs'!$M$79=8)),
IF(ISNUMBER($S$55), $E185+($E$78*(($E185/$E$78)+$S$55)), $E185),""),"")), ""),""),"")</f>
        <v/>
      </c>
      <c r="Z185" s="372" t="str">
        <f>IF($S$3="N.B.C.",
IF(ISNUMBER($B$173),
IF($C185&lt;&gt;"",
IF('Cost Inputs'!$L$79="Y",
IF(ISNUMBER($T$55), $E185+($E$78*(($E185/$E$78)+$T$55)), $E185),
IF('Cost Inputs'!$L$79="N",
IF(AND(ISNUMBER('Cost Inputs'!$M$79), OR('Cost Inputs'!$M$79=1,'Cost Inputs'!$M$79=3,'Cost Inputs'!$M$79=9)),
IF(ISNUMBER($T$55), $E185+($E$78*(($E185/$E$78)+$T$55)), $E185),""),"")), ""),""),"")</f>
        <v/>
      </c>
      <c r="AA185" s="372" t="str">
        <f>IF($T$3="N.B.C.",
IF(ISNUMBER($B$173),
IF($C185&lt;&gt;"",
IF('Cost Inputs'!$L$79="Y",
IF(ISNUMBER($U$55), $E185+($E$78*(($E185/$E$78)+$U$55)), $E185),
IF('Cost Inputs'!$L$79="N",
IF(AND(ISNUMBER('Cost Inputs'!$M$79), OR('Cost Inputs'!$M$79=1,'Cost Inputs'!$M$79=2,'Cost Inputs'!$M$79=5)),
IF(ISNUMBER($U$55), $E185+($E$78*(($E185/$E$78)+$U$55)), $E185),""),"")), ""),""),"")</f>
        <v/>
      </c>
      <c r="AB185" s="372" t="str">
        <f>IF($U$3="N.B.C.",
IF(ISNUMBER($B$173),
IF($C185&lt;&gt;"",
IF('Cost Inputs'!$L$79="Y",
IF(ISNUMBER($V$55), $E185+($E$78*(($E185/$E$78)+$V$55)), $E185),
IF('Cost Inputs'!$L$79="N",
IF(AND(ISNUMBER('Cost Inputs'!$M$79), OR('Cost Inputs'!$M$79=1)),
IF(ISNUMBER($V$55), $E185+($E$78*(($E185/$E$78)+$V$55)), $E185),""),"")), ""),""),"")</f>
        <v/>
      </c>
      <c r="AC185" s="372" t="str">
        <f>IF($V$3="N.B.C.",
IF(ISNUMBER($B$173),
IF($C185&lt;&gt;"",
IF('Cost Inputs'!$L$79="Y",
IF(ISNUMBER($W$55), $E185+($E$78*(($E185/$E$78)+$W$55)), $E185),
IF('Cost Inputs'!$L$79="N",
IF(AND(ISNUMBER('Cost Inputs'!$M$79), OR('Cost Inputs'!$M$79=1,'Cost Inputs'!$M$79=2,'Cost Inputs'!$M$79=3,'Cost Inputs'!$M$79=4,'Cost Inputs'!$M$79=6)),
IF(ISNUMBER($W$55), $E185+($E$78*(($E185/$E$78)+$W$55)), $E185),""),"")), ""),""),"")</f>
        <v/>
      </c>
      <c r="AD185" s="372" t="str">
        <f>IF($W$3="N.B.C.",
IF(ISNUMBER($B$173),
IF($C185&lt;&gt;"",
IF('Cost Inputs'!$L$79="Y",
IF(ISNUMBER($X$55), $E185+($E$78*(($E185/$E$78)+$X$55)), $E185),
IF('Cost Inputs'!$L$79="N",
IF(AND(ISNUMBER('Cost Inputs'!$M$79), OR('Cost Inputs'!$M$79=1)),
IF(ISNUMBER($X$55), $E185+($E$78*(($E185/$E$78)+$X$55)), $E185),""),"")), ""),""),"")</f>
        <v/>
      </c>
      <c r="AE185" s="372" t="str">
        <f>IF($X$3="N.B.C.",
IF(ISNUMBER($B$173),
IF($C185&lt;&gt;"",
IF('Cost Inputs'!$L$79="Y",
IF(ISNUMBER($Y$55), $E185+($E$78*(($E185/$E$78)+$Y$55)), $E185),
IF('Cost Inputs'!$L$79="N",
IF(AND(ISNUMBER('Cost Inputs'!$M$79), OR('Cost Inputs'!$M$79=1,'Cost Inputs'!$M$79=2,'Cost Inputs'!$M$79=7)),
IF(ISNUMBER($Y$55), $E185+($E$78*(($E185/$E$78)+$Y$55)), $E185),""),"")), ""),""),"")</f>
        <v/>
      </c>
    </row>
    <row r="186" spans="1:31" x14ac:dyDescent="0.25">
      <c r="A186" s="518"/>
      <c r="B186" s="504"/>
      <c r="C186" s="104" t="str">
        <f>IF(AND(ISNUMBER(B173), OR('Cost Inputs'!$H$80&lt;&gt;"", 'Cost Inputs'!$I$80&lt;&gt;"", 'Cost Inputs'!$J$80&lt;&gt;"")),
IF((INDEX(ProgramYearStage1,MATCH(DNA_Test_1,Years_in_Stage1,0)))='Model_ of_individuals'!B173,  _3_4_3,
IF(AND(ISNUMBER(B173), C165&lt;&gt;""), _3_4_3,"")),"")</f>
        <v/>
      </c>
      <c r="D186" s="17" t="str">
        <f>IF(AND(C186&lt;&gt;"", 'Cost Inputs'!$G$80&lt;&gt;""), 'Cost Inputs'!$G$80, "")</f>
        <v/>
      </c>
      <c r="E186" s="17" t="str">
        <f>IF(AND(C186&lt;&gt;"", 'Cost Inputs'!$H$80&lt;&gt;""), 'Cost Inputs'!$H$80, "")</f>
        <v/>
      </c>
      <c r="F186" s="17" t="str">
        <f>IF(AND(C186&lt;&gt;"", 'Cost Inputs'!$I$80&lt;&gt;""), 'Cost Inputs'!$I$80, "")</f>
        <v/>
      </c>
      <c r="G186" s="17" t="str">
        <f t="shared" si="8"/>
        <v/>
      </c>
      <c r="H186" s="17" t="str">
        <f>IF(AND(C186&lt;&gt;"", 'Cost Inputs'!$J$80&lt;&gt;""), 'Cost Inputs'!$J$80, "")</f>
        <v/>
      </c>
      <c r="I186" s="17" t="str">
        <f t="shared" si="7"/>
        <v/>
      </c>
      <c r="J186" s="17" t="str">
        <f>IF(AND(C186&lt;&gt;"",('Cost Inputs'!$I$80+'Cost Inputs'!$J$80+'Cost Inputs'!$K$80)&gt;0), 'Cost Inputs'!$I$80+'Cost Inputs'!$J$80+'Cost Inputs'!$K$80, "")</f>
        <v/>
      </c>
      <c r="K186" s="17" t="str">
        <f>IF(AND(C186&lt;&gt;"", 'Cost Inputs'!$N$80&gt;0),'Cost Inputs'!$N$80,"")</f>
        <v/>
      </c>
      <c r="M186" s="106"/>
      <c r="V186" s="364" t="str">
        <f>IF($O$3="N.B.C.",
IF(ISNUMBER($B$173),
IF($C186&lt;&gt;"",
IF('Cost Inputs'!$L$80="Y",
IF(ISNUMBER($P$55), $E186+($E$78*(($E186/$E$78)+$P$55)), $E186),
IF('Cost Inputs'!$L$80="N",
IF(AND(ISNUMBER('Cost Inputs'!$M$80), OR('Cost Inputs'!$M$80=1,'Cost Inputs'!$M$80=5)),
IF(ISNUMBER($P$55), $E186+($E$78*(($E186/$E$78)+$P$55)), $E186),""),"")), ""),""),"")</f>
        <v/>
      </c>
      <c r="W186" s="364" t="str">
        <f>IF($P$3="N.B.C.",
IF(ISNUMBER($B$173),
IF($C186&lt;&gt;"",
IF('Cost Inputs'!$L$80="Y",
IF(ISNUMBER($Q$55), $E186+($E$78*(($E186/$E$78)+$Q$55)), $E186),
IF('Cost Inputs'!$L$80="N",
IF(AND(ISNUMBER('Cost Inputs'!$M$80), OR('Cost Inputs'!$M$80=1,'Cost Inputs'!$M$80=2,'Cost Inputs'!$M$80=3,'Cost Inputs'!$M$80=6)),
IF(ISNUMBER($Q$55), $E186+($E$78*(($E186/$E$78)+$Q$55)), $E186),""),"")), ""),""),"")</f>
        <v/>
      </c>
      <c r="X186" s="364" t="str">
        <f>IF($Q$3="N.B.C.",
IF(ISNUMBER($B$173),
IF($C186&lt;&gt;"",
IF('Cost Inputs'!$L$80="Y",
IF(ISNUMBER($R$55), $E186+($E$78*(($E186/$E$78)+$R$55)), $E186),
IF('Cost Inputs'!$L$80="N",
IF(AND(ISNUMBER('Cost Inputs'!$M$80), OR('Cost Inputs'!$M$80=1,'Cost Inputs'!$M$80=7)),
IF(ISNUMBER($R$55), $E186+($E$78*(($E186/$E$78)+$R$55)), $E186),""),"")), ""),""),"")</f>
        <v/>
      </c>
      <c r="Y186" s="364" t="str">
        <f>IF($R$3="N.B.C.",
IF(ISNUMBER($B$173),
IF($C186&lt;&gt;"",
IF('Cost Inputs'!$L$80="Y",
IF(ISNUMBER($S$55), $E186+($E$78*(($E186/$E$78)+$S$55)), $E186),
IF('Cost Inputs'!$L$80="N",
IF(AND(ISNUMBER('Cost Inputs'!$M$80), OR('Cost Inputs'!$M$80=1,'Cost Inputs'!$M$80=2,'Cost Inputs'!$M$80=4,'Cost Inputs'!$M$80=8)),
IF(ISNUMBER($S$55), $E186+($E$78*(($E186/$E$78)+$S$55)), $E186),""),"")), ""),""),"")</f>
        <v/>
      </c>
      <c r="Z186" s="364" t="str">
        <f>IF($S$3="N.B.C.",
IF(ISNUMBER($B$173),
IF($C186&lt;&gt;"",
IF('Cost Inputs'!$L$80="Y",
IF(ISNUMBER($T$55), $E186+($E$78*(($E186/$E$78)+$T$55)), $E186),
IF('Cost Inputs'!$L$80="N",
IF(AND(ISNUMBER('Cost Inputs'!$M$80), OR('Cost Inputs'!$M$80=1,'Cost Inputs'!$M$80=3,'Cost Inputs'!$M$80=9)),
IF(ISNUMBER($T$55), $E186+($E$78*(($E186/$E$78)+$T$55)), $E186),""),"")), ""),""),"")</f>
        <v/>
      </c>
      <c r="AA186" s="364" t="str">
        <f>IF($T$3="N.B.C.",
IF(ISNUMBER($B$173),
IF($C186&lt;&gt;"",
IF('Cost Inputs'!$L$80="Y",
IF(ISNUMBER($U$55), $E186+($E$78*(($E186/$E$78)+$U$55)), $E186),
IF('Cost Inputs'!$L$80="N",
IF(AND(ISNUMBER('Cost Inputs'!$M$80), OR('Cost Inputs'!$M$80=1,'Cost Inputs'!$M$80=2,'Cost Inputs'!$M$80=5)),
IF(ISNUMBER($U$55), $E186+($E$78*(($E186/$E$78)+$U$55)), $E186),""),"")), ""),""),"")</f>
        <v/>
      </c>
      <c r="AB186" s="364" t="str">
        <f>IF($U$3="N.B.C.",
IF(ISNUMBER($B$173),
IF($C186&lt;&gt;"",
IF('Cost Inputs'!$L$80="Y",
IF(ISNUMBER($V$55), $E186+($E$78*(($E186/$E$78)+$V$55)), $E186),
IF('Cost Inputs'!$L$80="N",
IF(AND(ISNUMBER('Cost Inputs'!$M$80), OR('Cost Inputs'!$M$80=1)),
IF(ISNUMBER($V$55), $E186+($E$78*(($E186/$E$78)+$V$55)), $E186),""),"")), ""),""),"")</f>
        <v/>
      </c>
      <c r="AC186" s="364" t="str">
        <f>IF($V$3="N.B.C.",
IF(ISNUMBER($B$173),
IF($C186&lt;&gt;"",
IF('Cost Inputs'!$L$80="Y",
IF(ISNUMBER($W$55), $E186+($E$78*(($E186/$E$78)+$W$55)), $E186),
IF('Cost Inputs'!$L$80="N",
IF(AND(ISNUMBER('Cost Inputs'!$M$80), OR('Cost Inputs'!$M$80=1,'Cost Inputs'!$M$80=2,'Cost Inputs'!$M$80=3,'Cost Inputs'!$M$80=4,'Cost Inputs'!$M$80=6)),
IF(ISNUMBER($W$55), $E186+($E$78*(($E186/$E$78)+$W$55)), $E186),""),"")), ""),""),"")</f>
        <v/>
      </c>
      <c r="AD186" s="364" t="str">
        <f>IF($W$3="N.B.C.",
IF(ISNUMBER($B$173),
IF($C186&lt;&gt;"",
IF('Cost Inputs'!$L$80="Y",
IF(ISNUMBER($X$55), $E186+($E$78*(($E186/$E$78)+$X$55)), $E186),
IF('Cost Inputs'!$L$80="N",
IF(AND(ISNUMBER('Cost Inputs'!$M$80), OR('Cost Inputs'!$M$80=1)),
IF(ISNUMBER($X$55), $E186+($E$78*(($E186/$E$78)+$X$55)), $E186),""),"")), ""),""),"")</f>
        <v/>
      </c>
      <c r="AE186" s="364" t="str">
        <f>IF($X$3="N.B.C.",
IF(ISNUMBER($B$173),
IF($C186&lt;&gt;"",
IF('Cost Inputs'!$L$80="Y",
IF(ISNUMBER($Y$55), $E186+($E$78*(($E186/$E$78)+$Y$55)), $E186),
IF('Cost Inputs'!$L$80="N",
IF(AND(ISNUMBER('Cost Inputs'!$M$80), OR('Cost Inputs'!$M$80=1,'Cost Inputs'!$M$80=2,'Cost Inputs'!$M$80=7)),
IF(ISNUMBER($Y$55), $E186+($E$78*(($E186/$E$78)+$Y$55)), $E186),""),"")), ""),""),"")</f>
        <v/>
      </c>
    </row>
    <row r="187" spans="1:31" x14ac:dyDescent="0.25">
      <c r="A187" s="518"/>
      <c r="B187" s="504"/>
      <c r="C187" s="107" t="str">
        <f>IF(AND(ISNUMBER(B173), OR('Cost Inputs'!$H$81&lt;&gt;"", 'Cost Inputs'!$I$81&lt;&gt;"", 'Cost Inputs'!$J$81&lt;&gt;"")),
IF((INDEX(ProgramYearStage1,MATCH(DNA_Test_1,Years_in_Stage1,0)))='Model_ of_individuals'!B173,  _3_4_4,
IF(AND(ISNUMBER(B173), C166&lt;&gt;""), _3_4_4,"")),"")</f>
        <v/>
      </c>
      <c r="D187" s="93" t="str">
        <f>IF(AND(C187&lt;&gt;"", 'Cost Inputs'!$G$81&lt;&gt;""), 'Cost Inputs'!$G$81, "")</f>
        <v/>
      </c>
      <c r="E187" s="93" t="str">
        <f>IF(AND(C187&lt;&gt;"", 'Cost Inputs'!$H$81&lt;&gt;""), 'Cost Inputs'!$H$81, "")</f>
        <v/>
      </c>
      <c r="F187" s="93" t="str">
        <f>IF(AND(C187&lt;&gt;"", 'Cost Inputs'!$I$81&lt;&gt;""), 'Cost Inputs'!$I$81, "")</f>
        <v/>
      </c>
      <c r="G187" s="93" t="str">
        <f t="shared" si="8"/>
        <v/>
      </c>
      <c r="H187" s="93" t="str">
        <f>IF(AND(C187&lt;&gt;"", 'Cost Inputs'!$J$81&lt;&gt;""), 'Cost Inputs'!$J$81, "")</f>
        <v/>
      </c>
      <c r="I187" s="93" t="str">
        <f t="shared" si="7"/>
        <v/>
      </c>
      <c r="J187" s="93" t="str">
        <f>IF(AND(C187&lt;&gt;"",('Cost Inputs'!$I$81+'Cost Inputs'!$J$81+'Cost Inputs'!$K$81)&gt;0), 'Cost Inputs'!$I$81+'Cost Inputs'!$J$81+'Cost Inputs'!$K$81, "")</f>
        <v/>
      </c>
      <c r="K187" s="93" t="str">
        <f>IF(AND(C187&lt;&gt;"", 'Cost Inputs'!$N$81&gt;0),'Cost Inputs'!$N$81,"")</f>
        <v/>
      </c>
      <c r="L187" s="93"/>
      <c r="M187" s="109"/>
      <c r="V187" s="372" t="str">
        <f>IF($O$3="N.B.C.",
IF(ISNUMBER($B$173),
IF($C187&lt;&gt;"",
IF('Cost Inputs'!$L$81="Y",
IF(ISNUMBER($P$55), $E187+($E$78*(($E187/$E$78)+$P$55)), $E187),
IF('Cost Inputs'!$L$81="N",
IF(AND(ISNUMBER('Cost Inputs'!$M$81), OR('Cost Inputs'!$M$81=1,'Cost Inputs'!$M$81=5)),
IF(ISNUMBER($P$55), $E187+($E$78*(($E187/$E$78)+$P$55)), $E187),""),"")), ""),""),"")</f>
        <v/>
      </c>
      <c r="W187" s="372" t="str">
        <f>IF($P$3="N.B.C.",
IF(ISNUMBER($B$173),
IF($C187&lt;&gt;"",
IF('Cost Inputs'!$L$81="Y",
IF(ISNUMBER($Q$55), $E187+($E$78*(($E187/$E$78)+$Q$55)), $E187),
IF('Cost Inputs'!$L$81="N",
IF(AND(ISNUMBER('Cost Inputs'!$M$81), OR('Cost Inputs'!$M$81=1,'Cost Inputs'!$M$81=2,'Cost Inputs'!$M$81=3,'Cost Inputs'!$M$81=6)),
IF(ISNUMBER($Q$55), $E187+($E$78*(($E187/$E$78)+$Q$55)), $E187),""),"")), ""),""),"")</f>
        <v/>
      </c>
      <c r="X187" s="372" t="str">
        <f>IF($Q$3="N.B.C.",
IF(ISNUMBER($B$173),
IF($C187&lt;&gt;"",
IF('Cost Inputs'!$L$81="Y",
IF(ISNUMBER($R$55), $E187+($E$78*(($E187/$E$78)+$R$55)), $E187),
IF('Cost Inputs'!$L$81="N",
IF(AND(ISNUMBER('Cost Inputs'!$M$81), OR('Cost Inputs'!$M$81=1,'Cost Inputs'!$M$81=7)),
IF(ISNUMBER($R$55), $E187+($E$78*(($E187/$E$78)+$R$55)), $E187),""),"")), ""),""),"")</f>
        <v/>
      </c>
      <c r="Y187" s="372" t="str">
        <f>IF($R$3="N.B.C.",
IF(ISNUMBER($B$173),
IF($C187&lt;&gt;"",
IF('Cost Inputs'!$L$81="Y",
IF(ISNUMBER($S$55), $E187+($E$78*(($E187/$E$78)+$S$55)), $E187),
IF('Cost Inputs'!$L$81="N",
IF(AND(ISNUMBER('Cost Inputs'!$M$81), OR('Cost Inputs'!$M$81=1,'Cost Inputs'!$M$81=2,'Cost Inputs'!$M$81=4,'Cost Inputs'!$M$81=8)),
IF(ISNUMBER($S$55), $E187+($E$78*(($E187/$E$78)+$S$55)), $E187),""),"")), ""),""),"")</f>
        <v/>
      </c>
      <c r="Z187" s="372" t="str">
        <f>IF($S$3="N.B.C.",
IF(ISNUMBER($B$173),
IF($C187&lt;&gt;"",
IF('Cost Inputs'!$L$81="Y",
IF(ISNUMBER($T$55), $E187+($E$78*(($E187/$E$78)+$T$55)), $E187),
IF('Cost Inputs'!$L$81="N",
IF(AND(ISNUMBER('Cost Inputs'!$M$81), OR('Cost Inputs'!$M$81=1,'Cost Inputs'!$M$81=3,'Cost Inputs'!$M$81=9)),
IF(ISNUMBER($T$55), $E187+($E$78*(($E187/$E$78)+$T$55)), $E187),""),"")), ""),""),"")</f>
        <v/>
      </c>
      <c r="AA187" s="372" t="str">
        <f>IF($T$3="N.B.C.",
IF(ISNUMBER($B$173),
IF($C187&lt;&gt;"",
IF('Cost Inputs'!$L$81="Y",
IF(ISNUMBER($U$55), $E187+($E$78*(($E187/$E$78)+$U$55)), $E187),
IF('Cost Inputs'!$L$81="N",
IF(AND(ISNUMBER('Cost Inputs'!$M$81), OR('Cost Inputs'!$M$81=1,'Cost Inputs'!$M$81=2,'Cost Inputs'!$M$81=5)),
IF(ISNUMBER($U$55), $E187+($E$78*(($E187/$E$78)+$U$55)), $E187),""),"")), ""),""),"")</f>
        <v/>
      </c>
      <c r="AB187" s="372" t="str">
        <f>IF($U$3="N.B.C.",
IF(ISNUMBER($B$173),
IF($C187&lt;&gt;"",
IF('Cost Inputs'!$L$81="Y",
IF(ISNUMBER($V$55), $E187+($E$78*(($E187/$E$78)+$V$55)), $E187),
IF('Cost Inputs'!$L$81="N",
IF(AND(ISNUMBER('Cost Inputs'!$M$81), OR('Cost Inputs'!$M$81=1)),
IF(ISNUMBER($V$55), $E187+($E$78*(($E187/$E$78)+$V$55)), $E187),""),"")), ""),""),"")</f>
        <v/>
      </c>
      <c r="AC187" s="372" t="str">
        <f>IF($V$3="N.B.C.",
IF(ISNUMBER($B$173),
IF($C187&lt;&gt;"",
IF('Cost Inputs'!$L$81="Y",
IF(ISNUMBER($W$55), $E187+($E$78*(($E187/$E$78)+$W$55)), $E187),
IF('Cost Inputs'!$L$81="N",
IF(AND(ISNUMBER('Cost Inputs'!$M$81), OR('Cost Inputs'!$M$81=1,'Cost Inputs'!$M$81=2,'Cost Inputs'!$M$81=3,'Cost Inputs'!$M$81=4,'Cost Inputs'!$M$81=6)),
IF(ISNUMBER($W$55), $E187+($E$78*(($E187/$E$78)+$W$55)), $E187),""),"")), ""),""),"")</f>
        <v/>
      </c>
      <c r="AD187" s="372" t="str">
        <f>IF($W$3="N.B.C.",
IF(ISNUMBER($B$173),
IF($C187&lt;&gt;"",
IF('Cost Inputs'!$L$81="Y",
IF(ISNUMBER($X$55), $E187+($E$78*(($E187/$E$78)+$X$55)), $E187),
IF('Cost Inputs'!$L$81="N",
IF(AND(ISNUMBER('Cost Inputs'!$M$81), OR('Cost Inputs'!$M$81=1)),
IF(ISNUMBER($X$55), $E187+($E$78*(($E187/$E$78)+$X$55)), $E187),""),"")), ""),""),"")</f>
        <v/>
      </c>
      <c r="AE187" s="372" t="str">
        <f>IF($X$3="N.B.C.",
IF(ISNUMBER($B$173),
IF($C187&lt;&gt;"",
IF('Cost Inputs'!$L$81="Y",
IF(ISNUMBER($Y$55), $E187+($E$78*(($E187/$E$78)+$Y$55)), $E187),
IF('Cost Inputs'!$L$81="N",
IF(AND(ISNUMBER('Cost Inputs'!$M$81), OR('Cost Inputs'!$M$81=1,'Cost Inputs'!$M$81=2,'Cost Inputs'!$M$81=7)),
IF(ISNUMBER($Y$55), $E187+($E$78*(($E187/$E$78)+$Y$55)), $E187),""),"")), ""),""),"")</f>
        <v/>
      </c>
    </row>
    <row r="188" spans="1:31" x14ac:dyDescent="0.25">
      <c r="A188" s="518"/>
      <c r="B188" s="504"/>
      <c r="C188" s="104" t="str">
        <f>IF(AND(ISNUMBER(B173), OR('Cost Inputs'!$H$82&lt;&gt;"", 'Cost Inputs'!$I$82&lt;&gt;"", 'Cost Inputs'!$J$82&lt;&gt;"")),
IF((INDEX(ProgramYearStage1,MATCH(DNA_Test_1,Years_in_Stage1,0)))='Model_ of_individuals'!B173,  _3_4_5,
IF(AND(ISNUMBER(B173), C167&lt;&gt;""), _3_4_5,"")),"")</f>
        <v/>
      </c>
      <c r="D188" s="17" t="str">
        <f>IF(AND(C188&lt;&gt;"", 'Cost Inputs'!$G$82&lt;&gt;""), 'Cost Inputs'!$G$82, "")</f>
        <v/>
      </c>
      <c r="E188" s="17" t="str">
        <f>IF(AND(C188&lt;&gt;"", 'Cost Inputs'!$H$82&lt;&gt;""), 'Cost Inputs'!$H$82, "")</f>
        <v/>
      </c>
      <c r="F188" s="17" t="str">
        <f>IF(AND(C188&lt;&gt;"", 'Cost Inputs'!$I$82&lt;&gt;""), 'Cost Inputs'!$I$82, "")</f>
        <v/>
      </c>
      <c r="G188" s="17" t="str">
        <f t="shared" si="8"/>
        <v/>
      </c>
      <c r="H188" s="17" t="str">
        <f>IF(AND(C188&lt;&gt;"", 'Cost Inputs'!$J$82&lt;&gt;""), 'Cost Inputs'!$J$82, "")</f>
        <v/>
      </c>
      <c r="I188" s="17" t="str">
        <f t="shared" si="7"/>
        <v/>
      </c>
      <c r="J188" s="17" t="str">
        <f>IF(AND(C188&lt;&gt;"",('Cost Inputs'!$I$82+'Cost Inputs'!$J$82+'Cost Inputs'!$K$82)&gt;0), 'Cost Inputs'!$I$82+'Cost Inputs'!$J$82+'Cost Inputs'!$K$82, "")</f>
        <v/>
      </c>
      <c r="K188" s="17" t="str">
        <f>IF(AND(C188&lt;&gt;"", 'Cost Inputs'!$N$82&gt;0),'Cost Inputs'!$N$82,"")</f>
        <v/>
      </c>
      <c r="M188" s="106"/>
      <c r="V188" s="364" t="str">
        <f>IF($O$3="N.B.C.",
IF(ISNUMBER($B$173),
IF($C188&lt;&gt;"",
IF('Cost Inputs'!$L$82="Y",
IF(ISNUMBER($P$55), $E188+($E$78*(($E188/$E$78)+$P$55)), $E188),
IF('Cost Inputs'!$L$82="N",
IF(AND(ISNUMBER('Cost Inputs'!$M$82), OR('Cost Inputs'!$M$82=1,'Cost Inputs'!$M$82=5)),
IF(ISNUMBER($P$55), $E188+($E$78*(($E188/$E$78)+$P$55)), $E188),""),"")), ""),""),"")</f>
        <v/>
      </c>
      <c r="W188" s="364" t="str">
        <f>IF($P$3="N.B.C.",
IF(ISNUMBER($B$173),
IF($C188&lt;&gt;"",
IF('Cost Inputs'!$L$82="Y",
IF(ISNUMBER($Q$55), $E188+($E$78*(($E188/$E$78)+$Q$55)), $E188),
IF('Cost Inputs'!$L$82="N",
IF(AND(ISNUMBER('Cost Inputs'!$M$82), OR('Cost Inputs'!$M$82=1,'Cost Inputs'!$M$82=2,'Cost Inputs'!$M$82=3,'Cost Inputs'!$M$82=6)),
IF(ISNUMBER($Q$55), $E188+($E$78*(($E188/$E$78)+$Q$55)), $E188),""),"")), ""),""),"")</f>
        <v/>
      </c>
      <c r="X188" s="364" t="str">
        <f>IF($Q$3="N.B.C.",
IF(ISNUMBER($B$173),
IF($C188&lt;&gt;"",
IF('Cost Inputs'!$L$82="Y",
IF(ISNUMBER($R$55), $E188+($E$78*(($E188/$E$78)+$R$55)), $E188),
IF('Cost Inputs'!$L$82="N",
IF(AND(ISNUMBER('Cost Inputs'!$M$82), OR('Cost Inputs'!$M$82=1,'Cost Inputs'!$M$82=7)),
IF(ISNUMBER($R$55), $E188+($E$78*(($E188/$E$78)+$R$55)), $E188),""),"")), ""),""),"")</f>
        <v/>
      </c>
      <c r="Y188" s="364" t="str">
        <f>IF($R$3="N.B.C.",
IF(ISNUMBER($B$173),
IF($C188&lt;&gt;"",
IF('Cost Inputs'!$L$82="Y",
IF(ISNUMBER($S$55), $E188+($E$78*(($E188/$E$78)+$S$55)), $E188),
IF('Cost Inputs'!$L$82="N",
IF(AND(ISNUMBER('Cost Inputs'!$M$82), OR('Cost Inputs'!$M$82=1,'Cost Inputs'!$M$82=2,'Cost Inputs'!$M$82=4,'Cost Inputs'!$M$82=8)),
IF(ISNUMBER($S$55), $E188+($E$78*(($E188/$E$78)+$S$55)), $E188),""),"")), ""),""),"")</f>
        <v/>
      </c>
      <c r="Z188" s="364" t="str">
        <f>IF($S$3="N.B.C.",
IF(ISNUMBER($B$173),
IF($C188&lt;&gt;"",
IF('Cost Inputs'!$L$82="Y",
IF(ISNUMBER($T$55), $E188+($E$78*(($E188/$E$78)+$T$55)), $E188),
IF('Cost Inputs'!$L$82="N",
IF(AND(ISNUMBER('Cost Inputs'!$M$82), OR('Cost Inputs'!$M$82=1,'Cost Inputs'!$M$82=3,'Cost Inputs'!$M$82=9)),
IF(ISNUMBER($T$55), $E188+($E$78*(($E188/$E$78)+$T$55)), $E188),""),"")), ""),""),"")</f>
        <v/>
      </c>
      <c r="AA188" s="364" t="str">
        <f>IF($T$3="N.B.C.",
IF(ISNUMBER($B$173),
IF($C188&lt;&gt;"",
IF('Cost Inputs'!$L$82="Y",
IF(ISNUMBER($U$55), $E188+($E$78*(($E188/$E$78)+$U$55)), $E188),
IF('Cost Inputs'!$L$82="N",
IF(AND(ISNUMBER('Cost Inputs'!$M$82), OR('Cost Inputs'!$M$82=1,'Cost Inputs'!$M$82=2,'Cost Inputs'!$M$82=5)),
IF(ISNUMBER($U$55), $E188+($E$78*(($E188/$E$78)+$U$55)), $E188),""),"")), ""),""),"")</f>
        <v/>
      </c>
      <c r="AB188" s="364" t="str">
        <f>IF($U$3="N.B.C.",
IF(ISNUMBER($B$173),
IF($C188&lt;&gt;"",
IF('Cost Inputs'!$L$82="Y",
IF(ISNUMBER($V$55), $E188+($E$78*(($E188/$E$78)+$V$55)), $E188),
IF('Cost Inputs'!$L$82="N",
IF(AND(ISNUMBER('Cost Inputs'!$M$82), OR('Cost Inputs'!$M$82=1)),
IF(ISNUMBER($V$55), $E188+($E$78*(($E188/$E$78)+$V$55)), $E188),""),"")), ""),""),"")</f>
        <v/>
      </c>
      <c r="AC188" s="364" t="str">
        <f>IF($V$3="N.B.C.",
IF(ISNUMBER($B$173),
IF($C188&lt;&gt;"",
IF('Cost Inputs'!$L$82="Y",
IF(ISNUMBER($W$55), $E188+($E$78*(($E188/$E$78)+$W$55)), $E188),
IF('Cost Inputs'!$L$82="N",
IF(AND(ISNUMBER('Cost Inputs'!$M$82), OR('Cost Inputs'!$M$82=1,'Cost Inputs'!$M$82=2,'Cost Inputs'!$M$82=3,'Cost Inputs'!$M$82=4,'Cost Inputs'!$M$82=6)),
IF(ISNUMBER($W$55), $E188+($E$78*(($E188/$E$78)+$W$55)), $E188),""),"")), ""),""),"")</f>
        <v/>
      </c>
      <c r="AD188" s="364" t="str">
        <f>IF($W$3="N.B.C.",
IF(ISNUMBER($B$173),
IF($C188&lt;&gt;"",
IF('Cost Inputs'!$L$82="Y",
IF(ISNUMBER($X$55), $E188+($E$78*(($E188/$E$78)+$X$55)), $E188),
IF('Cost Inputs'!$L$82="N",
IF(AND(ISNUMBER('Cost Inputs'!$M$82), OR('Cost Inputs'!$M$82=1)),
IF(ISNUMBER($X$55), $E188+($E$78*(($E188/$E$78)+$X$55)), $E188),""),"")), ""),""),"")</f>
        <v/>
      </c>
      <c r="AE188" s="364" t="str">
        <f>IF($X$3="N.B.C.",
IF(ISNUMBER($B$173),
IF($C188&lt;&gt;"",
IF('Cost Inputs'!$L$82="Y",
IF(ISNUMBER($Y$55), $E188+($E$78*(($E188/$E$78)+$Y$55)), $E188),
IF('Cost Inputs'!$L$82="N",
IF(AND(ISNUMBER('Cost Inputs'!$M$82), OR('Cost Inputs'!$M$82=1,'Cost Inputs'!$M$82=2,'Cost Inputs'!$M$82=7)),
IF(ISNUMBER($Y$55), $E188+($E$78*(($E188/$E$78)+$Y$55)), $E188),""),"")), ""),""),"")</f>
        <v/>
      </c>
    </row>
    <row r="189" spans="1:31" x14ac:dyDescent="0.25">
      <c r="A189" s="518"/>
      <c r="B189" s="504"/>
      <c r="C189" s="107" t="str">
        <f>IF(AND(ISNUMBER(B173), OR('Cost Inputs'!$H$83&lt;&gt;"", 'Cost Inputs'!$I$83&lt;&gt;"", 'Cost Inputs'!$J$83&lt;&gt;"")),
IF((INDEX(ProgramYearStage1,MATCH(DNA_Test_1,Years_in_Stage1,0)))='Model_ of_individuals'!B173,  _3_4_6,
IF(AND(ISNUMBER(B173), C168&lt;&gt;""), _3_4_6,"")),"")</f>
        <v/>
      </c>
      <c r="D189" s="93" t="str">
        <f>IF(AND(C189&lt;&gt;"", 'Cost Inputs'!$G$83&lt;&gt;""), 'Cost Inputs'!$G$83, "")</f>
        <v/>
      </c>
      <c r="E189" s="93" t="str">
        <f>IF(AND(C189&lt;&gt;"", 'Cost Inputs'!$H$83&lt;&gt;""), 'Cost Inputs'!$H$83, "")</f>
        <v/>
      </c>
      <c r="F189" s="93" t="str">
        <f>IF(AND(C189&lt;&gt;"", 'Cost Inputs'!$I$83&lt;&gt;""), 'Cost Inputs'!$I$83, "")</f>
        <v/>
      </c>
      <c r="G189" s="93" t="str">
        <f t="shared" si="8"/>
        <v/>
      </c>
      <c r="H189" s="93" t="str">
        <f>IF(AND(C189&lt;&gt;"", 'Cost Inputs'!$J$83&lt;&gt;""), 'Cost Inputs'!$J$83, "")</f>
        <v/>
      </c>
      <c r="I189" s="93" t="str">
        <f t="shared" si="7"/>
        <v/>
      </c>
      <c r="J189" s="93" t="str">
        <f>IF(AND(C189&lt;&gt;"",('Cost Inputs'!$I$83+'Cost Inputs'!$J$83+'Cost Inputs'!$K$83)&gt;0), 'Cost Inputs'!$I$83+'Cost Inputs'!$J$83+'Cost Inputs'!$K$83, "")</f>
        <v/>
      </c>
      <c r="K189" s="93" t="str">
        <f>IF(AND(C189&lt;&gt;"", 'Cost Inputs'!$N$83&gt;0),'Cost Inputs'!$N$83,"")</f>
        <v/>
      </c>
      <c r="L189" s="93"/>
      <c r="M189" s="109"/>
      <c r="V189" s="372" t="str">
        <f>IF($O$3="N.B.C.",
IF(ISNUMBER($B$173),
IF($C189&lt;&gt;"",
IF('Cost Inputs'!$L$83="Y",
IF(ISNUMBER($P$55), $E189+($E$78*(($E189/$E$78)+$P$55)), $E189),
IF('Cost Inputs'!$L$83="N",
IF(AND(ISNUMBER('Cost Inputs'!$M$83), OR('Cost Inputs'!$M$83=1,'Cost Inputs'!$M$83=5)),
IF(ISNUMBER($P$55), $E189+($E$78*(($E189/$E$78)+$P$55)), $E189),""),"")), ""),""),"")</f>
        <v/>
      </c>
      <c r="W189" s="372" t="str">
        <f>IF($P$3="N.B.C.",
IF(ISNUMBER($B$173),
IF($C189&lt;&gt;"",
IF('Cost Inputs'!$L$83="Y",
IF(ISNUMBER($Q$55), $E189+($E$78*(($E189/$E$78)+$Q$55)), $E189),
IF('Cost Inputs'!$L$83="N",
IF(AND(ISNUMBER('Cost Inputs'!$M$83), OR('Cost Inputs'!$M$83=1,'Cost Inputs'!$M$83=2,'Cost Inputs'!$M$83=3,'Cost Inputs'!$M$83=6)),
IF(ISNUMBER($Q$55), $E189+($E$78*(($E189/$E$78)+$Q$55)), $E189),""),"")), ""),""),"")</f>
        <v/>
      </c>
      <c r="X189" s="372" t="str">
        <f>IF($Q$3="N.B.C.",
IF(ISNUMBER($B$173),
IF($C189&lt;&gt;"",
IF('Cost Inputs'!$L$83="Y",
IF(ISNUMBER($R$55), $E189+($E$78*(($E189/$E$78)+$R$55)), $E189),
IF('Cost Inputs'!$L$83="N",
IF(AND(ISNUMBER('Cost Inputs'!$M$83), OR('Cost Inputs'!$M$83=1,'Cost Inputs'!$M$83=7)),
IF(ISNUMBER($R$55), $E189+($E$78*(($E189/$E$78)+$R$55)), $E189),""),"")), ""),""),"")</f>
        <v/>
      </c>
      <c r="Y189" s="372" t="str">
        <f>IF($R$3="N.B.C.",
IF(ISNUMBER($B$173),
IF($C189&lt;&gt;"",
IF('Cost Inputs'!$L$83="Y",
IF(ISNUMBER($S$55), $E189+($E$78*(($E189/$E$78)+$S$55)), $E189),
IF('Cost Inputs'!$L$83="N",
IF(AND(ISNUMBER('Cost Inputs'!$M$83), OR('Cost Inputs'!$M$83=1,'Cost Inputs'!$M$83=2,'Cost Inputs'!$M$83=4,'Cost Inputs'!$M$83=8)),
IF(ISNUMBER($S$55), $E189+($E$78*(($E189/$E$78)+$S$55)), $E189),""),"")), ""),""),"")</f>
        <v/>
      </c>
      <c r="Z189" s="372" t="str">
        <f>IF($S$3="N.B.C.",
IF(ISNUMBER($B$173),
IF($C189&lt;&gt;"",
IF('Cost Inputs'!$L$83="Y",
IF(ISNUMBER($T$55), $E189+($E$78*(($E189/$E$78)+$T$55)), $E189),
IF('Cost Inputs'!$L$83="N",
IF(AND(ISNUMBER('Cost Inputs'!$M$83), OR('Cost Inputs'!$M$83=1,'Cost Inputs'!$M$83=3,'Cost Inputs'!$M$83=9)),
IF(ISNUMBER($T$55), $E189+($E$78*(($E189/$E$78)+$T$55)), $E189),""),"")), ""),""),"")</f>
        <v/>
      </c>
      <c r="AA189" s="372" t="str">
        <f>IF($T$3="N.B.C.",
IF(ISNUMBER($B$173),
IF($C189&lt;&gt;"",
IF('Cost Inputs'!$L$83="Y",
IF(ISNUMBER($U$55), $E189+($E$78*(($E189/$E$78)+$U$55)), $E189),
IF('Cost Inputs'!$L$83="N",
IF(AND(ISNUMBER('Cost Inputs'!$M$83), OR('Cost Inputs'!$M$83=1,'Cost Inputs'!$M$83=2,'Cost Inputs'!$M$83=5)),
IF(ISNUMBER($U$55), $E189+($E$78*(($E189/$E$78)+$U$55)), $E189),""),"")), ""),""),"")</f>
        <v/>
      </c>
      <c r="AB189" s="372" t="str">
        <f>IF($U$3="N.B.C.",
IF(ISNUMBER($B$173),
IF($C189&lt;&gt;"",
IF('Cost Inputs'!$L$83="Y",
IF(ISNUMBER($V$55), $E189+($E$78*(($E189/$E$78)+$V$55)), $E189),
IF('Cost Inputs'!$L$83="N",
IF(AND(ISNUMBER('Cost Inputs'!$M$83), OR('Cost Inputs'!$M$83=1)),
IF(ISNUMBER($V$55), $E189+($E$78*(($E189/$E$78)+$V$55)), $E189),""),"")), ""),""),"")</f>
        <v/>
      </c>
      <c r="AC189" s="372" t="str">
        <f>IF($V$3="N.B.C.",
IF(ISNUMBER($B$173),
IF($C189&lt;&gt;"",
IF('Cost Inputs'!$L$83="Y",
IF(ISNUMBER($W$55), $E189+($E$78*(($E189/$E$78)+$W$55)), $E189),
IF('Cost Inputs'!$L$83="N",
IF(AND(ISNUMBER('Cost Inputs'!$M$83), OR('Cost Inputs'!$M$83=1,'Cost Inputs'!$M$83=2,'Cost Inputs'!$M$83=3,'Cost Inputs'!$M$83=4,'Cost Inputs'!$M$83=6)),
IF(ISNUMBER($W$55), $E189+($E$78*(($E189/$E$78)+$W$55)), $E189),""),"")), ""),""),"")</f>
        <v/>
      </c>
      <c r="AD189" s="372" t="str">
        <f>IF($W$3="N.B.C.",
IF(ISNUMBER($B$173),
IF($C189&lt;&gt;"",
IF('Cost Inputs'!$L$83="Y",
IF(ISNUMBER($X$55), $E189+($E$78*(($E189/$E$78)+$X$55)), $E189),
IF('Cost Inputs'!$L$83="N",
IF(AND(ISNUMBER('Cost Inputs'!$M$83), OR('Cost Inputs'!$M$83=1)),
IF(ISNUMBER($X$55), $E189+($E$78*(($E189/$E$78)+$X$55)), $E189),""),"")), ""),""),"")</f>
        <v/>
      </c>
      <c r="AE189" s="372" t="str">
        <f>IF($X$3="N.B.C.",
IF(ISNUMBER($B$173),
IF($C189&lt;&gt;"",
IF('Cost Inputs'!$L$83="Y",
IF(ISNUMBER($Y$55), $E189+($E$78*(($E189/$E$78)+$Y$55)), $E189),
IF('Cost Inputs'!$L$83="N",
IF(AND(ISNUMBER('Cost Inputs'!$M$83), OR('Cost Inputs'!$M$83=1,'Cost Inputs'!$M$83=2,'Cost Inputs'!$M$83=7)),
IF(ISNUMBER($Y$55), $E189+($E$78*(($E189/$E$78)+$Y$55)), $E189),""),"")), ""),""),"")</f>
        <v/>
      </c>
    </row>
    <row r="190" spans="1:31" x14ac:dyDescent="0.25">
      <c r="A190" s="518"/>
      <c r="B190" s="504"/>
      <c r="C190" s="489" t="str">
        <f>IF('Model_ of_individuals'!C183&lt;&gt;"",
IF((INDEX(ProgramYearStage1,MATCH(DNA_Test_1,Years_in_Stage1,0)))='Model_ of_individuals'!B173,  "Percentage decrease in marker culling",""),"")</f>
        <v/>
      </c>
      <c r="D190" s="490"/>
      <c r="E190" s="490"/>
      <c r="F190" s="490"/>
      <c r="G190" s="490"/>
      <c r="H190" s="490"/>
      <c r="I190" s="490"/>
      <c r="J190" s="490"/>
      <c r="K190" s="490"/>
      <c r="L190" s="490"/>
      <c r="M190" s="491"/>
      <c r="V190" s="364" t="str">
        <f>IF($O$3="N.B.C.",
IF(ISNUMBER($B$173),
IF($C190&lt;&gt;"",
IF('Cost Inputs'!$L$84="Y",
IF(ISNUMBER($P$55), $E190+($E$78*(($E190/$E$78)+$P$55)), $E190),
IF('Cost Inputs'!$L$84="N",
IF(AND(ISNUMBER('Cost Inputs'!$M$84), OR('Cost Inputs'!$M$84=1,'Cost Inputs'!$M$84=5)),
IF(ISNUMBER($P$55), $E190+($E$78*(($E190/$E$78)+$P$55)), $E190),""),"")), ""),""),"")</f>
        <v/>
      </c>
      <c r="W190" s="364" t="str">
        <f>IF($P$3="N.B.C.",
IF(ISNUMBER($B$173),
IF($C190&lt;&gt;"",
IF('Cost Inputs'!$L$84="Y",
IF(ISNUMBER($Q$55), $E190+($E$78*(($E190/$E$78)+$Q$55)), $E190),
IF('Cost Inputs'!$L$84="N",
IF(AND(ISNUMBER('Cost Inputs'!$M$84), OR('Cost Inputs'!$M$84=1,'Cost Inputs'!$M$84=2,'Cost Inputs'!$M$84=3,'Cost Inputs'!$M$84=6)),
IF(ISNUMBER($Q$55), $E190+($E$78*(($E190/$E$78)+$Q$55)), $E190),""),"")), ""),""),"")</f>
        <v/>
      </c>
      <c r="X190" s="364" t="str">
        <f>IF($Q$3="N.B.C.",
IF(ISNUMBER($B$173),
IF($C190&lt;&gt;"",
IF('Cost Inputs'!$L$84="Y",
IF(ISNUMBER($R$55), $E190+($E$78*(($E190/$E$78)+$R$55)), $E190),
IF('Cost Inputs'!$L$84="N",
IF(AND(ISNUMBER('Cost Inputs'!$M$84), OR('Cost Inputs'!$M$84=1,'Cost Inputs'!$M$84=7)),
IF(ISNUMBER($R$55), $E190+($E$78*(($E190/$E$78)+$R$55)), $E190),""),"")), ""),""),"")</f>
        <v/>
      </c>
      <c r="Y190" s="364" t="str">
        <f>IF($R$3="N.B.C.",
IF(ISNUMBER($B$173),
IF($C190&lt;&gt;"",
IF('Cost Inputs'!$L$84="Y",
IF(ISNUMBER($S$55), $E190+($E$78*(($E190/$E$78)+$S$55)), $E190),
IF('Cost Inputs'!$L$84="N",
IF(AND(ISNUMBER('Cost Inputs'!$M$84), OR('Cost Inputs'!$M$84=1,'Cost Inputs'!$M$84=2,'Cost Inputs'!$M$84=4,'Cost Inputs'!$M$84=8)),
IF(ISNUMBER($S$55), $E190+($E$78*(($E190/$E$78)+$S$55)), $E190),""),"")), ""),""),"")</f>
        <v/>
      </c>
      <c r="Z190" s="364" t="str">
        <f>IF($S$3="N.B.C.",
IF(ISNUMBER($B$173),
IF($C190&lt;&gt;"",
IF('Cost Inputs'!$L$84="Y",
IF(ISNUMBER($T$55), $E190+($E$78*(($E190/$E$78)+$T$55)), $E190),
IF('Cost Inputs'!$L$84="N",
IF(AND(ISNUMBER('Cost Inputs'!$M$84), OR('Cost Inputs'!$M$84=1,'Cost Inputs'!$M$84=3,'Cost Inputs'!$M$84=9)),
IF(ISNUMBER($T$55), $E190+($E$78*(($E190/$E$78)+$T$55)), $E190),""),"")), ""),""),"")</f>
        <v/>
      </c>
      <c r="AA190" s="364" t="str">
        <f>IF($T$3="N.B.C.",
IF(ISNUMBER($B$173),
IF($C190&lt;&gt;"",
IF('Cost Inputs'!$L$84="Y",
IF(ISNUMBER($U$55), $E190+($E$78*(($E190/$E$78)+$U$55)), $E190),
IF('Cost Inputs'!$L$84="N",
IF(AND(ISNUMBER('Cost Inputs'!$M$84), OR('Cost Inputs'!$M$84=1,'Cost Inputs'!$M$84=2,'Cost Inputs'!$M$84=5)),
IF(ISNUMBER($U$55), $E190+($E$78*(($E190/$E$78)+$U$55)), $E190),""),"")), ""),""),"")</f>
        <v/>
      </c>
      <c r="AB190" s="364" t="str">
        <f>IF($U$3="N.B.C.",
IF(ISNUMBER($B$173),
IF($C190&lt;&gt;"",
IF('Cost Inputs'!$L$84="Y",
IF(ISNUMBER($V$55), $E190+($E$78*(($E190/$E$78)+$V$55)), $E190),
IF('Cost Inputs'!$L$84="N",
IF(AND(ISNUMBER('Cost Inputs'!$M$84), OR('Cost Inputs'!$M$84=1)),
IF(ISNUMBER($V$55), $E190+($E$78*(($E190/$E$78)+$V$55)), $E190),""),"")), ""),""),"")</f>
        <v/>
      </c>
      <c r="AC190" s="364" t="str">
        <f>IF($V$3="N.B.C.",
IF(ISNUMBER($B$173),
IF($C190&lt;&gt;"",
IF('Cost Inputs'!$L$84="Y",
IF(ISNUMBER($W$55), $E190+($E$78*(($E190/$E$78)+$W$55)), $E190),
IF('Cost Inputs'!$L$84="N",
IF(AND(ISNUMBER('Cost Inputs'!$M$84), OR('Cost Inputs'!$M$84=1,'Cost Inputs'!$M$84=2,'Cost Inputs'!$M$84=3,'Cost Inputs'!$M$84=4,'Cost Inputs'!$M$84=6)),
IF(ISNUMBER($W$55), $E190+($E$78*(($E190/$E$78)+$W$55)), $E190),""),"")), ""),""),"")</f>
        <v/>
      </c>
      <c r="AD190" s="364" t="str">
        <f>IF($W$3="N.B.C.",
IF(ISNUMBER($B$173),
IF($C190&lt;&gt;"",
IF('Cost Inputs'!$L$84="Y",
IF(ISNUMBER($X$55), $E190+($E$78*(($E190/$E$78)+$X$55)), $E190),
IF('Cost Inputs'!$L$84="N",
IF(AND(ISNUMBER('Cost Inputs'!$M$84), OR('Cost Inputs'!$M$84=1)),
IF(ISNUMBER($X$55), $E190+($E$78*(($E190/$E$78)+$X$55)), $E190),""),"")), ""),""),"")</f>
        <v/>
      </c>
      <c r="AE190" s="364" t="str">
        <f>IF($X$3="N.B.C.",
IF(ISNUMBER($B$173),
IF($C190&lt;&gt;"",
IF('Cost Inputs'!$L$84="Y",
IF(ISNUMBER($Y$55), $E190+($E$78*(($E190/$E$78)+$Y$55)), $E190),
IF('Cost Inputs'!$L$84="N",
IF(AND(ISNUMBER('Cost Inputs'!$M$84), OR('Cost Inputs'!$M$84=1,'Cost Inputs'!$M$84=2,'Cost Inputs'!$M$84=7)),
IF(ISNUMBER($Y$55), $E190+($E$78*(($E190/$E$78)+$Y$55)), $E190),""),"")), ""),""),"")</f>
        <v/>
      </c>
    </row>
    <row r="191" spans="1:31" x14ac:dyDescent="0.25">
      <c r="A191" s="518"/>
      <c r="B191" s="504"/>
      <c r="C191" s="110" t="str">
        <f>IF(ISNUMBER(B173), _3_5_0,"")</f>
        <v/>
      </c>
      <c r="D191" s="94" t="str">
        <f>IF(AND(B173&lt;&gt;"", OR('Cost Inputs'!$H$84&lt;&gt;"", 'Cost Inputs'!$I$84&lt;&gt;"", 'Cost Inputs'!$J$84&lt;&gt;"")), 'Cost Inputs'!$G$84,"")</f>
        <v/>
      </c>
      <c r="E191" s="94" t="str">
        <f>IF(AND(C191&lt;&gt;"", 'Cost Inputs'!$H$84&lt;&gt;""), 'Cost Inputs'!$H$84, "")</f>
        <v/>
      </c>
      <c r="F191" s="94" t="str">
        <f>IF(AND(C191&lt;&gt;"", 'Cost Inputs'!$I$84&lt;&gt;""), 'Cost Inputs'!$I$84, "")</f>
        <v/>
      </c>
      <c r="G191" s="94" t="str">
        <f t="shared" si="8"/>
        <v/>
      </c>
      <c r="H191" s="94" t="str">
        <f>IF(AND(C191&lt;&gt;"", 'Cost Inputs'!$J$84&lt;&gt;""), 'Cost Inputs'!$J$84, "")</f>
        <v/>
      </c>
      <c r="I191" s="94" t="str">
        <f>IF(AND($E191&lt;&gt;"", $H191&lt;&gt;""), $H191/$E191, "")</f>
        <v/>
      </c>
      <c r="J191" s="94" t="str">
        <f>IF(AND(C191&lt;&gt;"",('Cost Inputs'!$I$84+'Cost Inputs'!$J$84+'Cost Inputs'!$K$84)&gt;0), 'Cost Inputs'!$I$84+'Cost Inputs'!$J$84+'Cost Inputs'!$K$84, "")</f>
        <v/>
      </c>
      <c r="K191" s="94" t="str">
        <f>IF(AND(C191&lt;&gt;"", 'Cost Inputs'!$N$84&gt;0),'Cost Inputs'!$N$84,"")</f>
        <v/>
      </c>
      <c r="L191" s="94"/>
      <c r="M191" s="129" t="str">
        <f>IF(ISNUMBER(B173), 'Breeding Inputs'!D82+'Breeding Inputs'!E82, "")</f>
        <v/>
      </c>
      <c r="V191" s="373" t="str">
        <f>IF($O$3="N.B.C.",
IF(ISNUMBER($B$173),
IF('Cost Inputs'!$L$84="Y", $E$191*$M$191,
IF('Cost Inputs'!$L$84="N",
IF(ISNUMBER('Cost Inputs'!$M$84), $E$191*$M$191,""),"")), ""),"")</f>
        <v/>
      </c>
      <c r="W191" s="373" t="str">
        <f>IF($P$3="N.B.C.",
IF(ISNUMBER($B$173),
IF('Cost Inputs'!$L$84="Y", $E$191*$M$191,
IF('Cost Inputs'!$L$84="N",
IF(ISNUMBER('Cost Inputs'!$M$84), $E$191*$M$191,""),"")), ""),"")</f>
        <v/>
      </c>
      <c r="X191" s="373" t="str">
        <f>IF($Q$3="N.B.C.",
IF(ISNUMBER($B$173),
IF('Cost Inputs'!$L$84="Y", $E$191*$M$191,
IF('Cost Inputs'!$L$84="N",
IF(ISNUMBER('Cost Inputs'!$M$84), $E$191*$M$191,""),"")), ""),"")</f>
        <v/>
      </c>
      <c r="Y191" s="373" t="str">
        <f>IF($R$3="N.B.C.",
IF(ISNUMBER($B$173),
IF('Cost Inputs'!$L$84="Y", $E$191*$M$191,
IF('Cost Inputs'!$L$84="N",
IF(ISNUMBER('Cost Inputs'!$M$84), $E$191*$M$191,""),"")), ""),"")</f>
        <v/>
      </c>
      <c r="Z191" s="373" t="str">
        <f>IF($S$3="N.B.C.",
IF(ISNUMBER($B$173),
IF('Cost Inputs'!$L$84="Y", $E$191*$M$191,
IF('Cost Inputs'!$L$84="N",
IF(ISNUMBER('Cost Inputs'!$M$84), $E$191*$M$191,""),"")), ""),"")</f>
        <v/>
      </c>
      <c r="AA191" s="373" t="str">
        <f>IF($T$3="N.B.C.",
IF(ISNUMBER($B$173),
IF('Cost Inputs'!$L$84="Y", $E$191*$M$191,
IF('Cost Inputs'!$L$84="N",
IF(ISNUMBER('Cost Inputs'!$M$84), $E$191*$M$191,""),"")), ""),"")</f>
        <v/>
      </c>
      <c r="AB191" s="373" t="str">
        <f>IF($U$3="N.B.C.",
IF(ISNUMBER($B$173),
IF('Cost Inputs'!$L$84="Y", $E$191*$M$191,
IF('Cost Inputs'!$L$84="N",
IF(ISNUMBER('Cost Inputs'!$M$84), $E$191*$M$191,""),"")), ""),"")</f>
        <v/>
      </c>
      <c r="AC191" s="373" t="str">
        <f>IF($V$3="N.B.C.",
IF(ISNUMBER($B$173),
IF('Cost Inputs'!$L$84="Y", $E$191*$M$191,
IF('Cost Inputs'!$L$84="N",
IF(ISNUMBER('Cost Inputs'!$M$84), $E$191*$M$191,""),"")), ""),"")</f>
        <v/>
      </c>
      <c r="AD191" s="373" t="str">
        <f>IF($W$3="N.B.C.",
IF(ISNUMBER($B$173),
IF('Cost Inputs'!$L$84="Y", $E$191*$M$191,
IF('Cost Inputs'!$L$84="N",
IF(ISNUMBER('Cost Inputs'!$M$84), $E$191*$M$191,""),"")), ""),"")</f>
        <v/>
      </c>
      <c r="AE191" s="373" t="str">
        <f>IF($X$3="N.B.C.",
IF(ISNUMBER($B$173),
IF('Cost Inputs'!$L$84="Y", $E$191*$M$191,
IF('Cost Inputs'!$L$84="N",
IF(ISNUMBER('Cost Inputs'!$M$84), $E$191*$M$191,""),"")), ""),"")</f>
        <v/>
      </c>
    </row>
    <row r="192" spans="1:31" x14ac:dyDescent="0.25">
      <c r="A192" s="518"/>
      <c r="B192" s="504"/>
      <c r="C192" s="104" t="str">
        <f>IF(AND(ISNUMBER(B173), OR('Cost Inputs'!$H$85&lt;&gt;"", 'Cost Inputs'!$I$85&lt;&gt;"", 'Cost Inputs'!$J$85&lt;&gt;"")), _3_5_1, "")</f>
        <v/>
      </c>
      <c r="D192" s="17" t="str">
        <f>IF(AND(C192&lt;&gt;"", 'Cost Inputs'!$G$85&lt;&gt;""), 'Cost Inputs'!$G$85, "")</f>
        <v/>
      </c>
      <c r="E192" s="17" t="str">
        <f>IF(AND(C192&lt;&gt;"", 'Cost Inputs'!$H$85&lt;&gt;""), 'Cost Inputs'!$H$85, "")</f>
        <v/>
      </c>
      <c r="F192" s="17" t="str">
        <f>IF(AND(C192&lt;&gt;"", 'Cost Inputs'!$I$85&lt;&gt;""), 'Cost Inputs'!$I$85, "")</f>
        <v/>
      </c>
      <c r="G192" s="17" t="str">
        <f t="shared" si="8"/>
        <v/>
      </c>
      <c r="H192" s="17" t="str">
        <f>IF(AND(C192&lt;&gt;"", 'Cost Inputs'!$J$85&lt;&gt;""), 'Cost Inputs'!$J$85, "")</f>
        <v/>
      </c>
      <c r="I192" s="17" t="str">
        <f t="shared" si="7"/>
        <v/>
      </c>
      <c r="J192" s="17" t="str">
        <f>IF(AND(C192&lt;&gt;"",('Cost Inputs'!$I$85+'Cost Inputs'!$J$85+'Cost Inputs'!$K$85)&gt;0), 'Cost Inputs'!$I$85+'Cost Inputs'!$J$85+'Cost Inputs'!$K$85, "")</f>
        <v/>
      </c>
      <c r="K192" s="17" t="str">
        <f>IF(AND(C192&lt;&gt;"", 'Cost Inputs'!$N$85&gt;0),'Cost Inputs'!$N$85,"")</f>
        <v/>
      </c>
      <c r="M192" s="106"/>
      <c r="V192" s="364" t="str">
        <f>IF($O$3="N.B.C.", IF(ISNUMBER($B$173), IF('Cost Inputs'!$L$85="Y", $E$87, IF('Cost Inputs'!$L$85="N", IF(ISNUMBER('Cost Inputs'!$M$85), $E$87,""),"")), ""),"")</f>
        <v/>
      </c>
      <c r="W192" s="364" t="str">
        <f>IF($P$3="N.B.C.", IF(ISNUMBER($B$173), IF('Cost Inputs'!$L$85="Y", $E$87, IF('Cost Inputs'!$L$85="N", IF(ISNUMBER('Cost Inputs'!$M$85), $E$87,""),"")), ""),"")</f>
        <v/>
      </c>
      <c r="X192" s="364" t="str">
        <f>IF($Q$3="N.B.C.", IF(ISNUMBER($B$173), IF('Cost Inputs'!$L$85="Y", $E$87, IF('Cost Inputs'!$L$85="N", IF(ISNUMBER('Cost Inputs'!$M$85), $E$87,""),"")), ""),"")</f>
        <v/>
      </c>
      <c r="Y192" s="364" t="str">
        <f>IF($R$3="N.B.C.", IF(ISNUMBER($B$173), IF('Cost Inputs'!$L$85="Y", $E$87, IF('Cost Inputs'!$L$85="N", IF(ISNUMBER('Cost Inputs'!$M$85), $E$87,""),"")), ""),"")</f>
        <v/>
      </c>
      <c r="Z192" s="364" t="str">
        <f>IF($S$3="N.B.C.", IF(ISNUMBER($B$173), IF('Cost Inputs'!$L$85="Y", $E$87, IF('Cost Inputs'!$L$85="N", IF(ISNUMBER('Cost Inputs'!$M$85), $E$87,""),"")), ""),"")</f>
        <v/>
      </c>
      <c r="AA192" s="364" t="str">
        <f>IF($T$3="N.B.C.", IF(ISNUMBER($B$173), IF('Cost Inputs'!$L$85="Y", $E$87, IF('Cost Inputs'!$L$85="N", IF(ISNUMBER('Cost Inputs'!$M$85), $E$87,""),"")), ""),"")</f>
        <v/>
      </c>
      <c r="AB192" s="364" t="str">
        <f>IF($U$3="N.B.C.", IF(ISNUMBER($B$173), IF('Cost Inputs'!$L$85="Y", $E$87, IF('Cost Inputs'!$L$85="N", IF(ISNUMBER('Cost Inputs'!$M$85), $E$87,""),"")), ""),"")</f>
        <v/>
      </c>
      <c r="AC192" s="364" t="str">
        <f>IF($V$3="N.B.C.", IF(ISNUMBER($B$173), IF('Cost Inputs'!$L$85="Y", $E$87, IF('Cost Inputs'!$L$85="N", IF(ISNUMBER('Cost Inputs'!$M$85), $E$87,""),"")), ""),"")</f>
        <v/>
      </c>
      <c r="AD192" s="364" t="str">
        <f>IF($W$3="N.B.C.", IF(ISNUMBER($B$173), IF('Cost Inputs'!$L$85="Y", $E$87, IF('Cost Inputs'!$L$85="N", IF(ISNUMBER('Cost Inputs'!$M$85), $E$87,""),"")), ""),"")</f>
        <v/>
      </c>
      <c r="AE192" s="364" t="str">
        <f>IF($X$3="N.B.C.", IF(ISNUMBER($B$173), IF('Cost Inputs'!$L$85="Y", $E$87, IF('Cost Inputs'!$L$85="N", IF(ISNUMBER('Cost Inputs'!$M$85), $E$87,""),"")), ""),"")</f>
        <v/>
      </c>
    </row>
    <row r="193" spans="1:32" ht="15.75" thickBot="1" x14ac:dyDescent="0.3">
      <c r="A193" s="518"/>
      <c r="B193" s="505"/>
      <c r="C193" s="111" t="str">
        <f>IF(AND(ISNUMBER(B173), OR('Cost Inputs'!$H$86&lt;&gt;"", 'Cost Inputs'!$I$86&lt;&gt;"", 'Cost Inputs'!$J$86&lt;&gt;"")), _3_5_2, "")</f>
        <v/>
      </c>
      <c r="D193" s="95" t="str">
        <f>IF(AND(C193&lt;&gt;"", 'Cost Inputs'!$G$86&lt;&gt;""), 'Cost Inputs'!$G$86, "")</f>
        <v/>
      </c>
      <c r="E193" s="95" t="str">
        <f>IF(AND(C193&lt;&gt;"", 'Cost Inputs'!$H$86&lt;&gt;""), 'Cost Inputs'!$H$86, "")</f>
        <v/>
      </c>
      <c r="F193" s="95" t="str">
        <f>IF(AND(C193&lt;&gt;"", 'Cost Inputs'!$I$86&lt;&gt;""), 'Cost Inputs'!$I$86, "")</f>
        <v/>
      </c>
      <c r="G193" s="95" t="str">
        <f t="shared" si="8"/>
        <v/>
      </c>
      <c r="H193" s="95" t="str">
        <f>IF(AND(C193&lt;&gt;"", 'Cost Inputs'!$J$86&lt;&gt;""), 'Cost Inputs'!$J$86, "")</f>
        <v/>
      </c>
      <c r="I193" s="95" t="str">
        <f t="shared" si="7"/>
        <v/>
      </c>
      <c r="J193" s="95" t="str">
        <f>IF(AND(C193&lt;&gt;"",('Cost Inputs'!$I$86+'Cost Inputs'!$J$86+'Cost Inputs'!$K$86)&gt;0), 'Cost Inputs'!$I$86+'Cost Inputs'!$J$86+'Cost Inputs'!$K$86, "")</f>
        <v/>
      </c>
      <c r="K193" s="95" t="str">
        <f>IF(AND(C193&lt;&gt;"", 'Cost Inputs'!$N$86&gt;0),'Cost Inputs'!$N$86,"")</f>
        <v/>
      </c>
      <c r="L193" s="95"/>
      <c r="M193" s="113"/>
      <c r="V193" s="372" t="str">
        <f>IF($O$3="N.B.C.", IF(ISNUMBER($B$173), IF('Cost Inputs'!$L$86="Y", $E$88, IF('Cost Inputs'!$L$86="N", IF(ISNUMBER('Cost Inputs'!$M$86), $E$88,""),"")), ""),"")</f>
        <v/>
      </c>
      <c r="W193" s="372" t="str">
        <f>IF($P$3="N.B.C.", IF(ISNUMBER($B$173), IF('Cost Inputs'!$L$86="Y", $E$88, IF('Cost Inputs'!$L$86="N", IF(ISNUMBER('Cost Inputs'!$M$86), $E$88,""),"")), ""),"")</f>
        <v/>
      </c>
      <c r="X193" s="372" t="str">
        <f>IF($Q$3="N.B.C.", IF(ISNUMBER($B$173), IF('Cost Inputs'!$L$86="Y", $E$88, IF('Cost Inputs'!$L$86="N", IF(ISNUMBER('Cost Inputs'!$M$86), $E$88,""),"")), ""),"")</f>
        <v/>
      </c>
      <c r="Y193" s="372" t="str">
        <f>IF($R$3="N.B.C.", IF(ISNUMBER($B$173), IF('Cost Inputs'!$L$86="Y", $E$88, IF('Cost Inputs'!$L$86="N", IF(ISNUMBER('Cost Inputs'!$M$86), $E$88,""),"")), ""),"")</f>
        <v/>
      </c>
      <c r="Z193" s="372" t="str">
        <f>IF($S$3="N.B.C.", IF(ISNUMBER($B$173), IF('Cost Inputs'!$L$86="Y", $E$88, IF('Cost Inputs'!$L$86="N", IF(ISNUMBER('Cost Inputs'!$M$86), $E$88,""),"")), ""),"")</f>
        <v/>
      </c>
      <c r="AA193" s="372" t="str">
        <f>IF($T$3="N.B.C.", IF(ISNUMBER($B$173), IF('Cost Inputs'!$L$86="Y", $E$88, IF('Cost Inputs'!$L$86="N", IF(ISNUMBER('Cost Inputs'!$M$86), $E$88,""),"")), ""),"")</f>
        <v/>
      </c>
      <c r="AB193" s="372" t="str">
        <f>IF($U$3="N.B.C.", IF(ISNUMBER($B$173), IF('Cost Inputs'!$L$86="Y", $E$88, IF('Cost Inputs'!$L$86="N", IF(ISNUMBER('Cost Inputs'!$M$86), $E$88,""),"")), ""),"")</f>
        <v/>
      </c>
      <c r="AC193" s="372" t="str">
        <f>IF($V$3="N.B.C.", IF(ISNUMBER($B$173), IF('Cost Inputs'!$L$86="Y", $E$88, IF('Cost Inputs'!$L$86="N", IF(ISNUMBER('Cost Inputs'!$M$86), $E$88,""),"")), ""),"")</f>
        <v/>
      </c>
      <c r="AD193" s="372" t="str">
        <f>IF($W$3="N.B.C.", IF(ISNUMBER($B$173), IF('Cost Inputs'!$L$86="Y", $E$88, IF('Cost Inputs'!$L$86="N", IF(ISNUMBER('Cost Inputs'!$M$86), $E$88,""),"")), ""),"")</f>
        <v/>
      </c>
      <c r="AE193" s="372" t="str">
        <f>IF($X$3="N.B.C.", IF(ISNUMBER($B$173), IF('Cost Inputs'!$L$86="Y", $E$88, IF('Cost Inputs'!$L$86="N", IF(ISNUMBER('Cost Inputs'!$M$86), $E$88,""),"")), ""),"")</f>
        <v/>
      </c>
    </row>
    <row r="194" spans="1:32" ht="14.45" customHeight="1" x14ac:dyDescent="0.25">
      <c r="A194" s="518" t="str">
        <f>Third_Stage</f>
        <v>Stage 1 Seedling Test Plots</v>
      </c>
      <c r="B194" s="503" t="str">
        <f>'Breeding Inputs'!B83</f>
        <v/>
      </c>
      <c r="C194" s="116" t="str">
        <f>IF(ISNUMBER(B194), _3_2_0, "")</f>
        <v/>
      </c>
      <c r="D194" s="92" t="str">
        <f>IF(AND(B194&lt;&gt;"", OR('Cost Inputs'!$H$67&lt;&gt;"", 'Cost Inputs'!$I$67&lt;&gt;"", 'Cost Inputs'!$J$67&lt;&gt;"")), 'Cost Inputs'!$G$67,"")</f>
        <v/>
      </c>
      <c r="E194" s="92" t="str">
        <f>IF(AND(C194&lt;&gt;"", 'Cost Inputs'!$H$67&lt;&gt;"", M$191&lt;&gt;"", M$191&gt;0), $E173-('Cost Inputs'!$H$67*M$191), IF(AND(C194&lt;&gt;"", 'Cost Inputs'!$H$67&lt;&gt;""), $E173, ""))</f>
        <v/>
      </c>
      <c r="F194" s="92" t="str">
        <f>IF(AND(C194&lt;&gt;"", 'Cost Inputs'!$I$67&lt;&gt;""), 'Cost Inputs'!$I$67, "")</f>
        <v/>
      </c>
      <c r="G194" s="92" t="str">
        <f t="shared" si="8"/>
        <v/>
      </c>
      <c r="H194" s="92" t="str">
        <f>IF(AND(C194&lt;&gt;"", 'Cost Inputs'!$J$67&lt;&gt;""), 'Cost Inputs'!$J$67, "")</f>
        <v/>
      </c>
      <c r="I194" s="92" t="str">
        <f>IF(AND($E194&lt;&gt;"", $H194&lt;&gt;""), $H194/$E194, "")</f>
        <v/>
      </c>
      <c r="J194" s="92" t="str">
        <f>IF(AND(C194&lt;&gt;"",('Cost Inputs'!$I$67+'Cost Inputs'!$J$67+'Cost Inputs'!$K$67)&gt;0), 'Cost Inputs'!$I$67+'Cost Inputs'!$J$67+'Cost Inputs'!$K$67, "")</f>
        <v/>
      </c>
      <c r="K194" s="92" t="str">
        <f>IF(AND(C194&lt;&gt;"", 'Cost Inputs'!$N$67&gt;0),'Cost Inputs'!$N$67,"")</f>
        <v/>
      </c>
      <c r="L194" s="92"/>
      <c r="M194" s="101"/>
      <c r="W194" s="373" t="str">
        <f>IF($O$3="N.B.C.",
IF(ISNUMBER($B$194),
IF($C194&lt;&gt;"",
IF('Cost Inputs'!$L$67="Y",
IF(AND(ISNUMBER(P$56), P$56&gt;$E$60), $E194+($E$60*(($E194/$E$60)+$P$55)), $E194),
IF('Cost Inputs'!$L$67="N",
IF(AND(ISNUMBER('Cost Inputs'!$M$67), OR('Cost Inputs'!$M$67=1,'Cost Inputs'!$M$67=2, 'Cost Inputs'!$M$67=3,'Cost Inputs'!$M$67=6)),
IF(AND(ISNUMBER(P$56), P$56&gt;$E$60), $E194+($E$60*(($E194/$E$60)+$P$55)), $E194), ""),"")), ""), ""), "")</f>
        <v/>
      </c>
      <c r="X194" s="373" t="str">
        <f>IF($P$3="N.B.C.",
IF(ISNUMBER($B$194),
IF($C194&lt;&gt;"",
IF('Cost Inputs'!$L$67="Y",
IF(AND(ISNUMBER(Q$56), Q$56&gt;$E$60), $E194+($E$60*(($E194/$E$60)+$Q$55)), $E194),
IF('Cost Inputs'!$L$67="N",
IF(AND(ISNUMBER('Cost Inputs'!$M$67), OR('Cost Inputs'!$M$67=1,'Cost Inputs'!$M$67=7)),
IF(AND(ISNUMBER(Q$56), Q$56&gt;$E$60), $E194+($E$60*(($E194/$E$60)+$Q$55)), $E194), ""),"")), ""), ""), "")</f>
        <v/>
      </c>
      <c r="Y194" s="373" t="str">
        <f>IF($Q$3="N.B.C.",
IF(ISNUMBER($B$194),
IF($C194&lt;&gt;"",
IF('Cost Inputs'!$L$67="Y",
IF(AND(ISNUMBER(R$56), R$56&gt;$E$60), $E194+($E$60*(($E194/$E$60)+$R$55)), $E194),
IF('Cost Inputs'!$L$67="N",
IF(AND(ISNUMBER('Cost Inputs'!$M$67), OR('Cost Inputs'!$M$67=1,'Cost Inputs'!$M$67=2,'Cost Inputs'!$M$67=4,'Cost Inputs'!$M$67=8)),
IF(AND(ISNUMBER(R$56), R$56&gt;$E$60), $E194+($E$60*(($E194/$E$60)+$R$55)), $E194), ""),"")), ""), ""), "")</f>
        <v/>
      </c>
      <c r="Z194" s="373" t="str">
        <f>IF($R$3="N.B.C.",
IF(ISNUMBER($B$194),
IF($C194&lt;&gt;"",
IF('Cost Inputs'!$L$67="Y",
IF(AND(ISNUMBER(S$56), S$56&gt;$E$60), $E194+($E$60*(($E194/$E$60)+$S$55)), $E194),
IF('Cost Inputs'!$L$67="N",
IF(AND(ISNUMBER('Cost Inputs'!$M$67), OR('Cost Inputs'!$M$67=1,'Cost Inputs'!$M$67=3, 'Cost Inputs'!$M$67=9)),
IF(AND(ISNUMBER(S$56), S$56&gt;$E$60), $E194+($E$60*(($E194/$E$60)+$S$55)), $E194), ""),"")), ""), ""), "")</f>
        <v/>
      </c>
      <c r="AA194" s="373" t="str">
        <f>IF($S$3="N.B.C.",
IF(ISNUMBER($B$194),
IF($C194&lt;&gt;"",
IF('Cost Inputs'!$L$67="Y",
IF(AND(ISNUMBER(T$56), T$56&gt;$E$60), $E194+($E$60*(($E194/$E$60)+$T$55)), $E194),
IF('Cost Inputs'!$L$67="N",
IF(AND(ISNUMBER('Cost Inputs'!$M$67), OR('Cost Inputs'!$M$67=1,'Cost Inputs'!$M$67=2, 'Cost Inputs'!$M$67=5)),
IF(AND(ISNUMBER(T$56), T$56&gt;$E$60), $E194+($E$60*(($E194/$E$60)+$T$55)), $E194), ""),"")), ""), ""), "")</f>
        <v/>
      </c>
      <c r="AB194" s="373" t="str">
        <f>IF($T$3="N.B.C.",
IF(ISNUMBER($B$194),
IF($C194&lt;&gt;"",
IF('Cost Inputs'!$L$67="Y",
IF(AND(ISNUMBER(U$56), U$56&gt;$E$60), $E194+($E$60*(($E194/$E$60)+$U$55)), $E194),
IF('Cost Inputs'!$L$67="N",
IF(AND(ISNUMBER('Cost Inputs'!$M$67), OR('Cost Inputs'!$M$67=1)),
IF(AND(ISNUMBER(U$56), U$56&gt;$E$60), $E194+($E$60*(($E194/$E$60)+$U$55)), $E194), ""),"")), ""), ""), "")</f>
        <v/>
      </c>
      <c r="AC194" s="373" t="str">
        <f>IF($U$3="N.B.C.",
IF(ISNUMBER($B$194),
IF($C194&lt;&gt;"",
IF('Cost Inputs'!$L$67="Y",
IF(AND(ISNUMBER(V$56), V$56&gt;$E$60), $E194+($E$60*(($E194/$E$60)+$V$55)), $E194),
IF('Cost Inputs'!$L$67="N",
IF(AND(ISNUMBER('Cost Inputs'!$M$67), OR('Cost Inputs'!$M$67=1,'Cost Inputs'!$M$67=2,'Cost Inputs'!$M$67=3,'Cost Inputs'!$M$67=4,'Cost Inputs'!$M$67=6)),
IF(AND(ISNUMBER(V$56), V$56&gt;$E$60), $E194+($E$60*(($E194/$E$60)+$V$55)), $E194), ""),"")), ""), ""), "")</f>
        <v/>
      </c>
      <c r="AD194" s="373" t="str">
        <f>IF($V$3="N.B.C.",
IF(ISNUMBER($B$194),
IF($C194&lt;&gt;"",
IF('Cost Inputs'!$L$67="Y",
IF(AND(ISNUMBER(W$56), W$56&gt;$E$60), $E194+($E$60*(($E194/$E$60)+$W$55)), $E194),
IF('Cost Inputs'!$L$67="N",
IF(AND(ISNUMBER('Cost Inputs'!$M$67), OR('Cost Inputs'!$M$67=1)),
IF(AND(ISNUMBER(W$56), W$56&gt;$E$60), $E194+($E$60*(($E194/$E$60)+$W$55)), $E194), ""),"")), ""), ""), "")</f>
        <v/>
      </c>
      <c r="AE194" s="373" t="str">
        <f>IF($W$3="N.B.C.",
IF(ISNUMBER($B$194),
IF($C194&lt;&gt;"",
IF('Cost Inputs'!$L$67="Y",
IF(AND(ISNUMBER(X$56), X$56&gt;$E$60), $E194+($E$60*(($E194/$E$60)+$X$55)), $E194),
IF('Cost Inputs'!$L$67="N",
IF(AND(ISNUMBER('Cost Inputs'!$M$67), OR('Cost Inputs'!$M$67=1, 'Cost Inputs'!$M$67=2, 'Cost Inputs'!$M$67=7)),
IF(AND(ISNUMBER(X$56), X$56&gt;$E$60), $E194+($E$60*(($E194/$E$60)+$X$55)), $E194), ""),"")), ""), ""), "")</f>
        <v/>
      </c>
      <c r="AF194" s="373" t="str">
        <f>IF($X$3="N.B.C.",
IF(ISNUMBER($B$194),
IF($C194&lt;&gt;"",
IF('Cost Inputs'!$L$67="Y",
IF(AND(ISNUMBER(Y$56), Y$56&gt;$E$60), $E194+($E$60*(($E194/$E$60)+$Y$55)), $E194),
IF('Cost Inputs'!$L$67="N",
IF(AND(ISNUMBER('Cost Inputs'!$M$67), OR('Cost Inputs'!$M$67=1, 'Cost Inputs'!$M$67=3, 'Cost Inputs'!$M$67=5)),
IF(AND(ISNUMBER(Y$56), Y$56&gt;$E$60), $E194+($E$60*(($E194/$E$60)+$Y$55)), $E194), ""),"")), ""), ""), "")</f>
        <v/>
      </c>
    </row>
    <row r="195" spans="1:32" x14ac:dyDescent="0.25">
      <c r="A195" s="518"/>
      <c r="B195" s="504"/>
      <c r="C195" s="104" t="str">
        <f>IF(AND(ISNUMBER(B194), OR('Cost Inputs'!$H$68&lt;&gt;"", 'Cost Inputs'!$I$68&lt;&gt;"", 'Cost Inputs'!$J$68&lt;&gt;"")), _3_2_1, "")</f>
        <v/>
      </c>
      <c r="D195" s="17" t="str">
        <f>IF(AND($C195&lt;&gt;"", 'Cost Inputs'!$G$68&lt;&gt;""), 'Cost Inputs'!$G$68, "")</f>
        <v/>
      </c>
      <c r="E195" s="17" t="str">
        <f>IF(AND(C195&lt;&gt;"", 'Cost Inputs'!$H$68&lt;&gt;"", M$191&lt;&gt;"", M$191&gt;0), $E174-('Cost Inputs'!$H$68*M$191), IF(AND(C195&lt;&gt;"", 'Cost Inputs'!$H$68&lt;&gt;""), $E174, ""))</f>
        <v/>
      </c>
      <c r="F195" s="17" t="str">
        <f>IF(AND(C195&lt;&gt;"", 'Cost Inputs'!$I$68&lt;&gt;""), 'Cost Inputs'!$I$68, "")</f>
        <v/>
      </c>
      <c r="G195" s="17" t="str">
        <f t="shared" si="8"/>
        <v/>
      </c>
      <c r="H195" s="17" t="str">
        <f>IF(AND(C195&lt;&gt;"", 'Cost Inputs'!$J$68&lt;&gt;""), 'Cost Inputs'!$J$68, "")</f>
        <v/>
      </c>
      <c r="I195" s="17" t="str">
        <f t="shared" si="7"/>
        <v/>
      </c>
      <c r="J195" s="17" t="str">
        <f>IF(AND(C195&lt;&gt;"",('Cost Inputs'!$I$68+'Cost Inputs'!$J$68+'Cost Inputs'!$K$68)&gt;0), 'Cost Inputs'!$I$68+'Cost Inputs'!$J$68+'Cost Inputs'!$K$68, "")</f>
        <v/>
      </c>
      <c r="K195" s="17" t="str">
        <f>IF(AND(C195&lt;&gt;"", 'Cost Inputs'!$N$68&gt;0),'Cost Inputs'!$N$68,"")</f>
        <v/>
      </c>
      <c r="M195" s="106"/>
      <c r="W195" s="364" t="str">
        <f>IF($O$3="N.B.C.",
IF(ISNUMBER($B$194),
IF($C195&lt;&gt;"",
IF('Cost Inputs'!$L$68="Y",
IF(ISNUMBER($P$55), $E195+($E$89*(($E195/$E$89)+$P$55)), $E195),
IF('Cost Inputs'!$L$68="N",
IF(AND(ISNUMBER('Cost Inputs'!$M$68), OR('Cost Inputs'!$M$68=1,'Cost Inputs'!$M$68=2,'Cost Inputs'!$M$68=3,'Cost Inputs'!$M$68=6)),
IF(ISNUMBER($P$55), $E195+($E$89*(($E195/$E$89)+$P$55)), $E195),""),"")), ""),""),"")</f>
        <v/>
      </c>
      <c r="X195" s="364" t="str">
        <f>IF($P$3="N.B.C.",
IF(ISNUMBER($B$194),
IF($C195&lt;&gt;"",
IF('Cost Inputs'!$L$68="Y",
IF(ISNUMBER($Q$55), $E195+($E$89*(($E195/$E$89)+$Q$55)), $E195),
IF('Cost Inputs'!$L$68="N",
IF(AND(ISNUMBER('Cost Inputs'!$M$68), OR('Cost Inputs'!$M$68=1,'Cost Inputs'!$M$68=7)),
IF(ISNUMBER($Q$55), $E195+($E$89*(($E195/$E$89)+$Q$55)), $E195),""),"")), ""),""),"")</f>
        <v/>
      </c>
      <c r="Y195" s="364" t="str">
        <f>IF($Q$3="N.B.C.",
IF(ISNUMBER($B$194),
IF($C195&lt;&gt;"",
IF('Cost Inputs'!$L$68="Y",
IF(ISNUMBER($R$55), $E195+($E$89*(($E195/$E$89)+$R$55)), $E195),
IF('Cost Inputs'!$L$68="N",
IF(AND(ISNUMBER('Cost Inputs'!$M$68), OR('Cost Inputs'!$M$68=1,'Cost Inputs'!$M$68=2,'Cost Inputs'!$M$68=4,'Cost Inputs'!$M$68=8)),
IF(ISNUMBER($R$55), $E195+($E$89*(($E195/$E$89)+$R$55)), $E195),""),"")), ""),""),"")</f>
        <v/>
      </c>
      <c r="Z195" s="364" t="str">
        <f>IF($R$3="N.B.C.",
IF(ISNUMBER($B$194),
IF($C195&lt;&gt;"",
IF('Cost Inputs'!$L$68="Y",
IF(ISNUMBER($S$55), $E195+($E$89*(($E195/$E$89)+$S$55)), $E195),
IF('Cost Inputs'!$L$68="N",
IF(AND(ISNUMBER('Cost Inputs'!$M$68), OR('Cost Inputs'!$M$68=1,'Cost Inputs'!$M$68=3,'Cost Inputs'!$M$68=9)),
IF(ISNUMBER($S$55), $E195+($E$89*(($E195/$E$89)+$S$55)), $E195),""),"")), ""),""),"")</f>
        <v/>
      </c>
      <c r="AA195" s="364" t="str">
        <f>IF($S$3="N.B.C.",
IF(ISNUMBER($B$194),
IF($C195&lt;&gt;"",
IF('Cost Inputs'!$L$68="Y",
IF(ISNUMBER($T$55), $E195+($E$89*(($E195/$E$89)+$T$55)), $E195),
IF('Cost Inputs'!$L$68="N",
IF(AND(ISNUMBER('Cost Inputs'!$M$68), OR('Cost Inputs'!$M$68=1,'Cost Inputs'!$M$68=2,'Cost Inputs'!$M$68=5)),
IF(ISNUMBER($T$55), $E195+($E$89*(($E195/$E$89)+$T$55)), $E195),""),"")), ""),""),"")</f>
        <v/>
      </c>
      <c r="AB195" s="364" t="str">
        <f>IF($T$3="N.B.C.",
IF(ISNUMBER($B$194),
IF($C195&lt;&gt;"",
IF('Cost Inputs'!$L$68="Y",
IF(ISNUMBER($U$55), $E195+($E$89*(($E195/$E$89)+$U$55)), $E195),
IF('Cost Inputs'!$L$68="N",
IF(AND(ISNUMBER('Cost Inputs'!$M$68), OR('Cost Inputs'!$M$68=1)),
IF(ISNUMBER($U$55), $E195+($E$89*(($E195/$E$89)+$U$55)), $E195),""),"")), ""),""),"")</f>
        <v/>
      </c>
      <c r="AC195" s="364" t="str">
        <f>IF($U$3="N.B.C.",
IF(ISNUMBER($B$194),
IF($C195&lt;&gt;"",
IF('Cost Inputs'!$L$68="Y",
IF(ISNUMBER($V$55), $E195+($E$89*(($E195/$E$89)+$V$55)), $E195),
IF('Cost Inputs'!$L$68="N",
IF(AND(ISNUMBER('Cost Inputs'!$M$68), OR('Cost Inputs'!$M$68=1,'Cost Inputs'!$M$68=2,'Cost Inputs'!$M$68=3,'Cost Inputs'!$M$68=4,'Cost Inputs'!$M$68=6)),
IF(ISNUMBER($V$55), $E195+($E$89*(($E195/$E$89)+$V$55)), $E195),""),"")), ""),""),"")</f>
        <v/>
      </c>
      <c r="AD195" s="364" t="str">
        <f>IF($V$3="N.B.C.",
IF(ISNUMBER($B$194),
IF($C195&lt;&gt;"",
IF('Cost Inputs'!$L$68="Y",
IF(ISNUMBER($W$55), $E195+($E$89*(($E195/$E$89)+$W$55)), $E195),
IF('Cost Inputs'!$L$68="N",
IF(AND(ISNUMBER('Cost Inputs'!$M$68), OR('Cost Inputs'!$M$68=1)),
IF(ISNUMBER($W$55), $E195+($E$89*(($E195/$E$89)+$W$55)), $E195),""),"")), ""),""),"")</f>
        <v/>
      </c>
      <c r="AE195" s="364" t="str">
        <f>IF($W$3="N.B.C.",
IF(ISNUMBER($B$194),
IF($C195&lt;&gt;"",
IF('Cost Inputs'!$L$68="Y",
IF(ISNUMBER($X$55), $E195+($E$89*(($E195/$E$89)+$X$55)), $E195),
IF('Cost Inputs'!$L$68="N",
IF(AND(ISNUMBER('Cost Inputs'!$M$68), OR('Cost Inputs'!$M$68=1,'Cost Inputs'!$M$68=2,'Cost Inputs'!$M$68=7)),
IF(ISNUMBER($X$55), $E195+($E$89*(($E195/$E$89)+$X$55)), $E195),""),"")), ""),""),"")</f>
        <v/>
      </c>
      <c r="AF195" s="364" t="str">
        <f>IF($X$3="N.B.C.",
IF(ISNUMBER($B$194),
IF($C195&lt;&gt;"",
IF('Cost Inputs'!$L$68="Y",
IF(ISNUMBER($Y$55), $E195+($E$89*(($E195/$E$89)+$Y$55)), $E195),
IF('Cost Inputs'!$L$68="N",
IF(AND(ISNUMBER('Cost Inputs'!$M$68), OR('Cost Inputs'!$M$68=1,'Cost Inputs'!$M$68=3,'Cost Inputs'!$M$68=5)),
IF(ISNUMBER($Y$55), $E195+($E$89*(($E195/$E$89)+$Y$55)), $E195),""),"")), ""),""),"")</f>
        <v/>
      </c>
    </row>
    <row r="196" spans="1:32" x14ac:dyDescent="0.25">
      <c r="A196" s="518"/>
      <c r="B196" s="504"/>
      <c r="C196" s="107" t="str">
        <f>IF(AND(ISNUMBER(B194), OR('Cost Inputs'!$H$69&lt;&gt;"", 'Cost Inputs'!$I$69&lt;&gt;"", 'Cost Inputs'!$J$69&lt;&gt;"")), _3_2_2, "")</f>
        <v/>
      </c>
      <c r="D196" s="93" t="str">
        <f>IF(AND($C196&lt;&gt;"", 'Cost Inputs'!$G$69&lt;&gt;""), 'Cost Inputs'!$G$69, "")</f>
        <v/>
      </c>
      <c r="E196" s="93" t="str">
        <f>IF(AND(C196&lt;&gt;"", 'Cost Inputs'!$H$69&lt;&gt;"", M$191&lt;&gt;"", M$191&gt;0), $E175-('Cost Inputs'!$H$69*M$191), IF(AND(C196&lt;&gt;"", 'Cost Inputs'!$H$69&lt;&gt;""), $E175, ""))</f>
        <v/>
      </c>
      <c r="F196" s="93" t="str">
        <f>IF(AND(C196&lt;&gt;"", 'Cost Inputs'!$I$69&lt;&gt;""), 'Cost Inputs'!$I$69, "")</f>
        <v/>
      </c>
      <c r="G196" s="93" t="str">
        <f t="shared" si="8"/>
        <v/>
      </c>
      <c r="H196" s="93" t="str">
        <f>IF(AND(C196&lt;&gt;"", 'Cost Inputs'!$J$69&lt;&gt;""), 'Cost Inputs'!$J$69, "")</f>
        <v/>
      </c>
      <c r="I196" s="93" t="str">
        <f t="shared" si="7"/>
        <v/>
      </c>
      <c r="J196" s="93" t="str">
        <f>IF(AND(C196&lt;&gt;"",('Cost Inputs'!$I$69+'Cost Inputs'!$J$69+'Cost Inputs'!$K$69)&gt;0), 'Cost Inputs'!$I$69+'Cost Inputs'!$J$69+'Cost Inputs'!$K$69, "")</f>
        <v/>
      </c>
      <c r="K196" s="93" t="str">
        <f>IF(AND(C196&lt;&gt;"", 'Cost Inputs'!$N$69&gt;0),'Cost Inputs'!$N$69,"")</f>
        <v/>
      </c>
      <c r="L196" s="93"/>
      <c r="M196" s="109"/>
      <c r="W196" s="372" t="str">
        <f>IF($O$3="N.B.C.",
IF(ISNUMBER($B$194),
IF($C196&lt;&gt;"",
IF('Cost Inputs'!$L$69="Y",
IF(ISNUMBER($P$55), $E196+($E$89*(($E196/$E$89)+$P$55)), $E196),
IF('Cost Inputs'!$L$69="N",
IF(AND(ISNUMBER('Cost Inputs'!$M$69), OR('Cost Inputs'!$M$69=1,'Cost Inputs'!$M$69=2,'Cost Inputs'!$M$69=3,'Cost Inputs'!$M$69=6)),
IF(ISNUMBER($P$55), $E196+($E$89*(($E196/$E$89)+$P$55)), $E196),""),"")), ""),""),"")</f>
        <v/>
      </c>
      <c r="X196" s="372" t="str">
        <f>IF($P$3="N.B.C.",
IF(ISNUMBER($B$194),
IF($C196&lt;&gt;"",
IF('Cost Inputs'!$L$69="Y",
IF(ISNUMBER($Q$55), $E196+($E$89*(($E196/$E$89)+$Q$55)), $E196),
IF('Cost Inputs'!$L$69="N",
IF(AND(ISNUMBER('Cost Inputs'!$M$69), OR('Cost Inputs'!$M$69=1,'Cost Inputs'!$M$69=7)),
IF(ISNUMBER($Q$55), $E196+($E$89*(($E196/$E$89)+$Q$55)), $E196),""),"")), ""),""),"")</f>
        <v/>
      </c>
      <c r="Y196" s="372" t="str">
        <f>IF($Q$3="N.B.C.",
IF(ISNUMBER($B$194),
IF($C196&lt;&gt;"",
IF('Cost Inputs'!$L$69="Y",
IF(ISNUMBER($R$55), $E196+($E$89*(($E196/$E$89)+$R$55)), $E196),
IF('Cost Inputs'!$L$69="N",
IF(AND(ISNUMBER('Cost Inputs'!$M$69), OR('Cost Inputs'!$M$69=1,'Cost Inputs'!$M$69=2,'Cost Inputs'!$M$69=4,'Cost Inputs'!$M$69=8)),
IF(ISNUMBER($R$55), $E196+($E$89*(($E196/$E$89)+$R$55)), $E196),""),"")), ""),""),"")</f>
        <v/>
      </c>
      <c r="Z196" s="372" t="str">
        <f>IF($R$3="N.B.C.",
IF(ISNUMBER($B$194),
IF($C196&lt;&gt;"",
IF('Cost Inputs'!$L$69="Y",
IF(ISNUMBER($S$55), $E196+($E$89*(($E196/$E$89)+$S$55)), $E196),
IF('Cost Inputs'!$L$69="N",
IF(AND(ISNUMBER('Cost Inputs'!$M$69), OR('Cost Inputs'!$M$69=1,'Cost Inputs'!$M$69=3,'Cost Inputs'!$M$69=9)),
IF(ISNUMBER($S$55), $E196+($E$89*(($E196/$E$89)+$S$55)), $E196),""),"")), ""),""),"")</f>
        <v/>
      </c>
      <c r="AA196" s="372" t="str">
        <f>IF($S$3="N.B.C.",
IF(ISNUMBER($B$194),
IF($C196&lt;&gt;"",
IF('Cost Inputs'!$L$69="Y",
IF(ISNUMBER($T$55), $E196+($E$89*(($E196/$E$89)+$T$55)), $E196),
IF('Cost Inputs'!$L$69="N",
IF(AND(ISNUMBER('Cost Inputs'!$M$69), OR('Cost Inputs'!$M$69=1,'Cost Inputs'!$M$69=2,'Cost Inputs'!$M$69=5)),
IF(ISNUMBER($T$55), $E196+($E$89*(($E196/$E$89)+$T$55)), $E196),""),"")), ""),""),"")</f>
        <v/>
      </c>
      <c r="AB196" s="372" t="str">
        <f>IF($T$3="N.B.C.",
IF(ISNUMBER($B$194),
IF($C196&lt;&gt;"",
IF('Cost Inputs'!$L$69="Y",
IF(ISNUMBER($U$55), $E196+($E$89*(($E196/$E$89)+$U$55)), $E196),
IF('Cost Inputs'!$L$69="N",
IF(AND(ISNUMBER('Cost Inputs'!$M$69), OR('Cost Inputs'!$M$69=1)),
IF(ISNUMBER($U$55), $E196+($E$89*(($E196/$E$89)+$U$55)), $E196),""),"")), ""),""),"")</f>
        <v/>
      </c>
      <c r="AC196" s="372" t="str">
        <f>IF($U$3="N.B.C.",
IF(ISNUMBER($B$194),
IF($C196&lt;&gt;"",
IF('Cost Inputs'!$L$69="Y",
IF(ISNUMBER($V$55), $E196+($E$89*(($E196/$E$89)+$V$55)), $E196),
IF('Cost Inputs'!$L$69="N",
IF(AND(ISNUMBER('Cost Inputs'!$M$69), OR('Cost Inputs'!$M$69=1,'Cost Inputs'!$M$69=2,'Cost Inputs'!$M$69=3,'Cost Inputs'!$M$69=4,'Cost Inputs'!$M$69=6)),
IF(ISNUMBER($V$55), $E196+($E$89*(($E196/$E$89)+$V$55)), $E196),""),"")), ""),""),"")</f>
        <v/>
      </c>
      <c r="AD196" s="372" t="str">
        <f>IF($V$3="N.B.C.",
IF(ISNUMBER($B$194),
IF($C196&lt;&gt;"",
IF('Cost Inputs'!$L$69="Y",
IF(ISNUMBER($W$55), $E196+($E$89*(($E196/$E$89)+$W$55)), $E196),
IF('Cost Inputs'!$L$69="N",
IF(AND(ISNUMBER('Cost Inputs'!$M$69), OR('Cost Inputs'!$M$69=1)),
IF(ISNUMBER($W$55), $E196+($E$89*(($E196/$E$89)+$W$55)), $E196),""),"")), ""),""),"")</f>
        <v/>
      </c>
      <c r="AE196" s="372" t="str">
        <f>IF($W$3="N.B.C.",
IF(ISNUMBER($B$194),
IF($C196&lt;&gt;"",
IF('Cost Inputs'!$L$69="Y",
IF(ISNUMBER($X$55), $E196+($E$89*(($E196/$E$89)+$X$55)), $E196),
IF('Cost Inputs'!$L$69="N",
IF(AND(ISNUMBER('Cost Inputs'!$M$69), OR('Cost Inputs'!$M$69=1,'Cost Inputs'!$M$69=2,'Cost Inputs'!$M$69=7)),
IF(ISNUMBER($X$55), $E196+($E$89*(($E196/$E$89)+$X$55)), $E196),""),"")), ""),""),"")</f>
        <v/>
      </c>
      <c r="AF196" s="372" t="str">
        <f>IF($X$3="N.B.C.",
IF(ISNUMBER($B$194),
IF($C196&lt;&gt;"",
IF('Cost Inputs'!$L$69="Y",
IF(ISNUMBER($Y$55), $E196+($E$89*(($E196/$E$89)+$Y$55)), $E196),
IF('Cost Inputs'!$L$69="N",
IF(AND(ISNUMBER('Cost Inputs'!$M$69), OR('Cost Inputs'!$M$69=1,'Cost Inputs'!$M$69=3,'Cost Inputs'!$M$69=5)),
IF(ISNUMBER($Y$55), $E196+($E$89*(($E196/$E$89)+$Y$55)), $E196),""),"")), ""),""),"")</f>
        <v/>
      </c>
    </row>
    <row r="197" spans="1:32" x14ac:dyDescent="0.25">
      <c r="A197" s="518"/>
      <c r="B197" s="504"/>
      <c r="C197" s="104" t="str">
        <f>IF(AND( ISNUMBER(B194), OR('Cost Inputs'!$H$70&lt;&gt;"", 'Cost Inputs'!$I$70&lt;&gt;"", 'Cost Inputs'!$J$70&lt;&gt;"")), _3_2_3, "")</f>
        <v/>
      </c>
      <c r="D197" s="17" t="str">
        <f>IF(AND($C197&lt;&gt;"", 'Cost Inputs'!$G$70&lt;&gt;""), 'Cost Inputs'!$G$70, "")</f>
        <v/>
      </c>
      <c r="E197" s="17" t="str">
        <f>IF(AND(C197&lt;&gt;"", 'Cost Inputs'!$H$70&lt;&gt;"", M$191&lt;&gt;"", M$191&gt;0), $E176-('Cost Inputs'!$H$70*M$191), IF(AND(C197&lt;&gt;"", 'Cost Inputs'!$H$70&lt;&gt;""), $E176, ""))</f>
        <v/>
      </c>
      <c r="F197" s="17" t="str">
        <f>IF(AND(C197&lt;&gt;"", 'Cost Inputs'!$I$70&lt;&gt;""), 'Cost Inputs'!$I$70, "")</f>
        <v/>
      </c>
      <c r="G197" s="17" t="str">
        <f t="shared" si="8"/>
        <v/>
      </c>
      <c r="H197" s="17" t="str">
        <f>IF(AND(C197&lt;&gt;"", 'Cost Inputs'!$J$70&lt;&gt;""), 'Cost Inputs'!$J$70, "")</f>
        <v/>
      </c>
      <c r="I197" s="17" t="str">
        <f t="shared" si="7"/>
        <v/>
      </c>
      <c r="J197" s="17" t="str">
        <f>IF(AND(C197&lt;&gt;"",('Cost Inputs'!$I$70+'Cost Inputs'!$J$70+'Cost Inputs'!$K$70)&gt;0), 'Cost Inputs'!$I$70+'Cost Inputs'!$J$70+'Cost Inputs'!$K$70, "")</f>
        <v/>
      </c>
      <c r="K197" s="17" t="str">
        <f>IF(AND(C197&lt;&gt;"", 'Cost Inputs'!$N$70&gt;0),'Cost Inputs'!$N$70,"")</f>
        <v/>
      </c>
      <c r="M197" s="106"/>
      <c r="W197" s="364" t="str">
        <f>IF($O$3="N.B.C.",
IF(ISNUMBER($B$194),
IF($C197&lt;&gt;"",
IF('Cost Inputs'!$L$70="Y",
IF(ISNUMBER($P$55), $E197+($E$89*(($E197/$E$89)+$P$55)), $E197),
IF('Cost Inputs'!$L$70="N",
IF(AND(ISNUMBER('Cost Inputs'!$M$70), OR('Cost Inputs'!$M$70=1,'Cost Inputs'!$M$70=2,'Cost Inputs'!$M$70=3,'Cost Inputs'!$M$70=6)),
IF(ISNUMBER($P$55), $E197+($E$89*(($E197/$E$89)+$P$55)), $E197),""),"")), ""),""),"")</f>
        <v/>
      </c>
      <c r="X197" s="364" t="str">
        <f>IF($P$3="N.B.C.",
IF(ISNUMBER($B$194),
IF($C197&lt;&gt;"",
IF('Cost Inputs'!$L$70="Y",
IF(ISNUMBER($Q$55), $E197+($E$89*(($E197/$E$89)+$Q$55)), $E197),
IF('Cost Inputs'!$L$70="N",
IF(AND(ISNUMBER('Cost Inputs'!$M$70), OR('Cost Inputs'!$M$70=1,'Cost Inputs'!$M$70=7)),
IF(ISNUMBER($Q$55), $E197+($E$89*(($E197/$E$89)+$Q$55)), $E197),""),"")), ""),""),"")</f>
        <v/>
      </c>
      <c r="Y197" s="364" t="str">
        <f>IF($Q$3="N.B.C.",
IF(ISNUMBER($B$194),
IF($C197&lt;&gt;"",
IF('Cost Inputs'!$L$70="Y",
IF(ISNUMBER($R$55), $E197+($E$89*(($E197/$E$89)+$R$55)), $E197),
IF('Cost Inputs'!$L$70="N",
IF(AND(ISNUMBER('Cost Inputs'!$M$70), OR('Cost Inputs'!$M$70=1,'Cost Inputs'!$M$70=2,'Cost Inputs'!$M$70=4,'Cost Inputs'!$M$70=8)),
IF(ISNUMBER($R$55), $E197+($E$89*(($E197/$E$89)+$R$55)), $E197),""),"")), ""),""),"")</f>
        <v/>
      </c>
      <c r="Z197" s="364" t="str">
        <f>IF($R$3="N.B.C.",
IF(ISNUMBER($B$194),
IF($C197&lt;&gt;"",
IF('Cost Inputs'!$L$70="Y",
IF(ISNUMBER($S$55), $E197+($E$89*(($E197/$E$89)+$S$55)), $E197),
IF('Cost Inputs'!$L$70="N",
IF(AND(ISNUMBER('Cost Inputs'!$M$70), OR('Cost Inputs'!$M$70=1,'Cost Inputs'!$M$70=3,'Cost Inputs'!$M$70=9)),
IF(ISNUMBER($S$55), $E197+($E$89*(($E197/$E$89)+$S$55)), $E197),""),"")), ""),""),"")</f>
        <v/>
      </c>
      <c r="AA197" s="364" t="str">
        <f>IF($S$3="N.B.C.",
IF(ISNUMBER($B$194),
IF($C197&lt;&gt;"",
IF('Cost Inputs'!$L$70="Y",
IF(ISNUMBER($T$55), $E197+($E$89*(($E197/$E$89)+$T$55)), $E197),
IF('Cost Inputs'!$L$70="N",
IF(AND(ISNUMBER('Cost Inputs'!$M$70), OR('Cost Inputs'!$M$70=1,'Cost Inputs'!$M$70=2,'Cost Inputs'!$M$70=5)),
IF(ISNUMBER($T$55), $E197+($E$89*(($E197/$E$89)+$T$55)), $E197),""),"")), ""),""),"")</f>
        <v/>
      </c>
      <c r="AB197" s="364" t="str">
        <f>IF($T$3="N.B.C.",
IF(ISNUMBER($B$194),
IF($C197&lt;&gt;"",
IF('Cost Inputs'!$L$70="Y",
IF(ISNUMBER($U$55), $E197+($E$89*(($E197/$E$89)+$U$55)), $E197),
IF('Cost Inputs'!$L$70="N",
IF(AND(ISNUMBER('Cost Inputs'!$M$70), OR('Cost Inputs'!$M$70=1)),
IF(ISNUMBER($U$55), $E197+($E$89*(($E197/$E$89)+$U$55)), $E197),""),"")), ""),""),"")</f>
        <v/>
      </c>
      <c r="AC197" s="364" t="str">
        <f>IF($U$3="N.B.C.",
IF(ISNUMBER($B$194),
IF($C197&lt;&gt;"",
IF('Cost Inputs'!$L$70="Y",
IF(ISNUMBER($V$55), $E197+($E$89*(($E197/$E$89)+$V$55)), $E197),
IF('Cost Inputs'!$L$70="N",
IF(AND(ISNUMBER('Cost Inputs'!$M$70), OR('Cost Inputs'!$M$70=1,'Cost Inputs'!$M$70=2,'Cost Inputs'!$M$70=3,'Cost Inputs'!$M$70=4,'Cost Inputs'!$M$70=6)),
IF(ISNUMBER($V$55), $E197+($E$89*(($E197/$E$89)+$V$55)), $E197),""),"")), ""),""),"")</f>
        <v/>
      </c>
      <c r="AD197" s="364" t="str">
        <f>IF($V$3="N.B.C.",
IF(ISNUMBER($B$194),
IF($C197&lt;&gt;"",
IF('Cost Inputs'!$L$70="Y",
IF(ISNUMBER($W$55), $E197+($E$89*(($E197/$E$89)+$W$55)), $E197),
IF('Cost Inputs'!$L$70="N",
IF(AND(ISNUMBER('Cost Inputs'!$M$70), OR('Cost Inputs'!$M$70=1)),
IF(ISNUMBER($W$55), $E197+($E$89*(($E197/$E$89)+$W$55)), $E197),""),"")), ""),""),"")</f>
        <v/>
      </c>
      <c r="AE197" s="364" t="str">
        <f>IF($W$3="N.B.C.",
IF(ISNUMBER($B$194),
IF($C197&lt;&gt;"",
IF('Cost Inputs'!$L$70="Y",
IF(ISNUMBER($X$55), $E197+($E$89*(($E197/$E$89)+$X$55)), $E197),
IF('Cost Inputs'!$L$70="N",
IF(AND(ISNUMBER('Cost Inputs'!$M$70), OR('Cost Inputs'!$M$70=1,'Cost Inputs'!$M$70=2,'Cost Inputs'!$M$70=7)),
IF(ISNUMBER($X$55), $E197+($E$89*(($E197/$E$89)+$X$55)), $E197),""),"")), ""),""),"")</f>
        <v/>
      </c>
      <c r="AF197" s="364" t="str">
        <f>IF($X$3="N.B.C.",
IF(ISNUMBER($B$194),
IF($C197&lt;&gt;"",
IF('Cost Inputs'!$L$70="Y",
IF(ISNUMBER($Y$55), $E197+($E$89*(($E197/$E$89)+$Y$55)), $E197),
IF('Cost Inputs'!$L$70="N",
IF(AND(ISNUMBER('Cost Inputs'!$M$70), OR('Cost Inputs'!$M$70=1,'Cost Inputs'!$M$70=3,'Cost Inputs'!$M$70=5)),
IF(ISNUMBER($Y$55), $E197+($E$89*(($E197/$E$89)+$Y$55)), $E197),""),"")), ""),""),"")</f>
        <v/>
      </c>
    </row>
    <row r="198" spans="1:32" x14ac:dyDescent="0.25">
      <c r="A198" s="518"/>
      <c r="B198" s="504"/>
      <c r="C198" s="107" t="str">
        <f>IF(AND( ISNUMBER(B194), OR('Cost Inputs'!$H$71&lt;&gt;"", 'Cost Inputs'!$I$71&lt;&gt;"", 'Cost Inputs'!$J$71&lt;&gt;"")), _3_2_4, "")</f>
        <v/>
      </c>
      <c r="D198" s="93" t="str">
        <f>IF(AND($C198&lt;&gt;"", 'Cost Inputs'!$G$71&lt;&gt;""), 'Cost Inputs'!$G$71, "")</f>
        <v/>
      </c>
      <c r="E198" s="93" t="str">
        <f>IF(AND(C198&lt;&gt;"", 'Cost Inputs'!$H$71&lt;&gt;"", M$191&lt;&gt;"", M$191&gt;0), $E177-('Cost Inputs'!$H$71*M$191), IF(AND(C198&lt;&gt;"", 'Cost Inputs'!$H$71&lt;&gt;""), $E177, ""))</f>
        <v/>
      </c>
      <c r="F198" s="93" t="str">
        <f>IF(AND(C198&lt;&gt;"", 'Cost Inputs'!$I$71&lt;&gt;""), 'Cost Inputs'!$I$71, "")</f>
        <v/>
      </c>
      <c r="G198" s="93" t="str">
        <f t="shared" si="8"/>
        <v/>
      </c>
      <c r="H198" s="93" t="str">
        <f>IF(AND(C198&lt;&gt;"", 'Cost Inputs'!$J$71&lt;&gt;""), 'Cost Inputs'!$J$71, "")</f>
        <v/>
      </c>
      <c r="I198" s="93" t="str">
        <f t="shared" si="7"/>
        <v/>
      </c>
      <c r="J198" s="93" t="str">
        <f>IF(AND(C198&lt;&gt;"",('Cost Inputs'!$I$71+'Cost Inputs'!$J$71+'Cost Inputs'!$K$71)&gt;0), 'Cost Inputs'!$I$71+'Cost Inputs'!$J$71+'Cost Inputs'!$K$71, "")</f>
        <v/>
      </c>
      <c r="K198" s="93" t="str">
        <f>IF(AND(C198&lt;&gt;"", 'Cost Inputs'!$N$71&gt;0),'Cost Inputs'!$N$71,"")</f>
        <v/>
      </c>
      <c r="L198" s="93"/>
      <c r="M198" s="109"/>
      <c r="W198" s="372" t="str">
        <f>IF($O$3="N.B.C.",
IF(ISNUMBER($B$194),
IF($C198&lt;&gt;"",
IF('Cost Inputs'!$L$71="Y",
IF(ISNUMBER($P$55), $E198+($E$89*(($E198/$E$89)+$P$55)), $E198),
IF('Cost Inputs'!$L$71="N",
IF(AND(ISNUMBER('Cost Inputs'!$M$71), OR('Cost Inputs'!$M$71=1,'Cost Inputs'!$M$71=2,'Cost Inputs'!$M$71=3,'Cost Inputs'!$M$71=6)),
IF(ISNUMBER($P$55), $E198+($E$89*(($E198/$E$89)+$P$55)), $E198),""),"")), ""),""),"")</f>
        <v/>
      </c>
      <c r="X198" s="372" t="str">
        <f>IF($P$3="N.B.C.",
IF(ISNUMBER($B$194),
IF($C198&lt;&gt;"",
IF('Cost Inputs'!$L$71="Y",
IF(ISNUMBER($Q$55), $E198+($E$89*(($E198/$E$89)+$Q$55)), $E198),
IF('Cost Inputs'!$L$71="N",
IF(AND(ISNUMBER('Cost Inputs'!$M$71), OR('Cost Inputs'!$M$71=1,'Cost Inputs'!$M$71=7)),
IF(ISNUMBER($Q$55), $E198+($E$89*(($E198/$E$89)+$Q$55)), $E198),""),"")), ""),""),"")</f>
        <v/>
      </c>
      <c r="Y198" s="372" t="str">
        <f>IF($Q$3="N.B.C.",
IF(ISNUMBER($B$194),
IF($C198&lt;&gt;"",
IF('Cost Inputs'!$L$71="Y",
IF(ISNUMBER($R$55), $E198+($E$89*(($E198/$E$89)+$R$55)), $E198),
IF('Cost Inputs'!$L$71="N",
IF(AND(ISNUMBER('Cost Inputs'!$M$71), OR('Cost Inputs'!$M$71=1,'Cost Inputs'!$M$71=2,'Cost Inputs'!$M$71=4,'Cost Inputs'!$M$71=8)),
IF(ISNUMBER($R$55), $E198+($E$89*(($E198/$E$89)+$R$55)), $E198),""),"")), ""),""),"")</f>
        <v/>
      </c>
      <c r="Z198" s="372" t="str">
        <f>IF($R$3="N.B.C.",
IF(ISNUMBER($B$194),
IF($C198&lt;&gt;"",
IF('Cost Inputs'!$L$71="Y",
IF(ISNUMBER($S$55), $E198+($E$89*(($E198/$E$89)+$S$55)), $E198),
IF('Cost Inputs'!$L$71="N",
IF(AND(ISNUMBER('Cost Inputs'!$M$71), OR('Cost Inputs'!$M$71=1,'Cost Inputs'!$M$71=3,'Cost Inputs'!$M$71=9)),
IF(ISNUMBER($S$55), $E198+($E$89*(($E198/$E$89)+$S$55)), $E198),""),"")), ""),""),"")</f>
        <v/>
      </c>
      <c r="AA198" s="372" t="str">
        <f>IF($S$3="N.B.C.",
IF(ISNUMBER($B$194),
IF($C198&lt;&gt;"",
IF('Cost Inputs'!$L$71="Y",
IF(ISNUMBER($T$55), $E198+($E$89*(($E198/$E$89)+$T$55)), $E198),
IF('Cost Inputs'!$L$71="N",
IF(AND(ISNUMBER('Cost Inputs'!$M$71), OR('Cost Inputs'!$M$71=1,'Cost Inputs'!$M$71=2,'Cost Inputs'!$M$71=5)),
IF(ISNUMBER($T$55), $E198+($E$89*(($E198/$E$89)+$T$55)), $E198),""),"")), ""),""),"")</f>
        <v/>
      </c>
      <c r="AB198" s="372" t="str">
        <f>IF($T$3="N.B.C.",
IF(ISNUMBER($B$194),
IF($C198&lt;&gt;"",
IF('Cost Inputs'!$L$71="Y",
IF(ISNUMBER($U$55), $E198+($E$89*(($E198/$E$89)+$U$55)), $E198),
IF('Cost Inputs'!$L$71="N",
IF(AND(ISNUMBER('Cost Inputs'!$M$71), OR('Cost Inputs'!$M$71=1)),
IF(ISNUMBER($U$55), $E198+($E$89*(($E198/$E$89)+$U$55)), $E198),""),"")), ""),""),"")</f>
        <v/>
      </c>
      <c r="AC198" s="372" t="str">
        <f>IF($U$3="N.B.C.",
IF(ISNUMBER($B$194),
IF($C198&lt;&gt;"",
IF('Cost Inputs'!$L$71="Y",
IF(ISNUMBER($V$55), $E198+($E$89*(($E198/$E$89)+$V$55)), $E198),
IF('Cost Inputs'!$L$71="N",
IF(AND(ISNUMBER('Cost Inputs'!$M$71), OR('Cost Inputs'!$M$71=1,'Cost Inputs'!$M$71=2,'Cost Inputs'!$M$71=3,'Cost Inputs'!$M$71=4,'Cost Inputs'!$M$71=6)),
IF(ISNUMBER($V$55), $E198+($E$89*(($E198/$E$89)+$V$55)), $E198),""),"")), ""),""),"")</f>
        <v/>
      </c>
      <c r="AD198" s="372" t="str">
        <f>IF($V$3="N.B.C.",
IF(ISNUMBER($B$194),
IF($C198&lt;&gt;"",
IF('Cost Inputs'!$L$71="Y",
IF(ISNUMBER($W$55), $E198+($E$89*(($E198/$E$89)+$W$55)), $E198),
IF('Cost Inputs'!$L$71="N",
IF(AND(ISNUMBER('Cost Inputs'!$M$71), OR('Cost Inputs'!$M$71=1)),
IF(ISNUMBER($W$55), $E198+($E$89*(($E198/$E$89)+$W$55)), $E198),""),"")), ""),""),"")</f>
        <v/>
      </c>
      <c r="AE198" s="372" t="str">
        <f>IF($W$3="N.B.C.",
IF(ISNUMBER($B$194),
IF($C198&lt;&gt;"",
IF('Cost Inputs'!$L$71="Y",
IF(ISNUMBER($X$55), $E198+($E$89*(($E198/$E$89)+$X$55)), $E198),
IF('Cost Inputs'!$L$71="N",
IF(AND(ISNUMBER('Cost Inputs'!$M$71), OR('Cost Inputs'!$M$71=1,'Cost Inputs'!$M$71=2,'Cost Inputs'!$M$71=7)),
IF(ISNUMBER($X$55), $E198+($E$89*(($E198/$E$89)+$X$55)), $E198),""),"")), ""),""),"")</f>
        <v/>
      </c>
      <c r="AF198" s="372" t="str">
        <f>IF($X$3="N.B.C.",
IF(ISNUMBER($B$194),
IF($C198&lt;&gt;"",
IF('Cost Inputs'!$L$71="Y",
IF(ISNUMBER($Y$55), $E198+($E$89*(($E198/$E$89)+$Y$55)), $E198),
IF('Cost Inputs'!$L$71="N",
IF(AND(ISNUMBER('Cost Inputs'!$M$71), OR('Cost Inputs'!$M$71=1,'Cost Inputs'!$M$71=3,'Cost Inputs'!$M$71=5)),
IF(ISNUMBER($Y$55), $E198+($E$89*(($E198/$E$89)+$Y$55)), $E198),""),"")), ""),""),"")</f>
        <v/>
      </c>
    </row>
    <row r="199" spans="1:32" x14ac:dyDescent="0.25">
      <c r="A199" s="518"/>
      <c r="B199" s="504"/>
      <c r="C199" s="110" t="str">
        <f>IF(AND(B194&lt;&gt;"", ISNUMBER(Stage1EvaluationBegins)), IF((INDEX(ProgramYearStage1,MATCH(Stage1EvaluationBegins,Years_in_Stage1,0)))=B194, _3_3_0, IF(AND(B194&lt;&gt;"", C178&lt;&gt;""), _3_3_0, IF(AND(B194&lt;&gt;"", OR(Stage1EvaluationBegins=0, Stage1EvaluationBegins="")),"", ""))),"")</f>
        <v/>
      </c>
      <c r="D199" s="94" t="str">
        <f>IF(AND(B194&lt;&gt;"", OR('Cost Inputs'!$H$72&lt;&gt;"", 'Cost Inputs'!$I$72&lt;&gt;"", 'Cost Inputs'!$J$72&lt;&gt;"")), 'Cost Inputs'!$G$72,"")</f>
        <v/>
      </c>
      <c r="E199" s="94" t="str">
        <f>IF(AND(C199&lt;&gt;"", 'Cost Inputs'!$H$72&lt;&gt;""), 'Cost Inputs'!$H$72, "")</f>
        <v/>
      </c>
      <c r="F199" s="94" t="str">
        <f>IF(AND(C199&lt;&gt;"", 'Cost Inputs'!$I$72&lt;&gt;""), 'Cost Inputs'!$I$72, "")</f>
        <v/>
      </c>
      <c r="G199" s="94" t="str">
        <f t="shared" si="8"/>
        <v/>
      </c>
      <c r="H199" s="94" t="str">
        <f>IF(AND(C199&lt;&gt;"", 'Cost Inputs'!$J$72&lt;&gt;""), 'Cost Inputs'!$J$72, "")</f>
        <v/>
      </c>
      <c r="I199" s="94" t="str">
        <f>IF(AND($E199&lt;&gt;"", $H199&lt;&gt;""), $H199/$E199, "")</f>
        <v/>
      </c>
      <c r="J199" s="94" t="str">
        <f>IF(AND(C199&lt;&gt;"",('Cost Inputs'!$I$72+'Cost Inputs'!$J$72+'Cost Inputs'!$K$72)&gt;0), 'Cost Inputs'!$I$72+'Cost Inputs'!$J$72+'Cost Inputs'!$K$72, "")</f>
        <v/>
      </c>
      <c r="K199" s="94" t="str">
        <f>IF(AND(C199&lt;&gt;"", 'Cost Inputs'!$N$72&gt;0),'Cost Inputs'!$N$72,"")</f>
        <v/>
      </c>
      <c r="L199" s="130" t="str">
        <f>IF(AND($B194&lt;&gt;"", ISNUMBER(Stage1EvaluationBegins)), IF((INDEX(ProgramYearStage1,MATCH(Stage1EvaluationBegins,Years_in_Stage1,0)))=$B194, INDEX(Stage1Evaluation,MATCH(Stage1EvaluationBegins,Years_in_Stage1,0)), IF(AND($B194&lt;&gt;"", $C178&lt;&gt;""), INDEX(Stage1Evaluation,MATCH($B194,ProgramYearStage1,0)), IF(AND(B194&lt;&gt;"", OR(Stage1EvaluationBegins=0, Stage1EvaluationBegins="")),"", ""))),"")</f>
        <v/>
      </c>
      <c r="M199" s="103"/>
      <c r="W199" s="373" t="str">
        <f>IF($O$3="N.B.C.",
IF(ISNUMBER($B$194),
IF($C199&lt;&gt;"",
IF('Cost Inputs'!$L$72="Y",
IF(AND(ISNUMBER(P$56), P$56&gt;$E$60), $E199+($E$60*(($E199/$E$60)+$P$55)), $E199),
IF('Cost Inputs'!$L$72="N",
IF(AND(ISNUMBER('Cost Inputs'!$M$72), OR('Cost Inputs'!$M$72=1,'Cost Inputs'!$M$72=2, 'Cost Inputs'!$M$72=3,'Cost Inputs'!$M$72=6)),
IF(AND(ISNUMBER(P$56), P$56&gt;$E$60), $E199+($E$60*(($E199/$E$60)+$P$55)), $E199), ""),"")), ""), ""), "")</f>
        <v/>
      </c>
      <c r="X199" s="373" t="str">
        <f>IF($P$3="N.B.C.",
IF(ISNUMBER($B$194),
IF($C199&lt;&gt;"",
IF('Cost Inputs'!$L$72="Y",
IF(AND(ISNUMBER(Q$56), Q$56&gt;$E$60), $E199+($E$60*(($E199/$E$60)+$Q$55)), $E199),
IF('Cost Inputs'!$L$72="N",
IF(AND(ISNUMBER('Cost Inputs'!$M$72), OR('Cost Inputs'!$M$72=1,'Cost Inputs'!$M$72=7)),
IF(AND(ISNUMBER(Q$56), Q$56&gt;$E$60), $E199+($E$60*(($E199/$E$60)+$Q$55)), $E199), ""),"")), ""), ""), "")</f>
        <v/>
      </c>
      <c r="Y199" s="373" t="str">
        <f>IF($Q$3="N.B.C.",
IF(ISNUMBER($B$194),
IF($C199&lt;&gt;"",
IF('Cost Inputs'!$L$72="Y",
IF(AND(ISNUMBER(R$56), R$56&gt;$E$60), $E199+($E$60*(($E199/$E$60)+$R$55)), $E199),
IF('Cost Inputs'!$L$72="N",
IF(AND(ISNUMBER('Cost Inputs'!$M$72), OR('Cost Inputs'!$M$72=1,'Cost Inputs'!$M$72=2,'Cost Inputs'!$M$72=4,'Cost Inputs'!$M$72=8)),
IF(AND(ISNUMBER(R$56), R$56&gt;$E$60), $E199+($E$60*(($E199/$E$60)+$R$55)), $E199), ""),"")), ""), ""), "")</f>
        <v/>
      </c>
      <c r="Z199" s="373" t="str">
        <f>IF($R$3="N.B.C.",
IF(ISNUMBER($B$194),
IF($C199&lt;&gt;"",
IF('Cost Inputs'!$L$72="Y",
IF(AND(ISNUMBER(S$56), S$56&gt;$E$60), $E199+($E$60*(($E199/$E$60)+$S$55)), $E199),
IF('Cost Inputs'!$L$72="N",
IF(AND(ISNUMBER('Cost Inputs'!$M$72), OR('Cost Inputs'!$M$72=1,'Cost Inputs'!$M$72=3, 'Cost Inputs'!$M$72=9)),
IF(AND(ISNUMBER(S$56), S$56&gt;$E$60), $E199+($E$60*(($E199/$E$60)+$S$55)), $E199), ""),"")), ""), ""), "")</f>
        <v/>
      </c>
      <c r="AA199" s="373" t="str">
        <f>IF($S$3="N.B.C.",
IF(ISNUMBER($B$194),
IF($C199&lt;&gt;"",
IF('Cost Inputs'!$L$72="Y",
IF(AND(ISNUMBER(T$56), T$56&gt;$E$60), $E199+($E$60*(($E199/$E$60)+$T$55)), $E199),
IF('Cost Inputs'!$L$72="N",
IF(AND(ISNUMBER('Cost Inputs'!$M$72), OR('Cost Inputs'!$M$72=1,'Cost Inputs'!$M$72=2, 'Cost Inputs'!$M$72=5)),
IF(AND(ISNUMBER(T$56), T$56&gt;$E$60), $E199+($E$60*(($E199/$E$60)+$T$55)), $E199), ""),"")), ""), ""), "")</f>
        <v/>
      </c>
      <c r="AB199" s="373" t="str">
        <f>IF($T$3="N.B.C.",
IF(ISNUMBER($B$194),
IF($C199&lt;&gt;"",
IF('Cost Inputs'!$L$72="Y",
IF(AND(ISNUMBER(U$56), U$56&gt;$E$60), $E199+($E$60*(($E199/$E$60)+$U$55)), $E199),
IF('Cost Inputs'!$L$72="N",
IF(AND(ISNUMBER('Cost Inputs'!$M$72), OR('Cost Inputs'!$M$72=1)),
IF(AND(ISNUMBER(U$56), U$56&gt;$E$60), $E199+($E$60*(($E199/$E$60)+$U$55)), $E199), ""),"")), ""), ""), "")</f>
        <v/>
      </c>
      <c r="AC199" s="373" t="str">
        <f>IF($U$3="N.B.C.",
IF(ISNUMBER($B$194),
IF($C199&lt;&gt;"",
IF('Cost Inputs'!$L$72="Y",
IF(AND(ISNUMBER(V$56), V$56&gt;$E$60), $E199+($E$60*(($E199/$E$60)+$V$55)), $E199),
IF('Cost Inputs'!$L$72="N",
IF(AND(ISNUMBER('Cost Inputs'!$M$72), OR('Cost Inputs'!$M$72=1,'Cost Inputs'!$M$72=2,'Cost Inputs'!$M$72=3,'Cost Inputs'!$M$72=4,'Cost Inputs'!$M$72=6)),
IF(AND(ISNUMBER(V$56), V$56&gt;$E$60), $E199+($E$60*(($E199/$E$60)+$V$55)), $E199), ""),"")), ""), ""), "")</f>
        <v/>
      </c>
      <c r="AD199" s="373" t="str">
        <f>IF($V$3="N.B.C.",
IF(ISNUMBER($B$194),
IF($C199&lt;&gt;"",
IF('Cost Inputs'!$L$72="Y",
IF(AND(ISNUMBER(W$56), W$56&gt;$E$60), $E199+($E$60*(($E199/$E$60)+$W$55)), $E199),
IF('Cost Inputs'!$L$72="N",
IF(AND(ISNUMBER('Cost Inputs'!$M$72), OR('Cost Inputs'!$M$72=1)),
IF(AND(ISNUMBER(W$56), W$56&gt;$E$60), $E199+($E$60*(($E199/$E$60)+$W$55)), $E199), ""),"")), ""), ""), "")</f>
        <v/>
      </c>
      <c r="AE199" s="373" t="str">
        <f>IF($W$3="N.B.C.",
IF(ISNUMBER($B$194),
IF($C199&lt;&gt;"",
IF('Cost Inputs'!$L$72="Y",
IF(AND(ISNUMBER(X$56), X$56&gt;$E$60), $E199+($E$60*(($E199/$E$60)+$X$55)), $E199),
IF('Cost Inputs'!$L$72="N",
IF(AND(ISNUMBER('Cost Inputs'!$M$72), OR('Cost Inputs'!$M$72=1,'Cost Inputs'!$M$72=2,'Cost Inputs'!$M$72=7)),
IF(AND(ISNUMBER(X$56), X$56&gt;$E$60), $E199+($E$60*(($E199/$E$60)+$X$55)), $E199), ""),"")), ""), ""), "")</f>
        <v/>
      </c>
      <c r="AF199" s="373" t="str">
        <f>IF($X$3="N.B.C.",
IF(ISNUMBER($B$194),
IF($C199&lt;&gt;"",
IF('Cost Inputs'!$L$72="Y",
IF(AND(ISNUMBER(Y$56), Y$56&gt;$E$60), $E199+($E$60*(($E199/$E$60)+$Y$55)), $E199),
IF('Cost Inputs'!$L$72="N",
IF(AND(ISNUMBER('Cost Inputs'!$M$72), OR('Cost Inputs'!$M$72=1,'Cost Inputs'!$M$72=3,'Cost Inputs'!$M$72=5)),
IF(AND(ISNUMBER(Y$56), Y$56&gt;$E$60), $E199+($E$60*(($E199/$E$60)+$Y$55)), $E199), ""),"")), ""), ""), "")</f>
        <v/>
      </c>
    </row>
    <row r="200" spans="1:32" x14ac:dyDescent="0.25">
      <c r="A200" s="518"/>
      <c r="B200" s="504"/>
      <c r="C200" s="104" t="str">
        <f>IF(AND(ISNUMBER(B194), C199&lt;&gt;"", OR('Cost Inputs'!$H$73&lt;&gt;"", 'Cost Inputs'!$I$73&lt;&gt;"", 'Cost Inputs'!$J$73&lt;&gt;"")), _3_3_1, "")</f>
        <v/>
      </c>
      <c r="D200" s="17" t="str">
        <f>IF(AND(C200&lt;&gt;"", 'Cost Inputs'!$G$73&lt;&gt;""), 'Cost Inputs'!$G$73, "")</f>
        <v/>
      </c>
      <c r="E200" s="17" t="str">
        <f>IF(AND(C200&lt;&gt;"", 'Cost Inputs'!$H$73&lt;&gt;""), 'Cost Inputs'!$H$73, "")</f>
        <v/>
      </c>
      <c r="F200" s="17" t="str">
        <f>IF(AND(C200&lt;&gt;"", 'Cost Inputs'!$I$73&lt;&gt;""), 'Cost Inputs'!$I$73, "")</f>
        <v/>
      </c>
      <c r="G200" s="17" t="str">
        <f t="shared" si="8"/>
        <v/>
      </c>
      <c r="H200" s="17" t="str">
        <f>IF(AND(C200&lt;&gt;"", 'Cost Inputs'!$J$73&lt;&gt;""), 'Cost Inputs'!$J$73, "")</f>
        <v/>
      </c>
      <c r="I200" s="17" t="str">
        <f t="shared" ref="I200:I214" si="9">IF(AND($E200&lt;&gt;"", $H200&lt;&gt;""), $H200/$E200, "")</f>
        <v/>
      </c>
      <c r="J200" s="17" t="str">
        <f>IF(AND(C200&lt;&gt;"",('Cost Inputs'!$I$73+'Cost Inputs'!$J$73+'Cost Inputs'!$K$73)&gt;0), 'Cost Inputs'!$I$73+'Cost Inputs'!$J$73+'Cost Inputs'!$K$73, "")</f>
        <v/>
      </c>
      <c r="K200" s="17" t="str">
        <f>IF(AND(C200&lt;&gt;"", 'Cost Inputs'!$N$73&gt;0),'Cost Inputs'!$N$73,"")</f>
        <v/>
      </c>
      <c r="M200" s="106"/>
      <c r="W200" s="364" t="str">
        <f>IF($O$3="N.B.C.",
IF(ISNUMBER($B$194),
IF($C200&lt;&gt;"",
IF('Cost Inputs'!$L$73="Y",
IF(ISNUMBER($P$55), $E200+($E$73*(($E200/$E$73)+$P$55)), $E200),
IF('Cost Inputs'!$L$73="N",
IF(AND(ISNUMBER('Cost Inputs'!$M$73), OR('Cost Inputs'!$M$73=1,'Cost Inputs'!$M$73=2,'Cost Inputs'!$M$73=3,'Cost Inputs'!$M$73=6)),
IF(ISNUMBER($P$55), $E200+($E$73*(($E200/$E$73)+$P$55)), $E200),""),"")), ""),""),"")</f>
        <v/>
      </c>
      <c r="X200" s="364" t="str">
        <f>IF($P$3="N.B.C.",
IF(ISNUMBER($B$194),
IF($C200&lt;&gt;"",
IF('Cost Inputs'!$L$73="Y",
IF(ISNUMBER($Q$55), $E200+($E$73*(($E200/$E$73)+$Q$55)), $E200),
IF('Cost Inputs'!$L$73="N",
IF(AND(ISNUMBER('Cost Inputs'!$M$73), OR('Cost Inputs'!$M$73=1,'Cost Inputs'!$M$73=7)),
IF(ISNUMBER($Q$55), $E200+($E$73*(($E200/$E$73)+$Q$55)), $E200),""),"")), ""),""),"")</f>
        <v/>
      </c>
      <c r="Y200" s="364" t="str">
        <f>IF($Q$3="N.B.C.",
IF(ISNUMBER($B$194),
IF($C200&lt;&gt;"",
IF('Cost Inputs'!$L$73="Y",
IF(ISNUMBER($R$55), $E200+($E$73*(($E200/$E$73)+$R$55)), $E200),
IF('Cost Inputs'!$L$73="N",
IF(AND(ISNUMBER('Cost Inputs'!$M$73), OR('Cost Inputs'!$M$73=1,'Cost Inputs'!$M$73=2,'Cost Inputs'!$M$73=4,'Cost Inputs'!$M$73=8)),
IF(ISNUMBER($R$55), $E200+($E$73*(($E200/$E$73)+$R$55)), $E200),""),"")), ""),""),"")</f>
        <v/>
      </c>
      <c r="Z200" s="364" t="str">
        <f>IF($R$3="N.B.C.",
IF(ISNUMBER($B$194),
IF($C200&lt;&gt;"",
IF('Cost Inputs'!$L$73="Y",
IF(ISNUMBER($S$55), $E200+($E$73*(($E200/$E$73)+$S$55)), $E200),
IF('Cost Inputs'!$L$73="N",
IF(AND(ISNUMBER('Cost Inputs'!$M$73), OR('Cost Inputs'!$M$73=1,'Cost Inputs'!$M$73=3,'Cost Inputs'!$M$73=9)),
IF(ISNUMBER($S$55), $E200+($E$73*(($E200/$E$73)+$S$55)), $E200),""),"")), ""),""),"")</f>
        <v/>
      </c>
      <c r="AA200" s="364" t="str">
        <f>IF($S$3="N.B.C.",
IF(ISNUMBER($B$194),
IF($C200&lt;&gt;"",
IF('Cost Inputs'!$L$73="Y",
IF(ISNUMBER($T$55), $E200+($E$73*(($E200/$E$73)+$T$55)), $E200),
IF('Cost Inputs'!$L$73="N",
IF(AND(ISNUMBER('Cost Inputs'!$M$73), OR('Cost Inputs'!$M$73=1,'Cost Inputs'!$M$73=2,'Cost Inputs'!$M$73=5)),
IF(ISNUMBER($T$55), $E200+($E$73*(($E200/$E$73)+$T$55)), $E200),""),"")), ""),""),"")</f>
        <v/>
      </c>
      <c r="AB200" s="364" t="str">
        <f>IF($T$3="N.B.C.",
IF(ISNUMBER($B$194),
IF($C200&lt;&gt;"",
IF('Cost Inputs'!$L$73="Y",
IF(ISNUMBER($U$55), $E200+($E$73*(($E200/$E$73)+$U$55)), $E200),
IF('Cost Inputs'!$L$73="N",
IF(AND(ISNUMBER('Cost Inputs'!$M$73), OR('Cost Inputs'!$M$73=1)),
IF(ISNUMBER($U$55), $E200+($E$73*(($E200/$E$73)+$U$55)), $E200),""),"")), ""),""),"")</f>
        <v/>
      </c>
      <c r="AC200" s="364" t="str">
        <f>IF($U$3="N.B.C.",
IF(ISNUMBER($B$194),
IF($C200&lt;&gt;"",
IF('Cost Inputs'!$L$73="Y",
IF(ISNUMBER($V$55), $E200+($E$73*(($E200/$E$73)+$V$55)), $E200),
IF('Cost Inputs'!$L$73="N",
IF(AND(ISNUMBER('Cost Inputs'!$M$73), OR('Cost Inputs'!$M$73=1,'Cost Inputs'!$M$73=2,'Cost Inputs'!$M$73=3,'Cost Inputs'!$M$73=4,'Cost Inputs'!$M$73=6)),
IF(ISNUMBER($V$55), $E200+($E$73*(($E200/$E$73)+$V$55)), $E200),""),"")), ""),""),"")</f>
        <v/>
      </c>
      <c r="AD200" s="364" t="str">
        <f>IF($V$3="N.B.C.",
IF(ISNUMBER($B$194),
IF($C200&lt;&gt;"",
IF('Cost Inputs'!$L$73="Y",
IF(ISNUMBER($W$55), $E200+($E$73*(($E200/$E$73)+$W$55)), $E200),
IF('Cost Inputs'!$L$73="N",
IF(AND(ISNUMBER('Cost Inputs'!$M$73), OR('Cost Inputs'!$M$73=1)),
IF(ISNUMBER($W$55), $E200+($E$73*(($E200/$E$73)+$W$55)), $E200),""),"")), ""),""),"")</f>
        <v/>
      </c>
      <c r="AE200" s="364" t="str">
        <f>IF($W$3="N.B.C.",
IF(ISNUMBER($B$194),
IF($C200&lt;&gt;"",
IF('Cost Inputs'!$L$73="Y",
IF(ISNUMBER($X$55), $E200+($E$73*(($E200/$E$73)+$X$55)), $E200),
IF('Cost Inputs'!$L$73="N",
IF(AND(ISNUMBER('Cost Inputs'!$M$73), OR('Cost Inputs'!$M$73=1,'Cost Inputs'!$M$73=2,'Cost Inputs'!$M$73=7)),
IF(ISNUMBER($X$55), $E200+($E$73*(($E200/$E$73)+$X$55)), $E200),""),"")), ""),""),"")</f>
        <v/>
      </c>
      <c r="AF200" s="364" t="str">
        <f>IF($X$3="N.B.C.",
IF(ISNUMBER($B$194),
IF($C200&lt;&gt;"",
IF('Cost Inputs'!$L$73="Y",
IF(ISNUMBER($Y$55), $E200+($E$73*(($E200/$E$73)+$Y$55)), $E200),
IF('Cost Inputs'!$L$73="N",
IF(AND(ISNUMBER('Cost Inputs'!$M$73), OR('Cost Inputs'!$M$73=1,'Cost Inputs'!$M$73=3,'Cost Inputs'!$M$73=5)),
IF(ISNUMBER($Y$55), $E200+($E$73*(($E200/$E$73)+$Y$55)), $E200),""),"")), ""),""),"")</f>
        <v/>
      </c>
    </row>
    <row r="201" spans="1:32" x14ac:dyDescent="0.25">
      <c r="A201" s="518"/>
      <c r="B201" s="504"/>
      <c r="C201" s="107" t="str">
        <f>IF(AND(ISNUMBER(B194), C199&lt;&gt;"", OR('Cost Inputs'!$H$74&lt;&gt;"", 'Cost Inputs'!$I$74&lt;&gt;"", 'Cost Inputs'!$J$74&lt;&gt;"")), _3_3_2, "")</f>
        <v/>
      </c>
      <c r="D201" s="93" t="str">
        <f>IF(AND(C201&lt;&gt;"", 'Cost Inputs'!$G$74&lt;&gt;""), 'Cost Inputs'!$G$74, "")</f>
        <v/>
      </c>
      <c r="E201" s="93" t="str">
        <f>IF(AND(C201&lt;&gt;"", 'Cost Inputs'!$H$74&lt;&gt;""), 'Cost Inputs'!$H$74, "")</f>
        <v/>
      </c>
      <c r="F201" s="93" t="str">
        <f>IF(AND(C201&lt;&gt;"", 'Cost Inputs'!$I$74&lt;&gt;""), 'Cost Inputs'!$I$74, "")</f>
        <v/>
      </c>
      <c r="G201" s="93" t="str">
        <f t="shared" si="8"/>
        <v/>
      </c>
      <c r="H201" s="93" t="str">
        <f>IF(AND(C201&lt;&gt;"", 'Cost Inputs'!$J$74&lt;&gt;""), 'Cost Inputs'!$J$74, "")</f>
        <v/>
      </c>
      <c r="I201" s="93" t="str">
        <f t="shared" si="9"/>
        <v/>
      </c>
      <c r="J201" s="93" t="str">
        <f>IF(AND(C201&lt;&gt;"",('Cost Inputs'!$I$74+'Cost Inputs'!$J$74+'Cost Inputs'!$K$74)&gt;0), 'Cost Inputs'!$I$74+'Cost Inputs'!$J$74+'Cost Inputs'!$K$74, "")</f>
        <v/>
      </c>
      <c r="K201" s="93" t="str">
        <f>IF(AND(C201&lt;&gt;"", 'Cost Inputs'!$N$74&gt;0),'Cost Inputs'!$N$74,"")</f>
        <v/>
      </c>
      <c r="L201" s="93"/>
      <c r="M201" s="109"/>
      <c r="W201" s="372" t="str">
        <f>IF($O$3="N.B.C.",
IF(ISNUMBER($B$194),
IF($C201&lt;&gt;"",
IF('Cost Inputs'!$L$74="Y",
IF(ISNUMBER($P$55), $E201+($E$73*(($E201/$E$73)+$P$55)), $E201),
IF('Cost Inputs'!$L$74="N",
IF(AND(ISNUMBER('Cost Inputs'!$M$74), OR('Cost Inputs'!$M$74=1,'Cost Inputs'!$M$74=2,'Cost Inputs'!$M$74=3,'Cost Inputs'!$M$74=6)),
IF(ISNUMBER($P$55), $E201+($E$73*(($E201/$E$73)+$P$55)), $E201),""),"")), ""),""),"")</f>
        <v/>
      </c>
      <c r="X201" s="372" t="str">
        <f>IF($P$3="N.B.C.",
IF(ISNUMBER($B$194),
IF($C201&lt;&gt;"",
IF('Cost Inputs'!$L$74="Y",
IF(ISNUMBER($Q$55), $E201+($E$73*(($E201/$E$73)+$Q$55)), $E201),
IF('Cost Inputs'!$L$74="N",
IF(AND(ISNUMBER('Cost Inputs'!$M$74), OR('Cost Inputs'!$M$74=1,'Cost Inputs'!$M$74=7)),
IF(ISNUMBER($Q$55), $E201+($E$73*(($E201/$E$73)+$Q$55)), $E201),""),"")), ""),""),"")</f>
        <v/>
      </c>
      <c r="Y201" s="372" t="str">
        <f>IF($Q$3="N.B.C.",
IF(ISNUMBER($B$194),
IF($C201&lt;&gt;"",
IF('Cost Inputs'!$L$74="Y",
IF(ISNUMBER($R$55), $E201+($E$73*(($E201/$E$73)+$R$55)), $E201),
IF('Cost Inputs'!$L$74="N",
IF(AND(ISNUMBER('Cost Inputs'!$M$74), OR('Cost Inputs'!$M$74=1,'Cost Inputs'!$M$74=2,'Cost Inputs'!$M$74=4,'Cost Inputs'!$M$74=8)),
IF(ISNUMBER($R$55), $E201+($E$73*(($E201/$E$73)+$R$55)), $E201),""),"")), ""),""),"")</f>
        <v/>
      </c>
      <c r="Z201" s="372" t="str">
        <f>IF($R$3="N.B.C.",
IF(ISNUMBER($B$194),
IF($C201&lt;&gt;"",
IF('Cost Inputs'!$L$74="Y",
IF(ISNUMBER($S$55), $E201+($E$73*(($E201/$E$73)+$S$55)), $E201),
IF('Cost Inputs'!$L$74="N",
IF(AND(ISNUMBER('Cost Inputs'!$M$74), OR('Cost Inputs'!$M$74=1,'Cost Inputs'!$M$74=3,'Cost Inputs'!$M$74=9)),
IF(ISNUMBER($S$55), $E201+($E$73*(($E201/$E$73)+$S$55)), $E201),""),"")), ""),""),"")</f>
        <v/>
      </c>
      <c r="AA201" s="372" t="str">
        <f>IF($S$3="N.B.C.",
IF(ISNUMBER($B$194),
IF($C201&lt;&gt;"",
IF('Cost Inputs'!$L$74="Y",
IF(ISNUMBER($T$55), $E201+($E$73*(($E201/$E$73)+$T$55)), $E201),
IF('Cost Inputs'!$L$74="N",
IF(AND(ISNUMBER('Cost Inputs'!$M$74), OR('Cost Inputs'!$M$74=1,'Cost Inputs'!$M$74=2,'Cost Inputs'!$M$74=5)),
IF(ISNUMBER($T$55), $E201+($E$73*(($E201/$E$73)+$T$55)), $E201),""),"")), ""),""),"")</f>
        <v/>
      </c>
      <c r="AB201" s="372" t="str">
        <f>IF($T$3="N.B.C.",
IF(ISNUMBER($B$194),
IF($C201&lt;&gt;"",
IF('Cost Inputs'!$L$74="Y",
IF(ISNUMBER($U$55), $E201+($E$73*(($E201/$E$73)+$U$55)), $E201),
IF('Cost Inputs'!$L$74="N",
IF(AND(ISNUMBER('Cost Inputs'!$M$74), OR('Cost Inputs'!$M$74=1)),
IF(ISNUMBER($U$55), $E201+($E$73*(($E201/$E$73)+$U$55)), $E201),""),"")), ""),""),"")</f>
        <v/>
      </c>
      <c r="AC201" s="372" t="str">
        <f>IF($U$3="N.B.C.",
IF(ISNUMBER($B$194),
IF($C201&lt;&gt;"",
IF('Cost Inputs'!$L$74="Y",
IF(ISNUMBER($V$55), $E201+($E$73*(($E201/$E$73)+$V$55)), $E201),
IF('Cost Inputs'!$L$74="N",
IF(AND(ISNUMBER('Cost Inputs'!$M$74), OR('Cost Inputs'!$M$74=1,'Cost Inputs'!$M$74=2,'Cost Inputs'!$M$74=3,'Cost Inputs'!$M$74=4,'Cost Inputs'!$M$74=6)),
IF(ISNUMBER($V$55), $E201+($E$73*(($E201/$E$73)+$V$55)), $E201),""),"")), ""),""),"")</f>
        <v/>
      </c>
      <c r="AD201" s="372" t="str">
        <f>IF($V$3="N.B.C.",
IF(ISNUMBER($B$194),
IF($C201&lt;&gt;"",
IF('Cost Inputs'!$L$74="Y",
IF(ISNUMBER($W$55), $E201+($E$73*(($E201/$E$73)+$W$55)), $E201),
IF('Cost Inputs'!$L$74="N",
IF(AND(ISNUMBER('Cost Inputs'!$M$74), OR('Cost Inputs'!$M$74=1)),
IF(ISNUMBER($W$55), $E201+($E$73*(($E201/$E$73)+$W$55)), $E201),""),"")), ""),""),"")</f>
        <v/>
      </c>
      <c r="AE201" s="372" t="str">
        <f>IF($W$3="N.B.C.",
IF(ISNUMBER($B$194),
IF($C201&lt;&gt;"",
IF('Cost Inputs'!$L$74="Y",
IF(ISNUMBER($X$55), $E201+($E$73*(($E201/$E$73)+$X$55)), $E201),
IF('Cost Inputs'!$L$74="N",
IF(AND(ISNUMBER('Cost Inputs'!$M$74), OR('Cost Inputs'!$M$74=1,'Cost Inputs'!$M$74=2,'Cost Inputs'!$M$74=7)),
IF(ISNUMBER($X$55), $E201+($E$73*(($E201/$E$73)+$X$55)), $E201),""),"")), ""),""),"")</f>
        <v/>
      </c>
      <c r="AF201" s="372" t="str">
        <f>IF($X$3="N.B.C.",
IF(ISNUMBER($B$194),
IF($C201&lt;&gt;"",
IF('Cost Inputs'!$L$74="Y",
IF(ISNUMBER($Y$55), $E201+($E$73*(($E201/$E$73)+$Y$55)), $E201),
IF('Cost Inputs'!$L$74="N",
IF(AND(ISNUMBER('Cost Inputs'!$M$74), OR('Cost Inputs'!$M$74=1,'Cost Inputs'!$M$74=3,'Cost Inputs'!$M$74=5)),
IF(ISNUMBER($Y$55), $E201+($E$73*(($E201/$E$73)+$Y$55)), $E201),""),"")), ""),""),"")</f>
        <v/>
      </c>
    </row>
    <row r="202" spans="1:32" x14ac:dyDescent="0.25">
      <c r="A202" s="518"/>
      <c r="B202" s="504"/>
      <c r="C202" s="104" t="str">
        <f>IF(AND(ISNUMBER(B194), OR('Cost Inputs'!$H$75&lt;&gt;"", 'Cost Inputs'!$I$75&lt;&gt;"", 'Cost Inputs'!$J$75&lt;&gt;"")), _3_3_3, "")</f>
        <v/>
      </c>
      <c r="D202" s="17" t="str">
        <f>IF(AND(C202&lt;&gt;"", 'Cost Inputs'!$G$75&lt;&gt;""), 'Cost Inputs'!$G$75, "")</f>
        <v/>
      </c>
      <c r="E202" s="17" t="str">
        <f>IF(AND(C202&lt;&gt;"", 'Cost Inputs'!$H$75&lt;&gt;""), 'Cost Inputs'!$H$75, "")</f>
        <v/>
      </c>
      <c r="F202" s="17" t="str">
        <f>IF(AND(C202&lt;&gt;"", 'Cost Inputs'!$I$75&lt;&gt;""), 'Cost Inputs'!$I$75, "")</f>
        <v/>
      </c>
      <c r="G202" s="17" t="str">
        <f t="shared" si="8"/>
        <v/>
      </c>
      <c r="H202" s="17" t="str">
        <f>IF(AND(C202&lt;&gt;"", 'Cost Inputs'!$J$75&lt;&gt;""), 'Cost Inputs'!$J$75, "")</f>
        <v/>
      </c>
      <c r="I202" s="17" t="str">
        <f t="shared" si="9"/>
        <v/>
      </c>
      <c r="J202" s="17" t="str">
        <f>IF(AND(C202&lt;&gt;"",('Cost Inputs'!$I$75+'Cost Inputs'!$J$75+'Cost Inputs'!$K$75)&gt;0), 'Cost Inputs'!$I$75+'Cost Inputs'!$J$75+'Cost Inputs'!$K$75, "")</f>
        <v/>
      </c>
      <c r="K202" s="17" t="str">
        <f>IF(AND(C202&lt;&gt;"", 'Cost Inputs'!$N$75&gt;0),'Cost Inputs'!$N$75,"")</f>
        <v/>
      </c>
      <c r="M202" s="106"/>
      <c r="W202" s="364" t="str">
        <f>IF($O$3="N.B.C.",
IF(ISNUMBER($B$194),
IF($C202&lt;&gt;"",
IF('Cost Inputs'!$L$75="Y",
IF(ISNUMBER($P$55), $E202+($E$73*(($E202/$E$73)+$P$55)), $E202),
IF('Cost Inputs'!$L$75="N",
IF(AND(ISNUMBER('Cost Inputs'!$M$75), OR('Cost Inputs'!$M$75=1,'Cost Inputs'!$M$75=2,'Cost Inputs'!$M$75=3,'Cost Inputs'!$M$75=6)),
IF(ISNUMBER($P$55), $E202+($E$73*(($E202/$E$73)+$P$55)), $E202),""),"")), ""),""),"")</f>
        <v/>
      </c>
      <c r="X202" s="364" t="str">
        <f>IF($P$3="N.B.C.",
IF(ISNUMBER($B$194),
IF($C202&lt;&gt;"",
IF('Cost Inputs'!$L$75="Y",
IF(ISNUMBER($Q$55), $E202+($E$73*(($E202/$E$73)+$Q$55)), $E202),
IF('Cost Inputs'!$L$75="N",
IF(AND(ISNUMBER('Cost Inputs'!$M$75), OR('Cost Inputs'!$M$75=1,'Cost Inputs'!$M$75=7)),
IF(ISNUMBER($Q$55), $E202+($E$73*(($E202/$E$73)+$Q$55)), $E202),""),"")), ""),""),"")</f>
        <v/>
      </c>
      <c r="Y202" s="364" t="str">
        <f>IF($Q$3="N.B.C.",
IF(ISNUMBER($B$194),
IF($C202&lt;&gt;"",
IF('Cost Inputs'!$L$75="Y",
IF(ISNUMBER($R$55), $E202+($E$73*(($E202/$E$73)+$R$55)), $E202),
IF('Cost Inputs'!$L$75="N",
IF(AND(ISNUMBER('Cost Inputs'!$M$75), OR('Cost Inputs'!$M$75=1,'Cost Inputs'!$M$75=2,'Cost Inputs'!$M$75=4,'Cost Inputs'!$M$75=8)),
IF(ISNUMBER($R$55), $E202+($E$73*(($E202/$E$73)+$R$55)), $E202),""),"")), ""),""),"")</f>
        <v/>
      </c>
      <c r="Z202" s="364" t="str">
        <f>IF($R$3="N.B.C.",
IF(ISNUMBER($B$194),
IF($C202&lt;&gt;"",
IF('Cost Inputs'!$L$75="Y",
IF(ISNUMBER($S$55), $E202+($E$73*(($E202/$E$73)+$S$55)), $E202),
IF('Cost Inputs'!$L$75="N",
IF(AND(ISNUMBER('Cost Inputs'!$M$75), OR('Cost Inputs'!$M$75=1,'Cost Inputs'!$M$75=3,'Cost Inputs'!$M$75=9)),
IF(ISNUMBER($S$55), $E202+($E$73*(($E202/$E$73)+$S$55)), $E202),""),"")), ""),""),"")</f>
        <v/>
      </c>
      <c r="AA202" s="364" t="str">
        <f>IF($S$3="N.B.C.",
IF(ISNUMBER($B$194),
IF($C202&lt;&gt;"",
IF('Cost Inputs'!$L$75="Y",
IF(ISNUMBER($T$55), $E202+($E$73*(($E202/$E$73)+$T$55)), $E202),
IF('Cost Inputs'!$L$75="N",
IF(AND(ISNUMBER('Cost Inputs'!$M$75), OR('Cost Inputs'!$M$75=1,'Cost Inputs'!$M$75=2,'Cost Inputs'!$M$75=5)),
IF(ISNUMBER($T$55), $E202+($E$73*(($E202/$E$73)+$T$55)), $E202),""),"")), ""),""),"")</f>
        <v/>
      </c>
      <c r="AB202" s="364" t="str">
        <f>IF($T$3="N.B.C.",
IF(ISNUMBER($B$194),
IF($C202&lt;&gt;"",
IF('Cost Inputs'!$L$75="Y",
IF(ISNUMBER($U$55), $E202+($E$73*(($E202/$E$73)+$U$55)), $E202),
IF('Cost Inputs'!$L$75="N",
IF(AND(ISNUMBER('Cost Inputs'!$M$75), OR('Cost Inputs'!$M$75=1)),
IF(ISNUMBER($U$55), $E202+($E$73*(($E202/$E$73)+$U$55)), $E202),""),"")), ""),""),"")</f>
        <v/>
      </c>
      <c r="AC202" s="364" t="str">
        <f>IF($U$3="N.B.C.",
IF(ISNUMBER($B$194),
IF($C202&lt;&gt;"",
IF('Cost Inputs'!$L$75="Y",
IF(ISNUMBER($V$55), $E202+($E$73*(($E202/$E$73)+$V$55)), $E202),
IF('Cost Inputs'!$L$75="N",
IF(AND(ISNUMBER('Cost Inputs'!$M$75), OR('Cost Inputs'!$M$75=1,'Cost Inputs'!$M$75=2,'Cost Inputs'!$M$75=3,'Cost Inputs'!$M$75=4,'Cost Inputs'!$M$75=6)),
IF(ISNUMBER($V$55), $E202+($E$73*(($E202/$E$73)+$V$55)), $E202),""),"")), ""),""),"")</f>
        <v/>
      </c>
      <c r="AD202" s="364" t="str">
        <f>IF($V$3="N.B.C.",
IF(ISNUMBER($B$194),
IF($C202&lt;&gt;"",
IF('Cost Inputs'!$L$75="Y",
IF(ISNUMBER($W$55), $E202+($E$73*(($E202/$E$73)+$W$55)), $E202),
IF('Cost Inputs'!$L$75="N",
IF(AND(ISNUMBER('Cost Inputs'!$M$75), OR('Cost Inputs'!$M$75=1)),
IF(ISNUMBER($W$55), $E202+($E$73*(($E202/$E$73)+$W$55)), $E202),""),"")), ""),""),"")</f>
        <v/>
      </c>
      <c r="AE202" s="364" t="str">
        <f>IF($W$3="N.B.C.",
IF(ISNUMBER($B$194),
IF($C202&lt;&gt;"",
IF('Cost Inputs'!$L$75="Y",
IF(ISNUMBER($X$55), $E202+($E$73*(($E202/$E$73)+$X$55)), $E202),
IF('Cost Inputs'!$L$75="N",
IF(AND(ISNUMBER('Cost Inputs'!$M$75), OR('Cost Inputs'!$M$75=1,'Cost Inputs'!$M$75=2,'Cost Inputs'!$M$75=7)),
IF(ISNUMBER($X$55), $E202+($E$73*(($E202/$E$73)+$X$55)), $E202),""),"")), ""),""),"")</f>
        <v/>
      </c>
      <c r="AF202" s="364" t="str">
        <f>IF($X$3="N.B.C.",
IF(ISNUMBER($B$194),
IF($C202&lt;&gt;"",
IF('Cost Inputs'!$L$75="Y",
IF(ISNUMBER($Y$55), $E202+($E$73*(($E202/$E$73)+$Y$55)), $E202),
IF('Cost Inputs'!$L$75="N",
IF(AND(ISNUMBER('Cost Inputs'!$M$75), OR('Cost Inputs'!$M$75=1,'Cost Inputs'!$M$75=3,'Cost Inputs'!$M$75=5)),
IF(ISNUMBER($Y$55), $E202+($E$73*(($E202/$E$73)+$Y$55)), $E202),""),"")), ""),""),"")</f>
        <v/>
      </c>
    </row>
    <row r="203" spans="1:32" x14ac:dyDescent="0.25">
      <c r="A203" s="518"/>
      <c r="B203" s="504"/>
      <c r="C203" s="107" t="str">
        <f>IF(AND(ISNUMBER(B194), OR('Cost Inputs'!$H$76&lt;&gt;"", 'Cost Inputs'!$I$76&lt;&gt;"", 'Cost Inputs'!$J$76&lt;&gt;"")), _3_3_4, "")</f>
        <v/>
      </c>
      <c r="D203" s="93" t="str">
        <f>IF(AND(C203&lt;&gt;"", 'Cost Inputs'!$G$76&lt;&gt;""), 'Cost Inputs'!$G$76, "")</f>
        <v/>
      </c>
      <c r="E203" s="93" t="str">
        <f>IF(AND(C203&lt;&gt;"", 'Cost Inputs'!$H$76&lt;&gt;""), 'Cost Inputs'!$H$76, "")</f>
        <v/>
      </c>
      <c r="F203" s="93" t="str">
        <f>IF(AND(C203&lt;&gt;"", 'Cost Inputs'!$I$76&lt;&gt;""), 'Cost Inputs'!$I$76, "")</f>
        <v/>
      </c>
      <c r="G203" s="93" t="str">
        <f t="shared" ref="G203:G269" si="10">IF(AND($E203&lt;&gt;"", $E203&gt;0, F203&lt;&gt;""), F203/$E203, "")</f>
        <v/>
      </c>
      <c r="H203" s="93" t="str">
        <f>IF(AND(C203&lt;&gt;"", 'Cost Inputs'!$J$76&lt;&gt;""), 'Cost Inputs'!$J$76, "")</f>
        <v/>
      </c>
      <c r="I203" s="93" t="str">
        <f t="shared" si="9"/>
        <v/>
      </c>
      <c r="J203" s="93" t="str">
        <f>IF(AND(C203&lt;&gt;"",('Cost Inputs'!$I$76+'Cost Inputs'!$J$76+'Cost Inputs'!$K$76)&gt;0), 'Cost Inputs'!$I$76+'Cost Inputs'!$J$76+'Cost Inputs'!$K$76, "")</f>
        <v/>
      </c>
      <c r="K203" s="93" t="str">
        <f>IF(AND(C203&lt;&gt;"", 'Cost Inputs'!$N$76&gt;0),'Cost Inputs'!$N$76,"")</f>
        <v/>
      </c>
      <c r="L203" s="93"/>
      <c r="M203" s="109"/>
      <c r="W203" s="372" t="str">
        <f>IF($O$3="N.B.C.",
IF(ISNUMBER($B$194),
IF($C203&lt;&gt;"",
IF('Cost Inputs'!$L$76="Y",
IF(ISNUMBER($P$55), $E203+($E$73*(($E203/$E$73)+$P$55)), $E203),
IF('Cost Inputs'!$L$76="N",
IF(AND(ISNUMBER('Cost Inputs'!$M$76), OR('Cost Inputs'!$M$76=1,'Cost Inputs'!$M$76=2,'Cost Inputs'!$M$76=3,'Cost Inputs'!$M$76=6)),
IF(ISNUMBER($P$55), $E203+($E$73*(($E203/$E$73)+$P$55)), $E203),""),"")), ""),""),"")</f>
        <v/>
      </c>
      <c r="X203" s="372" t="str">
        <f>IF($P$3="N.B.C.",
IF(ISNUMBER($B$194),
IF($C203&lt;&gt;"",
IF('Cost Inputs'!$L$76="Y",
IF(ISNUMBER($Q$55), $E203+($E$73*(($E203/$E$73)+$Q$55)), $E203),
IF('Cost Inputs'!$L$76="N",
IF(AND(ISNUMBER('Cost Inputs'!$M$76),OR('Cost Inputs'!$M$76=1,'Cost Inputs'!$M$76=7)),
IF(ISNUMBER($Q$55), $E203+($E$73*(($E203/$E$73)+$Q$55)), $E203),""),"")), ""),""),"")</f>
        <v/>
      </c>
      <c r="Y203" s="372" t="str">
        <f>IF($Q$3="N.B.C.",
IF(ISNUMBER($B$194),
IF($C203&lt;&gt;"",
IF('Cost Inputs'!$L$76="Y",
IF(ISNUMBER($R$55), $E203+($E$73*(($E203/$E$73)+$R$55)), $E203),
IF('Cost Inputs'!$L$76="N",
IF(AND(ISNUMBER('Cost Inputs'!$M$76), OR('Cost Inputs'!$M$76=1,'Cost Inputs'!$M$76=2,'Cost Inputs'!$M$76=4,'Cost Inputs'!$M$76=8)),
IF(ISNUMBER($R$55), $E203+($E$73*(($E203/$E$73)+$R$55)), $E203),""),"")), ""),""),"")</f>
        <v/>
      </c>
      <c r="Z203" s="372" t="str">
        <f>IF($R$3="N.B.C.",
IF(ISNUMBER($B$194),
IF($C203&lt;&gt;"",
IF('Cost Inputs'!$L$76="Y",
IF(ISNUMBER($S$55), $E203+($E$73*(($E203/$E$73)+$S$55)), $E203),
IF('Cost Inputs'!$L$76="N",
IF(AND(ISNUMBER('Cost Inputs'!$M$76), OR('Cost Inputs'!$M$76=1,'Cost Inputs'!$M$76=3,'Cost Inputs'!$M$76=9)),
IF(ISNUMBER($S$55), $E203+($E$73*(($E203/$E$73)+$S$55)), $E203),""),"")), ""),""),"")</f>
        <v/>
      </c>
      <c r="AA203" s="372" t="str">
        <f>IF($S$3="N.B.C.",
IF(ISNUMBER($B$194),
IF($C203&lt;&gt;"",
IF('Cost Inputs'!$L$76="Y",
IF(ISNUMBER($T$55), $E203+($E$73*(($E203/$E$73)+$T$55)), $E203),
IF('Cost Inputs'!$L$76="N",
IF(AND(ISNUMBER('Cost Inputs'!$M$76), OR('Cost Inputs'!$M$76=1,'Cost Inputs'!$M$76=2,'Cost Inputs'!$M$76=5)),
IF(ISNUMBER($T$55), $E203+($E$73*(($E203/$E$73)+$T$55)), $E203),""),"")), ""),""),"")</f>
        <v/>
      </c>
      <c r="AB203" s="372" t="str">
        <f>IF($T$3="N.B.C.",
IF(ISNUMBER($B$194),
IF($C203&lt;&gt;"",
IF('Cost Inputs'!$L$76="Y",
IF(ISNUMBER($U$55), $E203+($E$73*(($E203/$E$73)+$U$55)), $E203),
IF('Cost Inputs'!$L$76="N",
IF(AND(ISNUMBER('Cost Inputs'!$M$76), OR('Cost Inputs'!$M$76=1)),
IF(ISNUMBER($U$55), $E203+($E$73*(($E203/$E$73)+$U$55)), $E203),""),"")), ""),""),"")</f>
        <v/>
      </c>
      <c r="AC203" s="372" t="str">
        <f>IF($U$3="N.B.C.",
IF(ISNUMBER($B$194),
IF($C203&lt;&gt;"",
IF('Cost Inputs'!$L$76="Y",
IF(ISNUMBER($V$55), $E203+($E$73*(($E203/$E$73)+$V$55)), $E203),
IF('Cost Inputs'!$L$76="N",
IF(AND(ISNUMBER('Cost Inputs'!$M$76), OR('Cost Inputs'!$M$76=1,'Cost Inputs'!$M$76=2,'Cost Inputs'!$M$76=3,'Cost Inputs'!$M$76=4,'Cost Inputs'!$M$76=6)),
IF(ISNUMBER($V$55), $E203+($E$73*(($E203/$E$73)+$V$55)), $E203),""),"")), ""),""),"")</f>
        <v/>
      </c>
      <c r="AD203" s="372" t="str">
        <f>IF($V$3="N.B.C.",
IF(ISNUMBER($B$194),
IF($C203&lt;&gt;"",
IF('Cost Inputs'!$L$76="Y",
IF(ISNUMBER($W$55), $E203+($E$73*(($E203/$E$73)+$W$55)), $E203),
IF('Cost Inputs'!$L$76="N",
IF(AND(ISNUMBER('Cost Inputs'!$M$76), OR('Cost Inputs'!$M$76=1)),
IF(ISNUMBER($W$55), $E203+($E$73*(($E203/$E$73)+$W$55)), $E203),""),"")), ""),""),"")</f>
        <v/>
      </c>
      <c r="AE203" s="372" t="str">
        <f>IF($W$3="N.B.C.",
IF(ISNUMBER($B$194),
IF($C203&lt;&gt;"",
IF('Cost Inputs'!$L$76="Y",
IF(ISNUMBER($X$55), $E203+($E$73*(($E203/$E$73)+$X$55)), $E203),
IF('Cost Inputs'!$L$76="N",
IF(AND(ISNUMBER('Cost Inputs'!$M$76), OR('Cost Inputs'!$M$76=1,'Cost Inputs'!$M$76=2,'Cost Inputs'!$M$76=7)),
IF(ISNUMBER($X$55), $E203+($E$73*(($E203/$E$73)+$X$55)), $E203),""),"")), ""),""),"")</f>
        <v/>
      </c>
      <c r="AF203" s="372" t="str">
        <f>IF($X$3="N.B.C.",
IF(ISNUMBER($B$194),
IF($C203&lt;&gt;"",
IF('Cost Inputs'!$L$76="Y",
IF(ISNUMBER($Y$55), $E203+($E$73*(($E203/$E$73)+$Y$55)), $E203),
IF('Cost Inputs'!$L$76="N",
IF(AND(ISNUMBER('Cost Inputs'!$M$76), OR('Cost Inputs'!$M$76=1,'Cost Inputs'!$M$76=3,'Cost Inputs'!$M$76=5)),
IF(ISNUMBER($Y$55), $E203+($E$73*(($E203/$E$73)+$Y$55)), $E203),""),"")), ""),""),"")</f>
        <v/>
      </c>
    </row>
    <row r="204" spans="1:32" x14ac:dyDescent="0.25">
      <c r="A204" s="518"/>
      <c r="B204" s="504"/>
      <c r="C204" s="110" t="str">
        <f>IF( ISNUMBER(B194), _3_4_0, "")</f>
        <v/>
      </c>
      <c r="D204" s="94" t="str">
        <f>IF(AND(B194&lt;&gt;"", OR('Cost Inputs'!$H$77&lt;&gt;"", 'Cost Inputs'!$I$77&lt;&gt;"", 'Cost Inputs'!$J$77&lt;&gt;"")), 'Cost Inputs'!$G$77,"")</f>
        <v/>
      </c>
      <c r="E204" s="94" t="str">
        <f>IF(AND(C204&lt;&gt;"", 'Cost Inputs'!$H$77&lt;&gt;""), 'Cost Inputs'!$H$77, "")</f>
        <v/>
      </c>
      <c r="F204" s="94" t="str">
        <f>IF(AND(C204&lt;&gt;"", 'Cost Inputs'!$I$77&lt;&gt;""), 'Cost Inputs'!$I$77, "")</f>
        <v/>
      </c>
      <c r="G204" s="94" t="str">
        <f t="shared" si="10"/>
        <v/>
      </c>
      <c r="H204" s="94" t="str">
        <f>IF(AND(C204&lt;&gt;"", 'Cost Inputs'!$J$77&lt;&gt;""), 'Cost Inputs'!$J$77, "")</f>
        <v/>
      </c>
      <c r="I204" s="94" t="str">
        <f>IF(AND($E204&lt;&gt;"", $H204&lt;&gt;""), $H204/$E204, "")</f>
        <v/>
      </c>
      <c r="J204" s="94" t="str">
        <f>IF(AND(C204&lt;&gt;"",('Cost Inputs'!$I$77+'Cost Inputs'!$J$77+'Cost Inputs'!$K$77)&gt;0), 'Cost Inputs'!$I$77+'Cost Inputs'!$J$77+'Cost Inputs'!$K$77, "")</f>
        <v/>
      </c>
      <c r="K204" s="94" t="str">
        <f>IF(AND(C204&lt;&gt;"", 'Cost Inputs'!$N$77&gt;0),'Cost Inputs'!$N$77,"")</f>
        <v/>
      </c>
      <c r="L204" s="94"/>
      <c r="M204" s="103"/>
      <c r="W204" s="373" t="str">
        <f>IF($O$3="N.B.C.",
IF(ISNUMBER($B$194),
IF($C204&lt;&gt;"",
IF('Cost Inputs'!$L$77="Y",
IF(AND(ISNUMBER(P$56), P$56&gt;$E$60), $E204+($E$60*(($E204/$E$60)+$P$55)), $E204),
IF('Cost Inputs'!$L$77="N",
IF(AND(ISNUMBER('Cost Inputs'!$M$77), OR('Cost Inputs'!$M$77=1,'Cost Inputs'!$M$77=2, 'Cost Inputs'!$M$77=3,'Cost Inputs'!$M$77=6)),
IF(AND(ISNUMBER(P$56), P$56&gt;$E$60), $E204+($E$60*(($E204/$E$60)+$P$55)), $E204), ""),"")), ""), ""), "")</f>
        <v/>
      </c>
      <c r="X204" s="373" t="str">
        <f>IF($P$3="N.B.C.",
IF(ISNUMBER($B$194),
IF($C204&lt;&gt;"",
IF('Cost Inputs'!$L$77="Y",
IF(AND(ISNUMBER(Q$56), Q$56&gt;$E$60), $E204+($E$60*(($E204/$E$60)+$Q$55)), $E204),
IF('Cost Inputs'!$L$77="N",
IF(AND(ISNUMBER('Cost Inputs'!$M$77), OR('Cost Inputs'!$M$77=1,'Cost Inputs'!$M$77=7)),
IF(AND(ISNUMBER(Q$56), Q$56&gt;$E$60), $E204+($E$60*(($E204/$E$60)+$Q$55)), $E204), ""),"")), ""), ""), "")</f>
        <v/>
      </c>
      <c r="Y204" s="373" t="str">
        <f>IF($Q$3="N.B.C.",
IF(ISNUMBER($B$194),
IF($C204&lt;&gt;"",
IF('Cost Inputs'!$L$77="Y",
IF(AND(ISNUMBER(R$56), R$56&gt;$E$60), $E204+($E$60*(($E204/$E$60)+$R$55)), $E204),
IF('Cost Inputs'!$L$77="N",
IF(AND(ISNUMBER('Cost Inputs'!$M$77), OR('Cost Inputs'!$M$77=1,'Cost Inputs'!$M$77=2,'Cost Inputs'!$M$77=4,'Cost Inputs'!$M$77=8)),
IF(AND(ISNUMBER(R$56), R$56&gt;$E$60), $E204+($E$60*(($E204/$E$60)+$R$55)), $E204), ""),"")), ""), ""), "")</f>
        <v/>
      </c>
      <c r="Z204" s="373" t="str">
        <f>IF($R$3="N.B.C.",
IF(ISNUMBER($B$194),
IF($C204&lt;&gt;"",
IF('Cost Inputs'!$L$77="Y",
IF(AND(ISNUMBER(S$56), S$56&gt;$E$60), $E204+($E$60*(($E204/$E$60)+$S$55)), $E204),
IF('Cost Inputs'!$L$77="N",
IF(AND(ISNUMBER('Cost Inputs'!$M$77), OR('Cost Inputs'!$M$77=1,'Cost Inputs'!$M$77=3, 'Cost Inputs'!$M$77=9)),
IF(AND(ISNUMBER(S$56), S$56&gt;$E$60), $E204+($E$60*(($E204/$E$60)+$S$55)), $E204), ""),"")), ""), ""), "")</f>
        <v/>
      </c>
      <c r="AA204" s="373" t="str">
        <f>IF($S$3="N.B.C.",
IF(ISNUMBER($B$194),
IF($C204&lt;&gt;"",
IF('Cost Inputs'!$L$77="Y",
IF(AND(ISNUMBER(T$56), T$56&gt;$E$60), $E204+($E$60*(($E204/$E$60)+$T$55)), $E204),
IF('Cost Inputs'!$L$77="N",
IF(AND(ISNUMBER('Cost Inputs'!$M$77), OR('Cost Inputs'!$M$77=1,'Cost Inputs'!$M$77=2, 'Cost Inputs'!$M$77=5)),
IF(AND(ISNUMBER(T$56), T$56&gt;$E$60), $E204+($E$60*(($E204/$E$60)+$T$55)), $E204), ""),"")), ""), ""), "")</f>
        <v/>
      </c>
      <c r="AB204" s="373" t="str">
        <f>IF($T$3="N.B.C.",
IF(ISNUMBER($B$194),
IF($C204&lt;&gt;"",
IF('Cost Inputs'!$L$77="Y",
IF(AND(ISNUMBER(U$56), U$56&gt;$E$60), $E204+($E$60*(($E204/$E$60)+$U$55)), $E204),
IF('Cost Inputs'!$L$77="N",
IF(AND(ISNUMBER('Cost Inputs'!$M$77), OR('Cost Inputs'!$M$77=1)),
IF(AND(ISNUMBER(U$56), U$56&gt;$E$60), $E204+($E$60*(($E204/$E$60)+$U$55)), $E204), ""),"")), ""), ""), "")</f>
        <v/>
      </c>
      <c r="AC204" s="373" t="str">
        <f>IF($U$3="N.B.C.",
IF(ISNUMBER($B$194),
IF($C204&lt;&gt;"",
IF('Cost Inputs'!$L$77="Y",
IF(AND(ISNUMBER(V$56), V$56&gt;$E$60), $E204+($E$60*(($E204/$E$60)+$V$55)), $E204),
IF('Cost Inputs'!$L$77="N",
IF(AND(ISNUMBER('Cost Inputs'!$M$77), OR('Cost Inputs'!$M$77=1,'Cost Inputs'!$M$77=2,'Cost Inputs'!$M$77=3,'Cost Inputs'!$M$77=4,'Cost Inputs'!$M$77=6)),
IF(AND(ISNUMBER(V$56), V$56&gt;$E$60), $E204+($E$60*(($E204/$E$60)+$V$55)), $E204), ""),"")), ""), ""), "")</f>
        <v/>
      </c>
      <c r="AD204" s="373" t="str">
        <f>IF($V$3="N.B.C.",
IF(ISNUMBER($B$194),
IF($C204&lt;&gt;"",
IF('Cost Inputs'!$L$77="Y",
IF(AND(ISNUMBER(W$56), W$56&gt;$E$60), $E204+($E$60*(($E204/$E$60)+$W$55)), $E204),
IF('Cost Inputs'!$L$77="N",
IF(AND(ISNUMBER('Cost Inputs'!$M$77), OR('Cost Inputs'!$M$77=1)),
IF(AND(ISNUMBER(W$56), W$56&gt;$E$60), $E204+($E$60*(($E204/$E$60)+$W$55)), $E204), ""),"")), ""), ""), "")</f>
        <v/>
      </c>
      <c r="AE204" s="373" t="str">
        <f>IF($W$3="N.B.C.",
IF(ISNUMBER($B$194),
IF($C204&lt;&gt;"",
IF('Cost Inputs'!$L$77="Y",
IF(AND(ISNUMBER(X$56), X$56&gt;$E$60), $E204+($E$60*(($E204/$E$60)+$X$55)), $E204),
IF('Cost Inputs'!$L$77="N",
IF(AND(ISNUMBER('Cost Inputs'!$M$77), OR('Cost Inputs'!$M$77=1,'Cost Inputs'!$M$77=2,'Cost Inputs'!$M$77=7)),
IF(AND(ISNUMBER(X$56), X$56&gt;$E$60), $E204+($E$60*(($E204/$E$60)+$X$55)), $E204), ""),"")), ""), ""), "")</f>
        <v/>
      </c>
      <c r="AF204" s="373" t="str">
        <f>IF($X$3="N.B.C.",
IF(ISNUMBER($B$194),
IF($C204&lt;&gt;"",
IF('Cost Inputs'!$L$77="Y",
IF(AND(ISNUMBER(Y$56), Y$56&gt;$E$60), $E204+($E$60*(($E204/$E$60)+$Y$55)), $E204),
IF('Cost Inputs'!$L$77="N",
IF(AND(ISNUMBER('Cost Inputs'!$M$77), OR('Cost Inputs'!$M$77=1,'Cost Inputs'!$M$77=3,'Cost Inputs'!$M$77=5)),
IF(AND(ISNUMBER(Y$56), Y$56&gt;$E$60), $E204+($E$60*(($E204/$E$60)+$Y$55)), $E204), ""),"")), ""), ""), "")</f>
        <v/>
      </c>
    </row>
    <row r="205" spans="1:32" x14ac:dyDescent="0.25">
      <c r="A205" s="518"/>
      <c r="B205" s="504"/>
      <c r="C205" s="358" t="str">
        <f>IF(AND(ISNUMBER(B194), OR('Cost Inputs'!$H$78&lt;&gt;"", 'Cost Inputs'!$I$78&lt;&gt;"", 'Cost Inputs'!$J$78&lt;&gt;"")),
IF((INDEX(ProgramYearStage1,MATCH(DNA_Test_1,Years_in_Stage1,0)))='Model_ of_individuals'!B194,  _3_4_1,
IF(AND(C184&lt;&gt;"",ISNUMBER(B194)), _3_4_1, "")),"")</f>
        <v/>
      </c>
      <c r="D205" s="17" t="str">
        <f>IF(AND(C205&lt;&gt;"", 'Cost Inputs'!$G$78&lt;&gt;""), 'Cost Inputs'!$G$78, "")</f>
        <v/>
      </c>
      <c r="E205" s="17" t="str">
        <f>IF(AND(C205&lt;&gt;"", 'Cost Inputs'!$H$78&lt;&gt;""), 'Cost Inputs'!$H$78, "")</f>
        <v/>
      </c>
      <c r="F205" s="17" t="str">
        <f>IF(AND(C205&lt;&gt;"", 'Cost Inputs'!$I$78&lt;&gt;""), 'Cost Inputs'!$I$78, "")</f>
        <v/>
      </c>
      <c r="G205" s="17" t="str">
        <f t="shared" si="10"/>
        <v/>
      </c>
      <c r="H205" s="17" t="str">
        <f>IF(AND(C205&lt;&gt;"", 'Cost Inputs'!$J$78&lt;&gt;""), 'Cost Inputs'!$J$78, "")</f>
        <v/>
      </c>
      <c r="I205" s="17" t="str">
        <f t="shared" si="9"/>
        <v/>
      </c>
      <c r="J205" s="17" t="str">
        <f>IF(AND(C205&lt;&gt;"",('Cost Inputs'!$I$78+'Cost Inputs'!$J$78+'Cost Inputs'!$K$78)&gt;0), 'Cost Inputs'!$I$78+'Cost Inputs'!$J$78+'Cost Inputs'!$K$78, "")</f>
        <v/>
      </c>
      <c r="K205" s="17" t="str">
        <f>IF(AND(C205&lt;&gt;"", 'Cost Inputs'!$N$78&gt;0),'Cost Inputs'!$N$78,"")</f>
        <v/>
      </c>
      <c r="M205" s="106"/>
      <c r="W205" s="364" t="str">
        <f>IF($O$3="N.B.C.",
IF(ISNUMBER($B$194),
IF($C205&lt;&gt;"",
IF('Cost Inputs'!$L$78="Y",
IF(ISNUMBER($P$55), $E205+($E$78*(($E205/$E$78)+$P$55)), $E205),
IF('Cost Inputs'!$L$78="N",
IF(AND(ISNUMBER('Cost Inputs'!$M$78), OR('Cost Inputs'!$M$78=1,'Cost Inputs'!$M$78=2,'Cost Inputs'!$M$78=3,'Cost Inputs'!$M$78=6)),
IF(ISNUMBER($P$55), $E205+($E$78*(($E205/$E$78)+$P$55)), $E205),""),"")), ""),""),"")</f>
        <v/>
      </c>
      <c r="X205" s="364" t="str">
        <f>IF($P$3="N.B.C.",
IF(ISNUMBER($B$194),
IF($C205&lt;&gt;"",
IF('Cost Inputs'!$L$78="Y",
IF(ISNUMBER($Q$55), $E205+($E$78*(($E205/$E$78)+$Q$55)), $E205),
IF('Cost Inputs'!$L$78="N",
IF(AND(ISNUMBER('Cost Inputs'!$M$78), OR('Cost Inputs'!$M$78=1,'Cost Inputs'!$M$78=7)),
IF(ISNUMBER($Q$55), $E205+($E$78*(($E205/$E$78)+$Q$55)), $E205),""),"")), ""),""),"")</f>
        <v/>
      </c>
      <c r="Y205" s="364" t="str">
        <f>IF($Q$3="N.B.C.",
IF(ISNUMBER($B$194),
IF($C205&lt;&gt;"",
IF('Cost Inputs'!$L$78="Y",
IF(ISNUMBER($R$55), $E205+($E$78*(($E205/$E$78)+$R$55)), $E205),
IF('Cost Inputs'!$L$78="N",
IF(AND(ISNUMBER('Cost Inputs'!$M$78), OR('Cost Inputs'!$M$78=1,'Cost Inputs'!$M$78=2,'Cost Inputs'!$M$78=4,'Cost Inputs'!$M$78=8)),
IF(ISNUMBER($R$55), $E205+($E$78*(($E205/$E$78)+$R$55)), $E205),""),"")), ""),""),"")</f>
        <v/>
      </c>
      <c r="Z205" s="364" t="str">
        <f>IF($R$3="N.B.C.",
IF(ISNUMBER($B$194),
IF($C205&lt;&gt;"",
IF('Cost Inputs'!$L$78="Y",
IF(ISNUMBER($S$55), $E205+($E$78*(($E205/$E$78)+$S$55)), $E205),
IF('Cost Inputs'!$L$78="N",
IF(AND(ISNUMBER('Cost Inputs'!$M$78), OR('Cost Inputs'!$M$78=1,'Cost Inputs'!$M$78=3,'Cost Inputs'!$M$78=9)),
IF(ISNUMBER($S$55), $E205+($E$78*(($E205/$E$78)+$S$55)), $E205),""),"")), ""),""),"")</f>
        <v/>
      </c>
      <c r="AA205" s="364" t="str">
        <f>IF($S$3="N.B.C.",
IF(ISNUMBER($B$194),
IF($C205&lt;&gt;"",
IF('Cost Inputs'!$L$78="Y",
IF(ISNUMBER($T$55), $E205+($E$78*(($E205/$E$78)+$T$55)), $E205),
IF('Cost Inputs'!$L$78="N",
IF(AND(ISNUMBER('Cost Inputs'!$M$78), OR('Cost Inputs'!$M$78=1,'Cost Inputs'!$M$78=2,'Cost Inputs'!$M$78=5)),
IF(ISNUMBER($T$55), $E205+($E$78*(($E205/$E$78)+$T$55)), $E205),""),"")), ""),""),"")</f>
        <v/>
      </c>
      <c r="AB205" s="364" t="str">
        <f>IF($T$3="N.B.C.",
IF(ISNUMBER($B$194),
IF($C205&lt;&gt;"",
IF('Cost Inputs'!$L$78="Y",
IF(ISNUMBER($U$55), $E205+($E$78*(($E205/$E$78)+$U$55)), $E205),
IF('Cost Inputs'!$L$78="N",
IF(AND(ISNUMBER('Cost Inputs'!$M$78), OR('Cost Inputs'!$M$78=1)),
IF(ISNUMBER($U$55), $E205+($E$78*(($E205/$E$78)+$U$55)), $E205),""),"")), ""),""),"")</f>
        <v/>
      </c>
      <c r="AC205" s="364" t="str">
        <f>IF($U$3="N.B.C.",
IF(ISNUMBER($B$194),
IF($C205&lt;&gt;"",
IF('Cost Inputs'!$L$78="Y",
IF(ISNUMBER($V$55), $E205+($E$78*(($E205/$E$78)+$V$55)), $E205),
IF('Cost Inputs'!$L$78="N",
IF(AND(ISNUMBER('Cost Inputs'!$M$78), OR('Cost Inputs'!$M$78=1,'Cost Inputs'!$M$78=2,'Cost Inputs'!$M$78=3,'Cost Inputs'!$M$78=4,'Cost Inputs'!$M$78=6)),
IF(ISNUMBER($V$55), $E205+($E$78*(($E205/$E$78)+$V$55)), $E205),""),"")), ""),""),"")</f>
        <v/>
      </c>
      <c r="AD205" s="364" t="str">
        <f>IF($V$3="N.B.C.",
IF(ISNUMBER($B$194),
IF($C205&lt;&gt;"",
IF('Cost Inputs'!$L$78="Y",
IF(ISNUMBER($W$55), $E205+($E$78*(($E205/$E$78)+$W$55)), $E205),
IF('Cost Inputs'!$L$78="N",
IF(AND(ISNUMBER('Cost Inputs'!$M$78), OR('Cost Inputs'!$M$78=1)),
IF(ISNUMBER($W$55), $E205+($E$78*(($E205/$E$78)+$W$55)), $E205),""),"")), ""),""),"")</f>
        <v/>
      </c>
      <c r="AE205" s="364" t="str">
        <f>IF($W$3="N.B.C.",
IF(ISNUMBER($B$194),
IF($C205&lt;&gt;"",
IF('Cost Inputs'!$L$78="Y",
IF(ISNUMBER($X$55), $E205+($E$78*(($E205/$E$78)+$X$55)), $E205),
IF('Cost Inputs'!$L$78="N",
IF(AND(ISNUMBER('Cost Inputs'!$M$78), OR('Cost Inputs'!$M$78=1,'Cost Inputs'!$M$78=2,'Cost Inputs'!$M$78=7)),
IF(ISNUMBER($X$55), $E205+($E$78*(($E205/$E$78)+$X$55)), $E205),""),"")), ""),""),"")</f>
        <v/>
      </c>
      <c r="AF205" s="364" t="str">
        <f>IF($X$3="N.B.C.",
IF(ISNUMBER($B$194),
IF($C205&lt;&gt;"",
IF('Cost Inputs'!$L$78="Y",
IF(ISNUMBER($Y$55), $E205+($E$78*(($E205/$E$78)+$Y$55)), $E205),
IF('Cost Inputs'!$L$78="N",
IF(AND(ISNUMBER('Cost Inputs'!$M$78), OR('Cost Inputs'!$M$78=1,'Cost Inputs'!$M$78=3,'Cost Inputs'!$M$78=5)),
IF(ISNUMBER($Y$55), $E205+($E$78*(($E205/$E$78)+$Y$55)), $E205),""),"")), ""),""),"")</f>
        <v/>
      </c>
    </row>
    <row r="206" spans="1:32" x14ac:dyDescent="0.25">
      <c r="A206" s="518"/>
      <c r="B206" s="504"/>
      <c r="C206" s="361" t="str">
        <f>IF(AND(ISNUMBER(B194), OR('Cost Inputs'!$H$79&lt;&gt;"", 'Cost Inputs'!$I$79&lt;&gt;"", 'Cost Inputs'!$J$79&lt;&gt;"")),
IF((INDEX(ProgramYearStage1,MATCH(DNA_Test_1,Years_in_Stage1,0)))='Model_ of_individuals'!B194,  _3_4_2,
IF(AND(ISNUMBER(B194), C185&lt;&gt;""),  _3_4_2, "")),"")</f>
        <v/>
      </c>
      <c r="D206" s="93" t="str">
        <f>IF(AND(C206&lt;&gt;"", 'Cost Inputs'!$G$79&lt;&gt;""), 'Cost Inputs'!$G$79, "")</f>
        <v/>
      </c>
      <c r="E206" s="93" t="str">
        <f>IF(AND(C206&lt;&gt;"", 'Cost Inputs'!$H$79&lt;&gt;""), 'Cost Inputs'!$H$79, "")</f>
        <v/>
      </c>
      <c r="F206" s="93" t="str">
        <f>IF(AND(C206&lt;&gt;"", 'Cost Inputs'!$I$79&lt;&gt;""), 'Cost Inputs'!$I$79, "")</f>
        <v/>
      </c>
      <c r="G206" s="93" t="str">
        <f t="shared" si="10"/>
        <v/>
      </c>
      <c r="H206" s="93" t="str">
        <f>IF(AND(C206&lt;&gt;"", 'Cost Inputs'!$J$79&lt;&gt;""), 'Cost Inputs'!$J$79, "")</f>
        <v/>
      </c>
      <c r="I206" s="93" t="str">
        <f t="shared" si="9"/>
        <v/>
      </c>
      <c r="J206" s="93" t="str">
        <f>IF(AND(C206&lt;&gt;"",('Cost Inputs'!$I$79+'Cost Inputs'!$J$79+'Cost Inputs'!$K$79)&gt;0), 'Cost Inputs'!$I$79+'Cost Inputs'!$J$79+'Cost Inputs'!$K$79, "")</f>
        <v/>
      </c>
      <c r="K206" s="93" t="str">
        <f>IF(AND(C206&lt;&gt;"", 'Cost Inputs'!$N$79&gt;0),'Cost Inputs'!$N$79,"")</f>
        <v/>
      </c>
      <c r="L206" s="93"/>
      <c r="M206" s="109"/>
      <c r="W206" s="372" t="str">
        <f>IF($O$3="N.B.C.",
IF(ISNUMBER($B$194),
IF($C206&lt;&gt;"",
IF('Cost Inputs'!$L$79="Y",
IF(ISNUMBER($P$55), $E206+($E$78*(($E206/$E$78)+$P$55)), $E206),
IF('Cost Inputs'!$L$79="N",
IF(AND(ISNUMBER('Cost Inputs'!$M$79), OR('Cost Inputs'!$M$79=1,'Cost Inputs'!$M$79=2,'Cost Inputs'!$M$79=3,'Cost Inputs'!$M$79=6)),
IF(ISNUMBER($P$55), $E206+($E$78*(($E206/$E$78)+$P$55)), $E206),""),"")), ""),""),"")</f>
        <v/>
      </c>
      <c r="X206" s="372" t="str">
        <f>IF($P$3="N.B.C.",
IF(ISNUMBER($B$194),
IF($C206&lt;&gt;"",
IF('Cost Inputs'!$L$79="Y",
IF(ISNUMBER($Q$55), $E206+($E$78*(($E206/$E$78)+$Q$55)), $E206),
IF('Cost Inputs'!$L$79="N",
IF(AND(ISNUMBER('Cost Inputs'!$M$79), OR('Cost Inputs'!$M$79=1,'Cost Inputs'!$M$79=7)),
IF(ISNUMBER($Q$55), $E206+($E$78*(($E206/$E$78)+$Q$55)), $E206),""),"")), ""),""),"")</f>
        <v/>
      </c>
      <c r="Y206" s="372" t="str">
        <f>IF($Q$3="N.B.C.",
IF(ISNUMBER($B$194),
IF($C206&lt;&gt;"",
IF('Cost Inputs'!$L$79="Y",
IF(ISNUMBER($R$55), $E206+($E$78*(($E206/$E$78)+$R$55)), $E206),
IF('Cost Inputs'!$L$79="N",
IF(AND(ISNUMBER('Cost Inputs'!$M$79), OR('Cost Inputs'!$M$79=1,'Cost Inputs'!$M$79=2,'Cost Inputs'!$M$79=4,'Cost Inputs'!$M$79=8)),
IF(ISNUMBER($R$55), $E206+($E$78*(($E206/$E$78)+$R$55)), $E206),""),"")), ""),""),"")</f>
        <v/>
      </c>
      <c r="Z206" s="372" t="str">
        <f>IF($R$3="N.B.C.",
IF(ISNUMBER($B$194),
IF($C206&lt;&gt;"",
IF('Cost Inputs'!$L$79="Y",
IF(ISNUMBER($S$55), $E206+($E$78*(($E206/$E$78)+$S$55)), $E206),
IF('Cost Inputs'!$L$79="N",
IF(AND(ISNUMBER('Cost Inputs'!$M$79), OR('Cost Inputs'!$M$79=1,'Cost Inputs'!$M$79=3,'Cost Inputs'!$M$79=9)),
IF(ISNUMBER($S$55), $E206+($E$78*(($E206/$E$78)+$S$55)), $E206),""),"")), ""),""),"")</f>
        <v/>
      </c>
      <c r="AA206" s="372" t="str">
        <f>IF($S$3="N.B.C.",
IF(ISNUMBER($B$194),
IF($C206&lt;&gt;"",
IF('Cost Inputs'!$L$79="Y",
IF(ISNUMBER($T$55), $E206+($E$78*(($E206/$E$78)+$T$55)), $E206),
IF('Cost Inputs'!$L$79="N",
IF(AND(ISNUMBER('Cost Inputs'!$M$79), OR('Cost Inputs'!$M$79=1,'Cost Inputs'!$M$79=2,'Cost Inputs'!$M$79=5)),
IF(ISNUMBER($T$55), $E206+($E$78*(($E206/$E$78)+$T$55)), $E206),""),"")), ""),""),"")</f>
        <v/>
      </c>
      <c r="AB206" s="372" t="str">
        <f>IF($T$3="N.B.C.",
IF(ISNUMBER($B$194),
IF($C206&lt;&gt;"",
IF('Cost Inputs'!$L$79="Y",
IF(ISNUMBER($U$55), $E206+($E$78*(($E206/$E$78)+$U$55)), $E206),
IF('Cost Inputs'!$L$79="N",
IF(AND(ISNUMBER('Cost Inputs'!$M$79), OR('Cost Inputs'!$M$79=1)),
IF(ISNUMBER($U$55), $E206+($E$78*(($E206/$E$78)+$U$55)), $E206),""),"")), ""),""),"")</f>
        <v/>
      </c>
      <c r="AC206" s="372" t="str">
        <f>IF($U$3="N.B.C.",
IF(ISNUMBER($B$194),
IF($C206&lt;&gt;"",
IF('Cost Inputs'!$L$79="Y",
IF(ISNUMBER($V$55), $E206+($E$78*(($E206/$E$78)+$V$55)), $E206),
IF('Cost Inputs'!$L$79="N",
IF(AND(ISNUMBER('Cost Inputs'!$M$79), OR('Cost Inputs'!$M$79=1,'Cost Inputs'!$M$79=2,'Cost Inputs'!$M$79=3,'Cost Inputs'!$M$79=4,'Cost Inputs'!$M$79=6)),
IF(ISNUMBER($V$55), $E206+($E$78*(($E206/$E$78)+$V$55)), $E206),""),"")), ""),""),"")</f>
        <v/>
      </c>
      <c r="AD206" s="372" t="str">
        <f>IF($V$3="N.B.C.",
IF(ISNUMBER($B$194),
IF($C206&lt;&gt;"",
IF('Cost Inputs'!$L$79="Y",
IF(ISNUMBER($W$55), $E206+($E$78*(($E206/$E$78)+$W$55)), $E206),
IF('Cost Inputs'!$L$79="N",
IF(AND(ISNUMBER('Cost Inputs'!$M$79), OR('Cost Inputs'!$M$79=1)),
IF(ISNUMBER($W$55), $E206+($E$78*(($E206/$E$78)+$W$55)), $E206),""),"")), ""),""),"")</f>
        <v/>
      </c>
      <c r="AE206" s="372" t="str">
        <f>IF($W$3="N.B.C.",
IF(ISNUMBER($B$194),
IF($C206&lt;&gt;"",
IF('Cost Inputs'!$L$79="Y",
IF(ISNUMBER($X$55), $E206+($E$78*(($E206/$E$78)+$X$55)), $E206),
IF('Cost Inputs'!$L$79="N",
IF(AND(ISNUMBER('Cost Inputs'!$M$79), OR('Cost Inputs'!$M$79=1,'Cost Inputs'!$M$79=2,'Cost Inputs'!$M$79=7)),
IF(ISNUMBER($X$55), $E206+($E$78*(($E206/$E$78)+$X$55)), $E206),""),"")), ""),""),"")</f>
        <v/>
      </c>
      <c r="AF206" s="372" t="str">
        <f>IF($X$3="N.B.C.",
IF(ISNUMBER($B$194),
IF($C206&lt;&gt;"",
IF('Cost Inputs'!$L$79="Y",
IF(ISNUMBER($Y$55), $E206+($E$78*(($E206/$E$78)+$Y$55)), $E206),
IF('Cost Inputs'!$L$79="N",
IF(AND(ISNUMBER('Cost Inputs'!$M$79), OR('Cost Inputs'!$M$79=1,'Cost Inputs'!$M$79=3,'Cost Inputs'!$M$79=5)),
IF(ISNUMBER($Y$55), $E206+($E$78*(($E206/$E$78)+$Y$55)), $E206),""),"")), ""),""),"")</f>
        <v/>
      </c>
    </row>
    <row r="207" spans="1:32" x14ac:dyDescent="0.25">
      <c r="A207" s="518"/>
      <c r="B207" s="504"/>
      <c r="C207" s="358" t="str">
        <f>IF(AND(ISNUMBER(B194), OR('Cost Inputs'!$H$80&lt;&gt;"", 'Cost Inputs'!$I$80&lt;&gt;"", 'Cost Inputs'!$J$80&lt;&gt;"")),
IF((INDEX(ProgramYearStage1,MATCH(DNA_Test_1,Years_in_Stage1,0)))='Model_ of_individuals'!B194,  _3_4_3,
IF(AND(ISNUMBER(B194), C186&lt;&gt;""), _3_4_3,"")),"")</f>
        <v/>
      </c>
      <c r="D207" s="17" t="str">
        <f>IF(AND(C207&lt;&gt;"", 'Cost Inputs'!$G$80&lt;&gt;""), 'Cost Inputs'!$G$80, "")</f>
        <v/>
      </c>
      <c r="E207" s="17" t="str">
        <f>IF(AND(C207&lt;&gt;"", 'Cost Inputs'!$H$80&lt;&gt;""), 'Cost Inputs'!$H$80, "")</f>
        <v/>
      </c>
      <c r="F207" s="17" t="str">
        <f>IF(AND(C207&lt;&gt;"", 'Cost Inputs'!$I$80&lt;&gt;""), 'Cost Inputs'!$I$80, "")</f>
        <v/>
      </c>
      <c r="G207" s="17" t="str">
        <f t="shared" si="10"/>
        <v/>
      </c>
      <c r="H207" s="17" t="str">
        <f>IF(AND(C207&lt;&gt;"", 'Cost Inputs'!$J$80&lt;&gt;""), 'Cost Inputs'!$J$80, "")</f>
        <v/>
      </c>
      <c r="I207" s="17" t="str">
        <f t="shared" si="9"/>
        <v/>
      </c>
      <c r="J207" s="17" t="str">
        <f>IF(AND(C207&lt;&gt;"",('Cost Inputs'!$I$80+'Cost Inputs'!$J$80+'Cost Inputs'!$K$80)&gt;0), 'Cost Inputs'!$I$80+'Cost Inputs'!$J$80+'Cost Inputs'!$K$80, "")</f>
        <v/>
      </c>
      <c r="K207" s="17" t="str">
        <f>IF(AND(C207&lt;&gt;"", 'Cost Inputs'!$N$80&gt;0),'Cost Inputs'!$N$80,"")</f>
        <v/>
      </c>
      <c r="M207" s="106"/>
      <c r="W207" s="364" t="str">
        <f>IF($O$3="N.B.C.",
IF(ISNUMBER($B$194),
IF($C207&lt;&gt;"",
IF('Cost Inputs'!$L$80="Y",
IF(ISNUMBER($P$55), $E207+($E$78*(($E207/$E$78)+$P$55)), $E207),
IF('Cost Inputs'!$L$80="N",
IF(AND(ISNUMBER('Cost Inputs'!$M$80), OR('Cost Inputs'!$M$80=1,'Cost Inputs'!$M$80=2,'Cost Inputs'!$M$80=3,'Cost Inputs'!$M$80=6)),
IF(ISNUMBER($P$55), $E207+($E$78*(($E207/$E$78)+$P$55)), $E207),""),"")), ""),""),"")</f>
        <v/>
      </c>
      <c r="X207" s="364" t="str">
        <f>IF($P$3="N.B.C.",
IF(ISNUMBER($B$194),
IF($C207&lt;&gt;"",
IF('Cost Inputs'!$L$80="Y",
IF(ISNUMBER($Q$55), $E207+($E$78*(($E207/$E$78)+$Q$55)), $E207),
IF('Cost Inputs'!$L$80="N",
IF(AND(ISNUMBER('Cost Inputs'!$M$80), OR('Cost Inputs'!$M$80=1,'Cost Inputs'!$M$80=7)),
IF(ISNUMBER($Q$55), $E207+($E$78*(($E207/$E$78)+$Q$55)), $E207),""),"")), ""),""),"")</f>
        <v/>
      </c>
      <c r="Y207" s="364" t="str">
        <f>IF($Q$3="N.B.C.",
IF(ISNUMBER($B$194),
IF($C207&lt;&gt;"",
IF('Cost Inputs'!$L$80="Y",
IF(ISNUMBER($R$55), $E207+($E$78*(($E207/$E$78)+$R$55)), $E207),
IF('Cost Inputs'!$L$80="N",
IF(AND(ISNUMBER('Cost Inputs'!$M$80), OR('Cost Inputs'!$M$80=1,'Cost Inputs'!$M$80=2,'Cost Inputs'!$M$80=4,'Cost Inputs'!$M$80=8)),
IF(ISNUMBER($R$55), $E207+($E$78*(($E207/$E$78)+$R$55)), $E207),""),"")), ""),""),"")</f>
        <v/>
      </c>
      <c r="Z207" s="364" t="str">
        <f>IF($R$3="N.B.C.",
IF(ISNUMBER($B$194),
IF($C207&lt;&gt;"",
IF('Cost Inputs'!$L$80="Y",
IF(ISNUMBER($S$55), $E207+($E$78*(($E207/$E$78)+$S$55)), $E207),
IF('Cost Inputs'!$L$80="N",
IF(AND(ISNUMBER('Cost Inputs'!$M$80), OR('Cost Inputs'!$M$80=1,'Cost Inputs'!$M$80=3,'Cost Inputs'!$M$80=9)),
IF(ISNUMBER($S$55), $E207+($E$78*(($E207/$E$78)+$S$55)), $E207),""),"")), ""),""),"")</f>
        <v/>
      </c>
      <c r="AA207" s="364" t="str">
        <f>IF($S$3="N.B.C.",
IF(ISNUMBER($B$194),
IF($C207&lt;&gt;"",
IF('Cost Inputs'!$L$80="Y",
IF(ISNUMBER($T$55), $E207+($E$78*(($E207/$E$78)+$T$55)), $E207),
IF('Cost Inputs'!$L$80="N",
IF(AND(ISNUMBER('Cost Inputs'!$M$80), OR('Cost Inputs'!$M$80=1,'Cost Inputs'!$M$80=2,'Cost Inputs'!$M$80=5)),
IF(ISNUMBER($T$55), $E207+($E$78*(($E207/$E$78)+$T$55)), $E207),""),"")), ""),""),"")</f>
        <v/>
      </c>
      <c r="AB207" s="364" t="str">
        <f>IF($T$3="N.B.C.",
IF(ISNUMBER($B$194),
IF($C207&lt;&gt;"",
IF('Cost Inputs'!$L$80="Y",
IF(ISNUMBER($U$55), $E207+($E$78*(($E207/$E$78)+$U$55)), $E207),
IF('Cost Inputs'!$L$80="N",
IF(AND(ISNUMBER('Cost Inputs'!$M$80), OR('Cost Inputs'!$M$80=1)),
IF(ISNUMBER($U$55), $E207+($E$78*(($E207/$E$78)+$U$55)), $E207),""),"")), ""),""),"")</f>
        <v/>
      </c>
      <c r="AC207" s="364" t="str">
        <f>IF($U$3="N.B.C.",
IF(ISNUMBER($B$194),
IF($C207&lt;&gt;"",
IF('Cost Inputs'!$L$80="Y",
IF(ISNUMBER($V$55), $E207+($E$78*(($E207/$E$78)+$V$55)), $E207),
IF('Cost Inputs'!$L$80="N",
IF(AND(ISNUMBER('Cost Inputs'!$M$80), OR('Cost Inputs'!$M$80=1,'Cost Inputs'!$M$80=2,'Cost Inputs'!$M$80=3,'Cost Inputs'!$M$80=4,'Cost Inputs'!$M$80=6)),
IF(ISNUMBER($V$55), $E207+($E$78*(($E207/$E$78)+$V$55)), $E207),""),"")), ""),""),"")</f>
        <v/>
      </c>
      <c r="AD207" s="364" t="str">
        <f>IF($V$3="N.B.C.",
IF(ISNUMBER($B$194),
IF($C207&lt;&gt;"",
IF('Cost Inputs'!$L$80="Y",
IF(ISNUMBER($W$55), $E207+($E$78*(($E207/$E$78)+$W$55)), $E207),
IF('Cost Inputs'!$L$80="N",
IF(AND(ISNUMBER('Cost Inputs'!$M$80), OR('Cost Inputs'!$M$80=1)),
IF(ISNUMBER($W$55), $E207+($E$78*(($E207/$E$78)+$W$55)), $E207),""),"")), ""),""),"")</f>
        <v/>
      </c>
      <c r="AE207" s="364" t="str">
        <f>IF($W$3="N.B.C.",
IF(ISNUMBER($B$194),
IF($C207&lt;&gt;"",
IF('Cost Inputs'!$L$80="Y",
IF(ISNUMBER($X$55), $E207+($E$78*(($E207/$E$78)+$X$55)), $E207),
IF('Cost Inputs'!$L$80="N",
IF(AND(ISNUMBER('Cost Inputs'!$M$80), OR('Cost Inputs'!$M$80=1,'Cost Inputs'!$M$80=2,'Cost Inputs'!$M$80=7)),
IF(ISNUMBER($X$55), $E207+($E$78*(($E207/$E$78)+$X$55)), $E207),""),"")), ""),""),"")</f>
        <v/>
      </c>
      <c r="AF207" s="364" t="str">
        <f>IF($X$3="N.B.C.",
IF(ISNUMBER($B$194),
IF($C207&lt;&gt;"",
IF('Cost Inputs'!$L$80="Y",
IF(ISNUMBER($Y$55), $E207+($E$78*(($E207/$E$78)+$Y$55)), $E207),
IF('Cost Inputs'!$L$80="N",
IF(AND(ISNUMBER('Cost Inputs'!$M$80), OR('Cost Inputs'!$M$80=1,'Cost Inputs'!$M$80=3,'Cost Inputs'!$M$80=5)),
IF(ISNUMBER($Y$55), $E207+($E$78*(($E207/$E$78)+$Y$55)), $E207),""),"")), ""),""),"")</f>
        <v/>
      </c>
    </row>
    <row r="208" spans="1:32" x14ac:dyDescent="0.25">
      <c r="A208" s="518"/>
      <c r="B208" s="504"/>
      <c r="C208" s="361" t="str">
        <f>IF(AND(ISNUMBER(B194), OR('Cost Inputs'!$H$81&lt;&gt;"", 'Cost Inputs'!$I$81&lt;&gt;"", 'Cost Inputs'!$J$81&lt;&gt;"")),
IF((INDEX(ProgramYearStage1,MATCH(DNA_Test_1,Years_in_Stage1,0)))='Model_ of_individuals'!B194,  _3_4_4,
IF(AND(ISNUMBER(B194), C187&lt;&gt;""), _3_4_4,"")),"")</f>
        <v/>
      </c>
      <c r="D208" s="93" t="str">
        <f>IF(AND(C208&lt;&gt;"", 'Cost Inputs'!$G$81&lt;&gt;""), 'Cost Inputs'!$G$81, "")</f>
        <v/>
      </c>
      <c r="E208" s="93" t="str">
        <f>IF(AND(C208&lt;&gt;"", 'Cost Inputs'!$H$81&lt;&gt;""), 'Cost Inputs'!$H$81, "")</f>
        <v/>
      </c>
      <c r="F208" s="93" t="str">
        <f>IF(AND(C208&lt;&gt;"", 'Cost Inputs'!$I$81&lt;&gt;""), 'Cost Inputs'!$I$81, "")</f>
        <v/>
      </c>
      <c r="G208" s="93" t="str">
        <f t="shared" si="10"/>
        <v/>
      </c>
      <c r="H208" s="93" t="str">
        <f>IF(AND(C208&lt;&gt;"", 'Cost Inputs'!$J$81&lt;&gt;""), 'Cost Inputs'!$J$81, "")</f>
        <v/>
      </c>
      <c r="I208" s="93" t="str">
        <f t="shared" si="9"/>
        <v/>
      </c>
      <c r="J208" s="93" t="str">
        <f>IF(AND(C208&lt;&gt;"",('Cost Inputs'!$I$81+'Cost Inputs'!$J$81+'Cost Inputs'!$K$81)&gt;0), 'Cost Inputs'!$I$81+'Cost Inputs'!$J$81+'Cost Inputs'!$K$81, "")</f>
        <v/>
      </c>
      <c r="K208" s="93" t="str">
        <f>IF(AND(C208&lt;&gt;"", 'Cost Inputs'!$N$81&gt;0),'Cost Inputs'!$N$81,"")</f>
        <v/>
      </c>
      <c r="L208" s="93"/>
      <c r="M208" s="109"/>
      <c r="W208" s="372" t="str">
        <f>IF($O$3="N.B.C.",
IF(ISNUMBER($B$194),
IF($C208&lt;&gt;"",
IF('Cost Inputs'!$L$81="Y",
IF(ISNUMBER($P$55), $E208+($E$78*(($E208/$E$78)+$P$55)), $E208),
IF('Cost Inputs'!$L$81="N",
IF(AND(ISNUMBER('Cost Inputs'!$M$81), OR('Cost Inputs'!$M$81=1,'Cost Inputs'!$M$81=2,'Cost Inputs'!$M$81=3,'Cost Inputs'!$M$81=6)),
IF(ISNUMBER($P$55), $E208+($E$78*(($E208/$E$78)+$P$55)), $E208),""),"")), ""),""),"")</f>
        <v/>
      </c>
      <c r="X208" s="372" t="str">
        <f>IF($P$3="N.B.C.",
IF(ISNUMBER($B$194),
IF($C208&lt;&gt;"",
IF('Cost Inputs'!$L$81="Y",
IF(ISNUMBER($Q$55), $E208+($E$78*(($E208/$E$78)+$Q$55)), $E208),
IF('Cost Inputs'!$L$81="N",
IF(AND(ISNUMBER('Cost Inputs'!$M$81), OR('Cost Inputs'!$M$81=1,'Cost Inputs'!$M$81=7)),
IF(ISNUMBER($Q$55), $E208+($E$78*(($E208/$E$78)+$Q$55)), $E208),""),"")), ""),""),"")</f>
        <v/>
      </c>
      <c r="Y208" s="372" t="str">
        <f>IF($Q$3="N.B.C.",
IF(ISNUMBER($B$194),
IF($C208&lt;&gt;"",
IF('Cost Inputs'!$L$81="Y",
IF(ISNUMBER($R$55), $E208+($E$78*(($E208/$E$78)+$R$55)), $E208),
IF('Cost Inputs'!$L$81="N",
IF(AND(ISNUMBER('Cost Inputs'!$M$81), OR('Cost Inputs'!$M$81=1,'Cost Inputs'!$M$81=2,'Cost Inputs'!$M$81=4,'Cost Inputs'!$M$81=8)),
IF(ISNUMBER($R$55), $E208+($E$78*(($E208/$E$78)+$R$55)), $E208),""),"")), ""),""),"")</f>
        <v/>
      </c>
      <c r="Z208" s="372" t="str">
        <f>IF($R$3="N.B.C.",
IF(ISNUMBER($B$194),
IF($C208&lt;&gt;"",
IF('Cost Inputs'!$L$81="Y",
IF(ISNUMBER($S$55), $E208+($E$78*(($E208/$E$78)+$S$55)), $E208),
IF('Cost Inputs'!$L$81="N",
IF(AND(ISNUMBER('Cost Inputs'!$M$81), OR('Cost Inputs'!$M$81=1,'Cost Inputs'!$M$81=3,'Cost Inputs'!$M$81=9)),
IF(ISNUMBER($S$55), $E208+($E$78*(($E208/$E$78)+$S$55)), $E208),""),"")), ""),""),"")</f>
        <v/>
      </c>
      <c r="AA208" s="372" t="str">
        <f>IF($S$3="N.B.C.",
IF(ISNUMBER($B$194),
IF($C208&lt;&gt;"",
IF('Cost Inputs'!$L$81="Y",
IF(ISNUMBER($T$55), $E208+($E$78*(($E208/$E$78)+$T$55)), $E208),
IF('Cost Inputs'!$L$81="N",
IF(AND(ISNUMBER('Cost Inputs'!$M$81), OR('Cost Inputs'!$M$81=1,'Cost Inputs'!$M$81=2,'Cost Inputs'!$M$81=5)),
IF(ISNUMBER($T$55), $E208+($E$78*(($E208/$E$78)+$T$55)), $E208),""),"")), ""),""),"")</f>
        <v/>
      </c>
      <c r="AB208" s="372" t="str">
        <f>IF($T$3="N.B.C.",
IF(ISNUMBER($B$194),
IF($C208&lt;&gt;"",
IF('Cost Inputs'!$L$81="Y",
IF(ISNUMBER($U$55), $E208+($E$78*(($E208/$E$78)+$U$55)), $E208),
IF('Cost Inputs'!$L$81="N",
IF(AND(ISNUMBER('Cost Inputs'!$M$81), OR('Cost Inputs'!$M$81=1)),
IF(ISNUMBER($U$55), $E208+($E$78*(($E208/$E$78)+$U$55)), $E208),""),"")), ""),""),"")</f>
        <v/>
      </c>
      <c r="AC208" s="372" t="str">
        <f>IF($U$3="N.B.C.",
IF(ISNUMBER($B$194),
IF($C208&lt;&gt;"",
IF('Cost Inputs'!$L$81="Y",
IF(ISNUMBER($V$55), $E208+($E$78*(($E208/$E$78)+$V$55)), $E208),
IF('Cost Inputs'!$L$81="N",
IF(AND(ISNUMBER('Cost Inputs'!$M$81), OR('Cost Inputs'!$M$81=1,'Cost Inputs'!$M$81=2,'Cost Inputs'!$M$81=3,'Cost Inputs'!$M$81=4,'Cost Inputs'!$M$81=6)),
IF(ISNUMBER($V$55), $E208+($E$78*(($E208/$E$78)+$V$55)), $E208),""),"")), ""),""),"")</f>
        <v/>
      </c>
      <c r="AD208" s="372" t="str">
        <f>IF($V$3="N.B.C.",
IF(ISNUMBER($B$194),
IF($C208&lt;&gt;"",
IF('Cost Inputs'!$L$81="Y",
IF(ISNUMBER($W$55), $E208+($E$78*(($E208/$E$78)+$W$55)), $E208),
IF('Cost Inputs'!$L$81="N",
IF(AND(ISNUMBER('Cost Inputs'!$M$81), OR('Cost Inputs'!$M$81=1)),
IF(ISNUMBER($W$55), $E208+($E$78*(($E208/$E$78)+$W$55)), $E208),""),"")), ""),""),"")</f>
        <v/>
      </c>
      <c r="AE208" s="372" t="str">
        <f>IF($W$3="N.B.C.",
IF(ISNUMBER($B$194),
IF($C208&lt;&gt;"",
IF('Cost Inputs'!$L$81="Y",
IF(ISNUMBER($X$55), $E208+($E$78*(($E208/$E$78)+$X$55)), $E208),
IF('Cost Inputs'!$L$81="N",
IF(AND(ISNUMBER('Cost Inputs'!$M$81), OR('Cost Inputs'!$M$81=1,'Cost Inputs'!$M$81=2,'Cost Inputs'!$M$81=7)),
IF(ISNUMBER($X$55), $E208+($E$78*(($E208/$E$78)+$X$55)), $E208),""),"")), ""),""),"")</f>
        <v/>
      </c>
      <c r="AF208" s="372" t="str">
        <f>IF($X$3="N.B.C.",
IF(ISNUMBER($B$194),
IF($C208&lt;&gt;"",
IF('Cost Inputs'!$L$81="Y",
IF(ISNUMBER($Y$55), $E208+($E$78*(($E208/$E$78)+$Y$55)), $E208),
IF('Cost Inputs'!$L$81="N",
IF(AND(ISNUMBER('Cost Inputs'!$M$81), OR('Cost Inputs'!$M$81=1,'Cost Inputs'!$M$81=3,'Cost Inputs'!$M$81=5)),
IF(ISNUMBER($Y$55), $E208+($E$78*(($E208/$E$78)+$Y$55)), $E208),""),"")), ""),""),"")</f>
        <v/>
      </c>
    </row>
    <row r="209" spans="1:33" x14ac:dyDescent="0.25">
      <c r="A209" s="518"/>
      <c r="B209" s="504"/>
      <c r="C209" s="358" t="str">
        <f>IF(AND(ISNUMBER(B194), OR('Cost Inputs'!$H$82&lt;&gt;"", 'Cost Inputs'!$I$82&lt;&gt;"", 'Cost Inputs'!$J$82&lt;&gt;"")),
IF((INDEX(ProgramYearStage1,MATCH(DNA_Test_1,Years_in_Stage1,0)))='Model_ of_individuals'!B194,  _3_4_5,
IF(AND(ISNUMBER(B194), C188&lt;&gt;""), _3_4_5,"")),"")</f>
        <v/>
      </c>
      <c r="D209" s="17" t="str">
        <f>IF(AND(C209&lt;&gt;"", 'Cost Inputs'!$G$82&lt;&gt;""), 'Cost Inputs'!$G$82, "")</f>
        <v/>
      </c>
      <c r="E209" s="17" t="str">
        <f>IF(AND(C209&lt;&gt;"", 'Cost Inputs'!$H$82&lt;&gt;""), 'Cost Inputs'!$H$82, "")</f>
        <v/>
      </c>
      <c r="F209" s="17" t="str">
        <f>IF(AND(C209&lt;&gt;"", 'Cost Inputs'!$I$82&lt;&gt;""), 'Cost Inputs'!$I$82, "")</f>
        <v/>
      </c>
      <c r="G209" s="17" t="str">
        <f t="shared" si="10"/>
        <v/>
      </c>
      <c r="H209" s="17" t="str">
        <f>IF(AND(C209&lt;&gt;"", 'Cost Inputs'!$J$82&lt;&gt;""), 'Cost Inputs'!$J$82, "")</f>
        <v/>
      </c>
      <c r="I209" s="17" t="str">
        <f t="shared" si="9"/>
        <v/>
      </c>
      <c r="J209" s="17" t="str">
        <f>IF(AND(C209&lt;&gt;"",('Cost Inputs'!$I$82+'Cost Inputs'!$J$82+'Cost Inputs'!$K$82)&gt;0), 'Cost Inputs'!$I$82+'Cost Inputs'!$J$82+'Cost Inputs'!$K$82, "")</f>
        <v/>
      </c>
      <c r="K209" s="17" t="str">
        <f>IF(AND(C209&lt;&gt;"", 'Cost Inputs'!$N$82&gt;0),'Cost Inputs'!$N$82,"")</f>
        <v/>
      </c>
      <c r="M209" s="106"/>
      <c r="W209" s="364" t="str">
        <f>IF($O$3="N.B.C.",
IF(ISNUMBER($B$194),
IF($C209&lt;&gt;"",
IF('Cost Inputs'!$L$82="Y",
IF(ISNUMBER($P$55), $E209+($E$78*(($E209/$E$78)+$P$55)), $E209),
IF('Cost Inputs'!$L$82="N",
IF(AND(ISNUMBER('Cost Inputs'!$M$82), OR('Cost Inputs'!$M$82=1,'Cost Inputs'!$M$82=2,'Cost Inputs'!$M$82=3,'Cost Inputs'!$M$82=6)),
IF(ISNUMBER($P$55), $E209+($E$78*(($E209/$E$78)+$P$55)), $E209),""),"")), ""),""),"")</f>
        <v/>
      </c>
      <c r="X209" s="364" t="str">
        <f>IF($P$3="N.B.C.",
IF(ISNUMBER($B$194),
IF($C209&lt;&gt;"",
IF('Cost Inputs'!$L$82="Y",
IF(ISNUMBER($Q$55), $E209+($E$78*(($E209/$E$78)+$Q$55)), $E209),
IF('Cost Inputs'!$L$82="N",
IF(AND(ISNUMBER('Cost Inputs'!$M$82), OR('Cost Inputs'!$M$82=1,'Cost Inputs'!$M$82=7)),
IF(ISNUMBER($Q$55), $E209+($E$78*(($E209/$E$78)+$Q$55)), $E209),""),"")), ""),""),"")</f>
        <v/>
      </c>
      <c r="Y209" s="364" t="str">
        <f>IF($Q$3="N.B.C.",
IF(ISNUMBER($B$194),
IF($C209&lt;&gt;"",
IF('Cost Inputs'!$L$82="Y",
IF(ISNUMBER($R$55), $E209+($E$78*(($E209/$E$78)+$R$55)), $E209),
IF('Cost Inputs'!$L$82="N",
IF(AND(ISNUMBER('Cost Inputs'!$M$82), OR('Cost Inputs'!$M$82=1,'Cost Inputs'!$M$82=2,'Cost Inputs'!$M$82=4,'Cost Inputs'!$M$82=8)),
IF(ISNUMBER($R$55), $E209+($E$78*(($E209/$E$78)+$R$55)), $E209),""),"")), ""),""),"")</f>
        <v/>
      </c>
      <c r="Z209" s="364" t="str">
        <f>IF($R$3="N.B.C.",
IF(ISNUMBER($B$194),
IF($C209&lt;&gt;"",
IF('Cost Inputs'!$L$82="Y",
IF(ISNUMBER($S$55), $E209+($E$78*(($E209/$E$78)+$S$55)), $E209),
IF('Cost Inputs'!$L$82="N",
IF(AND(ISNUMBER('Cost Inputs'!$M$82), OR('Cost Inputs'!$M$82=1,'Cost Inputs'!$M$82=3,'Cost Inputs'!$M$82=9)),
IF(ISNUMBER($S$55), $E209+($E$78*(($E209/$E$78)+$S$55)), $E209),""),"")), ""),""),"")</f>
        <v/>
      </c>
      <c r="AA209" s="364" t="str">
        <f>IF($S$3="N.B.C.",
IF(ISNUMBER($B$194),
IF($C209&lt;&gt;"",
IF('Cost Inputs'!$L$82="Y",
IF(ISNUMBER($T$55), $E209+($E$78*(($E209/$E$78)+$T$55)), $E209),
IF('Cost Inputs'!$L$82="N",
IF(AND(ISNUMBER('Cost Inputs'!$M$82), OR('Cost Inputs'!$M$82=1,'Cost Inputs'!$M$82=2,'Cost Inputs'!$M$82=5)),
IF(ISNUMBER($T$55), $E209+($E$78*(($E209/$E$78)+$T$55)), $E209),""),"")), ""),""),"")</f>
        <v/>
      </c>
      <c r="AB209" s="364" t="str">
        <f>IF($T$3="N.B.C.",
IF(ISNUMBER($B$194),
IF($C209&lt;&gt;"",
IF('Cost Inputs'!$L$82="Y",
IF(ISNUMBER($U$55), $E209+($E$78*(($E209/$E$78)+$U$55)), $E209),
IF('Cost Inputs'!$L$82="N",
IF(AND(ISNUMBER('Cost Inputs'!$M$82), OR('Cost Inputs'!$M$82=1)),
IF(ISNUMBER($U$55), $E209+($E$78*(($E209/$E$78)+$U$55)), $E209),""),"")), ""),""),"")</f>
        <v/>
      </c>
      <c r="AC209" s="364" t="str">
        <f>IF($U$3="N.B.C.",
IF(ISNUMBER($B$194),
IF($C209&lt;&gt;"",
IF('Cost Inputs'!$L$82="Y",
IF(ISNUMBER($V$55), $E209+($E$78*(($E209/$E$78)+$V$55)), $E209),
IF('Cost Inputs'!$L$82="N",
IF(AND(ISNUMBER('Cost Inputs'!$M$82), OR('Cost Inputs'!$M$82=1,'Cost Inputs'!$M$82=2,'Cost Inputs'!$M$82=3,'Cost Inputs'!$M$82=4,'Cost Inputs'!$M$82=6)),
IF(ISNUMBER($V$55), $E209+($E$78*(($E209/$E$78)+$V$55)), $E209),""),"")), ""),""),"")</f>
        <v/>
      </c>
      <c r="AD209" s="364" t="str">
        <f>IF($V$3="N.B.C.",
IF(ISNUMBER($B$194),
IF($C209&lt;&gt;"",
IF('Cost Inputs'!$L$82="Y",
IF(ISNUMBER($W$55), $E209+($E$78*(($E209/$E$78)+$W$55)), $E209),
IF('Cost Inputs'!$L$82="N",
IF(AND(ISNUMBER('Cost Inputs'!$M$82), OR('Cost Inputs'!$M$82=1)),
IF(ISNUMBER($W$55), $E209+($E$78*(($E209/$E$78)+$W$55)), $E209),""),"")), ""),""),"")</f>
        <v/>
      </c>
      <c r="AE209" s="364" t="str">
        <f>IF($W$3="N.B.C.",
IF(ISNUMBER($B$194),
IF($C209&lt;&gt;"",
IF('Cost Inputs'!$L$82="Y",
IF(ISNUMBER($X$55), $E209+($E$78*(($E209/$E$78)+$X$55)), $E209),
IF('Cost Inputs'!$L$82="N",
IF(AND(ISNUMBER('Cost Inputs'!$M$82), OR('Cost Inputs'!$M$82=1,'Cost Inputs'!$M$82=2,'Cost Inputs'!$M$82=7)),
IF(ISNUMBER($X$55), $E209+($E$78*(($E209/$E$78)+$X$55)), $E209),""),"")), ""),""),"")</f>
        <v/>
      </c>
      <c r="AF209" s="364" t="str">
        <f>IF($X$3="N.B.C.",
IF(ISNUMBER($B$194),
IF($C209&lt;&gt;"",
IF('Cost Inputs'!$L$82="Y",
IF(ISNUMBER($Y$55), $E209+($E$78*(($E209/$E$78)+$Y$55)), $E209),
IF('Cost Inputs'!$L$82="N",
IF(AND(ISNUMBER('Cost Inputs'!$M$82), OR('Cost Inputs'!$M$82=1,'Cost Inputs'!$M$82=3,'Cost Inputs'!$M$82=5)),
IF(ISNUMBER($Y$55), $E209+($E$78*(($E209/$E$78)+$Y$55)), $E209),""),"")), ""),""),"")</f>
        <v/>
      </c>
    </row>
    <row r="210" spans="1:33" x14ac:dyDescent="0.25">
      <c r="A210" s="518"/>
      <c r="B210" s="504"/>
      <c r="C210" s="361" t="str">
        <f>IF(AND(ISNUMBER(B194), OR('Cost Inputs'!$H$83&lt;&gt;"", 'Cost Inputs'!$I$83&lt;&gt;"", 'Cost Inputs'!$J$83&lt;&gt;"")),
IF((INDEX(ProgramYearStage1,MATCH(DNA_Test_1,Years_in_Stage1,0)))='Model_ of_individuals'!B194,  _3_4_6,
IF(AND(ISNUMBER(B194), C189&lt;&gt;""), _3_4_6,"")),"")</f>
        <v/>
      </c>
      <c r="D210" s="93" t="str">
        <f>IF(AND(C210&lt;&gt;"", 'Cost Inputs'!$G$83&lt;&gt;""), 'Cost Inputs'!$G$83, "")</f>
        <v/>
      </c>
      <c r="E210" s="93" t="str">
        <f>IF(AND(C210&lt;&gt;"", 'Cost Inputs'!$H$83&lt;&gt;""), 'Cost Inputs'!$H$83, "")</f>
        <v/>
      </c>
      <c r="F210" s="93" t="str">
        <f>IF(AND(C210&lt;&gt;"", 'Cost Inputs'!$I$83&lt;&gt;""), 'Cost Inputs'!$I$83, "")</f>
        <v/>
      </c>
      <c r="G210" s="93" t="str">
        <f t="shared" si="10"/>
        <v/>
      </c>
      <c r="H210" s="93" t="str">
        <f>IF(AND(C210&lt;&gt;"", 'Cost Inputs'!$J$83&lt;&gt;""), 'Cost Inputs'!$J$83, "")</f>
        <v/>
      </c>
      <c r="I210" s="93" t="str">
        <f t="shared" si="9"/>
        <v/>
      </c>
      <c r="J210" s="93" t="str">
        <f>IF(AND(C210&lt;&gt;"",('Cost Inputs'!$I$83+'Cost Inputs'!$J$83+'Cost Inputs'!$K$83)&gt;0), 'Cost Inputs'!$I$83+'Cost Inputs'!$J$83+'Cost Inputs'!$K$83, "")</f>
        <v/>
      </c>
      <c r="K210" s="93" t="str">
        <f>IF(AND(C210&lt;&gt;"", 'Cost Inputs'!$N$83&gt;0),'Cost Inputs'!$N$83,"")</f>
        <v/>
      </c>
      <c r="L210" s="93"/>
      <c r="M210" s="109"/>
      <c r="W210" s="372" t="str">
        <f>IF($O$3="N.B.C.",
IF(ISNUMBER($B$194),
IF($C210&lt;&gt;"",
IF('Cost Inputs'!$L$83="Y",
IF(ISNUMBER($P$55), $E210+($E$78*(($E210/$E$78)+$P$55)), $E210),
IF('Cost Inputs'!$L$83="N",
IF(AND(ISNUMBER('Cost Inputs'!$M$83), OR('Cost Inputs'!$M$83=1,'Cost Inputs'!$M$83=2,'Cost Inputs'!$M$83=3,'Cost Inputs'!$M$83=6)),
IF(ISNUMBER($P$55), $E210+($E$78*(($E210/$E$78)+$P$55)), $E210),""),"")), ""),""),"")</f>
        <v/>
      </c>
      <c r="X210" s="372" t="str">
        <f>IF($P$3="N.B.C.",
IF(ISNUMBER($B$194),
IF($C210&lt;&gt;"",
IF('Cost Inputs'!$L$83="Y",
IF(ISNUMBER($Q$55), $E210+($E$78*(($E210/$E$78)+$Q$55)), $E210),
IF('Cost Inputs'!$L$83="N",
IF(AND(ISNUMBER('Cost Inputs'!$M$83), OR('Cost Inputs'!$M$83=1,'Cost Inputs'!$M$83=7)),
IF(ISNUMBER($Q$55), $E210+($E$78*(($E210/$E$78)+$Q$55)), $E210),""),"")), ""),""),"")</f>
        <v/>
      </c>
      <c r="Y210" s="372" t="str">
        <f>IF($Q$3="N.B.C.",
IF(ISNUMBER($B$194),
IF($C210&lt;&gt;"",
IF('Cost Inputs'!$L$83="Y",
IF(ISNUMBER($R$55), $E210+($E$78*(($E210/$E$78)+$R$55)), $E210),
IF('Cost Inputs'!$L$83="N",
IF(AND(ISNUMBER('Cost Inputs'!$M$83), OR('Cost Inputs'!$M$83=1,'Cost Inputs'!$M$83=2,'Cost Inputs'!$M$83=4,'Cost Inputs'!$M$83=8)),
IF(ISNUMBER($R$55), $E210+($E$78*(($E210/$E$78)+$R$55)), $E210),""),"")), ""),""),"")</f>
        <v/>
      </c>
      <c r="Z210" s="372" t="str">
        <f>IF($R$3="N.B.C.",
IF(ISNUMBER($B$194),
IF($C210&lt;&gt;"",
IF('Cost Inputs'!$L$83="Y",
IF(ISNUMBER($S$55), $E210+($E$78*(($E210/$E$78)+$S$55)), $E210),
IF('Cost Inputs'!$L$83="N",
IF(AND(ISNUMBER('Cost Inputs'!$M$83), OR('Cost Inputs'!$M$83=1,'Cost Inputs'!$M$83=3,'Cost Inputs'!$M$83=9)),
IF(ISNUMBER($S$55), $E210+($E$78*(($E210/$E$78)+$S$55)), $E210),""),"")), ""),""),"")</f>
        <v/>
      </c>
      <c r="AA210" s="372" t="str">
        <f>IF($S$3="N.B.C.",
IF(ISNUMBER($B$194),
IF($C210&lt;&gt;"",
IF('Cost Inputs'!$L$83="Y",
IF(ISNUMBER($T$55), $E210+($E$78*(($E210/$E$78)+$T$55)), $E210),
IF('Cost Inputs'!$L$83="N",
IF(AND(ISNUMBER('Cost Inputs'!$M$83), OR('Cost Inputs'!$M$83=1,'Cost Inputs'!$M$83=2,'Cost Inputs'!$M$83=5)),
IF(ISNUMBER($T$55), $E210+($E$78*(($E210/$E$78)+$T$55)), $E210),""),"")), ""),""),"")</f>
        <v/>
      </c>
      <c r="AB210" s="372" t="str">
        <f>IF($T$3="N.B.C.",
IF(ISNUMBER($B$194),
IF($C210&lt;&gt;"",
IF('Cost Inputs'!$L$83="Y",
IF(ISNUMBER($U$55), $E210+($E$78*(($E210/$E$78)+$U$55)), $E210),
IF('Cost Inputs'!$L$83="N",
IF(AND(ISNUMBER('Cost Inputs'!$M$83), OR('Cost Inputs'!$M$83=1)),
IF(ISNUMBER($U$55), $E210+($E$78*(($E210/$E$78)+$U$55)), $E210),""),"")), ""),""),"")</f>
        <v/>
      </c>
      <c r="AC210" s="372" t="str">
        <f>IF($U$3="N.B.C.",
IF(ISNUMBER($B$194),
IF($C210&lt;&gt;"",
IF('Cost Inputs'!$L$83="Y",
IF(ISNUMBER($V$55), $E210+($E$78*(($E210/$E$78)+$V$55)), $E210),
IF('Cost Inputs'!$L$83="N",
IF(AND(ISNUMBER('Cost Inputs'!$M$83), OR('Cost Inputs'!$M$83=1,'Cost Inputs'!$M$83=2,'Cost Inputs'!$M$83=3,'Cost Inputs'!$M$83=4,'Cost Inputs'!$M$83=6)),
IF(ISNUMBER($V$55), $E210+($E$78*(($E210/$E$78)+$V$55)), $E210),""),"")), ""),""),"")</f>
        <v/>
      </c>
      <c r="AD210" s="372" t="str">
        <f>IF($V$3="N.B.C.",
IF(ISNUMBER($B$194),
IF($C210&lt;&gt;"",
IF('Cost Inputs'!$L$83="Y",
IF(ISNUMBER($W$55), $E210+($E$78*(($E210/$E$78)+$W$55)), $E210),
IF('Cost Inputs'!$L$83="N",
IF(AND(ISNUMBER('Cost Inputs'!$M$83), OR('Cost Inputs'!$M$83=1)),
IF(ISNUMBER($W$55), $E210+($E$78*(($E210/$E$78)+$W$55)), $E210),""),"")), ""),""),"")</f>
        <v/>
      </c>
      <c r="AE210" s="372" t="str">
        <f>IF($W$3="N.B.C.",
IF(ISNUMBER($B$194),
IF($C210&lt;&gt;"",
IF('Cost Inputs'!$L$83="Y",
IF(ISNUMBER($X$55), $E210+($E$78*(($E210/$E$78)+$X$55)), $E210),
IF('Cost Inputs'!$L$83="N",
IF(AND(ISNUMBER('Cost Inputs'!$M$83), OR('Cost Inputs'!$M$83=1,'Cost Inputs'!$M$83=2,'Cost Inputs'!$M$83=7)),
IF(ISNUMBER($X$55), $E210+($E$78*(($E210/$E$78)+$X$55)), $E210),""),"")), ""),""),"")</f>
        <v/>
      </c>
      <c r="AF210" s="372" t="str">
        <f>IF($X$3="N.B.C.",
IF(ISNUMBER($B$194),
IF($C210&lt;&gt;"",
IF('Cost Inputs'!$L$83="Y",
IF(ISNUMBER($Y$55), $E210+($E$78*(($E210/$E$78)+$Y$55)), $E210),
IF('Cost Inputs'!$L$83="N",
IF(AND(ISNUMBER('Cost Inputs'!$M$83), OR('Cost Inputs'!$M$83=1,'Cost Inputs'!$M$83=3,'Cost Inputs'!$M$83=5)),
IF(ISNUMBER($Y$55), $E210+($E$78*(($E210/$E$78)+$Y$55)), $E210),""),"")), ""),""),"")</f>
        <v/>
      </c>
    </row>
    <row r="211" spans="1:33" x14ac:dyDescent="0.25">
      <c r="A211" s="518"/>
      <c r="B211" s="504"/>
      <c r="C211" s="489" t="str">
        <f>IF('Model_ of_individuals'!C204&lt;&gt;"",
IF((INDEX(ProgramYearStage1,MATCH(DNA_Test_1,Years_in_Stage1,0)))='Model_ of_individuals'!B194, "Percentage decrease in marker culling",""),"")</f>
        <v/>
      </c>
      <c r="D211" s="490"/>
      <c r="E211" s="490"/>
      <c r="F211" s="490"/>
      <c r="G211" s="490"/>
      <c r="H211" s="490"/>
      <c r="I211" s="490"/>
      <c r="J211" s="490"/>
      <c r="K211" s="490"/>
      <c r="L211" s="490"/>
      <c r="M211" s="491"/>
      <c r="W211" s="364" t="str">
        <f>IF($O$3="N.B.C.",
IF(ISNUMBER($B$194),
IF($C211&lt;&gt;"",
IF('Cost Inputs'!$L$84="Y",
IF(ISNUMBER($P$55), $E211+($E$78*(($E211/$E$78)+$P$55)), $E211),
IF('Cost Inputs'!$L$84="N",
IF(AND(ISNUMBER('Cost Inputs'!$M$84), OR('Cost Inputs'!$M$84=1,'Cost Inputs'!$M$84=2,'Cost Inputs'!$M$84=3,'Cost Inputs'!$M$84=6)),
IF(ISNUMBER($P$55), $E211+($E$78*(($E211/$E$78)+$P$55)), $E211),""),"")), ""),""),"")</f>
        <v/>
      </c>
      <c r="X211" s="364" t="str">
        <f>IF($P$3="N.B.C.",
IF(ISNUMBER($B$194),
IF($C211&lt;&gt;"",
IF('Cost Inputs'!$L$84="Y",
IF(ISNUMBER($Q$55), $E211+($E$78*(($E211/$E$78)+$Q$55)), $E211),
IF('Cost Inputs'!$L$84="N",
IF(AND(ISNUMBER('Cost Inputs'!$M$84), OR('Cost Inputs'!$M$84=1,'Cost Inputs'!$M$84=7)),
IF(ISNUMBER($Q$55), $E211+($E$78*(($E211/$E$78)+$Q$55)), $E211),""),"")), ""),""),"")</f>
        <v/>
      </c>
      <c r="Y211" s="364" t="str">
        <f>IF($Q$3="N.B.C.",
IF(ISNUMBER($B$194),
IF($C211&lt;&gt;"",
IF('Cost Inputs'!$L$84="Y",
IF(ISNUMBER($R$55), $E211+($E$78*(($E211/$E$78)+$R$55)), $E211),
IF('Cost Inputs'!$L$84="N",
IF(AND(ISNUMBER('Cost Inputs'!$M$84), OR('Cost Inputs'!$M$84=1,'Cost Inputs'!$M$84=2,'Cost Inputs'!$M$84=4,'Cost Inputs'!$M$84=8)),
IF(ISNUMBER($R$55), $E211+($E$78*(($E211/$E$78)+$R$55)), $E211),""),"")), ""),""),"")</f>
        <v/>
      </c>
      <c r="Z211" s="364" t="str">
        <f>IF($R$3="N.B.C.",
IF(ISNUMBER($B$194),
IF($C211&lt;&gt;"",
IF('Cost Inputs'!$L$84="Y",
IF(ISNUMBER($S$55), $E211+($E$78*(($E211/$E$78)+$S$55)), $E211),
IF('Cost Inputs'!$L$84="N",
IF(AND(ISNUMBER('Cost Inputs'!$M$84), OR('Cost Inputs'!$M$84=1,'Cost Inputs'!$M$84=3,'Cost Inputs'!$M$84=9)),
IF(ISNUMBER($S$55), $E211+($E$78*(($E211/$E$78)+$S$55)), $E211),""),"")), ""),""),"")</f>
        <v/>
      </c>
      <c r="AA211" s="364" t="str">
        <f>IF($S$3="N.B.C.",
IF(ISNUMBER($B$194),
IF($C211&lt;&gt;"",
IF('Cost Inputs'!$L$84="Y",
IF(ISNUMBER($T$55), $E211+($E$78*(($E211/$E$78)+$T$55)), $E211),
IF('Cost Inputs'!$L$84="N",
IF(AND(ISNUMBER('Cost Inputs'!$M$84), OR('Cost Inputs'!$M$84=1,'Cost Inputs'!$M$84=2,'Cost Inputs'!$M$84=5)),
IF(ISNUMBER($T$55), $E211+($E$78*(($E211/$E$78)+$T$55)), $E211),""),"")), ""),""),"")</f>
        <v/>
      </c>
      <c r="AB211" s="364" t="str">
        <f>IF($T$3="N.B.C.",
IF(ISNUMBER($B$194),
IF($C211&lt;&gt;"",
IF('Cost Inputs'!$L$84="Y",
IF(ISNUMBER($U$55), $E211+($E$78*(($E211/$E$78)+$U$55)), $E211),
IF('Cost Inputs'!$L$84="N",
IF(AND(ISNUMBER('Cost Inputs'!$M$84), OR('Cost Inputs'!$M$84=1)),
IF(ISNUMBER($U$55), $E211+($E$78*(($E211/$E$78)+$U$55)), $E211),""),"")), ""),""),"")</f>
        <v/>
      </c>
      <c r="AC211" s="364" t="str">
        <f>IF($U$3="N.B.C.",
IF(ISNUMBER($B$194),
IF($C211&lt;&gt;"",
IF('Cost Inputs'!$L$84="Y",
IF(ISNUMBER($V$55), $E211+($E$78*(($E211/$E$78)+$V$55)), $E211),
IF('Cost Inputs'!$L$84="N",
IF(AND(ISNUMBER('Cost Inputs'!$M$84), OR('Cost Inputs'!$M$84=1,'Cost Inputs'!$M$84=2,'Cost Inputs'!$M$84=3,'Cost Inputs'!$M$84=4,'Cost Inputs'!$M$84=6)),
IF(ISNUMBER($V$55), $E211+($E$78*(($E211/$E$78)+$V$55)), $E211),""),"")), ""),""),"")</f>
        <v/>
      </c>
      <c r="AD211" s="364" t="str">
        <f>IF($V$3="N.B.C.",
IF(ISNUMBER($B$194),
IF($C211&lt;&gt;"",
IF('Cost Inputs'!$L$84="Y",
IF(ISNUMBER($W$55), $E211+($E$78*(($E211/$E$78)+$W$55)), $E211),
IF('Cost Inputs'!$L$84="N",
IF(AND(ISNUMBER('Cost Inputs'!$M$84), OR('Cost Inputs'!$M$84=1)),
IF(ISNUMBER($W$55), $E211+($E$78*(($E211/$E$78)+$W$55)), $E211),""),"")), ""),""),"")</f>
        <v/>
      </c>
      <c r="AE211" s="364" t="str">
        <f>IF($W$3="N.B.C.",
IF(ISNUMBER($B$194),
IF($C211&lt;&gt;"",
IF('Cost Inputs'!$L$84="Y",
IF(ISNUMBER($X$55), $E211+($E$78*(($E211/$E$78)+$X$55)), $E211),
IF('Cost Inputs'!$L$84="N",
IF(AND(ISNUMBER('Cost Inputs'!$M$84), OR('Cost Inputs'!$M$84=1,'Cost Inputs'!$M$84=2,'Cost Inputs'!$M$84=7)),
IF(ISNUMBER($X$55), $E211+($E$78*(($E211/$E$78)+$X$55)), $E211),""),"")), ""),""),"")</f>
        <v/>
      </c>
      <c r="AF211" s="364" t="str">
        <f>IF($X$3="N.B.C.",
IF(ISNUMBER($B$194),
IF($C211&lt;&gt;"",
IF('Cost Inputs'!$L$84="Y",
IF(ISNUMBER($Y$55), $E211+($E$78*(($E211/$E$78)+$Y$55)), $E211),
IF('Cost Inputs'!$L$84="N",
IF(AND(ISNUMBER('Cost Inputs'!$M$84), OR('Cost Inputs'!$M$84=1,'Cost Inputs'!$M$84=3,'Cost Inputs'!$M$84=5)),
IF(ISNUMBER($Y$55), $E211+($E$78*(($E211/$E$78)+$Y$55)), $E211),""),"")), ""),""),"")</f>
        <v/>
      </c>
    </row>
    <row r="212" spans="1:33" x14ac:dyDescent="0.25">
      <c r="A212" s="518"/>
      <c r="B212" s="504"/>
      <c r="C212" s="110" t="str">
        <f>IF(ISNUMBER(B194), _3_5_0,"")</f>
        <v/>
      </c>
      <c r="D212" s="94" t="str">
        <f>IF(AND(B194&lt;&gt;"", OR('Cost Inputs'!$H$84&lt;&gt;"", 'Cost Inputs'!$I$84&lt;&gt;"", 'Cost Inputs'!$J$84&lt;&gt;"")), 'Cost Inputs'!$G$84,"")</f>
        <v/>
      </c>
      <c r="E212" s="94" t="str">
        <f>IF(AND(C212&lt;&gt;"", 'Cost Inputs'!$H$84&lt;&gt;""), 'Cost Inputs'!$H$84, "")</f>
        <v/>
      </c>
      <c r="F212" s="94" t="str">
        <f>IF(AND(C212&lt;&gt;"", 'Cost Inputs'!$I$84&lt;&gt;""), 'Cost Inputs'!$I$84, "")</f>
        <v/>
      </c>
      <c r="G212" s="94" t="str">
        <f t="shared" si="10"/>
        <v/>
      </c>
      <c r="H212" s="94" t="str">
        <f>IF(AND(C212&lt;&gt;"", 'Cost Inputs'!$J$84&lt;&gt;""), 'Cost Inputs'!$J$84, "")</f>
        <v/>
      </c>
      <c r="I212" s="94" t="str">
        <f>IF(AND($E212&lt;&gt;"", $H212&lt;&gt;""), $H212/$E212, "")</f>
        <v/>
      </c>
      <c r="J212" s="94" t="str">
        <f>IF(AND(C212&lt;&gt;"",('Cost Inputs'!$I$84+'Cost Inputs'!$J$84+'Cost Inputs'!$K$84)&gt;0), 'Cost Inputs'!$I$84+'Cost Inputs'!$J$84+'Cost Inputs'!$K$84, "")</f>
        <v/>
      </c>
      <c r="K212" s="94" t="str">
        <f>IF(AND(C212&lt;&gt;"", 'Cost Inputs'!$N$84&gt;0),'Cost Inputs'!$N$84,"")</f>
        <v/>
      </c>
      <c r="L212" s="94"/>
      <c r="M212" s="129" t="str">
        <f>IF(ISNUMBER(B194), 'Breeding Inputs'!D83+'Breeding Inputs'!E83, "")</f>
        <v/>
      </c>
      <c r="W212" s="373" t="str">
        <f>IF($O$3="N.B.C.", IF(ISNUMBER($B$194), IF('Cost Inputs'!$L$84="Y", $E$86, IF('Cost Inputs'!$L$84="N", IF(ISNUMBER('Cost Inputs'!$M$84), $E$86,""),"")), ""),"")</f>
        <v/>
      </c>
      <c r="X212" s="373" t="str">
        <f>IF($P$3="N.B.C.", IF(ISNUMBER($B$194), IF('Cost Inputs'!$L$84="Y", $E$86, IF('Cost Inputs'!$L$84="N", IF(ISNUMBER('Cost Inputs'!$M$84), $E$86,""),"")), ""),"")</f>
        <v/>
      </c>
      <c r="Y212" s="373" t="str">
        <f>IF($Q$3="N.B.C.", IF(ISNUMBER($B$194), IF('Cost Inputs'!$L$84="Y", $E$86, IF('Cost Inputs'!$L$84="N", IF(ISNUMBER('Cost Inputs'!$M$84), $E$86,""),"")), ""),"")</f>
        <v/>
      </c>
      <c r="Z212" s="373" t="str">
        <f>IF($R$3="N.B.C.", IF(ISNUMBER($B$194), IF('Cost Inputs'!$L$84="Y", $E$86, IF('Cost Inputs'!$L$84="N", IF(ISNUMBER('Cost Inputs'!$M$84), $E$86,""),"")), ""),"")</f>
        <v/>
      </c>
      <c r="AA212" s="373" t="str">
        <f>IF($S$3="N.B.C.", IF(ISNUMBER($B$194), IF('Cost Inputs'!$L$84="Y", $E$86, IF('Cost Inputs'!$L$84="N", IF(ISNUMBER('Cost Inputs'!$M$84), $E$86,""),"")), ""),"")</f>
        <v/>
      </c>
      <c r="AB212" s="373" t="str">
        <f>IF($T$3="N.B.C.", IF(ISNUMBER($B$194), IF('Cost Inputs'!$L$84="Y", $E$86, IF('Cost Inputs'!$L$84="N", IF(ISNUMBER('Cost Inputs'!$M$84), $E$86,""),"")), ""),"")</f>
        <v/>
      </c>
      <c r="AC212" s="373" t="str">
        <f>IF($U$3="N.B.C.", IF(ISNUMBER($B$194), IF('Cost Inputs'!$L$84="Y", $E$86, IF('Cost Inputs'!$L$84="N", IF(ISNUMBER('Cost Inputs'!$M$84), $E$86,""),"")), ""),"")</f>
        <v/>
      </c>
      <c r="AD212" s="373" t="str">
        <f>IF($V$3="N.B.C.", IF(ISNUMBER($B$194), IF('Cost Inputs'!$L$84="Y", $E$86, IF('Cost Inputs'!$L$84="N", IF(ISNUMBER('Cost Inputs'!$M$84), $E$86,""),"")), ""),"")</f>
        <v/>
      </c>
      <c r="AE212" s="373" t="str">
        <f>IF($W$3="N.B.C.", IF(ISNUMBER($B$194), IF('Cost Inputs'!$L$84="Y", $E$86, IF('Cost Inputs'!$L$84="N", IF(ISNUMBER('Cost Inputs'!$M$84), $E$86,""),"")), ""),"")</f>
        <v/>
      </c>
      <c r="AF212" s="373" t="str">
        <f>IF($X$3="N.B.C.", IF(ISNUMBER($B$194), IF('Cost Inputs'!$L$84="Y", $E$86, IF('Cost Inputs'!$L$84="N", IF(ISNUMBER('Cost Inputs'!$M$84), $E$86,""),"")), ""),"")</f>
        <v/>
      </c>
    </row>
    <row r="213" spans="1:33" x14ac:dyDescent="0.25">
      <c r="A213" s="518"/>
      <c r="B213" s="504"/>
      <c r="C213" s="104" t="str">
        <f>IF(AND(ISNUMBER(B194), OR('Cost Inputs'!$H$85&lt;&gt;"", 'Cost Inputs'!$I$85&lt;&gt;"", 'Cost Inputs'!$J$85&lt;&gt;"")), _3_5_1, "")</f>
        <v/>
      </c>
      <c r="D213" s="17" t="str">
        <f>IF(AND(C213&lt;&gt;"", 'Cost Inputs'!$G$85&lt;&gt;""), 'Cost Inputs'!$G$85, "")</f>
        <v/>
      </c>
      <c r="E213" s="17" t="str">
        <f>IF(AND(C213&lt;&gt;"", 'Cost Inputs'!$H$85&lt;&gt;""), 'Cost Inputs'!$H$85, "")</f>
        <v/>
      </c>
      <c r="F213" s="17" t="str">
        <f>IF(AND(C213&lt;&gt;"", 'Cost Inputs'!$I$85&lt;&gt;""), 'Cost Inputs'!$I$85, "")</f>
        <v/>
      </c>
      <c r="G213" s="17" t="str">
        <f t="shared" si="10"/>
        <v/>
      </c>
      <c r="H213" s="17" t="str">
        <f>IF(AND(C213&lt;&gt;"", 'Cost Inputs'!$J$85&lt;&gt;""), 'Cost Inputs'!$J$85, "")</f>
        <v/>
      </c>
      <c r="I213" s="17" t="str">
        <f t="shared" si="9"/>
        <v/>
      </c>
      <c r="J213" s="17" t="str">
        <f>IF(AND(C213&lt;&gt;"",('Cost Inputs'!$I$85+'Cost Inputs'!$J$85+'Cost Inputs'!$K$85)&gt;0), 'Cost Inputs'!$I$85+'Cost Inputs'!$J$85+'Cost Inputs'!$K$85, "")</f>
        <v/>
      </c>
      <c r="K213" s="17" t="str">
        <f>IF(AND(C213&lt;&gt;"", 'Cost Inputs'!$N$85&gt;0),'Cost Inputs'!$N$85,"")</f>
        <v/>
      </c>
      <c r="M213" s="106"/>
      <c r="W213" s="364" t="str">
        <f>IF($O$3="N.B.C.", IF(ISNUMBER($B$194), IF('Cost Inputs'!$L$85="Y", $E$87, IF('Cost Inputs'!$L$85="N", IF(ISNUMBER('Cost Inputs'!$M$85), $E$87,""),"")), ""),"")</f>
        <v/>
      </c>
      <c r="X213" s="364" t="str">
        <f>IF($P$3="N.B.C.", IF(ISNUMBER($B$194), IF('Cost Inputs'!$L$85="Y", $E$87, IF('Cost Inputs'!$L$85="N", IF(ISNUMBER('Cost Inputs'!$M$85), $E$87,""),"")), ""),"")</f>
        <v/>
      </c>
      <c r="Y213" s="364" t="str">
        <f>IF($Q$3="N.B.C.", IF(ISNUMBER($B$194), IF('Cost Inputs'!$L$85="Y", $E$87, IF('Cost Inputs'!$L$85="N", IF(ISNUMBER('Cost Inputs'!$M$85), $E$87,""),"")), ""),"")</f>
        <v/>
      </c>
      <c r="Z213" s="364" t="str">
        <f>IF($R$3="N.B.C.", IF(ISNUMBER($B$194), IF('Cost Inputs'!$L$85="Y", $E$87, IF('Cost Inputs'!$L$85="N", IF(ISNUMBER('Cost Inputs'!$M$85), $E$87,""),"")), ""),"")</f>
        <v/>
      </c>
      <c r="AA213" s="364" t="str">
        <f>IF($S$3="N.B.C.", IF(ISNUMBER($B$194), IF('Cost Inputs'!$L$85="Y", $E$87, IF('Cost Inputs'!$L$85="N", IF(ISNUMBER('Cost Inputs'!$M$85), $E$87,""),"")), ""),"")</f>
        <v/>
      </c>
      <c r="AB213" s="364" t="str">
        <f>IF($T$3="N.B.C.", IF(ISNUMBER($B$194), IF('Cost Inputs'!$L$85="Y", $E$87, IF('Cost Inputs'!$L$85="N", IF(ISNUMBER('Cost Inputs'!$M$85), $E$87,""),"")), ""),"")</f>
        <v/>
      </c>
      <c r="AC213" s="364" t="str">
        <f>IF($U$3="N.B.C.", IF(ISNUMBER($B$194), IF('Cost Inputs'!$L$85="Y", $E$87, IF('Cost Inputs'!$L$85="N", IF(ISNUMBER('Cost Inputs'!$M$85), $E$87,""),"")), ""),"")</f>
        <v/>
      </c>
      <c r="AD213" s="364" t="str">
        <f>IF($V$3="N.B.C.", IF(ISNUMBER($B$194), IF('Cost Inputs'!$L$85="Y", $E$87, IF('Cost Inputs'!$L$85="N", IF(ISNUMBER('Cost Inputs'!$M$85), $E$87,""),"")), ""),"")</f>
        <v/>
      </c>
      <c r="AE213" s="364" t="str">
        <f>IF($W$3="N.B.C.", IF(ISNUMBER($B$194), IF('Cost Inputs'!$L$85="Y", $E$87, IF('Cost Inputs'!$L$85="N", IF(ISNUMBER('Cost Inputs'!$M$85), $E$87,""),"")), ""),"")</f>
        <v/>
      </c>
      <c r="AF213" s="364" t="str">
        <f>IF($X$3="N.B.C.", IF(ISNUMBER($B$194), IF('Cost Inputs'!$L$85="Y", $E$87, IF('Cost Inputs'!$L$85="N", IF(ISNUMBER('Cost Inputs'!$M$85), $E$87,""),"")), ""),"")</f>
        <v/>
      </c>
    </row>
    <row r="214" spans="1:33" ht="15.75" thickBot="1" x14ac:dyDescent="0.3">
      <c r="A214" s="518"/>
      <c r="B214" s="505"/>
      <c r="C214" s="111" t="str">
        <f>IF(AND(ISNUMBER(B194), OR('Cost Inputs'!$H$86&lt;&gt;"", 'Cost Inputs'!$I$86&lt;&gt;"", 'Cost Inputs'!$J$86&lt;&gt;"")), _3_5_2, "")</f>
        <v/>
      </c>
      <c r="D214" s="95" t="str">
        <f>IF(AND(C214&lt;&gt;"", 'Cost Inputs'!$G$86&lt;&gt;""), 'Cost Inputs'!$G$86, "")</f>
        <v/>
      </c>
      <c r="E214" s="95" t="str">
        <f>IF(AND(C214&lt;&gt;"", 'Cost Inputs'!$H$86&lt;&gt;""), 'Cost Inputs'!$H$86, "")</f>
        <v/>
      </c>
      <c r="F214" s="95" t="str">
        <f>IF(AND(C214&lt;&gt;"", 'Cost Inputs'!$I$86&lt;&gt;""), 'Cost Inputs'!$I$86, "")</f>
        <v/>
      </c>
      <c r="G214" s="95" t="str">
        <f t="shared" si="10"/>
        <v/>
      </c>
      <c r="H214" s="95" t="str">
        <f>IF(AND(C214&lt;&gt;"", 'Cost Inputs'!$J$86&lt;&gt;""), 'Cost Inputs'!$J$86, "")</f>
        <v/>
      </c>
      <c r="I214" s="95" t="str">
        <f t="shared" si="9"/>
        <v/>
      </c>
      <c r="J214" s="95" t="str">
        <f>IF(AND(C214&lt;&gt;"",('Cost Inputs'!$I$86+'Cost Inputs'!$J$86+'Cost Inputs'!$K$86)&gt;0), 'Cost Inputs'!$I$86+'Cost Inputs'!$J$86+'Cost Inputs'!$K$86, "")</f>
        <v/>
      </c>
      <c r="K214" s="95" t="str">
        <f>IF(AND(C214&lt;&gt;"", 'Cost Inputs'!$N$86&gt;0),'Cost Inputs'!$N$86,"")</f>
        <v/>
      </c>
      <c r="L214" s="95"/>
      <c r="M214" s="113"/>
      <c r="W214" s="372" t="str">
        <f>IF($O$3="N.B.C.", IF(ISNUMBER($B$194), IF('Cost Inputs'!$L$86="Y", $E$88, IF('Cost Inputs'!$L$86="N", IF(ISNUMBER('Cost Inputs'!$M$86), $E$88,""),"")), ""),"")</f>
        <v/>
      </c>
      <c r="X214" s="372" t="str">
        <f>IF($P$3="N.B.C.", IF(ISNUMBER($B$194), IF('Cost Inputs'!$L$86="Y", $E$88, IF('Cost Inputs'!$L$86="N", IF(ISNUMBER('Cost Inputs'!$M$86), $E$88,""),"")), ""),"")</f>
        <v/>
      </c>
      <c r="Y214" s="372" t="str">
        <f>IF($Q$3="N.B.C.", IF(ISNUMBER($B$194), IF('Cost Inputs'!$L$86="Y", $E$88, IF('Cost Inputs'!$L$86="N", IF(ISNUMBER('Cost Inputs'!$M$86), $E$88,""),"")), ""),"")</f>
        <v/>
      </c>
      <c r="Z214" s="372" t="str">
        <f>IF($R$3="N.B.C.", IF(ISNUMBER($B$194), IF('Cost Inputs'!$L$86="Y", $E$88, IF('Cost Inputs'!$L$86="N", IF(ISNUMBER('Cost Inputs'!$M$86), $E$88,""),"")), ""),"")</f>
        <v/>
      </c>
      <c r="AA214" s="372" t="str">
        <f>IF($S$3="N.B.C.", IF(ISNUMBER($B$194), IF('Cost Inputs'!$L$86="Y", $E$88, IF('Cost Inputs'!$L$86="N", IF(ISNUMBER('Cost Inputs'!$M$86), $E$88,""),"")), ""),"")</f>
        <v/>
      </c>
      <c r="AB214" s="372" t="str">
        <f>IF($T$3="N.B.C.", IF(ISNUMBER($B$194), IF('Cost Inputs'!$L$86="Y", $E$88, IF('Cost Inputs'!$L$86="N", IF(ISNUMBER('Cost Inputs'!$M$86), $E$88,""),"")), ""),"")</f>
        <v/>
      </c>
      <c r="AC214" s="372" t="str">
        <f>IF($U$3="N.B.C.", IF(ISNUMBER($B$194), IF('Cost Inputs'!$L$86="Y", $E$88, IF('Cost Inputs'!$L$86="N", IF(ISNUMBER('Cost Inputs'!$M$86), $E$88,""),"")), ""),"")</f>
        <v/>
      </c>
      <c r="AD214" s="372" t="str">
        <f>IF($V$3="N.B.C.", IF(ISNUMBER($B$194), IF('Cost Inputs'!$L$86="Y", $E$88, IF('Cost Inputs'!$L$86="N", IF(ISNUMBER('Cost Inputs'!$M$86), $E$88,""),"")), ""),"")</f>
        <v/>
      </c>
      <c r="AE214" s="372" t="str">
        <f>IF($W$3="N.B.C.", IF(ISNUMBER($B$194), IF('Cost Inputs'!$L$86="Y", $E$88, IF('Cost Inputs'!$L$86="N", IF(ISNUMBER('Cost Inputs'!$M$86), $E$88,""),"")), ""),"")</f>
        <v/>
      </c>
      <c r="AF214" s="372" t="str">
        <f>IF($X$3="N.B.C.", IF(ISNUMBER($B$194), IF('Cost Inputs'!$L$86="Y", $E$88, IF('Cost Inputs'!$L$86="N", IF(ISNUMBER('Cost Inputs'!$M$86), $E$88,""),"")), ""),"")</f>
        <v/>
      </c>
    </row>
    <row r="215" spans="1:33" ht="14.45" customHeight="1" x14ac:dyDescent="0.25">
      <c r="A215" s="518" t="str">
        <f>Third_Stage</f>
        <v>Stage 1 Seedling Test Plots</v>
      </c>
      <c r="B215" s="503" t="str">
        <f>'Breeding Inputs'!B84</f>
        <v/>
      </c>
      <c r="C215" s="116" t="str">
        <f>IF(ISNUMBER(B215), _3_2_0, "")</f>
        <v/>
      </c>
      <c r="D215" s="92" t="str">
        <f>IF(AND(B215&lt;&gt;"", OR('Cost Inputs'!$H$67&lt;&gt;"", 'Cost Inputs'!$I$67&lt;&gt;"", 'Cost Inputs'!$J$67&lt;&gt;"")), 'Cost Inputs'!$G$67,"")</f>
        <v/>
      </c>
      <c r="E215" s="92" t="str">
        <f>IF(AND(C215&lt;&gt;"", 'Cost Inputs'!$H$67&lt;&gt;"", M$212&lt;&gt;"", M$212&gt;0), $E194-('Cost Inputs'!$H$67*M$212), IF(AND(C215&lt;&gt;"", 'Cost Inputs'!$H$67&lt;&gt;""), $E194, ""))</f>
        <v/>
      </c>
      <c r="F215" s="92" t="str">
        <f>IF(AND(C215&lt;&gt;"", 'Cost Inputs'!$I$67&lt;&gt;""), 'Cost Inputs'!$I$67, "")</f>
        <v/>
      </c>
      <c r="G215" s="92" t="str">
        <f t="shared" si="10"/>
        <v/>
      </c>
      <c r="H215" s="92" t="str">
        <f>IF(AND(C215&lt;&gt;"", 'Cost Inputs'!$J$67&lt;&gt;""), 'Cost Inputs'!$J$67, "")</f>
        <v/>
      </c>
      <c r="I215" s="92" t="str">
        <f>IF(AND($E215&lt;&gt;"", $H215&lt;&gt;""), $H215/$E215, "")</f>
        <v/>
      </c>
      <c r="J215" s="92" t="str">
        <f>IF(AND(C215&lt;&gt;"",('Cost Inputs'!$I$67+'Cost Inputs'!$J$67+'Cost Inputs'!$K$67)&gt;0), 'Cost Inputs'!$I$67+'Cost Inputs'!$J$67+'Cost Inputs'!$K$67, "")</f>
        <v/>
      </c>
      <c r="K215" s="92" t="str">
        <f>IF(AND(C215&lt;&gt;"", 'Cost Inputs'!$N$67&gt;0),'Cost Inputs'!$N$67,"")</f>
        <v/>
      </c>
      <c r="L215" s="92"/>
      <c r="M215" s="101"/>
      <c r="X215" s="373" t="str">
        <f>IF($O$3="N.B.C.",
IF(ISNUMBER($B$215),
IF($C215&lt;&gt;"",
IF('Cost Inputs'!$L$67="Y",
IF(AND(ISNUMBER(P$56), P$56&gt;$E$60), $E215+($E$60*(($E215/$E$60)+$P$55)), $E215),
IF('Cost Inputs'!$L$67="N",
IF(AND(ISNUMBER('Cost Inputs'!$M$67), OR('Cost Inputs'!$M$67=1,'Cost Inputs'!$M$67=7)),
IF(AND(ISNUMBER(P$56), P$56&gt;$E$60), $E215+($E$60*(($E215/$E$60)+$P$55)), $E215), ""),"")), ""), ""), "")</f>
        <v/>
      </c>
      <c r="Y215" s="373" t="str">
        <f>IF($P$3="N.B.C.",
IF(ISNUMBER($B$215),
IF($C215&lt;&gt;"",
IF('Cost Inputs'!$L$67="Y",
IF(AND(ISNUMBER(Q$56), Q$56&gt;$E$60), $E215+($E$60*(($E215/$E$60)+$Q$55)), $E215),
IF('Cost Inputs'!$L$67="N",
IF(AND(ISNUMBER('Cost Inputs'!$M$67), OR('Cost Inputs'!$M$67=1,'Cost Inputs'!$M$67=2,'Cost Inputs'!$M$67=4,'Cost Inputs'!$M$67=8)),
IF(AND(ISNUMBER(Q$56), Q$56&gt;$E$60), $E215+($E$60*(($E215/$E$60)+$Q$55)), $E215), ""),"")), ""), ""), "")</f>
        <v/>
      </c>
      <c r="Z215" s="373" t="str">
        <f>IF($Q$3="N.B.C.",
IF(ISNUMBER($B$215),
IF($C215&lt;&gt;"",
IF('Cost Inputs'!$L$67="Y",
IF(AND(ISNUMBER(R$56), R$56&gt;$E$60), $E215+($E$60*(($E215/$E$60)+$R$55)), $E215),
IF('Cost Inputs'!$L$67="N",
IF(AND(ISNUMBER('Cost Inputs'!$M$67), OR('Cost Inputs'!$M$67=1,'Cost Inputs'!$M$67=3, 'Cost Inputs'!$M$67=9)),
IF(AND(ISNUMBER(R$56), R$56&gt;$E$60), $E215+($E$60*(($E215/$E$60)+$R$55)), $E215), ""),"")), ""), ""), "")</f>
        <v/>
      </c>
      <c r="AA215" s="373" t="str">
        <f>IF($R$3="N.B.C.",
IF(ISNUMBER($B$215),
IF($C215&lt;&gt;"",
IF('Cost Inputs'!$L$67="Y",
IF(AND(ISNUMBER(S$56), S$56&gt;$E$60), $E215+($E$60*(($E215/$E$60)+$S$55)), $E215),
IF('Cost Inputs'!$L$67="N",
IF(AND(ISNUMBER('Cost Inputs'!$M$67), OR('Cost Inputs'!$M$67=1,'Cost Inputs'!$M$67=2, 'Cost Inputs'!$M$67=5)),
IF(AND(ISNUMBER(S$56), S$56&gt;$E$60), $E215+($E$60*(($E215/$E$60)+$S$55)), $E215), ""),"")), ""), ""), "")</f>
        <v/>
      </c>
      <c r="AB215" s="373" t="str">
        <f>IF($S$3="N.B.C.",
IF(ISNUMBER($B$215),
IF($C215&lt;&gt;"",
IF('Cost Inputs'!$L$67="Y",
IF(AND(ISNUMBER(T$56), T$56&gt;$E$60), $E215+($E$60*(($E215/$E$60)+$T$55)), $E215),
IF('Cost Inputs'!$L$67="N",
IF(AND(ISNUMBER('Cost Inputs'!$M$67), OR('Cost Inputs'!$M$67=1)),
IF(AND(ISNUMBER(T$56), T$56&gt;$E$60), $E215+($E$60*(($E215/$E$60)+$T$55)), $E215), ""),"")), ""), ""), "")</f>
        <v/>
      </c>
      <c r="AC215" s="373" t="str">
        <f>IF($T$3="N.B.C.",
IF(ISNUMBER($B$215),
IF($C215&lt;&gt;"",
IF('Cost Inputs'!$L$67="Y",
IF(AND(ISNUMBER(U$56), U$56&gt;$E$60), $E215+($E$60*(($E215/$E$60)+$U$55)), $E215),
IF('Cost Inputs'!$L$67="N",
IF(AND(ISNUMBER('Cost Inputs'!$M$67), OR('Cost Inputs'!$M$67=1,'Cost Inputs'!$M$67=2,'Cost Inputs'!$M$67=3,'Cost Inputs'!$M$67=4,'Cost Inputs'!$M$67=6)),
IF(AND(ISNUMBER(U$56), U$56&gt;$E$60), $E215+($E$60*(($E215/$E$60)+$U$55)), $E215), ""),"")), ""), ""), "")</f>
        <v/>
      </c>
      <c r="AD215" s="373" t="str">
        <f>IF($U$3="N.B.C.",
IF(ISNUMBER($B$215),
IF($C215&lt;&gt;"",
IF('Cost Inputs'!$L$67="Y",
IF(AND(ISNUMBER(V$56), V$56&gt;$E$60), $E215+($E$60*(($E215/$E$60)+$V$55)), $E215),
IF('Cost Inputs'!$L$67="N",
IF(AND(ISNUMBER('Cost Inputs'!$M$67), OR('Cost Inputs'!$M$67=1)),
IF(AND(ISNUMBER(V$56), V$56&gt;$E$60), $E215+($E$60*(($E215/$E$60)+$V$55)), $E215), ""),"")), ""), ""), "")</f>
        <v/>
      </c>
      <c r="AE215" s="373" t="str">
        <f>IF($V$3="N.B.C.",
IF(ISNUMBER($B$215),
IF($C215&lt;&gt;"",
IF('Cost Inputs'!$L$67="Y",
IF(AND(ISNUMBER(W$56), W$56&gt;$E$60), $E215+($E$60*(($E215/$E$60)+$W$55)), $E215),
IF('Cost Inputs'!$L$67="N",
IF(AND(ISNUMBER('Cost Inputs'!$M$67), OR('Cost Inputs'!$M$67=1, 'Cost Inputs'!$M$67=2, 'Cost Inputs'!$M$67=7)),
IF(AND(ISNUMBER(W$56), W$56&gt;$E$60), $E215+($E$60*(($E215/$E$60)+$W$55)), $E215), ""),"")), ""), ""), "")</f>
        <v/>
      </c>
      <c r="AF215" s="373" t="str">
        <f>IF($W$3="N.B.C.",
IF(ISNUMBER($B$215),
IF($C215&lt;&gt;"",
IF('Cost Inputs'!$L$67="Y",
IF(AND(ISNUMBER(X$56), X$56&gt;$E$60), $E215+($E$60*(($E215/$E$60)+$X$55)), $E215),
IF('Cost Inputs'!$L$67="N",
IF(AND(ISNUMBER('Cost Inputs'!$M$67), OR('Cost Inputs'!$M$67=1, 'Cost Inputs'!$M$67=3, 'Cost Inputs'!$M$67=5)),
IF(AND(ISNUMBER(X$56), X$56&gt;$E$60), $E215+($E$60*(($E215/$E$60)+$X$55)), $E215), ""),"")), ""), ""), "")</f>
        <v/>
      </c>
      <c r="AG215" s="373" t="str">
        <f>IF($X$3="N.B.C.",
IF(ISNUMBER($B$215),
IF($C215&lt;&gt;"",
IF('Cost Inputs'!$L$67="Y",
IF(AND(ISNUMBER(Y$56), Y$56&gt;$E$60), $E215+($E$60*(($E215/$E$60)+$Y$55)), $E215),
IF('Cost Inputs'!$L$67="N",
IF(AND(ISNUMBER('Cost Inputs'!$M$67), OR('Cost Inputs'!$M$67=1, 'Cost Inputs'!$M$67=2, 'Cost Inputs'!$M$67=4, 'Cost Inputs'!$M$67=8)),
IF(AND(ISNUMBER(Y$56), Y$56&gt;$E$60), $E215+($E$60*(($E215/$E$60)+$Y$55)), $E215), ""),"")), ""), ""), "")</f>
        <v/>
      </c>
    </row>
    <row r="216" spans="1:33" x14ac:dyDescent="0.25">
      <c r="A216" s="518"/>
      <c r="B216" s="504"/>
      <c r="C216" s="104" t="str">
        <f>IF(AND(ISNUMBER(B215), OR('Cost Inputs'!$H$68&lt;&gt;"", 'Cost Inputs'!$I$68&lt;&gt;"", 'Cost Inputs'!$J$68&lt;&gt;"")), _3_2_1, "")</f>
        <v/>
      </c>
      <c r="D216" s="17" t="str">
        <f>IF(AND($C216&lt;&gt;"", 'Cost Inputs'!$G$68&lt;&gt;""), 'Cost Inputs'!$G$68, "")</f>
        <v/>
      </c>
      <c r="E216" s="17" t="str">
        <f>IF(AND(C216&lt;&gt;"", 'Cost Inputs'!$H$68&lt;&gt;"", M$212&lt;&gt;"", M$212&gt;0), $E195-('Cost Inputs'!$H$68*M$212), IF(AND(C216&lt;&gt;"", 'Cost Inputs'!$H$68&lt;&gt;""), $E195, ""))</f>
        <v/>
      </c>
      <c r="F216" s="17" t="str">
        <f>IF(AND(C216&lt;&gt;"", 'Cost Inputs'!$I$68&lt;&gt;""), 'Cost Inputs'!$I$68, "")</f>
        <v/>
      </c>
      <c r="G216" s="17" t="str">
        <f t="shared" si="10"/>
        <v/>
      </c>
      <c r="H216" s="17" t="str">
        <f>IF(AND(C216&lt;&gt;"", 'Cost Inputs'!$J$68&lt;&gt;""), 'Cost Inputs'!$J$68, "")</f>
        <v/>
      </c>
      <c r="I216" s="17" t="str">
        <f t="shared" ref="I216:I240" si="11">IF(AND($E216&lt;&gt;"", $H216&lt;&gt;""), $H216/$E216, "")</f>
        <v/>
      </c>
      <c r="J216" s="17" t="str">
        <f>IF(AND(C216&lt;&gt;"",('Cost Inputs'!$I$68+'Cost Inputs'!$J$68+'Cost Inputs'!$K$68)&gt;0), 'Cost Inputs'!$I$68+'Cost Inputs'!$J$68+'Cost Inputs'!$K$68, "")</f>
        <v/>
      </c>
      <c r="K216" s="17" t="str">
        <f>IF(AND(C216&lt;&gt;"", 'Cost Inputs'!$N$68&gt;0),'Cost Inputs'!$N$68,"")</f>
        <v/>
      </c>
      <c r="M216" s="106"/>
      <c r="X216" s="364" t="str">
        <f>IF($O$3="N.B.C.",
IF(ISNUMBER($B$215),
IF($C216&lt;&gt;"",
IF('Cost Inputs'!$L$68="Y",
IF(ISNUMBER($P$55), $E216+($E$89*(($E216/$E$89)+$P$55)), $E216),
IF('Cost Inputs'!$L$68="N",
IF(AND(ISNUMBER('Cost Inputs'!$M$68), OR('Cost Inputs'!$M$68=1,'Cost Inputs'!$M$68=7)),
IF(ISNUMBER($P$55), $E216+($E$89*(($E216/$E$89)+$P$55)), $E216),""),"")), ""),""),"")</f>
        <v/>
      </c>
      <c r="Y216" s="364" t="str">
        <f>IF($P$3="N.B.C.",
IF(ISNUMBER($B$215),
IF($C216&lt;&gt;"",
IF('Cost Inputs'!$L$68="Y",
IF(ISNUMBER($Q$55), $E216+($E$89*(($E216/$E$89)+$Q$55)), $E216),
IF('Cost Inputs'!$L$68="N",
IF(AND(ISNUMBER('Cost Inputs'!$M$68), OR('Cost Inputs'!$M$68=1,'Cost Inputs'!$M$68=2,'Cost Inputs'!$M$68=4,'Cost Inputs'!$M$68=8)),
IF(ISNUMBER($Q$55), $E216+($E$89*(($E216/$E$89)+$Q$55)), $E216),""),"")), ""),""),"")</f>
        <v/>
      </c>
      <c r="Z216" s="364" t="str">
        <f>IF($Q$3="N.B.C.",
IF(ISNUMBER($B$215),
IF($C216&lt;&gt;"",
IF('Cost Inputs'!$L$68="Y",
IF(ISNUMBER($R$55), $E216+($E$89*(($E216/$E$89)+$R$55)), $E216),
IF('Cost Inputs'!$L$68="N",
IF(AND(ISNUMBER('Cost Inputs'!$M$68), OR('Cost Inputs'!$M$68=1,'Cost Inputs'!$M$68=3,'Cost Inputs'!$M$68=9)),
IF(ISNUMBER($R$55), $E216+($E$89*(($E216/$E$89)+$R$55)), $E216),""),"")), ""),""),"")</f>
        <v/>
      </c>
      <c r="AA216" s="364" t="str">
        <f>IF($R$3="N.B.C.",
IF(ISNUMBER($B$215),
IF($C216&lt;&gt;"",
IF('Cost Inputs'!$L$68="Y",
IF(ISNUMBER($S$55), $E216+($E$89*(($E216/$E$89)+$S$55)), $E216),
IF('Cost Inputs'!$L$68="N",
IF(AND(ISNUMBER('Cost Inputs'!$M$68), OR('Cost Inputs'!$M$68=1,'Cost Inputs'!$M$68=2,'Cost Inputs'!$M$68=5)),
IF(ISNUMBER($S$55), $E216+($E$89*(($E216/$E$89)+$S$55)), $E216),""),"")), ""),""),"")</f>
        <v/>
      </c>
      <c r="AB216" s="364" t="str">
        <f>IF($S$3="N.B.C.",
IF(ISNUMBER($B$215),
IF($C216&lt;&gt;"",
IF('Cost Inputs'!$L$68="Y",
IF(ISNUMBER($T$55), $E216+($E$89*(($E216/$E$89)+$T$55)), $E216),
IF('Cost Inputs'!$L$68="N",
IF(AND(ISNUMBER('Cost Inputs'!$M$68), OR('Cost Inputs'!$M$68=1)),
IF(ISNUMBER($T$55), $E216+($E$89*(($E216/$E$89)+$T$55)), $E216),""),"")), ""),""),"")</f>
        <v/>
      </c>
      <c r="AC216" s="364" t="str">
        <f>IF($T$3="N.B.C.",
IF(ISNUMBER($B$215),
IF($C216&lt;&gt;"",
IF('Cost Inputs'!$L$68="Y",
IF(ISNUMBER($U$55), $E216+($E$89*(($E216/$E$89)+$U$55)), $E216),
IF('Cost Inputs'!$L$68="N",
IF(AND(ISNUMBER('Cost Inputs'!$M$68), OR('Cost Inputs'!$M$68=1,'Cost Inputs'!$M$68=2,'Cost Inputs'!$M$68=3,'Cost Inputs'!$M$68=4,'Cost Inputs'!$M$68=6)),
IF(ISNUMBER($U$55), $E216+($E$89*(($E216/$E$89)+$U$55)), $E216),""),"")), ""),""),"")</f>
        <v/>
      </c>
      <c r="AD216" s="364" t="str">
        <f>IF($U$3="N.B.C.",
IF(ISNUMBER($B$215),
IF($C216&lt;&gt;"",
IF('Cost Inputs'!$L$68="Y",
IF(ISNUMBER($V$55), $E216+($E$89*(($E216/$E$89)+$V$55)), $E216),
IF('Cost Inputs'!$L$68="N",
IF(AND(ISNUMBER('Cost Inputs'!$M$68), OR('Cost Inputs'!$M$68=1)),
IF(ISNUMBER($V$55), $E216+($E$89*(($E216/$E$89)+$V$55)), $E216),""),"")), ""),""),"")</f>
        <v/>
      </c>
      <c r="AE216" s="364" t="str">
        <f>IF($V$3="N.B.C.",
IF(ISNUMBER($B$215),
IF($C216&lt;&gt;"",
IF('Cost Inputs'!$L$68="Y",
IF(ISNUMBER($W$55), $E216+($E$89*(($E216/$E$89)+$W$55)), $E216),
IF('Cost Inputs'!$L$68="N",
IF(AND(ISNUMBER('Cost Inputs'!$M$68), OR('Cost Inputs'!$M$68=1,'Cost Inputs'!$M$68=2,'Cost Inputs'!$M$68=7)),
IF(ISNUMBER($W$55), $E216+($E$89*(($E216/$E$89)+$W$55)), $E216),""),"")), ""),""),"")</f>
        <v/>
      </c>
      <c r="AF216" s="364" t="str">
        <f>IF($W$3="N.B.C.",
IF(ISNUMBER($B$215),
IF($C216&lt;&gt;"",
IF('Cost Inputs'!$L$68="Y",
IF(ISNUMBER($X$55), $E216+($E$89*(($E216/$E$89)+$X$55)), $E216),
IF('Cost Inputs'!$L$68="N",
IF(AND(ISNUMBER('Cost Inputs'!$M$68), OR('Cost Inputs'!$M$68=1,'Cost Inputs'!$M$68=3,'Cost Inputs'!$M$68=5)),
IF(ISNUMBER($X$55), $E216+($E$89*(($E216/$E$89)+$X$55)), $E216),""),"")), ""),""),"")</f>
        <v/>
      </c>
      <c r="AG216" s="364" t="str">
        <f>IF($X$3="N.B.C.",
IF(ISNUMBER($B$215),
IF($C216&lt;&gt;"",
IF('Cost Inputs'!$L$68="Y",
IF(ISNUMBER($Y$55), $E216+($E$89*(($E216/$E$89)+$Y$55)), $E216),
IF('Cost Inputs'!$L$68="N",
IF(AND(ISNUMBER('Cost Inputs'!$M$68), OR('Cost Inputs'!$M$68=1,'Cost Inputs'!$M$68=2,'Cost Inputs'!$M$68=4,'Cost Inputs'!$M$68=8)),
IF(ISNUMBER($Y$55), $E216+($E$89*(($E216/$E$89)+$Y$55)), $E216),""),"")), ""),""),"")</f>
        <v/>
      </c>
    </row>
    <row r="217" spans="1:33" x14ac:dyDescent="0.25">
      <c r="A217" s="518"/>
      <c r="B217" s="504"/>
      <c r="C217" s="107" t="str">
        <f>IF(AND(ISNUMBER(B215), OR('Cost Inputs'!$H$69&lt;&gt;"", 'Cost Inputs'!$I$69&lt;&gt;"", 'Cost Inputs'!$J$69&lt;&gt;"")), _3_2_2, "")</f>
        <v/>
      </c>
      <c r="D217" s="93" t="str">
        <f>IF(AND($C217&lt;&gt;"", 'Cost Inputs'!$G$69&lt;&gt;""), 'Cost Inputs'!$G$69, "")</f>
        <v/>
      </c>
      <c r="E217" s="93" t="str">
        <f>IF(AND(C217&lt;&gt;"", 'Cost Inputs'!$H$69&lt;&gt;"", M$212&lt;&gt;"", M$212&gt;0), $E196-('Cost Inputs'!$H$69*M$212), IF(AND(C217&lt;&gt;"", 'Cost Inputs'!$H$69&lt;&gt;""), $E196, ""))</f>
        <v/>
      </c>
      <c r="F217" s="93" t="str">
        <f>IF(AND(C217&lt;&gt;"", 'Cost Inputs'!$I$69&lt;&gt;""), 'Cost Inputs'!$I$69, "")</f>
        <v/>
      </c>
      <c r="G217" s="93" t="str">
        <f t="shared" si="10"/>
        <v/>
      </c>
      <c r="H217" s="93" t="str">
        <f>IF(AND(C217&lt;&gt;"", 'Cost Inputs'!$J$69&lt;&gt;""), 'Cost Inputs'!$J$69, "")</f>
        <v/>
      </c>
      <c r="I217" s="93" t="str">
        <f t="shared" si="11"/>
        <v/>
      </c>
      <c r="J217" s="93" t="str">
        <f>IF(AND(C217&lt;&gt;"",('Cost Inputs'!$I$69+'Cost Inputs'!$J$69+'Cost Inputs'!$K$69)&gt;0), 'Cost Inputs'!$I$69+'Cost Inputs'!$J$69+'Cost Inputs'!$K$69, "")</f>
        <v/>
      </c>
      <c r="K217" s="93" t="str">
        <f>IF(AND(C217&lt;&gt;"", 'Cost Inputs'!$N$69&gt;0),'Cost Inputs'!$N$69,"")</f>
        <v/>
      </c>
      <c r="L217" s="93"/>
      <c r="M217" s="109"/>
      <c r="X217" s="372" t="str">
        <f>IF($O$3="N.B.C.",
IF(ISNUMBER($B$215),
IF($C217&lt;&gt;"",
IF('Cost Inputs'!$L$69="Y",
IF(ISNUMBER($P$55), $E217+($E$89*(($E217/$E$89)+$P$55)), $E217),
IF('Cost Inputs'!$L$69="N",
IF(AND(ISNUMBER('Cost Inputs'!$M$69), OR('Cost Inputs'!$M$69=1,'Cost Inputs'!$M$69=7)),
IF(ISNUMBER($P$55), $E217+($E$89*(($E217/$E$89)+$P$55)), $E217),""),"")), ""),""),"")</f>
        <v/>
      </c>
      <c r="Y217" s="372" t="str">
        <f>IF($P$3="N.B.C.",
IF(ISNUMBER($B$215),
IF($C217&lt;&gt;"",
IF('Cost Inputs'!$L$69="Y",
IF(ISNUMBER($Q$55), $E217+($E$89*(($E217/$E$89)+$Q$55)), $E217),
IF('Cost Inputs'!$L$69="N",
IF(AND(ISNUMBER('Cost Inputs'!$M$69), OR('Cost Inputs'!$M$69=1,'Cost Inputs'!$M$69=2,'Cost Inputs'!$M$69=4,'Cost Inputs'!$M$69=8)),
IF(ISNUMBER($Q$55), $E217+($E$89*(($E217/$E$89)+$Q$55)), $E217),""),"")), ""),""),"")</f>
        <v/>
      </c>
      <c r="Z217" s="372" t="str">
        <f>IF($Q$3="N.B.C.",
IF(ISNUMBER($B$215),
IF($C217&lt;&gt;"",
IF('Cost Inputs'!$L$69="Y",
IF(ISNUMBER($R$55), $E217+($E$89*(($E217/$E$89)+$R$55)), $E217),
IF('Cost Inputs'!$L$69="N",
IF(AND(ISNUMBER('Cost Inputs'!$M$69), OR('Cost Inputs'!$M$69=1,'Cost Inputs'!$M$69=3,'Cost Inputs'!$M$69=9)),
IF(ISNUMBER($R$55), $E217+($E$89*(($E217/$E$89)+$R$55)), $E217),""),"")), ""),""),"")</f>
        <v/>
      </c>
      <c r="AA217" s="372" t="str">
        <f>IF($R$3="N.B.C.",
IF(ISNUMBER($B$215),
IF($C217&lt;&gt;"",
IF('Cost Inputs'!$L$69="Y",
IF(ISNUMBER($S$55), $E217+($E$89*(($E217/$E$89)+$S$55)), $E217),
IF('Cost Inputs'!$L$69="N",
IF(AND(ISNUMBER('Cost Inputs'!$M$69), OR('Cost Inputs'!$M$69=1,'Cost Inputs'!$M$69=2,'Cost Inputs'!$M$69=5)),
IF(ISNUMBER($S$55), $E217+($E$89*(($E217/$E$89)+$S$55)), $E217),""),"")), ""),""),"")</f>
        <v/>
      </c>
      <c r="AB217" s="372" t="str">
        <f>IF($S$3="N.B.C.",
IF(ISNUMBER($B$215),
IF($C217&lt;&gt;"",
IF('Cost Inputs'!$L$69="Y",
IF(ISNUMBER($T$55), $E217+($E$89*(($E217/$E$89)+$T$55)), $E217),
IF('Cost Inputs'!$L$69="N",
IF(AND(ISNUMBER('Cost Inputs'!$M$69), OR('Cost Inputs'!$M$69=1)),
IF(ISNUMBER($T$55), $E217+($E$89*(($E217/$E$89)+$T$55)), $E217),""),"")), ""),""),"")</f>
        <v/>
      </c>
      <c r="AC217" s="372" t="str">
        <f>IF($T$3="N.B.C.",
IF(ISNUMBER($B$215),
IF($C217&lt;&gt;"",
IF('Cost Inputs'!$L$69="Y",
IF(ISNUMBER($U$55), $E217+($E$89*(($E217/$E$89)+$U$55)), $E217),
IF('Cost Inputs'!$L$69="N",
IF(AND(ISNUMBER('Cost Inputs'!$M$69), OR('Cost Inputs'!$M$69=1,'Cost Inputs'!$M$69=2,'Cost Inputs'!$M$69=3,'Cost Inputs'!$M$69=4,'Cost Inputs'!$M$69=6)),
IF(ISNUMBER($U$55), $E217+($E$89*(($E217/$E$89)+$U$55)), $E217),""),"")), ""),""),"")</f>
        <v/>
      </c>
      <c r="AD217" s="372" t="str">
        <f>IF($U$3="N.B.C.",
IF(ISNUMBER($B$215),
IF($C217&lt;&gt;"",
IF('Cost Inputs'!$L$69="Y",
IF(ISNUMBER($V$55), $E217+($E$89*(($E217/$E$89)+$V$55)), $E217),
IF('Cost Inputs'!$L$69="N",
IF(AND(ISNUMBER('Cost Inputs'!$M$69), OR('Cost Inputs'!$M$69=1)),
IF(ISNUMBER($V$55), $E217+($E$89*(($E217/$E$89)+$V$55)), $E217),""),"")), ""),""),"")</f>
        <v/>
      </c>
      <c r="AE217" s="372" t="str">
        <f>IF($V$3="N.B.C.",
IF(ISNUMBER($B$215),
IF($C217&lt;&gt;"",
IF('Cost Inputs'!$L$69="Y",
IF(ISNUMBER($W$55), $E217+($E$89*(($E217/$E$89)+$W$55)), $E217),
IF('Cost Inputs'!$L$69="N",
IF(AND(ISNUMBER('Cost Inputs'!$M$69), OR('Cost Inputs'!$M$69=1,'Cost Inputs'!$M$69=2,'Cost Inputs'!$M$69=7)),
IF(ISNUMBER($W$55), $E217+($E$89*(($E217/$E$89)+$W$55)), $E217),""),"")), ""),""),"")</f>
        <v/>
      </c>
      <c r="AF217" s="372" t="str">
        <f>IF($W$3="N.B.C.",
IF(ISNUMBER($B$215),
IF($C217&lt;&gt;"",
IF('Cost Inputs'!$L$69="Y",
IF(ISNUMBER($X$55), $E217+($E$89*(($E217/$E$89)+$X$55)), $E217),
IF('Cost Inputs'!$L$69="N",
IF(AND(ISNUMBER('Cost Inputs'!$M$69), OR('Cost Inputs'!$M$69=1,'Cost Inputs'!$M$69=3,'Cost Inputs'!$M$69=5)),
IF(ISNUMBER($X$55), $E217+($E$89*(($E217/$E$89)+$X$55)), $E217),""),"")), ""),""),"")</f>
        <v/>
      </c>
      <c r="AG217" s="372" t="str">
        <f>IF($X$3="N.B.C.",
IF(ISNUMBER($B$215),
IF($C217&lt;&gt;"",
IF('Cost Inputs'!$L$69="Y",
IF(ISNUMBER($Y$55), $E217+($E$89*(($E217/$E$89)+$Y$55)), $E217),
IF('Cost Inputs'!$L$69="N",
IF(AND(ISNUMBER('Cost Inputs'!$M$69), OR('Cost Inputs'!$M$69=1,'Cost Inputs'!$M$69=2,'Cost Inputs'!$M$69=4,'Cost Inputs'!$M$69=8)),
IF(ISNUMBER($Y$55), $E217+($E$89*(($E217/$E$89)+$Y$55)), $E217),""),"")), ""),""),"")</f>
        <v/>
      </c>
    </row>
    <row r="218" spans="1:33" x14ac:dyDescent="0.25">
      <c r="A218" s="518"/>
      <c r="B218" s="504"/>
      <c r="C218" s="104" t="str">
        <f>IF(AND( ISNUMBER(B215), OR('Cost Inputs'!$H$70&lt;&gt;"", 'Cost Inputs'!$I$70&lt;&gt;"", 'Cost Inputs'!$J$70&lt;&gt;"")), _3_2_3, "")</f>
        <v/>
      </c>
      <c r="D218" s="17" t="str">
        <f>IF(AND($C218&lt;&gt;"", 'Cost Inputs'!$G$70&lt;&gt;""), 'Cost Inputs'!$G$70, "")</f>
        <v/>
      </c>
      <c r="E218" s="17" t="str">
        <f>IF(AND(C218&lt;&gt;"", 'Cost Inputs'!$H$70&lt;&gt;"", M$212&lt;&gt;"", M$212&gt;0), $E197-('Cost Inputs'!$H$70*M$212), IF(AND(C218&lt;&gt;"", 'Cost Inputs'!$H$70&lt;&gt;""), $E197, ""))</f>
        <v/>
      </c>
      <c r="F218" s="17" t="str">
        <f>IF(AND(C218&lt;&gt;"", 'Cost Inputs'!$I$70&lt;&gt;""), 'Cost Inputs'!$I$70, "")</f>
        <v/>
      </c>
      <c r="G218" s="17" t="str">
        <f t="shared" si="10"/>
        <v/>
      </c>
      <c r="H218" s="17" t="str">
        <f>IF(AND(C218&lt;&gt;"", 'Cost Inputs'!$J$70&lt;&gt;""), 'Cost Inputs'!$J$70, "")</f>
        <v/>
      </c>
      <c r="I218" s="17" t="str">
        <f t="shared" si="11"/>
        <v/>
      </c>
      <c r="J218" s="17" t="str">
        <f>IF(AND(C218&lt;&gt;"",('Cost Inputs'!$I$70+'Cost Inputs'!$J$70+'Cost Inputs'!$K$70)&gt;0), 'Cost Inputs'!$I$70+'Cost Inputs'!$J$70+'Cost Inputs'!$K$70, "")</f>
        <v/>
      </c>
      <c r="K218" s="17" t="str">
        <f>IF(AND(C218&lt;&gt;"", 'Cost Inputs'!$N$70&gt;0),'Cost Inputs'!$N$70,"")</f>
        <v/>
      </c>
      <c r="M218" s="106"/>
      <c r="X218" s="364" t="str">
        <f>IF($O$3="N.B.C.",
IF(ISNUMBER($B$215),
IF($C218&lt;&gt;"",
IF('Cost Inputs'!$L$70="Y",
IF(ISNUMBER($P$55), $E218+($E$89*(($E218/$E$89)+$P$55)), $E218),
IF('Cost Inputs'!$L$70="N",
IF(AND(ISNUMBER('Cost Inputs'!$M$70), OR('Cost Inputs'!$M$70=1,'Cost Inputs'!$M$70=7)),
IF(ISNUMBER($P$55), $E218+($E$89*(($E218/$E$89)+$P$55)), $E218),""),"")), ""),""),"")</f>
        <v/>
      </c>
      <c r="Y218" s="364" t="str">
        <f>IF($P$3="N.B.C.",
IF(ISNUMBER($B$215),
IF($C218&lt;&gt;"",
IF('Cost Inputs'!$L$70="Y",
IF(ISNUMBER($Q$55), $E218+($E$89*(($E218/$E$89)+$Q$55)), $E218),
IF('Cost Inputs'!$L$70="N",
IF(AND(ISNUMBER('Cost Inputs'!$M$70), OR('Cost Inputs'!$M$70=1,'Cost Inputs'!$M$70=2,'Cost Inputs'!$M$70=4,'Cost Inputs'!$M$70=8)),
IF(ISNUMBER($Q$55), $E218+($E$89*(($E218/$E$89)+$Q$55)), $E218),""),"")), ""),""),"")</f>
        <v/>
      </c>
      <c r="Z218" s="364" t="str">
        <f>IF($Q$3="N.B.C.",
IF(ISNUMBER($B$215),
IF($C218&lt;&gt;"",
IF('Cost Inputs'!$L$70="Y",
IF(ISNUMBER($R$55), $E218+($E$89*(($E218/$E$89)+$R$55)), $E218),
IF('Cost Inputs'!$L$70="N",
IF(AND(ISNUMBER('Cost Inputs'!$M$70), OR('Cost Inputs'!$M$70=1,'Cost Inputs'!$M$70=3,'Cost Inputs'!$M$70=9)),
IF(ISNUMBER($R$55), $E218+($E$89*(($E218/$E$89)+$R$55)), $E218),""),"")), ""),""),"")</f>
        <v/>
      </c>
      <c r="AA218" s="364" t="str">
        <f>IF($R$3="N.B.C.",
IF(ISNUMBER($B$215),
IF($C218&lt;&gt;"",
IF('Cost Inputs'!$L$70="Y",
IF(ISNUMBER($S$55), $E218+($E$89*(($E218/$E$89)+$S$55)), $E218),
IF('Cost Inputs'!$L$70="N",
IF(AND(ISNUMBER('Cost Inputs'!$M$70), OR('Cost Inputs'!$M$70=1,'Cost Inputs'!$M$70=2,'Cost Inputs'!$M$70=5)),
IF(ISNUMBER($S$55), $E218+($E$89*(($E218/$E$89)+$S$55)), $E218),""),"")), ""),""),"")</f>
        <v/>
      </c>
      <c r="AB218" s="364" t="str">
        <f>IF($S$3="N.B.C.",
IF(ISNUMBER($B$215),
IF($C218&lt;&gt;"",
IF('Cost Inputs'!$L$70="Y",
IF(ISNUMBER($T$55), $E218+($E$89*(($E218/$E$89)+$T$55)), $E218),
IF('Cost Inputs'!$L$70="N",
IF(AND(ISNUMBER('Cost Inputs'!$M$70), OR('Cost Inputs'!$M$70=1)),
IF(ISNUMBER($T$55), $E218+($E$89*(($E218/$E$89)+$T$55)), $E218),""),"")), ""),""),"")</f>
        <v/>
      </c>
      <c r="AC218" s="364" t="str">
        <f>IF($T$3="N.B.C.",
IF(ISNUMBER($B$215),
IF($C218&lt;&gt;"",
IF('Cost Inputs'!$L$70="Y",
IF(ISNUMBER($U$55), $E218+($E$89*(($E218/$E$89)+$U$55)), $E218),
IF('Cost Inputs'!$L$70="N",
IF(AND(ISNUMBER('Cost Inputs'!$M$70), OR('Cost Inputs'!$M$70=1,'Cost Inputs'!$M$70=2,'Cost Inputs'!$M$70=3,'Cost Inputs'!$M$70=4,'Cost Inputs'!$M$70=6)),
IF(ISNUMBER($U$55), $E218+($E$89*(($E218/$E$89)+$U$55)), $E218),""),"")), ""),""),"")</f>
        <v/>
      </c>
      <c r="AD218" s="364" t="str">
        <f>IF($U$3="N.B.C.",
IF(ISNUMBER($B$215),
IF($C218&lt;&gt;"",
IF('Cost Inputs'!$L$70="Y",
IF(ISNUMBER($V$55), $E218+($E$89*(($E218/$E$89)+$V$55)), $E218),
IF('Cost Inputs'!$L$70="N",
IF(AND(ISNUMBER('Cost Inputs'!$M$70), OR('Cost Inputs'!$M$70=1)),
IF(ISNUMBER($V$55), $E218+($E$89*(($E218/$E$89)+$V$55)), $E218),""),"")), ""),""),"")</f>
        <v/>
      </c>
      <c r="AE218" s="364" t="str">
        <f>IF($V$3="N.B.C.",
IF(ISNUMBER($B$215),
IF($C218&lt;&gt;"",
IF('Cost Inputs'!$L$70="Y",
IF(ISNUMBER($W$55), $E218+($E$89*(($E218/$E$89)+$W$55)), $E218),
IF('Cost Inputs'!$L$70="N",
IF(AND(ISNUMBER('Cost Inputs'!$M$70), OR('Cost Inputs'!$M$70=1,'Cost Inputs'!$M$70=2,'Cost Inputs'!$M$70=7)),
IF(ISNUMBER($W$55), $E218+($E$89*(($E218/$E$89)+$W$55)), $E218),""),"")), ""),""),"")</f>
        <v/>
      </c>
      <c r="AF218" s="364" t="str">
        <f>IF($W$3="N.B.C.",
IF(ISNUMBER($B$215),
IF($C218&lt;&gt;"",
IF('Cost Inputs'!$L$70="Y",
IF(ISNUMBER($X$55), $E218+($E$89*(($E218/$E$89)+$X$55)), $E218),
IF('Cost Inputs'!$L$70="N",
IF(AND(ISNUMBER('Cost Inputs'!$M$70), OR('Cost Inputs'!$M$70=1,'Cost Inputs'!$M$70=3,'Cost Inputs'!$M$70=5)),
IF(ISNUMBER($X$55), $E218+($E$89*(($E218/$E$89)+$X$55)), $E218),""),"")), ""),""),"")</f>
        <v/>
      </c>
      <c r="AG218" s="364" t="str">
        <f>IF($X$3="N.B.C.",
IF(ISNUMBER($B$215),
IF($C218&lt;&gt;"",
IF('Cost Inputs'!$L$70="Y",
IF(ISNUMBER($Y$55), $E218+($E$89*(($E218/$E$89)+$Y$55)), $E218),
IF('Cost Inputs'!$L$70="N",
IF(AND(ISNUMBER('Cost Inputs'!$M$70), OR('Cost Inputs'!$M$70=1,'Cost Inputs'!$M$70=2,'Cost Inputs'!$M$70=4,'Cost Inputs'!$M$70=8)),
IF(ISNUMBER($Y$55), $E218+($E$89*(($E218/$E$89)+$Y$55)), $E218),""),"")), ""),""),"")</f>
        <v/>
      </c>
    </row>
    <row r="219" spans="1:33" x14ac:dyDescent="0.25">
      <c r="A219" s="518"/>
      <c r="B219" s="504"/>
      <c r="C219" s="107" t="str">
        <f>IF(AND( ISNUMBER(B215), OR('Cost Inputs'!$H$71&lt;&gt;"", 'Cost Inputs'!$I$71&lt;&gt;"", 'Cost Inputs'!$J$71&lt;&gt;"")), _3_2_4, "")</f>
        <v/>
      </c>
      <c r="D219" s="93" t="str">
        <f>IF(AND($C219&lt;&gt;"", 'Cost Inputs'!$G$71&lt;&gt;""), 'Cost Inputs'!$G$71, "")</f>
        <v/>
      </c>
      <c r="E219" s="93" t="str">
        <f>IF(AND(C219&lt;&gt;"", 'Cost Inputs'!$H$71&lt;&gt;"", M$212&lt;&gt;"", M$212&gt;0), $E198-('Cost Inputs'!$H$71*M$212), IF(AND(C219&lt;&gt;"", 'Cost Inputs'!$H$71&lt;&gt;""), $E198, ""))</f>
        <v/>
      </c>
      <c r="F219" s="93" t="str">
        <f>IF(AND(C219&lt;&gt;"", 'Cost Inputs'!$I$71&lt;&gt;""), 'Cost Inputs'!$I$71, "")</f>
        <v/>
      </c>
      <c r="G219" s="93" t="str">
        <f t="shared" si="10"/>
        <v/>
      </c>
      <c r="H219" s="93" t="str">
        <f>IF(AND(C219&lt;&gt;"", 'Cost Inputs'!$J$71&lt;&gt;""), 'Cost Inputs'!$J$71, "")</f>
        <v/>
      </c>
      <c r="I219" s="93" t="str">
        <f t="shared" si="11"/>
        <v/>
      </c>
      <c r="J219" s="93" t="str">
        <f>IF(AND(C219&lt;&gt;"",('Cost Inputs'!$I$71+'Cost Inputs'!$J$71+'Cost Inputs'!$K$71)&gt;0), 'Cost Inputs'!$I$71+'Cost Inputs'!$J$71+'Cost Inputs'!$K$71, "")</f>
        <v/>
      </c>
      <c r="K219" s="93" t="str">
        <f>IF(AND(C219&lt;&gt;"", 'Cost Inputs'!$N$71&gt;0),'Cost Inputs'!$N$71,"")</f>
        <v/>
      </c>
      <c r="L219" s="93"/>
      <c r="M219" s="109"/>
      <c r="X219" s="372" t="str">
        <f>IF($O$3="N.B.C.",
IF(ISNUMBER($B$215),
IF($C219&lt;&gt;"",
IF('Cost Inputs'!$L$71="Y",
IF(ISNUMBER($P$55), $E219+($E$89*(($E219/$E$89)+$P$55)), $E219),
IF('Cost Inputs'!$L$71="N",
IF(AND(ISNUMBER('Cost Inputs'!$M$71), OR('Cost Inputs'!$M$71=1,'Cost Inputs'!$M$71=7)),
IF(ISNUMBER($P$55), $E219+($E$89*(($E219/$E$89)+$P$55)), $E219),""),"")), ""),""),"")</f>
        <v/>
      </c>
      <c r="Y219" s="372" t="str">
        <f>IF($P$3="N.B.C.",
IF(ISNUMBER($B$215),
IF($C219&lt;&gt;"",
IF('Cost Inputs'!$L$71="Y",
IF(ISNUMBER($Q$55), $E219+($E$89*(($E219/$E$89)+$Q$55)), $E219),
IF('Cost Inputs'!$L$71="N",
IF(AND(ISNUMBER('Cost Inputs'!$M$71), OR('Cost Inputs'!$M$71=1,'Cost Inputs'!$M$71=2,'Cost Inputs'!$M$71=4,'Cost Inputs'!$M$71=8)),
IF(ISNUMBER($Q$55), $E219+($E$89*(($E219/$E$89)+$Q$55)), $E219),""),"")), ""),""),"")</f>
        <v/>
      </c>
      <c r="Z219" s="372" t="str">
        <f>IF($Q$3="N.B.C.",
IF(ISNUMBER($B$215),
IF($C219&lt;&gt;"",
IF('Cost Inputs'!$L$71="Y",
IF(ISNUMBER($R$55), $E219+($E$89*(($E219/$E$89)+$R$55)), $E219),
IF('Cost Inputs'!$L$71="N",
IF(AND(ISNUMBER('Cost Inputs'!$M$71), OR('Cost Inputs'!$M$71=1,'Cost Inputs'!$M$71=3,'Cost Inputs'!$M$71=9)),
IF(ISNUMBER($R$55), $E219+($E$89*(($E219/$E$89)+$R$55)), $E219),""),"")), ""),""),"")</f>
        <v/>
      </c>
      <c r="AA219" s="372" t="str">
        <f>IF($R$3="N.B.C.",
IF(ISNUMBER($B$215),
IF($C219&lt;&gt;"",
IF('Cost Inputs'!$L$71="Y",
IF(ISNUMBER($S$55), $E219+($E$89*(($E219/$E$89)+$S$55)), $E219),
IF('Cost Inputs'!$L$71="N",
IF(AND(ISNUMBER('Cost Inputs'!$M$71), OR('Cost Inputs'!$M$71=1,'Cost Inputs'!$M$71=2,'Cost Inputs'!$M$71=5)),
IF(ISNUMBER($S$55), $E219+($E$89*(($E219/$E$89)+$S$55)), $E219),""),"")), ""),""),"")</f>
        <v/>
      </c>
      <c r="AB219" s="372" t="str">
        <f>IF($S$3="N.B.C.",
IF(ISNUMBER($B$215),
IF($C219&lt;&gt;"",
IF('Cost Inputs'!$L$71="Y",
IF(ISNUMBER($T$55), $E219+($E$89*(($E219/$E$89)+$T$55)), $E219),
IF('Cost Inputs'!$L$71="N",
IF(AND(ISNUMBER('Cost Inputs'!$M$71), OR('Cost Inputs'!$M$71=1)),
IF(ISNUMBER($T$55), $E219+($E$89*(($E219/$E$89)+$T$55)), $E219),""),"")), ""),""),"")</f>
        <v/>
      </c>
      <c r="AC219" s="372" t="str">
        <f>IF($T$3="N.B.C.",
IF(ISNUMBER($B$215),
IF($C219&lt;&gt;"",
IF('Cost Inputs'!$L$71="Y",
IF(ISNUMBER($U$55), $E219+($E$89*(($E219/$E$89)+$U$55)), $E219),
IF('Cost Inputs'!$L$71="N",
IF(AND(ISNUMBER('Cost Inputs'!$M$71), OR('Cost Inputs'!$M$71=1,'Cost Inputs'!$M$71=2,'Cost Inputs'!$M$71=3,'Cost Inputs'!$M$71=4,'Cost Inputs'!$M$71=6)),
IF(ISNUMBER($U$55), $E219+($E$89*(($E219/$E$89)+$U$55)), $E219),""),"")), ""),""),"")</f>
        <v/>
      </c>
      <c r="AD219" s="372" t="str">
        <f>IF($U$3="N.B.C.",
IF(ISNUMBER($B$215),
IF($C219&lt;&gt;"",
IF('Cost Inputs'!$L$71="Y",
IF(ISNUMBER($V$55), $E219+($E$89*(($E219/$E$89)+$V$55)), $E219),
IF('Cost Inputs'!$L$71="N",
IF(AND(ISNUMBER('Cost Inputs'!$M$71), OR('Cost Inputs'!$M$71=1)),
IF(ISNUMBER($V$55), $E219+($E$89*(($E219/$E$89)+$V$55)), $E219),""),"")), ""),""),"")</f>
        <v/>
      </c>
      <c r="AE219" s="372" t="str">
        <f>IF($V$3="N.B.C.",
IF(ISNUMBER($B$215),
IF($C219&lt;&gt;"",
IF('Cost Inputs'!$L$71="Y",
IF(ISNUMBER($W$55), $E219+($E$89*(($E219/$E$89)+$W$55)), $E219),
IF('Cost Inputs'!$L$71="N",
IF(AND(ISNUMBER('Cost Inputs'!$M$71), OR('Cost Inputs'!$M$71=1,'Cost Inputs'!$M$71=2,'Cost Inputs'!$M$71=7)),
IF(ISNUMBER($W$55), $E219+($E$89*(($E219/$E$89)+$W$55)), $E219),""),"")), ""),""),"")</f>
        <v/>
      </c>
      <c r="AF219" s="372" t="str">
        <f>IF($W$3="N.B.C.",
IF(ISNUMBER($B$215),
IF($C219&lt;&gt;"",
IF('Cost Inputs'!$L$71="Y",
IF(ISNUMBER($X$55), $E219+($E$89*(($E219/$E$89)+$X$55)), $E219),
IF('Cost Inputs'!$L$71="N",
IF(AND(ISNUMBER('Cost Inputs'!$M$71), OR('Cost Inputs'!$M$71=1,'Cost Inputs'!$M$71=3,'Cost Inputs'!$M$71=5)),
IF(ISNUMBER($X$55), $E219+($E$89*(($E219/$E$89)+$X$55)), $E219),""),"")), ""),""),"")</f>
        <v/>
      </c>
      <c r="AG219" s="372" t="str">
        <f>IF($X$3="N.B.C.",
IF(ISNUMBER($B$215),
IF($C219&lt;&gt;"",
IF('Cost Inputs'!$L$71="Y",
IF(ISNUMBER($Y$55), $E219+($E$89*(($E219/$E$89)+$Y$55)), $E219),
IF('Cost Inputs'!$L$71="N",
IF(AND(ISNUMBER('Cost Inputs'!$M$71), OR('Cost Inputs'!$M$71=1,'Cost Inputs'!$M$71=2,'Cost Inputs'!$M$71=4,'Cost Inputs'!$M$71=8)),
IF(ISNUMBER($Y$55), $E219+($E$89*(($E219/$E$89)+$Y$55)), $E219),""),"")), ""),""),"")</f>
        <v/>
      </c>
    </row>
    <row r="220" spans="1:33" x14ac:dyDescent="0.25">
      <c r="A220" s="518"/>
      <c r="B220" s="504"/>
      <c r="C220" s="110" t="str">
        <f>IF(AND(B215&lt;&gt;"", ISNUMBER(Stage1EvaluationBegins)), IF((INDEX(ProgramYearStage1,MATCH(Stage1EvaluationBegins,Years_in_Stage1,0)))=B215, _3_3_0, IF(AND(B215&lt;&gt;"", C199&lt;&gt;""), _3_3_0, IF(AND(B215&lt;&gt;"", OR(Stage1EvaluationBegins=0, Stage1EvaluationBegins="")),"", ""))),"")</f>
        <v/>
      </c>
      <c r="D220" s="94" t="str">
        <f>IF(AND(B215&lt;&gt;"", OR('Cost Inputs'!$H$72&lt;&gt;"", 'Cost Inputs'!$I$72&lt;&gt;"", 'Cost Inputs'!$J$72&lt;&gt;"")), 'Cost Inputs'!$G$72,"")</f>
        <v/>
      </c>
      <c r="E220" s="94" t="str">
        <f>IF(AND(C220&lt;&gt;"", 'Cost Inputs'!$H$72&lt;&gt;""), 'Cost Inputs'!$H$72, "")</f>
        <v/>
      </c>
      <c r="F220" s="94" t="str">
        <f>IF(AND(C220&lt;&gt;"", 'Cost Inputs'!$I$72&lt;&gt;""), 'Cost Inputs'!$I$72, "")</f>
        <v/>
      </c>
      <c r="G220" s="94" t="str">
        <f t="shared" si="10"/>
        <v/>
      </c>
      <c r="H220" s="94" t="str">
        <f>IF(AND(C220&lt;&gt;"", 'Cost Inputs'!$J$72&lt;&gt;""), 'Cost Inputs'!$J$72, "")</f>
        <v/>
      </c>
      <c r="I220" s="94" t="str">
        <f>IF(AND($E220&lt;&gt;"", $H220&lt;&gt;""), $H220/$E220, "")</f>
        <v/>
      </c>
      <c r="J220" s="94" t="str">
        <f>IF(AND(C220&lt;&gt;"",('Cost Inputs'!$I$72+'Cost Inputs'!$J$72+'Cost Inputs'!$K$72)&gt;0), 'Cost Inputs'!$I$72+'Cost Inputs'!$J$72+'Cost Inputs'!$K$72, "")</f>
        <v/>
      </c>
      <c r="K220" s="94" t="str">
        <f>IF(AND(C220&lt;&gt;"", 'Cost Inputs'!$N$72&gt;0),'Cost Inputs'!$N$72,"")</f>
        <v/>
      </c>
      <c r="L220" s="130" t="str">
        <f>IF(AND($B215&lt;&gt;"", ISNUMBER(Stage1EvaluationBegins)), IF((INDEX(ProgramYearStage1,MATCH(Stage1EvaluationBegins,Years_in_Stage1,0)))=$B215, INDEX(Stage1Evaluation,MATCH(Stage1EvaluationBegins,Years_in_Stage1,0)), IF(AND($B215&lt;&gt;"", $C199&lt;&gt;""), INDEX(Stage1Evaluation,MATCH($B215,ProgramYearStage1,0)), IF(AND(B215&lt;&gt;"", OR(Stage1EvaluationBegins=0, Stage1EvaluationBegins="")),"", ""))),"")</f>
        <v/>
      </c>
      <c r="M220" s="103"/>
      <c r="X220" s="373" t="str">
        <f>IF($O$3="N.B.C.",
IF(ISNUMBER($B$215),
IF($C220&lt;&gt;"",
IF('Cost Inputs'!$L$72="Y",
IF(AND(ISNUMBER(P$56), P$56&gt;$E$60), $E220+($E$60*(($E220/$E$60)+$P$55)), $E220),
IF('Cost Inputs'!$L$72="N",
IF(AND(ISNUMBER('Cost Inputs'!$M$72), OR('Cost Inputs'!$M$72=1,'Cost Inputs'!$M$72=7)),
IF(AND(ISNUMBER(P$56), P$56&gt;$E$60), $E220+($E$60*(($E220/$E$60)+$P$55)), $E220), ""),"")), ""), ""), "")</f>
        <v/>
      </c>
      <c r="Y220" s="373" t="str">
        <f>IF($P$3="N.B.C.",
IF(ISNUMBER($B$215),
IF($C220&lt;&gt;"",
IF('Cost Inputs'!$L$72="Y",
IF(AND(ISNUMBER(Q$56), Q$56&gt;$E$60), $E220+($E$60*(($E220/$E$60)+$Q$55)), $E220),
IF('Cost Inputs'!$L$72="N",
IF(AND(ISNUMBER('Cost Inputs'!$M$72), OR('Cost Inputs'!$M$72=1,'Cost Inputs'!$M$72=2,'Cost Inputs'!$M$72=4,'Cost Inputs'!$M$72=8)),
IF(AND(ISNUMBER(Q$56), Q$56&gt;$E$60), $E220+($E$60*(($E220/$E$60)+$Q$55)), $E220), ""),"")), ""), ""), "")</f>
        <v/>
      </c>
      <c r="Z220" s="373" t="str">
        <f>IF($Q$3="N.B.C.",
IF(ISNUMBER($B$215),
IF($C220&lt;&gt;"",
IF('Cost Inputs'!$L$72="Y",
IF(AND(ISNUMBER(R$56), R$56&gt;$E$60), $E220+($E$60*(($E220/$E$60)+$R$55)), $E220),
IF('Cost Inputs'!$L$72="N",
IF(AND(ISNUMBER('Cost Inputs'!$M$72), OR('Cost Inputs'!$M$72=1,'Cost Inputs'!$M$72=3, 'Cost Inputs'!$M$72=9)),
IF(AND(ISNUMBER(R$56), R$56&gt;$E$60), $E220+($E$60*(($E220/$E$60)+$R$55)), $E220), ""),"")), ""), ""), "")</f>
        <v/>
      </c>
      <c r="AA220" s="373" t="str">
        <f>IF($R$3="N.B.C.",
IF(ISNUMBER($B$215),
IF($C220&lt;&gt;"",
IF('Cost Inputs'!$L$72="Y",
IF(AND(ISNUMBER(S$56), S$56&gt;$E$60), $E220+($E$60*(($E220/$E$60)+$S$55)), $E220),
IF('Cost Inputs'!$L$72="N",
IF(AND(ISNUMBER('Cost Inputs'!$M$72), OR('Cost Inputs'!$M$72=1,'Cost Inputs'!$M$72=2, 'Cost Inputs'!$M$72=5)),
IF(AND(ISNUMBER(S$56), S$56&gt;$E$60), $E220+($E$60*(($E220/$E$60)+$S$55)), $E220), ""),"")), ""), ""), "")</f>
        <v/>
      </c>
      <c r="AB220" s="373" t="str">
        <f>IF($S$3="N.B.C.",
IF(ISNUMBER($B$215),
IF($C220&lt;&gt;"",
IF('Cost Inputs'!$L$72="Y",
IF(AND(ISNUMBER(T$56), T$56&gt;$E$60), $E220+($E$60*(($E220/$E$60)+$T$55)), $E220),
IF('Cost Inputs'!$L$72="N",
IF(AND(ISNUMBER('Cost Inputs'!$M$72), OR('Cost Inputs'!$M$72=1)),
IF(AND(ISNUMBER(T$56), T$56&gt;$E$60), $E220+($E$60*(($E220/$E$60)+$T$55)), $E220), ""),"")), ""), ""), "")</f>
        <v/>
      </c>
      <c r="AC220" s="373" t="str">
        <f>IF($T$3="N.B.C.",
IF(ISNUMBER($B$215),
IF($C220&lt;&gt;"",
IF('Cost Inputs'!$L$72="Y",
IF(AND(ISNUMBER(U$56), U$56&gt;$E$60), $E220+($E$60*(($E220/$E$60)+$U$55)), $E220),
IF('Cost Inputs'!$L$72="N",
IF(AND(ISNUMBER('Cost Inputs'!$M$72), OR('Cost Inputs'!$M$72=1,'Cost Inputs'!$M$72=2,'Cost Inputs'!$M$72=3,'Cost Inputs'!$M$72=4,'Cost Inputs'!$M$72=6)),
IF(AND(ISNUMBER(U$56), U$56&gt;$E$60), $E220+($E$60*(($E220/$E$60)+$U$55)), $E220), ""),"")), ""), ""), "")</f>
        <v/>
      </c>
      <c r="AD220" s="373" t="str">
        <f>IF($U$3="N.B.C.",
IF(ISNUMBER($B$215),
IF($C220&lt;&gt;"",
IF('Cost Inputs'!$L$72="Y",
IF(AND(ISNUMBER(V$56), V$56&gt;$E$60), $E220+($E$60*(($E220/$E$60)+$V$55)), $E220),
IF('Cost Inputs'!$L$72="N",
IF(AND(ISNUMBER('Cost Inputs'!$M$72), OR('Cost Inputs'!$M$72=1)),
IF(AND(ISNUMBER(V$56), V$56&gt;$E$60), $E220+($E$60*(($E220/$E$60)+$V$55)), $E220), ""),"")), ""), ""), "")</f>
        <v/>
      </c>
      <c r="AE220" s="373" t="str">
        <f>IF($V$3="N.B.C.",
IF(ISNUMBER($B$215),
IF($C220&lt;&gt;"",
IF('Cost Inputs'!$L$72="Y",
IF(AND(ISNUMBER(W$56), W$56&gt;$E$60), $E220+($E$60*(($E220/$E$60)+$W$55)), $E220),
IF('Cost Inputs'!$L$72="N",
IF(AND(ISNUMBER('Cost Inputs'!$M$72), OR('Cost Inputs'!$M$72=1,'Cost Inputs'!$M$72=2,'Cost Inputs'!$M$72=7)),
IF(AND(ISNUMBER(W$56), W$56&gt;$E$60), $E220+($E$60*(($E220/$E$60)+$W$55)), $E220), ""),"")), ""), ""), "")</f>
        <v/>
      </c>
      <c r="AF220" s="373" t="str">
        <f>IF($W$3="N.B.C.",
IF(ISNUMBER($B$215),
IF($C220&lt;&gt;"",
IF('Cost Inputs'!$L$72="Y",
IF(AND(ISNUMBER(X$56), X$56&gt;$E$60), $E220+($E$60*(($E220/$E$60)+$X$55)), $E220),
IF('Cost Inputs'!$L$72="N",
IF(AND(ISNUMBER('Cost Inputs'!$M$72), OR('Cost Inputs'!$M$72=1,'Cost Inputs'!$M$72=3,'Cost Inputs'!$M$72=5)),
IF(AND(ISNUMBER(X$56), X$56&gt;$E$60), $E220+($E$60*(($E220/$E$60)+$X$55)), $E220), ""),"")), ""), ""), "")</f>
        <v/>
      </c>
      <c r="AG220" s="373" t="str">
        <f>IF($X$3="N.B.C.",
IF(ISNUMBER($B$215),
IF($C220&lt;&gt;"",
IF('Cost Inputs'!$L$72="Y",
IF(AND(ISNUMBER(Y$56), Y$56&gt;$E$60), $E220+($E$60*(($E220/$E$60)+$Y$55)), $E220),
IF('Cost Inputs'!$L$72="N",
IF(AND(ISNUMBER('Cost Inputs'!$M$72), OR('Cost Inputs'!$M$72=1,'Cost Inputs'!$M$72=2,'Cost Inputs'!$M$72=4,'Cost Inputs'!$M$72=8)),
IF(AND(ISNUMBER(Y$56), Y$56&gt;$E$60), $E220+($E$60*(($E220/$E$60)+$Y$55)), $E220), ""),"")), ""), ""), "")</f>
        <v/>
      </c>
    </row>
    <row r="221" spans="1:33" x14ac:dyDescent="0.25">
      <c r="A221" s="518"/>
      <c r="B221" s="504"/>
      <c r="C221" s="104" t="str">
        <f>IF(AND(ISNUMBER(B215), C220&lt;&gt;"", OR('Cost Inputs'!$H$73&lt;&gt;"", 'Cost Inputs'!$I$73&lt;&gt;"", 'Cost Inputs'!$J$73&lt;&gt;"")), _3_3_1, "")</f>
        <v/>
      </c>
      <c r="D221" s="17" t="str">
        <f>IF(AND(C221&lt;&gt;"", 'Cost Inputs'!$G$73&lt;&gt;""), 'Cost Inputs'!$G$73, "")</f>
        <v/>
      </c>
      <c r="E221" s="17" t="str">
        <f>IF(AND(C221&lt;&gt;"", 'Cost Inputs'!$H$73&lt;&gt;""), 'Cost Inputs'!$H$73, "")</f>
        <v/>
      </c>
      <c r="F221" s="17" t="str">
        <f>IF(AND(C221&lt;&gt;"", 'Cost Inputs'!$I$73&lt;&gt;""), 'Cost Inputs'!$I$73, "")</f>
        <v/>
      </c>
      <c r="G221" s="17" t="str">
        <f t="shared" si="10"/>
        <v/>
      </c>
      <c r="H221" s="17" t="str">
        <f>IF(AND(C221&lt;&gt;"", 'Cost Inputs'!$J$73&lt;&gt;""), 'Cost Inputs'!$J$73, "")</f>
        <v/>
      </c>
      <c r="I221" s="17" t="str">
        <f t="shared" ref="I221:I235" si="12">IF(AND($E221&lt;&gt;"", $H221&lt;&gt;""), $H221/$E221, "")</f>
        <v/>
      </c>
      <c r="J221" s="17" t="str">
        <f>IF(AND(C221&lt;&gt;"",('Cost Inputs'!$I$73+'Cost Inputs'!$J$73+'Cost Inputs'!$K$73)&gt;0), 'Cost Inputs'!$I$73+'Cost Inputs'!$J$73+'Cost Inputs'!$K$73, "")</f>
        <v/>
      </c>
      <c r="K221" s="17" t="str">
        <f>IF(AND(C221&lt;&gt;"", 'Cost Inputs'!$N$73&gt;0),'Cost Inputs'!$N$73,"")</f>
        <v/>
      </c>
      <c r="M221" s="106"/>
      <c r="X221" s="364" t="str">
        <f>IF($O$3="N.B.C.",
IF(ISNUMBER($B$215),
IF($C221&lt;&gt;"",
IF('Cost Inputs'!$L$73="Y",
IF(ISNUMBER($P$55), $E221+($E$73*(($E221/$E$73)+$P$55)), $E221),
IF('Cost Inputs'!$L$73="N",
IF(AND(ISNUMBER('Cost Inputs'!$M$73), OR('Cost Inputs'!$M$73=1,'Cost Inputs'!$M$73=7)),
IF(ISNUMBER($P$55), $E221+($E$73*(($E221/$E$73)+$P$55)), $E221),""),"")), ""),""),"")</f>
        <v/>
      </c>
      <c r="Y221" s="364" t="str">
        <f>IF($P$3="N.B.C.",
IF(ISNUMBER($B$215),
IF($C221&lt;&gt;"",
IF('Cost Inputs'!$L$73="Y",
IF(ISNUMBER($Q$55), $E221+($E$73*(($E221/$E$73)+$Q$55)), $E221),
IF('Cost Inputs'!$L$73="N",
IF(AND(ISNUMBER('Cost Inputs'!$M$73), OR('Cost Inputs'!$M$73=1,'Cost Inputs'!$M$73=2,'Cost Inputs'!$M$73=4,'Cost Inputs'!$M$73=8)),
IF(ISNUMBER($Q$55), $E221+($E$73*(($E221/$E$73)+$Q$55)), $E221),""),"")), ""),""),"")</f>
        <v/>
      </c>
      <c r="Z221" s="364" t="str">
        <f>IF($Q$3="N.B.C.",
IF(ISNUMBER($B$215),
IF($C221&lt;&gt;"",
IF('Cost Inputs'!$L$73="Y",
IF(ISNUMBER($R$55), $E221+($E$73*(($E221/$E$73)+$R$55)), $E221),
IF('Cost Inputs'!$L$73="N",
IF(AND(ISNUMBER('Cost Inputs'!$M$73), OR('Cost Inputs'!$M$73=1,'Cost Inputs'!$M$73=3,'Cost Inputs'!$M$73=9)),
IF(ISNUMBER($R$55), $E221+($E$73*(($E221/$E$73)+$R$55)), $E221),""),"")), ""),""),"")</f>
        <v/>
      </c>
      <c r="AA221" s="364" t="str">
        <f>IF($R$3="N.B.C.",
IF(ISNUMBER($B$215),
IF($C221&lt;&gt;"",
IF('Cost Inputs'!$L$73="Y",
IF(ISNUMBER($S$55), $E221+($E$73*(($E221/$E$73)+$S$55)), $E221),
IF('Cost Inputs'!$L$73="N",
IF(AND(ISNUMBER('Cost Inputs'!$M$73), OR('Cost Inputs'!$M$73=1,'Cost Inputs'!$M$73=2,'Cost Inputs'!$M$73=5)),
IF(ISNUMBER($S$55), $E221+($E$73*(($E221/$E$73)+$S$55)), $E221),""),"")), ""),""),"")</f>
        <v/>
      </c>
      <c r="AB221" s="364" t="str">
        <f>IF($S$3="N.B.C.",
IF(ISNUMBER($B$215),
IF($C221&lt;&gt;"",
IF('Cost Inputs'!$L$73="Y",
IF(ISNUMBER($T$55), $E221+($E$73*(($E221/$E$73)+$T$55)), $E221),
IF('Cost Inputs'!$L$73="N",
IF(AND(ISNUMBER('Cost Inputs'!$M$73), OR('Cost Inputs'!$M$73=1)),
IF(ISNUMBER($T$55), $E221+($E$73*(($E221/$E$73)+$T$55)), $E221),""),"")), ""),""),"")</f>
        <v/>
      </c>
      <c r="AC221" s="364" t="str">
        <f>IF($T$3="N.B.C.",
IF(ISNUMBER($B$215),
IF($C221&lt;&gt;"",
IF('Cost Inputs'!$L$73="Y",
IF(ISNUMBER($U$55), $E221+($E$73*(($E221/$E$73)+$U$55)), $E221),
IF('Cost Inputs'!$L$73="N",
IF(AND(ISNUMBER('Cost Inputs'!$M$73), OR('Cost Inputs'!$M$73=1,'Cost Inputs'!$M$73=2,'Cost Inputs'!$M$73=3,'Cost Inputs'!$M$73=4,'Cost Inputs'!$M$73=6)),
IF(ISNUMBER($U$55), $E221+($E$73*(($E221/$E$73)+$U$55)), $E221),""),"")), ""),""),"")</f>
        <v/>
      </c>
      <c r="AD221" s="364" t="str">
        <f>IF($U$3="N.B.C.",
IF(ISNUMBER($B$215),
IF($C221&lt;&gt;"",
IF('Cost Inputs'!$L$73="Y",
IF(ISNUMBER($V$55), $E221+($E$73*(($E221/$E$73)+$V$55)), $E221),
IF('Cost Inputs'!$L$73="N",
IF(AND(ISNUMBER('Cost Inputs'!$M$73), OR('Cost Inputs'!$M$73=1)),
IF(ISNUMBER($V$55), $E221+($E$73*(($E221/$E$73)+$V$55)), $E221),""),"")), ""),""),"")</f>
        <v/>
      </c>
      <c r="AE221" s="364" t="str">
        <f>IF($V$3="N.B.C.",
IF(ISNUMBER($B$215),
IF($C221&lt;&gt;"",
IF('Cost Inputs'!$L$73="Y",
IF(ISNUMBER($W$55), $E221+($E$73*(($E221/$E$73)+$W$55)), $E221),
IF('Cost Inputs'!$L$73="N",
IF(AND(ISNUMBER('Cost Inputs'!$M$73), OR('Cost Inputs'!$M$73=1,'Cost Inputs'!$M$73=2,'Cost Inputs'!$M$73=7)),
IF(ISNUMBER($W$55), $E221+($E$73*(($E221/$E$73)+$W$55)), $E221),""),"")), ""),""),"")</f>
        <v/>
      </c>
      <c r="AF221" s="364" t="str">
        <f>IF($W$3="N.B.C.",
IF(ISNUMBER($B$215),
IF($C221&lt;&gt;"",
IF('Cost Inputs'!$L$73="Y",
IF(ISNUMBER($X$55), $E221+($E$73*(($E221/$E$73)+$X$55)), $E221),
IF('Cost Inputs'!$L$73="N",
IF(AND(ISNUMBER('Cost Inputs'!$M$73), OR('Cost Inputs'!$M$73=1,'Cost Inputs'!$M$73=3,'Cost Inputs'!$M$73=5)),
IF(ISNUMBER($X$55), $E221+($E$73*(($E221/$E$73)+$X$55)), $E221),""),"")), ""),""),"")</f>
        <v/>
      </c>
      <c r="AG221" s="364" t="str">
        <f>IF($X$3="N.B.C.",
IF(ISNUMBER($B$215),
IF($C221&lt;&gt;"",
IF('Cost Inputs'!$L$73="Y",
IF(ISNUMBER($Y$55), $E221+($E$73*(($E221/$E$73)+$Y$55)), $E221),
IF('Cost Inputs'!$L$73="N",
IF(AND(ISNUMBER('Cost Inputs'!$M$73), OR('Cost Inputs'!$M$73=1,'Cost Inputs'!$M$73=2,'Cost Inputs'!$M$73=4,'Cost Inputs'!$M$73=8)),
IF(ISNUMBER($Y$55), $E221+($E$73*(($E221/$E$73)+$Y$55)), $E221),""),"")), ""),""),"")</f>
        <v/>
      </c>
    </row>
    <row r="222" spans="1:33" x14ac:dyDescent="0.25">
      <c r="A222" s="518"/>
      <c r="B222" s="504"/>
      <c r="C222" s="107" t="str">
        <f>IF(AND(ISNUMBER(B215), C220&lt;&gt;"", OR('Cost Inputs'!$H$74&lt;&gt;"", 'Cost Inputs'!$I$74&lt;&gt;"", 'Cost Inputs'!$J$74&lt;&gt;"")), _3_3_2, "")</f>
        <v/>
      </c>
      <c r="D222" s="93" t="str">
        <f>IF(AND(C222&lt;&gt;"", 'Cost Inputs'!$G$74&lt;&gt;""), 'Cost Inputs'!$G$74, "")</f>
        <v/>
      </c>
      <c r="E222" s="93" t="str">
        <f>IF(AND(C222&lt;&gt;"", 'Cost Inputs'!$H$74&lt;&gt;""), 'Cost Inputs'!$H$74, "")</f>
        <v/>
      </c>
      <c r="F222" s="93" t="str">
        <f>IF(AND(C222&lt;&gt;"", 'Cost Inputs'!$I$74&lt;&gt;""), 'Cost Inputs'!$I$74, "")</f>
        <v/>
      </c>
      <c r="G222" s="93" t="str">
        <f t="shared" si="10"/>
        <v/>
      </c>
      <c r="H222" s="93" t="str">
        <f>IF(AND(C222&lt;&gt;"", 'Cost Inputs'!$J$74&lt;&gt;""), 'Cost Inputs'!$J$74, "")</f>
        <v/>
      </c>
      <c r="I222" s="93" t="str">
        <f t="shared" si="12"/>
        <v/>
      </c>
      <c r="J222" s="93" t="str">
        <f>IF(AND(C222&lt;&gt;"",('Cost Inputs'!$I$74+'Cost Inputs'!$J$74+'Cost Inputs'!$K$74)&gt;0), 'Cost Inputs'!$I$74+'Cost Inputs'!$J$74+'Cost Inputs'!$K$74, "")</f>
        <v/>
      </c>
      <c r="K222" s="93" t="str">
        <f>IF(AND(C222&lt;&gt;"", 'Cost Inputs'!$N$74&gt;0),'Cost Inputs'!$N$74,"")</f>
        <v/>
      </c>
      <c r="L222" s="93"/>
      <c r="M222" s="109"/>
      <c r="X222" s="372" t="str">
        <f>IF($O$3="N.B.C.",
IF(ISNUMBER($B$215),
IF($C222&lt;&gt;"",
IF('Cost Inputs'!$L$74="Y",
IF(ISNUMBER($P$55), $E222+($E$73*(($E222/$E$73)+$P$55)), $E222),
IF('Cost Inputs'!$L$74="N",
IF(AND(ISNUMBER('Cost Inputs'!$M$74), OR('Cost Inputs'!$M$74=1,'Cost Inputs'!$M$74=7)),
IF(ISNUMBER($P$55), $E222+($E$73*(($E222/$E$73)+$P$55)), $E222),""),"")), ""),""),"")</f>
        <v/>
      </c>
      <c r="Y222" s="372" t="str">
        <f>IF($P$3="N.B.C.",
IF(ISNUMBER($B$215),
IF($C222&lt;&gt;"",
IF('Cost Inputs'!$L$74="Y",
IF(ISNUMBER($Q$55), $E222+($E$73*(($E222/$E$73)+$Q$55)), $E222),
IF('Cost Inputs'!$L$74="N",
IF(AND(ISNUMBER('Cost Inputs'!$M$74), OR('Cost Inputs'!$M$74=1,'Cost Inputs'!$M$74=2,'Cost Inputs'!$M$74=4,'Cost Inputs'!$M$74=8)),
IF(ISNUMBER($Q$55), $E222+($E$73*(($E222/$E$73)+$Q$55)), $E222),""),"")), ""),""),"")</f>
        <v/>
      </c>
      <c r="Z222" s="372" t="str">
        <f>IF($Q$3="N.B.C.",
IF(ISNUMBER($B$215),
IF($C222&lt;&gt;"",
IF('Cost Inputs'!$L$74="Y",
IF(ISNUMBER($R$55), $E222+($E$73*(($E222/$E$73)+$R$55)), $E222),
IF('Cost Inputs'!$L$74="N",
IF(AND(ISNUMBER('Cost Inputs'!$M$74), OR('Cost Inputs'!$M$74=1,'Cost Inputs'!$M$74=3,'Cost Inputs'!$M$74=9)),
IF(ISNUMBER($R$55), $E222+($E$73*(($E222/$E$73)+$R$55)), $E222),""),"")), ""),""),"")</f>
        <v/>
      </c>
      <c r="AA222" s="372" t="str">
        <f>IF($R$3="N.B.C.",
IF(ISNUMBER($B$215),
IF($C222&lt;&gt;"",
IF('Cost Inputs'!$L$74="Y",
IF(ISNUMBER($S$55), $E222+($E$73*(($E222/$E$73)+$S$55)), $E222),
IF('Cost Inputs'!$L$74="N",
IF(AND(ISNUMBER('Cost Inputs'!$M$74), OR('Cost Inputs'!$M$74=1,'Cost Inputs'!$M$74=2,'Cost Inputs'!$M$74=5)),
IF(ISNUMBER($S$55), $E222+($E$73*(($E222/$E$73)+$S$55)), $E222),""),"")), ""),""),"")</f>
        <v/>
      </c>
      <c r="AB222" s="372" t="str">
        <f>IF($S$3="N.B.C.",
IF(ISNUMBER($B$215),
IF($C222&lt;&gt;"",
IF('Cost Inputs'!$L$74="Y",
IF(ISNUMBER($T$55), $E222+($E$73*(($E222/$E$73)+$T$55)), $E222),
IF('Cost Inputs'!$L$74="N",
IF(AND(ISNUMBER('Cost Inputs'!$M$74), OR('Cost Inputs'!$M$74=1)),
IF(ISNUMBER($T$55), $E222+($E$73*(($E222/$E$73)+$T$55)), $E222),""),"")), ""),""),"")</f>
        <v/>
      </c>
      <c r="AC222" s="372" t="str">
        <f>IF($T$3="N.B.C.",
IF(ISNUMBER($B$215),
IF($C222&lt;&gt;"",
IF('Cost Inputs'!$L$74="Y",
IF(ISNUMBER($U$55), $E222+($E$73*(($E222/$E$73)+$U$55)), $E222),
IF('Cost Inputs'!$L$74="N",
IF(AND(ISNUMBER('Cost Inputs'!$M$74), OR('Cost Inputs'!$M$74=1,'Cost Inputs'!$M$74=2,'Cost Inputs'!$M$74=3,'Cost Inputs'!$M$74=4,'Cost Inputs'!$M$74=6)),
IF(ISNUMBER($U$55), $E222+($E$73*(($E222/$E$73)+$U$55)), $E222),""),"")), ""),""),"")</f>
        <v/>
      </c>
      <c r="AD222" s="372" t="str">
        <f>IF($U$3="N.B.C.",
IF(ISNUMBER($B$215),
IF($C222&lt;&gt;"",
IF('Cost Inputs'!$L$74="Y",
IF(ISNUMBER($V$55), $E222+($E$73*(($E222/$E$73)+$V$55)), $E222),
IF('Cost Inputs'!$L$74="N",
IF(AND(ISNUMBER('Cost Inputs'!$M$74), OR('Cost Inputs'!$M$74=1)),
IF(ISNUMBER($V$55), $E222+($E$73*(($E222/$E$73)+$V$55)), $E222),""),"")), ""),""),"")</f>
        <v/>
      </c>
      <c r="AE222" s="372" t="str">
        <f>IF($V$3="N.B.C.",
IF(ISNUMBER($B$215),
IF($C222&lt;&gt;"",
IF('Cost Inputs'!$L$74="Y",
IF(ISNUMBER($W$55), $E222+($E$73*(($E222/$E$73)+$W$55)), $E222),
IF('Cost Inputs'!$L$74="N",
IF(AND(ISNUMBER('Cost Inputs'!$M$74), OR('Cost Inputs'!$M$74=1,'Cost Inputs'!$M$74=2,'Cost Inputs'!$M$74=7)),
IF(ISNUMBER($W$55), $E222+($E$73*(($E222/$E$73)+$W$55)), $E222),""),"")), ""),""),"")</f>
        <v/>
      </c>
      <c r="AF222" s="372" t="str">
        <f>IF($W$3="N.B.C.",
IF(ISNUMBER($B$215),
IF($C222&lt;&gt;"",
IF('Cost Inputs'!$L$74="Y",
IF(ISNUMBER($X$55), $E222+($E$73*(($E222/$E$73)+$X$55)), $E222),
IF('Cost Inputs'!$L$74="N",
IF(AND(ISNUMBER('Cost Inputs'!$M$74), OR('Cost Inputs'!$M$74=1,'Cost Inputs'!$M$74=3,'Cost Inputs'!$M$74=5)),
IF(ISNUMBER($X$55), $E222+($E$73*(($E222/$E$73)+$X$55)), $E222),""),"")), ""),""),"")</f>
        <v/>
      </c>
      <c r="AG222" s="372" t="str">
        <f>IF($X$3="N.B.C.",
IF(ISNUMBER($B$215),
IF($C222&lt;&gt;"",
IF('Cost Inputs'!$L$74="Y",
IF(ISNUMBER($Y$55), $E222+($E$73*(($E222/$E$73)+$Y$55)), $E222),
IF('Cost Inputs'!$L$74="N",
IF(AND(ISNUMBER('Cost Inputs'!$M$74), OR('Cost Inputs'!$M$74=1,'Cost Inputs'!$M$74=2,'Cost Inputs'!$M$74=4,'Cost Inputs'!$M$74=8)),
IF(ISNUMBER($Y$55), $E222+($E$73*(($E222/$E$73)+$Y$55)), $E222),""),"")), ""),""),"")</f>
        <v/>
      </c>
    </row>
    <row r="223" spans="1:33" x14ac:dyDescent="0.25">
      <c r="A223" s="518"/>
      <c r="B223" s="504"/>
      <c r="C223" s="104" t="str">
        <f>IF(AND(ISNUMBER(B215), OR('Cost Inputs'!$H$75&lt;&gt;"", 'Cost Inputs'!$I$75&lt;&gt;"", 'Cost Inputs'!$J$75&lt;&gt;"")), _3_3_3, "")</f>
        <v/>
      </c>
      <c r="D223" s="17" t="str">
        <f>IF(AND(C223&lt;&gt;"", 'Cost Inputs'!$G$75&lt;&gt;""), 'Cost Inputs'!$G$75, "")</f>
        <v/>
      </c>
      <c r="E223" s="17" t="str">
        <f>IF(AND(C223&lt;&gt;"", 'Cost Inputs'!$H$75&lt;&gt;""), 'Cost Inputs'!$H$75, "")</f>
        <v/>
      </c>
      <c r="F223" s="17" t="str">
        <f>IF(AND(C223&lt;&gt;"", 'Cost Inputs'!$I$75&lt;&gt;""), 'Cost Inputs'!$I$75, "")</f>
        <v/>
      </c>
      <c r="G223" s="17" t="str">
        <f t="shared" si="10"/>
        <v/>
      </c>
      <c r="H223" s="17" t="str">
        <f>IF(AND(C223&lt;&gt;"", 'Cost Inputs'!$J$75&lt;&gt;""), 'Cost Inputs'!$J$75, "")</f>
        <v/>
      </c>
      <c r="I223" s="17" t="str">
        <f t="shared" si="12"/>
        <v/>
      </c>
      <c r="J223" s="17" t="str">
        <f>IF(AND(C223&lt;&gt;"",('Cost Inputs'!$I$75+'Cost Inputs'!$J$75+'Cost Inputs'!$K$75)&gt;0), 'Cost Inputs'!$I$75+'Cost Inputs'!$J$75+'Cost Inputs'!$K$75, "")</f>
        <v/>
      </c>
      <c r="K223" s="17" t="str">
        <f>IF(AND(C223&lt;&gt;"", 'Cost Inputs'!$N$75&gt;0),'Cost Inputs'!$N$75,"")</f>
        <v/>
      </c>
      <c r="M223" s="106"/>
      <c r="X223" s="364" t="str">
        <f>IF($O$3="N.B.C.",
IF(ISNUMBER($B$215),
IF($C223&lt;&gt;"",
IF('Cost Inputs'!$L$75="Y",
IF(ISNUMBER($P$55), $E223+($E$73*(($E223/$E$73)+$P$55)), $E223),
IF('Cost Inputs'!$L$75="N",
IF(AND(ISNUMBER('Cost Inputs'!$M$75), OR('Cost Inputs'!$M$75=1,'Cost Inputs'!$M$75=7)),
IF(ISNUMBER($P$55), $E223+($E$73*(($E223/$E$73)+$P$55)), $E223),""),"")), ""),""),"")</f>
        <v/>
      </c>
      <c r="Y223" s="364" t="str">
        <f>IF($P$3="N.B.C.",
IF(ISNUMBER($B$215),
IF($C223&lt;&gt;"",
IF('Cost Inputs'!$L$75="Y",
IF(ISNUMBER($Q$55), $E223+($E$73*(($E223/$E$73)+$Q$55)), $E223),
IF('Cost Inputs'!$L$75="N",
IF(AND(ISNUMBER('Cost Inputs'!$M$75), OR('Cost Inputs'!$M$75=1,'Cost Inputs'!$M$75=2,'Cost Inputs'!$M$75=4,'Cost Inputs'!$M$75=8)),
IF(ISNUMBER($Q$55), $E223+($E$73*(($E223/$E$73)+$Q$55)), $E223),""),"")), ""),""),"")</f>
        <v/>
      </c>
      <c r="Z223" s="364" t="str">
        <f>IF($Q$3="N.B.C.",
IF(ISNUMBER($B$215),
IF($C223&lt;&gt;"",
IF('Cost Inputs'!$L$75="Y",
IF(ISNUMBER($R$55), $E223+($E$73*(($E223/$E$73)+$R$55)), $E223),
IF('Cost Inputs'!$L$75="N",
IF(AND(ISNUMBER('Cost Inputs'!$M$75), OR('Cost Inputs'!$M$75=1,'Cost Inputs'!$M$75=3,'Cost Inputs'!$M$75=9)),
IF(ISNUMBER($R$55), $E223+($E$73*(($E223/$E$73)+$R$55)), $E223),""),"")), ""),""),"")</f>
        <v/>
      </c>
      <c r="AA223" s="364" t="str">
        <f>IF($R$3="N.B.C.",
IF(ISNUMBER($B$215),
IF($C223&lt;&gt;"",
IF('Cost Inputs'!$L$75="Y",
IF(ISNUMBER($S$55), $E223+($E$73*(($E223/$E$73)+$S$55)), $E223),
IF('Cost Inputs'!$L$75="N",
IF(AND(ISNUMBER('Cost Inputs'!$M$75), OR('Cost Inputs'!$M$75=1,'Cost Inputs'!$M$75=2,'Cost Inputs'!$M$75=5)),
IF(ISNUMBER($S$55), $E223+($E$73*(($E223/$E$73)+$S$55)), $E223),""),"")), ""),""),"")</f>
        <v/>
      </c>
      <c r="AB223" s="364" t="str">
        <f>IF($S$3="N.B.C.",
IF(ISNUMBER($B$215),
IF($C223&lt;&gt;"",
IF('Cost Inputs'!$L$75="Y",
IF(ISNUMBER($T$55), $E223+($E$73*(($E223/$E$73)+$T$55)), $E223),
IF('Cost Inputs'!$L$75="N",
IF(AND(ISNUMBER('Cost Inputs'!$M$75), OR('Cost Inputs'!$M$75=1)),
IF(ISNUMBER($T$55), $E223+($E$73*(($E223/$E$73)+$T$55)), $E223),""),"")), ""),""),"")</f>
        <v/>
      </c>
      <c r="AC223" s="364" t="str">
        <f>IF($T$3="N.B.C.",
IF(ISNUMBER($B$215),
IF($C223&lt;&gt;"",
IF('Cost Inputs'!$L$75="Y",
IF(ISNUMBER($U$55), $E223+($E$73*(($E223/$E$73)+$U$55)), $E223),
IF('Cost Inputs'!$L$75="N",
IF(AND(ISNUMBER('Cost Inputs'!$M$75), OR('Cost Inputs'!$M$75=1,'Cost Inputs'!$M$75=2,'Cost Inputs'!$M$75=3,'Cost Inputs'!$M$75=4,'Cost Inputs'!$M$75=6)),
IF(ISNUMBER($U$55), $E223+($E$73*(($E223/$E$73)+$U$55)), $E223),""),"")), ""),""),"")</f>
        <v/>
      </c>
      <c r="AD223" s="364" t="str">
        <f>IF($U$3="N.B.C.",
IF(ISNUMBER($B$215),
IF($C223&lt;&gt;"",
IF('Cost Inputs'!$L$75="Y",
IF(ISNUMBER($V$55), $E223+($E$73*(($E223/$E$73)+$V$55)), $E223),
IF('Cost Inputs'!$L$75="N",
IF(AND(ISNUMBER('Cost Inputs'!$M$75), OR('Cost Inputs'!$M$75=1)),
IF(ISNUMBER($V$55), $E223+($E$73*(($E223/$E$73)+$V$55)), $E223),""),"")), ""),""),"")</f>
        <v/>
      </c>
      <c r="AE223" s="364" t="str">
        <f>IF($V$3="N.B.C.",
IF(ISNUMBER($B$215),
IF($C223&lt;&gt;"",
IF('Cost Inputs'!$L$75="Y",
IF(ISNUMBER($W$55), $E223+($E$73*(($E223/$E$73)+$W$55)), $E223),
IF('Cost Inputs'!$L$75="N",
IF(AND(ISNUMBER('Cost Inputs'!$M$75), OR('Cost Inputs'!$M$75=1,'Cost Inputs'!$M$75=2,'Cost Inputs'!$M$75=7)),
IF(ISNUMBER($W$55), $E223+($E$73*(($E223/$E$73)+$W$55)), $E223),""),"")), ""),""),"")</f>
        <v/>
      </c>
      <c r="AF223" s="364" t="str">
        <f>IF($W$3="N.B.C.",
IF(ISNUMBER($B$215),
IF($C223&lt;&gt;"",
IF('Cost Inputs'!$L$75="Y",
IF(ISNUMBER($X$55), $E223+($E$73*(($E223/$E$73)+$X$55)), $E223),
IF('Cost Inputs'!$L$75="N",
IF(AND(ISNUMBER('Cost Inputs'!$M$75), OR('Cost Inputs'!$M$75=1,'Cost Inputs'!$M$75=3,'Cost Inputs'!$M$75=5)),
IF(ISNUMBER($X$55), $E223+($E$73*(($E223/$E$73)+$X$55)), $E223),""),"")), ""),""),"")</f>
        <v/>
      </c>
      <c r="AG223" s="364" t="str">
        <f>IF($X$3="N.B.C.",
IF(ISNUMBER($B$215),
IF($C223&lt;&gt;"",
IF('Cost Inputs'!$L$75="Y",
IF(ISNUMBER($Y$55), $E223+($E$73*(($E223/$E$73)+$Y$55)), $E223),
IF('Cost Inputs'!$L$75="N",
IF(AND(ISNUMBER('Cost Inputs'!$M$75), OR('Cost Inputs'!$M$75=1,'Cost Inputs'!$M$75=2,'Cost Inputs'!$M$75=4,'Cost Inputs'!$M$75=8)),
IF(ISNUMBER($Y$55), $E223+($E$73*(($E223/$E$73)+$Y$55)), $E223),""),"")), ""),""),"")</f>
        <v/>
      </c>
    </row>
    <row r="224" spans="1:33" x14ac:dyDescent="0.25">
      <c r="A224" s="518"/>
      <c r="B224" s="504"/>
      <c r="C224" s="107" t="str">
        <f>IF(AND(ISNUMBER(B215), OR('Cost Inputs'!$H$76&lt;&gt;"", 'Cost Inputs'!$I$76&lt;&gt;"", 'Cost Inputs'!$J$76&lt;&gt;"")), _3_3_4, "")</f>
        <v/>
      </c>
      <c r="D224" s="93" t="str">
        <f>IF(AND(C224&lt;&gt;"", 'Cost Inputs'!$G$76&lt;&gt;""), 'Cost Inputs'!$G$76, "")</f>
        <v/>
      </c>
      <c r="E224" s="93" t="str">
        <f>IF(AND(C224&lt;&gt;"", 'Cost Inputs'!$H$76&lt;&gt;""), 'Cost Inputs'!$H$76, "")</f>
        <v/>
      </c>
      <c r="F224" s="93" t="str">
        <f>IF(AND(C224&lt;&gt;"", 'Cost Inputs'!$I$76&lt;&gt;""), 'Cost Inputs'!$I$76, "")</f>
        <v/>
      </c>
      <c r="G224" s="93" t="str">
        <f t="shared" si="10"/>
        <v/>
      </c>
      <c r="H224" s="93" t="str">
        <f>IF(AND(C224&lt;&gt;"", 'Cost Inputs'!$J$76&lt;&gt;""), 'Cost Inputs'!$J$76, "")</f>
        <v/>
      </c>
      <c r="I224" s="93" t="str">
        <f t="shared" si="12"/>
        <v/>
      </c>
      <c r="J224" s="93" t="str">
        <f>IF(AND(C224&lt;&gt;"",('Cost Inputs'!$I$76+'Cost Inputs'!$J$76+'Cost Inputs'!$K$76)&gt;0), 'Cost Inputs'!$I$76+'Cost Inputs'!$J$76+'Cost Inputs'!$K$76, "")</f>
        <v/>
      </c>
      <c r="K224" s="93" t="str">
        <f>IF(AND(C224&lt;&gt;"", 'Cost Inputs'!$N$76&gt;0),'Cost Inputs'!$N$76,"")</f>
        <v/>
      </c>
      <c r="L224" s="93"/>
      <c r="M224" s="109"/>
      <c r="X224" s="372" t="str">
        <f>IF($O$3="N.B.C.",
IF(ISNUMBER($B$215),
IF($C224&lt;&gt;"",
IF('Cost Inputs'!$L$76="Y",
IF(ISNUMBER($P$55), $E224+($E$73*(($E224/$E$73)+$P$55)), $E224),
IF('Cost Inputs'!$L$76="N",
IF(AND(ISNUMBER('Cost Inputs'!$M$76),OR('Cost Inputs'!$M$76=1,'Cost Inputs'!$M$76=7)),
IF(ISNUMBER($P$55), $E224+($E$73*(($E224/$E$73)+$P$55)), $E224),""),"")), ""),""),"")</f>
        <v/>
      </c>
      <c r="Y224" s="372" t="str">
        <f>IF($P$3="N.B.C.",
IF(ISNUMBER($B$215),
IF($C224&lt;&gt;"",
IF('Cost Inputs'!$L$76="Y",
IF(ISNUMBER($Q$55), $E224+($E$73*(($E224/$E$73)+$Q$55)), $E224),
IF('Cost Inputs'!$L$76="N",
IF(AND(ISNUMBER('Cost Inputs'!$M$76), OR('Cost Inputs'!$M$76=1,'Cost Inputs'!$M$76=2,'Cost Inputs'!$M$76=4,'Cost Inputs'!$M$76=8)),
IF(ISNUMBER($Q$55), $E224+($E$73*(($E224/$E$73)+$Q$55)), $E224),""),"")), ""),""),"")</f>
        <v/>
      </c>
      <c r="Z224" s="372" t="str">
        <f>IF($Q$3="N.B.C.",
IF(ISNUMBER($B$215),
IF($C224&lt;&gt;"",
IF('Cost Inputs'!$L$76="Y",
IF(ISNUMBER($R$55), $E224+($E$73*(($E224/$E$73)+$R$55)), $E224),
IF('Cost Inputs'!$L$76="N",
IF(AND(ISNUMBER('Cost Inputs'!$M$76), OR('Cost Inputs'!$M$76=1,'Cost Inputs'!$M$76=3,'Cost Inputs'!$M$76=9)),
IF(ISNUMBER($R$55), $E224+($E$73*(($E224/$E$73)+$R$55)), $E224),""),"")), ""),""),"")</f>
        <v/>
      </c>
      <c r="AA224" s="372" t="str">
        <f>IF($R$3="N.B.C.",
IF(ISNUMBER($B$215),
IF($C224&lt;&gt;"",
IF('Cost Inputs'!$L$76="Y",
IF(ISNUMBER($S$55), $E224+($E$73*(($E224/$E$73)+$S$55)), $E224),
IF('Cost Inputs'!$L$76="N",
IF(AND(ISNUMBER('Cost Inputs'!$M$76), OR('Cost Inputs'!$M$76=1,'Cost Inputs'!$M$76=2,'Cost Inputs'!$M$76=5)),
IF(ISNUMBER($S$55), $E224+($E$73*(($E224/$E$73)+$S$55)), $E224),""),"")), ""),""),"")</f>
        <v/>
      </c>
      <c r="AB224" s="372" t="str">
        <f>IF($S$3="N.B.C.",
IF(ISNUMBER($B$215),
IF($C224&lt;&gt;"",
IF('Cost Inputs'!$L$76="Y",
IF(ISNUMBER($T$55), $E224+($E$73*(($E224/$E$73)+$T$55)), $E224),
IF('Cost Inputs'!$L$76="N",
IF(AND(ISNUMBER('Cost Inputs'!$M$76), OR('Cost Inputs'!$M$76=1)),
IF(ISNUMBER($T$55), $E224+($E$73*(($E224/$E$73)+$T$55)), $E224),""),"")), ""),""),"")</f>
        <v/>
      </c>
      <c r="AC224" s="372" t="str">
        <f>IF($T$3="N.B.C.",
IF(ISNUMBER($B$215),
IF($C224&lt;&gt;"",
IF('Cost Inputs'!$L$76="Y",
IF(ISNUMBER($U$55), $E224+($E$73*(($E224/$E$73)+$U$55)), $E224),
IF('Cost Inputs'!$L$76="N",
IF(AND(ISNUMBER('Cost Inputs'!$M$76), OR('Cost Inputs'!$M$76=1,'Cost Inputs'!$M$76=2,'Cost Inputs'!$M$76=3,'Cost Inputs'!$M$76=4,'Cost Inputs'!$M$76=6)),
IF(ISNUMBER($U$55), $E224+($E$73*(($E224/$E$73)+$U$55)), $E224),""),"")), ""),""),"")</f>
        <v/>
      </c>
      <c r="AD224" s="372" t="str">
        <f>IF($U$3="N.B.C.",
IF(ISNUMBER($B$215),
IF($C224&lt;&gt;"",
IF('Cost Inputs'!$L$76="Y",
IF(ISNUMBER($V$55), $E224+($E$73*(($E224/$E$73)+$V$55)), $E224),
IF('Cost Inputs'!$L$76="N",
IF(AND(ISNUMBER('Cost Inputs'!$M$76), OR('Cost Inputs'!$M$76=1)),
IF(ISNUMBER($V$55), $E224+($E$73*(($E224/$E$73)+$V$55)), $E224),""),"")), ""),""),"")</f>
        <v/>
      </c>
      <c r="AE224" s="372" t="str">
        <f>IF($V$3="N.B.C.",
IF(ISNUMBER($B$215),
IF($C224&lt;&gt;"",
IF('Cost Inputs'!$L$76="Y",
IF(ISNUMBER($W$55), $E224+($E$73*(($E224/$E$73)+$W$55)), $E224),
IF('Cost Inputs'!$L$76="N",
IF(AND(ISNUMBER('Cost Inputs'!$M$76), OR('Cost Inputs'!$M$76=1,'Cost Inputs'!$M$76=2,'Cost Inputs'!$M$76=7)),
IF(ISNUMBER($W$55), $E224+($E$73*(($E224/$E$73)+$W$55)), $E224),""),"")), ""),""),"")</f>
        <v/>
      </c>
      <c r="AF224" s="372" t="str">
        <f>IF($W$3="N.B.C.",
IF(ISNUMBER($B$215),
IF($C224&lt;&gt;"",
IF('Cost Inputs'!$L$76="Y",
IF(ISNUMBER($X$55), $E224+($E$73*(($E224/$E$73)+$X$55)), $E224),
IF('Cost Inputs'!$L$76="N",
IF(AND(ISNUMBER('Cost Inputs'!$M$76), OR('Cost Inputs'!$M$76=1,'Cost Inputs'!$M$76=3,'Cost Inputs'!$M$76=5)),
IF(ISNUMBER($X$55), $E224+($E$73*(($E224/$E$73)+$X$55)), $E224),""),"")), ""),""),"")</f>
        <v/>
      </c>
      <c r="AG224" s="372" t="str">
        <f>IF($X$3="N.B.C.",
IF(ISNUMBER($B$215),
IF($C224&lt;&gt;"",
IF('Cost Inputs'!$L$76="Y",
IF(ISNUMBER($Y$55), $E224+($E$73*(($E224/$E$73)+$Y$55)), $E224),
IF('Cost Inputs'!$L$76="N",
IF(AND(ISNUMBER('Cost Inputs'!$M$76), OR('Cost Inputs'!$M$76=1,'Cost Inputs'!$M$76=2,'Cost Inputs'!$M$76=4,'Cost Inputs'!$M$76=8)),
IF(ISNUMBER($Y$55), $E224+($E$73*(($E224/$E$73)+$Y$55)), $E224),""),"")), ""),""),"")</f>
        <v/>
      </c>
    </row>
    <row r="225" spans="1:34" x14ac:dyDescent="0.25">
      <c r="A225" s="518"/>
      <c r="B225" s="504"/>
      <c r="C225" s="110" t="str">
        <f>IF( ISNUMBER(B215), _3_4_0, "")</f>
        <v/>
      </c>
      <c r="D225" s="94" t="str">
        <f>IF(AND(B215&lt;&gt;"", OR('Cost Inputs'!$H$77&lt;&gt;"", 'Cost Inputs'!$I$77&lt;&gt;"", 'Cost Inputs'!$J$77&lt;&gt;"")), 'Cost Inputs'!$G$77,"")</f>
        <v/>
      </c>
      <c r="E225" s="94" t="str">
        <f>IF(AND(C225&lt;&gt;"", 'Cost Inputs'!$H$77&lt;&gt;""), 'Cost Inputs'!$H$77, "")</f>
        <v/>
      </c>
      <c r="F225" s="94" t="str">
        <f>IF(AND(C225&lt;&gt;"", 'Cost Inputs'!$I$77&lt;&gt;""), 'Cost Inputs'!$I$77, "")</f>
        <v/>
      </c>
      <c r="G225" s="94" t="str">
        <f t="shared" si="10"/>
        <v/>
      </c>
      <c r="H225" s="94" t="str">
        <f>IF(AND(C225&lt;&gt;"", 'Cost Inputs'!$J$77&lt;&gt;""), 'Cost Inputs'!$J$77, "")</f>
        <v/>
      </c>
      <c r="I225" s="94" t="str">
        <f>IF(AND($E225&lt;&gt;"", $H225&lt;&gt;""), $H225/$E225, "")</f>
        <v/>
      </c>
      <c r="J225" s="94" t="str">
        <f>IF(AND(C225&lt;&gt;"",('Cost Inputs'!$I$77+'Cost Inputs'!$J$77+'Cost Inputs'!$K$77)&gt;0), 'Cost Inputs'!$I$77+'Cost Inputs'!$J$77+'Cost Inputs'!$K$77, "")</f>
        <v/>
      </c>
      <c r="K225" s="94" t="str">
        <f>IF(AND(C225&lt;&gt;"", 'Cost Inputs'!$N$77&gt;0),'Cost Inputs'!$N$77,"")</f>
        <v/>
      </c>
      <c r="L225" s="94"/>
      <c r="M225" s="103"/>
      <c r="X225" s="373" t="str">
        <f>IF($O$3="N.B.C.",
IF(ISNUMBER($B$215),
IF($C225&lt;&gt;"",
IF('Cost Inputs'!$L$77="Y",
IF(AND(ISNUMBER(P$56), P$56&gt;$E$60), $E225+($E$60*(($E225/$E$60)+$P$55)), $E225),
IF('Cost Inputs'!$L$77="N",
IF(AND(ISNUMBER('Cost Inputs'!$M$77), OR('Cost Inputs'!$M$77=1,'Cost Inputs'!$M$77=7)),
IF(AND(ISNUMBER(P$56), P$56&gt;$E$60), $E225+($E$60*(($E225/$E$60)+$P$55)), $E225), ""),"")), ""), ""), "")</f>
        <v/>
      </c>
      <c r="Y225" s="373" t="str">
        <f>IF($P$3="N.B.C.",
IF(ISNUMBER($B$215),
IF($C225&lt;&gt;"",
IF('Cost Inputs'!$L$77="Y",
IF(AND(ISNUMBER(Q$56), Q$56&gt;$E$60), $E225+($E$60*(($E225/$E$60)+$Q$55)), $E225),
IF('Cost Inputs'!$L$77="N",
IF(AND(ISNUMBER('Cost Inputs'!$M$77), OR('Cost Inputs'!$M$77=1,'Cost Inputs'!$M$77=2,'Cost Inputs'!$M$77=4,'Cost Inputs'!$M$77=8)),
IF(AND(ISNUMBER(Q$56), Q$56&gt;$E$60), $E225+($E$60*(($E225/$E$60)+$Q$55)), $E225), ""),"")), ""), ""), "")</f>
        <v/>
      </c>
      <c r="Z225" s="373" t="str">
        <f>IF($Q$3="N.B.C.",
IF(ISNUMBER($B$215),
IF($C225&lt;&gt;"",
IF('Cost Inputs'!$L$77="Y",
IF(AND(ISNUMBER(R$56), R$56&gt;$E$60), $E225+($E$60*(($E225/$E$60)+$R$55)), $E225),
IF('Cost Inputs'!$L$77="N",
IF(AND(ISNUMBER('Cost Inputs'!$M$77), OR('Cost Inputs'!$M$77=1,'Cost Inputs'!$M$77=3, 'Cost Inputs'!$M$77=9)),
IF(AND(ISNUMBER(R$56), R$56&gt;$E$60), $E225+($E$60*(($E225/$E$60)+$R$55)), $E225), ""),"")), ""), ""), "")</f>
        <v/>
      </c>
      <c r="AA225" s="373" t="str">
        <f>IF($R$3="N.B.C.",
IF(ISNUMBER($B$215),
IF($C225&lt;&gt;"",
IF('Cost Inputs'!$L$77="Y",
IF(AND(ISNUMBER(S$56), S$56&gt;$E$60), $E225+($E$60*(($E225/$E$60)+$S$55)), $E225),
IF('Cost Inputs'!$L$77="N",
IF(AND(ISNUMBER('Cost Inputs'!$M$77), OR('Cost Inputs'!$M$77=1,'Cost Inputs'!$M$77=2, 'Cost Inputs'!$M$77=5)),
IF(AND(ISNUMBER(S$56), S$56&gt;$E$60), $E225+($E$60*(($E225/$E$60)+$S$55)), $E225), ""),"")), ""), ""), "")</f>
        <v/>
      </c>
      <c r="AB225" s="373" t="str">
        <f>IF($S$3="N.B.C.",
IF(ISNUMBER($B$215),
IF($C225&lt;&gt;"",
IF('Cost Inputs'!$L$77="Y",
IF(AND(ISNUMBER(T$56), T$56&gt;$E$60), $E225+($E$60*(($E225/$E$60)+$T$55)), $E225),
IF('Cost Inputs'!$L$77="N",
IF(AND(ISNUMBER('Cost Inputs'!$M$77), OR('Cost Inputs'!$M$77=1)),
IF(AND(ISNUMBER(T$56), T$56&gt;$E$60), $E225+($E$60*(($E225/$E$60)+$T$55)), $E225), ""),"")), ""), ""), "")</f>
        <v/>
      </c>
      <c r="AC225" s="373" t="str">
        <f>IF($T$3="N.B.C.",
IF(ISNUMBER($B$215),
IF($C225&lt;&gt;"",
IF('Cost Inputs'!$L$77="Y",
IF(AND(ISNUMBER(U$56), U$56&gt;$E$60), $E225+($E$60*(($E225/$E$60)+$U$55)), $E225),
IF('Cost Inputs'!$L$77="N",
IF(AND(ISNUMBER('Cost Inputs'!$M$77), OR('Cost Inputs'!$M$77=1,'Cost Inputs'!$M$77=2,'Cost Inputs'!$M$77=3,'Cost Inputs'!$M$77=4,'Cost Inputs'!$M$77=6)),
IF(AND(ISNUMBER(U$56), U$56&gt;$E$60), $E225+($E$60*(($E225/$E$60)+$U$55)), $E225), ""),"")), ""), ""), "")</f>
        <v/>
      </c>
      <c r="AD225" s="373" t="str">
        <f>IF($U$3="N.B.C.",
IF(ISNUMBER($B$215),
IF($C225&lt;&gt;"",
IF('Cost Inputs'!$L$77="Y",
IF(AND(ISNUMBER(V$56), V$56&gt;$E$60), $E225+($E$60*(($E225/$E$60)+$V$55)), $E225),
IF('Cost Inputs'!$L$77="N",
IF(AND(ISNUMBER('Cost Inputs'!$M$77), OR('Cost Inputs'!$M$77=1)),
IF(AND(ISNUMBER(V$56), V$56&gt;$E$60), $E225+($E$60*(($E225/$E$60)+$V$55)), $E225), ""),"")), ""), ""), "")</f>
        <v/>
      </c>
      <c r="AE225" s="373" t="str">
        <f>IF($V$3="N.B.C.",
IF(ISNUMBER($B$215),
IF($C225&lt;&gt;"",
IF('Cost Inputs'!$L$77="Y",
IF(AND(ISNUMBER(W$56), W$56&gt;$E$60), $E225+($E$60*(($E225/$E$60)+$W$55)), $E225),
IF('Cost Inputs'!$L$77="N",
IF(AND(ISNUMBER('Cost Inputs'!$M$77), OR('Cost Inputs'!$M$77=1,'Cost Inputs'!$M$77=2,'Cost Inputs'!$M$77=7)),
IF(AND(ISNUMBER(W$56), W$56&gt;$E$60), $E225+($E$60*(($E225/$E$60)+$W$55)), $E225), ""),"")), ""), ""), "")</f>
        <v/>
      </c>
      <c r="AF225" s="373" t="str">
        <f>IF($W$3="N.B.C.",
IF(ISNUMBER($B$215),
IF($C225&lt;&gt;"",
IF('Cost Inputs'!$L$77="Y",
IF(AND(ISNUMBER(X$56), X$56&gt;$E$60), $E225+($E$60*(($E225/$E$60)+$X$55)), $E225),
IF('Cost Inputs'!$L$77="N",
IF(AND(ISNUMBER('Cost Inputs'!$M$77), OR('Cost Inputs'!$M$77=1,'Cost Inputs'!$M$77=3,'Cost Inputs'!$M$77=5)),
IF(AND(ISNUMBER(X$56), X$56&gt;$E$60), $E225+($E$60*(($E225/$E$60)+$X$55)), $E225), ""),"")), ""), ""), "")</f>
        <v/>
      </c>
      <c r="AG225" s="373" t="str">
        <f>IF($X$3="N.B.C.",
IF(ISNUMBER($B$215),
IF($C225&lt;&gt;"",
IF('Cost Inputs'!$L$77="Y",
IF(AND(ISNUMBER(Y$56), Y$56&gt;$E$60), $E225+($E$60*(($E225/$E$60)+$Y$55)), $E225),
IF('Cost Inputs'!$L$77="N",
IF(AND(ISNUMBER('Cost Inputs'!$M$77), OR('Cost Inputs'!$M$77=1,'Cost Inputs'!$M$77=2,'Cost Inputs'!$M$77=4,'Cost Inputs'!$M$77=8)),
IF(AND(ISNUMBER(Y$56), Y$56&gt;$E$60), $E225+($E$60*(($E225/$E$60)+$Y$55)), $E225), ""),"")), ""), ""), "")</f>
        <v/>
      </c>
    </row>
    <row r="226" spans="1:34" x14ac:dyDescent="0.25">
      <c r="A226" s="518"/>
      <c r="B226" s="504"/>
      <c r="C226" s="358" t="str">
        <f>IF(AND(ISNUMBER(B215), OR('Cost Inputs'!$H$78&lt;&gt;"", 'Cost Inputs'!$I$78&lt;&gt;"", 'Cost Inputs'!$J$78&lt;&gt;"")),
IF((INDEX(ProgramYearStage1,MATCH(DNA_Test_1,Years_in_Stage1,0)))='Model_ of_individuals'!B215,  _3_4_1,
IF(AND(C205&lt;&gt;"",ISNUMBER(B215)), _3_4_1, "")),"")</f>
        <v/>
      </c>
      <c r="D226" s="17" t="str">
        <f>IF(AND(C226&lt;&gt;"", 'Cost Inputs'!$G$78&lt;&gt;""), 'Cost Inputs'!$G$78, "")</f>
        <v/>
      </c>
      <c r="E226" s="17" t="str">
        <f>IF(AND(C226&lt;&gt;"", 'Cost Inputs'!$H$78&lt;&gt;""), 'Cost Inputs'!$H$78, "")</f>
        <v/>
      </c>
      <c r="F226" s="17" t="str">
        <f>IF(AND(C226&lt;&gt;"", 'Cost Inputs'!$I$78&lt;&gt;""), 'Cost Inputs'!$I$78, "")</f>
        <v/>
      </c>
      <c r="G226" s="17" t="str">
        <f t="shared" si="10"/>
        <v/>
      </c>
      <c r="H226" s="17" t="str">
        <f>IF(AND(C226&lt;&gt;"", 'Cost Inputs'!$J$78&lt;&gt;""), 'Cost Inputs'!$J$78, "")</f>
        <v/>
      </c>
      <c r="I226" s="17" t="str">
        <f t="shared" si="12"/>
        <v/>
      </c>
      <c r="J226" s="17" t="str">
        <f>IF(AND(C226&lt;&gt;"",('Cost Inputs'!$I$78+'Cost Inputs'!$J$78+'Cost Inputs'!$K$78)&gt;0), 'Cost Inputs'!$I$78+'Cost Inputs'!$J$78+'Cost Inputs'!$K$78, "")</f>
        <v/>
      </c>
      <c r="K226" s="17" t="str">
        <f>IF(AND(C226&lt;&gt;"", 'Cost Inputs'!$N$78&gt;0),'Cost Inputs'!$N$78,"")</f>
        <v/>
      </c>
      <c r="M226" s="106"/>
      <c r="X226" s="364" t="str">
        <f>IF($O$3="N.B.C.",
IF(ISNUMBER($B$215),
IF($C226&lt;&gt;"",
IF('Cost Inputs'!$L$78="Y",
IF(ISNUMBER($P$55), $E226+($E$78*(($E226/$E$78)+$P$55)), $E226),
IF('Cost Inputs'!$L$78="N",
IF(AND(ISNUMBER('Cost Inputs'!$M$78), OR('Cost Inputs'!$M$78=1,'Cost Inputs'!$M$78=7)),
IF(ISNUMBER($P$55), $E226+($E$78*(($E226/$E$78)+$P$55)), $E226),""),"")), ""),""),"")</f>
        <v/>
      </c>
      <c r="Y226" s="364" t="str">
        <f>IF($P$3="N.B.C.",
IF(ISNUMBER($B$215),
IF($C226&lt;&gt;"",
IF('Cost Inputs'!$L$78="Y",
IF(ISNUMBER($Q$55), $E226+($E$78*(($E226/$E$78)+$Q$55)), $E226),
IF('Cost Inputs'!$L$78="N",
IF(AND(ISNUMBER('Cost Inputs'!$M$78), OR('Cost Inputs'!$M$78=1,'Cost Inputs'!$M$78=2,'Cost Inputs'!$M$78=4,'Cost Inputs'!$M$78=8)),
IF(ISNUMBER($Q$55), $E226+($E$78*(($E226/$E$78)+$Q$55)), $E226),""),"")), ""),""),"")</f>
        <v/>
      </c>
      <c r="Z226" s="364" t="str">
        <f>IF($Q$3="N.B.C.",
IF(ISNUMBER($B$215),
IF($C226&lt;&gt;"",
IF('Cost Inputs'!$L$78="Y",
IF(ISNUMBER($R$55), $E226+($E$78*(($E226/$E$78)+$R$55)), $E226),
IF('Cost Inputs'!$L$78="N",
IF(AND(ISNUMBER('Cost Inputs'!$M$78), OR('Cost Inputs'!$M$78=1,'Cost Inputs'!$M$78=3,'Cost Inputs'!$M$78=9)),
IF(ISNUMBER($R$55), $E226+($E$78*(($E226/$E$78)+$R$55)), $E226),""),"")), ""),""),"")</f>
        <v/>
      </c>
      <c r="AA226" s="364" t="str">
        <f>IF($R$3="N.B.C.",
IF(ISNUMBER($B$215),
IF($C226&lt;&gt;"",
IF('Cost Inputs'!$L$78="Y",
IF(ISNUMBER($S$55), $E226+($E$78*(($E226/$E$78)+$S$55)), $E226),
IF('Cost Inputs'!$L$78="N",
IF(AND(ISNUMBER('Cost Inputs'!$M$78), OR('Cost Inputs'!$M$78=1,'Cost Inputs'!$M$78=2,'Cost Inputs'!$M$78=5)),
IF(ISNUMBER($S$55), $E226+($E$78*(($E226/$E$78)+$S$55)), $E226),""),"")), ""),""),"")</f>
        <v/>
      </c>
      <c r="AB226" s="364" t="str">
        <f>IF($S$3="N.B.C.",
IF(ISNUMBER($B$215),
IF($C226&lt;&gt;"",
IF('Cost Inputs'!$L$78="Y",
IF(ISNUMBER($T$55), $E226+($E$78*(($E226/$E$78)+$T$55)), $E226),
IF('Cost Inputs'!$L$78="N",
IF(AND(ISNUMBER('Cost Inputs'!$M$78), OR('Cost Inputs'!$M$78=1)),
IF(ISNUMBER($T$55), $E226+($E$78*(($E226/$E$78)+$T$55)), $E226),""),"")), ""),""),"")</f>
        <v/>
      </c>
      <c r="AC226" s="364" t="str">
        <f>IF($T$3="N.B.C.",
IF(ISNUMBER($B$215),
IF($C226&lt;&gt;"",
IF('Cost Inputs'!$L$78="Y",
IF(ISNUMBER($U$55), $E226+($E$78*(($E226/$E$78)+$U$55)), $E226),
IF('Cost Inputs'!$L$78="N",
IF(AND(ISNUMBER('Cost Inputs'!$M$78), OR('Cost Inputs'!$M$78=1,'Cost Inputs'!$M$78=2,'Cost Inputs'!$M$78=3,'Cost Inputs'!$M$78=4,'Cost Inputs'!$M$78=6)),
IF(ISNUMBER($U$55), $E226+($E$78*(($E226/$E$78)+$U$55)), $E226),""),"")), ""),""),"")</f>
        <v/>
      </c>
      <c r="AD226" s="364" t="str">
        <f>IF($U$3="N.B.C.",
IF(ISNUMBER($B$215),
IF($C226&lt;&gt;"",
IF('Cost Inputs'!$L$78="Y",
IF(ISNUMBER($V$55), $E226+($E$78*(($E226/$E$78)+$V$55)), $E226),
IF('Cost Inputs'!$L$78="N",
IF(AND(ISNUMBER('Cost Inputs'!$M$78), OR('Cost Inputs'!$M$78=1)),
IF(ISNUMBER($V$55), $E226+($E$78*(($E226/$E$78)+$V$55)), $E226),""),"")), ""),""),"")</f>
        <v/>
      </c>
      <c r="AE226" s="364" t="str">
        <f>IF($V$3="N.B.C.",
IF(ISNUMBER($B$215),
IF($C226&lt;&gt;"",
IF('Cost Inputs'!$L$78="Y",
IF(ISNUMBER($W$55), $E226+($E$78*(($E226/$E$78)+$W$55)), $E226),
IF('Cost Inputs'!$L$78="N",
IF(AND(ISNUMBER('Cost Inputs'!$M$78), OR('Cost Inputs'!$M$78=1,'Cost Inputs'!$M$78=2,'Cost Inputs'!$M$78=7)),
IF(ISNUMBER($W$55), $E226+($E$78*(($E226/$E$78)+$W$55)), $E226),""),"")), ""),""),"")</f>
        <v/>
      </c>
      <c r="AF226" s="364" t="str">
        <f>IF($W$3="N.B.C.",
IF(ISNUMBER($B$215),
IF($C226&lt;&gt;"",
IF('Cost Inputs'!$L$78="Y",
IF(ISNUMBER($X$55), $E226+($E$78*(($E226/$E$78)+$X$55)), $E226),
IF('Cost Inputs'!$L$78="N",
IF(AND(ISNUMBER('Cost Inputs'!$M$78), OR('Cost Inputs'!$M$78=1,'Cost Inputs'!$M$78=3,'Cost Inputs'!$M$78=5)),
IF(ISNUMBER($X$55), $E226+($E$78*(($E226/$E$78)+$X$55)), $E226),""),"")), ""),""),"")</f>
        <v/>
      </c>
      <c r="AG226" s="364" t="str">
        <f>IF($X$3="N.B.C.",
IF(ISNUMBER($B$215),
IF($C226&lt;&gt;"",
IF('Cost Inputs'!$L$78="Y",
IF(ISNUMBER($Y$55), $E226+($E$78*(($E226/$E$78)+$Y$55)), $E226),
IF('Cost Inputs'!$L$78="N",
IF(AND(ISNUMBER('Cost Inputs'!$M$78), OR('Cost Inputs'!$M$78=1,'Cost Inputs'!$M$78=2,'Cost Inputs'!$M$78=4,'Cost Inputs'!$M$78=8)),
IF(ISNUMBER($Y$55), $E226+($E$78*(($E226/$E$78)+$Y$55)), $E226),""),"")), ""),""),"")</f>
        <v/>
      </c>
    </row>
    <row r="227" spans="1:34" x14ac:dyDescent="0.25">
      <c r="A227" s="518"/>
      <c r="B227" s="504"/>
      <c r="C227" s="361" t="str">
        <f>IF(AND(ISNUMBER(B215), OR('Cost Inputs'!$H$79&lt;&gt;"", 'Cost Inputs'!$I$79&lt;&gt;"", 'Cost Inputs'!$J$79&lt;&gt;"")),
IF((INDEX(ProgramYearStage1,MATCH(DNA_Test_1,Years_in_Stage1,0)))='Model_ of_individuals'!B215,  _3_4_2,
IF(AND(ISNUMBER(B215), C206&lt;&gt;""),  _3_4_2, "")),"")</f>
        <v/>
      </c>
      <c r="D227" s="93" t="str">
        <f>IF(AND(C227&lt;&gt;"", 'Cost Inputs'!$G$79&lt;&gt;""), 'Cost Inputs'!$G$79, "")</f>
        <v/>
      </c>
      <c r="E227" s="93" t="str">
        <f>IF(AND(C227&lt;&gt;"", 'Cost Inputs'!$H$79&lt;&gt;""), 'Cost Inputs'!$H$79, "")</f>
        <v/>
      </c>
      <c r="F227" s="93" t="str">
        <f>IF(AND(C227&lt;&gt;"", 'Cost Inputs'!$I$79&lt;&gt;""), 'Cost Inputs'!$I$79, "")</f>
        <v/>
      </c>
      <c r="G227" s="93" t="str">
        <f t="shared" si="10"/>
        <v/>
      </c>
      <c r="H227" s="93" t="str">
        <f>IF(AND(C227&lt;&gt;"", 'Cost Inputs'!$J$79&lt;&gt;""), 'Cost Inputs'!$J$79, "")</f>
        <v/>
      </c>
      <c r="I227" s="93" t="str">
        <f t="shared" si="12"/>
        <v/>
      </c>
      <c r="J227" s="93" t="str">
        <f>IF(AND(C227&lt;&gt;"",('Cost Inputs'!$I$79+'Cost Inputs'!$J$79+'Cost Inputs'!$K$79)&gt;0), 'Cost Inputs'!$I$79+'Cost Inputs'!$J$79+'Cost Inputs'!$K$79, "")</f>
        <v/>
      </c>
      <c r="K227" s="93" t="str">
        <f>IF(AND(C227&lt;&gt;"", 'Cost Inputs'!$N$79&gt;0),'Cost Inputs'!$N$79,"")</f>
        <v/>
      </c>
      <c r="L227" s="93"/>
      <c r="M227" s="109"/>
      <c r="X227" s="372" t="str">
        <f>IF($O$3="N.B.C.",
IF(ISNUMBER($B$215),
IF($C227&lt;&gt;"",
IF('Cost Inputs'!$L$79="Y",
IF(ISNUMBER($P$55), $E227+($E$78*(($E227/$E$78)+$P$55)), $E227),
IF('Cost Inputs'!$L$79="N",
IF(AND(ISNUMBER('Cost Inputs'!$M$79), OR('Cost Inputs'!$M$79=1,'Cost Inputs'!$M$79=7)),
IF(ISNUMBER($P$55), $E227+($E$78*(($E227/$E$78)+$P$55)), $E227),""),"")), ""),""),"")</f>
        <v/>
      </c>
      <c r="Y227" s="372" t="str">
        <f>IF($P$3="N.B.C.",
IF(ISNUMBER($B$215),
IF($C227&lt;&gt;"",
IF('Cost Inputs'!$L$79="Y",
IF(ISNUMBER($Q$55), $E227+($E$78*(($E227/$E$78)+$Q$55)), $E227),
IF('Cost Inputs'!$L$79="N",
IF(AND(ISNUMBER('Cost Inputs'!$M$79), OR('Cost Inputs'!$M$79=1,'Cost Inputs'!$M$79=2,'Cost Inputs'!$M$79=4,'Cost Inputs'!$M$79=8)),
IF(ISNUMBER($Q$55), $E227+($E$78*(($E227/$E$78)+$Q$55)), $E227),""),"")), ""),""),"")</f>
        <v/>
      </c>
      <c r="Z227" s="372" t="str">
        <f>IF($Q$3="N.B.C.",
IF(ISNUMBER($B$215),
IF($C227&lt;&gt;"",
IF('Cost Inputs'!$L$79="Y",
IF(ISNUMBER($R$55), $E227+($E$78*(($E227/$E$78)+$R$55)), $E227),
IF('Cost Inputs'!$L$79="N",
IF(AND(ISNUMBER('Cost Inputs'!$M$79), OR('Cost Inputs'!$M$79=1,'Cost Inputs'!$M$79=3,'Cost Inputs'!$M$79=9)),
IF(ISNUMBER($R$55), $E227+($E$78*(($E227/$E$78)+$R$55)), $E227),""),"")), ""),""),"")</f>
        <v/>
      </c>
      <c r="AA227" s="372" t="str">
        <f>IF($R$3="N.B.C.",
IF(ISNUMBER($B$215),
IF($C227&lt;&gt;"",
IF('Cost Inputs'!$L$79="Y",
IF(ISNUMBER($S$55), $E227+($E$78*(($E227/$E$78)+$S$55)), $E227),
IF('Cost Inputs'!$L$79="N",
IF(AND(ISNUMBER('Cost Inputs'!$M$79), OR('Cost Inputs'!$M$79=1,'Cost Inputs'!$M$79=2,'Cost Inputs'!$M$79=5)),
IF(ISNUMBER($S$55), $E227+($E$78*(($E227/$E$78)+$S$55)), $E227),""),"")), ""),""),"")</f>
        <v/>
      </c>
      <c r="AB227" s="372" t="str">
        <f>IF($S$3="N.B.C.",
IF(ISNUMBER($B$215),
IF($C227&lt;&gt;"",
IF('Cost Inputs'!$L$79="Y",
IF(ISNUMBER($T$55), $E227+($E$78*(($E227/$E$78)+$T$55)), $E227),
IF('Cost Inputs'!$L$79="N",
IF(AND(ISNUMBER('Cost Inputs'!$M$79), OR('Cost Inputs'!$M$79=1)),
IF(ISNUMBER($T$55), $E227+($E$78*(($E227/$E$78)+$T$55)), $E227),""),"")), ""),""),"")</f>
        <v/>
      </c>
      <c r="AC227" s="372" t="str">
        <f>IF($T$3="N.B.C.",
IF(ISNUMBER($B$215),
IF($C227&lt;&gt;"",
IF('Cost Inputs'!$L$79="Y",
IF(ISNUMBER($U$55), $E227+($E$78*(($E227/$E$78)+$U$55)), $E227),
IF('Cost Inputs'!$L$79="N",
IF(AND(ISNUMBER('Cost Inputs'!$M$79), OR('Cost Inputs'!$M$79=1,'Cost Inputs'!$M$79=2,'Cost Inputs'!$M$79=3,'Cost Inputs'!$M$79=4,'Cost Inputs'!$M$79=6)),
IF(ISNUMBER($U$55), $E227+($E$78*(($E227/$E$78)+$U$55)), $E227),""),"")), ""),""),"")</f>
        <v/>
      </c>
      <c r="AD227" s="372" t="str">
        <f>IF($U$3="N.B.C.",
IF(ISNUMBER($B$215),
IF($C227&lt;&gt;"",
IF('Cost Inputs'!$L$79="Y",
IF(ISNUMBER($V$55), $E227+($E$78*(($E227/$E$78)+$V$55)), $E227),
IF('Cost Inputs'!$L$79="N",
IF(AND(ISNUMBER('Cost Inputs'!$M$79), OR('Cost Inputs'!$M$79=1)),
IF(ISNUMBER($V$55), $E227+($E$78*(($E227/$E$78)+$V$55)), $E227),""),"")), ""),""),"")</f>
        <v/>
      </c>
      <c r="AE227" s="372" t="str">
        <f>IF($V$3="N.B.C.",
IF(ISNUMBER($B$215),
IF($C227&lt;&gt;"",
IF('Cost Inputs'!$L$79="Y",
IF(ISNUMBER($W$55), $E227+($E$78*(($E227/$E$78)+$W$55)), $E227),
IF('Cost Inputs'!$L$79="N",
IF(AND(ISNUMBER('Cost Inputs'!$M$79), OR('Cost Inputs'!$M$79=1,'Cost Inputs'!$M$79=2,'Cost Inputs'!$M$79=7)),
IF(ISNUMBER($W$55), $E227+($E$78*(($E227/$E$78)+$W$55)), $E227),""),"")), ""),""),"")</f>
        <v/>
      </c>
      <c r="AF227" s="372" t="str">
        <f>IF($W$3="N.B.C.",
IF(ISNUMBER($B$215),
IF($C227&lt;&gt;"",
IF('Cost Inputs'!$L$79="Y",
IF(ISNUMBER($X$55), $E227+($E$78*(($E227/$E$78)+$X$55)), $E227),
IF('Cost Inputs'!$L$79="N",
IF(AND(ISNUMBER('Cost Inputs'!$M$79), OR('Cost Inputs'!$M$79=1,'Cost Inputs'!$M$79=3,'Cost Inputs'!$M$79=5)),
IF(ISNUMBER($X$55), $E227+($E$78*(($E227/$E$78)+$X$55)), $E227),""),"")), ""),""),"")</f>
        <v/>
      </c>
      <c r="AG227" s="372" t="str">
        <f>IF($X$3="N.B.C.",
IF(ISNUMBER($B$215),
IF($C227&lt;&gt;"",
IF('Cost Inputs'!$L$79="Y",
IF(ISNUMBER($Y$55), $E227+($E$78*(($E227/$E$78)+$Y$55)), $E227),
IF('Cost Inputs'!$L$79="N",
IF(AND(ISNUMBER('Cost Inputs'!$M$79), OR('Cost Inputs'!$M$79=1,'Cost Inputs'!$M$79=2,'Cost Inputs'!$M$79=4,'Cost Inputs'!$M$79=8)),
IF(ISNUMBER($Y$55), $E227+($E$78*(($E227/$E$78)+$Y$55)), $E227),""),"")), ""),""),"")</f>
        <v/>
      </c>
    </row>
    <row r="228" spans="1:34" x14ac:dyDescent="0.25">
      <c r="A228" s="518"/>
      <c r="B228" s="504"/>
      <c r="C228" s="358" t="str">
        <f>IF(AND(ISNUMBER(B215), OR('Cost Inputs'!$H$80&lt;&gt;"", 'Cost Inputs'!$I$80&lt;&gt;"", 'Cost Inputs'!$J$80&lt;&gt;"")),
IF((INDEX(ProgramYearStage1,MATCH(DNA_Test_1,Years_in_Stage1,0)))='Model_ of_individuals'!B215,  _3_4_3,
IF(AND(ISNUMBER(B215), C207&lt;&gt;""), _3_4_3,"")),"")</f>
        <v/>
      </c>
      <c r="D228" s="17" t="str">
        <f>IF(AND(C228&lt;&gt;"", 'Cost Inputs'!$G$80&lt;&gt;""), 'Cost Inputs'!$G$80, "")</f>
        <v/>
      </c>
      <c r="E228" s="17" t="str">
        <f>IF(AND(C228&lt;&gt;"", 'Cost Inputs'!$H$80&lt;&gt;""), 'Cost Inputs'!$H$80, "")</f>
        <v/>
      </c>
      <c r="F228" s="17" t="str">
        <f>IF(AND(C228&lt;&gt;"", 'Cost Inputs'!$I$80&lt;&gt;""), 'Cost Inputs'!$I$80, "")</f>
        <v/>
      </c>
      <c r="G228" s="17" t="str">
        <f t="shared" si="10"/>
        <v/>
      </c>
      <c r="H228" s="17" t="str">
        <f>IF(AND(C228&lt;&gt;"", 'Cost Inputs'!$J$80&lt;&gt;""), 'Cost Inputs'!$J$80, "")</f>
        <v/>
      </c>
      <c r="I228" s="17" t="str">
        <f t="shared" si="12"/>
        <v/>
      </c>
      <c r="J228" s="17" t="str">
        <f>IF(AND(C228&lt;&gt;"",('Cost Inputs'!$I$80+'Cost Inputs'!$J$80+'Cost Inputs'!$K$80)&gt;0), 'Cost Inputs'!$I$80+'Cost Inputs'!$J$80+'Cost Inputs'!$K$80, "")</f>
        <v/>
      </c>
      <c r="K228" s="17" t="str">
        <f>IF(AND(C228&lt;&gt;"", 'Cost Inputs'!$N$80&gt;0),'Cost Inputs'!$N$80,"")</f>
        <v/>
      </c>
      <c r="M228" s="106"/>
      <c r="X228" s="364" t="str">
        <f>IF($O$3="N.B.C.",
IF(ISNUMBER($B$215),
IF($C228&lt;&gt;"",
IF('Cost Inputs'!$L$80="Y",
IF(ISNUMBER($P$55), $E228+($E$78*(($E228/$E$78)+$P$55)), $E228),
IF('Cost Inputs'!$L$80="N",
IF(AND(ISNUMBER('Cost Inputs'!$M$80), OR('Cost Inputs'!$M$80=1,'Cost Inputs'!$M$80=7)),
IF(ISNUMBER($P$55), $E228+($E$78*(($E228/$E$78)+$P$55)), $E228),""),"")), ""),""),"")</f>
        <v/>
      </c>
      <c r="Y228" s="364" t="str">
        <f>IF($P$3="N.B.C.",
IF(ISNUMBER($B$215),
IF($C228&lt;&gt;"",
IF('Cost Inputs'!$L$80="Y",
IF(ISNUMBER($Q$55), $E228+($E$78*(($E228/$E$78)+$Q$55)), $E228),
IF('Cost Inputs'!$L$80="N",
IF(AND(ISNUMBER('Cost Inputs'!$M$80), OR('Cost Inputs'!$M$80=1,'Cost Inputs'!$M$80=2,'Cost Inputs'!$M$80=4,'Cost Inputs'!$M$80=8)),
IF(ISNUMBER($Q$55), $E228+($E$78*(($E228/$E$78)+$Q$55)), $E228),""),"")), ""),""),"")</f>
        <v/>
      </c>
      <c r="Z228" s="364" t="str">
        <f>IF($Q$3="N.B.C.",
IF(ISNUMBER($B$215),
IF($C228&lt;&gt;"",
IF('Cost Inputs'!$L$80="Y",
IF(ISNUMBER($R$55), $E228+($E$78*(($E228/$E$78)+$R$55)), $E228),
IF('Cost Inputs'!$L$80="N",
IF(AND(ISNUMBER('Cost Inputs'!$M$80), OR('Cost Inputs'!$M$80=1,'Cost Inputs'!$M$80=3,'Cost Inputs'!$M$80=9)),
IF(ISNUMBER($R$55), $E228+($E$78*(($E228/$E$78)+$R$55)), $E228),""),"")), ""),""),"")</f>
        <v/>
      </c>
      <c r="AA228" s="364" t="str">
        <f>IF($R$3="N.B.C.",
IF(ISNUMBER($B$215),
IF($C228&lt;&gt;"",
IF('Cost Inputs'!$L$80="Y",
IF(ISNUMBER($S$55), $E228+($E$78*(($E228/$E$78)+$S$55)), $E228),
IF('Cost Inputs'!$L$80="N",
IF(AND(ISNUMBER('Cost Inputs'!$M$80), OR('Cost Inputs'!$M$80=1,'Cost Inputs'!$M$80=2,'Cost Inputs'!$M$80=5)),
IF(ISNUMBER($S$55), $E228+($E$78*(($E228/$E$78)+$S$55)), $E228),""),"")), ""),""),"")</f>
        <v/>
      </c>
      <c r="AB228" s="364" t="str">
        <f>IF($S$3="N.B.C.",
IF(ISNUMBER($B$215),
IF($C228&lt;&gt;"",
IF('Cost Inputs'!$L$80="Y",
IF(ISNUMBER($T$55), $E228+($E$78*(($E228/$E$78)+$T$55)), $E228),
IF('Cost Inputs'!$L$80="N",
IF(AND(ISNUMBER('Cost Inputs'!$M$80), OR('Cost Inputs'!$M$80=1)),
IF(ISNUMBER($T$55), $E228+($E$78*(($E228/$E$78)+$T$55)), $E228),""),"")), ""),""),"")</f>
        <v/>
      </c>
      <c r="AC228" s="364" t="str">
        <f>IF($T$3="N.B.C.",
IF(ISNUMBER($B$215),
IF($C228&lt;&gt;"",
IF('Cost Inputs'!$L$80="Y",
IF(ISNUMBER($U$55), $E228+($E$78*(($E228/$E$78)+$U$55)), $E228),
IF('Cost Inputs'!$L$80="N",
IF(AND(ISNUMBER('Cost Inputs'!$M$80), OR('Cost Inputs'!$M$80=1,'Cost Inputs'!$M$80=2,'Cost Inputs'!$M$80=3,'Cost Inputs'!$M$80=4,'Cost Inputs'!$M$80=6)),
IF(ISNUMBER($U$55), $E228+($E$78*(($E228/$E$78)+$U$55)), $E228),""),"")), ""),""),"")</f>
        <v/>
      </c>
      <c r="AD228" s="364" t="str">
        <f>IF($U$3="N.B.C.",
IF(ISNUMBER($B$215),
IF($C228&lt;&gt;"",
IF('Cost Inputs'!$L$80="Y",
IF(ISNUMBER($V$55), $E228+($E$78*(($E228/$E$78)+$V$55)), $E228),
IF('Cost Inputs'!$L$80="N",
IF(AND(ISNUMBER('Cost Inputs'!$M$80), OR('Cost Inputs'!$M$80=1)),
IF(ISNUMBER($V$55), $E228+($E$78*(($E228/$E$78)+$V$55)), $E228),""),"")), ""),""),"")</f>
        <v/>
      </c>
      <c r="AE228" s="364" t="str">
        <f>IF($V$3="N.B.C.",
IF(ISNUMBER($B$215),
IF($C228&lt;&gt;"",
IF('Cost Inputs'!$L$80="Y",
IF(ISNUMBER($W$55), $E228+($E$78*(($E228/$E$78)+$W$55)), $E228),
IF('Cost Inputs'!$L$80="N",
IF(AND(ISNUMBER('Cost Inputs'!$M$80), OR('Cost Inputs'!$M$80=1,'Cost Inputs'!$M$80=2,'Cost Inputs'!$M$80=7)),
IF(ISNUMBER($W$55), $E228+($E$78*(($E228/$E$78)+$W$55)), $E228),""),"")), ""),""),"")</f>
        <v/>
      </c>
      <c r="AF228" s="364" t="str">
        <f>IF($W$3="N.B.C.",
IF(ISNUMBER($B$215),
IF($C228&lt;&gt;"",
IF('Cost Inputs'!$L$80="Y",
IF(ISNUMBER($X$55), $E228+($E$78*(($E228/$E$78)+$X$55)), $E228),
IF('Cost Inputs'!$L$80="N",
IF(AND(ISNUMBER('Cost Inputs'!$M$80), OR('Cost Inputs'!$M$80=1,'Cost Inputs'!$M$80=3,'Cost Inputs'!$M$80=5)),
IF(ISNUMBER($X$55), $E228+($E$78*(($E228/$E$78)+$X$55)), $E228),""),"")), ""),""),"")</f>
        <v/>
      </c>
      <c r="AG228" s="364" t="str">
        <f>IF($X$3="N.B.C.",
IF(ISNUMBER($B$215),
IF($C228&lt;&gt;"",
IF('Cost Inputs'!$L$80="Y",
IF(ISNUMBER($Y$55), $E228+($E$78*(($E228/$E$78)+$Y$55)), $E228),
IF('Cost Inputs'!$L$80="N",
IF(AND(ISNUMBER('Cost Inputs'!$M$80), OR('Cost Inputs'!$M$80=1,'Cost Inputs'!$M$80=2,'Cost Inputs'!$M$80=4,'Cost Inputs'!$M$80=8)),
IF(ISNUMBER($Y$55), $E228+($E$78*(($E228/$E$78)+$Y$55)), $E228),""),"")), ""),""),"")</f>
        <v/>
      </c>
    </row>
    <row r="229" spans="1:34" x14ac:dyDescent="0.25">
      <c r="A229" s="518"/>
      <c r="B229" s="504"/>
      <c r="C229" s="361" t="str">
        <f>IF(AND(ISNUMBER(B215), OR('Cost Inputs'!$H$81&lt;&gt;"", 'Cost Inputs'!$I$81&lt;&gt;"", 'Cost Inputs'!$J$81&lt;&gt;"")),
IF((INDEX(ProgramYearStage1,MATCH(DNA_Test_1,Years_in_Stage1,0)))='Model_ of_individuals'!B215,  _3_4_4,
IF(AND(ISNUMBER(B215), C208&lt;&gt;""), _3_4_4,"")),"")</f>
        <v/>
      </c>
      <c r="D229" s="93" t="str">
        <f>IF(AND(C229&lt;&gt;"", 'Cost Inputs'!$G$81&lt;&gt;""), 'Cost Inputs'!$G$81, "")</f>
        <v/>
      </c>
      <c r="E229" s="93" t="str">
        <f>IF(AND(C229&lt;&gt;"", 'Cost Inputs'!$H$81&lt;&gt;""), 'Cost Inputs'!$H$81, "")</f>
        <v/>
      </c>
      <c r="F229" s="93" t="str">
        <f>IF(AND(C229&lt;&gt;"", 'Cost Inputs'!$I$81&lt;&gt;""), 'Cost Inputs'!$I$81, "")</f>
        <v/>
      </c>
      <c r="G229" s="93" t="str">
        <f t="shared" si="10"/>
        <v/>
      </c>
      <c r="H229" s="93" t="str">
        <f>IF(AND(C229&lt;&gt;"", 'Cost Inputs'!$J$81&lt;&gt;""), 'Cost Inputs'!$J$81, "")</f>
        <v/>
      </c>
      <c r="I229" s="93" t="str">
        <f t="shared" si="12"/>
        <v/>
      </c>
      <c r="J229" s="93" t="str">
        <f>IF(AND(C229&lt;&gt;"",('Cost Inputs'!$I$81+'Cost Inputs'!$J$81+'Cost Inputs'!$K$81)&gt;0), 'Cost Inputs'!$I$81+'Cost Inputs'!$J$81+'Cost Inputs'!$K$81, "")</f>
        <v/>
      </c>
      <c r="K229" s="93" t="str">
        <f>IF(AND(C229&lt;&gt;"", 'Cost Inputs'!$N$81&gt;0),'Cost Inputs'!$N$81,"")</f>
        <v/>
      </c>
      <c r="L229" s="93"/>
      <c r="M229" s="109"/>
      <c r="X229" s="372" t="str">
        <f>IF($O$3="N.B.C.",
IF(ISNUMBER($B$215),
IF($C229&lt;&gt;"",
IF('Cost Inputs'!$L$81="Y",
IF(ISNUMBER($P$55), $E229+($E$78*(($E229/$E$78)+$P$55)), $E229),
IF('Cost Inputs'!$L$81="N",
IF(AND(ISNUMBER('Cost Inputs'!$M$81), OR('Cost Inputs'!$M$81=1,'Cost Inputs'!$M$81=7)),
IF(ISNUMBER($P$55), $E229+($E$78*(($E229/$E$78)+$P$55)), $E229),""),"")), ""),""),"")</f>
        <v/>
      </c>
      <c r="Y229" s="372" t="str">
        <f>IF($P$3="N.B.C.",
IF(ISNUMBER($B$215),
IF($C229&lt;&gt;"",
IF('Cost Inputs'!$L$81="Y",
IF(ISNUMBER($Q$55), $E229+($E$78*(($E229/$E$78)+$Q$55)), $E229),
IF('Cost Inputs'!$L$81="N",
IF(AND(ISNUMBER('Cost Inputs'!$M$81), OR('Cost Inputs'!$M$81=1,'Cost Inputs'!$M$81=2,'Cost Inputs'!$M$81=4,'Cost Inputs'!$M$81=8)),
IF(ISNUMBER($Q$55), $E229+($E$78*(($E229/$E$78)+$Q$55)), $E229),""),"")), ""),""),"")</f>
        <v/>
      </c>
      <c r="Z229" s="372" t="str">
        <f>IF($Q$3="N.B.C.",
IF(ISNUMBER($B$215),
IF($C229&lt;&gt;"",
IF('Cost Inputs'!$L$81="Y",
IF(ISNUMBER($R$55), $E229+($E$78*(($E229/$E$78)+$R$55)), $E229),
IF('Cost Inputs'!$L$81="N",
IF(AND(ISNUMBER('Cost Inputs'!$M$81), OR('Cost Inputs'!$M$81=1,'Cost Inputs'!$M$81=3,'Cost Inputs'!$M$81=9)),
IF(ISNUMBER($R$55), $E229+($E$78*(($E229/$E$78)+$R$55)), $E229),""),"")), ""),""),"")</f>
        <v/>
      </c>
      <c r="AA229" s="372" t="str">
        <f>IF($R$3="N.B.C.",
IF(ISNUMBER($B$215),
IF($C229&lt;&gt;"",
IF('Cost Inputs'!$L$81="Y",
IF(ISNUMBER($S$55), $E229+($E$78*(($E229/$E$78)+$S$55)), $E229),
IF('Cost Inputs'!$L$81="N",
IF(AND(ISNUMBER('Cost Inputs'!$M$81), OR('Cost Inputs'!$M$81=1,'Cost Inputs'!$M$81=2,'Cost Inputs'!$M$81=5)),
IF(ISNUMBER($S$55), $E229+($E$78*(($E229/$E$78)+$S$55)), $E229),""),"")), ""),""),"")</f>
        <v/>
      </c>
      <c r="AB229" s="372" t="str">
        <f>IF($S$3="N.B.C.",
IF(ISNUMBER($B$215),
IF($C229&lt;&gt;"",
IF('Cost Inputs'!$L$81="Y",
IF(ISNUMBER($T$55), $E229+($E$78*(($E229/$E$78)+$T$55)), $E229),
IF('Cost Inputs'!$L$81="N",
IF(AND(ISNUMBER('Cost Inputs'!$M$81), OR('Cost Inputs'!$M$81=1)),
IF(ISNUMBER($T$55), $E229+($E$78*(($E229/$E$78)+$T$55)), $E229),""),"")), ""),""),"")</f>
        <v/>
      </c>
      <c r="AC229" s="372" t="str">
        <f>IF($T$3="N.B.C.",
IF(ISNUMBER($B$215),
IF($C229&lt;&gt;"",
IF('Cost Inputs'!$L$81="Y",
IF(ISNUMBER($U$55), $E229+($E$78*(($E229/$E$78)+$U$55)), $E229),
IF('Cost Inputs'!$L$81="N",
IF(AND(ISNUMBER('Cost Inputs'!$M$81), OR('Cost Inputs'!$M$81=1,'Cost Inputs'!$M$81=2,'Cost Inputs'!$M$81=3,'Cost Inputs'!$M$81=4,'Cost Inputs'!$M$81=6)),
IF(ISNUMBER($U$55), $E229+($E$78*(($E229/$E$78)+$U$55)), $E229),""),"")), ""),""),"")</f>
        <v/>
      </c>
      <c r="AD229" s="372" t="str">
        <f>IF($U$3="N.B.C.",
IF(ISNUMBER($B$215),
IF($C229&lt;&gt;"",
IF('Cost Inputs'!$L$81="Y",
IF(ISNUMBER($V$55), $E229+($E$78*(($E229/$E$78)+$V$55)), $E229),
IF('Cost Inputs'!$L$81="N",
IF(AND(ISNUMBER('Cost Inputs'!$M$81), OR('Cost Inputs'!$M$81=1)),
IF(ISNUMBER($V$55), $E229+($E$78*(($E229/$E$78)+$V$55)), $E229),""),"")), ""),""),"")</f>
        <v/>
      </c>
      <c r="AE229" s="372" t="str">
        <f>IF($V$3="N.B.C.",
IF(ISNUMBER($B$215),
IF($C229&lt;&gt;"",
IF('Cost Inputs'!$L$81="Y",
IF(ISNUMBER($W$55), $E229+($E$78*(($E229/$E$78)+$W$55)), $E229),
IF('Cost Inputs'!$L$81="N",
IF(AND(ISNUMBER('Cost Inputs'!$M$81), OR('Cost Inputs'!$M$81=1,'Cost Inputs'!$M$81=2,'Cost Inputs'!$M$81=7)),
IF(ISNUMBER($W$55), $E229+($E$78*(($E229/$E$78)+$W$55)), $E229),""),"")), ""),""),"")</f>
        <v/>
      </c>
      <c r="AF229" s="372" t="str">
        <f>IF($W$3="N.B.C.",
IF(ISNUMBER($B$215),
IF($C229&lt;&gt;"",
IF('Cost Inputs'!$L$81="Y",
IF(ISNUMBER($X$55), $E229+($E$78*(($E229/$E$78)+$X$55)), $E229),
IF('Cost Inputs'!$L$81="N",
IF(AND(ISNUMBER('Cost Inputs'!$M$81), OR('Cost Inputs'!$M$81=1,'Cost Inputs'!$M$81=3,'Cost Inputs'!$M$81=5)),
IF(ISNUMBER($X$55), $E229+($E$78*(($E229/$E$78)+$X$55)), $E229),""),"")), ""),""),"")</f>
        <v/>
      </c>
      <c r="AG229" s="372" t="str">
        <f>IF($X$3="N.B.C.",
IF(ISNUMBER($B$215),
IF($C229&lt;&gt;"",
IF('Cost Inputs'!$L$81="Y",
IF(ISNUMBER($Y$55), $E229+($E$78*(($E229/$E$78)+$Y$55)), $E229),
IF('Cost Inputs'!$L$81="N",
IF(AND(ISNUMBER('Cost Inputs'!$M$81), OR('Cost Inputs'!$M$81=1,'Cost Inputs'!$M$81=2,'Cost Inputs'!$M$81=4,'Cost Inputs'!$M$81=8)),
IF(ISNUMBER($Y$55), $E229+($E$78*(($E229/$E$78)+$Y$55)), $E229),""),"")), ""),""),"")</f>
        <v/>
      </c>
    </row>
    <row r="230" spans="1:34" x14ac:dyDescent="0.25">
      <c r="A230" s="518"/>
      <c r="B230" s="504"/>
      <c r="C230" s="358" t="str">
        <f>IF(AND(ISNUMBER(B215), OR('Cost Inputs'!$H$82&lt;&gt;"", 'Cost Inputs'!$I$82&lt;&gt;"", 'Cost Inputs'!$J$82&lt;&gt;"")),
IF((INDEX(ProgramYearStage1,MATCH(DNA_Test_1,Years_in_Stage1,0)))='Model_ of_individuals'!B215,  _3_4_5,
IF(AND(ISNUMBER(B215), C209&lt;&gt;""), _3_4_5,"")),"")</f>
        <v/>
      </c>
      <c r="D230" s="17" t="str">
        <f>IF(AND(C230&lt;&gt;"", 'Cost Inputs'!$G$82&lt;&gt;""), 'Cost Inputs'!$G$82, "")</f>
        <v/>
      </c>
      <c r="E230" s="17" t="str">
        <f>IF(AND(C230&lt;&gt;"", 'Cost Inputs'!$H$82&lt;&gt;""), 'Cost Inputs'!$H$82, "")</f>
        <v/>
      </c>
      <c r="F230" s="17" t="str">
        <f>IF(AND(C230&lt;&gt;"", 'Cost Inputs'!$I$82&lt;&gt;""), 'Cost Inputs'!$I$82, "")</f>
        <v/>
      </c>
      <c r="G230" s="17" t="str">
        <f t="shared" si="10"/>
        <v/>
      </c>
      <c r="H230" s="17" t="str">
        <f>IF(AND(C230&lt;&gt;"", 'Cost Inputs'!$J$82&lt;&gt;""), 'Cost Inputs'!$J$82, "")</f>
        <v/>
      </c>
      <c r="I230" s="17" t="str">
        <f t="shared" si="12"/>
        <v/>
      </c>
      <c r="J230" s="17" t="str">
        <f>IF(AND(C230&lt;&gt;"",('Cost Inputs'!$I$82+'Cost Inputs'!$J$82+'Cost Inputs'!$K$82)&gt;0), 'Cost Inputs'!$I$82+'Cost Inputs'!$J$82+'Cost Inputs'!$K$82, "")</f>
        <v/>
      </c>
      <c r="K230" s="17" t="str">
        <f>IF(AND(C230&lt;&gt;"", 'Cost Inputs'!$N$82&gt;0),'Cost Inputs'!$N$82,"")</f>
        <v/>
      </c>
      <c r="M230" s="106"/>
      <c r="X230" s="364" t="str">
        <f>IF($O$3="N.B.C.",
IF(ISNUMBER($B$215),
IF($C230&lt;&gt;"",
IF('Cost Inputs'!$L$82="Y",
IF(ISNUMBER($P$55), $E230+($E$78*(($E230/$E$78)+$P$55)), $E230),
IF('Cost Inputs'!$L$82="N",
IF(AND(ISNUMBER('Cost Inputs'!$M$82), OR('Cost Inputs'!$M$82=1,'Cost Inputs'!$M$82=7)),
IF(ISNUMBER($P$55), $E230+($E$78*(($E230/$E$78)+$P$55)), $E230),""),"")), ""),""),"")</f>
        <v/>
      </c>
      <c r="Y230" s="364" t="str">
        <f>IF($P$3="N.B.C.",
IF(ISNUMBER($B$215),
IF($C230&lt;&gt;"",
IF('Cost Inputs'!$L$82="Y",
IF(ISNUMBER($Q$55), $E230+($E$78*(($E230/$E$78)+$Q$55)), $E230),
IF('Cost Inputs'!$L$82="N",
IF(AND(ISNUMBER('Cost Inputs'!$M$82), OR('Cost Inputs'!$M$82=1,'Cost Inputs'!$M$82=2,'Cost Inputs'!$M$82=4,'Cost Inputs'!$M$82=8)),
IF(ISNUMBER($Q$55), $E230+($E$78*(($E230/$E$78)+$Q$55)), $E230),""),"")), ""),""),"")</f>
        <v/>
      </c>
      <c r="Z230" s="364" t="str">
        <f>IF($Q$3="N.B.C.",
IF(ISNUMBER($B$215),
IF($C230&lt;&gt;"",
IF('Cost Inputs'!$L$82="Y",
IF(ISNUMBER($R$55), $E230+($E$78*(($E230/$E$78)+$R$55)), $E230),
IF('Cost Inputs'!$L$82="N",
IF(AND(ISNUMBER('Cost Inputs'!$M$82), OR('Cost Inputs'!$M$82=1,'Cost Inputs'!$M$82=3,'Cost Inputs'!$M$82=9)),
IF(ISNUMBER($R$55), $E230+($E$78*(($E230/$E$78)+$R$55)), $E230),""),"")), ""),""),"")</f>
        <v/>
      </c>
      <c r="AA230" s="364" t="str">
        <f>IF($R$3="N.B.C.",
IF(ISNUMBER($B$215),
IF($C230&lt;&gt;"",
IF('Cost Inputs'!$L$82="Y",
IF(ISNUMBER($S$55), $E230+($E$78*(($E230/$E$78)+$S$55)), $E230),
IF('Cost Inputs'!$L$82="N",
IF(AND(ISNUMBER('Cost Inputs'!$M$82), OR('Cost Inputs'!$M$82=1,'Cost Inputs'!$M$82=2,'Cost Inputs'!$M$82=5)),
IF(ISNUMBER($S$55), $E230+($E$78*(($E230/$E$78)+$S$55)), $E230),""),"")), ""),""),"")</f>
        <v/>
      </c>
      <c r="AB230" s="364" t="str">
        <f>IF($S$3="N.B.C.",
IF(ISNUMBER($B$215),
IF($C230&lt;&gt;"",
IF('Cost Inputs'!$L$82="Y",
IF(ISNUMBER($T$55), $E230+($E$78*(($E230/$E$78)+$T$55)), $E230),
IF('Cost Inputs'!$L$82="N",
IF(AND(ISNUMBER('Cost Inputs'!$M$82), OR('Cost Inputs'!$M$82=1)),
IF(ISNUMBER($T$55), $E230+($E$78*(($E230/$E$78)+$T$55)), $E230),""),"")), ""),""),"")</f>
        <v/>
      </c>
      <c r="AC230" s="364" t="str">
        <f>IF($T$3="N.B.C.",
IF(ISNUMBER($B$215),
IF($C230&lt;&gt;"",
IF('Cost Inputs'!$L$82="Y",
IF(ISNUMBER($U$55), $E230+($E$78*(($E230/$E$78)+$U$55)), $E230),
IF('Cost Inputs'!$L$82="N",
IF(AND(ISNUMBER('Cost Inputs'!$M$82), OR('Cost Inputs'!$M$82=1,'Cost Inputs'!$M$82=2,'Cost Inputs'!$M$82=3,'Cost Inputs'!$M$82=4,'Cost Inputs'!$M$82=6)),
IF(ISNUMBER($U$55), $E230+($E$78*(($E230/$E$78)+$U$55)), $E230),""),"")), ""),""),"")</f>
        <v/>
      </c>
      <c r="AD230" s="364" t="str">
        <f>IF($U$3="N.B.C.",
IF(ISNUMBER($B$215),
IF($C230&lt;&gt;"",
IF('Cost Inputs'!$L$82="Y",
IF(ISNUMBER($V$55), $E230+($E$78*(($E230/$E$78)+$V$55)), $E230),
IF('Cost Inputs'!$L$82="N",
IF(AND(ISNUMBER('Cost Inputs'!$M$82), OR('Cost Inputs'!$M$82=1)),
IF(ISNUMBER($V$55), $E230+($E$78*(($E230/$E$78)+$V$55)), $E230),""),"")), ""),""),"")</f>
        <v/>
      </c>
      <c r="AE230" s="364" t="str">
        <f>IF($V$3="N.B.C.",
IF(ISNUMBER($B$215),
IF($C230&lt;&gt;"",
IF('Cost Inputs'!$L$82="Y",
IF(ISNUMBER($W$55), $E230+($E$78*(($E230/$E$78)+$W$55)), $E230),
IF('Cost Inputs'!$L$82="N",
IF(AND(ISNUMBER('Cost Inputs'!$M$82), OR('Cost Inputs'!$M$82=1,'Cost Inputs'!$M$82=2,'Cost Inputs'!$M$82=7)),
IF(ISNUMBER($W$55), $E230+($E$78*(($E230/$E$78)+$W$55)), $E230),""),"")), ""),""),"")</f>
        <v/>
      </c>
      <c r="AF230" s="364" t="str">
        <f>IF($W$3="N.B.C.",
IF(ISNUMBER($B$215),
IF($C230&lt;&gt;"",
IF('Cost Inputs'!$L$82="Y",
IF(ISNUMBER($X$55), $E230+($E$78*(($E230/$E$78)+$X$55)), $E230),
IF('Cost Inputs'!$L$82="N",
IF(AND(ISNUMBER('Cost Inputs'!$M$82), OR('Cost Inputs'!$M$82=1,'Cost Inputs'!$M$82=3,'Cost Inputs'!$M$82=5)),
IF(ISNUMBER($X$55), $E230+($E$78*(($E230/$E$78)+$X$55)), $E230),""),"")), ""),""),"")</f>
        <v/>
      </c>
      <c r="AG230" s="364" t="str">
        <f>IF($X$3="N.B.C.",
IF(ISNUMBER($B$215),
IF($C230&lt;&gt;"",
IF('Cost Inputs'!$L$82="Y",
IF(ISNUMBER($Y$55), $E230+($E$78*(($E230/$E$78)+$Y$55)), $E230),
IF('Cost Inputs'!$L$82="N",
IF(AND(ISNUMBER('Cost Inputs'!$M$82), OR('Cost Inputs'!$M$82=1,'Cost Inputs'!$M$82=2,'Cost Inputs'!$M$82=4,'Cost Inputs'!$M$82=8)),
IF(ISNUMBER($Y$55), $E230+($E$78*(($E230/$E$78)+$Y$55)), $E230),""),"")), ""),""),"")</f>
        <v/>
      </c>
    </row>
    <row r="231" spans="1:34" x14ac:dyDescent="0.25">
      <c r="A231" s="518"/>
      <c r="B231" s="504"/>
      <c r="C231" s="361" t="str">
        <f>IF(AND(ISNUMBER(B215), OR('Cost Inputs'!$H$83&lt;&gt;"", 'Cost Inputs'!$I$83&lt;&gt;"", 'Cost Inputs'!$J$83&lt;&gt;"")),
IF((INDEX(ProgramYearStage1,MATCH(DNA_Test_1,Years_in_Stage1,0)))='Model_ of_individuals'!B215,  _3_4_6,
IF(AND(ISNUMBER(B215), C210&lt;&gt;""), _3_4_6,"")),"")</f>
        <v/>
      </c>
      <c r="D231" s="93" t="str">
        <f>IF(AND(C231&lt;&gt;"", 'Cost Inputs'!$G$83&lt;&gt;""), 'Cost Inputs'!$G$83, "")</f>
        <v/>
      </c>
      <c r="E231" s="93" t="str">
        <f>IF(AND(C231&lt;&gt;"", 'Cost Inputs'!$H$83&lt;&gt;""), 'Cost Inputs'!$H$83, "")</f>
        <v/>
      </c>
      <c r="F231" s="93" t="str">
        <f>IF(AND(C231&lt;&gt;"", 'Cost Inputs'!$I$83&lt;&gt;""), 'Cost Inputs'!$I$83, "")</f>
        <v/>
      </c>
      <c r="G231" s="93" t="str">
        <f t="shared" si="10"/>
        <v/>
      </c>
      <c r="H231" s="93" t="str">
        <f>IF(AND(C231&lt;&gt;"", 'Cost Inputs'!$J$83&lt;&gt;""), 'Cost Inputs'!$J$83, "")</f>
        <v/>
      </c>
      <c r="I231" s="93" t="str">
        <f t="shared" si="12"/>
        <v/>
      </c>
      <c r="J231" s="93" t="str">
        <f>IF(AND(C231&lt;&gt;"",('Cost Inputs'!$I$83+'Cost Inputs'!$J$83+'Cost Inputs'!$K$83)&gt;0), 'Cost Inputs'!$I$83+'Cost Inputs'!$J$83+'Cost Inputs'!$K$83, "")</f>
        <v/>
      </c>
      <c r="K231" s="93" t="str">
        <f>IF(AND(C231&lt;&gt;"", 'Cost Inputs'!$N$83&gt;0),'Cost Inputs'!$N$83,"")</f>
        <v/>
      </c>
      <c r="L231" s="93"/>
      <c r="M231" s="109"/>
      <c r="X231" s="372" t="str">
        <f>IF($O$3="N.B.C.",
IF(ISNUMBER($B$215),
IF($C231&lt;&gt;"",
IF('Cost Inputs'!$L$83="Y",
IF(ISNUMBER($P$55), $E231+($E$78*(($E231/$E$78)+$P$55)), $E231),
IF('Cost Inputs'!$L$83="N",
IF(AND(ISNUMBER('Cost Inputs'!$M$83), OR('Cost Inputs'!$M$83=1,'Cost Inputs'!$M$83=7)),
IF(ISNUMBER($P$55), $E231+($E$78*(($E231/$E$78)+$P$55)), $E231),""),"")), ""),""),"")</f>
        <v/>
      </c>
      <c r="Y231" s="372" t="str">
        <f>IF($P$3="N.B.C.",
IF(ISNUMBER($B$215),
IF($C231&lt;&gt;"",
IF('Cost Inputs'!$L$83="Y",
IF(ISNUMBER($Q$55), $E231+($E$78*(($E231/$E$78)+$Q$55)), $E231),
IF('Cost Inputs'!$L$83="N",
IF(AND(ISNUMBER('Cost Inputs'!$M$83), OR('Cost Inputs'!$M$83=1,'Cost Inputs'!$M$83=2,'Cost Inputs'!$M$83=4,'Cost Inputs'!$M$83=8)),
IF(ISNUMBER($Q$55), $E231+($E$78*(($E231/$E$78)+$Q$55)), $E231),""),"")), ""),""),"")</f>
        <v/>
      </c>
      <c r="Z231" s="372" t="str">
        <f>IF($Q$3="N.B.C.",
IF(ISNUMBER($B$215),
IF($C231&lt;&gt;"",
IF('Cost Inputs'!$L$83="Y",
IF(ISNUMBER($R$55), $E231+($E$78*(($E231/$E$78)+$R$55)), $E231),
IF('Cost Inputs'!$L$83="N",
IF(AND(ISNUMBER('Cost Inputs'!$M$83), OR('Cost Inputs'!$M$83=1,'Cost Inputs'!$M$83=3,'Cost Inputs'!$M$83=9)),
IF(ISNUMBER($R$55), $E231+($E$78*(($E231/$E$78)+$R$55)), $E231),""),"")), ""),""),"")</f>
        <v/>
      </c>
      <c r="AA231" s="372" t="str">
        <f>IF($R$3="N.B.C.",
IF(ISNUMBER($B$215),
IF($C231&lt;&gt;"",
IF('Cost Inputs'!$L$83="Y",
IF(ISNUMBER($S$55), $E231+($E$78*(($E231/$E$78)+$S$55)), $E231),
IF('Cost Inputs'!$L$83="N",
IF(AND(ISNUMBER('Cost Inputs'!$M$83), OR('Cost Inputs'!$M$83=1,'Cost Inputs'!$M$83=2,'Cost Inputs'!$M$83=5)),
IF(ISNUMBER($S$55), $E231+($E$78*(($E231/$E$78)+$S$55)), $E231),""),"")), ""),""),"")</f>
        <v/>
      </c>
      <c r="AB231" s="372" t="str">
        <f>IF($S$3="N.B.C.",
IF(ISNUMBER($B$215),
IF($C231&lt;&gt;"",
IF('Cost Inputs'!$L$83="Y",
IF(ISNUMBER($T$55), $E231+($E$78*(($E231/$E$78)+$T$55)), $E231),
IF('Cost Inputs'!$L$83="N",
IF(AND(ISNUMBER('Cost Inputs'!$M$83), OR('Cost Inputs'!$M$83=1)),
IF(ISNUMBER($T$55), $E231+($E$78*(($E231/$E$78)+$T$55)), $E231),""),"")), ""),""),"")</f>
        <v/>
      </c>
      <c r="AC231" s="372" t="str">
        <f>IF($T$3="N.B.C.",
IF(ISNUMBER($B$215),
IF($C231&lt;&gt;"",
IF('Cost Inputs'!$L$83="Y",
IF(ISNUMBER($U$55), $E231+($E$78*(($E231/$E$78)+$U$55)), $E231),
IF('Cost Inputs'!$L$83="N",
IF(AND(ISNUMBER('Cost Inputs'!$M$83), OR('Cost Inputs'!$M$83=1,'Cost Inputs'!$M$83=2,'Cost Inputs'!$M$83=3,'Cost Inputs'!$M$83=4,'Cost Inputs'!$M$83=6)),
IF(ISNUMBER($U$55), $E231+($E$78*(($E231/$E$78)+$U$55)), $E231),""),"")), ""),""),"")</f>
        <v/>
      </c>
      <c r="AD231" s="372" t="str">
        <f>IF($U$3="N.B.C.",
IF(ISNUMBER($B$215),
IF($C231&lt;&gt;"",
IF('Cost Inputs'!$L$83="Y",
IF(ISNUMBER($V$55), $E231+($E$78*(($E231/$E$78)+$V$55)), $E231),
IF('Cost Inputs'!$L$83="N",
IF(AND(ISNUMBER('Cost Inputs'!$M$83), OR('Cost Inputs'!$M$83=1)),
IF(ISNUMBER($V$55), $E231+($E$78*(($E231/$E$78)+$V$55)), $E231),""),"")), ""),""),"")</f>
        <v/>
      </c>
      <c r="AE231" s="372" t="str">
        <f>IF($V$3="N.B.C.",
IF(ISNUMBER($B$215),
IF($C231&lt;&gt;"",
IF('Cost Inputs'!$L$83="Y",
IF(ISNUMBER($W$55), $E231+($E$78*(($E231/$E$78)+$W$55)), $E231),
IF('Cost Inputs'!$L$83="N",
IF(AND(ISNUMBER('Cost Inputs'!$M$83), OR('Cost Inputs'!$M$83=1,'Cost Inputs'!$M$83=2,'Cost Inputs'!$M$83=7)),
IF(ISNUMBER($W$55), $E231+($E$78*(($E231/$E$78)+$W$55)), $E231),""),"")), ""),""),"")</f>
        <v/>
      </c>
      <c r="AF231" s="372" t="str">
        <f>IF($W$3="N.B.C.",
IF(ISNUMBER($B$215),
IF($C231&lt;&gt;"",
IF('Cost Inputs'!$L$83="Y",
IF(ISNUMBER($X$55), $E231+($E$78*(($E231/$E$78)+$X$55)), $E231),
IF('Cost Inputs'!$L$83="N",
IF(AND(ISNUMBER('Cost Inputs'!$M$83), OR('Cost Inputs'!$M$83=1,'Cost Inputs'!$M$83=3,'Cost Inputs'!$M$83=5)),
IF(ISNUMBER($X$55), $E231+($E$78*(($E231/$E$78)+$X$55)), $E231),""),"")), ""),""),"")</f>
        <v/>
      </c>
      <c r="AG231" s="372" t="str">
        <f>IF($X$3="N.B.C.",
IF(ISNUMBER($B$215),
IF($C231&lt;&gt;"",
IF('Cost Inputs'!$L$83="Y",
IF(ISNUMBER($Y$55), $E231+($E$78*(($E231/$E$78)+$Y$55)), $E231),
IF('Cost Inputs'!$L$83="N",
IF(AND(ISNUMBER('Cost Inputs'!$M$83), OR('Cost Inputs'!$M$83=1,'Cost Inputs'!$M$83=2,'Cost Inputs'!$M$83=4,'Cost Inputs'!$M$83=8)),
IF(ISNUMBER($Y$55), $E231+($E$78*(($E231/$E$78)+$Y$55)), $E231),""),"")), ""),""),"")</f>
        <v/>
      </c>
    </row>
    <row r="232" spans="1:34" x14ac:dyDescent="0.25">
      <c r="A232" s="518"/>
      <c r="B232" s="504"/>
      <c r="C232" s="489" t="str">
        <f>IF('Model_ of_individuals'!C225&lt;&gt;"",
IF((INDEX(ProgramYearStage1,MATCH(DNA_Test_1,Years_in_Stage1,0)))='Model_ of_individuals'!B215, "Percentage decrease in marker culling",""),"")</f>
        <v/>
      </c>
      <c r="D232" s="490"/>
      <c r="E232" s="490"/>
      <c r="F232" s="490"/>
      <c r="G232" s="490"/>
      <c r="H232" s="490"/>
      <c r="I232" s="490"/>
      <c r="J232" s="490"/>
      <c r="K232" s="490"/>
      <c r="L232" s="490"/>
      <c r="M232" s="491"/>
      <c r="X232" s="364" t="str">
        <f>IF($O$3="N.B.C.",
IF(ISNUMBER($B$215),
IF($C232&lt;&gt;"",
IF('Cost Inputs'!$L$84="Y",
IF(ISNUMBER($P$55), $E232+($E$78*(($E232/$E$78)+$P$55)), $E232),
IF('Cost Inputs'!$L$84="N",
IF(AND(ISNUMBER('Cost Inputs'!$M$84), OR('Cost Inputs'!$M$84=1,'Cost Inputs'!$M$84=7)),
IF(ISNUMBER($P$55), $E232+($E$78*(($E232/$E$78)+$P$55)), $E232),""),"")), ""),""),"")</f>
        <v/>
      </c>
      <c r="Y232" s="364" t="str">
        <f>IF($P$3="N.B.C.",
IF(ISNUMBER($B$215),
IF($C232&lt;&gt;"",
IF('Cost Inputs'!$L$84="Y",
IF(ISNUMBER($Q$55), $E232+($E$78*(($E232/$E$78)+$Q$55)), $E232),
IF('Cost Inputs'!$L$84="N",
IF(AND(ISNUMBER('Cost Inputs'!$M$84), OR('Cost Inputs'!$M$84=1,'Cost Inputs'!$M$84=2,'Cost Inputs'!$M$84=4,'Cost Inputs'!$M$84=8)),
IF(ISNUMBER($Q$55), $E232+($E$78*(($E232/$E$78)+$Q$55)), $E232),""),"")), ""),""),"")</f>
        <v/>
      </c>
      <c r="Z232" s="364" t="str">
        <f>IF($Q$3="N.B.C.",
IF(ISNUMBER($B$215),
IF($C232&lt;&gt;"",
IF('Cost Inputs'!$L$84="Y",
IF(ISNUMBER($R$55), $E232+($E$78*(($E232/$E$78)+$R$55)), $E232),
IF('Cost Inputs'!$L$84="N",
IF(AND(ISNUMBER('Cost Inputs'!$M$84), OR('Cost Inputs'!$M$84=1,'Cost Inputs'!$M$84=3,'Cost Inputs'!$M$84=9)),
IF(ISNUMBER($R$55), $E232+($E$78*(($E232/$E$78)+$R$55)), $E232),""),"")), ""),""),"")</f>
        <v/>
      </c>
      <c r="AA232" s="364" t="str">
        <f>IF($R$3="N.B.C.",
IF(ISNUMBER($B$215),
IF($C232&lt;&gt;"",
IF('Cost Inputs'!$L$84="Y",
IF(ISNUMBER($S$55), $E232+($E$78*(($E232/$E$78)+$S$55)), $E232),
IF('Cost Inputs'!$L$84="N",
IF(AND(ISNUMBER('Cost Inputs'!$M$84), OR('Cost Inputs'!$M$84=1,'Cost Inputs'!$M$84=2,'Cost Inputs'!$M$84=5)),
IF(ISNUMBER($S$55), $E232+($E$78*(($E232/$E$78)+$S$55)), $E232),""),"")), ""),""),"")</f>
        <v/>
      </c>
      <c r="AB232" s="364" t="str">
        <f>IF($S$3="N.B.C.",
IF(ISNUMBER($B$215),
IF($C232&lt;&gt;"",
IF('Cost Inputs'!$L$84="Y",
IF(ISNUMBER($T$55), $E232+($E$78*(($E232/$E$78)+$T$55)), $E232),
IF('Cost Inputs'!$L$84="N",
IF(AND(ISNUMBER('Cost Inputs'!$M$84), OR('Cost Inputs'!$M$84=1)),
IF(ISNUMBER($T$55), $E232+($E$78*(($E232/$E$78)+$T$55)), $E232),""),"")), ""),""),"")</f>
        <v/>
      </c>
      <c r="AC232" s="364" t="str">
        <f>IF($T$3="N.B.C.",
IF(ISNUMBER($B$215),
IF($C232&lt;&gt;"",
IF('Cost Inputs'!$L$84="Y",
IF(ISNUMBER($U$55), $E232+($E$78*(($E232/$E$78)+$U$55)), $E232),
IF('Cost Inputs'!$L$84="N",
IF(AND(ISNUMBER('Cost Inputs'!$M$84), OR('Cost Inputs'!$M$84=1,'Cost Inputs'!$M$84=2,'Cost Inputs'!$M$84=3,'Cost Inputs'!$M$84=4,'Cost Inputs'!$M$84=6)),
IF(ISNUMBER($U$55), $E232+($E$78*(($E232/$E$78)+$U$55)), $E232),""),"")), ""),""),"")</f>
        <v/>
      </c>
      <c r="AD232" s="364" t="str">
        <f>IF($U$3="N.B.C.",
IF(ISNUMBER($B$215),
IF($C232&lt;&gt;"",
IF('Cost Inputs'!$L$84="Y",
IF(ISNUMBER($V$55), $E232+($E$78*(($E232/$E$78)+$V$55)), $E232),
IF('Cost Inputs'!$L$84="N",
IF(AND(ISNUMBER('Cost Inputs'!$M$84), OR('Cost Inputs'!$M$84=1)),
IF(ISNUMBER($V$55), $E232+($E$78*(($E232/$E$78)+$V$55)), $E232),""),"")), ""),""),"")</f>
        <v/>
      </c>
      <c r="AE232" s="364" t="str">
        <f>IF($V$3="N.B.C.",
IF(ISNUMBER($B$215),
IF($C232&lt;&gt;"",
IF('Cost Inputs'!$L$84="Y",
IF(ISNUMBER($W$55), $E232+($E$78*(($E232/$E$78)+$W$55)), $E232),
IF('Cost Inputs'!$L$84="N",
IF(AND(ISNUMBER('Cost Inputs'!$M$84), OR('Cost Inputs'!$M$84=1,'Cost Inputs'!$M$84=2,'Cost Inputs'!$M$84=7)),
IF(ISNUMBER($W$55), $E232+($E$78*(($E232/$E$78)+$W$55)), $E232),""),"")), ""),""),"")</f>
        <v/>
      </c>
      <c r="AF232" s="364" t="str">
        <f>IF($W$3="N.B.C.",
IF(ISNUMBER($B$215),
IF($C232&lt;&gt;"",
IF('Cost Inputs'!$L$84="Y",
IF(ISNUMBER($X$55), $E232+($E$78*(($E232/$E$78)+$X$55)), $E232),
IF('Cost Inputs'!$L$84="N",
IF(AND(ISNUMBER('Cost Inputs'!$M$84), OR('Cost Inputs'!$M$84=1,'Cost Inputs'!$M$84=3,'Cost Inputs'!$M$84=5)),
IF(ISNUMBER($X$55), $E232+($E$78*(($E232/$E$78)+$X$55)), $E232),""),"")), ""),""),"")</f>
        <v/>
      </c>
      <c r="AG232" s="364" t="str">
        <f>IF($X$3="N.B.C.",
IF(ISNUMBER($B$215),
IF($C232&lt;&gt;"",
IF('Cost Inputs'!$L$84="Y",
IF(ISNUMBER($Y$55), $E232+($E$78*(($E232/$E$78)+$Y$55)), $E232),
IF('Cost Inputs'!$L$84="N",
IF(AND(ISNUMBER('Cost Inputs'!$M$84), OR('Cost Inputs'!$M$84=1,'Cost Inputs'!$M$84=2,'Cost Inputs'!$M$84=4,'Cost Inputs'!$M$84=8)),
IF(ISNUMBER($Y$55), $E232+($E$78*(($E232/$E$78)+$Y$55)), $E232),""),"")), ""),""),"")</f>
        <v/>
      </c>
    </row>
    <row r="233" spans="1:34" x14ac:dyDescent="0.25">
      <c r="A233" s="518"/>
      <c r="B233" s="504"/>
      <c r="C233" s="110" t="str">
        <f>IF(ISNUMBER(B215), _3_5_0,"")</f>
        <v/>
      </c>
      <c r="D233" s="94" t="str">
        <f>IF(AND(B215&lt;&gt;"", OR('Cost Inputs'!$H$84&lt;&gt;"", 'Cost Inputs'!$I$84&lt;&gt;"", 'Cost Inputs'!$J$84&lt;&gt;"")), 'Cost Inputs'!$G$84,"")</f>
        <v/>
      </c>
      <c r="E233" s="94" t="str">
        <f>IF(AND(C233&lt;&gt;"", 'Cost Inputs'!$H$84&lt;&gt;""), 'Cost Inputs'!$H$84, "")</f>
        <v/>
      </c>
      <c r="F233" s="94" t="str">
        <f>IF(AND(C233&lt;&gt;"", 'Cost Inputs'!$I$84&lt;&gt;""), 'Cost Inputs'!$I$84, "")</f>
        <v/>
      </c>
      <c r="G233" s="102" t="str">
        <f t="shared" si="10"/>
        <v/>
      </c>
      <c r="H233" s="94" t="str">
        <f>IF(AND(C233&lt;&gt;"", 'Cost Inputs'!$J$84&lt;&gt;""), 'Cost Inputs'!$J$84, "")</f>
        <v/>
      </c>
      <c r="I233" s="94" t="str">
        <f>IF(AND($E233&lt;&gt;"", $H233&lt;&gt;""), $H233/$E233, "")</f>
        <v/>
      </c>
      <c r="J233" s="94" t="str">
        <f>IF(AND(C233&lt;&gt;"",('Cost Inputs'!$I$84+'Cost Inputs'!$J$84+'Cost Inputs'!$K$84)&gt;0), 'Cost Inputs'!$I$84+'Cost Inputs'!$J$84+'Cost Inputs'!$K$84, "")</f>
        <v/>
      </c>
      <c r="K233" s="102" t="str">
        <f>IF(AND(C233&lt;&gt;"", 'Cost Inputs'!$N$84&gt;0),'Cost Inputs'!$N$84,"")</f>
        <v/>
      </c>
      <c r="L233" s="94"/>
      <c r="M233" s="129" t="str">
        <f>IF(ISNUMBER(B215), 'Breeding Inputs'!D84+'Breeding Inputs'!E84, "")</f>
        <v/>
      </c>
      <c r="X233" s="373" t="str">
        <f>IF($O$3="N.B.C.", IF(ISNUMBER($B$215), IF('Cost Inputs'!$L$84="Y", $E$86, IF('Cost Inputs'!$L$84="N", IF(ISNUMBER('Cost Inputs'!$M$84), $E$86,""),"")), ""),"")</f>
        <v/>
      </c>
      <c r="Y233" s="373" t="str">
        <f>IF($P$3="N.B.C.", IF(ISNUMBER($B$215), IF('Cost Inputs'!$L$84="Y", $E$86, IF('Cost Inputs'!$L$84="N", IF(ISNUMBER('Cost Inputs'!$M$84), $E$86,""),"")), ""),"")</f>
        <v/>
      </c>
      <c r="Z233" s="373" t="str">
        <f>IF($Q$3="N.B.C.", IF(ISNUMBER($B$215), IF('Cost Inputs'!$L$84="Y", $E$86, IF('Cost Inputs'!$L$84="N", IF(ISNUMBER('Cost Inputs'!$M$84), $E$86,""),"")), ""),"")</f>
        <v/>
      </c>
      <c r="AA233" s="373" t="str">
        <f>IF($R$3="N.B.C.", IF(ISNUMBER($B$215), IF('Cost Inputs'!$L$84="Y", $E$86, IF('Cost Inputs'!$L$84="N", IF(ISNUMBER('Cost Inputs'!$M$84), $E$86,""),"")), ""),"")</f>
        <v/>
      </c>
      <c r="AB233" s="373" t="str">
        <f>IF($S$3="N.B.C.", IF(ISNUMBER($B$215), IF('Cost Inputs'!$L$84="Y", $E$86, IF('Cost Inputs'!$L$84="N", IF(ISNUMBER('Cost Inputs'!$M$84), $E$86,""),"")), ""),"")</f>
        <v/>
      </c>
      <c r="AC233" s="373" t="str">
        <f>IF($T$3="N.B.C.", IF(ISNUMBER($B$215), IF('Cost Inputs'!$L$84="Y", $E$86, IF('Cost Inputs'!$L$84="N", IF(ISNUMBER('Cost Inputs'!$M$84), $E$86,""),"")), ""),"")</f>
        <v/>
      </c>
      <c r="AD233" s="373" t="str">
        <f>IF($U$3="N.B.C.", IF(ISNUMBER($B$215), IF('Cost Inputs'!$L$84="Y", $E$86, IF('Cost Inputs'!$L$84="N", IF(ISNUMBER('Cost Inputs'!$M$84), $E$86,""),"")), ""),"")</f>
        <v/>
      </c>
      <c r="AE233" s="373" t="str">
        <f>IF($V$3="N.B.C.", IF(ISNUMBER($B$215), IF('Cost Inputs'!$L$84="Y", $E$86, IF('Cost Inputs'!$L$84="N", IF(ISNUMBER('Cost Inputs'!$M$84), $E$86,""),"")), ""),"")</f>
        <v/>
      </c>
      <c r="AF233" s="373" t="str">
        <f>IF($W$3="N.B.C.", IF(ISNUMBER($B$215), IF('Cost Inputs'!$L$84="Y", $E$86, IF('Cost Inputs'!$L$84="N", IF(ISNUMBER('Cost Inputs'!$M$84), $E$86,""),"")), ""),"")</f>
        <v/>
      </c>
      <c r="AG233" s="373" t="str">
        <f>IF($X$3="N.B.C.", IF(ISNUMBER($B$215), IF('Cost Inputs'!$L$84="Y", $E$86, IF('Cost Inputs'!$L$84="N", IF(ISNUMBER('Cost Inputs'!$M$84), $E$86,""),"")), ""),"")</f>
        <v/>
      </c>
    </row>
    <row r="234" spans="1:34" x14ac:dyDescent="0.25">
      <c r="A234" s="518"/>
      <c r="B234" s="504"/>
      <c r="C234" s="104" t="str">
        <f>IF(AND(ISNUMBER(B215), OR('Cost Inputs'!$H$85&lt;&gt;"", 'Cost Inputs'!$I$85&lt;&gt;"", 'Cost Inputs'!$J$85&lt;&gt;"")), _3_5_1, "")</f>
        <v/>
      </c>
      <c r="D234" s="17" t="str">
        <f>IF(AND(C234&lt;&gt;"", 'Cost Inputs'!$G$85&lt;&gt;""), 'Cost Inputs'!$G$85, "")</f>
        <v/>
      </c>
      <c r="E234" s="17" t="str">
        <f>IF(AND(C234&lt;&gt;"", 'Cost Inputs'!$H$85&lt;&gt;""), 'Cost Inputs'!$H$85, "")</f>
        <v/>
      </c>
      <c r="F234" s="17" t="str">
        <f>IF(AND(C234&lt;&gt;"", 'Cost Inputs'!$I$85&lt;&gt;""), 'Cost Inputs'!$I$85, "")</f>
        <v/>
      </c>
      <c r="G234" s="17" t="str">
        <f t="shared" si="10"/>
        <v/>
      </c>
      <c r="H234" s="17" t="str">
        <f>IF(AND(C234&lt;&gt;"", 'Cost Inputs'!$J$85&lt;&gt;""), 'Cost Inputs'!$J$85, "")</f>
        <v/>
      </c>
      <c r="I234" s="17" t="str">
        <f t="shared" si="12"/>
        <v/>
      </c>
      <c r="J234" s="17" t="str">
        <f>IF(AND(C234&lt;&gt;"",('Cost Inputs'!$I$85+'Cost Inputs'!$J$85+'Cost Inputs'!$K$85)&gt;0), 'Cost Inputs'!$I$85+'Cost Inputs'!$J$85+'Cost Inputs'!$K$85, "")</f>
        <v/>
      </c>
      <c r="K234" s="17" t="str">
        <f>IF(AND(C234&lt;&gt;"", 'Cost Inputs'!$N$85&gt;0),'Cost Inputs'!$N$85,"")</f>
        <v/>
      </c>
      <c r="M234" s="106"/>
      <c r="X234" s="364" t="str">
        <f>IF($O$3="N.B.C.", IF(ISNUMBER($B$215), IF('Cost Inputs'!$L$85="Y", $E$87, IF('Cost Inputs'!$L$85="N", IF(ISNUMBER('Cost Inputs'!$M$85), $E$87,""),"")), ""),"")</f>
        <v/>
      </c>
      <c r="Y234" s="364" t="str">
        <f>IF($P$3="N.B.C.", IF(ISNUMBER($B$215), IF('Cost Inputs'!$L$85="Y", $E$87, IF('Cost Inputs'!$L$85="N", IF(ISNUMBER('Cost Inputs'!$M$85), $E$87,""),"")), ""),"")</f>
        <v/>
      </c>
      <c r="Z234" s="364" t="str">
        <f>IF($Q$3="N.B.C.", IF(ISNUMBER($B$215), IF('Cost Inputs'!$L$85="Y", $E$87, IF('Cost Inputs'!$L$85="N", IF(ISNUMBER('Cost Inputs'!$M$85), $E$87,""),"")), ""),"")</f>
        <v/>
      </c>
      <c r="AA234" s="364" t="str">
        <f>IF($R$3="N.B.C.", IF(ISNUMBER($B$215), IF('Cost Inputs'!$L$85="Y", $E$87, IF('Cost Inputs'!$L$85="N", IF(ISNUMBER('Cost Inputs'!$M$85), $E$87,""),"")), ""),"")</f>
        <v/>
      </c>
      <c r="AB234" s="364" t="str">
        <f>IF($S$3="N.B.C.", IF(ISNUMBER($B$215), IF('Cost Inputs'!$L$85="Y", $E$87, IF('Cost Inputs'!$L$85="N", IF(ISNUMBER('Cost Inputs'!$M$85), $E$87,""),"")), ""),"")</f>
        <v/>
      </c>
      <c r="AC234" s="364" t="str">
        <f>IF($T$3="N.B.C.", IF(ISNUMBER($B$215), IF('Cost Inputs'!$L$85="Y", $E$87, IF('Cost Inputs'!$L$85="N", IF(ISNUMBER('Cost Inputs'!$M$85), $E$87,""),"")), ""),"")</f>
        <v/>
      </c>
      <c r="AD234" s="364" t="str">
        <f>IF($U$3="N.B.C.", IF(ISNUMBER($B$215), IF('Cost Inputs'!$L$85="Y", $E$87, IF('Cost Inputs'!$L$85="N", IF(ISNUMBER('Cost Inputs'!$M$85), $E$87,""),"")), ""),"")</f>
        <v/>
      </c>
      <c r="AE234" s="364" t="str">
        <f>IF($V$3="N.B.C.", IF(ISNUMBER($B$215), IF('Cost Inputs'!$L$85="Y", $E$87, IF('Cost Inputs'!$L$85="N", IF(ISNUMBER('Cost Inputs'!$M$85), $E$87,""),"")), ""),"")</f>
        <v/>
      </c>
      <c r="AF234" s="364" t="str">
        <f>IF($W$3="N.B.C.", IF(ISNUMBER($B$215), IF('Cost Inputs'!$L$85="Y", $E$87, IF('Cost Inputs'!$L$85="N", IF(ISNUMBER('Cost Inputs'!$M$85), $E$87,""),"")), ""),"")</f>
        <v/>
      </c>
      <c r="AG234" s="364" t="str">
        <f>IF($X$3="N.B.C.", IF(ISNUMBER($B$215), IF('Cost Inputs'!$L$85="Y", $E$87, IF('Cost Inputs'!$L$85="N", IF(ISNUMBER('Cost Inputs'!$M$85), $E$87,""),"")), ""),"")</f>
        <v/>
      </c>
    </row>
    <row r="235" spans="1:34" ht="15.75" thickBot="1" x14ac:dyDescent="0.3">
      <c r="A235" s="518"/>
      <c r="B235" s="505"/>
      <c r="C235" s="111" t="str">
        <f>IF(AND(ISNUMBER(B215), OR('Cost Inputs'!$H$86&lt;&gt;"", 'Cost Inputs'!$I$86&lt;&gt;"", 'Cost Inputs'!$J$86&lt;&gt;"")), _3_5_2, "")</f>
        <v/>
      </c>
      <c r="D235" s="95" t="str">
        <f>IF(AND(C235&lt;&gt;"", 'Cost Inputs'!$G$86&lt;&gt;""), 'Cost Inputs'!$G$86, "")</f>
        <v/>
      </c>
      <c r="E235" s="95" t="str">
        <f>IF(AND(C235&lt;&gt;"", 'Cost Inputs'!$H$86&lt;&gt;""), 'Cost Inputs'!$H$86, "")</f>
        <v/>
      </c>
      <c r="F235" s="95" t="str">
        <f>IF(AND(C235&lt;&gt;"", 'Cost Inputs'!$I$86&lt;&gt;""), 'Cost Inputs'!$I$86, "")</f>
        <v/>
      </c>
      <c r="G235" s="95" t="str">
        <f t="shared" si="10"/>
        <v/>
      </c>
      <c r="H235" s="95" t="str">
        <f>IF(AND(C235&lt;&gt;"", 'Cost Inputs'!$J$86&lt;&gt;""), 'Cost Inputs'!$J$86, "")</f>
        <v/>
      </c>
      <c r="I235" s="95" t="str">
        <f t="shared" si="12"/>
        <v/>
      </c>
      <c r="J235" s="95" t="str">
        <f>IF(AND(C235&lt;&gt;"",('Cost Inputs'!$I$86+'Cost Inputs'!$J$86+'Cost Inputs'!$K$86)&gt;0), 'Cost Inputs'!$I$86+'Cost Inputs'!$J$86+'Cost Inputs'!$K$86, "")</f>
        <v/>
      </c>
      <c r="K235" s="95" t="str">
        <f>IF(AND(C235&lt;&gt;"", 'Cost Inputs'!$N$86&gt;0),'Cost Inputs'!$N$86,"")</f>
        <v/>
      </c>
      <c r="L235" s="95"/>
      <c r="M235" s="113"/>
      <c r="X235" s="372" t="str">
        <f>IF($O$3="N.B.C.", IF(ISNUMBER($B$215), IF('Cost Inputs'!$L$86="Y", $E$88, IF('Cost Inputs'!$L$86="N", IF(ISNUMBER('Cost Inputs'!$M$86), $E$88,""),"")), ""),"")</f>
        <v/>
      </c>
      <c r="Y235" s="372" t="str">
        <f>IF($P$3="N.B.C.", IF(ISNUMBER($B$215), IF('Cost Inputs'!$L$86="Y", $E$88, IF('Cost Inputs'!$L$86="N", IF(ISNUMBER('Cost Inputs'!$M$86), $E$88,""),"")), ""),"")</f>
        <v/>
      </c>
      <c r="Z235" s="372" t="str">
        <f>IF($Q$3="N.B.C.", IF(ISNUMBER($B$215), IF('Cost Inputs'!$L$86="Y", $E$88, IF('Cost Inputs'!$L$86="N", IF(ISNUMBER('Cost Inputs'!$M$86), $E$88,""),"")), ""),"")</f>
        <v/>
      </c>
      <c r="AA235" s="372" t="str">
        <f>IF($R$3="N.B.C.", IF(ISNUMBER($B$215), IF('Cost Inputs'!$L$86="Y", $E$88, IF('Cost Inputs'!$L$86="N", IF(ISNUMBER('Cost Inputs'!$M$86), $E$88,""),"")), ""),"")</f>
        <v/>
      </c>
      <c r="AB235" s="372" t="str">
        <f>IF($S$3="N.B.C.", IF(ISNUMBER($B$215), IF('Cost Inputs'!$L$86="Y", $E$88, IF('Cost Inputs'!$L$86="N", IF(ISNUMBER('Cost Inputs'!$M$86), $E$88,""),"")), ""),"")</f>
        <v/>
      </c>
      <c r="AC235" s="372" t="str">
        <f>IF($T$3="N.B.C.", IF(ISNUMBER($B$215), IF('Cost Inputs'!$L$86="Y", $E$88, IF('Cost Inputs'!$L$86="N", IF(ISNUMBER('Cost Inputs'!$M$86), $E$88,""),"")), ""),"")</f>
        <v/>
      </c>
      <c r="AD235" s="372" t="str">
        <f>IF($U$3="N.B.C.", IF(ISNUMBER($B$215), IF('Cost Inputs'!$L$86="Y", $E$88, IF('Cost Inputs'!$L$86="N", IF(ISNUMBER('Cost Inputs'!$M$86), $E$88,""),"")), ""),"")</f>
        <v/>
      </c>
      <c r="AE235" s="372" t="str">
        <f>IF($V$3="N.B.C.", IF(ISNUMBER($B$215), IF('Cost Inputs'!$L$86="Y", $E$88, IF('Cost Inputs'!$L$86="N", IF(ISNUMBER('Cost Inputs'!$M$86), $E$88,""),"")), ""),"")</f>
        <v/>
      </c>
      <c r="AF235" s="372" t="str">
        <f>IF($W$3="N.B.C.", IF(ISNUMBER($B$215), IF('Cost Inputs'!$L$86="Y", $E$88, IF('Cost Inputs'!$L$86="N", IF(ISNUMBER('Cost Inputs'!$M$86), $E$88,""),"")), ""),"")</f>
        <v/>
      </c>
      <c r="AG235" s="372" t="str">
        <f>IF($X$3="N.B.C.", IF(ISNUMBER($B$215), IF('Cost Inputs'!$L$86="Y", $E$88, IF('Cost Inputs'!$L$86="N", IF(ISNUMBER('Cost Inputs'!$M$86), $E$88,""),"")), ""),"")</f>
        <v/>
      </c>
    </row>
    <row r="236" spans="1:34" ht="14.45" customHeight="1" x14ac:dyDescent="0.25">
      <c r="A236" s="518" t="str">
        <f>Third_Stage</f>
        <v>Stage 1 Seedling Test Plots</v>
      </c>
      <c r="B236" s="503" t="str">
        <f>'Breeding Inputs'!B85</f>
        <v/>
      </c>
      <c r="C236" s="116" t="str">
        <f>IF(ISNUMBER(B236), _3_2_0, "")</f>
        <v/>
      </c>
      <c r="D236" s="92" t="str">
        <f>IF(AND(B236&lt;&gt;"", OR('Cost Inputs'!$H$67&lt;&gt;"", 'Cost Inputs'!$I$67&lt;&gt;"", 'Cost Inputs'!$J$67&lt;&gt;"")), 'Cost Inputs'!$G$67,"")</f>
        <v/>
      </c>
      <c r="E236" s="92" t="str">
        <f>IF(AND(C236&lt;&gt;"", 'Cost Inputs'!$H$67&lt;&gt;"", M$233&lt;&gt;"", M$233&gt;0), $E215-('Cost Inputs'!$H$67*M$233), IF(AND(C236&lt;&gt;"", 'Cost Inputs'!$H$67&lt;&gt;""), $E215, ""))</f>
        <v/>
      </c>
      <c r="F236" s="92" t="str">
        <f>IF(AND(C236&lt;&gt;"", 'Cost Inputs'!$I$67&lt;&gt;""), 'Cost Inputs'!$I$67, "")</f>
        <v/>
      </c>
      <c r="G236" s="92" t="str">
        <f t="shared" si="10"/>
        <v/>
      </c>
      <c r="H236" s="92" t="str">
        <f>IF(AND(C236&lt;&gt;"", 'Cost Inputs'!$J$67&lt;&gt;""), 'Cost Inputs'!$J$67, "")</f>
        <v/>
      </c>
      <c r="I236" s="92" t="str">
        <f>IF(AND($E236&lt;&gt;"", $H236&lt;&gt;""), $H236/$E236, "")</f>
        <v/>
      </c>
      <c r="J236" s="92" t="str">
        <f>IF(AND(C236&lt;&gt;"",('Cost Inputs'!$I$67+'Cost Inputs'!$J$67+'Cost Inputs'!$K$67)&gt;0), 'Cost Inputs'!$I$67+'Cost Inputs'!$J$67+'Cost Inputs'!$K$67, "")</f>
        <v/>
      </c>
      <c r="K236" s="92" t="str">
        <f>IF(AND(C236&lt;&gt;"", 'Cost Inputs'!$N$67&gt;0),'Cost Inputs'!$N$67,"")</f>
        <v/>
      </c>
      <c r="L236" s="92"/>
      <c r="M236" s="101"/>
      <c r="Y236" s="373" t="str">
        <f>IF($O$3="N.B.C.",
IF(ISNUMBER($B$236),
IF($C236&lt;&gt;"",
IF('Cost Inputs'!$L$67="Y",
IF(AND(ISNUMBER(P$56), P$56&gt;$E$60), $E236+($E$60*(($E236/$E$60)+$P$55)), $E236),
IF('Cost Inputs'!$L$67="N",
IF(AND(ISNUMBER('Cost Inputs'!$M$67), OR('Cost Inputs'!$M$67=1,'Cost Inputs'!$M$67=2,'Cost Inputs'!$M$67=4,'Cost Inputs'!$M$67=8)),
IF(AND(ISNUMBER(P$56), P$56&gt;$E$60), $E236+($E$60*(($E236/$E$60)+$P$55)), $E236), ""),"")), ""), ""), "")</f>
        <v/>
      </c>
      <c r="Z236" s="373" t="str">
        <f>IF($P$3="N.B.C.",
IF(ISNUMBER($B$236),
IF($C236&lt;&gt;"",
IF('Cost Inputs'!$L$67="Y",
IF(AND(ISNUMBER(Q$56), Q$56&gt;$E$60), $E236+($E$60*(($E236/$E$60)+$Q$55)), $E236),
IF('Cost Inputs'!$L$67="N",
IF(AND(ISNUMBER('Cost Inputs'!$M$67), OR('Cost Inputs'!$M$67=1,'Cost Inputs'!$M$67=3, 'Cost Inputs'!$M$67=9)),
IF(AND(ISNUMBER(Q$56), Q$56&gt;$E$60), $E236+($E$60*(($E236/$E$60)+$Q$55)), $E236), ""),"")), ""), ""), "")</f>
        <v/>
      </c>
      <c r="AA236" s="373" t="str">
        <f>IF($Q$3="N.B.C.",
IF(ISNUMBER($B$236),
IF($C236&lt;&gt;"",
IF('Cost Inputs'!$L$67="Y",
IF(AND(ISNUMBER(R$56), R$56&gt;$E$60), $E236+($E$60*(($E236/$E$60)+$R$55)), $E236),
IF('Cost Inputs'!$L$67="N",
IF(AND(ISNUMBER('Cost Inputs'!$M$67), OR('Cost Inputs'!$M$67=1,'Cost Inputs'!$M$67=2, 'Cost Inputs'!$M$67=5)),
IF(AND(ISNUMBER(R$56), R$56&gt;$E$60), $E236+($E$60*(($E236/$E$60)+$R$55)), $E236), ""),"")), ""), ""), "")</f>
        <v/>
      </c>
      <c r="AB236" s="373" t="str">
        <f>IF($R$3="N.B.C.",
IF(ISNUMBER($B$236),
IF($C236&lt;&gt;"",
IF('Cost Inputs'!$L$67="Y",
IF(AND(ISNUMBER(S$56), S$56&gt;$E$60), $E236+($E$60*(($E236/$E$60)+$S$55)), $E236),
IF('Cost Inputs'!$L$67="N",
IF(AND(ISNUMBER('Cost Inputs'!$M$67), OR('Cost Inputs'!$M$67=1)),
IF(AND(ISNUMBER(S$56), S$56&gt;$E$60), $E236+($E$60*(($E236/$E$60)+$S$55)), $E236), ""),"")), ""), ""), "")</f>
        <v/>
      </c>
      <c r="AC236" s="373" t="str">
        <f>IF($S$3="N.B.C.",
IF(ISNUMBER($B$236),
IF($C236&lt;&gt;"",
IF('Cost Inputs'!$L$67="Y",
IF(AND(ISNUMBER(T$56), T$56&gt;$E$60), $E236+($E$60*(($E236/$E$60)+$T$55)), $E236),
IF('Cost Inputs'!$L$67="N",
IF(AND(ISNUMBER('Cost Inputs'!$M$67), OR('Cost Inputs'!$M$67=1,'Cost Inputs'!$M$67=2,'Cost Inputs'!$M$67=3,'Cost Inputs'!$M$67=4,'Cost Inputs'!$M$67=6)),
IF(AND(ISNUMBER(T$56), T$56&gt;$E$60), $E236+($E$60*(($E236/$E$60)+$T$55)), $E236), ""),"")), ""), ""), "")</f>
        <v/>
      </c>
      <c r="AD236" s="373" t="str">
        <f>IF($T$3="N.B.C.",
IF(ISNUMBER($B$236),
IF($C236&lt;&gt;"",
IF('Cost Inputs'!$L$67="Y",
IF(AND(ISNUMBER(U$56), U$56&gt;$E$60), $E236+($E$60*(($E236/$E$60)+$U$55)), $E236),
IF('Cost Inputs'!$L$67="N",
IF(AND(ISNUMBER('Cost Inputs'!$M$67), OR('Cost Inputs'!$M$67=1)),
IF(AND(ISNUMBER(U$56), U$56&gt;$E$60), $E236+($E$60*(($E236/$E$60)+$U$55)), $E236), ""),"")), ""), ""), "")</f>
        <v/>
      </c>
      <c r="AE236" s="373" t="str">
        <f>IF($U$3="N.B.C.",
IF(ISNUMBER($B$236),
IF($C236&lt;&gt;"",
IF('Cost Inputs'!$L$67="Y",
IF(AND(ISNUMBER(V$56), V$56&gt;$E$60), $E236+($E$60*(($E236/$E$60)+$V$55)), $E236),
IF('Cost Inputs'!$L$67="N",
IF(AND(ISNUMBER('Cost Inputs'!$M$67), OR('Cost Inputs'!$M$67=1, 'Cost Inputs'!$M$67=2, 'Cost Inputs'!$M$67=7)),
IF(AND(ISNUMBER(V$56), V$56&gt;$E$60), $E236+($E$60*(($E236/$E$60)+$V$55)), $E236), ""),"")), ""), ""), "")</f>
        <v/>
      </c>
      <c r="AF236" s="373" t="str">
        <f>IF($V$3="N.B.C.",
IF(ISNUMBER($B$236),
IF($C236&lt;&gt;"",
IF('Cost Inputs'!$L$67="Y",
IF(AND(ISNUMBER(W$56), W$56&gt;$E$60), $E236+($E$60*(($E236/$E$60)+$W$55)), $E236),
IF('Cost Inputs'!$L$67="N",
IF(AND(ISNUMBER('Cost Inputs'!$M$67), OR('Cost Inputs'!$M$67=1, 'Cost Inputs'!$M$67=3, 'Cost Inputs'!$M$67=5)),
IF(AND(ISNUMBER(W$56), W$56&gt;$E$60), $E236+($E$60*(($E236/$E$60)+$W$55)), $E236), ""),"")), ""), ""), "")</f>
        <v/>
      </c>
      <c r="AG236" s="373" t="str">
        <f>IF($W$3="N.B.C.",
IF(ISNUMBER($B$236),
IF($C236&lt;&gt;"",
IF('Cost Inputs'!$L$67="Y",
IF(AND(ISNUMBER(X$56), X$56&gt;$E$60), $E236+($E$60*(($E236/$E$60)+$X$55)), $E236),
IF('Cost Inputs'!$L$67="N",
IF(AND(ISNUMBER('Cost Inputs'!$M$67), OR('Cost Inputs'!$M$67=1, 'Cost Inputs'!$M$67=2, 'Cost Inputs'!$M$67=4, 'Cost Inputs'!$M$67=8)),
IF(AND(ISNUMBER(X$56), X$56&gt;$E$60), $E236+($E$60*(($E236/$E$60)+$X$55)), $E236), ""),"")), ""), ""), "")</f>
        <v/>
      </c>
      <c r="AH236" s="373" t="str">
        <f>IF($X$3="N.B.C.",
IF(ISNUMBER($B$236),
IF($C236&lt;&gt;"",
IF('Cost Inputs'!$L$67="Y",
IF(AND(ISNUMBER(Y$56), Y$56&gt;$E$60), $E236+($E$60*(($E236/$E$60)+$Y$55)), $E236),
IF('Cost Inputs'!$L$67="N",
IF(AND(ISNUMBER('Cost Inputs'!$M$67), OR('Cost Inputs'!$M$67=1)),
IF(AND(ISNUMBER(Y$56), Y$56&gt;$E$60), $E236+($E$60*(($E236/$E$60)+$Y$55)), $E236), ""),"")), ""), ""), "")</f>
        <v/>
      </c>
    </row>
    <row r="237" spans="1:34" x14ac:dyDescent="0.25">
      <c r="A237" s="518"/>
      <c r="B237" s="504"/>
      <c r="C237" s="104" t="str">
        <f>IF(AND(ISNUMBER(B236), OR('Cost Inputs'!$H$68&lt;&gt;"", 'Cost Inputs'!$I$68&lt;&gt;"", 'Cost Inputs'!$J$68&lt;&gt;"")), _3_2_1, "")</f>
        <v/>
      </c>
      <c r="D237" s="17" t="str">
        <f>IF(AND($C237&lt;&gt;"", 'Cost Inputs'!$G$68&lt;&gt;""), 'Cost Inputs'!$G$68, "")</f>
        <v/>
      </c>
      <c r="E237" s="17" t="str">
        <f>IF(AND(C237&lt;&gt;"", 'Cost Inputs'!$H$68&lt;&gt;"", M$233&lt;&gt;"", M$233&gt;0), $E216-('Cost Inputs'!$H$68*M$233), IF(AND(C237&lt;&gt;"", 'Cost Inputs'!$H$68&lt;&gt;""), $E216, ""))</f>
        <v/>
      </c>
      <c r="F237" s="17" t="str">
        <f>IF(AND(C237&lt;&gt;"", 'Cost Inputs'!$I$68&lt;&gt;""), 'Cost Inputs'!$I$68, "")</f>
        <v/>
      </c>
      <c r="G237" s="17" t="str">
        <f t="shared" si="10"/>
        <v/>
      </c>
      <c r="H237" s="17" t="str">
        <f>IF(AND(C237&lt;&gt;"", 'Cost Inputs'!$J$68&lt;&gt;""), 'Cost Inputs'!$J$68, "")</f>
        <v/>
      </c>
      <c r="I237" s="17" t="str">
        <f t="shared" si="11"/>
        <v/>
      </c>
      <c r="J237" s="17" t="str">
        <f>IF(AND(C237&lt;&gt;"",('Cost Inputs'!$I$68+'Cost Inputs'!$J$68+'Cost Inputs'!$K$68)&gt;0), 'Cost Inputs'!$I$68+'Cost Inputs'!$J$68+'Cost Inputs'!$K$68, "")</f>
        <v/>
      </c>
      <c r="K237" s="17" t="str">
        <f>IF(AND(C237&lt;&gt;"", 'Cost Inputs'!$N$68&gt;0),'Cost Inputs'!$N$68,"")</f>
        <v/>
      </c>
      <c r="M237" s="106"/>
      <c r="Y237" s="364" t="str">
        <f>IF($O$3="N.B.C.",
IF(ISNUMBER($B$236),
IF($C237&lt;&gt;"",
IF('Cost Inputs'!$L$68="Y",
IF(ISNUMBER($P$55), $E237+($E$89*(($E237/$E$89)+$P$55)), $E237),
IF('Cost Inputs'!$L$68="N",
IF(AND(ISNUMBER('Cost Inputs'!$M$68), OR('Cost Inputs'!$M$68=1,'Cost Inputs'!$M$68=2,'Cost Inputs'!$M$68=4,'Cost Inputs'!$M$68=8)),
IF(ISNUMBER($P$55), $E237+($E$89*(($E237/$E$89)+$P$55)), $E237),""),"")), ""),""),"")</f>
        <v/>
      </c>
      <c r="Z237" s="364" t="str">
        <f>IF($P$3="N.B.C.",
IF(ISNUMBER($B$236),
IF($C237&lt;&gt;"",
IF('Cost Inputs'!$L$68="Y",
IF(ISNUMBER($Q$55), $E237+($E$89*(($E237/$E$89)+$Q$55)), $E237),
IF('Cost Inputs'!$L$68="N",
IF(AND(ISNUMBER('Cost Inputs'!$M$68), OR('Cost Inputs'!$M$68=1,'Cost Inputs'!$M$68=3,'Cost Inputs'!$M$68=9)),
IF(ISNUMBER($Q$55), $E237+($E$89*(($E237/$E$89)+$Q$55)), $E237),""),"")), ""),""),"")</f>
        <v/>
      </c>
      <c r="AA237" s="364" t="str">
        <f>IF($Q$3="N.B.C.",
IF(ISNUMBER($B$236),
IF($C237&lt;&gt;"",
IF('Cost Inputs'!$L$68="Y",
IF(ISNUMBER($R$55), $E237+($E$89*(($E237/$E$89)+$R$55)), $E237),
IF('Cost Inputs'!$L$68="N",
IF(AND(ISNUMBER('Cost Inputs'!$M$68), OR('Cost Inputs'!$M$68=1,'Cost Inputs'!$M$68=2,'Cost Inputs'!$M$68=5)),
IF(ISNUMBER($R$55), $E237+($E$89*(($E237/$E$89)+$R$55)), $E237),""),"")), ""),""),"")</f>
        <v/>
      </c>
      <c r="AB237" s="364" t="str">
        <f>IF($R$3="N.B.C.",
IF(ISNUMBER($B$236),
IF($C237&lt;&gt;"",
IF('Cost Inputs'!$L$68="Y",
IF(ISNUMBER($S$55), $E237+($E$89*(($E237/$E$89)+$S$55)), $E237),
IF('Cost Inputs'!$L$68="N",
IF(AND(ISNUMBER('Cost Inputs'!$M$68), OR('Cost Inputs'!$M$68=1)),
IF(ISNUMBER($S$55), $E237+($E$89*(($E237/$E$89)+$S$55)), $E237),""),"")), ""),""),"")</f>
        <v/>
      </c>
      <c r="AC237" s="364" t="str">
        <f>IF($S$3="N.B.C.",
IF(ISNUMBER($B$236),
IF($C237&lt;&gt;"",
IF('Cost Inputs'!$L$68="Y",
IF(ISNUMBER($T$55), $E237+($E$89*(($E237/$E$89)+$T$55)), $E237),
IF('Cost Inputs'!$L$68="N",
IF(AND(ISNUMBER('Cost Inputs'!$M$68), OR('Cost Inputs'!$M$68=1,'Cost Inputs'!$M$68=2,'Cost Inputs'!$M$68=3,'Cost Inputs'!$M$68=4,'Cost Inputs'!$M$68=6)),
IF(ISNUMBER($T$55), $E237+($E$89*(($E237/$E$89)+$T$55)), $E237),""),"")), ""),""),"")</f>
        <v/>
      </c>
      <c r="AD237" s="364" t="str">
        <f>IF($T$3="N.B.C.",
IF(ISNUMBER($B$236),
IF($C237&lt;&gt;"",
IF('Cost Inputs'!$L$68="Y",
IF(ISNUMBER($U$55), $E237+($E$89*(($E237/$E$89)+$U$55)), $E237),
IF('Cost Inputs'!$L$68="N",
IF(AND(ISNUMBER('Cost Inputs'!$M$68), OR('Cost Inputs'!$M$68=1)),
IF(ISNUMBER($U$55), $E237+($E$89*(($E237/$E$89)+$U$55)), $E237),""),"")), ""),""),"")</f>
        <v/>
      </c>
      <c r="AE237" s="364" t="str">
        <f>IF($U$3="N.B.C.",
IF(ISNUMBER($B$236),
IF($C237&lt;&gt;"",
IF('Cost Inputs'!$L$68="Y",
IF(ISNUMBER($V$55), $E237+($E$89*(($E237/$E$89)+$V$55)), $E237),
IF('Cost Inputs'!$L$68="N",
IF(AND(ISNUMBER('Cost Inputs'!$M$68), OR('Cost Inputs'!$M$68=1,'Cost Inputs'!$M$68=2,'Cost Inputs'!$M$68=7)),
IF(ISNUMBER($V$55), $E237+($E$89*(($E237/$E$89)+$V$55)), $E237),""),"")), ""),""),"")</f>
        <v/>
      </c>
      <c r="AF237" s="364" t="str">
        <f>IF($V$3="N.B.C.",
IF(ISNUMBER($B$236),
IF($C237&lt;&gt;"",
IF('Cost Inputs'!$L$68="Y",
IF(ISNUMBER($W$55), $E237+($E$89*(($E237/$E$89)+$W$55)), $E237),
IF('Cost Inputs'!$L$68="N",
IF(AND(ISNUMBER('Cost Inputs'!$M$68), OR('Cost Inputs'!$M$68=1,'Cost Inputs'!$M$68=3,'Cost Inputs'!$M$68=5)),
IF(ISNUMBER($W$55), $E237+($E$89*(($E237/$E$89)+$W$55)), $E237),""),"")), ""),""),"")</f>
        <v/>
      </c>
      <c r="AG237" s="364" t="str">
        <f>IF($W$3="N.B.C.",
IF(ISNUMBER($B$236),
IF($C237&lt;&gt;"",
IF('Cost Inputs'!$L$68="Y",
IF(ISNUMBER($X$55), $E237+($E$89*(($E237/$E$89)+$X$55)), $E237),
IF('Cost Inputs'!$L$68="N",
IF(AND(ISNUMBER('Cost Inputs'!$M$68), OR('Cost Inputs'!$M$68=1,'Cost Inputs'!$M$68=2,'Cost Inputs'!$M$68=4,'Cost Inputs'!$M$68=8)),
IF(ISNUMBER($X$55), $E237+($E$89*(($E237/$E$89)+$X$55)), $E237),""),"")), ""),""),"")</f>
        <v/>
      </c>
      <c r="AH237" s="364" t="str">
        <f>IF($X$3="N.B.C.",
IF(ISNUMBER($B$236),
IF($C237&lt;&gt;"",
IF('Cost Inputs'!$L$68="Y",
IF(ISNUMBER($Y$55), $E237+($E$89*(($E237/$E$89)+$Y$55)), $E237),
IF('Cost Inputs'!$L$68="N",
IF(AND(ISNUMBER('Cost Inputs'!$M$68), OR('Cost Inputs'!$M$68=1)),
IF(ISNUMBER($Y$55), $E237+($E$89*(($E237/$E$89)+$Y$55)), $E237),""),"")), ""),""),"")</f>
        <v/>
      </c>
    </row>
    <row r="238" spans="1:34" x14ac:dyDescent="0.25">
      <c r="A238" s="518"/>
      <c r="B238" s="504"/>
      <c r="C238" s="107" t="str">
        <f>IF(AND(ISNUMBER(B236), OR('Cost Inputs'!$H$69&lt;&gt;"", 'Cost Inputs'!$I$69&lt;&gt;"", 'Cost Inputs'!$J$69&lt;&gt;"")), _3_2_2, "")</f>
        <v/>
      </c>
      <c r="D238" s="93" t="str">
        <f>IF(AND($C238&lt;&gt;"", 'Cost Inputs'!$G$69&lt;&gt;""), 'Cost Inputs'!$G$69, "")</f>
        <v/>
      </c>
      <c r="E238" s="93" t="str">
        <f>IF(AND(C238&lt;&gt;"", 'Cost Inputs'!$H$69&lt;&gt;"", M$233&lt;&gt;"", M$233&gt;0), $E217-('Cost Inputs'!$H$69*M$233), IF(AND(C238&lt;&gt;"", 'Cost Inputs'!$H$69&lt;&gt;""), $E217, ""))</f>
        <v/>
      </c>
      <c r="F238" s="93" t="str">
        <f>IF(AND(C238&lt;&gt;"", 'Cost Inputs'!$I$69&lt;&gt;""), 'Cost Inputs'!$I$69, "")</f>
        <v/>
      </c>
      <c r="G238" s="93" t="str">
        <f t="shared" si="10"/>
        <v/>
      </c>
      <c r="H238" s="93" t="str">
        <f>IF(AND(C238&lt;&gt;"", 'Cost Inputs'!$J$69&lt;&gt;""), 'Cost Inputs'!$J$69, "")</f>
        <v/>
      </c>
      <c r="I238" s="93" t="str">
        <f t="shared" si="11"/>
        <v/>
      </c>
      <c r="J238" s="93" t="str">
        <f>IF(AND(C238&lt;&gt;"",('Cost Inputs'!$I$69+'Cost Inputs'!$J$69+'Cost Inputs'!$K$69)&gt;0), 'Cost Inputs'!$I$69+'Cost Inputs'!$J$69+'Cost Inputs'!$K$69, "")</f>
        <v/>
      </c>
      <c r="K238" s="93" t="str">
        <f>IF(AND(C238&lt;&gt;"", 'Cost Inputs'!$N$69&gt;0),'Cost Inputs'!$N$69,"")</f>
        <v/>
      </c>
      <c r="L238" s="93"/>
      <c r="M238" s="109"/>
      <c r="Y238" s="372" t="str">
        <f>IF($O$3="N.B.C.",
IF(ISNUMBER($B$236),
IF($C238&lt;&gt;"",
IF('Cost Inputs'!$L$69="Y",
IF(ISNUMBER($P$55), $E238+($E$89*(($E238/$E$89)+$P$55)), $E238),
IF('Cost Inputs'!$L$69="N",
IF(AND(ISNUMBER('Cost Inputs'!$M$69), OR('Cost Inputs'!$M$69=1,'Cost Inputs'!$M$69=2,'Cost Inputs'!$M$69=4,'Cost Inputs'!$M$69=8)),
IF(ISNUMBER($P$55), $E238+($E$89*(($E238/$E$89)+$P$55)), $E238),""),"")), ""),""),"")</f>
        <v/>
      </c>
      <c r="Z238" s="372" t="str">
        <f>IF($P$3="N.B.C.",
IF(ISNUMBER($B$236),
IF($C238&lt;&gt;"",
IF('Cost Inputs'!$L$69="Y",
IF(ISNUMBER($Q$55), $E238+($E$89*(($E238/$E$89)+$Q$55)), $E238),
IF('Cost Inputs'!$L$69="N",
IF(AND(ISNUMBER('Cost Inputs'!$M$69), OR('Cost Inputs'!$M$69=1,'Cost Inputs'!$M$69=3,'Cost Inputs'!$M$69=9)),
IF(ISNUMBER($Q$55), $E238+($E$89*(($E238/$E$89)+$Q$55)), $E238),""),"")), ""),""),"")</f>
        <v/>
      </c>
      <c r="AA238" s="372" t="str">
        <f>IF($Q$3="N.B.C.",
IF(ISNUMBER($B$236),
IF($C238&lt;&gt;"",
IF('Cost Inputs'!$L$69="Y",
IF(ISNUMBER($R$55), $E238+($E$89*(($E238/$E$89)+$R$55)), $E238),
IF('Cost Inputs'!$L$69="N",
IF(AND(ISNUMBER('Cost Inputs'!$M$69), OR('Cost Inputs'!$M$69=1,'Cost Inputs'!$M$69=2,'Cost Inputs'!$M$69=5)),
IF(ISNUMBER($R$55), $E238+($E$89*(($E238/$E$89)+$R$55)), $E238),""),"")), ""),""),"")</f>
        <v/>
      </c>
      <c r="AB238" s="372" t="str">
        <f>IF($R$3="N.B.C.",
IF(ISNUMBER($B$236),
IF($C238&lt;&gt;"",
IF('Cost Inputs'!$L$69="Y",
IF(ISNUMBER($S$55), $E238+($E$89*(($E238/$E$89)+$S$55)), $E238),
IF('Cost Inputs'!$L$69="N",
IF(AND(ISNUMBER('Cost Inputs'!$M$69), OR('Cost Inputs'!$M$69=1)),
IF(ISNUMBER($S$55), $E238+($E$89*(($E238/$E$89)+$S$55)), $E238),""),"")), ""),""),"")</f>
        <v/>
      </c>
      <c r="AC238" s="372" t="str">
        <f>IF($S$3="N.B.C.",
IF(ISNUMBER($B$236),
IF($C238&lt;&gt;"",
IF('Cost Inputs'!$L$69="Y",
IF(ISNUMBER($T$55), $E238+($E$89*(($E238/$E$89)+$T$55)), $E238),
IF('Cost Inputs'!$L$69="N",
IF(AND(ISNUMBER('Cost Inputs'!$M$69), OR('Cost Inputs'!$M$69=1,'Cost Inputs'!$M$69=2,'Cost Inputs'!$M$69=3,'Cost Inputs'!$M$69=4,'Cost Inputs'!$M$69=6)),
IF(ISNUMBER($T$55), $E238+($E$89*(($E238/$E$89)+$T$55)), $E238),""),"")), ""),""),"")</f>
        <v/>
      </c>
      <c r="AD238" s="372" t="str">
        <f>IF($T$3="N.B.C.",
IF(ISNUMBER($B$236),
IF($C238&lt;&gt;"",
IF('Cost Inputs'!$L$69="Y",
IF(ISNUMBER($U$55), $E238+($E$89*(($E238/$E$89)+$U$55)), $E238),
IF('Cost Inputs'!$L$69="N",
IF(AND(ISNUMBER('Cost Inputs'!$M$69), OR('Cost Inputs'!$M$69=1)),
IF(ISNUMBER($U$55), $E238+($E$89*(($E238/$E$89)+$U$55)), $E238),""),"")), ""),""),"")</f>
        <v/>
      </c>
      <c r="AE238" s="372" t="str">
        <f>IF($U$3="N.B.C.",
IF(ISNUMBER($B$236),
IF($C238&lt;&gt;"",
IF('Cost Inputs'!$L$69="Y",
IF(ISNUMBER($V$55), $E238+($E$89*(($E238/$E$89)+$V$55)), $E238),
IF('Cost Inputs'!$L$69="N",
IF(AND(ISNUMBER('Cost Inputs'!$M$69), OR('Cost Inputs'!$M$69=1,'Cost Inputs'!$M$69=2,'Cost Inputs'!$M$69=7)),
IF(ISNUMBER($V$55), $E238+($E$89*(($E238/$E$89)+$V$55)), $E238),""),"")), ""),""),"")</f>
        <v/>
      </c>
      <c r="AF238" s="372" t="str">
        <f>IF($V$3="N.B.C.",
IF(ISNUMBER($B$236),
IF($C238&lt;&gt;"",
IF('Cost Inputs'!$L$69="Y",
IF(ISNUMBER($W$55), $E238+($E$89*(($E238/$E$89)+$W$55)), $E238),
IF('Cost Inputs'!$L$69="N",
IF(AND(ISNUMBER('Cost Inputs'!$M$69), OR('Cost Inputs'!$M$69=1,'Cost Inputs'!$M$69=3,'Cost Inputs'!$M$69=5)),
IF(ISNUMBER($W$55), $E238+($E$89*(($E238/$E$89)+$W$55)), $E238),""),"")), ""),""),"")</f>
        <v/>
      </c>
      <c r="AG238" s="372" t="str">
        <f>IF($W$3="N.B.C.",
IF(ISNUMBER($B$236),
IF($C238&lt;&gt;"",
IF('Cost Inputs'!$L$69="Y",
IF(ISNUMBER($X$55), $E238+($E$89*(($E238/$E$89)+$X$55)), $E238),
IF('Cost Inputs'!$L$69="N",
IF(AND(ISNUMBER('Cost Inputs'!$M$69), OR('Cost Inputs'!$M$69=1,'Cost Inputs'!$M$69=2,'Cost Inputs'!$M$69=4,'Cost Inputs'!$M$69=8)),
IF(ISNUMBER($X$55), $E238+($E$89*(($E238/$E$89)+$X$55)), $E238),""),"")), ""),""),"")</f>
        <v/>
      </c>
      <c r="AH238" s="372" t="str">
        <f>IF($X$3="N.B.C.",
IF(ISNUMBER($B$236),
IF($C238&lt;&gt;"",
IF('Cost Inputs'!$L$69="Y",
IF(ISNUMBER($Y$55), $E238+($E$89*(($E238/$E$89)+$Y$55)), $E238),
IF('Cost Inputs'!$L$69="N",
IF(AND(ISNUMBER('Cost Inputs'!$M$69), OR('Cost Inputs'!$M$69=1)),
IF(ISNUMBER($Y$55), $E238+($E$89*(($E238/$E$89)+$Y$55)), $E238),""),"")), ""),""),"")</f>
        <v/>
      </c>
    </row>
    <row r="239" spans="1:34" x14ac:dyDescent="0.25">
      <c r="A239" s="518"/>
      <c r="B239" s="504"/>
      <c r="C239" s="104" t="str">
        <f>IF(AND( ISNUMBER(B236), OR('Cost Inputs'!$H$70&lt;&gt;"", 'Cost Inputs'!$I$70&lt;&gt;"", 'Cost Inputs'!$J$70&lt;&gt;"")), _3_2_3, "")</f>
        <v/>
      </c>
      <c r="D239" s="17" t="str">
        <f>IF(AND($C239&lt;&gt;"", 'Cost Inputs'!$G$70&lt;&gt;""), 'Cost Inputs'!$G$70, "")</f>
        <v/>
      </c>
      <c r="E239" s="17" t="str">
        <f>IF(AND(C239&lt;&gt;"", 'Cost Inputs'!$H$70&lt;&gt;"", M$233&lt;&gt;"", M$233&gt;0), $E218-('Cost Inputs'!$H$70*M$233), IF(AND(C239&lt;&gt;"", 'Cost Inputs'!$H$70&lt;&gt;""), $E218, ""))</f>
        <v/>
      </c>
      <c r="F239" s="17" t="str">
        <f>IF(AND(C239&lt;&gt;"", 'Cost Inputs'!$I$70&lt;&gt;""), 'Cost Inputs'!$I$70, "")</f>
        <v/>
      </c>
      <c r="G239" s="17" t="str">
        <f t="shared" si="10"/>
        <v/>
      </c>
      <c r="H239" s="17" t="str">
        <f>IF(AND(C239&lt;&gt;"", 'Cost Inputs'!$J$70&lt;&gt;""), 'Cost Inputs'!$J$70, "")</f>
        <v/>
      </c>
      <c r="I239" s="17" t="str">
        <f t="shared" si="11"/>
        <v/>
      </c>
      <c r="J239" s="17" t="str">
        <f>IF(AND(C239&lt;&gt;"",('Cost Inputs'!$I$70+'Cost Inputs'!$J$70+'Cost Inputs'!$K$70)&gt;0), 'Cost Inputs'!$I$70+'Cost Inputs'!$J$70+'Cost Inputs'!$K$70, "")</f>
        <v/>
      </c>
      <c r="K239" s="17" t="str">
        <f>IF(AND(C239&lt;&gt;"", 'Cost Inputs'!$N$70&gt;0),'Cost Inputs'!$N$70,"")</f>
        <v/>
      </c>
      <c r="M239" s="106"/>
      <c r="Y239" s="364" t="str">
        <f>IF($O$3="N.B.C.",
IF(ISNUMBER($B$236),
IF($C239&lt;&gt;"",
IF('Cost Inputs'!$L$70="Y",
IF(ISNUMBER($P$55), $E239+($E$89*(($E239/$E$89)+$P$55)), $E239),
IF('Cost Inputs'!$L$70="N",
IF(AND(ISNUMBER('Cost Inputs'!$M$70), OR('Cost Inputs'!$M$70=1,'Cost Inputs'!$M$70=2,'Cost Inputs'!$M$70=4,'Cost Inputs'!$M$70=8)),
IF(ISNUMBER($P$55), $E239+($E$89*(($E239/$E$89)+$P$55)), $E239),""),"")), ""),""),"")</f>
        <v/>
      </c>
      <c r="Z239" s="364" t="str">
        <f>IF($P$3="N.B.C.",
IF(ISNUMBER($B$236),
IF($C239&lt;&gt;"",
IF('Cost Inputs'!$L$70="Y",
IF(ISNUMBER($Q$55), $E239+($E$89*(($E239/$E$89)+$Q$55)), $E239),
IF('Cost Inputs'!$L$70="N",
IF(AND(ISNUMBER('Cost Inputs'!$M$70), OR('Cost Inputs'!$M$70=1,'Cost Inputs'!$M$70=3,'Cost Inputs'!$M$70=9)),
IF(ISNUMBER($Q$55), $E239+($E$89*(($E239/$E$89)+$Q$55)), $E239),""),"")), ""),""),"")</f>
        <v/>
      </c>
      <c r="AA239" s="364" t="str">
        <f>IF($Q$3="N.B.C.",
IF(ISNUMBER($B$236),
IF($C239&lt;&gt;"",
IF('Cost Inputs'!$L$70="Y",
IF(ISNUMBER($R$55), $E239+($E$89*(($E239/$E$89)+$R$55)), $E239),
IF('Cost Inputs'!$L$70="N",
IF(AND(ISNUMBER('Cost Inputs'!$M$70), OR('Cost Inputs'!$M$70=1,'Cost Inputs'!$M$70=2,'Cost Inputs'!$M$70=5)),
IF(ISNUMBER($R$55), $E239+($E$89*(($E239/$E$89)+$R$55)), $E239),""),"")), ""),""),"")</f>
        <v/>
      </c>
      <c r="AB239" s="364" t="str">
        <f>IF($R$3="N.B.C.",
IF(ISNUMBER($B$236),
IF($C239&lt;&gt;"",
IF('Cost Inputs'!$L$70="Y",
IF(ISNUMBER($S$55), $E239+($E$89*(($E239/$E$89)+$S$55)), $E239),
IF('Cost Inputs'!$L$70="N",
IF(AND(ISNUMBER('Cost Inputs'!$M$70), OR('Cost Inputs'!$M$70=1)),
IF(ISNUMBER($S$55), $E239+($E$89*(($E239/$E$89)+$S$55)), $E239),""),"")), ""),""),"")</f>
        <v/>
      </c>
      <c r="AC239" s="364" t="str">
        <f>IF($S$3="N.B.C.",
IF(ISNUMBER($B$236),
IF($C239&lt;&gt;"",
IF('Cost Inputs'!$L$70="Y",
IF(ISNUMBER($T$55), $E239+($E$89*(($E239/$E$89)+$T$55)), $E239),
IF('Cost Inputs'!$L$70="N",
IF(AND(ISNUMBER('Cost Inputs'!$M$70), OR('Cost Inputs'!$M$70=1,'Cost Inputs'!$M$70=2,'Cost Inputs'!$M$70=3,'Cost Inputs'!$M$70=4,'Cost Inputs'!$M$70=6)),
IF(ISNUMBER($T$55), $E239+($E$89*(($E239/$E$89)+$T$55)), $E239),""),"")), ""),""),"")</f>
        <v/>
      </c>
      <c r="AD239" s="364" t="str">
        <f>IF($T$3="N.B.C.",
IF(ISNUMBER($B$236),
IF($C239&lt;&gt;"",
IF('Cost Inputs'!$L$70="Y",
IF(ISNUMBER($U$55), $E239+($E$89*(($E239/$E$89)+$U$55)), $E239),
IF('Cost Inputs'!$L$70="N",
IF(AND(ISNUMBER('Cost Inputs'!$M$70), OR('Cost Inputs'!$M$70=1)),
IF(ISNUMBER($U$55), $E239+($E$89*(($E239/$E$89)+$U$55)), $E239),""),"")), ""),""),"")</f>
        <v/>
      </c>
      <c r="AE239" s="364" t="str">
        <f>IF($U$3="N.B.C.",
IF(ISNUMBER($B$236),
IF($C239&lt;&gt;"",
IF('Cost Inputs'!$L$70="Y",
IF(ISNUMBER($V$55), $E239+($E$89*(($E239/$E$89)+$V$55)), $E239),
IF('Cost Inputs'!$L$70="N",
IF(AND(ISNUMBER('Cost Inputs'!$M$70), OR('Cost Inputs'!$M$70=1,'Cost Inputs'!$M$70=2,'Cost Inputs'!$M$70=7)),
IF(ISNUMBER($V$55), $E239+($E$89*(($E239/$E$89)+$V$55)), $E239),""),"")), ""),""),"")</f>
        <v/>
      </c>
      <c r="AF239" s="364" t="str">
        <f>IF($V$3="N.B.C.",
IF(ISNUMBER($B$236),
IF($C239&lt;&gt;"",
IF('Cost Inputs'!$L$70="Y",
IF(ISNUMBER($W$55), $E239+($E$89*(($E239/$E$89)+$W$55)), $E239),
IF('Cost Inputs'!$L$70="N",
IF(AND(ISNUMBER('Cost Inputs'!$M$70), OR('Cost Inputs'!$M$70=1,'Cost Inputs'!$M$70=3,'Cost Inputs'!$M$70=5)),
IF(ISNUMBER($W$55), $E239+($E$89*(($E239/$E$89)+$W$55)), $E239),""),"")), ""),""),"")</f>
        <v/>
      </c>
      <c r="AG239" s="364" t="str">
        <f>IF($W$3="N.B.C.",
IF(ISNUMBER($B$236),
IF($C239&lt;&gt;"",
IF('Cost Inputs'!$L$70="Y",
IF(ISNUMBER($X$55), $E239+($E$89*(($E239/$E$89)+$X$55)), $E239),
IF('Cost Inputs'!$L$70="N",
IF(AND(ISNUMBER('Cost Inputs'!$M$70), OR('Cost Inputs'!$M$70=1,'Cost Inputs'!$M$70=2,'Cost Inputs'!$M$70=4,'Cost Inputs'!$M$70=8)),
IF(ISNUMBER($X$55), $E239+($E$89*(($E239/$E$89)+$X$55)), $E239),""),"")), ""),""),"")</f>
        <v/>
      </c>
      <c r="AH239" s="364" t="str">
        <f>IF($X$3="N.B.C.",
IF(ISNUMBER($B$236),
IF($C239&lt;&gt;"",
IF('Cost Inputs'!$L$70="Y",
IF(ISNUMBER($Y$55), $E239+($E$89*(($E239/$E$89)+$Y$55)), $E239),
IF('Cost Inputs'!$L$70="N",
IF(AND(ISNUMBER('Cost Inputs'!$M$70), OR('Cost Inputs'!$M$70=1)),
IF(ISNUMBER($Y$55), $E239+($E$89*(($E239/$E$89)+$Y$55)), $E239),""),"")), ""),""),"")</f>
        <v/>
      </c>
    </row>
    <row r="240" spans="1:34" x14ac:dyDescent="0.25">
      <c r="A240" s="518"/>
      <c r="B240" s="504"/>
      <c r="C240" s="107" t="str">
        <f>IF(AND( ISNUMBER(B236), OR('Cost Inputs'!$H$71&lt;&gt;"", 'Cost Inputs'!$I$71&lt;&gt;"", 'Cost Inputs'!$J$71&lt;&gt;"")), _3_2_4, "")</f>
        <v/>
      </c>
      <c r="D240" s="93" t="str">
        <f>IF(AND($C240&lt;&gt;"", 'Cost Inputs'!$G$71&lt;&gt;""), 'Cost Inputs'!$G$71, "")</f>
        <v/>
      </c>
      <c r="E240" s="93" t="str">
        <f>IF(AND(C240&lt;&gt;"", 'Cost Inputs'!$H$71&lt;&gt;"", M$233&lt;&gt;"", M$233&gt;0), $E219-('Cost Inputs'!$H$71*M$233), IF(AND(C240&lt;&gt;"", 'Cost Inputs'!$H$71&lt;&gt;""), $E219, ""))</f>
        <v/>
      </c>
      <c r="F240" s="93" t="str">
        <f>IF(AND(C240&lt;&gt;"", 'Cost Inputs'!$I$71&lt;&gt;""), 'Cost Inputs'!$I$71, "")</f>
        <v/>
      </c>
      <c r="G240" s="93" t="str">
        <f t="shared" si="10"/>
        <v/>
      </c>
      <c r="H240" s="93" t="str">
        <f>IF(AND(C240&lt;&gt;"", 'Cost Inputs'!$J$71&lt;&gt;""), 'Cost Inputs'!$J$71, "")</f>
        <v/>
      </c>
      <c r="I240" s="93" t="str">
        <f t="shared" si="11"/>
        <v/>
      </c>
      <c r="J240" s="93" t="str">
        <f>IF(AND(C240&lt;&gt;"",('Cost Inputs'!$I$71+'Cost Inputs'!$J$71+'Cost Inputs'!$K$71)&gt;0), 'Cost Inputs'!$I$71+'Cost Inputs'!$J$71+'Cost Inputs'!$K$71, "")</f>
        <v/>
      </c>
      <c r="K240" s="93" t="str">
        <f>IF(AND(C240&lt;&gt;"", 'Cost Inputs'!$N$71&gt;0),'Cost Inputs'!$N$71,"")</f>
        <v/>
      </c>
      <c r="L240" s="93"/>
      <c r="M240" s="109"/>
      <c r="Y240" s="372" t="str">
        <f>IF($O$3="N.B.C.",
IF(ISNUMBER($B$236),
IF($C240&lt;&gt;"",
IF('Cost Inputs'!$L$71="Y",
IF(ISNUMBER($P$55), $E240+($E$89*(($E240/$E$89)+$P$55)), $E240),
IF('Cost Inputs'!$L$71="N",
IF(AND(ISNUMBER('Cost Inputs'!$M$71), OR('Cost Inputs'!$M$71=1,'Cost Inputs'!$M$71=2,'Cost Inputs'!$M$71=4,'Cost Inputs'!$M$71=8)),
IF(ISNUMBER($P$55), $E240+($E$89*(($E240/$E$89)+$P$55)), $E240),""),"")), ""),""),"")</f>
        <v/>
      </c>
      <c r="Z240" s="372" t="str">
        <f>IF($P$3="N.B.C.",
IF(ISNUMBER($B$236),
IF($C240&lt;&gt;"",
IF('Cost Inputs'!$L$71="Y",
IF(ISNUMBER($Q$55), $E240+($E$89*(($E240/$E$89)+$Q$55)), $E240),
IF('Cost Inputs'!$L$71="N",
IF(AND(ISNUMBER('Cost Inputs'!$M$71), OR('Cost Inputs'!$M$71=1,'Cost Inputs'!$M$71=3,'Cost Inputs'!$M$71=9)),
IF(ISNUMBER($Q$55), $E240+($E$89*(($E240/$E$89)+$Q$55)), $E240),""),"")), ""),""),"")</f>
        <v/>
      </c>
      <c r="AA240" s="372" t="str">
        <f>IF($Q$3="N.B.C.",
IF(ISNUMBER($B$236),
IF($C240&lt;&gt;"",
IF('Cost Inputs'!$L$71="Y",
IF(ISNUMBER($R$55), $E240+($E$89*(($E240/$E$89)+$R$55)), $E240),
IF('Cost Inputs'!$L$71="N",
IF(AND(ISNUMBER('Cost Inputs'!$M$71), OR('Cost Inputs'!$M$71=1,'Cost Inputs'!$M$71=2,'Cost Inputs'!$M$71=5)),
IF(ISNUMBER($R$55), $E240+($E$89*(($E240/$E$89)+$R$55)), $E240),""),"")), ""),""),"")</f>
        <v/>
      </c>
      <c r="AB240" s="372" t="str">
        <f>IF($R$3="N.B.C.",
IF(ISNUMBER($B$236),
IF($C240&lt;&gt;"",
IF('Cost Inputs'!$L$71="Y",
IF(ISNUMBER($S$55), $E240+($E$89*(($E240/$E$89)+$S$55)), $E240),
IF('Cost Inputs'!$L$71="N",
IF(AND(ISNUMBER('Cost Inputs'!$M$71), OR('Cost Inputs'!$M$71=1)),
IF(ISNUMBER($S$55), $E240+($E$89*(($E240/$E$89)+$S$55)), $E240),""),"")), ""),""),"")</f>
        <v/>
      </c>
      <c r="AC240" s="372" t="str">
        <f>IF($S$3="N.B.C.",
IF(ISNUMBER($B$236),
IF($C240&lt;&gt;"",
IF('Cost Inputs'!$L$71="Y",
IF(ISNUMBER($T$55), $E240+($E$89*(($E240/$E$89)+$T$55)), $E240),
IF('Cost Inputs'!$L$71="N",
IF(AND(ISNUMBER('Cost Inputs'!$M$71), OR('Cost Inputs'!$M$71=1,'Cost Inputs'!$M$71=2,'Cost Inputs'!$M$71=3,'Cost Inputs'!$M$71=4,'Cost Inputs'!$M$71=6)),
IF(ISNUMBER($T$55), $E240+($E$89*(($E240/$E$89)+$T$55)), $E240),""),"")), ""),""),"")</f>
        <v/>
      </c>
      <c r="AD240" s="372" t="str">
        <f>IF($T$3="N.B.C.",
IF(ISNUMBER($B$236),
IF($C240&lt;&gt;"",
IF('Cost Inputs'!$L$71="Y",
IF(ISNUMBER($U$55), $E240+($E$89*(($E240/$E$89)+$U$55)), $E240),
IF('Cost Inputs'!$L$71="N",
IF(AND(ISNUMBER('Cost Inputs'!$M$71), OR('Cost Inputs'!$M$71=1)),
IF(ISNUMBER($U$55), $E240+($E$89*(($E240/$E$89)+$U$55)), $E240),""),"")), ""),""),"")</f>
        <v/>
      </c>
      <c r="AE240" s="372" t="str">
        <f>IF($U$3="N.B.C.",
IF(ISNUMBER($B$236),
IF($C240&lt;&gt;"",
IF('Cost Inputs'!$L$71="Y",
IF(ISNUMBER($V$55), $E240+($E$89*(($E240/$E$89)+$V$55)), $E240),
IF('Cost Inputs'!$L$71="N",
IF(AND(ISNUMBER('Cost Inputs'!$M$71), OR('Cost Inputs'!$M$71=1,'Cost Inputs'!$M$71=2,'Cost Inputs'!$M$71=7)),
IF(ISNUMBER($V$55), $E240+($E$89*(($E240/$E$89)+$V$55)), $E240),""),"")), ""),""),"")</f>
        <v/>
      </c>
      <c r="AF240" s="372" t="str">
        <f>IF($V$3="N.B.C.",
IF(ISNUMBER($B$236),
IF($C240&lt;&gt;"",
IF('Cost Inputs'!$L$71="Y",
IF(ISNUMBER($W$55), $E240+($E$89*(($E240/$E$89)+$W$55)), $E240),
IF('Cost Inputs'!$L$71="N",
IF(AND(ISNUMBER('Cost Inputs'!$M$71), OR('Cost Inputs'!$M$71=1,'Cost Inputs'!$M$71=3,'Cost Inputs'!$M$71=5)),
IF(ISNUMBER($W$55), $E240+($E$89*(($E240/$E$89)+$W$55)), $E240),""),"")), ""),""),"")</f>
        <v/>
      </c>
      <c r="AG240" s="372" t="str">
        <f>IF($W$3="N.B.C.",
IF(ISNUMBER($B$236),
IF($C240&lt;&gt;"",
IF('Cost Inputs'!$L$71="Y",
IF(ISNUMBER($X$55), $E240+($E$89*(($E240/$E$89)+$X$55)), $E240),
IF('Cost Inputs'!$L$71="N",
IF(AND(ISNUMBER('Cost Inputs'!$M$71), OR('Cost Inputs'!$M$71=1,'Cost Inputs'!$M$71=2,'Cost Inputs'!$M$71=4,'Cost Inputs'!$M$71=8)),
IF(ISNUMBER($X$55), $E240+($E$89*(($E240/$E$89)+$X$55)), $E240),""),"")), ""),""),"")</f>
        <v/>
      </c>
      <c r="AH240" s="372" t="str">
        <f>IF($X$3="N.B.C.",
IF(ISNUMBER($B$236),
IF($C240&lt;&gt;"",
IF('Cost Inputs'!$L$71="Y",
IF(ISNUMBER($Y$55), $E240+($E$89*(($E240/$E$89)+$Y$55)), $E240),
IF('Cost Inputs'!$L$71="N",
IF(AND(ISNUMBER('Cost Inputs'!$M$71), OR('Cost Inputs'!$M$71=1)),
IF(ISNUMBER($Y$55), $E240+($E$89*(($E240/$E$89)+$Y$55)), $E240),""),"")), ""),""),"")</f>
        <v/>
      </c>
    </row>
    <row r="241" spans="1:35" x14ac:dyDescent="0.25">
      <c r="A241" s="518"/>
      <c r="B241" s="504"/>
      <c r="C241" s="110" t="str">
        <f>IF(AND(B236&lt;&gt;"", ISNUMBER(Stage1EvaluationBegins)), IF((INDEX(ProgramYearStage1,MATCH(Stage1EvaluationBegins,Years_in_Stage1,0)))=B236, _3_3_0, IF(AND(B236&lt;&gt;"", C220&lt;&gt;""), _3_3_0, IF(AND(B236&lt;&gt;"", OR(Stage1EvaluationBegins=0, Stage1EvaluationBegins="")),"", ""))),"")</f>
        <v/>
      </c>
      <c r="D241" s="94" t="str">
        <f>IF(AND(B236&lt;&gt;"", OR('Cost Inputs'!$H$72&lt;&gt;"", 'Cost Inputs'!$I$72&lt;&gt;"", 'Cost Inputs'!$J$72&lt;&gt;"")), 'Cost Inputs'!$G$72,"")</f>
        <v/>
      </c>
      <c r="E241" s="94" t="str">
        <f>IF(AND(C241&lt;&gt;"", 'Cost Inputs'!$H$72&lt;&gt;""), 'Cost Inputs'!$H$72, "")</f>
        <v/>
      </c>
      <c r="F241" s="94" t="str">
        <f>IF(AND(C241&lt;&gt;"", 'Cost Inputs'!$I$72&lt;&gt;""), 'Cost Inputs'!$I$72, "")</f>
        <v/>
      </c>
      <c r="G241" s="94" t="str">
        <f t="shared" si="10"/>
        <v/>
      </c>
      <c r="H241" s="94" t="str">
        <f>IF(AND(C241&lt;&gt;"", 'Cost Inputs'!$J$72&lt;&gt;""), 'Cost Inputs'!$J$72, "")</f>
        <v/>
      </c>
      <c r="I241" s="94" t="str">
        <f>IF(AND($E241&lt;&gt;"", $H241&lt;&gt;""), $H241/$E241, "")</f>
        <v/>
      </c>
      <c r="J241" s="94" t="str">
        <f>IF(AND(C241&lt;&gt;"",('Cost Inputs'!$I$72+'Cost Inputs'!$J$72+'Cost Inputs'!$K$72)&gt;0), 'Cost Inputs'!$I$72+'Cost Inputs'!$J$72+'Cost Inputs'!$K$72, "")</f>
        <v/>
      </c>
      <c r="K241" s="94" t="str">
        <f>IF(AND(C241&lt;&gt;"", 'Cost Inputs'!$N$72&gt;0),'Cost Inputs'!$N$72,"")</f>
        <v/>
      </c>
      <c r="L241" s="130" t="str">
        <f>IF(AND($B236&lt;&gt;"", ISNUMBER(Stage1EvaluationBegins)), IF((INDEX(ProgramYearStage1,MATCH(Stage1EvaluationBegins,Years_in_Stage1,0)))=$B236, INDEX(Stage1Evaluation,MATCH(Stage1EvaluationBegins,Years_in_Stage1,0)), IF(AND($B236&lt;&gt;"", $C220&lt;&gt;""), INDEX(Stage1Evaluation,MATCH($B236,ProgramYearStage1,0)), IF(AND(B236&lt;&gt;"", OR(Stage1EvaluationBegins=0, Stage1EvaluationBegins="")),"", ""))),"")</f>
        <v/>
      </c>
      <c r="M241" s="103"/>
      <c r="Y241" s="373" t="str">
        <f>IF($O$3="N.B.C.",
IF(ISNUMBER($B$236),
IF($C241&lt;&gt;"",
IF('Cost Inputs'!$L$72="Y",
IF(AND(ISNUMBER(P$56), P$56&gt;$E$60), $E241+($E$60*(($E241/$E$60)+$P$55)), $E241),
IF('Cost Inputs'!$L$72="N",
IF(AND(ISNUMBER('Cost Inputs'!$M$72), OR('Cost Inputs'!$M$72=1,'Cost Inputs'!$M$72=2,'Cost Inputs'!$M$72=4,'Cost Inputs'!$M$72=8)),
IF(AND(ISNUMBER(P$56), P$56&gt;$E$60), $E241+($E$60*(($E241/$E$60)+$P$55)), $E241), ""),"")), ""), ""), "")</f>
        <v/>
      </c>
      <c r="Z241" s="373" t="str">
        <f>IF($P$3="N.B.C.",
IF(ISNUMBER($B$236),
IF($C241&lt;&gt;"",
IF('Cost Inputs'!$L$72="Y",
IF(AND(ISNUMBER(Q$56), Q$56&gt;$E$60), $E241+($E$60*(($E241/$E$60)+$Q$55)), $E241),
IF('Cost Inputs'!$L$72="N",
IF(AND(ISNUMBER('Cost Inputs'!$M$72), OR('Cost Inputs'!$M$72=1,'Cost Inputs'!$M$72=3, 'Cost Inputs'!$M$72=9)),
IF(AND(ISNUMBER(Q$56), Q$56&gt;$E$60), $E241+($E$60*(($E241/$E$60)+$Q$55)), $E241), ""),"")), ""), ""), "")</f>
        <v/>
      </c>
      <c r="AA241" s="373" t="str">
        <f>IF($Q$3="N.B.C.",
IF(ISNUMBER($B$236),
IF($C241&lt;&gt;"",
IF('Cost Inputs'!$L$72="Y",
IF(AND(ISNUMBER(R$56), R$56&gt;$E$60), $E241+($E$60*(($E241/$E$60)+$R$55)), $E241),
IF('Cost Inputs'!$L$72="N",
IF(AND(ISNUMBER('Cost Inputs'!$M$72), OR('Cost Inputs'!$M$72=1,'Cost Inputs'!$M$72=2, 'Cost Inputs'!$M$72=5)),
IF(AND(ISNUMBER(R$56), R$56&gt;$E$60), $E241+($E$60*(($E241/$E$60)+$R$55)), $E241), ""),"")), ""), ""), "")</f>
        <v/>
      </c>
      <c r="AB241" s="373" t="str">
        <f>IF($R$3="N.B.C.",
IF(ISNUMBER($B$236),
IF($C241&lt;&gt;"",
IF('Cost Inputs'!$L$72="Y",
IF(AND(ISNUMBER(S$56), S$56&gt;$E$60), $E241+($E$60*(($E241/$E$60)+$S$55)), $E241),
IF('Cost Inputs'!$L$72="N",
IF(AND(ISNUMBER('Cost Inputs'!$M$72), OR('Cost Inputs'!$M$72=1)),
IF(AND(ISNUMBER(S$56), S$56&gt;$E$60), $E241+($E$60*(($E241/$E$60)+$S$55)), $E241), ""),"")), ""), ""), "")</f>
        <v/>
      </c>
      <c r="AC241" s="373" t="str">
        <f>IF($S$3="N.B.C.",
IF(ISNUMBER($B$236),
IF($C241&lt;&gt;"",
IF('Cost Inputs'!$L$72="Y",
IF(AND(ISNUMBER(T$56), T$56&gt;$E$60), $E241+($E$60*(($E241/$E$60)+$T$55)), $E241),
IF('Cost Inputs'!$L$72="N",
IF(AND(ISNUMBER('Cost Inputs'!$M$72), OR('Cost Inputs'!$M$72=1,'Cost Inputs'!$M$72=2,'Cost Inputs'!$M$72=3,'Cost Inputs'!$M$72=4,'Cost Inputs'!$M$72=6)),
IF(AND(ISNUMBER(T$56), T$56&gt;$E$60), $E241+($E$60*(($E241/$E$60)+$T$55)), $E241), ""),"")), ""), ""), "")</f>
        <v/>
      </c>
      <c r="AD241" s="373" t="str">
        <f>IF($T$3="N.B.C.",
IF(ISNUMBER($B$236),
IF($C241&lt;&gt;"",
IF('Cost Inputs'!$L$72="Y",
IF(AND(ISNUMBER(U$56), U$56&gt;$E$60), $E241+($E$60*(($E241/$E$60)+$U$55)), $E241),
IF('Cost Inputs'!$L$72="N",
IF(AND(ISNUMBER('Cost Inputs'!$M$72), OR('Cost Inputs'!$M$72=1)),
IF(AND(ISNUMBER(U$56), U$56&gt;$E$60), $E241+($E$60*(($E241/$E$60)+$U$55)), $E241), ""),"")), ""), ""), "")</f>
        <v/>
      </c>
      <c r="AE241" s="373" t="str">
        <f>IF($U$3="N.B.C.",
IF(ISNUMBER($B$236),
IF($C241&lt;&gt;"",
IF('Cost Inputs'!$L$72="Y",
IF(AND(ISNUMBER(V$56), V$56&gt;$E$60), $E241+($E$60*(($E241/$E$60)+$V$55)), $E241),
IF('Cost Inputs'!$L$72="N",
IF(AND(ISNUMBER('Cost Inputs'!$M$72), OR('Cost Inputs'!$M$72=1,'Cost Inputs'!$M$72=2,'Cost Inputs'!$M$72=7)),
IF(AND(ISNUMBER(V$56), V$56&gt;$E$60), $E241+($E$60*(($E241/$E$60)+$V$55)), $E241), ""),"")), ""), ""), "")</f>
        <v/>
      </c>
      <c r="AF241" s="373" t="str">
        <f>IF($V$3="N.B.C.",
IF(ISNUMBER($B$236),
IF($C241&lt;&gt;"",
IF('Cost Inputs'!$L$72="Y",
IF(AND(ISNUMBER(W$56), W$56&gt;$E$60), $E241+($E$60*(($E241/$E$60)+$W$55)), $E241),
IF('Cost Inputs'!$L$72="N",
IF(AND(ISNUMBER('Cost Inputs'!$M$72), OR('Cost Inputs'!$M$72=1,'Cost Inputs'!$M$72=3,'Cost Inputs'!$M$72=5)),
IF(AND(ISNUMBER(W$56), W$56&gt;$E$60), $E241+($E$60*(($E241/$E$60)+$W$55)), $E241), ""),"")), ""), ""), "")</f>
        <v/>
      </c>
      <c r="AG241" s="373" t="str">
        <f>IF($W$3="N.B.C.",
IF(ISNUMBER($B$236),
IF($C241&lt;&gt;"",
IF('Cost Inputs'!$L$72="Y",
IF(AND(ISNUMBER(X$56), X$56&gt;$E$60), $E241+($E$60*(($E241/$E$60)+$X$55)), $E241),
IF('Cost Inputs'!$L$72="N",
IF(AND(ISNUMBER('Cost Inputs'!$M$72), OR('Cost Inputs'!$M$72=1,'Cost Inputs'!$M$72=2,'Cost Inputs'!$M$72=4,'Cost Inputs'!$M$72=8)),
IF(AND(ISNUMBER(X$56), X$56&gt;$E$60), $E241+($E$60*(($E241/$E$60)+$X$55)), $E241), ""),"")), ""), ""), "")</f>
        <v/>
      </c>
      <c r="AH241" s="373" t="str">
        <f>IF($X$3="N.B.C.",
IF(ISNUMBER($B$236),
IF($C241&lt;&gt;"",
IF('Cost Inputs'!$L$72="Y",
IF(AND(ISNUMBER(Y$56), Y$56&gt;$E$60), $E241+($E$60*(($E241/$E$60)+$Y$55)), $E241),
IF('Cost Inputs'!$L$72="N",
IF(AND(ISNUMBER('Cost Inputs'!$M$72), OR('Cost Inputs'!$M$72=1)),
IF(AND(ISNUMBER(Y$56), Y$56&gt;$E$60), $E241+($E$60*(($E241/$E$60)+$Y$55)), $E241), ""),"")), ""), ""), "")</f>
        <v/>
      </c>
    </row>
    <row r="242" spans="1:35" x14ac:dyDescent="0.25">
      <c r="A242" s="518"/>
      <c r="B242" s="504"/>
      <c r="C242" s="104" t="str">
        <f>IF(AND(ISNUMBER(B236), C241&lt;&gt;"", OR('Cost Inputs'!$H$73&lt;&gt;"", 'Cost Inputs'!$I$73&lt;&gt;"", 'Cost Inputs'!$J$73&lt;&gt;"")), _3_3_1, "")</f>
        <v/>
      </c>
      <c r="D242" s="17" t="str">
        <f>IF(AND(C242&lt;&gt;"", 'Cost Inputs'!$G$73&lt;&gt;""), 'Cost Inputs'!$G$73, "")</f>
        <v/>
      </c>
      <c r="E242" s="17" t="str">
        <f>IF(AND(C242&lt;&gt;"", 'Cost Inputs'!$H$73&lt;&gt;""), 'Cost Inputs'!$H$73, "")</f>
        <v/>
      </c>
      <c r="F242" s="17" t="str">
        <f>IF(AND(C242&lt;&gt;"", 'Cost Inputs'!$I$73&lt;&gt;""), 'Cost Inputs'!$I$73, "")</f>
        <v/>
      </c>
      <c r="G242" s="17" t="str">
        <f t="shared" si="10"/>
        <v/>
      </c>
      <c r="H242" s="17" t="str">
        <f>IF(AND(C242&lt;&gt;"", 'Cost Inputs'!$J$73&lt;&gt;""), 'Cost Inputs'!$J$73, "")</f>
        <v/>
      </c>
      <c r="I242" s="17" t="str">
        <f t="shared" ref="I242:I256" si="13">IF(AND($E242&lt;&gt;"", $H242&lt;&gt;""), $H242/$E242, "")</f>
        <v/>
      </c>
      <c r="J242" s="17" t="str">
        <f>IF(AND(C242&lt;&gt;"",('Cost Inputs'!$I$73+'Cost Inputs'!$J$73+'Cost Inputs'!$K$73)&gt;0), 'Cost Inputs'!$I$73+'Cost Inputs'!$J$73+'Cost Inputs'!$K$73, "")</f>
        <v/>
      </c>
      <c r="K242" s="17" t="str">
        <f>IF(AND(C242&lt;&gt;"", 'Cost Inputs'!$N$73&gt;0),'Cost Inputs'!$N$73,"")</f>
        <v/>
      </c>
      <c r="M242" s="106"/>
      <c r="Y242" s="364" t="str">
        <f>IF($O$3="N.B.C.",
IF(ISNUMBER($B$236),
IF($C242&lt;&gt;"",
IF('Cost Inputs'!$L$73="Y",
IF(ISNUMBER($P$55), $E242+($E$73*(($E242/$E$73)+$P$55)), $E242),
IF('Cost Inputs'!$L$73="N",
IF(AND(ISNUMBER('Cost Inputs'!$M$73), OR('Cost Inputs'!$M$73=1,'Cost Inputs'!$M$73=2,'Cost Inputs'!$M$73=4,'Cost Inputs'!$M$73=8)),
IF(ISNUMBER($P$55), $E242+($E$73*(($E242/$E$73)+$P$55)), $E242),""),"")), ""),""),"")</f>
        <v/>
      </c>
      <c r="Z242" s="364" t="str">
        <f>IF($P$3="N.B.C.",
IF(ISNUMBER($B$236),
IF($C242&lt;&gt;"",
IF('Cost Inputs'!$L$73="Y",
IF(ISNUMBER($Q$55), $E242+($E$73*(($E242/$E$73)+$Q$55)), $E242),
IF('Cost Inputs'!$L$73="N",
IF(AND(ISNUMBER('Cost Inputs'!$M$73), OR('Cost Inputs'!$M$73=1,'Cost Inputs'!$M$73=3,'Cost Inputs'!$M$73=9)),
IF(ISNUMBER($Q$55), $E242+($E$73*(($E242/$E$73)+$Q$55)), $E242),""),"")), ""),""),"")</f>
        <v/>
      </c>
      <c r="AA242" s="364" t="str">
        <f>IF($Q$3="N.B.C.",
IF(ISNUMBER($B$236),
IF($C242&lt;&gt;"",
IF('Cost Inputs'!$L$73="Y",
IF(ISNUMBER($R$55), $E242+($E$73*(($E242/$E$73)+$R$55)), $E242),
IF('Cost Inputs'!$L$73="N",
IF(AND(ISNUMBER('Cost Inputs'!$M$73), OR('Cost Inputs'!$M$73=1,'Cost Inputs'!$M$73=2,'Cost Inputs'!$M$73=5)),
IF(ISNUMBER($R$55), $E242+($E$73*(($E242/$E$73)+$R$55)), $E242),""),"")), ""),""),"")</f>
        <v/>
      </c>
      <c r="AB242" s="364" t="str">
        <f>IF($R$3="N.B.C.",
IF(ISNUMBER($B$236),
IF($C242&lt;&gt;"",
IF('Cost Inputs'!$L$73="Y",
IF(ISNUMBER($S$55), $E242+($E$73*(($E242/$E$73)+$S$55)), $E242),
IF('Cost Inputs'!$L$73="N",
IF(AND(ISNUMBER('Cost Inputs'!$M$73), OR('Cost Inputs'!$M$73=1)),
IF(ISNUMBER($S$55), $E242+($E$73*(($E242/$E$73)+$S$55)), $E242),""),"")), ""),""),"")</f>
        <v/>
      </c>
      <c r="AC242" s="364" t="str">
        <f>IF($S$3="N.B.C.",
IF(ISNUMBER($B$236),
IF($C242&lt;&gt;"",
IF('Cost Inputs'!$L$73="Y",
IF(ISNUMBER($T$55), $E242+($E$73*(($E242/$E$73)+$T$55)), $E242),
IF('Cost Inputs'!$L$73="N",
IF(AND(ISNUMBER('Cost Inputs'!$M$73), OR('Cost Inputs'!$M$73=1,'Cost Inputs'!$M$73=2,'Cost Inputs'!$M$73=3,'Cost Inputs'!$M$73=4,'Cost Inputs'!$M$73=6)),
IF(ISNUMBER($T$55), $E242+($E$73*(($E242/$E$73)+$T$55)), $E242),""),"")), ""),""),"")</f>
        <v/>
      </c>
      <c r="AD242" s="364" t="str">
        <f>IF($T$3="N.B.C.",
IF(ISNUMBER($B$236),
IF($C242&lt;&gt;"",
IF('Cost Inputs'!$L$73="Y",
IF(ISNUMBER($U$55), $E242+($E$73*(($E242/$E$73)+$U$55)), $E242),
IF('Cost Inputs'!$L$73="N",
IF(AND(ISNUMBER('Cost Inputs'!$M$73), OR('Cost Inputs'!$M$73=1)),
IF(ISNUMBER($U$55), $E242+($E$73*(($E242/$E$73)+$U$55)), $E242),""),"")), ""),""),"")</f>
        <v/>
      </c>
      <c r="AE242" s="364" t="str">
        <f>IF($U$3="N.B.C.",
IF(ISNUMBER($B$236),
IF($C242&lt;&gt;"",
IF('Cost Inputs'!$L$73="Y",
IF(ISNUMBER($V$55), $E242+($E$73*(($E242/$E$73)+$V$55)), $E242),
IF('Cost Inputs'!$L$73="N",
IF(AND(ISNUMBER('Cost Inputs'!$M$73), OR('Cost Inputs'!$M$73=1,'Cost Inputs'!$M$73=2,'Cost Inputs'!$M$73=7)),
IF(ISNUMBER($V$55), $E242+($E$73*(($E242/$E$73)+$V$55)), $E242),""),"")), ""),""),"")</f>
        <v/>
      </c>
      <c r="AF242" s="364" t="str">
        <f>IF($V$3="N.B.C.",
IF(ISNUMBER($B$236),
IF($C242&lt;&gt;"",
IF('Cost Inputs'!$L$73="Y",
IF(ISNUMBER($W$55), $E242+($E$73*(($E242/$E$73)+$W$55)), $E242),
IF('Cost Inputs'!$L$73="N",
IF(AND(ISNUMBER('Cost Inputs'!$M$73), OR('Cost Inputs'!$M$73=1,'Cost Inputs'!$M$73=3,'Cost Inputs'!$M$73=5)),
IF(ISNUMBER($W$55), $E242+($E$73*(($E242/$E$73)+$W$55)), $E242),""),"")), ""),""),"")</f>
        <v/>
      </c>
      <c r="AG242" s="364" t="str">
        <f>IF($W$3="N.B.C.",
IF(ISNUMBER($B$236),
IF($C242&lt;&gt;"",
IF('Cost Inputs'!$L$73="Y",
IF(ISNUMBER($X$55), $E242+($E$73*(($E242/$E$73)+$X$55)), $E242),
IF('Cost Inputs'!$L$73="N",
IF(AND(ISNUMBER('Cost Inputs'!$M$73), OR('Cost Inputs'!$M$73=1,'Cost Inputs'!$M$73=2,'Cost Inputs'!$M$73=4,'Cost Inputs'!$M$73=8)),
IF(ISNUMBER($X$55), $E242+($E$73*(($E242/$E$73)+$X$55)), $E242),""),"")), ""),""),"")</f>
        <v/>
      </c>
      <c r="AH242" s="364" t="str">
        <f>IF($X$3="N.B.C.",
IF(ISNUMBER($B$236),
IF($C242&lt;&gt;"",
IF('Cost Inputs'!$L$73="Y",
IF(ISNUMBER($Y$55), $E242+($E$73*(($E242/$E$73)+$Y$55)), $E242),
IF('Cost Inputs'!$L$73="N",
IF(AND(ISNUMBER('Cost Inputs'!$M$73), OR('Cost Inputs'!$M$73=1)),
IF(ISNUMBER($Y$55), $E242+($E$73*(($E242/$E$73)+$Y$55)), $E242),""),"")), ""),""),"")</f>
        <v/>
      </c>
    </row>
    <row r="243" spans="1:35" x14ac:dyDescent="0.25">
      <c r="A243" s="518"/>
      <c r="B243" s="504"/>
      <c r="C243" s="107" t="str">
        <f>IF(AND(ISNUMBER(B236), C241&lt;&gt;"", OR('Cost Inputs'!$H$74&lt;&gt;"", 'Cost Inputs'!$I$74&lt;&gt;"", 'Cost Inputs'!$J$74&lt;&gt;"")), _3_3_2, "")</f>
        <v/>
      </c>
      <c r="D243" s="93" t="str">
        <f>IF(AND(C243&lt;&gt;"", 'Cost Inputs'!$G$74&lt;&gt;""), 'Cost Inputs'!$G$74, "")</f>
        <v/>
      </c>
      <c r="E243" s="93" t="str">
        <f>IF(AND(C243&lt;&gt;"", 'Cost Inputs'!$H$74&lt;&gt;""), 'Cost Inputs'!$H$74, "")</f>
        <v/>
      </c>
      <c r="F243" s="93" t="str">
        <f>IF(AND(C243&lt;&gt;"", 'Cost Inputs'!$I$74&lt;&gt;""), 'Cost Inputs'!$I$74, "")</f>
        <v/>
      </c>
      <c r="G243" s="93" t="str">
        <f t="shared" si="10"/>
        <v/>
      </c>
      <c r="H243" s="93" t="str">
        <f>IF(AND(C243&lt;&gt;"", 'Cost Inputs'!$J$74&lt;&gt;""), 'Cost Inputs'!$J$74, "")</f>
        <v/>
      </c>
      <c r="I243" s="93" t="str">
        <f t="shared" si="13"/>
        <v/>
      </c>
      <c r="J243" s="93" t="str">
        <f>IF(AND(C243&lt;&gt;"",('Cost Inputs'!$I$74+'Cost Inputs'!$J$74+'Cost Inputs'!$K$74)&gt;0), 'Cost Inputs'!$I$74+'Cost Inputs'!$J$74+'Cost Inputs'!$K$74, "")</f>
        <v/>
      </c>
      <c r="K243" s="93" t="str">
        <f>IF(AND(C243&lt;&gt;"", 'Cost Inputs'!$N$74&gt;0),'Cost Inputs'!$N$74,"")</f>
        <v/>
      </c>
      <c r="L243" s="93"/>
      <c r="M243" s="109"/>
      <c r="Y243" s="372" t="str">
        <f>IF($O$3="N.B.C.",
IF(ISNUMBER($B$236),
IF($C243&lt;&gt;"",
IF('Cost Inputs'!$L$74="Y",
IF(ISNUMBER($P$55), $E243+($E$73*(($E243/$E$73)+$P$55)), $E243),
IF('Cost Inputs'!$L$74="N",
IF(AND(ISNUMBER('Cost Inputs'!$M$74), OR('Cost Inputs'!$M$74=1,'Cost Inputs'!$M$74=2,'Cost Inputs'!$M$74=4,'Cost Inputs'!$M$74=8)),
IF(ISNUMBER($P$55), $E243+($E$73*(($E243/$E$73)+$P$55)), $E243),""),"")), ""),""),"")</f>
        <v/>
      </c>
      <c r="Z243" s="372" t="str">
        <f>IF($P$3="N.B.C.",
IF(ISNUMBER($B$236),
IF($C243&lt;&gt;"",
IF('Cost Inputs'!$L$74="Y",
IF(ISNUMBER($Q$55), $E243+($E$73*(($E243/$E$73)+$Q$55)), $E243),
IF('Cost Inputs'!$L$74="N",
IF(AND(ISNUMBER('Cost Inputs'!$M$74), OR('Cost Inputs'!$M$74=1,'Cost Inputs'!$M$74=3,'Cost Inputs'!$M$74=9)),
IF(ISNUMBER($Q$55), $E243+($E$73*(($E243/$E$73)+$Q$55)), $E243),""),"")), ""),""),"")</f>
        <v/>
      </c>
      <c r="AA243" s="372" t="str">
        <f>IF($Q$3="N.B.C.",
IF(ISNUMBER($B$236),
IF($C243&lt;&gt;"",
IF('Cost Inputs'!$L$74="Y",
IF(ISNUMBER($R$55), $E243+($E$73*(($E243/$E$73)+$R$55)), $E243),
IF('Cost Inputs'!$L$74="N",
IF(AND(ISNUMBER('Cost Inputs'!$M$74), OR('Cost Inputs'!$M$74=1,'Cost Inputs'!$M$74=2,'Cost Inputs'!$M$74=5)),
IF(ISNUMBER($R$55), $E243+($E$73*(($E243/$E$73)+$R$55)), $E243),""),"")), ""),""),"")</f>
        <v/>
      </c>
      <c r="AB243" s="372" t="str">
        <f>IF($R$3="N.B.C.",
IF(ISNUMBER($B$236),
IF($C243&lt;&gt;"",
IF('Cost Inputs'!$L$74="Y",
IF(ISNUMBER($S$55), $E243+($E$73*(($E243/$E$73)+$S$55)), $E243),
IF('Cost Inputs'!$L$74="N",
IF(AND(ISNUMBER('Cost Inputs'!$M$74), OR('Cost Inputs'!$M$74=1)),
IF(ISNUMBER($S$55), $E243+($E$73*(($E243/$E$73)+$S$55)), $E243),""),"")), ""),""),"")</f>
        <v/>
      </c>
      <c r="AC243" s="372" t="str">
        <f>IF($S$3="N.B.C.",
IF(ISNUMBER($B$236),
IF($C243&lt;&gt;"",
IF('Cost Inputs'!$L$74="Y",
IF(ISNUMBER($T$55), $E243+($E$73*(($E243/$E$73)+$T$55)), $E243),
IF('Cost Inputs'!$L$74="N",
IF(AND(ISNUMBER('Cost Inputs'!$M$74), OR('Cost Inputs'!$M$74=1,'Cost Inputs'!$M$74=2,'Cost Inputs'!$M$74=3,'Cost Inputs'!$M$74=4,'Cost Inputs'!$M$74=6)),
IF(ISNUMBER($T$55), $E243+($E$73*(($E243/$E$73)+$T$55)), $E243),""),"")), ""),""),"")</f>
        <v/>
      </c>
      <c r="AD243" s="372" t="str">
        <f>IF($T$3="N.B.C.",
IF(ISNUMBER($B$236),
IF($C243&lt;&gt;"",
IF('Cost Inputs'!$L$74="Y",
IF(ISNUMBER($U$55), $E243+($E$73*(($E243/$E$73)+$U$55)), $E243),
IF('Cost Inputs'!$L$74="N",
IF(AND(ISNUMBER('Cost Inputs'!$M$74), OR('Cost Inputs'!$M$74=1)),
IF(ISNUMBER($U$55), $E243+($E$73*(($E243/$E$73)+$U$55)), $E243),""),"")), ""),""),"")</f>
        <v/>
      </c>
      <c r="AE243" s="372" t="str">
        <f>IF($U$3="N.B.C.",
IF(ISNUMBER($B$236),
IF($C243&lt;&gt;"",
IF('Cost Inputs'!$L$74="Y",
IF(ISNUMBER($V$55), $E243+($E$73*(($E243/$E$73)+$V$55)), $E243),
IF('Cost Inputs'!$L$74="N",
IF(AND(ISNUMBER('Cost Inputs'!$M$74), OR('Cost Inputs'!$M$74=1,'Cost Inputs'!$M$74=2,'Cost Inputs'!$M$74=7)),
IF(ISNUMBER($V$55), $E243+($E$73*(($E243/$E$73)+$V$55)), $E243),""),"")), ""),""),"")</f>
        <v/>
      </c>
      <c r="AF243" s="372" t="str">
        <f>IF($V$3="N.B.C.",
IF(ISNUMBER($B$236),
IF($C243&lt;&gt;"",
IF('Cost Inputs'!$L$74="Y",
IF(ISNUMBER($W$55), $E243+($E$73*(($E243/$E$73)+$W$55)), $E243),
IF('Cost Inputs'!$L$74="N",
IF(AND(ISNUMBER('Cost Inputs'!$M$74), OR('Cost Inputs'!$M$74=1,'Cost Inputs'!$M$74=3,'Cost Inputs'!$M$74=5)),
IF(ISNUMBER($W$55), $E243+($E$73*(($E243/$E$73)+$W$55)), $E243),""),"")), ""),""),"")</f>
        <v/>
      </c>
      <c r="AG243" s="372" t="str">
        <f>IF($W$3="N.B.C.",
IF(ISNUMBER($B$236),
IF($C243&lt;&gt;"",
IF('Cost Inputs'!$L$74="Y",
IF(ISNUMBER($X$55), $E243+($E$73*(($E243/$E$73)+$X$55)), $E243),
IF('Cost Inputs'!$L$74="N",
IF(AND(ISNUMBER('Cost Inputs'!$M$74), OR('Cost Inputs'!$M$74=1,'Cost Inputs'!$M$74=2,'Cost Inputs'!$M$74=4,'Cost Inputs'!$M$74=8)),
IF(ISNUMBER($X$55), $E243+($E$73*(($E243/$E$73)+$X$55)), $E243),""),"")), ""),""),"")</f>
        <v/>
      </c>
      <c r="AH243" s="372" t="str">
        <f>IF($X$3="N.B.C.",
IF(ISNUMBER($B$236),
IF($C243&lt;&gt;"",
IF('Cost Inputs'!$L$74="Y",
IF(ISNUMBER($Y$55), $E243+($E$73*(($E243/$E$73)+$Y$55)), $E243),
IF('Cost Inputs'!$L$74="N",
IF(AND(ISNUMBER('Cost Inputs'!$M$74), OR('Cost Inputs'!$M$74=1)),
IF(ISNUMBER($Y$55), $E243+($E$73*(($E243/$E$73)+$Y$55)), $E243),""),"")), ""),""),"")</f>
        <v/>
      </c>
    </row>
    <row r="244" spans="1:35" x14ac:dyDescent="0.25">
      <c r="A244" s="518"/>
      <c r="B244" s="504"/>
      <c r="C244" s="104" t="str">
        <f>IF(AND(ISNUMBER(B236), OR('Cost Inputs'!$H$75&lt;&gt;"", 'Cost Inputs'!$I$75&lt;&gt;"", 'Cost Inputs'!$J$75&lt;&gt;"")), _3_3_3, "")</f>
        <v/>
      </c>
      <c r="D244" s="17" t="str">
        <f>IF(AND(C244&lt;&gt;"", 'Cost Inputs'!$G$75&lt;&gt;""), 'Cost Inputs'!$G$75, "")</f>
        <v/>
      </c>
      <c r="E244" s="17" t="str">
        <f>IF(AND(C244&lt;&gt;"", 'Cost Inputs'!$H$75&lt;&gt;""), 'Cost Inputs'!$H$75, "")</f>
        <v/>
      </c>
      <c r="F244" s="17" t="str">
        <f>IF(AND(C244&lt;&gt;"", 'Cost Inputs'!$I$75&lt;&gt;""), 'Cost Inputs'!$I$75, "")</f>
        <v/>
      </c>
      <c r="G244" s="17" t="str">
        <f t="shared" si="10"/>
        <v/>
      </c>
      <c r="H244" s="17" t="str">
        <f>IF(AND(C244&lt;&gt;"", 'Cost Inputs'!$J$75&lt;&gt;""), 'Cost Inputs'!$J$75, "")</f>
        <v/>
      </c>
      <c r="I244" s="17" t="str">
        <f t="shared" si="13"/>
        <v/>
      </c>
      <c r="J244" s="17" t="str">
        <f>IF(AND(C244&lt;&gt;"",('Cost Inputs'!$I$75+'Cost Inputs'!$J$75+'Cost Inputs'!$K$75)&gt;0), 'Cost Inputs'!$I$75+'Cost Inputs'!$J$75+'Cost Inputs'!$K$75, "")</f>
        <v/>
      </c>
      <c r="K244" s="17" t="str">
        <f>IF(AND(C244&lt;&gt;"", 'Cost Inputs'!$N$75&gt;0),'Cost Inputs'!$N$75,"")</f>
        <v/>
      </c>
      <c r="M244" s="106"/>
      <c r="Y244" s="364" t="str">
        <f>IF($O$3="N.B.C.",
IF(ISNUMBER($B$236),
IF($C244&lt;&gt;"",
IF('Cost Inputs'!$L$75="Y",
IF(ISNUMBER($P$55), $E244+($E$73*(($E244/$E$73)+$P$55)), $E244),
IF('Cost Inputs'!$L$75="N",
IF(AND(ISNUMBER('Cost Inputs'!$M$75), OR('Cost Inputs'!$M$75=1,'Cost Inputs'!$M$75=2,'Cost Inputs'!$M$75=4,'Cost Inputs'!$M$75=8)),
IF(ISNUMBER($P$55), $E244+($E$73*(($E244/$E$73)+$P$55)), $E244),""),"")), ""),""),"")</f>
        <v/>
      </c>
      <c r="Z244" s="364" t="str">
        <f>IF($P$3="N.B.C.",
IF(ISNUMBER($B$236),
IF($C244&lt;&gt;"",
IF('Cost Inputs'!$L$75="Y",
IF(ISNUMBER($Q$55), $E244+($E$73*(($E244/$E$73)+$Q$55)), $E244),
IF('Cost Inputs'!$L$75="N",
IF(AND(ISNUMBER('Cost Inputs'!$M$75), OR('Cost Inputs'!$M$75=1,'Cost Inputs'!$M$75=3,'Cost Inputs'!$M$75=9)),
IF(ISNUMBER($Q$55), $E244+($E$73*(($E244/$E$73)+$Q$55)), $E244),""),"")), ""),""),"")</f>
        <v/>
      </c>
      <c r="AA244" s="364" t="str">
        <f>IF($Q$3="N.B.C.",
IF(ISNUMBER($B$236),
IF($C244&lt;&gt;"",
IF('Cost Inputs'!$L$75="Y",
IF(ISNUMBER($R$55), $E244+($E$73*(($E244/$E$73)+$R$55)), $E244),
IF('Cost Inputs'!$L$75="N",
IF(AND(ISNUMBER('Cost Inputs'!$M$75), OR('Cost Inputs'!$M$75=1,'Cost Inputs'!$M$75=2,'Cost Inputs'!$M$75=5)),
IF(ISNUMBER($R$55), $E244+($E$73*(($E244/$E$73)+$R$55)), $E244),""),"")), ""),""),"")</f>
        <v/>
      </c>
      <c r="AB244" s="364" t="str">
        <f>IF($R$3="N.B.C.",
IF(ISNUMBER($B$236),
IF($C244&lt;&gt;"",
IF('Cost Inputs'!$L$75="Y",
IF(ISNUMBER($S$55), $E244+($E$73*(($E244/$E$73)+$S$55)), $E244),
IF('Cost Inputs'!$L$75="N",
IF(AND(ISNUMBER('Cost Inputs'!$M$75), OR('Cost Inputs'!$M$75=1)),
IF(ISNUMBER($S$55), $E244+($E$73*(($E244/$E$73)+$S$55)), $E244),""),"")), ""),""),"")</f>
        <v/>
      </c>
      <c r="AC244" s="364" t="str">
        <f>IF($S$3="N.B.C.",
IF(ISNUMBER($B$236),
IF($C244&lt;&gt;"",
IF('Cost Inputs'!$L$75="Y",
IF(ISNUMBER($T$55), $E244+($E$73*(($E244/$E$73)+$T$55)), $E244),
IF('Cost Inputs'!$L$75="N",
IF(AND(ISNUMBER('Cost Inputs'!$M$75), OR('Cost Inputs'!$M$75=1,'Cost Inputs'!$M$75=2,'Cost Inputs'!$M$75=3,'Cost Inputs'!$M$75=4,'Cost Inputs'!$M$75=6)),
IF(ISNUMBER($T$55), $E244+($E$73*(($E244/$E$73)+$T$55)), $E244),""),"")), ""),""),"")</f>
        <v/>
      </c>
      <c r="AD244" s="364" t="str">
        <f>IF($T$3="N.B.C.",
IF(ISNUMBER($B$236),
IF($C244&lt;&gt;"",
IF('Cost Inputs'!$L$75="Y",
IF(ISNUMBER($U$55), $E244+($E$73*(($E244/$E$73)+$U$55)), $E244),
IF('Cost Inputs'!$L$75="N",
IF(AND(ISNUMBER('Cost Inputs'!$M$75), OR('Cost Inputs'!$M$75=1)),
IF(ISNUMBER($U$55), $E244+($E$73*(($E244/$E$73)+$U$55)), $E244),""),"")), ""),""),"")</f>
        <v/>
      </c>
      <c r="AE244" s="364" t="str">
        <f>IF($U$3="N.B.C.",
IF(ISNUMBER($B$236),
IF($C244&lt;&gt;"",
IF('Cost Inputs'!$L$75="Y",
IF(ISNUMBER($V$55), $E244+($E$73*(($E244/$E$73)+$V$55)), $E244),
IF('Cost Inputs'!$L$75="N",
IF(AND(ISNUMBER('Cost Inputs'!$M$75), OR('Cost Inputs'!$M$75=1,'Cost Inputs'!$M$75=2,'Cost Inputs'!$M$75=7)),
IF(ISNUMBER($V$55), $E244+($E$73*(($E244/$E$73)+$V$55)), $E244),""),"")), ""),""),"")</f>
        <v/>
      </c>
      <c r="AF244" s="364" t="str">
        <f>IF($V$3="N.B.C.",
IF(ISNUMBER($B$236),
IF($C244&lt;&gt;"",
IF('Cost Inputs'!$L$75="Y",
IF(ISNUMBER($W$55), $E244+($E$73*(($E244/$E$73)+$W$55)), $E244),
IF('Cost Inputs'!$L$75="N",
IF(AND(ISNUMBER('Cost Inputs'!$M$75), OR('Cost Inputs'!$M$75=1,'Cost Inputs'!$M$75=3,'Cost Inputs'!$M$75=5)),
IF(ISNUMBER($W$55), $E244+($E$73*(($E244/$E$73)+$W$55)), $E244),""),"")), ""),""),"")</f>
        <v/>
      </c>
      <c r="AG244" s="364" t="str">
        <f>IF($W$3="N.B.C.",
IF(ISNUMBER($B$236),
IF($C244&lt;&gt;"",
IF('Cost Inputs'!$L$75="Y",
IF(ISNUMBER($X$55), $E244+($E$73*(($E244/$E$73)+$X$55)), $E244),
IF('Cost Inputs'!$L$75="N",
IF(AND(ISNUMBER('Cost Inputs'!$M$75), OR('Cost Inputs'!$M$75=1,'Cost Inputs'!$M$75=2,'Cost Inputs'!$M$75=4,'Cost Inputs'!$M$75=8)),
IF(ISNUMBER($X$55), $E244+($E$73*(($E244/$E$73)+$X$55)), $E244),""),"")), ""),""),"")</f>
        <v/>
      </c>
      <c r="AH244" s="364" t="str">
        <f>IF($X$3="N.B.C.",
IF(ISNUMBER($B$236),
IF($C244&lt;&gt;"",
IF('Cost Inputs'!$L$75="Y",
IF(ISNUMBER($Y$55), $E244+($E$73*(($E244/$E$73)+$Y$55)), $E244),
IF('Cost Inputs'!$L$75="N",
IF(AND(ISNUMBER('Cost Inputs'!$M$75), OR('Cost Inputs'!$M$75=1)),
IF(ISNUMBER($Y$55), $E244+($E$73*(($E244/$E$73)+$Y$55)), $E244),""),"")), ""),""),"")</f>
        <v/>
      </c>
    </row>
    <row r="245" spans="1:35" x14ac:dyDescent="0.25">
      <c r="A245" s="518"/>
      <c r="B245" s="504"/>
      <c r="C245" s="107" t="str">
        <f>IF(AND(ISNUMBER(B236), OR('Cost Inputs'!$H$76&lt;&gt;"", 'Cost Inputs'!$I$76&lt;&gt;"", 'Cost Inputs'!$J$76&lt;&gt;"")), _3_3_4, "")</f>
        <v/>
      </c>
      <c r="D245" s="93" t="str">
        <f>IF(AND(C245&lt;&gt;"", 'Cost Inputs'!$G$76&lt;&gt;""), 'Cost Inputs'!$G$76, "")</f>
        <v/>
      </c>
      <c r="E245" s="93" t="str">
        <f>IF(AND(C245&lt;&gt;"", 'Cost Inputs'!$H$76&lt;&gt;""), 'Cost Inputs'!$H$76, "")</f>
        <v/>
      </c>
      <c r="F245" s="93" t="str">
        <f>IF(AND(C245&lt;&gt;"", 'Cost Inputs'!$I$76&lt;&gt;""), 'Cost Inputs'!$I$76, "")</f>
        <v/>
      </c>
      <c r="G245" s="93" t="str">
        <f t="shared" si="10"/>
        <v/>
      </c>
      <c r="H245" s="93" t="str">
        <f>IF(AND(C245&lt;&gt;"", 'Cost Inputs'!$J$76&lt;&gt;""), 'Cost Inputs'!$J$76, "")</f>
        <v/>
      </c>
      <c r="I245" s="93" t="str">
        <f t="shared" si="13"/>
        <v/>
      </c>
      <c r="J245" s="93" t="str">
        <f>IF(AND(C245&lt;&gt;"",('Cost Inputs'!$I$76+'Cost Inputs'!$J$76+'Cost Inputs'!$K$76)&gt;0), 'Cost Inputs'!$I$76+'Cost Inputs'!$J$76+'Cost Inputs'!$K$76, "")</f>
        <v/>
      </c>
      <c r="K245" s="93" t="str">
        <f>IF(AND(C245&lt;&gt;"", 'Cost Inputs'!$N$76&gt;0),'Cost Inputs'!$N$76,"")</f>
        <v/>
      </c>
      <c r="L245" s="93"/>
      <c r="M245" s="109"/>
      <c r="Y245" s="372" t="str">
        <f>IF($O$3="N.B.C.",
IF(ISNUMBER($B$236),
IF($C245&lt;&gt;"",
IF('Cost Inputs'!$L$76="Y",
IF(ISNUMBER($P$55), $E245+($E$73*(($E245/$E$73)+$P$55)), $E245),
IF('Cost Inputs'!$L$76="N",
IF(AND(ISNUMBER('Cost Inputs'!$M$76), OR('Cost Inputs'!$M$76=1,'Cost Inputs'!$M$76=2,'Cost Inputs'!$M$76=4,'Cost Inputs'!$M$76=8)),
IF(ISNUMBER($P$55), $E245+($E$73*(($E245/$E$73)+$P$55)), $E245),""),"")), ""),""),"")</f>
        <v/>
      </c>
      <c r="Z245" s="372" t="str">
        <f>IF($P$3="N.B.C.",
IF(ISNUMBER($B$236),
IF($C245&lt;&gt;"",
IF('Cost Inputs'!$L$76="Y",
IF(ISNUMBER($Q$55), $E245+($E$73*(($E245/$E$73)+$Q$55)), $E245),
IF('Cost Inputs'!$L$76="N",
IF(AND(ISNUMBER('Cost Inputs'!$M$76), OR('Cost Inputs'!$M$76=1,'Cost Inputs'!$M$76=3,'Cost Inputs'!$M$76=9)),
IF(ISNUMBER($Q$55), $E245+($E$73*(($E245/$E$73)+$Q$55)), $E245),""),"")), ""),""),"")</f>
        <v/>
      </c>
      <c r="AA245" s="372" t="str">
        <f>IF($Q$3="N.B.C.",
IF(ISNUMBER($B$236),
IF($C245&lt;&gt;"",
IF('Cost Inputs'!$L$76="Y",
IF(ISNUMBER($R$55), $E245+($E$73*(($E245/$E$73)+$R$55)), $E245),
IF('Cost Inputs'!$L$76="N",
IF(AND(ISNUMBER('Cost Inputs'!$M$76), OR('Cost Inputs'!$M$76=1,'Cost Inputs'!$M$76=2,'Cost Inputs'!$M$76=5)),
IF(ISNUMBER($R$55), $E245+($E$73*(($E245/$E$73)+$R$55)), $E245),""),"")), ""),""),"")</f>
        <v/>
      </c>
      <c r="AB245" s="372" t="str">
        <f>IF($R$3="N.B.C.",
IF(ISNUMBER($B$236),
IF($C245&lt;&gt;"",
IF('Cost Inputs'!$L$76="Y",
IF(ISNUMBER($S$55), $E245+($E$73*(($E245/$E$73)+$S$55)), $E245),
IF('Cost Inputs'!$L$76="N",
IF(AND(ISNUMBER('Cost Inputs'!$M$76), OR('Cost Inputs'!$M$76=1)),
IF(ISNUMBER($S$55), $E245+($E$73*(($E245/$E$73)+$S$55)), $E245),""),"")), ""),""),"")</f>
        <v/>
      </c>
      <c r="AC245" s="372" t="str">
        <f>IF($S$3="N.B.C.",
IF(ISNUMBER($B$236),
IF($C245&lt;&gt;"",
IF('Cost Inputs'!$L$76="Y",
IF(ISNUMBER($T$55), $E245+($E$73*(($E245/$E$73)+$T$55)), $E245),
IF('Cost Inputs'!$L$76="N",
IF(AND(ISNUMBER('Cost Inputs'!$M$76), OR('Cost Inputs'!$M$76=1,'Cost Inputs'!$M$76=2,'Cost Inputs'!$M$76=3,'Cost Inputs'!$M$76=4,'Cost Inputs'!$M$76=6)),
IF(ISNUMBER($T$55), $E245+($E$73*(($E245/$E$73)+$T$55)), $E245),""),"")), ""),""),"")</f>
        <v/>
      </c>
      <c r="AD245" s="372" t="str">
        <f>IF($T$3="N.B.C.",
IF(ISNUMBER($B$236),
IF($C245&lt;&gt;"",
IF('Cost Inputs'!$L$76="Y",
IF(ISNUMBER($U$55), $E245+($E$73*(($E245/$E$73)+$U$55)), $E245),
IF('Cost Inputs'!$L$76="N",
IF(AND(ISNUMBER('Cost Inputs'!$M$76), OR('Cost Inputs'!$M$76=1)),
IF(ISNUMBER($U$55), $E245+($E$73*(($E245/$E$73)+$U$55)), $E245),""),"")), ""),""),"")</f>
        <v/>
      </c>
      <c r="AE245" s="372" t="str">
        <f>IF($U$3="N.B.C.",
IF(ISNUMBER($B$236),
IF($C245&lt;&gt;"",
IF('Cost Inputs'!$L$76="Y",
IF(ISNUMBER($V$55), $E245+($E$73*(($E245/$E$73)+$V$55)), $E245),
IF('Cost Inputs'!$L$76="N",
IF(AND(ISNUMBER('Cost Inputs'!$M$76), OR('Cost Inputs'!$M$76=1,'Cost Inputs'!$M$76=2,'Cost Inputs'!$M$76=7)),
IF(ISNUMBER($V$55), $E245+($E$73*(($E245/$E$73)+$V$55)), $E245),""),"")), ""),""),"")</f>
        <v/>
      </c>
      <c r="AF245" s="372" t="str">
        <f>IF($V$3="N.B.C.",
IF(ISNUMBER($B$236),
IF($C245&lt;&gt;"",
IF('Cost Inputs'!$L$76="Y",
IF(ISNUMBER($W$55), $E245+($E$73*(($E245/$E$73)+$W$55)), $E245),
IF('Cost Inputs'!$L$76="N",
IF(AND(ISNUMBER('Cost Inputs'!$M$76), OR('Cost Inputs'!$M$76=1,'Cost Inputs'!$M$76=3,'Cost Inputs'!$M$76=5)),
IF(ISNUMBER($W$55), $E245+($E$73*(($E245/$E$73)+$W$55)), $E245),""),"")), ""),""),"")</f>
        <v/>
      </c>
      <c r="AG245" s="372" t="str">
        <f>IF($W$3="N.B.C.",
IF(ISNUMBER($B$236),
IF($C245&lt;&gt;"",
IF('Cost Inputs'!$L$76="Y",
IF(ISNUMBER($X$55), $E245+($E$73*(($E245/$E$73)+$X$55)), $E245),
IF('Cost Inputs'!$L$76="N",
IF(AND(ISNUMBER('Cost Inputs'!$M$76), OR('Cost Inputs'!$M$76=1,'Cost Inputs'!$M$76=2,'Cost Inputs'!$M$76=4,'Cost Inputs'!$M$76=8)),
IF(ISNUMBER($X$55), $E245+($E$73*(($E245/$E$73)+$X$55)), $E245),""),"")), ""),""),"")</f>
        <v/>
      </c>
      <c r="AH245" s="372" t="str">
        <f>IF($X$3="N.B.C.",
IF(ISNUMBER($B$236),
IF($C245&lt;&gt;"",
IF('Cost Inputs'!$L$76="Y",
IF(ISNUMBER($Y$55), $E245+($E$73*(($E245/$E$73)+$Y$55)), $E245),
IF('Cost Inputs'!$L$76="N",
IF(AND(ISNUMBER('Cost Inputs'!$M$76), OR('Cost Inputs'!$M$76=1)),
IF(ISNUMBER($Y$55), $E245+($E$73*(($E245/$E$73)+$Y$55)), $E245),""),"")), ""),""),"")</f>
        <v/>
      </c>
    </row>
    <row r="246" spans="1:35" x14ac:dyDescent="0.25">
      <c r="A246" s="518"/>
      <c r="B246" s="504"/>
      <c r="C246" s="110" t="str">
        <f>IF( ISNUMBER(B236), _3_4_0, "")</f>
        <v/>
      </c>
      <c r="D246" s="94" t="str">
        <f>IF(AND(B236&lt;&gt;"", OR('Cost Inputs'!$H$77&lt;&gt;"", 'Cost Inputs'!$I$77&lt;&gt;"", 'Cost Inputs'!$J$77&lt;&gt;"")), 'Cost Inputs'!$G$77,"")</f>
        <v/>
      </c>
      <c r="E246" s="94" t="str">
        <f>IF(AND(C246&lt;&gt;"", 'Cost Inputs'!$H$77&lt;&gt;""), 'Cost Inputs'!$H$77, "")</f>
        <v/>
      </c>
      <c r="F246" s="94" t="str">
        <f>IF(AND(C246&lt;&gt;"", 'Cost Inputs'!$I$77&lt;&gt;""), 'Cost Inputs'!$I$77, "")</f>
        <v/>
      </c>
      <c r="G246" s="94" t="str">
        <f t="shared" si="10"/>
        <v/>
      </c>
      <c r="H246" s="94" t="str">
        <f>IF(AND(C246&lt;&gt;"", 'Cost Inputs'!$J$77&lt;&gt;""), 'Cost Inputs'!$J$77, "")</f>
        <v/>
      </c>
      <c r="I246" s="94" t="str">
        <f>IF(AND($E246&lt;&gt;"", $H246&lt;&gt;""), $H246/$E246, "")</f>
        <v/>
      </c>
      <c r="J246" s="94" t="str">
        <f>IF(AND(C246&lt;&gt;"",('Cost Inputs'!$I$77+'Cost Inputs'!$J$77+'Cost Inputs'!$K$77)&gt;0), 'Cost Inputs'!$I$77+'Cost Inputs'!$J$77+'Cost Inputs'!$K$77, "")</f>
        <v/>
      </c>
      <c r="K246" s="94" t="str">
        <f>IF(AND(C246&lt;&gt;"", 'Cost Inputs'!$N$77&gt;0),'Cost Inputs'!$N$77,"")</f>
        <v/>
      </c>
      <c r="L246" s="94"/>
      <c r="M246" s="103"/>
      <c r="Y246" s="373" t="str">
        <f>IF($O$3="N.B.C.",
IF(ISNUMBER($B$236),
IF($C246&lt;&gt;"",
IF('Cost Inputs'!$L$77="Y",
IF(AND(ISNUMBER(P$56), P$56&gt;$E$60), $E246+($E$60*(($E246/$E$60)+$P$55)), $E246),
IF('Cost Inputs'!$L$77="N",
IF(AND(ISNUMBER('Cost Inputs'!$M$77), OR('Cost Inputs'!$M$77=1,'Cost Inputs'!$M$77=2,'Cost Inputs'!$M$77=4,'Cost Inputs'!$M$77=8)),
IF(AND(ISNUMBER(P$56), P$56&gt;$E$60), $E246+($E$60*(($E246/$E$60)+$P$55)), $E246), ""),"")), ""), ""), "")</f>
        <v/>
      </c>
      <c r="Z246" s="373" t="str">
        <f>IF($P$3="N.B.C.",
IF(ISNUMBER($B$236),
IF($C246&lt;&gt;"",
IF('Cost Inputs'!$L$77="Y",
IF(AND(ISNUMBER(Q$56), Q$56&gt;$E$60), $E246+($E$60*(($E246/$E$60)+$Q$55)), $E246),
IF('Cost Inputs'!$L$77="N",
IF(AND(ISNUMBER('Cost Inputs'!$M$77), OR('Cost Inputs'!$M$77=1,'Cost Inputs'!$M$77=3, 'Cost Inputs'!$M$77=9)),
IF(AND(ISNUMBER(Q$56), Q$56&gt;$E$60), $E246+($E$60*(($E246/$E$60)+$Q$55)), $E246), ""),"")), ""), ""), "")</f>
        <v/>
      </c>
      <c r="AA246" s="373" t="str">
        <f>IF($Q$3="N.B.C.",
IF(ISNUMBER($B$236),
IF($C246&lt;&gt;"",
IF('Cost Inputs'!$L$77="Y",
IF(AND(ISNUMBER(R$56), R$56&gt;$E$60), $E246+($E$60*(($E246/$E$60)+$R$55)), $E246),
IF('Cost Inputs'!$L$77="N",
IF(AND(ISNUMBER('Cost Inputs'!$M$77), OR('Cost Inputs'!$M$77=1,'Cost Inputs'!$M$77=2, 'Cost Inputs'!$M$77=5)),
IF(AND(ISNUMBER(R$56), R$56&gt;$E$60), $E246+($E$60*(($E246/$E$60)+$R$55)), $E246), ""),"")), ""), ""), "")</f>
        <v/>
      </c>
      <c r="AB246" s="373" t="str">
        <f>IF($R$3="N.B.C.",
IF(ISNUMBER($B$236),
IF($C246&lt;&gt;"",
IF('Cost Inputs'!$L$77="Y",
IF(AND(ISNUMBER(S$56), S$56&gt;$E$60), $E246+($E$60*(($E246/$E$60)+$S$55)), $E246),
IF('Cost Inputs'!$L$77="N",
IF(AND(ISNUMBER('Cost Inputs'!$M$77), OR('Cost Inputs'!$M$77=1)),
IF(AND(ISNUMBER(S$56), S$56&gt;$E$60), $E246+($E$60*(($E246/$E$60)+$S$55)), $E246), ""),"")), ""), ""), "")</f>
        <v/>
      </c>
      <c r="AC246" s="373" t="str">
        <f>IF($S$3="N.B.C.",
IF(ISNUMBER($B$236),
IF($C246&lt;&gt;"",
IF('Cost Inputs'!$L$77="Y",
IF(AND(ISNUMBER(T$56), T$56&gt;$E$60), $E246+($E$60*(($E246/$E$60)+$T$55)), $E246),
IF('Cost Inputs'!$L$77="N",
IF(AND(ISNUMBER('Cost Inputs'!$M$77), OR('Cost Inputs'!$M$77=1,'Cost Inputs'!$M$77=2,'Cost Inputs'!$M$77=3,'Cost Inputs'!$M$77=4,'Cost Inputs'!$M$77=6)),
IF(AND(ISNUMBER(T$56), T$56&gt;$E$60), $E246+($E$60*(($E246/$E$60)+$T$55)), $E246), ""),"")), ""), ""), "")</f>
        <v/>
      </c>
      <c r="AD246" s="373" t="str">
        <f>IF($T$3="N.B.C.",
IF(ISNUMBER($B$236),
IF($C246&lt;&gt;"",
IF('Cost Inputs'!$L$77="Y",
IF(AND(ISNUMBER(U$56), U$56&gt;$E$60), $E246+($E$60*(($E246/$E$60)+$U$55)), $E246),
IF('Cost Inputs'!$L$77="N",
IF(AND(ISNUMBER('Cost Inputs'!$M$77), OR('Cost Inputs'!$M$77=1)),
IF(AND(ISNUMBER(U$56), U$56&gt;$E$60), $E246+($E$60*(($E246/$E$60)+$U$55)), $E246), ""),"")), ""), ""), "")</f>
        <v/>
      </c>
      <c r="AE246" s="373" t="str">
        <f>IF($U$3="N.B.C.",
IF(ISNUMBER($B$236),
IF($C246&lt;&gt;"",
IF('Cost Inputs'!$L$77="Y",
IF(AND(ISNUMBER(V$56), V$56&gt;$E$60), $E246+($E$60*(($E246/$E$60)+$V$55)), $E246),
IF('Cost Inputs'!$L$77="N",
IF(AND(ISNUMBER('Cost Inputs'!$M$77), OR('Cost Inputs'!$M$77=1,'Cost Inputs'!$M$77=2,'Cost Inputs'!$M$77=7)),
IF(AND(ISNUMBER(V$56), V$56&gt;$E$60), $E246+($E$60*(($E246/$E$60)+$V$55)), $E246), ""),"")), ""), ""), "")</f>
        <v/>
      </c>
      <c r="AF246" s="373" t="str">
        <f>IF($V$3="N.B.C.",
IF(ISNUMBER($B$236),
IF($C246&lt;&gt;"",
IF('Cost Inputs'!$L$77="Y",
IF(AND(ISNUMBER(W$56), W$56&gt;$E$60), $E246+($E$60*(($E246/$E$60)+$W$55)), $E246),
IF('Cost Inputs'!$L$77="N",
IF(AND(ISNUMBER('Cost Inputs'!$M$77), OR('Cost Inputs'!$M$77=1,'Cost Inputs'!$M$77=3,'Cost Inputs'!$M$77=5)),
IF(AND(ISNUMBER(W$56), W$56&gt;$E$60), $E246+($E$60*(($E246/$E$60)+$W$55)), $E246), ""),"")), ""), ""), "")</f>
        <v/>
      </c>
      <c r="AG246" s="373" t="str">
        <f>IF($W$3="N.B.C.",
IF(ISNUMBER($B$236),
IF($C246&lt;&gt;"",
IF('Cost Inputs'!$L$77="Y",
IF(AND(ISNUMBER(X$56), X$56&gt;$E$60), $E246+($E$60*(($E246/$E$60)+$X$55)), $E246),
IF('Cost Inputs'!$L$77="N",
IF(AND(ISNUMBER('Cost Inputs'!$M$77), OR('Cost Inputs'!$M$77=1,'Cost Inputs'!$M$77=2,'Cost Inputs'!$M$77=4,'Cost Inputs'!$M$77=8)),
IF(AND(ISNUMBER(X$56), X$56&gt;$E$60), $E246+($E$60*(($E246/$E$60)+$X$55)), $E246), ""),"")), ""), ""), "")</f>
        <v/>
      </c>
      <c r="AH246" s="373" t="str">
        <f>IF($X$3="N.B.C.",
IF(ISNUMBER($B$236),
IF($C246&lt;&gt;"",
IF('Cost Inputs'!$L$77="Y",
IF(AND(ISNUMBER(Y$56), Y$56&gt;$E$60), $E246+($E$60*(($E246/$E$60)+$Y$55)), $E246),
IF('Cost Inputs'!$L$77="N",
IF(AND(ISNUMBER('Cost Inputs'!$M$77), OR('Cost Inputs'!$M$77=1)),
IF(AND(ISNUMBER(Y$56), Y$56&gt;$E$60), $E246+($E$60*(($E246/$E$60)+$Y$55)), $E246), ""),"")), ""), ""), "")</f>
        <v/>
      </c>
    </row>
    <row r="247" spans="1:35" x14ac:dyDescent="0.25">
      <c r="A247" s="518"/>
      <c r="B247" s="504"/>
      <c r="C247" s="358" t="str">
        <f>IF(AND(ISNUMBER(B236), OR('Cost Inputs'!$H$78&lt;&gt;"", 'Cost Inputs'!$I$78&lt;&gt;"", 'Cost Inputs'!$J$78&lt;&gt;"")),
IF((INDEX(ProgramYearStage1,MATCH(DNA_Test_1,Years_in_Stage1,0)))='Model_ of_individuals'!B236,  _3_4_1,
IF(AND(C226&lt;&gt;"",ISNUMBER(B236)), _3_4_1, "")),"")</f>
        <v/>
      </c>
      <c r="D247" s="17" t="str">
        <f>IF(AND(C247&lt;&gt;"", 'Cost Inputs'!$G$78&lt;&gt;""), 'Cost Inputs'!$G$78, "")</f>
        <v/>
      </c>
      <c r="E247" s="17" t="str">
        <f>IF(AND(C247&lt;&gt;"", 'Cost Inputs'!$H$78&lt;&gt;""), 'Cost Inputs'!$H$78, "")</f>
        <v/>
      </c>
      <c r="F247" s="17" t="str">
        <f>IF(AND(C247&lt;&gt;"", 'Cost Inputs'!$I$78&lt;&gt;""), 'Cost Inputs'!$I$78, "")</f>
        <v/>
      </c>
      <c r="G247" s="17" t="str">
        <f t="shared" si="10"/>
        <v/>
      </c>
      <c r="H247" s="17" t="str">
        <f>IF(AND(C247&lt;&gt;"", 'Cost Inputs'!$J$78&lt;&gt;""), 'Cost Inputs'!$J$78, "")</f>
        <v/>
      </c>
      <c r="I247" s="17" t="str">
        <f t="shared" si="13"/>
        <v/>
      </c>
      <c r="J247" s="17" t="str">
        <f>IF(AND(C247&lt;&gt;"",('Cost Inputs'!$I$78+'Cost Inputs'!$J$78+'Cost Inputs'!$K$78)&gt;0), 'Cost Inputs'!$I$78+'Cost Inputs'!$J$78+'Cost Inputs'!$K$78, "")</f>
        <v/>
      </c>
      <c r="K247" s="17" t="str">
        <f>IF(AND(C247&lt;&gt;"", 'Cost Inputs'!$N$78&gt;0),'Cost Inputs'!$N$78,"")</f>
        <v/>
      </c>
      <c r="M247" s="106"/>
      <c r="Y247" s="364" t="str">
        <f>IF($O$3="N.B.C.",
IF(ISNUMBER($B$236),
IF($C247&lt;&gt;"",
IF('Cost Inputs'!$L$78="Y",
IF(ISNUMBER($P$55), $E247+($E$78*(($E247/$E$78)+$P$55)), $E247),
IF('Cost Inputs'!$L$78="N",
IF(AND(ISNUMBER('Cost Inputs'!$M$78), OR('Cost Inputs'!$M$78=1,'Cost Inputs'!$M$78=2,'Cost Inputs'!$M$78=4,'Cost Inputs'!$M$78=8)),
IF(ISNUMBER($P$55), $E247+($E$78*(($E247/$E$78)+$P$55)), $E247),""),"")), ""),""),"")</f>
        <v/>
      </c>
      <c r="Z247" s="364" t="str">
        <f>IF($P$3="N.B.C.",
IF(ISNUMBER($B$236),
IF($C247&lt;&gt;"",
IF('Cost Inputs'!$L$78="Y",
IF(ISNUMBER($Q$55), $E247+($E$78*(($E247/$E$78)+$Q$55)), $E247),
IF('Cost Inputs'!$L$78="N",
IF(AND(ISNUMBER('Cost Inputs'!$M$78), OR('Cost Inputs'!$M$78=1,'Cost Inputs'!$M$78=3,'Cost Inputs'!$M$78=9)),
IF(ISNUMBER($Q$55), $E247+($E$78*(($E247/$E$78)+$Q$55)), $E247),""),"")), ""),""),"")</f>
        <v/>
      </c>
      <c r="AA247" s="364" t="str">
        <f>IF($Q$3="N.B.C.",
IF(ISNUMBER($B$236),
IF($C247&lt;&gt;"",
IF('Cost Inputs'!$L$78="Y",
IF(ISNUMBER($R$55), $E247+($E$78*(($E247/$E$78)+$R$55)), $E247),
IF('Cost Inputs'!$L$78="N",
IF(AND(ISNUMBER('Cost Inputs'!$M$78), OR('Cost Inputs'!$M$78=1,'Cost Inputs'!$M$78=2,'Cost Inputs'!$M$78=5)),
IF(ISNUMBER($R$55), $E247+($E$78*(($E247/$E$78)+$R$55)), $E247),""),"")), ""),""),"")</f>
        <v/>
      </c>
      <c r="AB247" s="364" t="str">
        <f>IF($R$3="N.B.C.",
IF(ISNUMBER($B$236),
IF($C247&lt;&gt;"",
IF('Cost Inputs'!$L$78="Y",
IF(ISNUMBER($S$55), $E247+($E$78*(($E247/$E$78)+$S$55)), $E247),
IF('Cost Inputs'!$L$78="N",
IF(AND(ISNUMBER('Cost Inputs'!$M$78), OR('Cost Inputs'!$M$78=1)),
IF(ISNUMBER($S$55), $E247+($E$78*(($E247/$E$78)+$S$55)), $E247),""),"")), ""),""),"")</f>
        <v/>
      </c>
      <c r="AC247" s="364" t="str">
        <f>IF($S$3="N.B.C.",
IF(ISNUMBER($B$236),
IF($C247&lt;&gt;"",
IF('Cost Inputs'!$L$78="Y",
IF(ISNUMBER($T$55), $E247+($E$78*(($E247/$E$78)+$T$55)), $E247),
IF('Cost Inputs'!$L$78="N",
IF(AND(ISNUMBER('Cost Inputs'!$M$78), OR('Cost Inputs'!$M$78=1,'Cost Inputs'!$M$78=2,'Cost Inputs'!$M$78=3,'Cost Inputs'!$M$78=4,'Cost Inputs'!$M$78=6)),
IF(ISNUMBER($T$55), $E247+($E$78*(($E247/$E$78)+$T$55)), $E247),""),"")), ""),""),"")</f>
        <v/>
      </c>
      <c r="AD247" s="364" t="str">
        <f>IF($T$3="N.B.C.",
IF(ISNUMBER($B$236),
IF($C247&lt;&gt;"",
IF('Cost Inputs'!$L$78="Y",
IF(ISNUMBER($U$55), $E247+($E$78*(($E247/$E$78)+$U$55)), $E247),
IF('Cost Inputs'!$L$78="N",
IF(AND(ISNUMBER('Cost Inputs'!$M$78), OR('Cost Inputs'!$M$78=1)),
IF(ISNUMBER($U$55), $E247+($E$78*(($E247/$E$78)+$U$55)), $E247),""),"")), ""),""),"")</f>
        <v/>
      </c>
      <c r="AE247" s="364" t="str">
        <f>IF($U$3="N.B.C.",
IF(ISNUMBER($B$236),
IF($C247&lt;&gt;"",
IF('Cost Inputs'!$L$78="Y",
IF(ISNUMBER($V$55), $E247+($E$78*(($E247/$E$78)+$V$55)), $E247),
IF('Cost Inputs'!$L$78="N",
IF(AND(ISNUMBER('Cost Inputs'!$M$78), OR('Cost Inputs'!$M$78=1,'Cost Inputs'!$M$78=2,'Cost Inputs'!$M$78=7)),
IF(ISNUMBER($V$55), $E247+($E$78*(($E247/$E$78)+$V$55)), $E247),""),"")), ""),""),"")</f>
        <v/>
      </c>
      <c r="AF247" s="364" t="str">
        <f>IF($V$3="N.B.C.",
IF(ISNUMBER($B$236),
IF($C247&lt;&gt;"",
IF('Cost Inputs'!$L$78="Y",
IF(ISNUMBER($W$55), $E247+($E$78*(($E247/$E$78)+$W$55)), $E247),
IF('Cost Inputs'!$L$78="N",
IF(AND(ISNUMBER('Cost Inputs'!$M$78), OR('Cost Inputs'!$M$78=1,'Cost Inputs'!$M$78=3,'Cost Inputs'!$M$78=5)),
IF(ISNUMBER($W$55), $E247+($E$78*(($E247/$E$78)+$W$55)), $E247),""),"")), ""),""),"")</f>
        <v/>
      </c>
      <c r="AG247" s="364" t="str">
        <f>IF($W$3="N.B.C.",
IF(ISNUMBER($B$236),
IF($C247&lt;&gt;"",
IF('Cost Inputs'!$L$78="Y",
IF(ISNUMBER($X$55), $E247+($E$78*(($E247/$E$78)+$X$55)), $E247),
IF('Cost Inputs'!$L$78="N",
IF(AND(ISNUMBER('Cost Inputs'!$M$78), OR('Cost Inputs'!$M$78=1,'Cost Inputs'!$M$78=2,'Cost Inputs'!$M$78=4,'Cost Inputs'!$M$78=8)),
IF(ISNUMBER($X$55), $E247+($E$78*(($E247/$E$78)+$X$55)), $E247),""),"")), ""),""),"")</f>
        <v/>
      </c>
      <c r="AH247" s="364" t="str">
        <f>IF($X$3="N.B.C.",
IF(ISNUMBER($B$236),
IF($C247&lt;&gt;"",
IF('Cost Inputs'!$L$78="Y",
IF(ISNUMBER($Y$55), $E247+($E$78*(($E247/$E$78)+$Y$55)), $E247),
IF('Cost Inputs'!$L$78="N",
IF(AND(ISNUMBER('Cost Inputs'!$M$78), OR('Cost Inputs'!$M$78=1)),
IF(ISNUMBER($Y$55), $E247+($E$78*(($E247/$E$78)+$Y$55)), $E247),""),"")), ""),""),"")</f>
        <v/>
      </c>
    </row>
    <row r="248" spans="1:35" x14ac:dyDescent="0.25">
      <c r="A248" s="518"/>
      <c r="B248" s="504"/>
      <c r="C248" s="361" t="str">
        <f>IF(AND(ISNUMBER(B236), OR('Cost Inputs'!$H$79&lt;&gt;"", 'Cost Inputs'!$I$79&lt;&gt;"", 'Cost Inputs'!$J$79&lt;&gt;"")),
IF((INDEX(ProgramYearStage1,MATCH(DNA_Test_1,Years_in_Stage1,0)))='Model_ of_individuals'!B236,  _3_4_2,
IF(AND(ISNUMBER(B236), C227&lt;&gt;""),  _3_4_2, "")),"")</f>
        <v/>
      </c>
      <c r="D248" s="93" t="str">
        <f>IF(AND(C248&lt;&gt;"", 'Cost Inputs'!$G$79&lt;&gt;""), 'Cost Inputs'!$G$79, "")</f>
        <v/>
      </c>
      <c r="E248" s="93" t="str">
        <f>IF(AND(C248&lt;&gt;"", 'Cost Inputs'!$H$79&lt;&gt;""), 'Cost Inputs'!$H$79, "")</f>
        <v/>
      </c>
      <c r="F248" s="93" t="str">
        <f>IF(AND(C248&lt;&gt;"", 'Cost Inputs'!$I$79&lt;&gt;""), 'Cost Inputs'!$I$79, "")</f>
        <v/>
      </c>
      <c r="G248" s="93" t="str">
        <f t="shared" si="10"/>
        <v/>
      </c>
      <c r="H248" s="93" t="str">
        <f>IF(AND(C248&lt;&gt;"", 'Cost Inputs'!$J$79&lt;&gt;""), 'Cost Inputs'!$J$79, "")</f>
        <v/>
      </c>
      <c r="I248" s="93" t="str">
        <f t="shared" si="13"/>
        <v/>
      </c>
      <c r="J248" s="93" t="str">
        <f>IF(AND(C248&lt;&gt;"",('Cost Inputs'!$I$79+'Cost Inputs'!$J$79+'Cost Inputs'!$K$79)&gt;0), 'Cost Inputs'!$I$79+'Cost Inputs'!$J$79+'Cost Inputs'!$K$79, "")</f>
        <v/>
      </c>
      <c r="K248" s="93" t="str">
        <f>IF(AND(C248&lt;&gt;"", 'Cost Inputs'!$N$79&gt;0),'Cost Inputs'!$N$79,"")</f>
        <v/>
      </c>
      <c r="L248" s="93"/>
      <c r="M248" s="109"/>
      <c r="Y248" s="372" t="str">
        <f>IF($O$3="N.B.C.",
IF(ISNUMBER($B$236),
IF($C248&lt;&gt;"",
IF('Cost Inputs'!$L$79="Y",
IF(ISNUMBER($P$55), $E248+($E$78*(($E248/$E$78)+$P$55)), $E248),
IF('Cost Inputs'!$L$79="N",
IF(AND(ISNUMBER('Cost Inputs'!$M$79), OR('Cost Inputs'!$M$79=1,'Cost Inputs'!$M$79=2,'Cost Inputs'!$M$79=4,'Cost Inputs'!$M$79=8)),
IF(ISNUMBER($P$55), $E248+($E$78*(($E248/$E$78)+$P$55)), $E248),""),"")), ""),""),"")</f>
        <v/>
      </c>
      <c r="Z248" s="372" t="str">
        <f>IF($P$3="N.B.C.",
IF(ISNUMBER($B$236),
IF($C248&lt;&gt;"",
IF('Cost Inputs'!$L$79="Y",
IF(ISNUMBER($Q$55), $E248+($E$78*(($E248/$E$78)+$Q$55)), $E248),
IF('Cost Inputs'!$L$79="N",
IF(AND(ISNUMBER('Cost Inputs'!$M$79), OR('Cost Inputs'!$M$79=1,'Cost Inputs'!$M$79=3,'Cost Inputs'!$M$79=9)),
IF(ISNUMBER($Q$55), $E248+($E$78*(($E248/$E$78)+$Q$55)), $E248),""),"")), ""),""),"")</f>
        <v/>
      </c>
      <c r="AA248" s="372" t="str">
        <f>IF($Q$3="N.B.C.",
IF(ISNUMBER($B$236),
IF($C248&lt;&gt;"",
IF('Cost Inputs'!$L$79="Y",
IF(ISNUMBER($R$55), $E248+($E$78*(($E248/$E$78)+$R$55)), $E248),
IF('Cost Inputs'!$L$79="N",
IF(AND(ISNUMBER('Cost Inputs'!$M$79), OR('Cost Inputs'!$M$79=1,'Cost Inputs'!$M$79=2,'Cost Inputs'!$M$79=5)),
IF(ISNUMBER($R$55), $E248+($E$78*(($E248/$E$78)+$R$55)), $E248),""),"")), ""),""),"")</f>
        <v/>
      </c>
      <c r="AB248" s="372" t="str">
        <f>IF($R$3="N.B.C.",
IF(ISNUMBER($B$236),
IF($C248&lt;&gt;"",
IF('Cost Inputs'!$L$79="Y",
IF(ISNUMBER($S$55), $E248+($E$78*(($E248/$E$78)+$S$55)), $E248),
IF('Cost Inputs'!$L$79="N",
IF(AND(ISNUMBER('Cost Inputs'!$M$79), OR('Cost Inputs'!$M$79=1)),
IF(ISNUMBER($S$55), $E248+($E$78*(($E248/$E$78)+$S$55)), $E248),""),"")), ""),""),"")</f>
        <v/>
      </c>
      <c r="AC248" s="372" t="str">
        <f>IF($S$3="N.B.C.",
IF(ISNUMBER($B$236),
IF($C248&lt;&gt;"",
IF('Cost Inputs'!$L$79="Y",
IF(ISNUMBER($T$55), $E248+($E$78*(($E248/$E$78)+$T$55)), $E248),
IF('Cost Inputs'!$L$79="N",
IF(AND(ISNUMBER('Cost Inputs'!$M$79), OR('Cost Inputs'!$M$79=1,'Cost Inputs'!$M$79=2,'Cost Inputs'!$M$79=3,'Cost Inputs'!$M$79=4,'Cost Inputs'!$M$79=6)),
IF(ISNUMBER($T$55), $E248+($E$78*(($E248/$E$78)+$T$55)), $E248),""),"")), ""),""),"")</f>
        <v/>
      </c>
      <c r="AD248" s="372" t="str">
        <f>IF($T$3="N.B.C.",
IF(ISNUMBER($B$236),
IF($C248&lt;&gt;"",
IF('Cost Inputs'!$L$79="Y",
IF(ISNUMBER($U$55), $E248+($E$78*(($E248/$E$78)+$U$55)), $E248),
IF('Cost Inputs'!$L$79="N",
IF(AND(ISNUMBER('Cost Inputs'!$M$79), OR('Cost Inputs'!$M$79=1)),
IF(ISNUMBER($U$55), $E248+($E$78*(($E248/$E$78)+$U$55)), $E248),""),"")), ""),""),"")</f>
        <v/>
      </c>
      <c r="AE248" s="372" t="str">
        <f>IF($U$3="N.B.C.",
IF(ISNUMBER($B$236),
IF($C248&lt;&gt;"",
IF('Cost Inputs'!$L$79="Y",
IF(ISNUMBER($V$55), $E248+($E$78*(($E248/$E$78)+$V$55)), $E248),
IF('Cost Inputs'!$L$79="N",
IF(AND(ISNUMBER('Cost Inputs'!$M$79), OR('Cost Inputs'!$M$79=1,'Cost Inputs'!$M$79=2,'Cost Inputs'!$M$79=7)),
IF(ISNUMBER($V$55), $E248+($E$78*(($E248/$E$78)+$V$55)), $E248),""),"")), ""),""),"")</f>
        <v/>
      </c>
      <c r="AF248" s="372" t="str">
        <f>IF($V$3="N.B.C.",
IF(ISNUMBER($B$236),
IF($C248&lt;&gt;"",
IF('Cost Inputs'!$L$79="Y",
IF(ISNUMBER($W$55), $E248+($E$78*(($E248/$E$78)+$W$55)), $E248),
IF('Cost Inputs'!$L$79="N",
IF(AND(ISNUMBER('Cost Inputs'!$M$79), OR('Cost Inputs'!$M$79=1,'Cost Inputs'!$M$79=3,'Cost Inputs'!$M$79=5)),
IF(ISNUMBER($W$55), $E248+($E$78*(($E248/$E$78)+$W$55)), $E248),""),"")), ""),""),"")</f>
        <v/>
      </c>
      <c r="AG248" s="372" t="str">
        <f>IF($W$3="N.B.C.",
IF(ISNUMBER($B$236),
IF($C248&lt;&gt;"",
IF('Cost Inputs'!$L$79="Y",
IF(ISNUMBER($X$55), $E248+($E$78*(($E248/$E$78)+$X$55)), $E248),
IF('Cost Inputs'!$L$79="N",
IF(AND(ISNUMBER('Cost Inputs'!$M$79), OR('Cost Inputs'!$M$79=1,'Cost Inputs'!$M$79=2,'Cost Inputs'!$M$79=4,'Cost Inputs'!$M$79=8)),
IF(ISNUMBER($X$55), $E248+($E$78*(($E248/$E$78)+$X$55)), $E248),""),"")), ""),""),"")</f>
        <v/>
      </c>
      <c r="AH248" s="372" t="str">
        <f>IF($X$3="N.B.C.",
IF(ISNUMBER($B$236),
IF($C248&lt;&gt;"",
IF('Cost Inputs'!$L$79="Y",
IF(ISNUMBER($Y$55), $E248+($E$78*(($E248/$E$78)+$Y$55)), $E248),
IF('Cost Inputs'!$L$79="N",
IF(AND(ISNUMBER('Cost Inputs'!$M$79), OR('Cost Inputs'!$M$79=1)),
IF(ISNUMBER($Y$55), $E248+($E$78*(($E248/$E$78)+$Y$55)), $E248),""),"")), ""),""),"")</f>
        <v/>
      </c>
    </row>
    <row r="249" spans="1:35" x14ac:dyDescent="0.25">
      <c r="A249" s="518"/>
      <c r="B249" s="504"/>
      <c r="C249" s="358" t="str">
        <f>IF(AND(ISNUMBER(B236), OR('Cost Inputs'!$H$80&lt;&gt;"", 'Cost Inputs'!$I$80&lt;&gt;"", 'Cost Inputs'!$J$80&lt;&gt;"")),
IF((INDEX(ProgramYearStage1,MATCH(DNA_Test_1,Years_in_Stage1,0)))='Model_ of_individuals'!B236,  _3_4_3,
IF(AND(ISNUMBER(B236), C228&lt;&gt;""), _3_4_3,"")),"")</f>
        <v/>
      </c>
      <c r="D249" s="17" t="str">
        <f>IF(AND(C249&lt;&gt;"", 'Cost Inputs'!$G$80&lt;&gt;""), 'Cost Inputs'!$G$80, "")</f>
        <v/>
      </c>
      <c r="E249" s="17" t="str">
        <f>IF(AND(C249&lt;&gt;"", 'Cost Inputs'!$H$80&lt;&gt;""), 'Cost Inputs'!$H$80, "")</f>
        <v/>
      </c>
      <c r="F249" s="17" t="str">
        <f>IF(AND(C249&lt;&gt;"", 'Cost Inputs'!$I$80&lt;&gt;""), 'Cost Inputs'!$I$80, "")</f>
        <v/>
      </c>
      <c r="G249" s="17" t="str">
        <f t="shared" si="10"/>
        <v/>
      </c>
      <c r="H249" s="17" t="str">
        <f>IF(AND(C249&lt;&gt;"", 'Cost Inputs'!$J$80&lt;&gt;""), 'Cost Inputs'!$J$80, "")</f>
        <v/>
      </c>
      <c r="I249" s="17" t="str">
        <f t="shared" si="13"/>
        <v/>
      </c>
      <c r="J249" s="17" t="str">
        <f>IF(AND(C249&lt;&gt;"",('Cost Inputs'!$I$80+'Cost Inputs'!$J$80+'Cost Inputs'!$K$80)&gt;0), 'Cost Inputs'!$I$80+'Cost Inputs'!$J$80+'Cost Inputs'!$K$80, "")</f>
        <v/>
      </c>
      <c r="K249" s="17" t="str">
        <f>IF(AND(C249&lt;&gt;"", 'Cost Inputs'!$N$80&gt;0),'Cost Inputs'!$N$80,"")</f>
        <v/>
      </c>
      <c r="M249" s="106"/>
      <c r="Y249" s="364" t="str">
        <f>IF($O$3="N.B.C.",
IF(ISNUMBER($B$236),
IF($C249&lt;&gt;"",
IF('Cost Inputs'!$L$80="Y",
IF(ISNUMBER($P$55), $E249+($E$78*(($E249/$E$78)+$P$55)), $E249),
IF('Cost Inputs'!$L$80="N",
IF(AND(ISNUMBER('Cost Inputs'!$M$80), OR('Cost Inputs'!$M$80=1,'Cost Inputs'!$M$80=2,'Cost Inputs'!$M$80=4,'Cost Inputs'!$M$80=8)),
IF(ISNUMBER($P$55), $E249+($E$78*(($E249/$E$78)+$P$55)), $E249),""),"")), ""),""),"")</f>
        <v/>
      </c>
      <c r="Z249" s="364" t="str">
        <f>IF($P$3="N.B.C.",
IF(ISNUMBER($B$236),
IF($C249&lt;&gt;"",
IF('Cost Inputs'!$L$80="Y",
IF(ISNUMBER($Q$55), $E249+($E$78*(($E249/$E$78)+$Q$55)), $E249),
IF('Cost Inputs'!$L$80="N",
IF(AND(ISNUMBER('Cost Inputs'!$M$80), OR('Cost Inputs'!$M$80=1,'Cost Inputs'!$M$80=3,'Cost Inputs'!$M$80=9)),
IF(ISNUMBER($Q$55), $E249+($E$78*(($E249/$E$78)+$Q$55)), $E249),""),"")), ""),""),"")</f>
        <v/>
      </c>
      <c r="AA249" s="364" t="str">
        <f>IF($Q$3="N.B.C.",
IF(ISNUMBER($B$236),
IF($C249&lt;&gt;"",
IF('Cost Inputs'!$L$80="Y",
IF(ISNUMBER($R$55), $E249+($E$78*(($E249/$E$78)+$R$55)), $E249),
IF('Cost Inputs'!$L$80="N",
IF(AND(ISNUMBER('Cost Inputs'!$M$80), OR('Cost Inputs'!$M$80=1,'Cost Inputs'!$M$80=2,'Cost Inputs'!$M$80=5)),
IF(ISNUMBER($R$55), $E249+($E$78*(($E249/$E$78)+$R$55)), $E249),""),"")), ""),""),"")</f>
        <v/>
      </c>
      <c r="AB249" s="364" t="str">
        <f>IF($R$3="N.B.C.",
IF(ISNUMBER($B$236),
IF($C249&lt;&gt;"",
IF('Cost Inputs'!$L$80="Y",
IF(ISNUMBER($S$55), $E249+($E$78*(($E249/$E$78)+$S$55)), $E249),
IF('Cost Inputs'!$L$80="N",
IF(AND(ISNUMBER('Cost Inputs'!$M$80), OR('Cost Inputs'!$M$80=1)),
IF(ISNUMBER($S$55), $E249+($E$78*(($E249/$E$78)+$S$55)), $E249),""),"")), ""),""),"")</f>
        <v/>
      </c>
      <c r="AC249" s="364" t="str">
        <f>IF($S$3="N.B.C.",
IF(ISNUMBER($B$236),
IF($C249&lt;&gt;"",
IF('Cost Inputs'!$L$80="Y",
IF(ISNUMBER($T$55), $E249+($E$78*(($E249/$E$78)+$T$55)), $E249),
IF('Cost Inputs'!$L$80="N",
IF(AND(ISNUMBER('Cost Inputs'!$M$80), OR('Cost Inputs'!$M$80=1,'Cost Inputs'!$M$80=2,'Cost Inputs'!$M$80=3,'Cost Inputs'!$M$80=4,'Cost Inputs'!$M$80=6)),
IF(ISNUMBER($T$55), $E249+($E$78*(($E249/$E$78)+$T$55)), $E249),""),"")), ""),""),"")</f>
        <v/>
      </c>
      <c r="AD249" s="364" t="str">
        <f>IF($T$3="N.B.C.",
IF(ISNUMBER($B$236),
IF($C249&lt;&gt;"",
IF('Cost Inputs'!$L$80="Y",
IF(ISNUMBER($U$55), $E249+($E$78*(($E249/$E$78)+$U$55)), $E249),
IF('Cost Inputs'!$L$80="N",
IF(AND(ISNUMBER('Cost Inputs'!$M$80), OR('Cost Inputs'!$M$80=1)),
IF(ISNUMBER($U$55), $E249+($E$78*(($E249/$E$78)+$U$55)), $E249),""),"")), ""),""),"")</f>
        <v/>
      </c>
      <c r="AE249" s="364" t="str">
        <f>IF($U$3="N.B.C.",
IF(ISNUMBER($B$236),
IF($C249&lt;&gt;"",
IF('Cost Inputs'!$L$80="Y",
IF(ISNUMBER($V$55), $E249+($E$78*(($E249/$E$78)+$V$55)), $E249),
IF('Cost Inputs'!$L$80="N",
IF(AND(ISNUMBER('Cost Inputs'!$M$80), OR('Cost Inputs'!$M$80=1,'Cost Inputs'!$M$80=2,'Cost Inputs'!$M$80=7)),
IF(ISNUMBER($V$55), $E249+($E$78*(($E249/$E$78)+$V$55)), $E249),""),"")), ""),""),"")</f>
        <v/>
      </c>
      <c r="AF249" s="364" t="str">
        <f>IF($V$3="N.B.C.",
IF(ISNUMBER($B$236),
IF($C249&lt;&gt;"",
IF('Cost Inputs'!$L$80="Y",
IF(ISNUMBER($W$55), $E249+($E$78*(($E249/$E$78)+$W$55)), $E249),
IF('Cost Inputs'!$L$80="N",
IF(AND(ISNUMBER('Cost Inputs'!$M$80), OR('Cost Inputs'!$M$80=1,'Cost Inputs'!$M$80=3,'Cost Inputs'!$M$80=5)),
IF(ISNUMBER($W$55), $E249+($E$78*(($E249/$E$78)+$W$55)), $E249),""),"")), ""),""),"")</f>
        <v/>
      </c>
      <c r="AG249" s="364" t="str">
        <f>IF($W$3="N.B.C.",
IF(ISNUMBER($B$236),
IF($C249&lt;&gt;"",
IF('Cost Inputs'!$L$80="Y",
IF(ISNUMBER($X$55), $E249+($E$78*(($E249/$E$78)+$X$55)), $E249),
IF('Cost Inputs'!$L$80="N",
IF(AND(ISNUMBER('Cost Inputs'!$M$80), OR('Cost Inputs'!$M$80=1,'Cost Inputs'!$M$80=2,'Cost Inputs'!$M$80=4,'Cost Inputs'!$M$80=8)),
IF(ISNUMBER($X$55), $E249+($E$78*(($E249/$E$78)+$X$55)), $E249),""),"")), ""),""),"")</f>
        <v/>
      </c>
      <c r="AH249" s="364" t="str">
        <f>IF($X$3="N.B.C.",
IF(ISNUMBER($B$236),
IF($C249&lt;&gt;"",
IF('Cost Inputs'!$L$80="Y",
IF(ISNUMBER($Y$55), $E249+($E$78*(($E249/$E$78)+$Y$55)), $E249),
IF('Cost Inputs'!$L$80="N",
IF(AND(ISNUMBER('Cost Inputs'!$M$80), OR('Cost Inputs'!$M$80=1)),
IF(ISNUMBER($Y$55), $E249+($E$78*(($E249/$E$78)+$Y$55)), $E249),""),"")), ""),""),"")</f>
        <v/>
      </c>
    </row>
    <row r="250" spans="1:35" x14ac:dyDescent="0.25">
      <c r="A250" s="518"/>
      <c r="B250" s="504"/>
      <c r="C250" s="361" t="str">
        <f>IF(AND(ISNUMBER(B236), OR('Cost Inputs'!$H$81&lt;&gt;"", 'Cost Inputs'!$I$81&lt;&gt;"", 'Cost Inputs'!$J$81&lt;&gt;"")),
IF((INDEX(ProgramYearStage1,MATCH(DNA_Test_1,Years_in_Stage1,0)))='Model_ of_individuals'!B236,  _3_4_4,
IF(AND(ISNUMBER(B236), C229&lt;&gt;""), _3_4_4,"")),"")</f>
        <v/>
      </c>
      <c r="D250" s="93" t="str">
        <f>IF(AND(C250&lt;&gt;"", 'Cost Inputs'!$G$81&lt;&gt;""), 'Cost Inputs'!$G$81, "")</f>
        <v/>
      </c>
      <c r="E250" s="93" t="str">
        <f>IF(AND(C250&lt;&gt;"", 'Cost Inputs'!$H$81&lt;&gt;""), 'Cost Inputs'!$H$81, "")</f>
        <v/>
      </c>
      <c r="F250" s="93" t="str">
        <f>IF(AND(C250&lt;&gt;"", 'Cost Inputs'!$I$81&lt;&gt;""), 'Cost Inputs'!$I$81, "")</f>
        <v/>
      </c>
      <c r="G250" s="93" t="str">
        <f t="shared" si="10"/>
        <v/>
      </c>
      <c r="H250" s="93" t="str">
        <f>IF(AND(C250&lt;&gt;"", 'Cost Inputs'!$J$81&lt;&gt;""), 'Cost Inputs'!$J$81, "")</f>
        <v/>
      </c>
      <c r="I250" s="93" t="str">
        <f t="shared" si="13"/>
        <v/>
      </c>
      <c r="J250" s="93" t="str">
        <f>IF(AND(C250&lt;&gt;"",('Cost Inputs'!$I$81+'Cost Inputs'!$J$81+'Cost Inputs'!$K$81)&gt;0), 'Cost Inputs'!$I$81+'Cost Inputs'!$J$81+'Cost Inputs'!$K$81, "")</f>
        <v/>
      </c>
      <c r="K250" s="93" t="str">
        <f>IF(AND(C250&lt;&gt;"", 'Cost Inputs'!$N$81&gt;0),'Cost Inputs'!$N$81,"")</f>
        <v/>
      </c>
      <c r="L250" s="93"/>
      <c r="M250" s="109"/>
      <c r="Y250" s="372" t="str">
        <f>IF($O$3="N.B.C.",
IF(ISNUMBER($B$236),
IF($C250&lt;&gt;"",
IF('Cost Inputs'!$L$81="Y",
IF(ISNUMBER($P$55), $E250+($E$78*(($E250/$E$78)+$P$55)), $E250),
IF('Cost Inputs'!$L$81="N",
IF(AND(ISNUMBER('Cost Inputs'!$M$81), OR('Cost Inputs'!$M$81=1,'Cost Inputs'!$M$81=2,'Cost Inputs'!$M$81=4,'Cost Inputs'!$M$81=8)),
IF(ISNUMBER($P$55), $E250+($E$78*(($E250/$E$78)+$P$55)), $E250),""),"")), ""),""),"")</f>
        <v/>
      </c>
      <c r="Z250" s="372" t="str">
        <f>IF($P$3="N.B.C.",
IF(ISNUMBER($B$236),
IF($C250&lt;&gt;"",
IF('Cost Inputs'!$L$81="Y",
IF(ISNUMBER($Q$55), $E250+($E$78*(($E250/$E$78)+$Q$55)), $E250),
IF('Cost Inputs'!$L$81="N",
IF(AND(ISNUMBER('Cost Inputs'!$M$81), OR('Cost Inputs'!$M$81=1,'Cost Inputs'!$M$81=3,'Cost Inputs'!$M$81=9)),
IF(ISNUMBER($Q$55), $E250+($E$78*(($E250/$E$78)+$Q$55)), $E250),""),"")), ""),""),"")</f>
        <v/>
      </c>
      <c r="AA250" s="372" t="str">
        <f>IF($Q$3="N.B.C.",
IF(ISNUMBER($B$236),
IF($C250&lt;&gt;"",
IF('Cost Inputs'!$L$81="Y",
IF(ISNUMBER($R$55), $E250+($E$78*(($E250/$E$78)+$R$55)), $E250),
IF('Cost Inputs'!$L$81="N",
IF(AND(ISNUMBER('Cost Inputs'!$M$81), OR('Cost Inputs'!$M$81=1,'Cost Inputs'!$M$81=2,'Cost Inputs'!$M$81=5)),
IF(ISNUMBER($R$55), $E250+($E$78*(($E250/$E$78)+$R$55)), $E250),""),"")), ""),""),"")</f>
        <v/>
      </c>
      <c r="AB250" s="372" t="str">
        <f>IF($R$3="N.B.C.",
IF(ISNUMBER($B$236),
IF($C250&lt;&gt;"",
IF('Cost Inputs'!$L$81="Y",
IF(ISNUMBER($S$55), $E250+($E$78*(($E250/$E$78)+$S$55)), $E250),
IF('Cost Inputs'!$L$81="N",
IF(AND(ISNUMBER('Cost Inputs'!$M$81), OR('Cost Inputs'!$M$81=1)),
IF(ISNUMBER($S$55), $E250+($E$78*(($E250/$E$78)+$S$55)), $E250),""),"")), ""),""),"")</f>
        <v/>
      </c>
      <c r="AC250" s="372" t="str">
        <f>IF($S$3="N.B.C.",
IF(ISNUMBER($B$236),
IF($C250&lt;&gt;"",
IF('Cost Inputs'!$L$81="Y",
IF(ISNUMBER($T$55), $E250+($E$78*(($E250/$E$78)+$T$55)), $E250),
IF('Cost Inputs'!$L$81="N",
IF(AND(ISNUMBER('Cost Inputs'!$M$81), OR('Cost Inputs'!$M$81=1,'Cost Inputs'!$M$81=2,'Cost Inputs'!$M$81=3,'Cost Inputs'!$M$81=4,'Cost Inputs'!$M$81=6)),
IF(ISNUMBER($T$55), $E250+($E$78*(($E250/$E$78)+$T$55)), $E250),""),"")), ""),""),"")</f>
        <v/>
      </c>
      <c r="AD250" s="372" t="str">
        <f>IF($T$3="N.B.C.",
IF(ISNUMBER($B$236),
IF($C250&lt;&gt;"",
IF('Cost Inputs'!$L$81="Y",
IF(ISNUMBER($U$55), $E250+($E$78*(($E250/$E$78)+$U$55)), $E250),
IF('Cost Inputs'!$L$81="N",
IF(AND(ISNUMBER('Cost Inputs'!$M$81), OR('Cost Inputs'!$M$81=1)),
IF(ISNUMBER($U$55), $E250+($E$78*(($E250/$E$78)+$U$55)), $E250),""),"")), ""),""),"")</f>
        <v/>
      </c>
      <c r="AE250" s="372" t="str">
        <f>IF($U$3="N.B.C.",
IF(ISNUMBER($B$236),
IF($C250&lt;&gt;"",
IF('Cost Inputs'!$L$81="Y",
IF(ISNUMBER($V$55), $E250+($E$78*(($E250/$E$78)+$V$55)), $E250),
IF('Cost Inputs'!$L$81="N",
IF(AND(ISNUMBER('Cost Inputs'!$M$81), OR('Cost Inputs'!$M$81=1,'Cost Inputs'!$M$81=2,'Cost Inputs'!$M$81=7)),
IF(ISNUMBER($V$55), $E250+($E$78*(($E250/$E$78)+$V$55)), $E250),""),"")), ""),""),"")</f>
        <v/>
      </c>
      <c r="AF250" s="372" t="str">
        <f>IF($V$3="N.B.C.",
IF(ISNUMBER($B$236),
IF($C250&lt;&gt;"",
IF('Cost Inputs'!$L$81="Y",
IF(ISNUMBER($W$55), $E250+($E$78*(($E250/$E$78)+$W$55)), $E250),
IF('Cost Inputs'!$L$81="N",
IF(AND(ISNUMBER('Cost Inputs'!$M$81), OR('Cost Inputs'!$M$81=1,'Cost Inputs'!$M$81=3,'Cost Inputs'!$M$81=5)),
IF(ISNUMBER($W$55), $E250+($E$78*(($E250/$E$78)+$W$55)), $E250),""),"")), ""),""),"")</f>
        <v/>
      </c>
      <c r="AG250" s="372" t="str">
        <f>IF($W$3="N.B.C.",
IF(ISNUMBER($B$236),
IF($C250&lt;&gt;"",
IF('Cost Inputs'!$L$81="Y",
IF(ISNUMBER($X$55), $E250+($E$78*(($E250/$E$78)+$X$55)), $E250),
IF('Cost Inputs'!$L$81="N",
IF(AND(ISNUMBER('Cost Inputs'!$M$81), OR('Cost Inputs'!$M$81=1,'Cost Inputs'!$M$81=2,'Cost Inputs'!$M$81=4,'Cost Inputs'!$M$81=8)),
IF(ISNUMBER($X$55), $E250+($E$78*(($E250/$E$78)+$X$55)), $E250),""),"")), ""),""),"")</f>
        <v/>
      </c>
      <c r="AH250" s="372" t="str">
        <f>IF($X$3="N.B.C.",
IF(ISNUMBER($B$236),
IF($C250&lt;&gt;"",
IF('Cost Inputs'!$L$81="Y",
IF(ISNUMBER($Y$55), $E250+($E$78*(($E250/$E$78)+$Y$55)), $E250),
IF('Cost Inputs'!$L$81="N",
IF(AND(ISNUMBER('Cost Inputs'!$M$81), OR('Cost Inputs'!$M$81=1)),
IF(ISNUMBER($Y$55), $E250+($E$78*(($E250/$E$78)+$Y$55)), $E250),""),"")), ""),""),"")</f>
        <v/>
      </c>
    </row>
    <row r="251" spans="1:35" x14ac:dyDescent="0.25">
      <c r="A251" s="518"/>
      <c r="B251" s="504"/>
      <c r="C251" s="358" t="str">
        <f>IF(AND(ISNUMBER(B236), OR('Cost Inputs'!$H$82&lt;&gt;"", 'Cost Inputs'!$I$82&lt;&gt;"", 'Cost Inputs'!$J$82&lt;&gt;"")),
IF((INDEX(ProgramYearStage1,MATCH(DNA_Test_1,Years_in_Stage1,0)))='Model_ of_individuals'!B236,  _3_4_5,
IF(AND(ISNUMBER(B236), C230&lt;&gt;""), _3_4_5,"")),"")</f>
        <v/>
      </c>
      <c r="D251" s="17" t="str">
        <f>IF(AND(C251&lt;&gt;"", 'Cost Inputs'!$G$82&lt;&gt;""), 'Cost Inputs'!$G$82, "")</f>
        <v/>
      </c>
      <c r="E251" s="17" t="str">
        <f>IF(AND(C251&lt;&gt;"", 'Cost Inputs'!$H$82&lt;&gt;""), 'Cost Inputs'!$H$82, "")</f>
        <v/>
      </c>
      <c r="F251" s="17" t="str">
        <f>IF(AND(C251&lt;&gt;"", 'Cost Inputs'!$I$82&lt;&gt;""), 'Cost Inputs'!$I$82, "")</f>
        <v/>
      </c>
      <c r="G251" s="17" t="str">
        <f t="shared" si="10"/>
        <v/>
      </c>
      <c r="H251" s="17" t="str">
        <f>IF(AND(C251&lt;&gt;"", 'Cost Inputs'!$J$82&lt;&gt;""), 'Cost Inputs'!$J$82, "")</f>
        <v/>
      </c>
      <c r="I251" s="17" t="str">
        <f t="shared" si="13"/>
        <v/>
      </c>
      <c r="J251" s="17" t="str">
        <f>IF(AND(C251&lt;&gt;"",('Cost Inputs'!$I$82+'Cost Inputs'!$J$82+'Cost Inputs'!$K$82)&gt;0), 'Cost Inputs'!$I$82+'Cost Inputs'!$J$82+'Cost Inputs'!$K$82, "")</f>
        <v/>
      </c>
      <c r="K251" s="17" t="str">
        <f>IF(AND(C251&lt;&gt;"", 'Cost Inputs'!$N$82&gt;0),'Cost Inputs'!$N$82,"")</f>
        <v/>
      </c>
      <c r="M251" s="106"/>
      <c r="Y251" s="364" t="str">
        <f>IF($O$3="N.B.C.",
IF(ISNUMBER($B$236),
IF($C251&lt;&gt;"",
IF('Cost Inputs'!$L$82="Y",
IF(ISNUMBER($P$55), $E251+($E$78*(($E251/$E$78)+$P$55)), $E251),
IF('Cost Inputs'!$L$82="N",
IF(AND(ISNUMBER('Cost Inputs'!$M$82), OR('Cost Inputs'!$M$82=1,'Cost Inputs'!$M$82=2,'Cost Inputs'!$M$82=4,'Cost Inputs'!$M$82=8)),
IF(ISNUMBER($P$55), $E251+($E$78*(($E251/$E$78)+$P$55)), $E251),""),"")), ""),""),"")</f>
        <v/>
      </c>
      <c r="Z251" s="364" t="str">
        <f>IF($P$3="N.B.C.",
IF(ISNUMBER($B$236),
IF($C251&lt;&gt;"",
IF('Cost Inputs'!$L$82="Y",
IF(ISNUMBER($Q$55), $E251+($E$78*(($E251/$E$78)+$Q$55)), $E251),
IF('Cost Inputs'!$L$82="N",
IF(AND(ISNUMBER('Cost Inputs'!$M$82), OR('Cost Inputs'!$M$82=1,'Cost Inputs'!$M$82=3,'Cost Inputs'!$M$82=9)),
IF(ISNUMBER($Q$55), $E251+($E$78*(($E251/$E$78)+$Q$55)), $E251),""),"")), ""),""),"")</f>
        <v/>
      </c>
      <c r="AA251" s="364" t="str">
        <f>IF($Q$3="N.B.C.",
IF(ISNUMBER($B$236),
IF($C251&lt;&gt;"",
IF('Cost Inputs'!$L$82="Y",
IF(ISNUMBER($R$55), $E251+($E$78*(($E251/$E$78)+$R$55)), $E251),
IF('Cost Inputs'!$L$82="N",
IF(AND(ISNUMBER('Cost Inputs'!$M$82), OR('Cost Inputs'!$M$82=1,'Cost Inputs'!$M$82=2,'Cost Inputs'!$M$82=5)),
IF(ISNUMBER($R$55), $E251+($E$78*(($E251/$E$78)+$R$55)), $E251),""),"")), ""),""),"")</f>
        <v/>
      </c>
      <c r="AB251" s="364" t="str">
        <f>IF($R$3="N.B.C.",
IF(ISNUMBER($B$236),
IF($C251&lt;&gt;"",
IF('Cost Inputs'!$L$82="Y",
IF(ISNUMBER($S$55), $E251+($E$78*(($E251/$E$78)+$S$55)), $E251),
IF('Cost Inputs'!$L$82="N",
IF(AND(ISNUMBER('Cost Inputs'!$M$82), OR('Cost Inputs'!$M$82=1)),
IF(ISNUMBER($S$55), $E251+($E$78*(($E251/$E$78)+$S$55)), $E251),""),"")), ""),""),"")</f>
        <v/>
      </c>
      <c r="AC251" s="364" t="str">
        <f>IF($S$3="N.B.C.",
IF(ISNUMBER($B$236),
IF($C251&lt;&gt;"",
IF('Cost Inputs'!$L$82="Y",
IF(ISNUMBER($T$55), $E251+($E$78*(($E251/$E$78)+$T$55)), $E251),
IF('Cost Inputs'!$L$82="N",
IF(AND(ISNUMBER('Cost Inputs'!$M$82), OR('Cost Inputs'!$M$82=1,'Cost Inputs'!$M$82=2,'Cost Inputs'!$M$82=3,'Cost Inputs'!$M$82=4,'Cost Inputs'!$M$82=6)),
IF(ISNUMBER($T$55), $E251+($E$78*(($E251/$E$78)+$T$55)), $E251),""),"")), ""),""),"")</f>
        <v/>
      </c>
      <c r="AD251" s="364" t="str">
        <f>IF($T$3="N.B.C.",
IF(ISNUMBER($B$236),
IF($C251&lt;&gt;"",
IF('Cost Inputs'!$L$82="Y",
IF(ISNUMBER($U$55), $E251+($E$78*(($E251/$E$78)+$U$55)), $E251),
IF('Cost Inputs'!$L$82="N",
IF(AND(ISNUMBER('Cost Inputs'!$M$82), OR('Cost Inputs'!$M$82=1)),
IF(ISNUMBER($U$55), $E251+($E$78*(($E251/$E$78)+$U$55)), $E251),""),"")), ""),""),"")</f>
        <v/>
      </c>
      <c r="AE251" s="364" t="str">
        <f>IF($U$3="N.B.C.",
IF(ISNUMBER($B$236),
IF($C251&lt;&gt;"",
IF('Cost Inputs'!$L$82="Y",
IF(ISNUMBER($V$55), $E251+($E$78*(($E251/$E$78)+$V$55)), $E251),
IF('Cost Inputs'!$L$82="N",
IF(AND(ISNUMBER('Cost Inputs'!$M$82), OR('Cost Inputs'!$M$82=1,'Cost Inputs'!$M$82=2,'Cost Inputs'!$M$82=7)),
IF(ISNUMBER($V$55), $E251+($E$78*(($E251/$E$78)+$V$55)), $E251),""),"")), ""),""),"")</f>
        <v/>
      </c>
      <c r="AF251" s="364" t="str">
        <f>IF($V$3="N.B.C.",
IF(ISNUMBER($B$236),
IF($C251&lt;&gt;"",
IF('Cost Inputs'!$L$82="Y",
IF(ISNUMBER($W$55), $E251+($E$78*(($E251/$E$78)+$W$55)), $E251),
IF('Cost Inputs'!$L$82="N",
IF(AND(ISNUMBER('Cost Inputs'!$M$82), OR('Cost Inputs'!$M$82=1,'Cost Inputs'!$M$82=3,'Cost Inputs'!$M$82=5)),
IF(ISNUMBER($W$55), $E251+($E$78*(($E251/$E$78)+$W$55)), $E251),""),"")), ""),""),"")</f>
        <v/>
      </c>
      <c r="AG251" s="364" t="str">
        <f>IF($W$3="N.B.C.",
IF(ISNUMBER($B$236),
IF($C251&lt;&gt;"",
IF('Cost Inputs'!$L$82="Y",
IF(ISNUMBER($X$55), $E251+($E$78*(($E251/$E$78)+$X$55)), $E251),
IF('Cost Inputs'!$L$82="N",
IF(AND(ISNUMBER('Cost Inputs'!$M$82), OR('Cost Inputs'!$M$82=1,'Cost Inputs'!$M$82=2,'Cost Inputs'!$M$82=4,'Cost Inputs'!$M$82=8)),
IF(ISNUMBER($X$55), $E251+($E$78*(($E251/$E$78)+$X$55)), $E251),""),"")), ""),""),"")</f>
        <v/>
      </c>
      <c r="AH251" s="364" t="str">
        <f>IF($X$3="N.B.C.",
IF(ISNUMBER($B$236),
IF($C251&lt;&gt;"",
IF('Cost Inputs'!$L$82="Y",
IF(ISNUMBER($Y$55), $E251+($E$78*(($E251/$E$78)+$Y$55)), $E251),
IF('Cost Inputs'!$L$82="N",
IF(AND(ISNUMBER('Cost Inputs'!$M$82), OR('Cost Inputs'!$M$82=1)),
IF(ISNUMBER($Y$55), $E251+($E$78*(($E251/$E$78)+$Y$55)), $E251),""),"")), ""),""),"")</f>
        <v/>
      </c>
    </row>
    <row r="252" spans="1:35" x14ac:dyDescent="0.25">
      <c r="A252" s="518"/>
      <c r="B252" s="504"/>
      <c r="C252" s="361" t="str">
        <f>IF(AND(ISNUMBER(B236), OR('Cost Inputs'!$H$83&lt;&gt;"", 'Cost Inputs'!$I$83&lt;&gt;"", 'Cost Inputs'!$J$83&lt;&gt;"")),
IF((INDEX(ProgramYearStage1,MATCH(DNA_Test_1,Years_in_Stage1,0)))='Model_ of_individuals'!B236,  _3_4_6,
IF(AND(ISNUMBER(B236), C231&lt;&gt;""), _3_4_6,"")),"")</f>
        <v/>
      </c>
      <c r="D252" s="93" t="str">
        <f>IF(AND(C252&lt;&gt;"", 'Cost Inputs'!$G$83&lt;&gt;""), 'Cost Inputs'!$G$83, "")</f>
        <v/>
      </c>
      <c r="E252" s="93" t="str">
        <f>IF(AND(C252&lt;&gt;"", 'Cost Inputs'!$H$83&lt;&gt;""), 'Cost Inputs'!$H$83, "")</f>
        <v/>
      </c>
      <c r="F252" s="93" t="str">
        <f>IF(AND(C252&lt;&gt;"", 'Cost Inputs'!$I$83&lt;&gt;""), 'Cost Inputs'!$I$83, "")</f>
        <v/>
      </c>
      <c r="G252" s="93" t="str">
        <f t="shared" si="10"/>
        <v/>
      </c>
      <c r="H252" s="93" t="str">
        <f>IF(AND(C252&lt;&gt;"", 'Cost Inputs'!$J$83&lt;&gt;""), 'Cost Inputs'!$J$83, "")</f>
        <v/>
      </c>
      <c r="I252" s="93" t="str">
        <f t="shared" si="13"/>
        <v/>
      </c>
      <c r="J252" s="93" t="str">
        <f>IF(AND(C252&lt;&gt;"",('Cost Inputs'!$I$83+'Cost Inputs'!$J$83+'Cost Inputs'!$K$83)&gt;0), 'Cost Inputs'!$I$83+'Cost Inputs'!$J$83+'Cost Inputs'!$K$83, "")</f>
        <v/>
      </c>
      <c r="K252" s="93" t="str">
        <f>IF(AND(C252&lt;&gt;"", 'Cost Inputs'!$N$83&gt;0),'Cost Inputs'!$N$83,"")</f>
        <v/>
      </c>
      <c r="L252" s="93"/>
      <c r="M252" s="109"/>
      <c r="Y252" s="372" t="str">
        <f>IF($O$3="N.B.C.",
IF(ISNUMBER($B$236),
IF($C252&lt;&gt;"",
IF('Cost Inputs'!$L$83="Y",
IF(ISNUMBER($P$55), $E252+($E$78*(($E252/$E$78)+$P$55)), $E252),
IF('Cost Inputs'!$L$83="N",
IF(AND(ISNUMBER('Cost Inputs'!$M$83), OR('Cost Inputs'!$M$83=1,'Cost Inputs'!$M$83=2,'Cost Inputs'!$M$83=4,'Cost Inputs'!$M$83=8)),
IF(ISNUMBER($P$55), $E252+($E$78*(($E252/$E$78)+$P$55)), $E252),""),"")), ""),""),"")</f>
        <v/>
      </c>
      <c r="Z252" s="372" t="str">
        <f>IF($P$3="N.B.C.",
IF(ISNUMBER($B$236),
IF($C252&lt;&gt;"",
IF('Cost Inputs'!$L$83="Y",
IF(ISNUMBER($Q$55), $E252+($E$78*(($E252/$E$78)+$Q$55)), $E252),
IF('Cost Inputs'!$L$83="N",
IF(AND(ISNUMBER('Cost Inputs'!$M$83), OR('Cost Inputs'!$M$83=1,'Cost Inputs'!$M$83=3,'Cost Inputs'!$M$83=9)),
IF(ISNUMBER($Q$55), $E252+($E$78*(($E252/$E$78)+$Q$55)), $E252),""),"")), ""),""),"")</f>
        <v/>
      </c>
      <c r="AA252" s="372" t="str">
        <f>IF($Q$3="N.B.C.",
IF(ISNUMBER($B$236),
IF($C252&lt;&gt;"",
IF('Cost Inputs'!$L$83="Y",
IF(ISNUMBER($R$55), $E252+($E$78*(($E252/$E$78)+$R$55)), $E252),
IF('Cost Inputs'!$L$83="N",
IF(AND(ISNUMBER('Cost Inputs'!$M$83), OR('Cost Inputs'!$M$83=1,'Cost Inputs'!$M$83=2,'Cost Inputs'!$M$83=5)),
IF(ISNUMBER($R$55), $E252+($E$78*(($E252/$E$78)+$R$55)), $E252),""),"")), ""),""),"")</f>
        <v/>
      </c>
      <c r="AB252" s="372" t="str">
        <f>IF($R$3="N.B.C.",
IF(ISNUMBER($B$236),
IF($C252&lt;&gt;"",
IF('Cost Inputs'!$L$83="Y",
IF(ISNUMBER($S$55), $E252+($E$78*(($E252/$E$78)+$S$55)), $E252),
IF('Cost Inputs'!$L$83="N",
IF(AND(ISNUMBER('Cost Inputs'!$M$83), OR('Cost Inputs'!$M$83=1)),
IF(ISNUMBER($S$55), $E252+($E$78*(($E252/$E$78)+$S$55)), $E252),""),"")), ""),""),"")</f>
        <v/>
      </c>
      <c r="AC252" s="372" t="str">
        <f>IF($S$3="N.B.C.",
IF(ISNUMBER($B$236),
IF($C252&lt;&gt;"",
IF('Cost Inputs'!$L$83="Y",
IF(ISNUMBER($T$55), $E252+($E$78*(($E252/$E$78)+$T$55)), $E252),
IF('Cost Inputs'!$L$83="N",
IF(AND(ISNUMBER('Cost Inputs'!$M$83), OR('Cost Inputs'!$M$83=1,'Cost Inputs'!$M$83=2,'Cost Inputs'!$M$83=3,'Cost Inputs'!$M$83=4,'Cost Inputs'!$M$83=6)),
IF(ISNUMBER($T$55), $E252+($E$78*(($E252/$E$78)+$T$55)), $E252),""),"")), ""),""),"")</f>
        <v/>
      </c>
      <c r="AD252" s="372" t="str">
        <f>IF($T$3="N.B.C.",
IF(ISNUMBER($B$236),
IF($C252&lt;&gt;"",
IF('Cost Inputs'!$L$83="Y",
IF(ISNUMBER($U$55), $E252+($E$78*(($E252/$E$78)+$U$55)), $E252),
IF('Cost Inputs'!$L$83="N",
IF(AND(ISNUMBER('Cost Inputs'!$M$83), OR('Cost Inputs'!$M$83=1)),
IF(ISNUMBER($U$55), $E252+($E$78*(($E252/$E$78)+$U$55)), $E252),""),"")), ""),""),"")</f>
        <v/>
      </c>
      <c r="AE252" s="372" t="str">
        <f>IF($U$3="N.B.C.",
IF(ISNUMBER($B$236),
IF($C252&lt;&gt;"",
IF('Cost Inputs'!$L$83="Y",
IF(ISNUMBER($V$55), $E252+($E$78*(($E252/$E$78)+$V$55)), $E252),
IF('Cost Inputs'!$L$83="N",
IF(AND(ISNUMBER('Cost Inputs'!$M$83), OR('Cost Inputs'!$M$83=1,'Cost Inputs'!$M$83=2,'Cost Inputs'!$M$83=7)),
IF(ISNUMBER($V$55), $E252+($E$78*(($E252/$E$78)+$V$55)), $E252),""),"")), ""),""),"")</f>
        <v/>
      </c>
      <c r="AF252" s="372" t="str">
        <f>IF($V$3="N.B.C.",
IF(ISNUMBER($B$236),
IF($C252&lt;&gt;"",
IF('Cost Inputs'!$L$83="Y",
IF(ISNUMBER($W$55), $E252+($E$78*(($E252/$E$78)+$W$55)), $E252),
IF('Cost Inputs'!$L$83="N",
IF(AND(ISNUMBER('Cost Inputs'!$M$83), OR('Cost Inputs'!$M$83=1,'Cost Inputs'!$M$83=3,'Cost Inputs'!$M$83=5)),
IF(ISNUMBER($W$55), $E252+($E$78*(($E252/$E$78)+$W$55)), $E252),""),"")), ""),""),"")</f>
        <v/>
      </c>
      <c r="AG252" s="372" t="str">
        <f>IF($W$3="N.B.C.",
IF(ISNUMBER($B$236),
IF($C252&lt;&gt;"",
IF('Cost Inputs'!$L$83="Y",
IF(ISNUMBER($X$55), $E252+($E$78*(($E252/$E$78)+$X$55)), $E252),
IF('Cost Inputs'!$L$83="N",
IF(AND(ISNUMBER('Cost Inputs'!$M$83), OR('Cost Inputs'!$M$83=1,'Cost Inputs'!$M$83=2,'Cost Inputs'!$M$83=4,'Cost Inputs'!$M$83=8)),
IF(ISNUMBER($X$55), $E252+($E$78*(($E252/$E$78)+$X$55)), $E252),""),"")), ""),""),"")</f>
        <v/>
      </c>
      <c r="AH252" s="372" t="str">
        <f>IF($X$3="N.B.C.",
IF(ISNUMBER($B$236),
IF($C252&lt;&gt;"",
IF('Cost Inputs'!$L$83="Y",
IF(ISNUMBER($Y$55), $E252+($E$78*(($E252/$E$78)+$Y$55)), $E252),
IF('Cost Inputs'!$L$83="N",
IF(AND(ISNUMBER('Cost Inputs'!$M$83), OR('Cost Inputs'!$M$83=1)),
IF(ISNUMBER($Y$55), $E252+($E$78*(($E252/$E$78)+$Y$55)), $E252),""),"")), ""),""),"")</f>
        <v/>
      </c>
    </row>
    <row r="253" spans="1:35" x14ac:dyDescent="0.25">
      <c r="A253" s="518"/>
      <c r="B253" s="504"/>
      <c r="C253" s="489" t="str">
        <f>IF('Model_ of_individuals'!C246&lt;&gt;"",
IF((INDEX(ProgramYearStage1,MATCH(DNA_Test_1,Years_in_Stage1,0)))='Model_ of_individuals'!B236, "Percentage decrease in marker culling",""),"")</f>
        <v/>
      </c>
      <c r="D253" s="490"/>
      <c r="E253" s="490"/>
      <c r="F253" s="490"/>
      <c r="G253" s="490"/>
      <c r="H253" s="490"/>
      <c r="I253" s="490"/>
      <c r="J253" s="490"/>
      <c r="K253" s="490"/>
      <c r="L253" s="490"/>
      <c r="M253" s="491"/>
      <c r="Y253" s="364" t="str">
        <f>IF($O$3="N.B.C.",
IF(ISNUMBER($B$236),
IF($C253&lt;&gt;"",
IF('Cost Inputs'!$L$84="Y",
IF(ISNUMBER($P$55), $E253+($E$78*(($E253/$E$78)+$P$55)), $E253),
IF('Cost Inputs'!$L$84="N",
IF(AND(ISNUMBER('Cost Inputs'!$M$84), OR('Cost Inputs'!$M$84=1,'Cost Inputs'!$M$84=2,'Cost Inputs'!$M$84=4,'Cost Inputs'!$M$84=8)),
IF(ISNUMBER($P$55), $E253+($E$78*(($E253/$E$78)+$P$55)), $E253),""),"")), ""),""),"")</f>
        <v/>
      </c>
      <c r="Z253" s="364" t="str">
        <f>IF($P$3="N.B.C.",
IF(ISNUMBER($B$236),
IF($C253&lt;&gt;"",
IF('Cost Inputs'!$L$84="Y",
IF(ISNUMBER($Q$55), $E253+($E$78*(($E253/$E$78)+$Q$55)), $E253),
IF('Cost Inputs'!$L$84="N",
IF(AND(ISNUMBER('Cost Inputs'!$M$84), OR('Cost Inputs'!$M$84=1,'Cost Inputs'!$M$84=3,'Cost Inputs'!$M$84=9)),
IF(ISNUMBER($Q$55), $E253+($E$78*(($E253/$E$78)+$Q$55)), $E253),""),"")), ""),""),"")</f>
        <v/>
      </c>
      <c r="AA253" s="364" t="str">
        <f>IF($Q$3="N.B.C.",
IF(ISNUMBER($B$236),
IF($C253&lt;&gt;"",
IF('Cost Inputs'!$L$84="Y",
IF(ISNUMBER($R$55), $E253+($E$78*(($E253/$E$78)+$R$55)), $E253),
IF('Cost Inputs'!$L$84="N",
IF(AND(ISNUMBER('Cost Inputs'!$M$84), OR('Cost Inputs'!$M$84=1,'Cost Inputs'!$M$84=2,'Cost Inputs'!$M$84=5)),
IF(ISNUMBER($R$55), $E253+($E$78*(($E253/$E$78)+$R$55)), $E253),""),"")), ""),""),"")</f>
        <v/>
      </c>
      <c r="AB253" s="364" t="str">
        <f>IF($R$3="N.B.C.",
IF(ISNUMBER($B$236),
IF($C253&lt;&gt;"",
IF('Cost Inputs'!$L$84="Y",
IF(ISNUMBER($S$55), $E253+($E$78*(($E253/$E$78)+$S$55)), $E253),
IF('Cost Inputs'!$L$84="N",
IF(AND(ISNUMBER('Cost Inputs'!$M$84), OR('Cost Inputs'!$M$84=1)),
IF(ISNUMBER($S$55), $E253+($E$78*(($E253/$E$78)+$S$55)), $E253),""),"")), ""),""),"")</f>
        <v/>
      </c>
      <c r="AC253" s="364" t="str">
        <f>IF($S$3="N.B.C.",
IF(ISNUMBER($B$236),
IF($C253&lt;&gt;"",
IF('Cost Inputs'!$L$84="Y",
IF(ISNUMBER($T$55), $E253+($E$78*(($E253/$E$78)+$T$55)), $E253),
IF('Cost Inputs'!$L$84="N",
IF(AND(ISNUMBER('Cost Inputs'!$M$84), OR('Cost Inputs'!$M$84=1,'Cost Inputs'!$M$84=2,'Cost Inputs'!$M$84=3,'Cost Inputs'!$M$84=4,'Cost Inputs'!$M$84=6)),
IF(ISNUMBER($T$55), $E253+($E$78*(($E253/$E$78)+$T$55)), $E253),""),"")), ""),""),"")</f>
        <v/>
      </c>
      <c r="AD253" s="364" t="str">
        <f>IF($T$3="N.B.C.",
IF(ISNUMBER($B$236),
IF($C253&lt;&gt;"",
IF('Cost Inputs'!$L$84="Y",
IF(ISNUMBER($U$55), $E253+($E$78*(($E253/$E$78)+$U$55)), $E253),
IF('Cost Inputs'!$L$84="N",
IF(AND(ISNUMBER('Cost Inputs'!$M$84), OR('Cost Inputs'!$M$84=1)),
IF(ISNUMBER($U$55), $E253+($E$78*(($E253/$E$78)+$U$55)), $E253),""),"")), ""),""),"")</f>
        <v/>
      </c>
      <c r="AE253" s="364" t="str">
        <f>IF($U$3="N.B.C.",
IF(ISNUMBER($B$236),
IF($C253&lt;&gt;"",
IF('Cost Inputs'!$L$84="Y",
IF(ISNUMBER($V$55), $E253+($E$78*(($E253/$E$78)+$V$55)), $E253),
IF('Cost Inputs'!$L$84="N",
IF(AND(ISNUMBER('Cost Inputs'!$M$84), OR('Cost Inputs'!$M$84=1,'Cost Inputs'!$M$84=2,'Cost Inputs'!$M$84=7)),
IF(ISNUMBER($V$55), $E253+($E$78*(($E253/$E$78)+$V$55)), $E253),""),"")), ""),""),"")</f>
        <v/>
      </c>
      <c r="AF253" s="364" t="str">
        <f>IF($V$3="N.B.C.",
IF(ISNUMBER($B$236),
IF($C253&lt;&gt;"",
IF('Cost Inputs'!$L$84="Y",
IF(ISNUMBER($W$55), $E253+($E$78*(($E253/$E$78)+$W$55)), $E253),
IF('Cost Inputs'!$L$84="N",
IF(AND(ISNUMBER('Cost Inputs'!$M$84), OR('Cost Inputs'!$M$84=1,'Cost Inputs'!$M$84=3,'Cost Inputs'!$M$84=5)),
IF(ISNUMBER($W$55), $E253+($E$78*(($E253/$E$78)+$W$55)), $E253),""),"")), ""),""),"")</f>
        <v/>
      </c>
      <c r="AG253" s="364" t="str">
        <f>IF($W$3="N.B.C.",
IF(ISNUMBER($B$236),
IF($C253&lt;&gt;"",
IF('Cost Inputs'!$L$84="Y",
IF(ISNUMBER($X$55), $E253+($E$78*(($E253/$E$78)+$X$55)), $E253),
IF('Cost Inputs'!$L$84="N",
IF(AND(ISNUMBER('Cost Inputs'!$M$84), OR('Cost Inputs'!$M$84=1,'Cost Inputs'!$M$84=2,'Cost Inputs'!$M$84=4,'Cost Inputs'!$M$84=8)),
IF(ISNUMBER($X$55), $E253+($E$78*(($E253/$E$78)+$X$55)), $E253),""),"")), ""),""),"")</f>
        <v/>
      </c>
      <c r="AH253" s="364" t="str">
        <f>IF($X$3="N.B.C.",
IF(ISNUMBER($B$236),
IF($C253&lt;&gt;"",
IF('Cost Inputs'!$L$84="Y",
IF(ISNUMBER($Y$55), $E253+($E$78*(($E253/$E$78)+$Y$55)), $E253),
IF('Cost Inputs'!$L$84="N",
IF(AND(ISNUMBER('Cost Inputs'!$M$84), OR('Cost Inputs'!$M$84=1)),
IF(ISNUMBER($Y$55), $E253+($E$78*(($E253/$E$78)+$Y$55)), $E253),""),"")), ""),""),"")</f>
        <v/>
      </c>
    </row>
    <row r="254" spans="1:35" x14ac:dyDescent="0.25">
      <c r="A254" s="518"/>
      <c r="B254" s="504"/>
      <c r="C254" s="110" t="str">
        <f>IF(ISNUMBER(B236), _3_5_0,"")</f>
        <v/>
      </c>
      <c r="D254" s="94" t="str">
        <f>IF(AND(B236&lt;&gt;"", OR('Cost Inputs'!$H$84&lt;&gt;"", 'Cost Inputs'!$I$84&lt;&gt;"", 'Cost Inputs'!$J$84&lt;&gt;"")), 'Cost Inputs'!$G$84,"")</f>
        <v/>
      </c>
      <c r="E254" s="94" t="str">
        <f>IF(AND(C254&lt;&gt;"", 'Cost Inputs'!$H$84&lt;&gt;""), 'Cost Inputs'!$H$84, "")</f>
        <v/>
      </c>
      <c r="F254" s="94" t="str">
        <f>IF(AND(C254&lt;&gt;"", 'Cost Inputs'!$I$84&lt;&gt;""), 'Cost Inputs'!$I$84, "")</f>
        <v/>
      </c>
      <c r="G254" s="94" t="str">
        <f t="shared" si="10"/>
        <v/>
      </c>
      <c r="H254" s="94" t="str">
        <f>IF(AND(C254&lt;&gt;"", 'Cost Inputs'!$J$84&lt;&gt;""), 'Cost Inputs'!$J$84, "")</f>
        <v/>
      </c>
      <c r="I254" s="94" t="str">
        <f>IF(AND($E254&lt;&gt;"", $H254&lt;&gt;""), $H254/$E254, "")</f>
        <v/>
      </c>
      <c r="J254" s="94" t="str">
        <f>IF(AND(C254&lt;&gt;"",('Cost Inputs'!$I$84+'Cost Inputs'!$J$84+'Cost Inputs'!$K$84)&gt;0), 'Cost Inputs'!$I$84+'Cost Inputs'!$J$84+'Cost Inputs'!$K$84, "")</f>
        <v/>
      </c>
      <c r="K254" s="94" t="str">
        <f>IF(AND(C254&lt;&gt;"", 'Cost Inputs'!$N$84&gt;0),'Cost Inputs'!$N$84,"")</f>
        <v/>
      </c>
      <c r="L254" s="94"/>
      <c r="M254" s="129" t="str">
        <f>IF(ISNUMBER(B236), 'Breeding Inputs'!D85+'Breeding Inputs'!E85, "")</f>
        <v/>
      </c>
      <c r="Y254" s="373" t="str">
        <f>IF($O$3="N.B.C.", IF(ISNUMBER($B$236), IF('Cost Inputs'!$L$84="Y", $E$86, IF('Cost Inputs'!$L$84="N", IF(ISNUMBER('Cost Inputs'!$M$84), $E$86,""),"")), ""),"")</f>
        <v/>
      </c>
      <c r="Z254" s="373" t="str">
        <f>IF($P$3="N.B.C.", IF(ISNUMBER($B$236), IF('Cost Inputs'!$L$84="Y", $E$86, IF('Cost Inputs'!$L$84="N", IF(ISNUMBER('Cost Inputs'!$M$84), $E$86,""),"")), ""),"")</f>
        <v/>
      </c>
      <c r="AA254" s="373" t="str">
        <f>IF($Q$3="N.B.C.", IF(ISNUMBER($B$236), IF('Cost Inputs'!$L$84="Y", $E$86, IF('Cost Inputs'!$L$84="N", IF(ISNUMBER('Cost Inputs'!$M$84), $E$86,""),"")), ""),"")</f>
        <v/>
      </c>
      <c r="AB254" s="373" t="str">
        <f>IF($R$3="N.B.C.", IF(ISNUMBER($B$236), IF('Cost Inputs'!$L$84="Y", $E$86, IF('Cost Inputs'!$L$84="N", IF(ISNUMBER('Cost Inputs'!$M$84), $E$86,""),"")), ""),"")</f>
        <v/>
      </c>
      <c r="AC254" s="373" t="str">
        <f>IF($S$3="N.B.C.", IF(ISNUMBER($B$236), IF('Cost Inputs'!$L$84="Y", $E$86, IF('Cost Inputs'!$L$84="N", IF(ISNUMBER('Cost Inputs'!$M$84), $E$86,""),"")), ""),"")</f>
        <v/>
      </c>
      <c r="AD254" s="373" t="str">
        <f>IF($T$3="N.B.C.", IF(ISNUMBER($B$236), IF('Cost Inputs'!$L$84="Y", $E$86, IF('Cost Inputs'!$L$84="N", IF(ISNUMBER('Cost Inputs'!$M$84), $E$86,""),"")), ""),"")</f>
        <v/>
      </c>
      <c r="AE254" s="373" t="str">
        <f>IF($U$3="N.B.C.", IF(ISNUMBER($B$236), IF('Cost Inputs'!$L$84="Y", $E$86, IF('Cost Inputs'!$L$84="N", IF(ISNUMBER('Cost Inputs'!$M$84), $E$86,""),"")), ""),"")</f>
        <v/>
      </c>
      <c r="AF254" s="373" t="str">
        <f>IF($V$3="N.B.C.", IF(ISNUMBER($B$236), IF('Cost Inputs'!$L$84="Y", $E$86, IF('Cost Inputs'!$L$84="N", IF(ISNUMBER('Cost Inputs'!$M$84), $E$86,""),"")), ""),"")</f>
        <v/>
      </c>
      <c r="AG254" s="373" t="str">
        <f>IF($W$3="N.B.C.", IF(ISNUMBER($B$236), IF('Cost Inputs'!$L$84="Y", $E$86, IF('Cost Inputs'!$L$84="N", IF(ISNUMBER('Cost Inputs'!$M$84), $E$86,""),"")), ""),"")</f>
        <v/>
      </c>
      <c r="AH254" s="373" t="str">
        <f>IF($X$3="N.B.C.", IF(ISNUMBER($B$236), IF('Cost Inputs'!$L$84="Y", $E$86, IF('Cost Inputs'!$L$84="N", IF(ISNUMBER('Cost Inputs'!$M$84), $E$86,""),"")), ""),"")</f>
        <v/>
      </c>
    </row>
    <row r="255" spans="1:35" x14ac:dyDescent="0.25">
      <c r="A255" s="518"/>
      <c r="B255" s="504"/>
      <c r="C255" s="104" t="str">
        <f>IF(AND(ISNUMBER(B236), OR('Cost Inputs'!$H$85&lt;&gt;"", 'Cost Inputs'!$I$85&lt;&gt;"", 'Cost Inputs'!$J$85&lt;&gt;"")), _3_5_1, "")</f>
        <v/>
      </c>
      <c r="D255" s="17" t="str">
        <f>IF(AND(C255&lt;&gt;"", 'Cost Inputs'!$G$85&lt;&gt;""), 'Cost Inputs'!$G$85, "")</f>
        <v/>
      </c>
      <c r="E255" s="17" t="str">
        <f>IF(AND(C255&lt;&gt;"", 'Cost Inputs'!$H$85&lt;&gt;""), 'Cost Inputs'!$H$85, "")</f>
        <v/>
      </c>
      <c r="F255" s="17" t="str">
        <f>IF(AND(C255&lt;&gt;"", 'Cost Inputs'!$I$85&lt;&gt;""), 'Cost Inputs'!$I$85, "")</f>
        <v/>
      </c>
      <c r="G255" s="17" t="str">
        <f t="shared" si="10"/>
        <v/>
      </c>
      <c r="H255" s="17" t="str">
        <f>IF(AND(C255&lt;&gt;"", 'Cost Inputs'!$J$85&lt;&gt;""), 'Cost Inputs'!$J$85, "")</f>
        <v/>
      </c>
      <c r="I255" s="17" t="str">
        <f t="shared" si="13"/>
        <v/>
      </c>
      <c r="J255" s="17" t="str">
        <f>IF(AND(C255&lt;&gt;"",('Cost Inputs'!$I$85+'Cost Inputs'!$J$85+'Cost Inputs'!$K$85)&gt;0), 'Cost Inputs'!$I$85+'Cost Inputs'!$J$85+'Cost Inputs'!$K$85, "")</f>
        <v/>
      </c>
      <c r="K255" s="17" t="str">
        <f>IF(AND(C255&lt;&gt;"", 'Cost Inputs'!$N$85&gt;0),'Cost Inputs'!$N$85,"")</f>
        <v/>
      </c>
      <c r="M255" s="106"/>
      <c r="Y255" s="364" t="str">
        <f>IF($O$3="N.B.C.", IF(ISNUMBER($B$236), IF('Cost Inputs'!$L$85="Y", $E$87, IF('Cost Inputs'!$L$85="N", IF(ISNUMBER('Cost Inputs'!$M$85), $E$87,""),"")), ""),"")</f>
        <v/>
      </c>
      <c r="Z255" s="364" t="str">
        <f>IF($P$3="N.B.C.", IF(ISNUMBER($B$236), IF('Cost Inputs'!$L$85="Y", $E$87, IF('Cost Inputs'!$L$85="N", IF(ISNUMBER('Cost Inputs'!$M$85), $E$87,""),"")), ""),"")</f>
        <v/>
      </c>
      <c r="AA255" s="364" t="str">
        <f>IF($Q$3="N.B.C.", IF(ISNUMBER($B$236), IF('Cost Inputs'!$L$85="Y", $E$87, IF('Cost Inputs'!$L$85="N", IF(ISNUMBER('Cost Inputs'!$M$85), $E$87,""),"")), ""),"")</f>
        <v/>
      </c>
      <c r="AB255" s="364" t="str">
        <f>IF($R$3="N.B.C.", IF(ISNUMBER($B$236), IF('Cost Inputs'!$L$85="Y", $E$87, IF('Cost Inputs'!$L$85="N", IF(ISNUMBER('Cost Inputs'!$M$85), $E$87,""),"")), ""),"")</f>
        <v/>
      </c>
      <c r="AC255" s="364" t="str">
        <f>IF($S$3="N.B.C.", IF(ISNUMBER($B$236), IF('Cost Inputs'!$L$85="Y", $E$87, IF('Cost Inputs'!$L$85="N", IF(ISNUMBER('Cost Inputs'!$M$85), $E$87,""),"")), ""),"")</f>
        <v/>
      </c>
      <c r="AD255" s="364" t="str">
        <f>IF($T$3="N.B.C.", IF(ISNUMBER($B$236), IF('Cost Inputs'!$L$85="Y", $E$87, IF('Cost Inputs'!$L$85="N", IF(ISNUMBER('Cost Inputs'!$M$85), $E$87,""),"")), ""),"")</f>
        <v/>
      </c>
      <c r="AE255" s="364" t="str">
        <f>IF($U$3="N.B.C.", IF(ISNUMBER($B$236), IF('Cost Inputs'!$L$85="Y", $E$87, IF('Cost Inputs'!$L$85="N", IF(ISNUMBER('Cost Inputs'!$M$85), $E$87,""),"")), ""),"")</f>
        <v/>
      </c>
      <c r="AF255" s="364" t="str">
        <f>IF($V$3="N.B.C.", IF(ISNUMBER($B$236), IF('Cost Inputs'!$L$85="Y", $E$87, IF('Cost Inputs'!$L$85="N", IF(ISNUMBER('Cost Inputs'!$M$85), $E$87,""),"")), ""),"")</f>
        <v/>
      </c>
      <c r="AG255" s="364" t="str">
        <f>IF($W$3="N.B.C.", IF(ISNUMBER($B$236), IF('Cost Inputs'!$L$85="Y", $E$87, IF('Cost Inputs'!$L$85="N", IF(ISNUMBER('Cost Inputs'!$M$85), $E$87,""),"")), ""),"")</f>
        <v/>
      </c>
      <c r="AH255" s="364" t="str">
        <f>IF($X$3="N.B.C.", IF(ISNUMBER($B$236), IF('Cost Inputs'!$L$85="Y", $E$87, IF('Cost Inputs'!$L$85="N", IF(ISNUMBER('Cost Inputs'!$M$85), $E$87,""),"")), ""),"")</f>
        <v/>
      </c>
    </row>
    <row r="256" spans="1:35" ht="15.75" thickBot="1" x14ac:dyDescent="0.3">
      <c r="A256" s="518"/>
      <c r="B256" s="505"/>
      <c r="C256" s="111" t="str">
        <f>IF(AND(ISNUMBER(B236), OR('Cost Inputs'!$H$86&lt;&gt;"", 'Cost Inputs'!$I$86&lt;&gt;"", 'Cost Inputs'!$J$86&lt;&gt;"")), _3_5_2, "")</f>
        <v/>
      </c>
      <c r="D256" s="95" t="str">
        <f>IF(AND(C256&lt;&gt;"", 'Cost Inputs'!$G$86&lt;&gt;""), 'Cost Inputs'!$G$86, "")</f>
        <v/>
      </c>
      <c r="E256" s="95" t="str">
        <f>IF(AND(C256&lt;&gt;"", 'Cost Inputs'!$H$86&lt;&gt;""), 'Cost Inputs'!$H$86, "")</f>
        <v/>
      </c>
      <c r="F256" s="95" t="str">
        <f>IF(AND(C256&lt;&gt;"", 'Cost Inputs'!$I$86&lt;&gt;""), 'Cost Inputs'!$I$86, "")</f>
        <v/>
      </c>
      <c r="G256" s="95" t="str">
        <f t="shared" si="10"/>
        <v/>
      </c>
      <c r="H256" s="95" t="str">
        <f>IF(AND(C256&lt;&gt;"", 'Cost Inputs'!$J$86&lt;&gt;""), 'Cost Inputs'!$J$86, "")</f>
        <v/>
      </c>
      <c r="I256" s="95" t="str">
        <f t="shared" si="13"/>
        <v/>
      </c>
      <c r="J256" s="95" t="str">
        <f>IF(AND(C256&lt;&gt;"",('Cost Inputs'!$I$86+'Cost Inputs'!$J$86+'Cost Inputs'!$K$86)&gt;0), 'Cost Inputs'!$I$86+'Cost Inputs'!$J$86+'Cost Inputs'!$K$86, "")</f>
        <v/>
      </c>
      <c r="K256" s="95" t="str">
        <f>IF(AND(C256&lt;&gt;"", 'Cost Inputs'!$N$86&gt;0),'Cost Inputs'!$N$86,"")</f>
        <v/>
      </c>
      <c r="L256" s="95"/>
      <c r="M256" s="113"/>
      <c r="Y256" s="372" t="str">
        <f>IF($O$3="N.B.C.", IF(ISNUMBER($B$236), IF('Cost Inputs'!$L$86="Y", $E$88, IF('Cost Inputs'!$L$86="N", IF(ISNUMBER('Cost Inputs'!$M$86), $E$88,""),"")), ""),"")</f>
        <v/>
      </c>
      <c r="Z256" s="372" t="str">
        <f>IF($P$3="N.B.C.", IF(ISNUMBER($B$236), IF('Cost Inputs'!$L$86="Y", $E$88, IF('Cost Inputs'!$L$86="N", IF(ISNUMBER('Cost Inputs'!$M$86), $E$88,""),"")), ""),"")</f>
        <v/>
      </c>
      <c r="AA256" s="372" t="str">
        <f>IF($Q$3="N.B.C.", IF(ISNUMBER($B$236), IF('Cost Inputs'!$L$86="Y", $E$88, IF('Cost Inputs'!$L$86="N", IF(ISNUMBER('Cost Inputs'!$M$86), $E$88,""),"")), ""),"")</f>
        <v/>
      </c>
      <c r="AB256" s="372" t="str">
        <f>IF($R$3="N.B.C.", IF(ISNUMBER($B$236), IF('Cost Inputs'!$L$86="Y", $E$88, IF('Cost Inputs'!$L$86="N", IF(ISNUMBER('Cost Inputs'!$M$86), $E$88,""),"")), ""),"")</f>
        <v/>
      </c>
      <c r="AC256" s="372" t="str">
        <f>IF($S$3="N.B.C.", IF(ISNUMBER($B$236), IF('Cost Inputs'!$L$86="Y", $E$88, IF('Cost Inputs'!$L$86="N", IF(ISNUMBER('Cost Inputs'!$M$86), $E$88,""),"")), ""),"")</f>
        <v/>
      </c>
      <c r="AD256" s="372" t="str">
        <f>IF($T$3="N.B.C.", IF(ISNUMBER($B$236), IF('Cost Inputs'!$L$86="Y", $E$88, IF('Cost Inputs'!$L$86="N", IF(ISNUMBER('Cost Inputs'!$M$86), $E$88,""),"")), ""),"")</f>
        <v/>
      </c>
      <c r="AE256" s="372" t="str">
        <f>IF($U$3="N.B.C.", IF(ISNUMBER($B$236), IF('Cost Inputs'!$L$86="Y", $E$88, IF('Cost Inputs'!$L$86="N", IF(ISNUMBER('Cost Inputs'!$M$86), $E$88,""),"")), ""),"")</f>
        <v/>
      </c>
      <c r="AF256" s="372" t="str">
        <f>IF($V$3="N.B.C.", IF(ISNUMBER($B$236), IF('Cost Inputs'!$L$86="Y", $E$88, IF('Cost Inputs'!$L$86="N", IF(ISNUMBER('Cost Inputs'!$M$86), $E$88,""),"")), ""),"")</f>
        <v/>
      </c>
      <c r="AG256" s="372" t="str">
        <f>IF($W$3="N.B.C.", IF(ISNUMBER($B$236), IF('Cost Inputs'!$L$86="Y", $E$88, IF('Cost Inputs'!$L$86="N", IF(ISNUMBER('Cost Inputs'!$M$86), $E$88,""),"")), ""),"")</f>
        <v/>
      </c>
      <c r="AH256" s="372" t="str">
        <f>IF($X$3="N.B.C.", IF(ISNUMBER($B$236), IF('Cost Inputs'!$L$86="Y", $E$88, IF('Cost Inputs'!$L$86="N", IF(ISNUMBER('Cost Inputs'!$M$86), $E$88,""),"")), ""),"")</f>
        <v/>
      </c>
      <c r="AI256" s="363"/>
    </row>
    <row r="257" spans="1:35" ht="14.45" customHeight="1" x14ac:dyDescent="0.25">
      <c r="A257" s="518" t="str">
        <f>Third_Stage</f>
        <v>Stage 1 Seedling Test Plots</v>
      </c>
      <c r="B257" s="503" t="str">
        <f>'Breeding Inputs'!B86</f>
        <v/>
      </c>
      <c r="C257" s="116" t="str">
        <f>IF(ISNUMBER(B257), _3_2_0, "")</f>
        <v/>
      </c>
      <c r="D257" s="92" t="str">
        <f>IF(AND(B257&lt;&gt;"", OR('Cost Inputs'!$H$67&lt;&gt;"", 'Cost Inputs'!$I$67&lt;&gt;"", 'Cost Inputs'!$J$67&lt;&gt;"")), 'Cost Inputs'!$G$67,"")</f>
        <v/>
      </c>
      <c r="E257" s="92" t="str">
        <f>IF(AND(C257&lt;&gt;"", 'Cost Inputs'!$H$67&lt;&gt;"", M$254&lt;&gt;"", M$254&gt;0), $E236-('Cost Inputs'!$H$67*M$254), IF(AND(C257&lt;&gt;"", 'Cost Inputs'!$H$67&lt;&gt;""), $E236, ""))</f>
        <v/>
      </c>
      <c r="F257" s="92" t="str">
        <f>IF(AND(C257&lt;&gt;"", 'Cost Inputs'!$I$67&lt;&gt;""), 'Cost Inputs'!$I$67, "")</f>
        <v/>
      </c>
      <c r="G257" s="92" t="str">
        <f t="shared" si="10"/>
        <v/>
      </c>
      <c r="H257" s="92" t="str">
        <f>IF(AND(C257&lt;&gt;"", 'Cost Inputs'!$J$67&lt;&gt;""), 'Cost Inputs'!$J$67, "")</f>
        <v/>
      </c>
      <c r="I257" s="92" t="str">
        <f>IF(AND($E257&lt;&gt;"", $H257&lt;&gt;""), $H257/$E257, "")</f>
        <v/>
      </c>
      <c r="J257" s="92" t="str">
        <f>IF(AND(C257&lt;&gt;"",('Cost Inputs'!$I$67+'Cost Inputs'!$J$67+'Cost Inputs'!$K$67)&gt;0), 'Cost Inputs'!$I$67+'Cost Inputs'!$J$67+'Cost Inputs'!$K$67, "")</f>
        <v/>
      </c>
      <c r="K257" s="92" t="str">
        <f>IF(AND(C257&lt;&gt;"", 'Cost Inputs'!$N$67&gt;0),'Cost Inputs'!$N$67,"")</f>
        <v/>
      </c>
      <c r="L257" s="92"/>
      <c r="M257" s="101"/>
      <c r="Z257" s="373" t="str">
        <f>IF($O$3="N.B.C.",
IF(ISNUMBER($B$257),
IF($C257&lt;&gt;"",
IF('Cost Inputs'!$L$67="Y",
IF(AND(ISNUMBER(P$56), P$56&gt;$E$60), $E257+($E$60*(($E257/$E$60)+$P$55)), $E257),
IF('Cost Inputs'!$L$67="N",
IF(AND(ISNUMBER('Cost Inputs'!$M$67), OR('Cost Inputs'!$M$67=1,'Cost Inputs'!$M$67=3, 'Cost Inputs'!$M$67=9)),
IF(AND(ISNUMBER(P$56), P$56&gt;$E$60), $E257+($E$60*(($E257/$E$60)+$P$55)), $E257), ""),"")), ""), ""), "")</f>
        <v/>
      </c>
      <c r="AA257" s="373" t="str">
        <f>IF($P$3="N.B.C.",
IF(ISNUMBER($B$257),
IF($C257&lt;&gt;"",
IF('Cost Inputs'!$L$67="Y",
IF(AND(ISNUMBER(Q$56), Q$56&gt;$E$60), $E257+($E$60*(($E257/$E$60)+$Q$55)), $E257),
IF('Cost Inputs'!$L$67="N",
IF(AND(ISNUMBER('Cost Inputs'!$M$67), OR('Cost Inputs'!$M$67=1,'Cost Inputs'!$M$67=2, 'Cost Inputs'!$M$67=5)),
IF(AND(ISNUMBER(Q$56), Q$56&gt;$E$60), $E257+($E$60*(($E257/$E$60)+$Q$55)), $E257), ""),"")), ""), ""), "")</f>
        <v/>
      </c>
      <c r="AB257" s="373" t="str">
        <f>IF($Q$3="N.B.C.",
IF(ISNUMBER($B$257),
IF($C257&lt;&gt;"",
IF('Cost Inputs'!$L$67="Y",
IF(AND(ISNUMBER(R$56), R$56&gt;$E$60), $E257+($E$60*(($E257/$E$60)+$R$55)), $E257),
IF('Cost Inputs'!$L$67="N",
IF(AND(ISNUMBER('Cost Inputs'!$M$67), OR('Cost Inputs'!$M$67=1)),
IF(AND(ISNUMBER(R$56), R$56&gt;$E$60), $E257+($E$60*(($E257/$E$60)+$R$55)), $E257), ""),"")), ""), ""), "")</f>
        <v/>
      </c>
      <c r="AC257" s="373" t="str">
        <f>IF($R$3="N.B.C.",
IF(ISNUMBER($B$257),
IF($C257&lt;&gt;"",
IF('Cost Inputs'!$L$67="Y",
IF(AND(ISNUMBER(S$56), S$56&gt;$E$60), $E257+($E$60*(($E257/$E$60)+$S$55)), $E257),
IF('Cost Inputs'!$L$67="N",
IF(AND(ISNUMBER('Cost Inputs'!$M$67), OR('Cost Inputs'!$M$67=1,'Cost Inputs'!$M$67=2,'Cost Inputs'!$M$67=3,'Cost Inputs'!$M$67=4,'Cost Inputs'!$M$67=6)),
IF(AND(ISNUMBER(S$56), S$56&gt;$E$60), $E257+($E$60*(($E257/$E$60)+$S$55)), $E257), ""),"")), ""), ""), "")</f>
        <v/>
      </c>
      <c r="AD257" s="373" t="str">
        <f>IF($S$3="N.B.C.",
IF(ISNUMBER($B$257),
IF($C257&lt;&gt;"",
IF('Cost Inputs'!$L$67="Y",
IF(AND(ISNUMBER(T$56), T$56&gt;$E$60), $E257+($E$60*(($E257/$E$60)+$T$55)), $E257),
IF('Cost Inputs'!$L$67="N",
IF(AND(ISNUMBER('Cost Inputs'!$M$67), OR('Cost Inputs'!$M$67=1)),
IF(AND(ISNUMBER(T$56), T$56&gt;$E$60), $E257+($E$60*(($E257/$E$60)+$T$55)), $E257), ""),"")), ""), ""), "")</f>
        <v/>
      </c>
      <c r="AE257" s="373" t="str">
        <f>IF($T$3="N.B.C.",
IF(ISNUMBER($B$257),
IF($C257&lt;&gt;"",
IF('Cost Inputs'!$L$67="Y",
IF(AND(ISNUMBER(U$56), U$56&gt;$E$60), $E257+($E$60*(($E257/$E$60)+$U$55)), $E257),
IF('Cost Inputs'!$L$67="N",
IF(AND(ISNUMBER('Cost Inputs'!$M$67), OR('Cost Inputs'!$M$67=1, 'Cost Inputs'!$M$67=2, 'Cost Inputs'!$M$67=7)),
IF(AND(ISNUMBER(U$56), U$56&gt;$E$60), $E257+($E$60*(($E257/$E$60)+$U$55)), $E257), ""),"")), ""), ""), "")</f>
        <v/>
      </c>
      <c r="AF257" s="373" t="str">
        <f>IF($U$3="N.B.C.",
IF(ISNUMBER($B$257),
IF($C257&lt;&gt;"",
IF('Cost Inputs'!$L$67="Y",
IF(AND(ISNUMBER(V$56), V$56&gt;$E$60), $E257+($E$60*(($E257/$E$60)+$V$55)), $E257),
IF('Cost Inputs'!$L$67="N",
IF(AND(ISNUMBER('Cost Inputs'!$M$67), OR('Cost Inputs'!$M$67=1, 'Cost Inputs'!$M$67=3, 'Cost Inputs'!$M$67=5)),
IF(AND(ISNUMBER(V$56), V$56&gt;$E$60), $E257+($E$60*(($E257/$E$60)+$V$55)), $E257), ""),"")), ""), ""), "")</f>
        <v/>
      </c>
      <c r="AG257" s="373" t="str">
        <f>IF($V$3="N.B.C.",
IF(ISNUMBER($B$257),
IF($C257&lt;&gt;"",
IF('Cost Inputs'!$L$67="Y",
IF(AND(ISNUMBER(W$56), W$56&gt;$E$60), $E257+($E$60*(($E257/$E$60)+$W$55)), $E257),
IF('Cost Inputs'!$L$67="N",
IF(AND(ISNUMBER('Cost Inputs'!$M$67), OR('Cost Inputs'!$M$67=1, 'Cost Inputs'!$M$67=2, 'Cost Inputs'!$M$67=4, 'Cost Inputs'!$M$67=8)),
IF(AND(ISNUMBER(W$56), W$56&gt;$E$60), $E257+($E$60*(($E257/$E$60)+$W$55)), $E257), ""),"")), ""), ""), "")</f>
        <v/>
      </c>
      <c r="AH257" s="373" t="str">
        <f>IF($W$3="N.B.C.",
IF(ISNUMBER($B$257),
IF($C257&lt;&gt;"",
IF('Cost Inputs'!$L$67="Y",
IF(AND(ISNUMBER(X$56), X$56&gt;$E$60), $E257+($E$60*(($E257/$E$60)+$X$55)), $E257),
IF('Cost Inputs'!$L$67="N",
IF(AND(ISNUMBER('Cost Inputs'!$M$67), OR('Cost Inputs'!$M$67=1)),
IF(AND(ISNUMBER(X$56), X$56&gt;$E$60), $E257+($E$60*(($E257/$E$60)+$X$55)), $E257), ""),"")), ""), ""), "")</f>
        <v/>
      </c>
      <c r="AI257" s="373" t="str">
        <f>IF($X$3="N.B.C.",
IF(ISNUMBER($B$257),
IF($C257&lt;&gt;"",
IF('Cost Inputs'!$L$67="Y",
IF(AND(ISNUMBER(Y$56), Y$56&gt;$E$60), $E257+($E$60*(($E257/$E$60)+$Y$55)), $E257),
IF('Cost Inputs'!$L$67="N",
IF(AND(ISNUMBER('Cost Inputs'!$M$67), OR('Cost Inputs'!$M$67=1, 'Cost Inputs'!$M$67=2, 'Cost Inputs'!$M$67=3, 'Cost Inputs'!$M$67=6, 'Cost Inputs'!$M$67=9)),
IF(AND(ISNUMBER(Y$56), Y$56&gt;$E$60), $E257+($E$60*(($E257/$E$60)+$Y$55)), $E257), ""),"")), ""), ""), "")</f>
        <v/>
      </c>
    </row>
    <row r="258" spans="1:35" x14ac:dyDescent="0.25">
      <c r="A258" s="518"/>
      <c r="B258" s="504"/>
      <c r="C258" s="104" t="str">
        <f>IF(AND(ISNUMBER(B257), OR('Cost Inputs'!$H$68&lt;&gt;"", 'Cost Inputs'!$I$68&lt;&gt;"", 'Cost Inputs'!$J$68&lt;&gt;"")), _3_2_1, "")</f>
        <v/>
      </c>
      <c r="D258" s="17" t="str">
        <f>IF(AND($C258&lt;&gt;"", 'Cost Inputs'!$G$68&lt;&gt;""), 'Cost Inputs'!$G$68, "")</f>
        <v/>
      </c>
      <c r="E258" s="17" t="str">
        <f>IF(AND(C258&lt;&gt;"", 'Cost Inputs'!$H$68&lt;&gt;"", M$254&lt;&gt;"", M$254&gt;0), $E237-('Cost Inputs'!$H$68*M$254), IF(AND(C258&lt;&gt;"", 'Cost Inputs'!$H$68&lt;&gt;""), $E237, ""))</f>
        <v/>
      </c>
      <c r="F258" s="17" t="str">
        <f>IF(AND(C258&lt;&gt;"", 'Cost Inputs'!$I$68&lt;&gt;""), 'Cost Inputs'!$I$68, "")</f>
        <v/>
      </c>
      <c r="G258" s="17" t="str">
        <f t="shared" si="10"/>
        <v/>
      </c>
      <c r="H258" s="17" t="str">
        <f>IF(AND(C258&lt;&gt;"", 'Cost Inputs'!$J$68&lt;&gt;""), 'Cost Inputs'!$J$68, "")</f>
        <v/>
      </c>
      <c r="I258" s="17" t="str">
        <f t="shared" ref="I258:I261" si="14">IF(AND($E258&lt;&gt;"", $H258&lt;&gt;""), $H258/$E258, "")</f>
        <v/>
      </c>
      <c r="J258" s="17" t="str">
        <f>IF(AND(C258&lt;&gt;"",('Cost Inputs'!$I$68+'Cost Inputs'!$J$68+'Cost Inputs'!$K$68)&gt;0), 'Cost Inputs'!$I$68+'Cost Inputs'!$J$68+'Cost Inputs'!$K$68, "")</f>
        <v/>
      </c>
      <c r="K258" s="17" t="str">
        <f>IF(AND(C258&lt;&gt;"", 'Cost Inputs'!$N$68&gt;0),'Cost Inputs'!$N$68,"")</f>
        <v/>
      </c>
      <c r="M258" s="106"/>
      <c r="Z258" s="364" t="str">
        <f>IF($O$3="N.B.C.",
IF(ISNUMBER($B$257),
IF($C258&lt;&gt;"",
IF('Cost Inputs'!$L$68="Y",
IF(ISNUMBER($P$55), $E258+($E$89*(($E258/$E$89)+$P$55)), $E258),
IF('Cost Inputs'!$L$68="N",
IF(AND(ISNUMBER('Cost Inputs'!$M$68), OR('Cost Inputs'!$M$68=1,'Cost Inputs'!$M$68=3,'Cost Inputs'!$M$68=9)),
IF(ISNUMBER($P$55), $E258+($E$89*(($E258/$E$89)+$P$55)), $E258),""),"")), ""),""),"")</f>
        <v/>
      </c>
      <c r="AA258" s="364" t="str">
        <f>IF($P$3="N.B.C.",
IF(ISNUMBER($B$257),
IF($C258&lt;&gt;"",
IF('Cost Inputs'!$L$68="Y",
IF(ISNUMBER($Q$55), $E258+($E$89*(($E258/$E$89)+$Q$55)), $E258),
IF('Cost Inputs'!$L$68="N",
IF(AND(ISNUMBER('Cost Inputs'!$M$68), OR('Cost Inputs'!$M$68=1,'Cost Inputs'!$M$68=2,'Cost Inputs'!$M$68=5)),
IF(ISNUMBER($Q$55), $E258+($E$89*(($E258/$E$89)+$Q$55)), $E258),""),"")), ""),""),"")</f>
        <v/>
      </c>
      <c r="AB258" s="364" t="str">
        <f>IF($Q$3="N.B.C.",
IF(ISNUMBER($B$257),
IF($C258&lt;&gt;"",
IF('Cost Inputs'!$L$68="Y",
IF(ISNUMBER($R$55), $E258+($E$89*(($E258/$E$89)+$R$55)), $E258),
IF('Cost Inputs'!$L$68="N",
IF(AND(ISNUMBER('Cost Inputs'!$M$68), OR('Cost Inputs'!$M$68=1)),
IF(ISNUMBER($R$55), $E258+($E$89*(($E258/$E$89)+$R$55)), $E258),""),"")), ""),""),"")</f>
        <v/>
      </c>
      <c r="AC258" s="364" t="str">
        <f>IF($R$3="N.B.C.",
IF(ISNUMBER($B$257),
IF($C258&lt;&gt;"",
IF('Cost Inputs'!$L$68="Y",
IF(ISNUMBER($S$55), $E258+($E$89*(($E258/$E$89)+$S$55)), $E258),
IF('Cost Inputs'!$L$68="N",
IF(AND(ISNUMBER('Cost Inputs'!$M$68), OR('Cost Inputs'!$M$68=1,'Cost Inputs'!$M$68=2,'Cost Inputs'!$M$68=3,'Cost Inputs'!$M$68=4,'Cost Inputs'!$M$68=6)),
IF(ISNUMBER($S$55), $E258+($E$89*(($E258/$E$89)+$S$55)), $E258),""),"")), ""),""),"")</f>
        <v/>
      </c>
      <c r="AD258" s="364" t="str">
        <f>IF($S$3="N.B.C.",
IF(ISNUMBER($B$257),
IF($C258&lt;&gt;"",
IF('Cost Inputs'!$L$68="Y",
IF(ISNUMBER($T$55), $E258+($E$89*(($E258/$E$89)+$T$55)), $E258),
IF('Cost Inputs'!$L$68="N",
IF(AND(ISNUMBER('Cost Inputs'!$M$68), OR('Cost Inputs'!$M$68=1)),
IF(ISNUMBER($T$55), $E258+($E$89*(($E258/$E$89)+$T$55)), $E258),""),"")), ""),""),"")</f>
        <v/>
      </c>
      <c r="AE258" s="364" t="str">
        <f>IF($T$3="N.B.C.",
IF(ISNUMBER($B$257),
IF($C258&lt;&gt;"",
IF('Cost Inputs'!$L$68="Y",
IF(ISNUMBER($U$55), $E258+($E$89*(($E258/$E$89)+$U$55)), $E258),
IF('Cost Inputs'!$L$68="N",
IF(AND(ISNUMBER('Cost Inputs'!$M$68), OR('Cost Inputs'!$M$68=1,'Cost Inputs'!$M$68=2,'Cost Inputs'!$M$68=7)),
IF(ISNUMBER($U$55), $E258+($E$89*(($E258/$E$89)+$U$55)), $E258),""),"")), ""),""),"")</f>
        <v/>
      </c>
      <c r="AF258" s="364" t="str">
        <f>IF($U$3="N.B.C.",
IF(ISNUMBER($B$257),
IF($C258&lt;&gt;"",
IF('Cost Inputs'!$L$68="Y",
IF(ISNUMBER($V$55), $E258+($E$89*(($E258/$E$89)+$V$55)), $E258),
IF('Cost Inputs'!$L$68="N",
IF(AND(ISNUMBER('Cost Inputs'!$M$68), OR('Cost Inputs'!$M$68=1,'Cost Inputs'!$M$68=3,'Cost Inputs'!$M$68=5)),
IF(ISNUMBER($V$55), $E258+($E$89*(($E258/$E$89)+$V$55)), $E258),""),"")), ""),""),"")</f>
        <v/>
      </c>
      <c r="AG258" s="364" t="str">
        <f>IF($V$3="N.B.C.",
IF(ISNUMBER($B$257),
IF($C258&lt;&gt;"",
IF('Cost Inputs'!$L$68="Y",
IF(ISNUMBER($W$55), $E258+($E$89*(($E258/$E$89)+$W$55)), $E258),
IF('Cost Inputs'!$L$68="N",
IF(AND(ISNUMBER('Cost Inputs'!$M$68), OR('Cost Inputs'!$M$68=1,'Cost Inputs'!$M$68=2,'Cost Inputs'!$M$68=4,'Cost Inputs'!$M$68=8)),
IF(ISNUMBER($W$55), $E258+($E$89*(($E258/$E$89)+$W$55)), $E258),""),"")), ""),""),"")</f>
        <v/>
      </c>
      <c r="AH258" s="364" t="str">
        <f>IF($W$3="N.B.C.",
IF(ISNUMBER($B$257),
IF($C258&lt;&gt;"",
IF('Cost Inputs'!$L$68="Y",
IF(ISNUMBER($X$55), $E258+($E$89*(($E258/$E$89)+$X$55)), $E258),
IF('Cost Inputs'!$L$68="N",
IF(AND(ISNUMBER('Cost Inputs'!$M$68), OR('Cost Inputs'!$M$68=1)),
IF(ISNUMBER($X$55), $E258+($E$89*(($E258/$E$89)+$X$55)), $E258),""),"")), ""),""),"")</f>
        <v/>
      </c>
      <c r="AI258" s="364" t="str">
        <f>IF($X$3="N.B.C.",
IF(ISNUMBER($B$257),
IF($C258&lt;&gt;"",
IF('Cost Inputs'!$L$68="Y",
IF(ISNUMBER($Y$55), $E258+($E$89*(($E258/$E$89)+$Y$55)), $E258),
IF('Cost Inputs'!$L$68="N",
IF(AND(ISNUMBER('Cost Inputs'!$M$68), OR('Cost Inputs'!$M$68=1,'Cost Inputs'!$M$68=2,'Cost Inputs'!$M$68=3,'Cost Inputs'!$M$68=6,'Cost Inputs'!$M$68=9)),
IF(ISNUMBER($Y$55), $E258+($E$89*(($E258/$E$89)+$Y$55)), $E258),""),"")), ""),""),"")</f>
        <v/>
      </c>
    </row>
    <row r="259" spans="1:35" x14ac:dyDescent="0.25">
      <c r="A259" s="518"/>
      <c r="B259" s="504"/>
      <c r="C259" s="107" t="str">
        <f>IF(AND(ISNUMBER(B257), OR('Cost Inputs'!$H$69&lt;&gt;"", 'Cost Inputs'!$I$69&lt;&gt;"", 'Cost Inputs'!$J$69&lt;&gt;"")), _3_2_2, "")</f>
        <v/>
      </c>
      <c r="D259" s="93" t="str">
        <f>IF(AND($C259&lt;&gt;"", 'Cost Inputs'!$G$69&lt;&gt;""), 'Cost Inputs'!$G$69, "")</f>
        <v/>
      </c>
      <c r="E259" s="93" t="str">
        <f>IF(AND(C259&lt;&gt;"", 'Cost Inputs'!$H$69&lt;&gt;"", M$254&lt;&gt;"", M$254&gt;0), $E238-('Cost Inputs'!$H$69*M$254), IF(AND(C259&lt;&gt;"", 'Cost Inputs'!$H$69&lt;&gt;""), $E238, ""))</f>
        <v/>
      </c>
      <c r="F259" s="93" t="str">
        <f>IF(AND(C259&lt;&gt;"", 'Cost Inputs'!$I$69&lt;&gt;""), 'Cost Inputs'!$I$69, "")</f>
        <v/>
      </c>
      <c r="G259" s="93" t="str">
        <f t="shared" si="10"/>
        <v/>
      </c>
      <c r="H259" s="93" t="str">
        <f>IF(AND(C259&lt;&gt;"", 'Cost Inputs'!$J$69&lt;&gt;""), 'Cost Inputs'!$J$69, "")</f>
        <v/>
      </c>
      <c r="I259" s="93" t="str">
        <f t="shared" si="14"/>
        <v/>
      </c>
      <c r="J259" s="93" t="str">
        <f>IF(AND(C259&lt;&gt;"",('Cost Inputs'!$I$69+'Cost Inputs'!$J$69+'Cost Inputs'!$K$69)&gt;0), 'Cost Inputs'!$I$69+'Cost Inputs'!$J$69+'Cost Inputs'!$K$69, "")</f>
        <v/>
      </c>
      <c r="K259" s="93" t="str">
        <f>IF(AND(C259&lt;&gt;"", 'Cost Inputs'!$N$69&gt;0),'Cost Inputs'!$N$69,"")</f>
        <v/>
      </c>
      <c r="L259" s="93"/>
      <c r="M259" s="109"/>
      <c r="Z259" s="372" t="str">
        <f>IF($O$3="N.B.C.",
IF(ISNUMBER($B$257),
IF($C259&lt;&gt;"",
IF('Cost Inputs'!$L$69="Y",
IF(ISNUMBER($P$55), $E259+($E$89*(($E259/$E$89)+$P$55)), $E259),
IF('Cost Inputs'!$L$69="N",
IF(AND(ISNUMBER('Cost Inputs'!$M$69), OR('Cost Inputs'!$M$69=1,'Cost Inputs'!$M$69=3,'Cost Inputs'!$M$69=9)),
IF(ISNUMBER($P$55), $E259+($E$89*(($E259/$E$89)+$P$55)), $E259),""),"")), ""),""),"")</f>
        <v/>
      </c>
      <c r="AA259" s="372" t="str">
        <f>IF($P$3="N.B.C.",
IF(ISNUMBER($B$257),
IF($C259&lt;&gt;"",
IF('Cost Inputs'!$L$69="Y",
IF(ISNUMBER($Q$55), $E259+($E$89*(($E259/$E$89)+$Q$55)), $E259),
IF('Cost Inputs'!$L$69="N",
IF(AND(ISNUMBER('Cost Inputs'!$M$69), OR('Cost Inputs'!$M$69=1,'Cost Inputs'!$M$69=2,'Cost Inputs'!$M$69=5)),
IF(ISNUMBER($Q$55), $E259+($E$89*(($E259/$E$89)+$Q$55)), $E259),""),"")), ""),""),"")</f>
        <v/>
      </c>
      <c r="AB259" s="372" t="str">
        <f>IF($Q$3="N.B.C.",
IF(ISNUMBER($B$257),
IF($C259&lt;&gt;"",
IF('Cost Inputs'!$L$69="Y",
IF(ISNUMBER($R$55), $E259+($E$89*(($E259/$E$89)+$R$55)), $E259),
IF('Cost Inputs'!$L$69="N",
IF(AND(ISNUMBER('Cost Inputs'!$M$69), OR('Cost Inputs'!$M$69=1)),
IF(ISNUMBER($R$55), $E259+($E$89*(($E259/$E$89)+$R$55)), $E259),""),"")), ""),""),"")</f>
        <v/>
      </c>
      <c r="AC259" s="372" t="str">
        <f>IF($R$3="N.B.C.",
IF(ISNUMBER($B$257),
IF($C259&lt;&gt;"",
IF('Cost Inputs'!$L$69="Y",
IF(ISNUMBER($S$55), $E259+($E$89*(($E259/$E$89)+$S$55)), $E259),
IF('Cost Inputs'!$L$69="N",
IF(AND(ISNUMBER('Cost Inputs'!$M$69), OR('Cost Inputs'!$M$69=1,'Cost Inputs'!$M$69=2,'Cost Inputs'!$M$69=3,'Cost Inputs'!$M$69=4,'Cost Inputs'!$M$69=6)),
IF(ISNUMBER($S$55), $E259+($E$89*(($E259/$E$89)+$S$55)), $E259),""),"")), ""),""),"")</f>
        <v/>
      </c>
      <c r="AD259" s="372" t="str">
        <f>IF($S$3="N.B.C.",
IF(ISNUMBER($B$257),
IF($C259&lt;&gt;"",
IF('Cost Inputs'!$L$69="Y",
IF(ISNUMBER($T$55), $E259+($E$89*(($E259/$E$89)+$T$55)), $E259),
IF('Cost Inputs'!$L$69="N",
IF(AND(ISNUMBER('Cost Inputs'!$M$69), OR('Cost Inputs'!$M$69=1)),
IF(ISNUMBER($T$55), $E259+($E$89*(($E259/$E$89)+$T$55)), $E259),""),"")), ""),""),"")</f>
        <v/>
      </c>
      <c r="AE259" s="372" t="str">
        <f>IF($T$3="N.B.C.",
IF(ISNUMBER($B$257),
IF($C259&lt;&gt;"",
IF('Cost Inputs'!$L$69="Y",
IF(ISNUMBER($U$55), $E259+($E$89*(($E259/$E$89)+$U$55)), $E259),
IF('Cost Inputs'!$L$69="N",
IF(AND(ISNUMBER('Cost Inputs'!$M$69), OR('Cost Inputs'!$M$69=1,'Cost Inputs'!$M$69=2,'Cost Inputs'!$M$69=7)),
IF(ISNUMBER($U$55), $E259+($E$89*(($E259/$E$89)+$U$55)), $E259),""),"")), ""),""),"")</f>
        <v/>
      </c>
      <c r="AF259" s="372" t="str">
        <f>IF($U$3="N.B.C.",
IF(ISNUMBER($B$257),
IF($C259&lt;&gt;"",
IF('Cost Inputs'!$L$69="Y",
IF(ISNUMBER($V$55), $E259+($E$89*(($E259/$E$89)+$V$55)), $E259),
IF('Cost Inputs'!$L$69="N",
IF(AND(ISNUMBER('Cost Inputs'!$M$69), OR('Cost Inputs'!$M$69=1,'Cost Inputs'!$M$69=3,'Cost Inputs'!$M$69=5)),
IF(ISNUMBER($V$55), $E259+($E$89*(($E259/$E$89)+$V$55)), $E259),""),"")), ""),""),"")</f>
        <v/>
      </c>
      <c r="AG259" s="372" t="str">
        <f>IF($V$3="N.B.C.",
IF(ISNUMBER($B$257),
IF($C259&lt;&gt;"",
IF('Cost Inputs'!$L$69="Y",
IF(ISNUMBER($W$55), $E259+($E$89*(($E259/$E$89)+$W$55)), $E259),
IF('Cost Inputs'!$L$69="N",
IF(AND(ISNUMBER('Cost Inputs'!$M$69), OR('Cost Inputs'!$M$69=1,'Cost Inputs'!$M$69=2,'Cost Inputs'!$M$69=4,'Cost Inputs'!$M$69=8)),
IF(ISNUMBER($W$55), $E259+($E$89*(($E259/$E$89)+$W$55)), $E259),""),"")), ""),""),"")</f>
        <v/>
      </c>
      <c r="AH259" s="372" t="str">
        <f>IF($W$3="N.B.C.",
IF(ISNUMBER($B$257),
IF($C259&lt;&gt;"",
IF('Cost Inputs'!$L$69="Y",
IF(ISNUMBER($X$55), $E259+($E$89*(($E259/$E$89)+$X$55)), $E259),
IF('Cost Inputs'!$L$69="N",
IF(AND(ISNUMBER('Cost Inputs'!$M$69), OR('Cost Inputs'!$M$69=1)),
IF(ISNUMBER($X$55), $E259+($E$89*(($E259/$E$89)+$X$55)), $E259),""),"")), ""),""),"")</f>
        <v/>
      </c>
      <c r="AI259" s="372" t="str">
        <f>IF($X$3="N.B.C.",
IF(ISNUMBER($B$257),
IF($C259&lt;&gt;"",
IF('Cost Inputs'!$L$69="Y",
IF(ISNUMBER($Y$55), $E259+($E$89*(($E259/$E$89)+$Y$55)), $E259),
IF('Cost Inputs'!$L$69="N",
IF(AND(ISNUMBER('Cost Inputs'!$M$69), OR('Cost Inputs'!$M$69=1,'Cost Inputs'!$M$69=2,'Cost Inputs'!$M$69=3,'Cost Inputs'!$M$69=6,'Cost Inputs'!$M$69=9)),
IF(ISNUMBER($Y$55), $E259+($E$89*(($E259/$E$89)+$Y$55)), $E259),""),"")), ""),""),"")</f>
        <v/>
      </c>
    </row>
    <row r="260" spans="1:35" x14ac:dyDescent="0.25">
      <c r="A260" s="518"/>
      <c r="B260" s="504"/>
      <c r="C260" s="104" t="str">
        <f>IF(AND( ISNUMBER(B257), OR('Cost Inputs'!$H$70&lt;&gt;"", 'Cost Inputs'!$I$70&lt;&gt;"", 'Cost Inputs'!$J$70&lt;&gt;"")), _3_2_3, "")</f>
        <v/>
      </c>
      <c r="D260" s="17" t="str">
        <f>IF(AND($C260&lt;&gt;"", 'Cost Inputs'!$G$70&lt;&gt;""), 'Cost Inputs'!$G$70, "")</f>
        <v/>
      </c>
      <c r="E260" s="17" t="str">
        <f>IF(AND(C260&lt;&gt;"", 'Cost Inputs'!$H$70&lt;&gt;"", M$254&lt;&gt;"", M$254&gt;0), $E239-('Cost Inputs'!$H$70*M$254), IF(AND(C260&lt;&gt;"", 'Cost Inputs'!$H$70&lt;&gt;""), $E239, ""))</f>
        <v/>
      </c>
      <c r="F260" s="17" t="str">
        <f>IF(AND(C260&lt;&gt;"", 'Cost Inputs'!$I$70&lt;&gt;""), 'Cost Inputs'!$I$70, "")</f>
        <v/>
      </c>
      <c r="G260" s="17" t="str">
        <f t="shared" si="10"/>
        <v/>
      </c>
      <c r="H260" s="17" t="str">
        <f>IF(AND(C260&lt;&gt;"", 'Cost Inputs'!$J$70&lt;&gt;""), 'Cost Inputs'!$J$70, "")</f>
        <v/>
      </c>
      <c r="I260" s="17" t="str">
        <f t="shared" si="14"/>
        <v/>
      </c>
      <c r="J260" s="17" t="str">
        <f>IF(AND(C260&lt;&gt;"",('Cost Inputs'!$I$70+'Cost Inputs'!$J$70+'Cost Inputs'!$K$70)&gt;0), 'Cost Inputs'!$I$70+'Cost Inputs'!$J$70+'Cost Inputs'!$K$70, "")</f>
        <v/>
      </c>
      <c r="K260" s="17" t="str">
        <f>IF(AND(C260&lt;&gt;"", 'Cost Inputs'!$N$70&gt;0),'Cost Inputs'!$N$70,"")</f>
        <v/>
      </c>
      <c r="M260" s="106"/>
      <c r="Z260" s="364" t="str">
        <f>IF($O$3="N.B.C.",
IF(ISNUMBER($B$257),
IF($C260&lt;&gt;"",
IF('Cost Inputs'!$L$70="Y",
IF(ISNUMBER($P$55), $E260+($E$89*(($E260/$E$89)+$P$55)), $E260),
IF('Cost Inputs'!$L$70="N",
IF(AND(ISNUMBER('Cost Inputs'!$M$70), OR('Cost Inputs'!$M$70=1,'Cost Inputs'!$M$70=3,'Cost Inputs'!$M$70=9)),
IF(ISNUMBER($P$55), $E260+($E$89*(($E260/$E$89)+$P$55)), $E260),""),"")), ""),""),"")</f>
        <v/>
      </c>
      <c r="AA260" s="364" t="str">
        <f>IF($P$3="N.B.C.",
IF(ISNUMBER($B$257),
IF($C260&lt;&gt;"",
IF('Cost Inputs'!$L$70="Y",
IF(ISNUMBER($Q$55), $E260+($E$89*(($E260/$E$89)+$Q$55)), $E260),
IF('Cost Inputs'!$L$70="N",
IF(AND(ISNUMBER('Cost Inputs'!$M$70), OR('Cost Inputs'!$M$70=1,'Cost Inputs'!$M$70=2,'Cost Inputs'!$M$70=5)),
IF(ISNUMBER($Q$55), $E260+($E$89*(($E260/$E$89)+$Q$55)), $E260),""),"")), ""),""),"")</f>
        <v/>
      </c>
      <c r="AB260" s="364" t="str">
        <f>IF($Q$3="N.B.C.",
IF(ISNUMBER($B$257),
IF($C260&lt;&gt;"",
IF('Cost Inputs'!$L$70="Y",
IF(ISNUMBER($R$55), $E260+($E$89*(($E260/$E$89)+$R$55)), $E260),
IF('Cost Inputs'!$L$70="N",
IF(AND(ISNUMBER('Cost Inputs'!$M$70), OR('Cost Inputs'!$M$70=1)),
IF(ISNUMBER($R$55), $E260+($E$89*(($E260/$E$89)+$R$55)), $E260),""),"")), ""),""),"")</f>
        <v/>
      </c>
      <c r="AC260" s="364" t="str">
        <f>IF($R$3="N.B.C.",
IF(ISNUMBER($B$257),
IF($C260&lt;&gt;"",
IF('Cost Inputs'!$L$70="Y",
IF(ISNUMBER($S$55), $E260+($E$89*(($E260/$E$89)+$S$55)), $E260),
IF('Cost Inputs'!$L$70="N",
IF(AND(ISNUMBER('Cost Inputs'!$M$70), OR('Cost Inputs'!$M$70=1,'Cost Inputs'!$M$70=2,'Cost Inputs'!$M$70=3,'Cost Inputs'!$M$70=4,'Cost Inputs'!$M$70=6)),
IF(ISNUMBER($S$55), $E260+($E$89*(($E260/$E$89)+$S$55)), $E260),""),"")), ""),""),"")</f>
        <v/>
      </c>
      <c r="AD260" s="364" t="str">
        <f>IF($S$3="N.B.C.",
IF(ISNUMBER($B$257),
IF($C260&lt;&gt;"",
IF('Cost Inputs'!$L$70="Y",
IF(ISNUMBER($T$55), $E260+($E$89*(($E260/$E$89)+$T$55)), $E260),
IF('Cost Inputs'!$L$70="N",
IF(AND(ISNUMBER('Cost Inputs'!$M$70), OR('Cost Inputs'!$M$70=1)),
IF(ISNUMBER($T$55), $E260+($E$89*(($E260/$E$89)+$T$55)), $E260),""),"")), ""),""),"")</f>
        <v/>
      </c>
      <c r="AE260" s="364" t="str">
        <f>IF($T$3="N.B.C.",
IF(ISNUMBER($B$257),
IF($C260&lt;&gt;"",
IF('Cost Inputs'!$L$70="Y",
IF(ISNUMBER($U$55), $E260+($E$89*(($E260/$E$89)+$U$55)), $E260),
IF('Cost Inputs'!$L$70="N",
IF(AND(ISNUMBER('Cost Inputs'!$M$70), OR('Cost Inputs'!$M$70=1,'Cost Inputs'!$M$70=2,'Cost Inputs'!$M$70=7)),
IF(ISNUMBER($U$55), $E260+($E$89*(($E260/$E$89)+$U$55)), $E260),""),"")), ""),""),"")</f>
        <v/>
      </c>
      <c r="AF260" s="364" t="str">
        <f>IF($U$3="N.B.C.",
IF(ISNUMBER($B$257),
IF($C260&lt;&gt;"",
IF('Cost Inputs'!$L$70="Y",
IF(ISNUMBER($V$55), $E260+($E$89*(($E260/$E$89)+$V$55)), $E260),
IF('Cost Inputs'!$L$70="N",
IF(AND(ISNUMBER('Cost Inputs'!$M$70), OR('Cost Inputs'!$M$70=1,'Cost Inputs'!$M$70=3,'Cost Inputs'!$M$70=5)),
IF(ISNUMBER($V$55), $E260+($E$89*(($E260/$E$89)+$V$55)), $E260),""),"")), ""),""),"")</f>
        <v/>
      </c>
      <c r="AG260" s="364" t="str">
        <f>IF($V$3="N.B.C.",
IF(ISNUMBER($B$257),
IF($C260&lt;&gt;"",
IF('Cost Inputs'!$L$70="Y",
IF(ISNUMBER($W$55), $E260+($E$89*(($E260/$E$89)+$W$55)), $E260),
IF('Cost Inputs'!$L$70="N",
IF(AND(ISNUMBER('Cost Inputs'!$M$70), OR('Cost Inputs'!$M$70=1,'Cost Inputs'!$M$70=2,'Cost Inputs'!$M$70=4,'Cost Inputs'!$M$70=8)),
IF(ISNUMBER($W$55), $E260+($E$89*(($E260/$E$89)+$W$55)), $E260),""),"")), ""),""),"")</f>
        <v/>
      </c>
      <c r="AH260" s="364" t="str">
        <f>IF($W$3="N.B.C.",
IF(ISNUMBER($B$257),
IF($C260&lt;&gt;"",
IF('Cost Inputs'!$L$70="Y",
IF(ISNUMBER($X$55), $E260+($E$89*(($E260/$E$89)+$X$55)), $E260),
IF('Cost Inputs'!$L$70="N",
IF(AND(ISNUMBER('Cost Inputs'!$M$70), OR('Cost Inputs'!$M$70=1)),
IF(ISNUMBER($X$55), $E260+($E$89*(($E260/$E$89)+$X$55)), $E260),""),"")), ""),""),"")</f>
        <v/>
      </c>
      <c r="AI260" s="364" t="str">
        <f>IF($X$3="N.B.C.",
IF(ISNUMBER($B$257),
IF($C260&lt;&gt;"",
IF('Cost Inputs'!$L$70="Y",
IF(ISNUMBER($Y$55), $E260+($E$89*(($E260/$E$89)+$Y$55)), $E260),
IF('Cost Inputs'!$L$70="N",
IF(AND(ISNUMBER('Cost Inputs'!$M$70), OR('Cost Inputs'!$M$70=1,'Cost Inputs'!$M$70=2,'Cost Inputs'!$M$70=3,'Cost Inputs'!$M$70=6,'Cost Inputs'!$M$70=9)),
IF(ISNUMBER($Y$55), $E260+($E$89*(($E260/$E$89)+$Y$55)), $E260),""),"")), ""),""),"")</f>
        <v/>
      </c>
    </row>
    <row r="261" spans="1:35" x14ac:dyDescent="0.25">
      <c r="A261" s="518"/>
      <c r="B261" s="504"/>
      <c r="C261" s="107" t="str">
        <f>IF(AND( ISNUMBER(B257), OR('Cost Inputs'!$H$71&lt;&gt;"", 'Cost Inputs'!$I$71&lt;&gt;"", 'Cost Inputs'!$J$71&lt;&gt;"")), _3_2_4, "")</f>
        <v/>
      </c>
      <c r="D261" s="93" t="str">
        <f>IF(AND($C261&lt;&gt;"", 'Cost Inputs'!$G$71&lt;&gt;""), 'Cost Inputs'!$G$71, "")</f>
        <v/>
      </c>
      <c r="E261" s="93" t="str">
        <f>IF(AND(C261&lt;&gt;"", 'Cost Inputs'!$H$71&lt;&gt;"", M$254&lt;&gt;"", M$254&gt;0), $E240-('Cost Inputs'!$H$71*M$254), IF(AND(C261&lt;&gt;"", 'Cost Inputs'!$H$71&lt;&gt;""), $E240, ""))</f>
        <v/>
      </c>
      <c r="F261" s="93" t="str">
        <f>IF(AND(C261&lt;&gt;"", 'Cost Inputs'!$I$71&lt;&gt;""), 'Cost Inputs'!$I$71, "")</f>
        <v/>
      </c>
      <c r="G261" s="93" t="str">
        <f t="shared" si="10"/>
        <v/>
      </c>
      <c r="H261" s="93" t="str">
        <f>IF(AND(C261&lt;&gt;"", 'Cost Inputs'!$J$71&lt;&gt;""), 'Cost Inputs'!$J$71, "")</f>
        <v/>
      </c>
      <c r="I261" s="93" t="str">
        <f t="shared" si="14"/>
        <v/>
      </c>
      <c r="J261" s="93" t="str">
        <f>IF(AND(C261&lt;&gt;"",('Cost Inputs'!$I$71+'Cost Inputs'!$J$71+'Cost Inputs'!$K$71)&gt;0), 'Cost Inputs'!$I$71+'Cost Inputs'!$J$71+'Cost Inputs'!$K$71, "")</f>
        <v/>
      </c>
      <c r="K261" s="93" t="str">
        <f>IF(AND(C261&lt;&gt;"", 'Cost Inputs'!$N$71&gt;0),'Cost Inputs'!$N$71,"")</f>
        <v/>
      </c>
      <c r="L261" s="93"/>
      <c r="M261" s="109"/>
      <c r="Z261" s="372" t="str">
        <f>IF($O$3="N.B.C.",
IF(ISNUMBER($B$257),
IF($C261&lt;&gt;"",
IF('Cost Inputs'!$L$71="Y",
IF(ISNUMBER($P$55), $E261+($E$89*(($E261/$E$89)+$P$55)), $E261),
IF('Cost Inputs'!$L$71="N",
IF(AND(ISNUMBER('Cost Inputs'!$M$71), OR('Cost Inputs'!$M$71=1,'Cost Inputs'!$M$71=3,'Cost Inputs'!$M$71=9)),
IF(ISNUMBER($P$55), $E261+($E$89*(($E261/$E$89)+$P$55)), $E261),""),"")), ""),""),"")</f>
        <v/>
      </c>
      <c r="AA261" s="372" t="str">
        <f>IF($P$3="N.B.C.",
IF(ISNUMBER($B$257),
IF($C261&lt;&gt;"",
IF('Cost Inputs'!$L$71="Y",
IF(ISNUMBER($Q$55), $E261+($E$89*(($E261/$E$89)+$Q$55)), $E261),
IF('Cost Inputs'!$L$71="N",
IF(AND(ISNUMBER('Cost Inputs'!$M$71), OR('Cost Inputs'!$M$71=1,'Cost Inputs'!$M$71=2,'Cost Inputs'!$M$71=5)),
IF(ISNUMBER($Q$55), $E261+($E$89*(($E261/$E$89)+$Q$55)), $E261),""),"")), ""),""),"")</f>
        <v/>
      </c>
      <c r="AB261" s="372" t="str">
        <f>IF($Q$3="N.B.C.",
IF(ISNUMBER($B$257),
IF($C261&lt;&gt;"",
IF('Cost Inputs'!$L$71="Y",
IF(ISNUMBER($R$55), $E261+($E$89*(($E261/$E$89)+$R$55)), $E261),
IF('Cost Inputs'!$L$71="N",
IF(AND(ISNUMBER('Cost Inputs'!$M$71), OR('Cost Inputs'!$M$71=1)),
IF(ISNUMBER($R$55), $E261+($E$89*(($E261/$E$89)+$R$55)), $E261),""),"")), ""),""),"")</f>
        <v/>
      </c>
      <c r="AC261" s="372" t="str">
        <f>IF($R$3="N.B.C.",
IF(ISNUMBER($B$257),
IF($C261&lt;&gt;"",
IF('Cost Inputs'!$L$71="Y",
IF(ISNUMBER($S$55), $E261+($E$89*(($E261/$E$89)+$S$55)), $E261),
IF('Cost Inputs'!$L$71="N",
IF(AND(ISNUMBER('Cost Inputs'!$M$71), OR('Cost Inputs'!$M$71=1,'Cost Inputs'!$M$71=2,'Cost Inputs'!$M$71=3,'Cost Inputs'!$M$71=4,'Cost Inputs'!$M$71=6)),
IF(ISNUMBER($S$55), $E261+($E$89*(($E261/$E$89)+$S$55)), $E261),""),"")), ""),""),"")</f>
        <v/>
      </c>
      <c r="AD261" s="372" t="str">
        <f>IF($S$3="N.B.C.",
IF(ISNUMBER($B$257),
IF($C261&lt;&gt;"",
IF('Cost Inputs'!$L$71="Y",
IF(ISNUMBER($T$55), $E261+($E$89*(($E261/$E$89)+$T$55)), $E261),
IF('Cost Inputs'!$L$71="N",
IF(AND(ISNUMBER('Cost Inputs'!$M$71), OR('Cost Inputs'!$M$71=1)),
IF(ISNUMBER($T$55), $E261+($E$89*(($E261/$E$89)+$T$55)), $E261),""),"")), ""),""),"")</f>
        <v/>
      </c>
      <c r="AE261" s="372" t="str">
        <f>IF($T$3="N.B.C.",
IF(ISNUMBER($B$257),
IF($C261&lt;&gt;"",
IF('Cost Inputs'!$L$71="Y",
IF(ISNUMBER($U$55), $E261+($E$89*(($E261/$E$89)+$U$55)), $E261),
IF('Cost Inputs'!$L$71="N",
IF(AND(ISNUMBER('Cost Inputs'!$M$71), OR('Cost Inputs'!$M$71=1,'Cost Inputs'!$M$71=2,'Cost Inputs'!$M$71=7)),
IF(ISNUMBER($U$55), $E261+($E$89*(($E261/$E$89)+$U$55)), $E261),""),"")), ""),""),"")</f>
        <v/>
      </c>
      <c r="AF261" s="372" t="str">
        <f>IF($U$3="N.B.C.",
IF(ISNUMBER($B$257),
IF($C261&lt;&gt;"",
IF('Cost Inputs'!$L$71="Y",
IF(ISNUMBER($V$55), $E261+($E$89*(($E261/$E$89)+$V$55)), $E261),
IF('Cost Inputs'!$L$71="N",
IF(AND(ISNUMBER('Cost Inputs'!$M$71), OR('Cost Inputs'!$M$71=1,'Cost Inputs'!$M$71=3,'Cost Inputs'!$M$71=5)),
IF(ISNUMBER($V$55), $E261+($E$89*(($E261/$E$89)+$V$55)), $E261),""),"")), ""),""),"")</f>
        <v/>
      </c>
      <c r="AG261" s="372" t="str">
        <f>IF($V$3="N.B.C.",
IF(ISNUMBER($B$257),
IF($C261&lt;&gt;"",
IF('Cost Inputs'!$L$71="Y",
IF(ISNUMBER($W$55), $E261+($E$89*(($E261/$E$89)+$W$55)), $E261),
IF('Cost Inputs'!$L$71="N",
IF(AND(ISNUMBER('Cost Inputs'!$M$71), OR('Cost Inputs'!$M$71=1,'Cost Inputs'!$M$71=2,'Cost Inputs'!$M$71=4,'Cost Inputs'!$M$71=8)),
IF(ISNUMBER($W$55), $E261+($E$89*(($E261/$E$89)+$W$55)), $E261),""),"")), ""),""),"")</f>
        <v/>
      </c>
      <c r="AH261" s="372" t="str">
        <f>IF($W$3="N.B.C.",
IF(ISNUMBER($B$257),
IF($C261&lt;&gt;"",
IF('Cost Inputs'!$L$71="Y",
IF(ISNUMBER($X$55), $E261+($E$89*(($E261/$E$89)+$X$55)), $E261),
IF('Cost Inputs'!$L$71="N",
IF(AND(ISNUMBER('Cost Inputs'!$M$71), OR('Cost Inputs'!$M$71=1)),
IF(ISNUMBER($X$55), $E261+($E$89*(($E261/$E$89)+$X$55)), $E261),""),"")), ""),""),"")</f>
        <v/>
      </c>
      <c r="AI261" s="372" t="str">
        <f>IF($X$3="N.B.C.",
IF(ISNUMBER($B$257),
IF($C261&lt;&gt;"",
IF('Cost Inputs'!$L$71="Y",
IF(ISNUMBER($Y$55), $E261+($E$89*(($E261/$E$89)+$Y$55)), $E261),
IF('Cost Inputs'!$L$71="N",
IF(AND(ISNUMBER('Cost Inputs'!$M$71), OR('Cost Inputs'!$M$71=1,'Cost Inputs'!$M$71=2,'Cost Inputs'!$M$71=3,'Cost Inputs'!$M$71=6,'Cost Inputs'!$M$71=9)),
IF(ISNUMBER($Y$55), $E261+($E$89*(($E261/$E$89)+$Y$55)), $E261),""),"")), ""),""),"")</f>
        <v/>
      </c>
    </row>
    <row r="262" spans="1:35" x14ac:dyDescent="0.25">
      <c r="A262" s="518"/>
      <c r="B262" s="504"/>
      <c r="C262" s="110" t="str">
        <f>IF(AND(B257&lt;&gt;"", ISNUMBER(Stage1EvaluationBegins)), IF((INDEX(ProgramYearStage1,MATCH(Stage1EvaluationBegins,Years_in_Stage1,0)))=B257, _3_3_0, IF(AND(B257&lt;&gt;"", C241&lt;&gt;""), _3_3_0, IF(AND(B257&lt;&gt;"", OR(Stage1EvaluationBegins=0, Stage1EvaluationBegins="")),"", ""))),"")</f>
        <v/>
      </c>
      <c r="D262" s="94" t="str">
        <f>IF(AND(B257&lt;&gt;"", OR('Cost Inputs'!$H$72&lt;&gt;"", 'Cost Inputs'!$I$72&lt;&gt;"", 'Cost Inputs'!$J$72&lt;&gt;"")), 'Cost Inputs'!$G$72,"")</f>
        <v/>
      </c>
      <c r="E262" s="94" t="str">
        <f>IF(AND(C262&lt;&gt;"", 'Cost Inputs'!$H$72&lt;&gt;""), 'Cost Inputs'!$H$72, "")</f>
        <v/>
      </c>
      <c r="F262" s="94" t="str">
        <f>IF(AND(C262&lt;&gt;"", 'Cost Inputs'!$I$72&lt;&gt;""), 'Cost Inputs'!$I$72, "")</f>
        <v/>
      </c>
      <c r="G262" s="94" t="str">
        <f t="shared" si="10"/>
        <v/>
      </c>
      <c r="H262" s="94" t="str">
        <f>IF(AND(C262&lt;&gt;"", 'Cost Inputs'!$J$72&lt;&gt;""), 'Cost Inputs'!$J$72, "")</f>
        <v/>
      </c>
      <c r="I262" s="94" t="str">
        <f>IF(AND($E262&lt;&gt;"", $H262&lt;&gt;""), $H262/$E262, "")</f>
        <v/>
      </c>
      <c r="J262" s="94" t="str">
        <f>IF(AND(C262&lt;&gt;"",('Cost Inputs'!$I$72+'Cost Inputs'!$J$72+'Cost Inputs'!$K$72)&gt;0), 'Cost Inputs'!$I$72+'Cost Inputs'!$J$72+'Cost Inputs'!$K$72, "")</f>
        <v/>
      </c>
      <c r="K262" s="94" t="str">
        <f>IF(AND(C262&lt;&gt;"", 'Cost Inputs'!$N$72&gt;0),'Cost Inputs'!$N$72,"")</f>
        <v/>
      </c>
      <c r="L262" s="130" t="str">
        <f>IF(AND($B257&lt;&gt;"", ISNUMBER(Stage1EvaluationBegins)), IF((INDEX(ProgramYearStage1,MATCH(Stage1EvaluationBegins,Years_in_Stage1,0)))=$B257, INDEX(Stage1Evaluation,MATCH(Stage1EvaluationBegins,Years_in_Stage1,0)), IF(AND($B257&lt;&gt;"", $C241&lt;&gt;""), INDEX(Stage1Evaluation,MATCH($B257,ProgramYearStage1,0)), IF(AND(B257&lt;&gt;"", OR(Stage1EvaluationBegins=0, Stage1EvaluationBegins="")),"", ""))),"")</f>
        <v/>
      </c>
      <c r="M262" s="103"/>
      <c r="Z262" s="373" t="str">
        <f>IF($O$3="N.B.C.",
IF(ISNUMBER($B$257),
IF($C262&lt;&gt;"",
IF('Cost Inputs'!$L$72="Y",
IF(AND(ISNUMBER(P$56), P$56&gt;$E$60), $E262+($E$60*(($E262/$E$60)+$P$55)), $E262),
IF('Cost Inputs'!$L$72="N",
IF(AND(ISNUMBER('Cost Inputs'!$M$72), OR('Cost Inputs'!$M$72=1,'Cost Inputs'!$M$72=3, 'Cost Inputs'!$M$72=9)),
IF(AND(ISNUMBER(P$56), P$56&gt;$E$60), $E262+($E$60*(($E262/$E$60)+$P$55)), $E262), ""),"")), ""), ""), "")</f>
        <v/>
      </c>
      <c r="AA262" s="373" t="str">
        <f>IF($P$3="N.B.C.",
IF(ISNUMBER($B$257),
IF($C262&lt;&gt;"",
IF('Cost Inputs'!$L$72="Y",
IF(AND(ISNUMBER(Q$56), Q$56&gt;$E$60), $E262+($E$60*(($E262/$E$60)+$Q$55)), $E262),
IF('Cost Inputs'!$L$72="N",
IF(AND(ISNUMBER('Cost Inputs'!$M$72), OR('Cost Inputs'!$M$72=1,'Cost Inputs'!$M$72=2, 'Cost Inputs'!$M$72=5)),
IF(AND(ISNUMBER(Q$56), Q$56&gt;$E$60), $E262+($E$60*(($E262/$E$60)+$Q$55)), $E262), ""),"")), ""), ""), "")</f>
        <v/>
      </c>
      <c r="AB262" s="373" t="str">
        <f>IF($Q$3="N.B.C.",
IF(ISNUMBER($B$257),
IF($C262&lt;&gt;"",
IF('Cost Inputs'!$L$72="Y",
IF(AND(ISNUMBER(R$56), R$56&gt;$E$60), $E262+($E$60*(($E262/$E$60)+$R$55)), $E262),
IF('Cost Inputs'!$L$72="N",
IF(AND(ISNUMBER('Cost Inputs'!$M$72), OR('Cost Inputs'!$M$72=1)),
IF(AND(ISNUMBER(R$56), R$56&gt;$E$60), $E262+($E$60*(($E262/$E$60)+$R$55)), $E262), ""),"")), ""), ""), "")</f>
        <v/>
      </c>
      <c r="AC262" s="373" t="str">
        <f>IF($R$3="N.B.C.",
IF(ISNUMBER($B$257),
IF($C262&lt;&gt;"",
IF('Cost Inputs'!$L$72="Y",
IF(AND(ISNUMBER(S$56), S$56&gt;$E$60), $E262+($E$60*(($E262/$E$60)+$S$55)), $E262),
IF('Cost Inputs'!$L$72="N",
IF(AND(ISNUMBER('Cost Inputs'!$M$72), OR('Cost Inputs'!$M$72=1,'Cost Inputs'!$M$72=2,'Cost Inputs'!$M$72=3,'Cost Inputs'!$M$72=4,'Cost Inputs'!$M$72=6)),
IF(AND(ISNUMBER(S$56), S$56&gt;$E$60), $E262+($E$60*(($E262/$E$60)+$S$55)), $E262), ""),"")), ""), ""), "")</f>
        <v/>
      </c>
      <c r="AD262" s="373" t="str">
        <f>IF($S$3="N.B.C.",
IF(ISNUMBER($B$257),
IF($C262&lt;&gt;"",
IF('Cost Inputs'!$L$72="Y",
IF(AND(ISNUMBER(T$56), T$56&gt;$E$60), $E262+($E$60*(($E262/$E$60)+$T$55)), $E262),
IF('Cost Inputs'!$L$72="N",
IF(AND(ISNUMBER('Cost Inputs'!$M$72), OR('Cost Inputs'!$M$72=1)),
IF(AND(ISNUMBER(T$56), T$56&gt;$E$60), $E262+($E$60*(($E262/$E$60)+$T$55)), $E262), ""),"")), ""), ""), "")</f>
        <v/>
      </c>
      <c r="AE262" s="373" t="str">
        <f>IF($T$3="N.B.C.",
IF(ISNUMBER($B$257),
IF($C262&lt;&gt;"",
IF('Cost Inputs'!$L$72="Y",
IF(AND(ISNUMBER(U$56), U$56&gt;$E$60), $E262+($E$60*(($E262/$E$60)+$U$55)), $E262),
IF('Cost Inputs'!$L$72="N",
IF(AND(ISNUMBER('Cost Inputs'!$M$72), OR('Cost Inputs'!$M$72=1,'Cost Inputs'!$M$72=2,'Cost Inputs'!$M$72=7)),
IF(AND(ISNUMBER(U$56), U$56&gt;$E$60), $E262+($E$60*(($E262/$E$60)+$U$55)), $E262), ""),"")), ""), ""), "")</f>
        <v/>
      </c>
      <c r="AF262" s="373" t="str">
        <f>IF($U$3="N.B.C.",
IF(ISNUMBER($B$257),
IF($C262&lt;&gt;"",
IF('Cost Inputs'!$L$72="Y",
IF(AND(ISNUMBER(V$56), V$56&gt;$E$60), $E262+($E$60*(($E262/$E$60)+$V$55)), $E262),
IF('Cost Inputs'!$L$72="N",
IF(AND(ISNUMBER('Cost Inputs'!$M$72), OR('Cost Inputs'!$M$72=1,'Cost Inputs'!$M$72=3,'Cost Inputs'!$M$72=5)),
IF(AND(ISNUMBER(V$56), V$56&gt;$E$60), $E262+($E$60*(($E262/$E$60)+$V$55)), $E262), ""),"")), ""), ""), "")</f>
        <v/>
      </c>
      <c r="AG262" s="373" t="str">
        <f>IF($V$3="N.B.C.",
IF(ISNUMBER($B$257),
IF($C262&lt;&gt;"",
IF('Cost Inputs'!$L$72="Y",
IF(AND(ISNUMBER(W$56), W$56&gt;$E$60), $E262+($E$60*(($E262/$E$60)+$W$55)), $E262),
IF('Cost Inputs'!$L$72="N",
IF(AND(ISNUMBER('Cost Inputs'!$M$72), OR('Cost Inputs'!$M$72=1,'Cost Inputs'!$M$72=2,'Cost Inputs'!$M$72=4,'Cost Inputs'!$M$72=8)),
IF(AND(ISNUMBER(W$56), W$56&gt;$E$60), $E262+($E$60*(($E262/$E$60)+$W$55)), $E262), ""),"")), ""), ""), "")</f>
        <v/>
      </c>
      <c r="AH262" s="373" t="str">
        <f>IF($W$3="N.B.C.",
IF(ISNUMBER($B$257),
IF($C262&lt;&gt;"",
IF('Cost Inputs'!$L$72="Y",
IF(AND(ISNUMBER(X$56), X$56&gt;$E$60), $E262+($E$60*(($E262/$E$60)+$X$55)), $E262),
IF('Cost Inputs'!$L$72="N",
IF(AND(ISNUMBER('Cost Inputs'!$M$72), OR('Cost Inputs'!$M$72=1)),
IF(AND(ISNUMBER(X$56), X$56&gt;$E$60), $E262+($E$60*(($E262/$E$60)+$X$55)), $E262), ""),"")), ""), ""), "")</f>
        <v/>
      </c>
      <c r="AI262" s="373" t="str">
        <f>IF($X$3="N.B.C.",
IF(ISNUMBER($B$257),
IF($C262&lt;&gt;"",
IF('Cost Inputs'!$L$72="Y",
IF(AND(ISNUMBER(Y$56), Y$56&gt;$E$60), $E262+($E$60*(($E262/$E$60)+$Y$55)), $E262),
IF('Cost Inputs'!$L$72="N",
IF(AND(ISNUMBER('Cost Inputs'!$M$72), OR('Cost Inputs'!$M$72=1,'Cost Inputs'!$M$72=2,'Cost Inputs'!$M$72=3,'Cost Inputs'!$M$72=6,'Cost Inputs'!$M$72=9)),
IF(AND(ISNUMBER(Y$56), Y$56&gt;$E$60), $E262+($E$60*(($E262/$E$60)+$Y$55)), $E262), ""),"")), ""), ""), "")</f>
        <v/>
      </c>
    </row>
    <row r="263" spans="1:35" x14ac:dyDescent="0.25">
      <c r="A263" s="518"/>
      <c r="B263" s="504"/>
      <c r="C263" s="104" t="str">
        <f>IF(AND(ISNUMBER(B257), C262&lt;&gt;"", OR('Cost Inputs'!$H$73&lt;&gt;"", 'Cost Inputs'!$I$73&lt;&gt;"", 'Cost Inputs'!$J$73&lt;&gt;"")), _3_3_1, "")</f>
        <v/>
      </c>
      <c r="D263" s="17" t="str">
        <f>IF(AND(C263&lt;&gt;"", 'Cost Inputs'!$G$73&lt;&gt;""), 'Cost Inputs'!$G$73, "")</f>
        <v/>
      </c>
      <c r="E263" s="17" t="str">
        <f>IF(AND(C263&lt;&gt;"", 'Cost Inputs'!$H$73&lt;&gt;""), 'Cost Inputs'!$H$73, "")</f>
        <v/>
      </c>
      <c r="F263" s="17" t="str">
        <f>IF(AND(C263&lt;&gt;"", 'Cost Inputs'!$I$73&lt;&gt;""), 'Cost Inputs'!$I$73, "")</f>
        <v/>
      </c>
      <c r="G263" s="17" t="str">
        <f t="shared" si="10"/>
        <v/>
      </c>
      <c r="H263" s="17" t="str">
        <f>IF(AND(C263&lt;&gt;"", 'Cost Inputs'!$J$73&lt;&gt;""), 'Cost Inputs'!$J$73, "")</f>
        <v/>
      </c>
      <c r="I263" s="17" t="str">
        <f t="shared" ref="I263:I277" si="15">IF(AND($E263&lt;&gt;"", $H263&lt;&gt;""), $H263/$E263, "")</f>
        <v/>
      </c>
      <c r="J263" s="17" t="str">
        <f>IF(AND(C263&lt;&gt;"",('Cost Inputs'!$I$73+'Cost Inputs'!$J$73+'Cost Inputs'!$K$73)&gt;0), 'Cost Inputs'!$I$73+'Cost Inputs'!$J$73+'Cost Inputs'!$K$73, "")</f>
        <v/>
      </c>
      <c r="K263" s="17" t="str">
        <f>IF(AND(C263&lt;&gt;"", 'Cost Inputs'!$N$73&gt;0),'Cost Inputs'!$N$73,"")</f>
        <v/>
      </c>
      <c r="M263" s="106"/>
      <c r="Z263" s="364" t="str">
        <f>IF($O$3="N.B.C.",
IF(ISNUMBER($B$257),
IF($C263&lt;&gt;"",
IF('Cost Inputs'!$L$73="Y",
IF(ISNUMBER($P$55), $E263+($E$73*(($E263/$E$73)+$P$55)), $E263),
IF('Cost Inputs'!$L$73="N",
IF(AND(ISNUMBER('Cost Inputs'!$M$73), OR('Cost Inputs'!$M$73=1,'Cost Inputs'!$M$73=3,'Cost Inputs'!$M$73=9)),
IF(ISNUMBER($P$55), $E263+($E$73*(($E263/$E$73)+$P$55)), $E263),""),"")), ""),""),"")</f>
        <v/>
      </c>
      <c r="AA263" s="364" t="str">
        <f>IF($P$3="N.B.C.",
IF(ISNUMBER($B$257),
IF($C263&lt;&gt;"",
IF('Cost Inputs'!$L$73="Y",
IF(ISNUMBER($Q$55), $E263+($E$73*(($E263/$E$73)+$Q$55)), $E263),
IF('Cost Inputs'!$L$73="N",
IF(AND(ISNUMBER('Cost Inputs'!$M$73), OR('Cost Inputs'!$M$73=1,'Cost Inputs'!$M$73=2,'Cost Inputs'!$M$73=5)),
IF(ISNUMBER($Q$55), $E263+($E$73*(($E263/$E$73)+$Q$55)), $E263),""),"")), ""),""),"")</f>
        <v/>
      </c>
      <c r="AB263" s="364" t="str">
        <f>IF($Q$3="N.B.C.",
IF(ISNUMBER($B$257),
IF($C263&lt;&gt;"",
IF('Cost Inputs'!$L$73="Y",
IF(ISNUMBER($R$55), $E263+($E$73*(($E263/$E$73)+$R$55)), $E263),
IF('Cost Inputs'!$L$73="N",
IF(AND(ISNUMBER('Cost Inputs'!$M$73), OR('Cost Inputs'!$M$73=1)),
IF(ISNUMBER($R$55), $E263+($E$73*(($E263/$E$73)+$R$55)), $E263),""),"")), ""),""),"")</f>
        <v/>
      </c>
      <c r="AC263" s="364" t="str">
        <f>IF($R$3="N.B.C.",
IF(ISNUMBER($B$257),
IF($C263&lt;&gt;"",
IF('Cost Inputs'!$L$73="Y",
IF(ISNUMBER($S$55), $E263+($E$73*(($E263/$E$73)+$S$55)), $E263),
IF('Cost Inputs'!$L$73="N",
IF(AND(ISNUMBER('Cost Inputs'!$M$73), OR('Cost Inputs'!$M$73=1,'Cost Inputs'!$M$73=2,'Cost Inputs'!$M$73=3,'Cost Inputs'!$M$73=4,'Cost Inputs'!$M$73=6)),
IF(ISNUMBER($S$55), $E263+($E$73*(($E263/$E$73)+$S$55)), $E263),""),"")), ""),""),"")</f>
        <v/>
      </c>
      <c r="AD263" s="364" t="str">
        <f>IF($S$3="N.B.C.",
IF(ISNUMBER($B$257),
IF($C263&lt;&gt;"",
IF('Cost Inputs'!$L$73="Y",
IF(ISNUMBER($T$55), $E263+($E$73*(($E263/$E$73)+$T$55)), $E263),
IF('Cost Inputs'!$L$73="N",
IF(AND(ISNUMBER('Cost Inputs'!$M$73), OR('Cost Inputs'!$M$73=1)),
IF(ISNUMBER($T$55), $E263+($E$73*(($E263/$E$73)+$T$55)), $E263),""),"")), ""),""),"")</f>
        <v/>
      </c>
      <c r="AE263" s="364" t="str">
        <f>IF($T$3="N.B.C.",
IF(ISNUMBER($B$257),
IF($C263&lt;&gt;"",
IF('Cost Inputs'!$L$73="Y",
IF(ISNUMBER($U$55), $E263+($E$73*(($E263/$E$73)+$U$55)), $E263),
IF('Cost Inputs'!$L$73="N",
IF(AND(ISNUMBER('Cost Inputs'!$M$73), OR('Cost Inputs'!$M$73=1,'Cost Inputs'!$M$73=2,'Cost Inputs'!$M$73=7)),
IF(ISNUMBER($U$55), $E263+($E$73*(($E263/$E$73)+$U$55)), $E263),""),"")), ""),""),"")</f>
        <v/>
      </c>
      <c r="AF263" s="364" t="str">
        <f>IF($U$3="N.B.C.",
IF(ISNUMBER($B$257),
IF($C263&lt;&gt;"",
IF('Cost Inputs'!$L$73="Y",
IF(ISNUMBER($V$55), $E263+($E$73*(($E263/$E$73)+$V$55)), $E263),
IF('Cost Inputs'!$L$73="N",
IF(AND(ISNUMBER('Cost Inputs'!$M$73), OR('Cost Inputs'!$M$73=1,'Cost Inputs'!$M$73=3,'Cost Inputs'!$M$73=5)),
IF(ISNUMBER($V$55), $E263+($E$73*(($E263/$E$73)+$V$55)), $E263),""),"")), ""),""),"")</f>
        <v/>
      </c>
      <c r="AG263" s="364" t="str">
        <f>IF($V$3="N.B.C.",
IF(ISNUMBER($B$257),
IF($C263&lt;&gt;"",
IF('Cost Inputs'!$L$73="Y",
IF(ISNUMBER($W$55), $E263+($E$73*(($E263/$E$73)+$W$55)), $E263),
IF('Cost Inputs'!$L$73="N",
IF(AND(ISNUMBER('Cost Inputs'!$M$73), OR('Cost Inputs'!$M$73=1,'Cost Inputs'!$M$73=2,'Cost Inputs'!$M$73=4,'Cost Inputs'!$M$73=8)),
IF(ISNUMBER($W$55), $E263+($E$73*(($E263/$E$73)+$W$55)), $E263),""),"")), ""),""),"")</f>
        <v/>
      </c>
      <c r="AH263" s="364" t="str">
        <f>IF($W$3="N.B.C.",
IF(ISNUMBER($B$257),
IF($C263&lt;&gt;"",
IF('Cost Inputs'!$L$73="Y",
IF(ISNUMBER($X$55), $E263+($E$73*(($E263/$E$73)+$X$55)), $E263),
IF('Cost Inputs'!$L$73="N",
IF(AND(ISNUMBER('Cost Inputs'!$M$73), OR('Cost Inputs'!$M$73=1)),
IF(ISNUMBER($X$55), $E263+($E$73*(($E263/$E$73)+$X$55)), $E263),""),"")), ""),""),"")</f>
        <v/>
      </c>
      <c r="AI263" s="364" t="str">
        <f>IF($X$3="N.B.C.",
IF(ISNUMBER($B$257),
IF($C263&lt;&gt;"",
IF('Cost Inputs'!$L$73="Y",
IF(ISNUMBER($Y$55), $E263+($E$73*(($E263/$E$73)+$Y$55)), $E263),
IF('Cost Inputs'!$L$73="N",
IF(AND(ISNUMBER('Cost Inputs'!$M$73), OR('Cost Inputs'!$M$73=1,'Cost Inputs'!$M$73=2,'Cost Inputs'!$M$73=3,'Cost Inputs'!$M$73=6,'Cost Inputs'!$M$73=9)),
IF(ISNUMBER($Y$55), $E263+($E$73*(($E263/$E$73)+$Y$55)), $E263),""),"")), ""),""),"")</f>
        <v/>
      </c>
    </row>
    <row r="264" spans="1:35" x14ac:dyDescent="0.25">
      <c r="A264" s="518"/>
      <c r="B264" s="504"/>
      <c r="C264" s="107" t="str">
        <f>IF(AND(ISNUMBER(B257), C262&lt;&gt;"", OR('Cost Inputs'!$H$74&lt;&gt;"", 'Cost Inputs'!$I$74&lt;&gt;"", 'Cost Inputs'!$J$74&lt;&gt;"")), _3_3_2, "")</f>
        <v/>
      </c>
      <c r="D264" s="93" t="str">
        <f>IF(AND(C264&lt;&gt;"", 'Cost Inputs'!$G$74&lt;&gt;""), 'Cost Inputs'!$G$74, "")</f>
        <v/>
      </c>
      <c r="E264" s="93" t="str">
        <f>IF(AND(C264&lt;&gt;"", 'Cost Inputs'!$H$74&lt;&gt;""), 'Cost Inputs'!$H$74, "")</f>
        <v/>
      </c>
      <c r="F264" s="93" t="str">
        <f>IF(AND(C264&lt;&gt;"", 'Cost Inputs'!$I$74&lt;&gt;""), 'Cost Inputs'!$I$74, "")</f>
        <v/>
      </c>
      <c r="G264" s="93" t="str">
        <f t="shared" si="10"/>
        <v/>
      </c>
      <c r="H264" s="93" t="str">
        <f>IF(AND(C264&lt;&gt;"", 'Cost Inputs'!$J$74&lt;&gt;""), 'Cost Inputs'!$J$74, "")</f>
        <v/>
      </c>
      <c r="I264" s="93" t="str">
        <f t="shared" si="15"/>
        <v/>
      </c>
      <c r="J264" s="93" t="str">
        <f>IF(AND(C264&lt;&gt;"",('Cost Inputs'!$I$74+'Cost Inputs'!$J$74+'Cost Inputs'!$K$74)&gt;0), 'Cost Inputs'!$I$74+'Cost Inputs'!$J$74+'Cost Inputs'!$K$74, "")</f>
        <v/>
      </c>
      <c r="K264" s="93" t="str">
        <f>IF(AND(C264&lt;&gt;"", 'Cost Inputs'!$N$74&gt;0),'Cost Inputs'!$N$74,"")</f>
        <v/>
      </c>
      <c r="L264" s="93"/>
      <c r="M264" s="109"/>
      <c r="Z264" s="372" t="str">
        <f>IF($O$3="N.B.C.",
IF(ISNUMBER($B$257),
IF($C264&lt;&gt;"",
IF('Cost Inputs'!$L$74="Y",
IF(ISNUMBER($P$55), $E264+($E$73*(($E264/$E$73)+$P$55)), $E264),
IF('Cost Inputs'!$L$74="N",
IF(AND(ISNUMBER('Cost Inputs'!$M$74), OR('Cost Inputs'!$M$74=1,'Cost Inputs'!$M$74=3,'Cost Inputs'!$M$74=9)),
IF(ISNUMBER($P$55), $E264+($E$73*(($E264/$E$73)+$P$55)), $E264),""),"")), ""),""),"")</f>
        <v/>
      </c>
      <c r="AA264" s="372" t="str">
        <f>IF($P$3="N.B.C.",
IF(ISNUMBER($B$257),
IF($C264&lt;&gt;"",
IF('Cost Inputs'!$L$74="Y",
IF(ISNUMBER($Q$55), $E264+($E$73*(($E264/$E$73)+$Q$55)), $E264),
IF('Cost Inputs'!$L$74="N",
IF(AND(ISNUMBER('Cost Inputs'!$M$74), OR('Cost Inputs'!$M$74=1,'Cost Inputs'!$M$74=2,'Cost Inputs'!$M$74=5)),
IF(ISNUMBER($Q$55), $E264+($E$73*(($E264/$E$73)+$Q$55)), $E264),""),"")), ""),""),"")</f>
        <v/>
      </c>
      <c r="AB264" s="372" t="str">
        <f>IF($Q$3="N.B.C.",
IF(ISNUMBER($B$257),
IF($C264&lt;&gt;"",
IF('Cost Inputs'!$L$74="Y",
IF(ISNUMBER($R$55), $E264+($E$73*(($E264/$E$73)+$R$55)), $E264),
IF('Cost Inputs'!$L$74="N",
IF(AND(ISNUMBER('Cost Inputs'!$M$74), OR('Cost Inputs'!$M$74=1)),
IF(ISNUMBER($R$55), $E264+($E$73*(($E264/$E$73)+$R$55)), $E264),""),"")), ""),""),"")</f>
        <v/>
      </c>
      <c r="AC264" s="372" t="str">
        <f>IF($R$3="N.B.C.",
IF(ISNUMBER($B$257),
IF($C264&lt;&gt;"",
IF('Cost Inputs'!$L$74="Y",
IF(ISNUMBER($S$55), $E264+($E$73*(($E264/$E$73)+$S$55)), $E264),
IF('Cost Inputs'!$L$74="N",
IF(AND(ISNUMBER('Cost Inputs'!$M$74), OR('Cost Inputs'!$M$74=1,'Cost Inputs'!$M$74=2,'Cost Inputs'!$M$74=3,'Cost Inputs'!$M$74=4,'Cost Inputs'!$M$74=6)),
IF(ISNUMBER($S$55), $E264+($E$73*(($E264/$E$73)+$S$55)), $E264),""),"")), ""),""),"")</f>
        <v/>
      </c>
      <c r="AD264" s="372" t="str">
        <f>IF($S$3="N.B.C.",
IF(ISNUMBER($B$257),
IF($C264&lt;&gt;"",
IF('Cost Inputs'!$L$74="Y",
IF(ISNUMBER($T$55), $E264+($E$73*(($E264/$E$73)+$T$55)), $E264),
IF('Cost Inputs'!$L$74="N",
IF(AND(ISNUMBER('Cost Inputs'!$M$74), OR('Cost Inputs'!$M$74=1)),
IF(ISNUMBER($T$55), $E264+($E$73*(($E264/$E$73)+$T$55)), $E264),""),"")), ""),""),"")</f>
        <v/>
      </c>
      <c r="AE264" s="372" t="str">
        <f>IF($T$3="N.B.C.",
IF(ISNUMBER($B$257),
IF($C264&lt;&gt;"",
IF('Cost Inputs'!$L$74="Y",
IF(ISNUMBER($U$55), $E264+($E$73*(($E264/$E$73)+$U$55)), $E264),
IF('Cost Inputs'!$L$74="N",
IF(AND(ISNUMBER('Cost Inputs'!$M$74), OR('Cost Inputs'!$M$74=1,'Cost Inputs'!$M$74=2,'Cost Inputs'!$M$74=7)),
IF(ISNUMBER($U$55), $E264+($E$73*(($E264/$E$73)+$U$55)), $E264),""),"")), ""),""),"")</f>
        <v/>
      </c>
      <c r="AF264" s="372" t="str">
        <f>IF($U$3="N.B.C.",
IF(ISNUMBER($B$257),
IF($C264&lt;&gt;"",
IF('Cost Inputs'!$L$74="Y",
IF(ISNUMBER($V$55), $E264+($E$73*(($E264/$E$73)+$V$55)), $E264),
IF('Cost Inputs'!$L$74="N",
IF(AND(ISNUMBER('Cost Inputs'!$M$74), OR('Cost Inputs'!$M$74=1,'Cost Inputs'!$M$74=3,'Cost Inputs'!$M$74=5)),
IF(ISNUMBER($V$55), $E264+($E$73*(($E264/$E$73)+$V$55)), $E264),""),"")), ""),""),"")</f>
        <v/>
      </c>
      <c r="AG264" s="372" t="str">
        <f>IF($V$3="N.B.C.",
IF(ISNUMBER($B$257),
IF($C264&lt;&gt;"",
IF('Cost Inputs'!$L$74="Y",
IF(ISNUMBER($W$55), $E264+($E$73*(($E264/$E$73)+$W$55)), $E264),
IF('Cost Inputs'!$L$74="N",
IF(AND(ISNUMBER('Cost Inputs'!$M$74), OR('Cost Inputs'!$M$74=1,'Cost Inputs'!$M$74=2,'Cost Inputs'!$M$74=4,'Cost Inputs'!$M$74=8)),
IF(ISNUMBER($W$55), $E264+($E$73*(($E264/$E$73)+$W$55)), $E264),""),"")), ""),""),"")</f>
        <v/>
      </c>
      <c r="AH264" s="372" t="str">
        <f>IF($W$3="N.B.C.",
IF(ISNUMBER($B$257),
IF($C264&lt;&gt;"",
IF('Cost Inputs'!$L$74="Y",
IF(ISNUMBER($X$55), $E264+($E$73*(($E264/$E$73)+$X$55)), $E264),
IF('Cost Inputs'!$L$74="N",
IF(AND(ISNUMBER('Cost Inputs'!$M$74), OR('Cost Inputs'!$M$74=1)),
IF(ISNUMBER($X$55), $E264+($E$73*(($E264/$E$73)+$X$55)), $E264),""),"")), ""),""),"")</f>
        <v/>
      </c>
      <c r="AI264" s="372" t="str">
        <f>IF($X$3="N.B.C.",
IF(ISNUMBER($B$257),
IF($C264&lt;&gt;"",
IF('Cost Inputs'!$L$74="Y",
IF(ISNUMBER($Y$55), $E264+($E$73*(($E264/$E$73)+$Y$55)), $E264),
IF('Cost Inputs'!$L$74="N",
IF(AND(ISNUMBER('Cost Inputs'!$M$74), OR('Cost Inputs'!$M$74=1,'Cost Inputs'!$M$74=2,'Cost Inputs'!$M$74=3,'Cost Inputs'!$M$74=6,'Cost Inputs'!$M$74=9)),
IF(ISNUMBER($Y$55), $E264+($E$73*(($E264/$E$73)+$Y$55)), $E264),""),"")), ""),""),"")</f>
        <v/>
      </c>
    </row>
    <row r="265" spans="1:35" x14ac:dyDescent="0.25">
      <c r="A265" s="518"/>
      <c r="B265" s="504"/>
      <c r="C265" s="104" t="str">
        <f>IF(AND(ISNUMBER(B257), OR('Cost Inputs'!$H$75&lt;&gt;"", 'Cost Inputs'!$I$75&lt;&gt;"", 'Cost Inputs'!$J$75&lt;&gt;"")), _3_3_3, "")</f>
        <v/>
      </c>
      <c r="D265" s="17" t="str">
        <f>IF(AND(C265&lt;&gt;"", 'Cost Inputs'!$G$75&lt;&gt;""), 'Cost Inputs'!$G$75, "")</f>
        <v/>
      </c>
      <c r="E265" s="17" t="str">
        <f>IF(AND(C265&lt;&gt;"", 'Cost Inputs'!$H$75&lt;&gt;""), 'Cost Inputs'!$H$75, "")</f>
        <v/>
      </c>
      <c r="F265" s="17" t="str">
        <f>IF(AND(C265&lt;&gt;"", 'Cost Inputs'!$I$75&lt;&gt;""), 'Cost Inputs'!$I$75, "")</f>
        <v/>
      </c>
      <c r="G265" s="17" t="str">
        <f t="shared" si="10"/>
        <v/>
      </c>
      <c r="H265" s="17" t="str">
        <f>IF(AND(C265&lt;&gt;"", 'Cost Inputs'!$J$75&lt;&gt;""), 'Cost Inputs'!$J$75, "")</f>
        <v/>
      </c>
      <c r="I265" s="17" t="str">
        <f t="shared" si="15"/>
        <v/>
      </c>
      <c r="J265" s="17" t="str">
        <f>IF(AND(C265&lt;&gt;"",('Cost Inputs'!$I$75+'Cost Inputs'!$J$75+'Cost Inputs'!$K$75)&gt;0), 'Cost Inputs'!$I$75+'Cost Inputs'!$J$75+'Cost Inputs'!$K$75, "")</f>
        <v/>
      </c>
      <c r="K265" s="17" t="str">
        <f>IF(AND(C265&lt;&gt;"", 'Cost Inputs'!$N$75&gt;0),'Cost Inputs'!$N$75,"")</f>
        <v/>
      </c>
      <c r="M265" s="106"/>
      <c r="Z265" s="364" t="str">
        <f>IF($O$3="N.B.C.",
IF(ISNUMBER($B$257),
IF($C265&lt;&gt;"",
IF('Cost Inputs'!$L$75="Y",
IF(ISNUMBER($P$55), $E265+($E$73*(($E265/$E$73)+$P$55)), $E265),
IF('Cost Inputs'!$L$75="N",
IF(AND(ISNUMBER('Cost Inputs'!$M$75), OR('Cost Inputs'!$M$75=1,'Cost Inputs'!$M$75=3,'Cost Inputs'!$M$75=9)),
IF(ISNUMBER($P$55), $E265+($E$73*(($E265/$E$73)+$P$55)), $E265),""),"")), ""),""),"")</f>
        <v/>
      </c>
      <c r="AA265" s="364" t="str">
        <f>IF($P$3="N.B.C.",
IF(ISNUMBER($B$257),
IF($C265&lt;&gt;"",
IF('Cost Inputs'!$L$75="Y",
IF(ISNUMBER($Q$55), $E265+($E$73*(($E265/$E$73)+$Q$55)), $E265),
IF('Cost Inputs'!$L$75="N",
IF(AND(ISNUMBER('Cost Inputs'!$M$75), OR('Cost Inputs'!$M$75=1,'Cost Inputs'!$M$75=2,'Cost Inputs'!$M$75=5)),
IF(ISNUMBER($Q$55), $E265+($E$73*(($E265/$E$73)+$Q$55)), $E265),""),"")), ""),""),"")</f>
        <v/>
      </c>
      <c r="AB265" s="364" t="str">
        <f>IF($Q$3="N.B.C.",
IF(ISNUMBER($B$257),
IF($C265&lt;&gt;"",
IF('Cost Inputs'!$L$75="Y",
IF(ISNUMBER($R$55), $E265+($E$73*(($E265/$E$73)+$R$55)), $E265),
IF('Cost Inputs'!$L$75="N",
IF(AND(ISNUMBER('Cost Inputs'!$M$75), OR('Cost Inputs'!$M$75=1)),
IF(ISNUMBER($R$55), $E265+($E$73*(($E265/$E$73)+$R$55)), $E265),""),"")), ""),""),"")</f>
        <v/>
      </c>
      <c r="AC265" s="364" t="str">
        <f>IF($R$3="N.B.C.",
IF(ISNUMBER($B$257),
IF($C265&lt;&gt;"",
IF('Cost Inputs'!$L$75="Y",
IF(ISNUMBER($S$55), $E265+($E$73*(($E265/$E$73)+$S$55)), $E265),
IF('Cost Inputs'!$L$75="N",
IF(AND(ISNUMBER('Cost Inputs'!$M$75), OR('Cost Inputs'!$M$75=1,'Cost Inputs'!$M$75=2,'Cost Inputs'!$M$75=3,'Cost Inputs'!$M$75=4,'Cost Inputs'!$M$75=6)),
IF(ISNUMBER($S$55), $E265+($E$73*(($E265/$E$73)+$S$55)), $E265),""),"")), ""),""),"")</f>
        <v/>
      </c>
      <c r="AD265" s="364" t="str">
        <f>IF($S$3="N.B.C.",
IF(ISNUMBER($B$257),
IF($C265&lt;&gt;"",
IF('Cost Inputs'!$L$75="Y",
IF(ISNUMBER($T$55), $E265+($E$73*(($E265/$E$73)+$T$55)), $E265),
IF('Cost Inputs'!$L$75="N",
IF(AND(ISNUMBER('Cost Inputs'!$M$75), OR('Cost Inputs'!$M$75=1)),
IF(ISNUMBER($T$55), $E265+($E$73*(($E265/$E$73)+$T$55)), $E265),""),"")), ""),""),"")</f>
        <v/>
      </c>
      <c r="AE265" s="364" t="str">
        <f>IF($T$3="N.B.C.",
IF(ISNUMBER($B$257),
IF($C265&lt;&gt;"",
IF('Cost Inputs'!$L$75="Y",
IF(ISNUMBER($U$55), $E265+($E$73*(($E265/$E$73)+$U$55)), $E265),
IF('Cost Inputs'!$L$75="N",
IF(AND(ISNUMBER('Cost Inputs'!$M$75), OR('Cost Inputs'!$M$75=1,'Cost Inputs'!$M$75=2,'Cost Inputs'!$M$75=7)),
IF(ISNUMBER($U$55), $E265+($E$73*(($E265/$E$73)+$U$55)), $E265),""),"")), ""),""),"")</f>
        <v/>
      </c>
      <c r="AF265" s="364" t="str">
        <f>IF($U$3="N.B.C.",
IF(ISNUMBER($B$257),
IF($C265&lt;&gt;"",
IF('Cost Inputs'!$L$75="Y",
IF(ISNUMBER($V$55), $E265+($E$73*(($E265/$E$73)+$V$55)), $E265),
IF('Cost Inputs'!$L$75="N",
IF(AND(ISNUMBER('Cost Inputs'!$M$75), OR('Cost Inputs'!$M$75=1,'Cost Inputs'!$M$75=3,'Cost Inputs'!$M$75=5)),
IF(ISNUMBER($V$55), $E265+($E$73*(($E265/$E$73)+$V$55)), $E265),""),"")), ""),""),"")</f>
        <v/>
      </c>
      <c r="AG265" s="364" t="str">
        <f>IF($V$3="N.B.C.",
IF(ISNUMBER($B$257),
IF($C265&lt;&gt;"",
IF('Cost Inputs'!$L$75="Y",
IF(ISNUMBER($W$55), $E265+($E$73*(($E265/$E$73)+$W$55)), $E265),
IF('Cost Inputs'!$L$75="N",
IF(AND(ISNUMBER('Cost Inputs'!$M$75), OR('Cost Inputs'!$M$75=1,'Cost Inputs'!$M$75=2,'Cost Inputs'!$M$75=4,'Cost Inputs'!$M$75=8)),
IF(ISNUMBER($W$55), $E265+($E$73*(($E265/$E$73)+$W$55)), $E265),""),"")), ""),""),"")</f>
        <v/>
      </c>
      <c r="AH265" s="364" t="str">
        <f>IF($W$3="N.B.C.",
IF(ISNUMBER($B$257),
IF($C265&lt;&gt;"",
IF('Cost Inputs'!$L$75="Y",
IF(ISNUMBER($X$55), $E265+($E$73*(($E265/$E$73)+$X$55)), $E265),
IF('Cost Inputs'!$L$75="N",
IF(AND(ISNUMBER('Cost Inputs'!$M$75), OR('Cost Inputs'!$M$75=1)),
IF(ISNUMBER($X$55), $E265+($E$73*(($E265/$E$73)+$X$55)), $E265),""),"")), ""),""),"")</f>
        <v/>
      </c>
      <c r="AI265" s="364" t="str">
        <f>IF($X$3="N.B.C.",
IF(ISNUMBER($B$257),
IF($C265&lt;&gt;"",
IF('Cost Inputs'!$L$75="Y",
IF(ISNUMBER($Y$55), $E265+($E$73*(($E265/$E$73)+$Y$55)), $E265),
IF('Cost Inputs'!$L$75="N",
IF(AND(ISNUMBER('Cost Inputs'!$M$75), OR('Cost Inputs'!$M$75=1,'Cost Inputs'!$M$75=2,'Cost Inputs'!$M$75=3,'Cost Inputs'!$M$75=6,'Cost Inputs'!$M$75=9)),
IF(ISNUMBER($Y$55), $E265+($E$73*(($E265/$E$73)+$Y$55)), $E265),""),"")), ""),""),"")</f>
        <v/>
      </c>
    </row>
    <row r="266" spans="1:35" x14ac:dyDescent="0.25">
      <c r="A266" s="518"/>
      <c r="B266" s="504"/>
      <c r="C266" s="107" t="str">
        <f>IF(AND(ISNUMBER(B257), OR('Cost Inputs'!$H$76&lt;&gt;"", 'Cost Inputs'!$I$76&lt;&gt;"", 'Cost Inputs'!$J$76&lt;&gt;"")), _3_3_4, "")</f>
        <v/>
      </c>
      <c r="D266" s="93" t="str">
        <f>IF(AND(C266&lt;&gt;"", 'Cost Inputs'!$G$76&lt;&gt;""), 'Cost Inputs'!$G$76, "")</f>
        <v/>
      </c>
      <c r="E266" s="93" t="str">
        <f>IF(AND(C266&lt;&gt;"", 'Cost Inputs'!$H$76&lt;&gt;""), 'Cost Inputs'!$H$76, "")</f>
        <v/>
      </c>
      <c r="F266" s="93" t="str">
        <f>IF(AND(C266&lt;&gt;"", 'Cost Inputs'!$I$76&lt;&gt;""), 'Cost Inputs'!$I$76, "")</f>
        <v/>
      </c>
      <c r="G266" s="93" t="str">
        <f t="shared" si="10"/>
        <v/>
      </c>
      <c r="H266" s="93" t="str">
        <f>IF(AND(C266&lt;&gt;"", 'Cost Inputs'!$J$76&lt;&gt;""), 'Cost Inputs'!$J$76, "")</f>
        <v/>
      </c>
      <c r="I266" s="93" t="str">
        <f t="shared" si="15"/>
        <v/>
      </c>
      <c r="J266" s="93" t="str">
        <f>IF(AND(C266&lt;&gt;"",('Cost Inputs'!$I$76+'Cost Inputs'!$J$76+'Cost Inputs'!$K$76)&gt;0), 'Cost Inputs'!$I$76+'Cost Inputs'!$J$76+'Cost Inputs'!$K$76, "")</f>
        <v/>
      </c>
      <c r="K266" s="93" t="str">
        <f>IF(AND(C266&lt;&gt;"", 'Cost Inputs'!$N$76&gt;0),'Cost Inputs'!$N$76,"")</f>
        <v/>
      </c>
      <c r="L266" s="93"/>
      <c r="M266" s="109"/>
      <c r="Z266" s="372" t="str">
        <f>IF($O$3="N.B.C.",
IF(ISNUMBER($B$257),
IF($C266&lt;&gt;"",
IF('Cost Inputs'!$L$76="Y",
IF(ISNUMBER($P$55), $E266+($E$73*(($E266/$E$73)+$P$55)), $E266),
IF('Cost Inputs'!$L$76="N",
IF(AND(ISNUMBER('Cost Inputs'!$M$76), OR('Cost Inputs'!$M$76=1,'Cost Inputs'!$M$76=3,'Cost Inputs'!$M$76=9)),
IF(ISNUMBER($P$55), $E266+($E$73*(($E266/$E$73)+$P$55)), $E266),""),"")), ""),""),"")</f>
        <v/>
      </c>
      <c r="AA266" s="372" t="str">
        <f>IF($P$3="N.B.C.",
IF(ISNUMBER($B$257),
IF($C266&lt;&gt;"",
IF('Cost Inputs'!$L$76="Y",
IF(ISNUMBER($Q$55), $E266+($E$73*(($E266/$E$73)+$Q$55)), $E266),
IF('Cost Inputs'!$L$76="N",
IF(AND(ISNUMBER('Cost Inputs'!$M$76), OR('Cost Inputs'!$M$76=1,'Cost Inputs'!$M$76=2,'Cost Inputs'!$M$76=5)),
IF(ISNUMBER($Q$55), $E266+($E$73*(($E266/$E$73)+$Q$55)), $E266),""),"")), ""),""),"")</f>
        <v/>
      </c>
      <c r="AB266" s="372" t="str">
        <f>IF($Q$3="N.B.C.",
IF(ISNUMBER($B$257),
IF($C266&lt;&gt;"",
IF('Cost Inputs'!$L$76="Y",
IF(ISNUMBER($R$55), $E266+($E$73*(($E266/$E$73)+$R$55)), $E266),
IF('Cost Inputs'!$L$76="N",
IF(AND(ISNUMBER('Cost Inputs'!$M$76), OR('Cost Inputs'!$M$76=1)),
IF(ISNUMBER($R$55), $E266+($E$73*(($E266/$E$73)+$R$55)), $E266),""),"")), ""),""),"")</f>
        <v/>
      </c>
      <c r="AC266" s="372" t="str">
        <f>IF($R$3="N.B.C.",
IF(ISNUMBER($B$257),
IF($C266&lt;&gt;"",
IF('Cost Inputs'!$L$76="Y",
IF(ISNUMBER($S$55), $E266+($E$73*(($E266/$E$73)+$S$55)), $E266),
IF('Cost Inputs'!$L$76="N",
IF(AND(ISNUMBER('Cost Inputs'!$M$76), OR('Cost Inputs'!$M$76=1,'Cost Inputs'!$M$76=2,'Cost Inputs'!$M$76=3,'Cost Inputs'!$M$76=4,'Cost Inputs'!$M$76=6)),
IF(ISNUMBER($S$55), $E266+($E$73*(($E266/$E$73)+$S$55)), $E266),""),"")), ""),""),"")</f>
        <v/>
      </c>
      <c r="AD266" s="372" t="str">
        <f>IF($S$3="N.B.C.",
IF(ISNUMBER($B$257),
IF($C266&lt;&gt;"",
IF('Cost Inputs'!$L$76="Y",
IF(ISNUMBER($T$55), $E266+($E$73*(($E266/$E$73)+$T$55)), $E266),
IF('Cost Inputs'!$L$76="N",
IF(AND(ISNUMBER('Cost Inputs'!$M$76), OR('Cost Inputs'!$M$76=1)),
IF(ISNUMBER($T$55), $E266+($E$73*(($E266/$E$73)+$T$55)), $E266),""),"")), ""),""),"")</f>
        <v/>
      </c>
      <c r="AE266" s="372" t="str">
        <f>IF($T$3="N.B.C.",
IF(ISNUMBER($B$257),
IF($C266&lt;&gt;"",
IF('Cost Inputs'!$L$76="Y",
IF(ISNUMBER($U$55), $E266+($E$73*(($E266/$E$73)+$U$55)), $E266),
IF('Cost Inputs'!$L$76="N",
IF(AND(ISNUMBER('Cost Inputs'!$M$76), OR('Cost Inputs'!$M$76=1,'Cost Inputs'!$M$76=2,'Cost Inputs'!$M$76=7)),
IF(ISNUMBER($U$55), $E266+($E$73*(($E266/$E$73)+$U$55)), $E266),""),"")), ""),""),"")</f>
        <v/>
      </c>
      <c r="AF266" s="372" t="str">
        <f>IF($U$3="N.B.C.",
IF(ISNUMBER($B$257),
IF($C266&lt;&gt;"",
IF('Cost Inputs'!$L$76="Y",
IF(ISNUMBER($V$55), $E266+($E$73*(($E266/$E$73)+$V$55)), $E266),
IF('Cost Inputs'!$L$76="N",
IF(AND(ISNUMBER('Cost Inputs'!$M$76), OR('Cost Inputs'!$M$76=1,'Cost Inputs'!$M$76=3,'Cost Inputs'!$M$76=5)),
IF(ISNUMBER($V$55), $E266+($E$73*(($E266/$E$73)+$V$55)), $E266),""),"")), ""),""),"")</f>
        <v/>
      </c>
      <c r="AG266" s="372" t="str">
        <f>IF($V$3="N.B.C.",
IF(ISNUMBER($B$257),
IF($C266&lt;&gt;"",
IF('Cost Inputs'!$L$76="Y",
IF(ISNUMBER($W$55), $E266+($E$73*(($E266/$E$73)+$W$55)), $E266),
IF('Cost Inputs'!$L$76="N",
IF(AND(ISNUMBER('Cost Inputs'!$M$76), OR('Cost Inputs'!$M$76=1,'Cost Inputs'!$M$76=2,'Cost Inputs'!$M$76=4,'Cost Inputs'!$M$76=8)),
IF(ISNUMBER($W$55), $E266+($E$73*(($E266/$E$73)+$W$55)), $E266),""),"")), ""),""),"")</f>
        <v/>
      </c>
      <c r="AH266" s="372" t="str">
        <f>IF($W$3="N.B.C.",
IF(ISNUMBER($B$257),
IF($C266&lt;&gt;"",
IF('Cost Inputs'!$L$76="Y",
IF(ISNUMBER($X$55), $E266+($E$73*(($E266/$E$73)+$X$55)), $E266),
IF('Cost Inputs'!$L$76="N",
IF(AND(ISNUMBER('Cost Inputs'!$M$76), OR('Cost Inputs'!$M$76=1)),
IF(ISNUMBER($X$55), $E266+($E$73*(($E266/$E$73)+$X$55)), $E266),""),"")), ""),""),"")</f>
        <v/>
      </c>
      <c r="AI266" s="372" t="str">
        <f>IF($X$3="N.B.C.",
IF(ISNUMBER($B$257),
IF($C266&lt;&gt;"",
IF('Cost Inputs'!$L$76="Y",
IF(ISNUMBER($Y$55), $E266+($E$73*(($E266/$E$73)+$Y$55)), $E266),
IF('Cost Inputs'!$L$76="N",
IF(AND(ISNUMBER('Cost Inputs'!$M$76), OR('Cost Inputs'!$M$76=1,'Cost Inputs'!$M$76=2,'Cost Inputs'!$M$76=3,'Cost Inputs'!$M$76=6,'Cost Inputs'!$M$76=9)),
IF(ISNUMBER($Y$55), $E266+($E$73*(($E266/$E$73)+$Y$55)), $E266),""),"")), ""),""),"")</f>
        <v/>
      </c>
    </row>
    <row r="267" spans="1:35" x14ac:dyDescent="0.25">
      <c r="A267" s="518"/>
      <c r="B267" s="504"/>
      <c r="C267" s="110" t="str">
        <f>IF( ISNUMBER(B257), _3_4_0, "")</f>
        <v/>
      </c>
      <c r="D267" s="94" t="str">
        <f>IF(AND(B257&lt;&gt;"", OR('Cost Inputs'!$H$77&lt;&gt;"", 'Cost Inputs'!$I$77&lt;&gt;"", 'Cost Inputs'!$J$77&lt;&gt;"")), 'Cost Inputs'!$G$77,"")</f>
        <v/>
      </c>
      <c r="E267" s="94" t="str">
        <f>IF(AND(C267&lt;&gt;"", 'Cost Inputs'!$H$77&lt;&gt;""), 'Cost Inputs'!$H$77, "")</f>
        <v/>
      </c>
      <c r="F267" s="94" t="str">
        <f>IF(AND(C267&lt;&gt;"", 'Cost Inputs'!$I$77&lt;&gt;""), 'Cost Inputs'!$I$77, "")</f>
        <v/>
      </c>
      <c r="G267" s="94" t="str">
        <f t="shared" si="10"/>
        <v/>
      </c>
      <c r="H267" s="94" t="str">
        <f>IF(AND(C267&lt;&gt;"", 'Cost Inputs'!$J$77&lt;&gt;""), 'Cost Inputs'!$J$77, "")</f>
        <v/>
      </c>
      <c r="I267" s="94" t="str">
        <f>IF(AND($E267&lt;&gt;"", $H267&lt;&gt;""), $H267/$E267, "")</f>
        <v/>
      </c>
      <c r="J267" s="94" t="str">
        <f>IF(AND(C267&lt;&gt;"",('Cost Inputs'!$I$77+'Cost Inputs'!$J$77+'Cost Inputs'!$K$77)&gt;0), 'Cost Inputs'!$I$77+'Cost Inputs'!$J$77+'Cost Inputs'!$K$77, "")</f>
        <v/>
      </c>
      <c r="K267" s="94" t="str">
        <f>IF(AND(C267&lt;&gt;"", 'Cost Inputs'!$N$77&gt;0),'Cost Inputs'!$N$77,"")</f>
        <v/>
      </c>
      <c r="L267" s="94"/>
      <c r="M267" s="103"/>
      <c r="Z267" s="373" t="str">
        <f>IF($O$3="N.B.C.",
IF(ISNUMBER($B$257),
IF($C267&lt;&gt;"",
IF('Cost Inputs'!$L$77="Y",
IF(AND(ISNUMBER(P$56), P$56&gt;$E$60), $E267+($E$60*(($E267/$E$60)+$P$55)), $E267),
IF('Cost Inputs'!$L$77="N",
IF(AND(ISNUMBER('Cost Inputs'!$M$77), OR('Cost Inputs'!$M$77=1,'Cost Inputs'!$M$77=3, 'Cost Inputs'!$M$77=9)),
IF(AND(ISNUMBER(P$56), P$56&gt;$E$60), $E267+($E$60*(($E267/$E$60)+$P$55)), $E267), ""),"")), ""), ""), "")</f>
        <v/>
      </c>
      <c r="AA267" s="373" t="str">
        <f>IF($P$3="N.B.C.",
IF(ISNUMBER($B$257),
IF($C267&lt;&gt;"",
IF('Cost Inputs'!$L$77="Y",
IF(AND(ISNUMBER(Q$56), Q$56&gt;$E$60), $E267+($E$60*(($E267/$E$60)+$Q$55)), $E267),
IF('Cost Inputs'!$L$77="N",
IF(AND(ISNUMBER('Cost Inputs'!$M$77), OR('Cost Inputs'!$M$77=1,'Cost Inputs'!$M$77=2, 'Cost Inputs'!$M$77=5)),
IF(AND(ISNUMBER(Q$56), Q$56&gt;$E$60), $E267+($E$60*(($E267/$E$60)+$Q$55)), $E267), ""),"")), ""), ""), "")</f>
        <v/>
      </c>
      <c r="AB267" s="373" t="str">
        <f>IF($Q$3="N.B.C.",
IF(ISNUMBER($B$257),
IF($C267&lt;&gt;"",
IF('Cost Inputs'!$L$77="Y",
IF(AND(ISNUMBER(R$56), R$56&gt;$E$60), $E267+($E$60*(($E267/$E$60)+$R$55)), $E267),
IF('Cost Inputs'!$L$77="N",
IF(AND(ISNUMBER('Cost Inputs'!$M$77), OR('Cost Inputs'!$M$77=1)),
IF(AND(ISNUMBER(R$56), R$56&gt;$E$60), $E267+($E$60*(($E267/$E$60)+$R$55)), $E267), ""),"")), ""), ""), "")</f>
        <v/>
      </c>
      <c r="AC267" s="373" t="str">
        <f>IF($R$3="N.B.C.",
IF(ISNUMBER($B$257),
IF($C267&lt;&gt;"",
IF('Cost Inputs'!$L$77="Y",
IF(AND(ISNUMBER(S$56), S$56&gt;$E$60), $E267+($E$60*(($E267/$E$60)+$S$55)), $E267),
IF('Cost Inputs'!$L$77="N",
IF(AND(ISNUMBER('Cost Inputs'!$M$77), OR('Cost Inputs'!$M$77=1,'Cost Inputs'!$M$77=2,'Cost Inputs'!$M$77=3,'Cost Inputs'!$M$77=4,'Cost Inputs'!$M$77=6)),
IF(AND(ISNUMBER(S$56), S$56&gt;$E$60), $E267+($E$60*(($E267/$E$60)+$S$55)), $E267), ""),"")), ""), ""), "")</f>
        <v/>
      </c>
      <c r="AD267" s="373" t="str">
        <f>IF($S$3="N.B.C.",
IF(ISNUMBER($B$257),
IF($C267&lt;&gt;"",
IF('Cost Inputs'!$L$77="Y",
IF(AND(ISNUMBER(T$56), T$56&gt;$E$60), $E267+($E$60*(($E267/$E$60)+$T$55)), $E267),
IF('Cost Inputs'!$L$77="N",
IF(AND(ISNUMBER('Cost Inputs'!$M$77), OR('Cost Inputs'!$M$77=1)),
IF(AND(ISNUMBER(T$56), T$56&gt;$E$60), $E267+($E$60*(($E267/$E$60)+$T$55)), $E267), ""),"")), ""), ""), "")</f>
        <v/>
      </c>
      <c r="AE267" s="373" t="str">
        <f>IF($T$3="N.B.C.",
IF(ISNUMBER($B$257),
IF($C267&lt;&gt;"",
IF('Cost Inputs'!$L$77="Y",
IF(AND(ISNUMBER(U$56), U$56&gt;$E$60), $E267+($E$60*(($E267/$E$60)+$U$55)), $E267),
IF('Cost Inputs'!$L$77="N",
IF(AND(ISNUMBER('Cost Inputs'!$M$77), OR('Cost Inputs'!$M$77=1,'Cost Inputs'!$M$77=2,'Cost Inputs'!$M$77=7)),
IF(AND(ISNUMBER(U$56), U$56&gt;$E$60), $E267+($E$60*(($E267/$E$60)+$U$55)), $E267), ""),"")), ""), ""), "")</f>
        <v/>
      </c>
      <c r="AF267" s="373" t="str">
        <f>IF($U$3="N.B.C.",
IF(ISNUMBER($B$257),
IF($C267&lt;&gt;"",
IF('Cost Inputs'!$L$77="Y",
IF(AND(ISNUMBER(V$56), V$56&gt;$E$60), $E267+($E$60*(($E267/$E$60)+$V$55)), $E267),
IF('Cost Inputs'!$L$77="N",
IF(AND(ISNUMBER('Cost Inputs'!$M$77), OR('Cost Inputs'!$M$77=1,'Cost Inputs'!$M$77=3,'Cost Inputs'!$M$77=5)),
IF(AND(ISNUMBER(V$56), V$56&gt;$E$60), $E267+($E$60*(($E267/$E$60)+$V$55)), $E267), ""),"")), ""), ""), "")</f>
        <v/>
      </c>
      <c r="AG267" s="373" t="str">
        <f>IF($V$3="N.B.C.",
IF(ISNUMBER($B$257),
IF($C267&lt;&gt;"",
IF('Cost Inputs'!$L$77="Y",
IF(AND(ISNUMBER(W$56), W$56&gt;$E$60), $E267+($E$60*(($E267/$E$60)+$W$55)), $E267),
IF('Cost Inputs'!$L$77="N",
IF(AND(ISNUMBER('Cost Inputs'!$M$77), OR('Cost Inputs'!$M$77=1,'Cost Inputs'!$M$77=2,'Cost Inputs'!$M$77=4,'Cost Inputs'!$M$77=8)),
IF(AND(ISNUMBER(W$56), W$56&gt;$E$60), $E267+($E$60*(($E267/$E$60)+$W$55)), $E267), ""),"")), ""), ""), "")</f>
        <v/>
      </c>
      <c r="AH267" s="373" t="str">
        <f>IF($W$3="N.B.C.",
IF(ISNUMBER($B$257),
IF($C267&lt;&gt;"",
IF('Cost Inputs'!$L$77="Y",
IF(AND(ISNUMBER(X$56), X$56&gt;$E$60), $E267+($E$60*(($E267/$E$60)+$X$55)), $E267),
IF('Cost Inputs'!$L$77="N",
IF(AND(ISNUMBER('Cost Inputs'!$M$77), OR('Cost Inputs'!$M$77=1)),
IF(AND(ISNUMBER(X$56), X$56&gt;$E$60), $E267+($E$60*(($E267/$E$60)+$X$55)), $E267), ""),"")), ""), ""), "")</f>
        <v/>
      </c>
      <c r="AI267" s="373" t="str">
        <f>IF($X$3="N.B.C.",
IF(ISNUMBER($B$257),
IF($C267&lt;&gt;"",
IF('Cost Inputs'!$L$77="Y",
IF(AND(ISNUMBER(Y$56), Y$56&gt;$E$60), $E267+($E$60*(($E267/$E$60)+$Y$55)), $E267),
IF('Cost Inputs'!$L$77="N",
IF(AND(ISNUMBER('Cost Inputs'!$M$77), OR('Cost Inputs'!$M$77=1,'Cost Inputs'!$M$77=2,'Cost Inputs'!$M$77=3,'Cost Inputs'!$M$77=6,'Cost Inputs'!$M$77=9)),
IF(AND(ISNUMBER(Y$56), Y$56&gt;$E$60), $E267+($E$60*(($E267/$E$60)+$Y$55)), $E267), ""),"")), ""), ""), "")</f>
        <v/>
      </c>
    </row>
    <row r="268" spans="1:35" x14ac:dyDescent="0.25">
      <c r="A268" s="518"/>
      <c r="B268" s="504"/>
      <c r="C268" s="358" t="str">
        <f>IF(AND(ISNUMBER(B257), OR('Cost Inputs'!$H$78&lt;&gt;"", 'Cost Inputs'!$I$78&lt;&gt;"", 'Cost Inputs'!$J$78&lt;&gt;"")),
IF((INDEX(ProgramYearStage1,MATCH(DNA_Test_1,Years_in_Stage1,0)))='Model_ of_individuals'!B257,  _3_4_1,
IF(AND(C247&lt;&gt;"",ISNUMBER(B257)), _3_4_1, "")),"")</f>
        <v/>
      </c>
      <c r="D268" s="17" t="str">
        <f>IF(AND(C268&lt;&gt;"", 'Cost Inputs'!$G$78&lt;&gt;""), 'Cost Inputs'!$G$78, "")</f>
        <v/>
      </c>
      <c r="E268" s="17" t="str">
        <f>IF(AND(C268&lt;&gt;"", 'Cost Inputs'!$H$78&lt;&gt;""), 'Cost Inputs'!$H$78, "")</f>
        <v/>
      </c>
      <c r="F268" s="17" t="str">
        <f>IF(AND(C268&lt;&gt;"", 'Cost Inputs'!$I$78&lt;&gt;""), 'Cost Inputs'!$I$78, "")</f>
        <v/>
      </c>
      <c r="G268" s="17" t="str">
        <f t="shared" si="10"/>
        <v/>
      </c>
      <c r="H268" s="17" t="str">
        <f>IF(AND(C268&lt;&gt;"", 'Cost Inputs'!$J$78&lt;&gt;""), 'Cost Inputs'!$J$78, "")</f>
        <v/>
      </c>
      <c r="I268" s="17" t="str">
        <f t="shared" si="15"/>
        <v/>
      </c>
      <c r="J268" s="17" t="str">
        <f>IF(AND(C268&lt;&gt;"",('Cost Inputs'!$I$78+'Cost Inputs'!$J$78+'Cost Inputs'!$K$78)&gt;0), 'Cost Inputs'!$I$78+'Cost Inputs'!$J$78+'Cost Inputs'!$K$78, "")</f>
        <v/>
      </c>
      <c r="K268" s="17" t="str">
        <f>IF(AND(C268&lt;&gt;"", 'Cost Inputs'!$N$78&gt;0),'Cost Inputs'!$N$78,"")</f>
        <v/>
      </c>
      <c r="M268" s="106"/>
      <c r="Z268" s="364" t="str">
        <f>IF($O$3="N.B.C.",
IF(ISNUMBER($B$257),
IF($C268&lt;&gt;"",
IF('Cost Inputs'!$L$78="Y",
IF(ISNUMBER($P$55), $E268+($E$78*(($E268/$E$78)+$P$55)), $E268),
IF('Cost Inputs'!$L$78="N",
IF(AND(ISNUMBER('Cost Inputs'!$M$78), OR('Cost Inputs'!$M$78=1,'Cost Inputs'!$M$78=3,'Cost Inputs'!$M$78=9)),
IF(ISNUMBER($P$55), $E268+($E$78*(($E268/$E$78)+$P$55)), $E268),""),"")), ""),""),"")</f>
        <v/>
      </c>
      <c r="AA268" s="364" t="str">
        <f>IF($P$3="N.B.C.",
IF(ISNUMBER($B$257),
IF($C268&lt;&gt;"",
IF('Cost Inputs'!$L$78="Y",
IF(ISNUMBER($Q$55), $E268+($E$78*(($E268/$E$78)+$Q$55)), $E268),
IF('Cost Inputs'!$L$78="N",
IF(AND(ISNUMBER('Cost Inputs'!$M$78), OR('Cost Inputs'!$M$78=1,'Cost Inputs'!$M$78=2,'Cost Inputs'!$M$78=5)),
IF(ISNUMBER($Q$55), $E268+($E$78*(($E268/$E$78)+$Q$55)), $E268),""),"")), ""),""),"")</f>
        <v/>
      </c>
      <c r="AB268" s="364" t="str">
        <f>IF($Q$3="N.B.C.",
IF(ISNUMBER($B$257),
IF($C268&lt;&gt;"",
IF('Cost Inputs'!$L$78="Y",
IF(ISNUMBER($R$55), $E268+($E$78*(($E268/$E$78)+$R$55)), $E268),
IF('Cost Inputs'!$L$78="N",
IF(AND(ISNUMBER('Cost Inputs'!$M$78), OR('Cost Inputs'!$M$78=1)),
IF(ISNUMBER($R$55), $E268+($E$78*(($E268/$E$78)+$R$55)), $E268),""),"")), ""),""),"")</f>
        <v/>
      </c>
      <c r="AC268" s="364" t="str">
        <f>IF($R$3="N.B.C.",
IF(ISNUMBER($B$257),
IF($C268&lt;&gt;"",
IF('Cost Inputs'!$L$78="Y",
IF(ISNUMBER($S$55), $E268+($E$78*(($E268/$E$78)+$S$55)), $E268),
IF('Cost Inputs'!$L$78="N",
IF(AND(ISNUMBER('Cost Inputs'!$M$78), OR('Cost Inputs'!$M$78=1,'Cost Inputs'!$M$78=2,'Cost Inputs'!$M$78=3,'Cost Inputs'!$M$78=4,'Cost Inputs'!$M$78=6)),
IF(ISNUMBER($S$55), $E268+($E$78*(($E268/$E$78)+$S$55)), $E268),""),"")), ""),""),"")</f>
        <v/>
      </c>
      <c r="AD268" s="364" t="str">
        <f>IF($S$3="N.B.C.",
IF(ISNUMBER($B$257),
IF($C268&lt;&gt;"",
IF('Cost Inputs'!$L$78="Y",
IF(ISNUMBER($T$55), $E268+($E$78*(($E268/$E$78)+$T$55)), $E268),
IF('Cost Inputs'!$L$78="N",
IF(AND(ISNUMBER('Cost Inputs'!$M$78), OR('Cost Inputs'!$M$78=1)),
IF(ISNUMBER($T$55), $E268+($E$78*(($E268/$E$78)+$T$55)), $E268),""),"")), ""),""),"")</f>
        <v/>
      </c>
      <c r="AE268" s="364" t="str">
        <f>IF($T$3="N.B.C.",
IF(ISNUMBER($B$257),
IF($C268&lt;&gt;"",
IF('Cost Inputs'!$L$78="Y",
IF(ISNUMBER($U$55), $E268+($E$78*(($E268/$E$78)+$U$55)), $E268),
IF('Cost Inputs'!$L$78="N",
IF(AND(ISNUMBER('Cost Inputs'!$M$78), OR('Cost Inputs'!$M$78=1,'Cost Inputs'!$M$78=2,'Cost Inputs'!$M$78=7)),
IF(ISNUMBER($U$55), $E268+($E$78*(($E268/$E$78)+$U$55)), $E268),""),"")), ""),""),"")</f>
        <v/>
      </c>
      <c r="AF268" s="364" t="str">
        <f>IF($U$3="N.B.C.",
IF(ISNUMBER($B$257),
IF($C268&lt;&gt;"",
IF('Cost Inputs'!$L$78="Y",
IF(ISNUMBER($V$55), $E268+($E$78*(($E268/$E$78)+$V$55)), $E268),
IF('Cost Inputs'!$L$78="N",
IF(AND(ISNUMBER('Cost Inputs'!$M$78), OR('Cost Inputs'!$M$78=1,'Cost Inputs'!$M$78=3,'Cost Inputs'!$M$78=5)),
IF(ISNUMBER($V$55), $E268+($E$78*(($E268/$E$78)+$V$55)), $E268),""),"")), ""),""),"")</f>
        <v/>
      </c>
      <c r="AG268" s="364" t="str">
        <f>IF($V$3="N.B.C.",
IF(ISNUMBER($B$257),
IF($C268&lt;&gt;"",
IF('Cost Inputs'!$L$78="Y",
IF(ISNUMBER($W$55), $E268+($E$78*(($E268/$E$78)+$W$55)), $E268),
IF('Cost Inputs'!$L$78="N",
IF(AND(ISNUMBER('Cost Inputs'!$M$78), OR('Cost Inputs'!$M$78=1,'Cost Inputs'!$M$78=2,'Cost Inputs'!$M$78=4,'Cost Inputs'!$M$78=8)),
IF(ISNUMBER($W$55), $E268+($E$78*(($E268/$E$78)+$W$55)), $E268),""),"")), ""),""),"")</f>
        <v/>
      </c>
      <c r="AH268" s="364" t="str">
        <f>IF($W$3="N.B.C.",
IF(ISNUMBER($B$257),
IF($C268&lt;&gt;"",
IF('Cost Inputs'!$L$78="Y",
IF(ISNUMBER($X$55), $E268+($E$78*(($E268/$E$78)+$X$55)), $E268),
IF('Cost Inputs'!$L$78="N",
IF(AND(ISNUMBER('Cost Inputs'!$M$78), OR('Cost Inputs'!$M$78=1)),
IF(ISNUMBER($X$55), $E268+($E$78*(($E268/$E$78)+$X$55)), $E268),""),"")), ""),""),"")</f>
        <v/>
      </c>
      <c r="AI268" s="364" t="str">
        <f>IF($X$3="N.B.C.",
IF(ISNUMBER($B$257),
IF($C268&lt;&gt;"",
IF('Cost Inputs'!$L$78="Y",
IF(ISNUMBER($Y$55), $E268+($E$78*(($E268/$E$78)+$Y$55)), $E268),
IF('Cost Inputs'!$L$78="N",
IF(AND(ISNUMBER('Cost Inputs'!$M$78), OR('Cost Inputs'!$M$78=1,'Cost Inputs'!$M$78=2,'Cost Inputs'!$M$78=3,'Cost Inputs'!$M$78=6,'Cost Inputs'!$M$78=9)),
IF(ISNUMBER($Y$55), $E268+($E$78*(($E268/$E$78)+$Y$55)), $E268),""),"")), ""),""),"")</f>
        <v/>
      </c>
    </row>
    <row r="269" spans="1:35" x14ac:dyDescent="0.25">
      <c r="A269" s="518"/>
      <c r="B269" s="504"/>
      <c r="C269" s="361" t="str">
        <f>IF(AND(ISNUMBER(B257), OR('Cost Inputs'!$H$79&lt;&gt;"", 'Cost Inputs'!$I$79&lt;&gt;"", 'Cost Inputs'!$J$79&lt;&gt;"")),
IF((INDEX(ProgramYearStage1,MATCH(DNA_Test_1,Years_in_Stage1,0)))='Model_ of_individuals'!B257,  _3_4_2,
IF(AND(ISNUMBER(B257), C248&lt;&gt;""),  _3_4_2, "")),"")</f>
        <v/>
      </c>
      <c r="D269" s="93" t="str">
        <f>IF(AND(C269&lt;&gt;"", 'Cost Inputs'!$G$79&lt;&gt;""), 'Cost Inputs'!$G$79, "")</f>
        <v/>
      </c>
      <c r="E269" s="93" t="str">
        <f>IF(AND(C269&lt;&gt;"", 'Cost Inputs'!$H$79&lt;&gt;""), 'Cost Inputs'!$H$79, "")</f>
        <v/>
      </c>
      <c r="F269" s="93" t="str">
        <f>IF(AND(C269&lt;&gt;"", 'Cost Inputs'!$I$79&lt;&gt;""), 'Cost Inputs'!$I$79, "")</f>
        <v/>
      </c>
      <c r="G269" s="93" t="str">
        <f t="shared" si="10"/>
        <v/>
      </c>
      <c r="H269" s="93" t="str">
        <f>IF(AND(C269&lt;&gt;"", 'Cost Inputs'!$J$79&lt;&gt;""), 'Cost Inputs'!$J$79, "")</f>
        <v/>
      </c>
      <c r="I269" s="93" t="str">
        <f t="shared" si="15"/>
        <v/>
      </c>
      <c r="J269" s="93" t="str">
        <f>IF(AND(C269&lt;&gt;"",('Cost Inputs'!$I$79+'Cost Inputs'!$J$79+'Cost Inputs'!$K$79)&gt;0), 'Cost Inputs'!$I$79+'Cost Inputs'!$J$79+'Cost Inputs'!$K$79, "")</f>
        <v/>
      </c>
      <c r="K269" s="93" t="str">
        <f>IF(AND(C269&lt;&gt;"", 'Cost Inputs'!$N$79&gt;0),'Cost Inputs'!$N$79,"")</f>
        <v/>
      </c>
      <c r="L269" s="93"/>
      <c r="M269" s="109"/>
      <c r="Z269" s="372" t="str">
        <f>IF($O$3="N.B.C.",
IF(ISNUMBER($B$257),
IF($C269&lt;&gt;"",
IF('Cost Inputs'!$L$79="Y",
IF(ISNUMBER($P$55), $E269+($E$78*(($E269/$E$78)+$P$55)), $E269),
IF('Cost Inputs'!$L$79="N",
IF(AND(ISNUMBER('Cost Inputs'!$M$79), OR('Cost Inputs'!$M$79=1,'Cost Inputs'!$M$79=3,'Cost Inputs'!$M$79=9)),
IF(ISNUMBER($P$55), $E269+($E$78*(($E269/$E$78)+$P$55)), $E269),""),"")), ""),""),"")</f>
        <v/>
      </c>
      <c r="AA269" s="372" t="str">
        <f>IF($P$3="N.B.C.",
IF(ISNUMBER($B$257),
IF($C269&lt;&gt;"",
IF('Cost Inputs'!$L$79="Y",
IF(ISNUMBER($Q$55), $E269+($E$78*(($E269/$E$78)+$Q$55)), $E269),
IF('Cost Inputs'!$L$79="N",
IF(AND(ISNUMBER('Cost Inputs'!$M$79), OR('Cost Inputs'!$M$79=1,'Cost Inputs'!$M$79=2,'Cost Inputs'!$M$79=5)),
IF(ISNUMBER($Q$55), $E269+($E$78*(($E269/$E$78)+$Q$55)), $E269),""),"")), ""),""),"")</f>
        <v/>
      </c>
      <c r="AB269" s="372" t="str">
        <f>IF($Q$3="N.B.C.",
IF(ISNUMBER($B$257),
IF($C269&lt;&gt;"",
IF('Cost Inputs'!$L$79="Y",
IF(ISNUMBER($R$55), $E269+($E$78*(($E269/$E$78)+$R$55)), $E269),
IF('Cost Inputs'!$L$79="N",
IF(AND(ISNUMBER('Cost Inputs'!$M$79), OR('Cost Inputs'!$M$79=1)),
IF(ISNUMBER($R$55), $E269+($E$78*(($E269/$E$78)+$R$55)), $E269),""),"")), ""),""),"")</f>
        <v/>
      </c>
      <c r="AC269" s="372" t="str">
        <f>IF($R$3="N.B.C.",
IF(ISNUMBER($B$257),
IF($C269&lt;&gt;"",
IF('Cost Inputs'!$L$79="Y",
IF(ISNUMBER($S$55), $E269+($E$78*(($E269/$E$78)+$S$55)), $E269),
IF('Cost Inputs'!$L$79="N",
IF(AND(ISNUMBER('Cost Inputs'!$M$79), OR('Cost Inputs'!$M$79=1,'Cost Inputs'!$M$79=2,'Cost Inputs'!$M$79=3,'Cost Inputs'!$M$79=4,'Cost Inputs'!$M$79=6)),
IF(ISNUMBER($S$55), $E269+($E$78*(($E269/$E$78)+$S$55)), $E269),""),"")), ""),""),"")</f>
        <v/>
      </c>
      <c r="AD269" s="372" t="str">
        <f>IF($S$3="N.B.C.",
IF(ISNUMBER($B$257),
IF($C269&lt;&gt;"",
IF('Cost Inputs'!$L$79="Y",
IF(ISNUMBER($T$55), $E269+($E$78*(($E269/$E$78)+$T$55)), $E269),
IF('Cost Inputs'!$L$79="N",
IF(AND(ISNUMBER('Cost Inputs'!$M$79), OR('Cost Inputs'!$M$79=1)),
IF(ISNUMBER($T$55), $E269+($E$78*(($E269/$E$78)+$T$55)), $E269),""),"")), ""),""),"")</f>
        <v/>
      </c>
      <c r="AE269" s="372" t="str">
        <f>IF($T$3="N.B.C.",
IF(ISNUMBER($B$257),
IF($C269&lt;&gt;"",
IF('Cost Inputs'!$L$79="Y",
IF(ISNUMBER($U$55), $E269+($E$78*(($E269/$E$78)+$U$55)), $E269),
IF('Cost Inputs'!$L$79="N",
IF(AND(ISNUMBER('Cost Inputs'!$M$79), OR('Cost Inputs'!$M$79=1,'Cost Inputs'!$M$79=2,'Cost Inputs'!$M$79=7)),
IF(ISNUMBER($U$55), $E269+($E$78*(($E269/$E$78)+$U$55)), $E269),""),"")), ""),""),"")</f>
        <v/>
      </c>
      <c r="AF269" s="372" t="str">
        <f>IF($U$3="N.B.C.",
IF(ISNUMBER($B$257),
IF($C269&lt;&gt;"",
IF('Cost Inputs'!$L$79="Y",
IF(ISNUMBER($V$55), $E269+($E$78*(($E269/$E$78)+$V$55)), $E269),
IF('Cost Inputs'!$L$79="N",
IF(AND(ISNUMBER('Cost Inputs'!$M$79), OR('Cost Inputs'!$M$79=1,'Cost Inputs'!$M$79=3,'Cost Inputs'!$M$79=5)),
IF(ISNUMBER($V$55), $E269+($E$78*(($E269/$E$78)+$V$55)), $E269),""),"")), ""),""),"")</f>
        <v/>
      </c>
      <c r="AG269" s="372" t="str">
        <f>IF($V$3="N.B.C.",
IF(ISNUMBER($B$257),
IF($C269&lt;&gt;"",
IF('Cost Inputs'!$L$79="Y",
IF(ISNUMBER($W$55), $E269+($E$78*(($E269/$E$78)+$W$55)), $E269),
IF('Cost Inputs'!$L$79="N",
IF(AND(ISNUMBER('Cost Inputs'!$M$79), OR('Cost Inputs'!$M$79=1,'Cost Inputs'!$M$79=2,'Cost Inputs'!$M$79=4,'Cost Inputs'!$M$79=8)),
IF(ISNUMBER($W$55), $E269+($E$78*(($E269/$E$78)+$W$55)), $E269),""),"")), ""),""),"")</f>
        <v/>
      </c>
      <c r="AH269" s="372" t="str">
        <f>IF($W$3="N.B.C.",
IF(ISNUMBER($B$257),
IF($C269&lt;&gt;"",
IF('Cost Inputs'!$L$79="Y",
IF(ISNUMBER($X$55), $E269+($E$78*(($E269/$E$78)+$X$55)), $E269),
IF('Cost Inputs'!$L$79="N",
IF(AND(ISNUMBER('Cost Inputs'!$M$79), OR('Cost Inputs'!$M$79=1)),
IF(ISNUMBER($X$55), $E269+($E$78*(($E269/$E$78)+$X$55)), $E269),""),"")), ""),""),"")</f>
        <v/>
      </c>
      <c r="AI269" s="372" t="str">
        <f>IF($X$3="N.B.C.",
IF(ISNUMBER($B$257),
IF($C269&lt;&gt;"",
IF('Cost Inputs'!$L$79="Y",
IF(ISNUMBER($Y$55), $E269+($E$78*(($E269/$E$78)+$Y$55)), $E269),
IF('Cost Inputs'!$L$79="N",
IF(AND(ISNUMBER('Cost Inputs'!$M$79), OR('Cost Inputs'!$M$79=1,'Cost Inputs'!$M$79=2,'Cost Inputs'!$M$79=3,'Cost Inputs'!$M$79=6,'Cost Inputs'!$M$79=9)),
IF(ISNUMBER($Y$55), $E269+($E$78*(($E269/$E$78)+$Y$55)), $E269),""),"")), ""),""),"")</f>
        <v/>
      </c>
    </row>
    <row r="270" spans="1:35" x14ac:dyDescent="0.25">
      <c r="A270" s="518"/>
      <c r="B270" s="504"/>
      <c r="C270" s="358" t="str">
        <f>IF(AND(ISNUMBER(B257), OR('Cost Inputs'!$H$80&lt;&gt;"", 'Cost Inputs'!$I$80&lt;&gt;"", 'Cost Inputs'!$J$80&lt;&gt;"")),
IF((INDEX(ProgramYearStage1,MATCH(DNA_Test_1,Years_in_Stage1,0)))='Model_ of_individuals'!B257,  _3_4_3,
IF(AND(ISNUMBER(B257), C249&lt;&gt;""), _3_4_3,"")),"")</f>
        <v/>
      </c>
      <c r="D270" s="17" t="str">
        <f>IF(AND(C270&lt;&gt;"", 'Cost Inputs'!$G$80&lt;&gt;""), 'Cost Inputs'!$G$80, "")</f>
        <v/>
      </c>
      <c r="E270" s="17" t="str">
        <f>IF(AND(C270&lt;&gt;"", 'Cost Inputs'!$H$80&lt;&gt;""), 'Cost Inputs'!$H$80, "")</f>
        <v/>
      </c>
      <c r="F270" s="17" t="str">
        <f>IF(AND(C270&lt;&gt;"", 'Cost Inputs'!$I$80&lt;&gt;""), 'Cost Inputs'!$I$80, "")</f>
        <v/>
      </c>
      <c r="G270" s="17" t="str">
        <f t="shared" ref="G270:G338" si="16">IF(AND($E270&lt;&gt;"", $E270&gt;0, F270&lt;&gt;""), F270/$E270, "")</f>
        <v/>
      </c>
      <c r="H270" s="17" t="str">
        <f>IF(AND(C270&lt;&gt;"", 'Cost Inputs'!$J$80&lt;&gt;""), 'Cost Inputs'!$J$80, "")</f>
        <v/>
      </c>
      <c r="I270" s="17" t="str">
        <f t="shared" si="15"/>
        <v/>
      </c>
      <c r="J270" s="17" t="str">
        <f>IF(AND(C270&lt;&gt;"",('Cost Inputs'!$I$80+'Cost Inputs'!$J$80+'Cost Inputs'!$K$80)&gt;0), 'Cost Inputs'!$I$80+'Cost Inputs'!$J$80+'Cost Inputs'!$K$80, "")</f>
        <v/>
      </c>
      <c r="K270" s="17" t="str">
        <f>IF(AND(C270&lt;&gt;"", 'Cost Inputs'!$N$80&gt;0),'Cost Inputs'!$N$80,"")</f>
        <v/>
      </c>
      <c r="M270" s="106"/>
      <c r="Z270" s="364" t="str">
        <f>IF($O$3="N.B.C.",
IF(ISNUMBER($B$257),
IF($C270&lt;&gt;"",
IF('Cost Inputs'!$L$80="Y",
IF(ISNUMBER($P$55), $E270+($E$78*(($E270/$E$78)+$P$55)), $E270),
IF('Cost Inputs'!$L$80="N",
IF(AND(ISNUMBER('Cost Inputs'!$M$80), OR('Cost Inputs'!$M$80=1,'Cost Inputs'!$M$80=3,'Cost Inputs'!$M$80=9)),
IF(ISNUMBER($P$55), $E270+($E$78*(($E270/$E$78)+$P$55)), $E270),""),"")), ""),""),"")</f>
        <v/>
      </c>
      <c r="AA270" s="364" t="str">
        <f>IF($P$3="N.B.C.",
IF(ISNUMBER($B$257),
IF($C270&lt;&gt;"",
IF('Cost Inputs'!$L$80="Y",
IF(ISNUMBER($Q$55), $E270+($E$78*(($E270/$E$78)+$Q$55)), $E270),
IF('Cost Inputs'!$L$80="N",
IF(AND(ISNUMBER('Cost Inputs'!$M$80), OR('Cost Inputs'!$M$80=1,'Cost Inputs'!$M$80=2,'Cost Inputs'!$M$80=5)),
IF(ISNUMBER($Q$55), $E270+($E$78*(($E270/$E$78)+$Q$55)), $E270),""),"")), ""),""),"")</f>
        <v/>
      </c>
      <c r="AB270" s="364" t="str">
        <f>IF($Q$3="N.B.C.",
IF(ISNUMBER($B$257),
IF($C270&lt;&gt;"",
IF('Cost Inputs'!$L$80="Y",
IF(ISNUMBER($R$55), $E270+($E$78*(($E270/$E$78)+$R$55)), $E270),
IF('Cost Inputs'!$L$80="N",
IF(AND(ISNUMBER('Cost Inputs'!$M$80), OR('Cost Inputs'!$M$80=1)),
IF(ISNUMBER($R$55), $E270+($E$78*(($E270/$E$78)+$R$55)), $E270),""),"")), ""),""),"")</f>
        <v/>
      </c>
      <c r="AC270" s="364" t="str">
        <f>IF($R$3="N.B.C.",
IF(ISNUMBER($B$257),
IF($C270&lt;&gt;"",
IF('Cost Inputs'!$L$80="Y",
IF(ISNUMBER($S$55), $E270+($E$78*(($E270/$E$78)+$S$55)), $E270),
IF('Cost Inputs'!$L$80="N",
IF(AND(ISNUMBER('Cost Inputs'!$M$80), OR('Cost Inputs'!$M$80=1,'Cost Inputs'!$M$80=2,'Cost Inputs'!$M$80=3,'Cost Inputs'!$M$80=4,'Cost Inputs'!$M$80=6)),
IF(ISNUMBER($S$55), $E270+($E$78*(($E270/$E$78)+$S$55)), $E270),""),"")), ""),""),"")</f>
        <v/>
      </c>
      <c r="AD270" s="364" t="str">
        <f>IF($S$3="N.B.C.",
IF(ISNUMBER($B$257),
IF($C270&lt;&gt;"",
IF('Cost Inputs'!$L$80="Y",
IF(ISNUMBER($T$55), $E270+($E$78*(($E270/$E$78)+$T$55)), $E270),
IF('Cost Inputs'!$L$80="N",
IF(AND(ISNUMBER('Cost Inputs'!$M$80), OR('Cost Inputs'!$M$80=1)),
IF(ISNUMBER($T$55), $E270+($E$78*(($E270/$E$78)+$T$55)), $E270),""),"")), ""),""),"")</f>
        <v/>
      </c>
      <c r="AE270" s="364" t="str">
        <f>IF($T$3="N.B.C.",
IF(ISNUMBER($B$257),
IF($C270&lt;&gt;"",
IF('Cost Inputs'!$L$80="Y",
IF(ISNUMBER($U$55), $E270+($E$78*(($E270/$E$78)+$U$55)), $E270),
IF('Cost Inputs'!$L$80="N",
IF(AND(ISNUMBER('Cost Inputs'!$M$80), OR('Cost Inputs'!$M$80=1,'Cost Inputs'!$M$80=2,'Cost Inputs'!$M$80=7)),
IF(ISNUMBER($U$55), $E270+($E$78*(($E270/$E$78)+$U$55)), $E270),""),"")), ""),""),"")</f>
        <v/>
      </c>
      <c r="AF270" s="364" t="str">
        <f>IF($U$3="N.B.C.",
IF(ISNUMBER($B$257),
IF($C270&lt;&gt;"",
IF('Cost Inputs'!$L$80="Y",
IF(ISNUMBER($V$55), $E270+($E$78*(($E270/$E$78)+$V$55)), $E270),
IF('Cost Inputs'!$L$80="N",
IF(AND(ISNUMBER('Cost Inputs'!$M$80), OR('Cost Inputs'!$M$80=1,'Cost Inputs'!$M$80=3,'Cost Inputs'!$M$80=5)),
IF(ISNUMBER($V$55), $E270+($E$78*(($E270/$E$78)+$V$55)), $E270),""),"")), ""),""),"")</f>
        <v/>
      </c>
      <c r="AG270" s="364" t="str">
        <f>IF($V$3="N.B.C.",
IF(ISNUMBER($B$257),
IF($C270&lt;&gt;"",
IF('Cost Inputs'!$L$80="Y",
IF(ISNUMBER($W$55), $E270+($E$78*(($E270/$E$78)+$W$55)), $E270),
IF('Cost Inputs'!$L$80="N",
IF(AND(ISNUMBER('Cost Inputs'!$M$80), OR('Cost Inputs'!$M$80=1,'Cost Inputs'!$M$80=2,'Cost Inputs'!$M$80=4,'Cost Inputs'!$M$80=8)),
IF(ISNUMBER($W$55), $E270+($E$78*(($E270/$E$78)+$W$55)), $E270),""),"")), ""),""),"")</f>
        <v/>
      </c>
      <c r="AH270" s="364" t="str">
        <f>IF($W$3="N.B.C.",
IF(ISNUMBER($B$257),
IF($C270&lt;&gt;"",
IF('Cost Inputs'!$L$80="Y",
IF(ISNUMBER($X$55), $E270+($E$78*(($E270/$E$78)+$X$55)), $E270),
IF('Cost Inputs'!$L$80="N",
IF(AND(ISNUMBER('Cost Inputs'!$M$80), OR('Cost Inputs'!$M$80=1)),
IF(ISNUMBER($X$55), $E270+($E$78*(($E270/$E$78)+$X$55)), $E270),""),"")), ""),""),"")</f>
        <v/>
      </c>
      <c r="AI270" s="364" t="str">
        <f>IF($X$3="N.B.C.",
IF(ISNUMBER($B$257),
IF($C270&lt;&gt;"",
IF('Cost Inputs'!$L$80="Y",
IF(ISNUMBER($Y$55), $E270+($E$78*(($E270/$E$78)+$Y$55)), $E270),
IF('Cost Inputs'!$L$80="N",
IF(AND(ISNUMBER('Cost Inputs'!$M$80), OR('Cost Inputs'!$M$80=1,'Cost Inputs'!$M$80=2,'Cost Inputs'!$M$80=3,'Cost Inputs'!$M$80=6,'Cost Inputs'!$M$80=9)),
IF(ISNUMBER($Y$55), $E270+($E$78*(($E270/$E$78)+$Y$55)), $E270),""),"")), ""),""),"")</f>
        <v/>
      </c>
    </row>
    <row r="271" spans="1:35" x14ac:dyDescent="0.25">
      <c r="A271" s="518"/>
      <c r="B271" s="504"/>
      <c r="C271" s="361" t="str">
        <f>IF(AND(ISNUMBER(B257), OR('Cost Inputs'!$H$81&lt;&gt;"", 'Cost Inputs'!$I$81&lt;&gt;"", 'Cost Inputs'!$J$81&lt;&gt;"")),
IF((INDEX(ProgramYearStage1,MATCH(DNA_Test_1,Years_in_Stage1,0)))='Model_ of_individuals'!B257,  _3_4_4,
IF(AND(ISNUMBER(B257), C250&lt;&gt;""), _3_4_4,"")),"")</f>
        <v/>
      </c>
      <c r="D271" s="93" t="str">
        <f>IF(AND(C271&lt;&gt;"", 'Cost Inputs'!$G$81&lt;&gt;""), 'Cost Inputs'!$G$81, "")</f>
        <v/>
      </c>
      <c r="E271" s="93" t="str">
        <f>IF(AND(C271&lt;&gt;"", 'Cost Inputs'!$H$81&lt;&gt;""), 'Cost Inputs'!$H$81, "")</f>
        <v/>
      </c>
      <c r="F271" s="93" t="str">
        <f>IF(AND(C271&lt;&gt;"", 'Cost Inputs'!$I$81&lt;&gt;""), 'Cost Inputs'!$I$81, "")</f>
        <v/>
      </c>
      <c r="G271" s="93" t="str">
        <f t="shared" si="16"/>
        <v/>
      </c>
      <c r="H271" s="93" t="str">
        <f>IF(AND(C271&lt;&gt;"", 'Cost Inputs'!$J$81&lt;&gt;""), 'Cost Inputs'!$J$81, "")</f>
        <v/>
      </c>
      <c r="I271" s="93" t="str">
        <f t="shared" si="15"/>
        <v/>
      </c>
      <c r="J271" s="93" t="str">
        <f>IF(AND(C271&lt;&gt;"",('Cost Inputs'!$I$81+'Cost Inputs'!$J$81+'Cost Inputs'!$K$81)&gt;0), 'Cost Inputs'!$I$81+'Cost Inputs'!$J$81+'Cost Inputs'!$K$81, "")</f>
        <v/>
      </c>
      <c r="K271" s="93" t="str">
        <f>IF(AND(C271&lt;&gt;"", 'Cost Inputs'!$N$81&gt;0),'Cost Inputs'!$N$81,"")</f>
        <v/>
      </c>
      <c r="L271" s="93"/>
      <c r="M271" s="109"/>
      <c r="Z271" s="372" t="str">
        <f>IF($O$3="N.B.C.",
IF(ISNUMBER($B$257),
IF($C271&lt;&gt;"",
IF('Cost Inputs'!$L$81="Y",
IF(ISNUMBER($P$55), $E271+($E$78*(($E271/$E$78)+$P$55)), $E271),
IF('Cost Inputs'!$L$81="N",
IF(AND(ISNUMBER('Cost Inputs'!$M$81), OR('Cost Inputs'!$M$81=1,'Cost Inputs'!$M$81=3,'Cost Inputs'!$M$81=9)),
IF(ISNUMBER($P$55), $E271+($E$78*(($E271/$E$78)+$P$55)), $E271),""),"")), ""),""),"")</f>
        <v/>
      </c>
      <c r="AA271" s="372" t="str">
        <f>IF($P$3="N.B.C.",
IF(ISNUMBER($B$257),
IF($C271&lt;&gt;"",
IF('Cost Inputs'!$L$81="Y",
IF(ISNUMBER($Q$55), $E271+($E$78*(($E271/$E$78)+$Q$55)), $E271),
IF('Cost Inputs'!$L$81="N",
IF(AND(ISNUMBER('Cost Inputs'!$M$81), OR('Cost Inputs'!$M$81=1,'Cost Inputs'!$M$81=2,'Cost Inputs'!$M$81=5)),
IF(ISNUMBER($Q$55), $E271+($E$78*(($E271/$E$78)+$Q$55)), $E271),""),"")), ""),""),"")</f>
        <v/>
      </c>
      <c r="AB271" s="372" t="str">
        <f>IF($Q$3="N.B.C.",
IF(ISNUMBER($B$257),
IF($C271&lt;&gt;"",
IF('Cost Inputs'!$L$81="Y",
IF(ISNUMBER($R$55), $E271+($E$78*(($E271/$E$78)+$R$55)), $E271),
IF('Cost Inputs'!$L$81="N",
IF(AND(ISNUMBER('Cost Inputs'!$M$81), OR('Cost Inputs'!$M$81=1)),
IF(ISNUMBER($R$55), $E271+($E$78*(($E271/$E$78)+$R$55)), $E271),""),"")), ""),""),"")</f>
        <v/>
      </c>
      <c r="AC271" s="372" t="str">
        <f>IF($R$3="N.B.C.",
IF(ISNUMBER($B$257),
IF($C271&lt;&gt;"",
IF('Cost Inputs'!$L$81="Y",
IF(ISNUMBER($S$55), $E271+($E$78*(($E271/$E$78)+$S$55)), $E271),
IF('Cost Inputs'!$L$81="N",
IF(AND(ISNUMBER('Cost Inputs'!$M$81), OR('Cost Inputs'!$M$81=1,'Cost Inputs'!$M$81=2,'Cost Inputs'!$M$81=3,'Cost Inputs'!$M$81=4,'Cost Inputs'!$M$81=6)),
IF(ISNUMBER($S$55), $E271+($E$78*(($E271/$E$78)+$S$55)), $E271),""),"")), ""),""),"")</f>
        <v/>
      </c>
      <c r="AD271" s="372" t="str">
        <f>IF($S$3="N.B.C.",
IF(ISNUMBER($B$257),
IF($C271&lt;&gt;"",
IF('Cost Inputs'!$L$81="Y",
IF(ISNUMBER($T$55), $E271+($E$78*(($E271/$E$78)+$T$55)), $E271),
IF('Cost Inputs'!$L$81="N",
IF(AND(ISNUMBER('Cost Inputs'!$M$81), OR('Cost Inputs'!$M$81=1)),
IF(ISNUMBER($T$55), $E271+($E$78*(($E271/$E$78)+$T$55)), $E271),""),"")), ""),""),"")</f>
        <v/>
      </c>
      <c r="AE271" s="372" t="str">
        <f>IF($T$3="N.B.C.",
IF(ISNUMBER($B$257),
IF($C271&lt;&gt;"",
IF('Cost Inputs'!$L$81="Y",
IF(ISNUMBER($U$55), $E271+($E$78*(($E271/$E$78)+$U$55)), $E271),
IF('Cost Inputs'!$L$81="N",
IF(AND(ISNUMBER('Cost Inputs'!$M$81), OR('Cost Inputs'!$M$81=1,'Cost Inputs'!$M$81=2,'Cost Inputs'!$M$81=7)),
IF(ISNUMBER($U$55), $E271+($E$78*(($E271/$E$78)+$U$55)), $E271),""),"")), ""),""),"")</f>
        <v/>
      </c>
      <c r="AF271" s="372" t="str">
        <f>IF($U$3="N.B.C.",
IF(ISNUMBER($B$257),
IF($C271&lt;&gt;"",
IF('Cost Inputs'!$L$81="Y",
IF(ISNUMBER($V$55), $E271+($E$78*(($E271/$E$78)+$V$55)), $E271),
IF('Cost Inputs'!$L$81="N",
IF(AND(ISNUMBER('Cost Inputs'!$M$81), OR('Cost Inputs'!$M$81=1,'Cost Inputs'!$M$81=3,'Cost Inputs'!$M$81=5)),
IF(ISNUMBER($V$55), $E271+($E$78*(($E271/$E$78)+$V$55)), $E271),""),"")), ""),""),"")</f>
        <v/>
      </c>
      <c r="AG271" s="372" t="str">
        <f>IF($V$3="N.B.C.",
IF(ISNUMBER($B$257),
IF($C271&lt;&gt;"",
IF('Cost Inputs'!$L$81="Y",
IF(ISNUMBER($W$55), $E271+($E$78*(($E271/$E$78)+$W$55)), $E271),
IF('Cost Inputs'!$L$81="N",
IF(AND(ISNUMBER('Cost Inputs'!$M$81), OR('Cost Inputs'!$M$81=1,'Cost Inputs'!$M$81=2,'Cost Inputs'!$M$81=4,'Cost Inputs'!$M$81=8)),
IF(ISNUMBER($W$55), $E271+($E$78*(($E271/$E$78)+$W$55)), $E271),""),"")), ""),""),"")</f>
        <v/>
      </c>
      <c r="AH271" s="372" t="str">
        <f>IF($W$3="N.B.C.",
IF(ISNUMBER($B$257),
IF($C271&lt;&gt;"",
IF('Cost Inputs'!$L$81="Y",
IF(ISNUMBER($X$55), $E271+($E$78*(($E271/$E$78)+$X$55)), $E271),
IF('Cost Inputs'!$L$81="N",
IF(AND(ISNUMBER('Cost Inputs'!$M$81), OR('Cost Inputs'!$M$81=1)),
IF(ISNUMBER($X$55), $E271+($E$78*(($E271/$E$78)+$X$55)), $E271),""),"")), ""),""),"")</f>
        <v/>
      </c>
      <c r="AI271" s="372" t="str">
        <f>IF($X$3="N.B.C.",
IF(ISNUMBER($B$257),
IF($C271&lt;&gt;"",
IF('Cost Inputs'!$L$81="Y",
IF(ISNUMBER($Y$55), $E271+($E$78*(($E271/$E$78)+$Y$55)), $E271),
IF('Cost Inputs'!$L$81="N",
IF(AND(ISNUMBER('Cost Inputs'!$M$81), OR('Cost Inputs'!$M$81=1,'Cost Inputs'!$M$81=2,'Cost Inputs'!$M$81=3,'Cost Inputs'!$M$81=6, 'Cost Inputs'!$M$81=9)),
IF(ISNUMBER($Y$55), $E271+($E$78*(($E271/$E$78)+$Y$55)), $E271),""),"")), ""),""),"")</f>
        <v/>
      </c>
    </row>
    <row r="272" spans="1:35" x14ac:dyDescent="0.25">
      <c r="A272" s="518"/>
      <c r="B272" s="504"/>
      <c r="C272" s="358" t="str">
        <f>IF(AND(ISNUMBER(B257), OR('Cost Inputs'!$H$82&lt;&gt;"", 'Cost Inputs'!$I$82&lt;&gt;"", 'Cost Inputs'!$J$82&lt;&gt;"")),
IF((INDEX(ProgramYearStage1,MATCH(DNA_Test_1,Years_in_Stage1,0)))='Model_ of_individuals'!B257,  _3_4_5,
IF(AND(ISNUMBER(B257), C251&lt;&gt;""), _3_4_5,"")),"")</f>
        <v/>
      </c>
      <c r="D272" s="17" t="str">
        <f>IF(AND(C272&lt;&gt;"", 'Cost Inputs'!$G$82&lt;&gt;""), 'Cost Inputs'!$G$82, "")</f>
        <v/>
      </c>
      <c r="E272" s="17" t="str">
        <f>IF(AND(C272&lt;&gt;"", 'Cost Inputs'!$H$82&lt;&gt;""), 'Cost Inputs'!$H$82, "")</f>
        <v/>
      </c>
      <c r="F272" s="17" t="str">
        <f>IF(AND(C272&lt;&gt;"", 'Cost Inputs'!$I$82&lt;&gt;""), 'Cost Inputs'!$I$82, "")</f>
        <v/>
      </c>
      <c r="G272" s="17" t="str">
        <f t="shared" si="16"/>
        <v/>
      </c>
      <c r="H272" s="17" t="str">
        <f>IF(AND(C272&lt;&gt;"", 'Cost Inputs'!$J$82&lt;&gt;""), 'Cost Inputs'!$J$82, "")</f>
        <v/>
      </c>
      <c r="I272" s="17" t="str">
        <f t="shared" si="15"/>
        <v/>
      </c>
      <c r="J272" s="17" t="str">
        <f>IF(AND(C272&lt;&gt;"",('Cost Inputs'!$I$82+'Cost Inputs'!$J$82+'Cost Inputs'!$K$82)&gt;0), 'Cost Inputs'!$I$82+'Cost Inputs'!$J$82+'Cost Inputs'!$K$82, "")</f>
        <v/>
      </c>
      <c r="K272" s="17" t="str">
        <f>IF(AND(C272&lt;&gt;"", 'Cost Inputs'!$N$82&gt;0),'Cost Inputs'!$N$82,"")</f>
        <v/>
      </c>
      <c r="M272" s="106"/>
      <c r="Z272" s="364" t="str">
        <f>IF($O$3="N.B.C.",
IF(ISNUMBER($B$257),
IF($C272&lt;&gt;"",
IF('Cost Inputs'!$L$82="Y",
IF(ISNUMBER($P$55), $E272+($E$78*(($E272/$E$78)+$P$55)), $E272),
IF('Cost Inputs'!$L$82="N",
IF(AND(ISNUMBER('Cost Inputs'!$M$82), OR('Cost Inputs'!$M$82=1,'Cost Inputs'!$M$82=3,'Cost Inputs'!$M$82=9)),
IF(ISNUMBER($P$55), $E272+($E$78*(($E272/$E$78)+$P$55)), $E272),""),"")), ""),""),"")</f>
        <v/>
      </c>
      <c r="AA272" s="364" t="str">
        <f>IF($P$3="N.B.C.",
IF(ISNUMBER($B$257),
IF($C272&lt;&gt;"",
IF('Cost Inputs'!$L$82="Y",
IF(ISNUMBER($Q$55), $E272+($E$78*(($E272/$E$78)+$Q$55)), $E272),
IF('Cost Inputs'!$L$82="N",
IF(AND(ISNUMBER('Cost Inputs'!$M$82), OR('Cost Inputs'!$M$82=1,'Cost Inputs'!$M$82=2,'Cost Inputs'!$M$82=5)),
IF(ISNUMBER($Q$55), $E272+($E$78*(($E272/$E$78)+$Q$55)), $E272),""),"")), ""),""),"")</f>
        <v/>
      </c>
      <c r="AB272" s="364" t="str">
        <f>IF($Q$3="N.B.C.",
IF(ISNUMBER($B$257),
IF($C272&lt;&gt;"",
IF('Cost Inputs'!$L$82="Y",
IF(ISNUMBER($R$55), $E272+($E$78*(($E272/$E$78)+$R$55)), $E272),
IF('Cost Inputs'!$L$82="N",
IF(AND(ISNUMBER('Cost Inputs'!$M$82), OR('Cost Inputs'!$M$82=1)),
IF(ISNUMBER($R$55), $E272+($E$78*(($E272/$E$78)+$R$55)), $E272),""),"")), ""),""),"")</f>
        <v/>
      </c>
      <c r="AC272" s="364" t="str">
        <f>IF($R$3="N.B.C.",
IF(ISNUMBER($B$257),
IF($C272&lt;&gt;"",
IF('Cost Inputs'!$L$82="Y",
IF(ISNUMBER($S$55), $E272+($E$78*(($E272/$E$78)+$S$55)), $E272),
IF('Cost Inputs'!$L$82="N",
IF(AND(ISNUMBER('Cost Inputs'!$M$82), OR('Cost Inputs'!$M$82=1,'Cost Inputs'!$M$82=2,'Cost Inputs'!$M$82=3,'Cost Inputs'!$M$82=4,'Cost Inputs'!$M$82=6)),
IF(ISNUMBER($S$55), $E272+($E$78*(($E272/$E$78)+$S$55)), $E272),""),"")), ""),""),"")</f>
        <v/>
      </c>
      <c r="AD272" s="364" t="str">
        <f>IF($S$3="N.B.C.",
IF(ISNUMBER($B$257),
IF($C272&lt;&gt;"",
IF('Cost Inputs'!$L$82="Y",
IF(ISNUMBER($T$55), $E272+($E$78*(($E272/$E$78)+$T$55)), $E272),
IF('Cost Inputs'!$L$82="N",
IF(AND(ISNUMBER('Cost Inputs'!$M$82), OR('Cost Inputs'!$M$82=1)),
IF(ISNUMBER($T$55), $E272+($E$78*(($E272/$E$78)+$T$55)), $E272),""),"")), ""),""),"")</f>
        <v/>
      </c>
      <c r="AE272" s="364" t="str">
        <f>IF($T$3="N.B.C.",
IF(ISNUMBER($B$257),
IF($C272&lt;&gt;"",
IF('Cost Inputs'!$L$82="Y",
IF(ISNUMBER($U$55), $E272+($E$78*(($E272/$E$78)+$U$55)), $E272),
IF('Cost Inputs'!$L$82="N",
IF(AND(ISNUMBER('Cost Inputs'!$M$82), OR('Cost Inputs'!$M$82=1,'Cost Inputs'!$M$82=2,'Cost Inputs'!$M$82=7)),
IF(ISNUMBER($U$55), $E272+($E$78*(($E272/$E$78)+$U$55)), $E272),""),"")), ""),""),"")</f>
        <v/>
      </c>
      <c r="AF272" s="364" t="str">
        <f>IF($U$3="N.B.C.",
IF(ISNUMBER($B$257),
IF($C272&lt;&gt;"",
IF('Cost Inputs'!$L$82="Y",
IF(ISNUMBER($V$55), $E272+($E$78*(($E272/$E$78)+$V$55)), $E272),
IF('Cost Inputs'!$L$82="N",
IF(AND(ISNUMBER('Cost Inputs'!$M$82), OR('Cost Inputs'!$M$82=1,'Cost Inputs'!$M$82=3,'Cost Inputs'!$M$82=5)),
IF(ISNUMBER($V$55), $E272+($E$78*(($E272/$E$78)+$V$55)), $E272),""),"")), ""),""),"")</f>
        <v/>
      </c>
      <c r="AG272" s="364" t="str">
        <f>IF($V$3="N.B.C.",
IF(ISNUMBER($B$257),
IF($C272&lt;&gt;"",
IF('Cost Inputs'!$L$82="Y",
IF(ISNUMBER($W$55), $E272+($E$78*(($E272/$E$78)+$W$55)), $E272),
IF('Cost Inputs'!$L$82="N",
IF(AND(ISNUMBER('Cost Inputs'!$M$82), OR('Cost Inputs'!$M$82=1,'Cost Inputs'!$M$82=2,'Cost Inputs'!$M$82=4,'Cost Inputs'!$M$82=8)),
IF(ISNUMBER($W$55), $E272+($E$78*(($E272/$E$78)+$W$55)), $E272),""),"")), ""),""),"")</f>
        <v/>
      </c>
      <c r="AH272" s="364" t="str">
        <f>IF($W$3="N.B.C.",
IF(ISNUMBER($B$257),
IF($C272&lt;&gt;"",
IF('Cost Inputs'!$L$82="Y",
IF(ISNUMBER($X$55), $E272+($E$78*(($E272/$E$78)+$X$55)), $E272),
IF('Cost Inputs'!$L$82="N",
IF(AND(ISNUMBER('Cost Inputs'!$M$82), OR('Cost Inputs'!$M$82=1)),
IF(ISNUMBER($X$55), $E272+($E$78*(($E272/$E$78)+$X$55)), $E272),""),"")), ""),""),"")</f>
        <v/>
      </c>
      <c r="AI272" s="364" t="str">
        <f>IF($X$3="N.B.C.",
IF(ISNUMBER($B$257),
IF($C272&lt;&gt;"",
IF('Cost Inputs'!$L$82="Y",
IF(ISNUMBER($Y$55), $E272+($E$78*(($E272/$E$78)+$Y$55)), $E272),
IF('Cost Inputs'!$L$82="N",
IF(AND(ISNUMBER('Cost Inputs'!$M$82), OR('Cost Inputs'!$M$82=1,'Cost Inputs'!$M$82=2,'Cost Inputs'!$M$82=3,'Cost Inputs'!$M$82=3,'Cost Inputs'!$M$82=9)),
IF(ISNUMBER($Y$55), $E272+($E$78*(($E272/$E$78)+$Y$55)), $E272),""),"")), ""),""),"")</f>
        <v/>
      </c>
    </row>
    <row r="273" spans="1:44" x14ac:dyDescent="0.25">
      <c r="A273" s="518"/>
      <c r="B273" s="504"/>
      <c r="C273" s="361" t="str">
        <f>IF(AND(ISNUMBER(B257), OR('Cost Inputs'!$H$83&lt;&gt;"", 'Cost Inputs'!$I$83&lt;&gt;"", 'Cost Inputs'!$J$83&lt;&gt;"")),
IF((INDEX(ProgramYearStage1,MATCH(DNA_Test_1,Years_in_Stage1,0)))='Model_ of_individuals'!B257,  _3_4_6,
IF(AND(ISNUMBER(B257), C252&lt;&gt;""), _3_4_6,"")),"")</f>
        <v/>
      </c>
      <c r="D273" s="93" t="str">
        <f>IF(AND(C273&lt;&gt;"", 'Cost Inputs'!$G$83&lt;&gt;""), 'Cost Inputs'!$G$83, "")</f>
        <v/>
      </c>
      <c r="E273" s="93" t="str">
        <f>IF(AND(C273&lt;&gt;"", 'Cost Inputs'!$H$83&lt;&gt;""), 'Cost Inputs'!$H$83, "")</f>
        <v/>
      </c>
      <c r="F273" s="93" t="str">
        <f>IF(AND(C273&lt;&gt;"", 'Cost Inputs'!$I$83&lt;&gt;""), 'Cost Inputs'!$I$83, "")</f>
        <v/>
      </c>
      <c r="G273" s="93" t="str">
        <f t="shared" si="16"/>
        <v/>
      </c>
      <c r="H273" s="93" t="str">
        <f>IF(AND(C273&lt;&gt;"", 'Cost Inputs'!$J$83&lt;&gt;""), 'Cost Inputs'!$J$83, "")</f>
        <v/>
      </c>
      <c r="I273" s="93" t="str">
        <f t="shared" si="15"/>
        <v/>
      </c>
      <c r="J273" s="93" t="str">
        <f>IF(AND(C273&lt;&gt;"",('Cost Inputs'!$I$83+'Cost Inputs'!$J$83+'Cost Inputs'!$K$83)&gt;0), 'Cost Inputs'!$I$83+'Cost Inputs'!$J$83+'Cost Inputs'!$K$83, "")</f>
        <v/>
      </c>
      <c r="K273" s="93" t="str">
        <f>IF(AND(C273&lt;&gt;"", 'Cost Inputs'!$N$83&gt;0),'Cost Inputs'!$N$83,"")</f>
        <v/>
      </c>
      <c r="L273" s="93"/>
      <c r="M273" s="109"/>
      <c r="Z273" s="372" t="str">
        <f>IF($O$3="N.B.C.",
IF(ISNUMBER($B$257),
IF($C273&lt;&gt;"",
IF('Cost Inputs'!$L$83="Y",
IF(ISNUMBER($P$55), $E273+($E$78*(($E273/$E$78)+$P$55)), $E273),
IF('Cost Inputs'!$L$83="N",
IF(AND(ISNUMBER('Cost Inputs'!$M$83), OR('Cost Inputs'!$M$83=1,'Cost Inputs'!$M$83=3,'Cost Inputs'!$M$83=9)),
IF(ISNUMBER($P$55), $E273+($E$78*(($E273/$E$78)+$P$55)), $E273),""),"")), ""),""),"")</f>
        <v/>
      </c>
      <c r="AA273" s="372" t="str">
        <f>IF($P$3="N.B.C.",
IF(ISNUMBER($B$257),
IF($C273&lt;&gt;"",
IF('Cost Inputs'!$L$83="Y",
IF(ISNUMBER($Q$55), $E273+($E$78*(($E273/$E$78)+$Q$55)), $E273),
IF('Cost Inputs'!$L$83="N",
IF(AND(ISNUMBER('Cost Inputs'!$M$83), OR('Cost Inputs'!$M$83=1,'Cost Inputs'!$M$83=2,'Cost Inputs'!$M$83=5)),
IF(ISNUMBER($Q$55), $E273+($E$78*(($E273/$E$78)+$Q$55)), $E273),""),"")), ""),""),"")</f>
        <v/>
      </c>
      <c r="AB273" s="372" t="str">
        <f>IF($Q$3="N.B.C.",
IF(ISNUMBER($B$257),
IF($C273&lt;&gt;"",
IF('Cost Inputs'!$L$83="Y",
IF(ISNUMBER($R$55), $E273+($E$78*(($E273/$E$78)+$R$55)), $E273),
IF('Cost Inputs'!$L$83="N",
IF(AND(ISNUMBER('Cost Inputs'!$M$83), OR('Cost Inputs'!$M$83=1)),
IF(ISNUMBER($R$55), $E273+($E$78*(($E273/$E$78)+$R$55)), $E273),""),"")), ""),""),"")</f>
        <v/>
      </c>
      <c r="AC273" s="372" t="str">
        <f>IF($R$3="N.B.C.",
IF(ISNUMBER($B$257),
IF($C273&lt;&gt;"",
IF('Cost Inputs'!$L$83="Y",
IF(ISNUMBER($S$55), $E273+($E$78*(($E273/$E$78)+$S$55)), $E273),
IF('Cost Inputs'!$L$83="N",
IF(AND(ISNUMBER('Cost Inputs'!$M$83), OR('Cost Inputs'!$M$83=1,'Cost Inputs'!$M$83=2,'Cost Inputs'!$M$83=3,'Cost Inputs'!$M$83=4,'Cost Inputs'!$M$83=6)),
IF(ISNUMBER($S$55), $E273+($E$78*(($E273/$E$78)+$S$55)), $E273),""),"")), ""),""),"")</f>
        <v/>
      </c>
      <c r="AD273" s="372" t="str">
        <f>IF($S$3="N.B.C.",
IF(ISNUMBER($B$257),
IF($C273&lt;&gt;"",
IF('Cost Inputs'!$L$83="Y",
IF(ISNUMBER($T$55), $E273+($E$78*(($E273/$E$78)+$T$55)), $E273),
IF('Cost Inputs'!$L$83="N",
IF(AND(ISNUMBER('Cost Inputs'!$M$83), OR('Cost Inputs'!$M$83=1)),
IF(ISNUMBER($T$55), $E273+($E$78*(($E273/$E$78)+$T$55)), $E273),""),"")), ""),""),"")</f>
        <v/>
      </c>
      <c r="AE273" s="372" t="str">
        <f>IF($T$3="N.B.C.",
IF(ISNUMBER($B$257),
IF($C273&lt;&gt;"",
IF('Cost Inputs'!$L$83="Y",
IF(ISNUMBER($U$55), $E273+($E$78*(($E273/$E$78)+$U$55)), $E273),
IF('Cost Inputs'!$L$83="N",
IF(AND(ISNUMBER('Cost Inputs'!$M$83), OR('Cost Inputs'!$M$83=1,'Cost Inputs'!$M$83=2,'Cost Inputs'!$M$83=7)),
IF(ISNUMBER($U$55), $E273+($E$78*(($E273/$E$78)+$U$55)), $E273),""),"")), ""),""),"")</f>
        <v/>
      </c>
      <c r="AF273" s="372" t="str">
        <f>IF($U$3="N.B.C.",
IF(ISNUMBER($B$257),
IF($C273&lt;&gt;"",
IF('Cost Inputs'!$L$83="Y",
IF(ISNUMBER($V$55), $E273+($E$78*(($E273/$E$78)+$V$55)), $E273),
IF('Cost Inputs'!$L$83="N",
IF(AND(ISNUMBER('Cost Inputs'!$M$83), OR('Cost Inputs'!$M$83=1,'Cost Inputs'!$M$83=3,'Cost Inputs'!$M$83=5)),
IF(ISNUMBER($V$55), $E273+($E$78*(($E273/$E$78)+$V$55)), $E273),""),"")), ""),""),"")</f>
        <v/>
      </c>
      <c r="AG273" s="372" t="str">
        <f>IF($V$3="N.B.C.",
IF(ISNUMBER($B$257),
IF($C273&lt;&gt;"",
IF('Cost Inputs'!$L$83="Y",
IF(ISNUMBER($W$55), $E273+($E$78*(($E273/$E$78)+$W$55)), $E273),
IF('Cost Inputs'!$L$83="N",
IF(AND(ISNUMBER('Cost Inputs'!$M$83), OR('Cost Inputs'!$M$83=1,'Cost Inputs'!$M$83=2,'Cost Inputs'!$M$83=4,'Cost Inputs'!$M$83=8)),
IF(ISNUMBER($W$55), $E273+($E$78*(($E273/$E$78)+$W$55)), $E273),""),"")), ""),""),"")</f>
        <v/>
      </c>
      <c r="AH273" s="372" t="str">
        <f>IF($W$3="N.B.C.",
IF(ISNUMBER($B$257),
IF($C273&lt;&gt;"",
IF('Cost Inputs'!$L$83="Y",
IF(ISNUMBER($X$55), $E273+($E$78*(($E273/$E$78)+$X$55)), $E273),
IF('Cost Inputs'!$L$83="N",
IF(AND(ISNUMBER('Cost Inputs'!$M$83), OR('Cost Inputs'!$M$83=1)),
IF(ISNUMBER($X$55), $E273+($E$78*(($E273/$E$78)+$X$55)), $E273),""),"")), ""),""),"")</f>
        <v/>
      </c>
      <c r="AI273" s="372" t="str">
        <f>IF($X$3="N.B.C.",
IF(ISNUMBER($B$257),
IF($C273&lt;&gt;"",
IF('Cost Inputs'!$L$83="Y",
IF(ISNUMBER($Y$55), $E273+($E$78*(($E273/$E$78)+$Y$55)), $E273),
IF('Cost Inputs'!$L$83="N",
IF(AND(ISNUMBER('Cost Inputs'!$M$83), OR('Cost Inputs'!$M$83=1,'Cost Inputs'!$M$83=2,'Cost Inputs'!$M$83=3,'Cost Inputs'!$M$83=6,'Cost Inputs'!$M$83=9)),
IF(ISNUMBER($Y$55), $E273+($E$78*(($E273/$E$78)+$Y$55)), $E273),""),"")), ""),""),"")</f>
        <v/>
      </c>
    </row>
    <row r="274" spans="1:44" x14ac:dyDescent="0.25">
      <c r="A274" s="518"/>
      <c r="B274" s="504"/>
      <c r="C274" s="489" t="str">
        <f>IF('Model_ of_individuals'!C267&lt;&gt;"",
IF((INDEX(ProgramYearStage1,MATCH(DNA_Test_1,Years_in_Stage1,0)))='Model_ of_individuals'!B257, "Percentage decrease in marker culling",""),"")</f>
        <v/>
      </c>
      <c r="D274" s="490"/>
      <c r="E274" s="490"/>
      <c r="F274" s="490"/>
      <c r="G274" s="490"/>
      <c r="H274" s="490"/>
      <c r="I274" s="490"/>
      <c r="J274" s="490"/>
      <c r="K274" s="490"/>
      <c r="L274" s="490"/>
      <c r="M274" s="491"/>
      <c r="Z274" s="364" t="str">
        <f>IF($O$3="N.B.C.",
IF(ISNUMBER($B$257),
IF($C274&lt;&gt;"",
IF('Cost Inputs'!$L$84="Y",
IF(ISNUMBER($P$55), $E274+($E$78*(($E274/$E$78)+$P$55)), $E274),
IF('Cost Inputs'!$L$84="N",
IF(AND(ISNUMBER('Cost Inputs'!$M$84), OR('Cost Inputs'!$M$84=1,'Cost Inputs'!$M$84=3,'Cost Inputs'!$M$84=9)),
IF(ISNUMBER($P$55), $E274+($E$78*(($E274/$E$78)+$P$55)), $E274),""),"")), ""),""),"")</f>
        <v/>
      </c>
      <c r="AA274" s="364" t="str">
        <f>IF($P$3="N.B.C.",
IF(ISNUMBER($B$257),
IF($C274&lt;&gt;"",
IF('Cost Inputs'!$L$84="Y",
IF(ISNUMBER($Q$55), $E274+($E$78*(($E274/$E$78)+$Q$55)), $E274),
IF('Cost Inputs'!$L$84="N",
IF(AND(ISNUMBER('Cost Inputs'!$M$84), OR('Cost Inputs'!$M$84=1,'Cost Inputs'!$M$84=2,'Cost Inputs'!$M$84=5)),
IF(ISNUMBER($Q$55), $E274+($E$78*(($E274/$E$78)+$Q$55)), $E274),""),"")), ""),""),"")</f>
        <v/>
      </c>
      <c r="AB274" s="364" t="str">
        <f>IF($Q$3="N.B.C.",
IF(ISNUMBER($B$257),
IF($C274&lt;&gt;"",
IF('Cost Inputs'!$L$84="Y",
IF(ISNUMBER($R$55), $E274+($E$78*(($E274/$E$78)+$R$55)), $E274),
IF('Cost Inputs'!$L$84="N",
IF(AND(ISNUMBER('Cost Inputs'!$M$84), OR('Cost Inputs'!$M$84=1)),
IF(ISNUMBER($R$55), $E274+($E$78*(($E274/$E$78)+$R$55)), $E274),""),"")), ""),""),"")</f>
        <v/>
      </c>
      <c r="AC274" s="364" t="str">
        <f>IF($R$3="N.B.C.",
IF(ISNUMBER($B$257),
IF($C274&lt;&gt;"",
IF('Cost Inputs'!$L$84="Y",
IF(ISNUMBER($S$55), $E274+($E$78*(($E274/$E$78)+$S$55)), $E274),
IF('Cost Inputs'!$L$84="N",
IF(AND(ISNUMBER('Cost Inputs'!$M$84), OR('Cost Inputs'!$M$84=1,'Cost Inputs'!$M$84=2,'Cost Inputs'!$M$84=3,'Cost Inputs'!$M$84=4,'Cost Inputs'!$M$84=6)),
IF(ISNUMBER($S$55), $E274+($E$78*(($E274/$E$78)+$S$55)), $E274),""),"")), ""),""),"")</f>
        <v/>
      </c>
      <c r="AD274" s="364" t="str">
        <f>IF($S$3="N.B.C.",
IF(ISNUMBER($B$257),
IF($C274&lt;&gt;"",
IF('Cost Inputs'!$L$84="Y",
IF(ISNUMBER($T$55), $E274+($E$78*(($E274/$E$78)+$T$55)), $E274),
IF('Cost Inputs'!$L$84="N",
IF(AND(ISNUMBER('Cost Inputs'!$M$84), OR('Cost Inputs'!$M$84=1)),
IF(ISNUMBER($T$55), $E274+($E$78*(($E274/$E$78)+$T$55)), $E274),""),"")), ""),""),"")</f>
        <v/>
      </c>
      <c r="AE274" s="364" t="str">
        <f>IF($T$3="N.B.C.",
IF(ISNUMBER($B$257),
IF($C274&lt;&gt;"",
IF('Cost Inputs'!$L$84="Y",
IF(ISNUMBER($U$55), $E274+($E$78*(($E274/$E$78)+$U$55)), $E274),
IF('Cost Inputs'!$L$84="N",
IF(AND(ISNUMBER('Cost Inputs'!$M$84), OR('Cost Inputs'!$M$84=1,'Cost Inputs'!$M$84=2,'Cost Inputs'!$M$84=7)),
IF(ISNUMBER($U$55), $E274+($E$78*(($E274/$E$78)+$U$55)), $E274),""),"")), ""),""),"")</f>
        <v/>
      </c>
      <c r="AF274" s="364" t="str">
        <f>IF($U$3="N.B.C.",
IF(ISNUMBER($B$257),
IF($C274&lt;&gt;"",
IF('Cost Inputs'!$L$84="Y",
IF(ISNUMBER($V$55), $E274+($E$78*(($E274/$E$78)+$V$55)), $E274),
IF('Cost Inputs'!$L$84="N",
IF(AND(ISNUMBER('Cost Inputs'!$M$84), OR('Cost Inputs'!$M$84=1,'Cost Inputs'!$M$84=3,'Cost Inputs'!$M$84=5)),
IF(ISNUMBER($V$55), $E274+($E$78*(($E274/$E$78)+$V$55)), $E274),""),"")), ""),""),"")</f>
        <v/>
      </c>
      <c r="AG274" s="364" t="str">
        <f>IF($V$3="N.B.C.",
IF(ISNUMBER($B$257),
IF($C274&lt;&gt;"",
IF('Cost Inputs'!$L$84="Y",
IF(ISNUMBER($W$55), $E274+($E$78*(($E274/$E$78)+$W$55)), $E274),
IF('Cost Inputs'!$L$84="N",
IF(AND(ISNUMBER('Cost Inputs'!$M$84), OR('Cost Inputs'!$M$84=1,'Cost Inputs'!$M$84=2,'Cost Inputs'!$M$84=4,'Cost Inputs'!$M$84=8)),
IF(ISNUMBER($W$55), $E274+($E$78*(($E274/$E$78)+$W$55)), $E274),""),"")), ""),""),"")</f>
        <v/>
      </c>
      <c r="AH274" s="364" t="str">
        <f>IF($W$3="N.B.C.",
IF(ISNUMBER($B$257),
IF($C274&lt;&gt;"",
IF('Cost Inputs'!$L$84="Y",
IF(ISNUMBER($X$55), $E274+($E$78*(($E274/$E$78)+$X$55)), $E274),
IF('Cost Inputs'!$L$84="N",
IF(AND(ISNUMBER('Cost Inputs'!$M$84), OR('Cost Inputs'!$M$84=1)),
IF(ISNUMBER($X$55), $E274+($E$78*(($E274/$E$78)+$X$55)), $E274),""),"")), ""),""),"")</f>
        <v/>
      </c>
      <c r="AI274" s="364" t="str">
        <f>IF($X$3="N.B.C.",
IF(ISNUMBER($B$257),
IF($C274&lt;&gt;"",
IF('Cost Inputs'!$L$84="Y",
IF(ISNUMBER($Y$55), $E274+($E$78*(($E274/$E$78)+$Y$55)), $E274),
IF('Cost Inputs'!$L$84="N",
IF(AND(ISNUMBER('Cost Inputs'!$M$84), OR('Cost Inputs'!$M$84=1,'Cost Inputs'!$M$84=2,'Cost Inputs'!$M$84=3,'Cost Inputs'!$M$84=6,'Cost Inputs'!$M$84=9)),
IF(ISNUMBER($Y$55), $E274+($E$78*(($E274/$E$78)+$Y$55)), $E274),""),"")), ""),""),"")</f>
        <v/>
      </c>
    </row>
    <row r="275" spans="1:44" x14ac:dyDescent="0.25">
      <c r="A275" s="518"/>
      <c r="B275" s="504"/>
      <c r="C275" s="110" t="str">
        <f>IF(ISNUMBER(B257), _3_5_0,"")</f>
        <v/>
      </c>
      <c r="D275" s="94" t="str">
        <f>IF(AND(B257&lt;&gt;"", OR('Cost Inputs'!$H$84&lt;&gt;"", 'Cost Inputs'!$I$84&lt;&gt;"", 'Cost Inputs'!$J$84&lt;&gt;"")), 'Cost Inputs'!$G$84,"")</f>
        <v/>
      </c>
      <c r="E275" s="94" t="str">
        <f>IF(AND(C275&lt;&gt;"", 'Cost Inputs'!$H$84&lt;&gt;""), 'Cost Inputs'!$H$84, "")</f>
        <v/>
      </c>
      <c r="F275" s="94" t="str">
        <f>IF(AND(C275&lt;&gt;"", 'Cost Inputs'!$I$84&lt;&gt;""), 'Cost Inputs'!$I$84, "")</f>
        <v/>
      </c>
      <c r="G275" s="94" t="str">
        <f t="shared" si="16"/>
        <v/>
      </c>
      <c r="H275" s="94" t="str">
        <f>IF(AND(C275&lt;&gt;"", 'Cost Inputs'!$J$84&lt;&gt;""), 'Cost Inputs'!$J$84, "")</f>
        <v/>
      </c>
      <c r="I275" s="94" t="str">
        <f>IF(AND($E275&lt;&gt;"", $H275&lt;&gt;""), $H275/$E275, "")</f>
        <v/>
      </c>
      <c r="J275" s="94" t="str">
        <f>IF(AND(C275&lt;&gt;"",('Cost Inputs'!$I$84+'Cost Inputs'!$J$84+'Cost Inputs'!$K$84)&gt;0), 'Cost Inputs'!$I$84+'Cost Inputs'!$J$84+'Cost Inputs'!$K$84, "")</f>
        <v/>
      </c>
      <c r="K275" s="94" t="str">
        <f>IF(AND(C275&lt;&gt;"", 'Cost Inputs'!$N$84&gt;0),'Cost Inputs'!$N$84,"")</f>
        <v/>
      </c>
      <c r="L275" s="94"/>
      <c r="M275" s="129" t="str">
        <f>IF(ISNUMBER(B257), 'Breeding Inputs'!D86+'Breeding Inputs'!E86, "")</f>
        <v/>
      </c>
      <c r="Z275" s="373" t="str">
        <f>IF($O$3="N.B.C.", IF(ISNUMBER($B$257), IF('Cost Inputs'!$L$84="Y", $E$86, IF('Cost Inputs'!$L$84="N", IF(ISNUMBER('Cost Inputs'!$M$84), $E$86,""),"")), ""),"")</f>
        <v/>
      </c>
      <c r="AA275" s="373" t="str">
        <f>IF($P$3="N.B.C.", IF(ISNUMBER($B$257), IF('Cost Inputs'!$L$84="Y", $E$86, IF('Cost Inputs'!$L$84="N", IF(ISNUMBER('Cost Inputs'!$M$84), $E$86,""),"")), ""),"")</f>
        <v/>
      </c>
      <c r="AB275" s="373" t="str">
        <f>IF($Q$3="N.B.C.", IF(ISNUMBER($B$257), IF('Cost Inputs'!$L$84="Y", $E$86, IF('Cost Inputs'!$L$84="N", IF(ISNUMBER('Cost Inputs'!$M$84), $E$86,""),"")), ""),"")</f>
        <v/>
      </c>
      <c r="AC275" s="373" t="str">
        <f>IF($R$3="N.B.C.", IF(ISNUMBER($B$257), IF('Cost Inputs'!$L$84="Y", $E$86, IF('Cost Inputs'!$L$84="N", IF(ISNUMBER('Cost Inputs'!$M$84), $E$86,""),"")), ""),"")</f>
        <v/>
      </c>
      <c r="AD275" s="373" t="str">
        <f>IF($S$3="N.B.C.", IF(ISNUMBER($B$257), IF('Cost Inputs'!$L$84="Y", $E$86, IF('Cost Inputs'!$L$84="N", IF(ISNUMBER('Cost Inputs'!$M$84), $E$86,""),"")), ""),"")</f>
        <v/>
      </c>
      <c r="AE275" s="373" t="str">
        <f>IF($T$3="N.B.C.", IF(ISNUMBER($B$257), IF('Cost Inputs'!$L$84="Y", $E$86, IF('Cost Inputs'!$L$84="N", IF(ISNUMBER('Cost Inputs'!$M$84), $E$86,""),"")), ""),"")</f>
        <v/>
      </c>
      <c r="AF275" s="373" t="str">
        <f>IF($U$3="N.B.C.", IF(ISNUMBER($B$257), IF('Cost Inputs'!$L$84="Y", $E$86, IF('Cost Inputs'!$L$84="N", IF(ISNUMBER('Cost Inputs'!$M$84), $E$86,""),"")), ""),"")</f>
        <v/>
      </c>
      <c r="AG275" s="373" t="str">
        <f>IF($V$3="N.B.C.", IF(ISNUMBER($B$257), IF('Cost Inputs'!$L$84="Y", $E$86, IF('Cost Inputs'!$L$84="N", IF(ISNUMBER('Cost Inputs'!$M$84), $E$86,""),"")), ""),"")</f>
        <v/>
      </c>
      <c r="AH275" s="373" t="str">
        <f>IF($W$3="N.B.C.", IF(ISNUMBER($B$257), IF('Cost Inputs'!$L$84="Y", $E$86, IF('Cost Inputs'!$L$84="N", IF(ISNUMBER('Cost Inputs'!$M$84), $E$86,""),"")), ""),"")</f>
        <v/>
      </c>
      <c r="AI275" s="373" t="str">
        <f>IF($X$3="N.B.C.", IF(ISNUMBER($B$257), IF('Cost Inputs'!$L$84="Y", $E$86, IF('Cost Inputs'!$L$84="N", IF(ISNUMBER('Cost Inputs'!$M$84), $E$86,""),"")), ""),"")</f>
        <v/>
      </c>
    </row>
    <row r="276" spans="1:44" x14ac:dyDescent="0.25">
      <c r="A276" s="518"/>
      <c r="B276" s="504"/>
      <c r="C276" s="104" t="str">
        <f>IF(AND(ISNUMBER(B257), OR('Cost Inputs'!$H$85&lt;&gt;"", 'Cost Inputs'!$I$85&lt;&gt;"", 'Cost Inputs'!$J$85&lt;&gt;"")), _3_5_1, "")</f>
        <v/>
      </c>
      <c r="D276" s="17" t="str">
        <f>IF(AND(C276&lt;&gt;"", 'Cost Inputs'!$G$85&lt;&gt;""), 'Cost Inputs'!$G$85, "")</f>
        <v/>
      </c>
      <c r="E276" s="17" t="str">
        <f>IF(AND(C276&lt;&gt;"", 'Cost Inputs'!$H$85&lt;&gt;""), 'Cost Inputs'!$H$85, "")</f>
        <v/>
      </c>
      <c r="F276" s="17" t="str">
        <f>IF(AND(C276&lt;&gt;"", 'Cost Inputs'!$I$85&lt;&gt;""), 'Cost Inputs'!$I$85, "")</f>
        <v/>
      </c>
      <c r="G276" s="17" t="str">
        <f t="shared" si="16"/>
        <v/>
      </c>
      <c r="H276" s="17" t="str">
        <f>IF(AND(C276&lt;&gt;"", 'Cost Inputs'!$J$85&lt;&gt;""), 'Cost Inputs'!$J$85, "")</f>
        <v/>
      </c>
      <c r="I276" s="17" t="str">
        <f t="shared" si="15"/>
        <v/>
      </c>
      <c r="J276" s="17" t="str">
        <f>IF(AND(C276&lt;&gt;"",('Cost Inputs'!$I$85+'Cost Inputs'!$J$85+'Cost Inputs'!$K$85)&gt;0), 'Cost Inputs'!$I$85+'Cost Inputs'!$J$85+'Cost Inputs'!$K$85, "")</f>
        <v/>
      </c>
      <c r="K276" s="17" t="str">
        <f>IF(AND(C276&lt;&gt;"", 'Cost Inputs'!$N$85&gt;0),'Cost Inputs'!$N$85,"")</f>
        <v/>
      </c>
      <c r="M276" s="106"/>
      <c r="Z276" s="364" t="str">
        <f>IF($O$3="N.B.C.", IF(ISNUMBER($B$257), IF('Cost Inputs'!$L$85="Y", $E$87, IF('Cost Inputs'!$L$85="N", IF(ISNUMBER('Cost Inputs'!$M$85), $E$87,""),"")), ""),"")</f>
        <v/>
      </c>
      <c r="AA276" s="364" t="str">
        <f>IF($P$3="N.B.C.", IF(ISNUMBER($B$257), IF('Cost Inputs'!$L$85="Y", $E$87, IF('Cost Inputs'!$L$85="N", IF(ISNUMBER('Cost Inputs'!$M$85), $E$87,""),"")), ""),"")</f>
        <v/>
      </c>
      <c r="AB276" s="364" t="str">
        <f>IF($Q$3="N.B.C.", IF(ISNUMBER($B$257), IF('Cost Inputs'!$L$85="Y", $E$87, IF('Cost Inputs'!$L$85="N", IF(ISNUMBER('Cost Inputs'!$M$85), $E$87,""),"")), ""),"")</f>
        <v/>
      </c>
      <c r="AC276" s="364" t="str">
        <f>IF($R$3="N.B.C.", IF(ISNUMBER($B$257), IF('Cost Inputs'!$L$85="Y", $E$87, IF('Cost Inputs'!$L$85="N", IF(ISNUMBER('Cost Inputs'!$M$85), $E$87,""),"")), ""),"")</f>
        <v/>
      </c>
      <c r="AD276" s="364" t="str">
        <f>IF($S$3="N.B.C.", IF(ISNUMBER($B$257), IF('Cost Inputs'!$L$85="Y", $E$87, IF('Cost Inputs'!$L$85="N", IF(ISNUMBER('Cost Inputs'!$M$85), $E$87,""),"")), ""),"")</f>
        <v/>
      </c>
      <c r="AE276" s="364" t="str">
        <f>IF($T$3="N.B.C.", IF(ISNUMBER($B$257), IF('Cost Inputs'!$L$85="Y", $E$87, IF('Cost Inputs'!$L$85="N", IF(ISNUMBER('Cost Inputs'!$M$85), $E$87,""),"")), ""),"")</f>
        <v/>
      </c>
      <c r="AF276" s="364" t="str">
        <f>IF($U$3="N.B.C.", IF(ISNUMBER($B$257), IF('Cost Inputs'!$L$85="Y", $E$87, IF('Cost Inputs'!$L$85="N", IF(ISNUMBER('Cost Inputs'!$M$85), $E$87,""),"")), ""),"")</f>
        <v/>
      </c>
      <c r="AG276" s="364" t="str">
        <f>IF($V$3="N.B.C.", IF(ISNUMBER($B$257), IF('Cost Inputs'!$L$85="Y", $E$87, IF('Cost Inputs'!$L$85="N", IF(ISNUMBER('Cost Inputs'!$M$85), $E$87,""),"")), ""),"")</f>
        <v/>
      </c>
      <c r="AH276" s="364" t="str">
        <f>IF($W$3="N.B.C.", IF(ISNUMBER($B$257), IF('Cost Inputs'!$L$85="Y", $E$87, IF('Cost Inputs'!$L$85="N", IF(ISNUMBER('Cost Inputs'!$M$85), $E$87,""),"")), ""),"")</f>
        <v/>
      </c>
      <c r="AI276" s="364" t="str">
        <f>IF($X$3="N.B.C.", IF(ISNUMBER($B$257), IF('Cost Inputs'!$L$85="Y", $E$87, IF('Cost Inputs'!$L$85="N", IF(ISNUMBER('Cost Inputs'!$M$85), $E$87,""),"")), ""),"")</f>
        <v/>
      </c>
    </row>
    <row r="277" spans="1:44" ht="15.75" thickBot="1" x14ac:dyDescent="0.3">
      <c r="A277" s="518"/>
      <c r="B277" s="504"/>
      <c r="C277" s="107" t="str">
        <f>IF(AND(ISNUMBER(B257), OR('Cost Inputs'!$H$86&lt;&gt;"", 'Cost Inputs'!$I$86&lt;&gt;"", 'Cost Inputs'!$J$86&lt;&gt;"")), _3_5_2, "")</f>
        <v/>
      </c>
      <c r="D277" s="93" t="str">
        <f>IF(AND(C277&lt;&gt;"", 'Cost Inputs'!$G$86&lt;&gt;""), 'Cost Inputs'!$G$86, "")</f>
        <v/>
      </c>
      <c r="E277" s="93" t="str">
        <f>IF(AND(C277&lt;&gt;"", 'Cost Inputs'!$H$86&lt;&gt;""), 'Cost Inputs'!$H$86, "")</f>
        <v/>
      </c>
      <c r="F277" s="93" t="str">
        <f>IF(AND(C277&lt;&gt;"", 'Cost Inputs'!$I$86&lt;&gt;""), 'Cost Inputs'!$I$86, "")</f>
        <v/>
      </c>
      <c r="G277" s="93" t="str">
        <f t="shared" si="16"/>
        <v/>
      </c>
      <c r="H277" s="93" t="str">
        <f>IF(AND(C277&lt;&gt;"", 'Cost Inputs'!$J$86&lt;&gt;""), 'Cost Inputs'!$J$86, "")</f>
        <v/>
      </c>
      <c r="I277" s="93" t="str">
        <f t="shared" si="15"/>
        <v/>
      </c>
      <c r="J277" s="93" t="str">
        <f>IF(AND(C277&lt;&gt;"",('Cost Inputs'!$I$86+'Cost Inputs'!$J$86+'Cost Inputs'!$K$86)&gt;0), 'Cost Inputs'!$I$86+'Cost Inputs'!$J$86+'Cost Inputs'!$K$86, "")</f>
        <v/>
      </c>
      <c r="K277" s="93" t="str">
        <f>IF(AND(C277&lt;&gt;"", 'Cost Inputs'!$N$86&gt;0),'Cost Inputs'!$N$86,"")</f>
        <v/>
      </c>
      <c r="L277" s="93"/>
      <c r="M277" s="109"/>
      <c r="Z277" s="372" t="str">
        <f>IF($O$3="N.B.C.", IF(ISNUMBER($B$257), IF('Cost Inputs'!$L$86="Y", $E$88, IF('Cost Inputs'!$L$86="N", IF(ISNUMBER('Cost Inputs'!$M$86), $E$88,""),"")), ""),"")</f>
        <v/>
      </c>
      <c r="AA277" s="372" t="str">
        <f>IF($P$3="N.B.C.", IF(ISNUMBER($B$257), IF('Cost Inputs'!$L$86="Y", $E$88, IF('Cost Inputs'!$L$86="N", IF(ISNUMBER('Cost Inputs'!$M$86), $E$88,""),"")), ""),"")</f>
        <v/>
      </c>
      <c r="AB277" s="372" t="str">
        <f>IF($Q$3="N.B.C.", IF(ISNUMBER($B$257), IF('Cost Inputs'!$L$86="Y", $E$88, IF('Cost Inputs'!$L$86="N", IF(ISNUMBER('Cost Inputs'!$M$86), $E$88,""),"")), ""),"")</f>
        <v/>
      </c>
      <c r="AC277" s="372" t="str">
        <f>IF($R$3="N.B.C.", IF(ISNUMBER($B$257), IF('Cost Inputs'!$L$86="Y", $E$88, IF('Cost Inputs'!$L$86="N", IF(ISNUMBER('Cost Inputs'!$M$86), $E$88,""),"")), ""),"")</f>
        <v/>
      </c>
      <c r="AD277" s="372" t="str">
        <f>IF($S$3="N.B.C.", IF(ISNUMBER($B$257), IF('Cost Inputs'!$L$86="Y", $E$88, IF('Cost Inputs'!$L$86="N", IF(ISNUMBER('Cost Inputs'!$M$86), $E$88,""),"")), ""),"")</f>
        <v/>
      </c>
      <c r="AE277" s="372" t="str">
        <f>IF($T$3="N.B.C.", IF(ISNUMBER($B$257), IF('Cost Inputs'!$L$86="Y", $E$88, IF('Cost Inputs'!$L$86="N", IF(ISNUMBER('Cost Inputs'!$M$86), $E$88,""),"")), ""),"")</f>
        <v/>
      </c>
      <c r="AF277" s="372" t="str">
        <f>IF($U$3="N.B.C.", IF(ISNUMBER($B$257), IF('Cost Inputs'!$L$86="Y", $E$88, IF('Cost Inputs'!$L$86="N", IF(ISNUMBER('Cost Inputs'!$M$86), $E$88,""),"")), ""),"")</f>
        <v/>
      </c>
      <c r="AG277" s="372" t="str">
        <f>IF($V$3="N.B.C.", IF(ISNUMBER($B$257), IF('Cost Inputs'!$L$86="Y", $E$88, IF('Cost Inputs'!$L$86="N", IF(ISNUMBER('Cost Inputs'!$M$86), $E$88,""),"")), ""),"")</f>
        <v/>
      </c>
      <c r="AH277" s="372" t="str">
        <f>IF($W$3="N.B.C.", IF(ISNUMBER($B$257), IF('Cost Inputs'!$L$86="Y", $E$88, IF('Cost Inputs'!$L$86="N", IF(ISNUMBER('Cost Inputs'!$M$86), $E$88,""),"")), ""),"")</f>
        <v/>
      </c>
      <c r="AI277" s="372" t="str">
        <f>IF($X$3="N.B.C.", IF(ISNUMBER($B$257), IF('Cost Inputs'!$L$86="Y", $E$88, IF('Cost Inputs'!$L$86="N", IF(ISNUMBER('Cost Inputs'!$M$86), $E$88,""),"")), ""),"")</f>
        <v/>
      </c>
    </row>
    <row r="278" spans="1:44" ht="44.45" customHeight="1" thickBot="1" x14ac:dyDescent="0.3">
      <c r="A278" s="98"/>
      <c r="B278" s="99"/>
      <c r="C278" s="114"/>
      <c r="D278" s="114"/>
      <c r="E278" s="114"/>
      <c r="F278" s="114"/>
      <c r="G278" s="114" t="str">
        <f t="shared" si="16"/>
        <v/>
      </c>
      <c r="H278" s="114"/>
      <c r="I278" s="114"/>
      <c r="J278" s="114"/>
      <c r="K278" s="114"/>
      <c r="L278" s="114"/>
      <c r="M278" s="115"/>
      <c r="O278" s="136" t="str">
        <f>'Breeding Inputs'!$B89</f>
        <v/>
      </c>
      <c r="P278" s="136" t="e">
        <f>O278+1</f>
        <v>#VALUE!</v>
      </c>
      <c r="Q278" s="136" t="e">
        <f t="shared" ref="Q278:X278" si="17">P278+1</f>
        <v>#VALUE!</v>
      </c>
      <c r="R278" s="136" t="e">
        <f t="shared" si="17"/>
        <v>#VALUE!</v>
      </c>
      <c r="S278" s="136" t="e">
        <f t="shared" si="17"/>
        <v>#VALUE!</v>
      </c>
      <c r="T278" s="136" t="e">
        <f t="shared" si="17"/>
        <v>#VALUE!</v>
      </c>
      <c r="U278" s="136" t="e">
        <f t="shared" si="17"/>
        <v>#VALUE!</v>
      </c>
      <c r="V278" s="136" t="e">
        <f t="shared" si="17"/>
        <v>#VALUE!</v>
      </c>
      <c r="W278" s="136" t="e">
        <f t="shared" si="17"/>
        <v>#VALUE!</v>
      </c>
      <c r="X278" s="136" t="e">
        <f t="shared" si="17"/>
        <v>#VALUE!</v>
      </c>
      <c r="Y278" s="136" t="e">
        <f>X278+1</f>
        <v>#VALUE!</v>
      </c>
      <c r="Z278" s="136" t="e">
        <f t="shared" ref="Z278:AI278" si="18">Y278+1</f>
        <v>#VALUE!</v>
      </c>
      <c r="AA278" s="136" t="e">
        <f t="shared" si="18"/>
        <v>#VALUE!</v>
      </c>
      <c r="AB278" s="136" t="e">
        <f t="shared" si="18"/>
        <v>#VALUE!</v>
      </c>
      <c r="AC278" s="136" t="e">
        <f t="shared" si="18"/>
        <v>#VALUE!</v>
      </c>
      <c r="AD278" s="136" t="e">
        <f t="shared" si="18"/>
        <v>#VALUE!</v>
      </c>
      <c r="AE278" s="136" t="e">
        <f t="shared" si="18"/>
        <v>#VALUE!</v>
      </c>
      <c r="AF278" s="136" t="e">
        <f t="shared" si="18"/>
        <v>#VALUE!</v>
      </c>
      <c r="AG278" s="136" t="e">
        <f t="shared" si="18"/>
        <v>#VALUE!</v>
      </c>
      <c r="AH278" s="136" t="e">
        <f t="shared" si="18"/>
        <v>#VALUE!</v>
      </c>
      <c r="AI278" s="136" t="e">
        <f t="shared" si="18"/>
        <v>#VALUE!</v>
      </c>
      <c r="AJ278" s="136" t="e">
        <f t="shared" ref="AJ278" si="19">AI278+1</f>
        <v>#VALUE!</v>
      </c>
      <c r="AK278" s="136" t="e">
        <f t="shared" ref="AK278" si="20">AJ278+1</f>
        <v>#VALUE!</v>
      </c>
      <c r="AL278" s="136" t="e">
        <f t="shared" ref="AL278" si="21">AK278+1</f>
        <v>#VALUE!</v>
      </c>
      <c r="AM278" s="136" t="e">
        <f t="shared" ref="AM278" si="22">AL278+1</f>
        <v>#VALUE!</v>
      </c>
      <c r="AN278" s="136" t="e">
        <f t="shared" ref="AN278" si="23">AM278+1</f>
        <v>#VALUE!</v>
      </c>
      <c r="AO278" s="136" t="e">
        <f t="shared" ref="AO278" si="24">AN278+1</f>
        <v>#VALUE!</v>
      </c>
      <c r="AP278" s="136" t="e">
        <f t="shared" ref="AP278" si="25">AO278+1</f>
        <v>#VALUE!</v>
      </c>
      <c r="AQ278" s="136" t="e">
        <f t="shared" ref="AQ278" si="26">AP278+1</f>
        <v>#VALUE!</v>
      </c>
      <c r="AR278" s="288" t="e">
        <f t="shared" ref="AR278" si="27">AQ278+1</f>
        <v>#VALUE!</v>
      </c>
    </row>
    <row r="279" spans="1:44" ht="16.899999999999999" customHeight="1" thickBot="1" x14ac:dyDescent="0.3">
      <c r="A279" s="13"/>
      <c r="B279" s="13"/>
      <c r="C279" s="267"/>
      <c r="D279" s="267"/>
      <c r="E279" s="267"/>
      <c r="F279" s="267"/>
      <c r="G279" s="267"/>
      <c r="H279" s="267"/>
      <c r="I279" s="267"/>
      <c r="J279" s="267"/>
      <c r="K279" s="267"/>
      <c r="L279" s="267"/>
      <c r="M279" s="268"/>
      <c r="O279" s="136" t="e">
        <f ca="1">IF(AND(Cultivar_1_Program_Year_Selection=O278, Cultivar_2_Program_Year_Selection=O278, Cultivar_3_Program_Year_Selection=O278),123,
IF(AND(Cultivar_1_Program_Year_Selection=O278,  Cultivar_2_Program_Year_Selection=O278),12,
IF(AND(Cultivar_1_Program_Year_Selection=O278, Cultivar_3_Program_Year_Selection=O278), 13,
IF(AND(Cultivar_2_Program_Year_Selection=O278, Cultivar_3_Program_Year_Selection=O278), 23,
IF(Cultivar_1_Program_Year_Selection=O278, 1,
IF(Cultivar_2_Program_Year_Selection=O278, 2,
IF(Cultivar_3_Program_Year_Selection=O278, 3,"")))))))</f>
        <v>#VALUE!</v>
      </c>
      <c r="P279" s="136" t="e">
        <f t="shared" ref="P279:AR279" ca="1" si="28">IF(AND(Cultivar_1_Program_Year_Selection=P278, Cultivar_2_Program_Year_Selection=P278, Cultivar_3_Program_Year_Selection=P278),123,
IF(AND(Cultivar_1_Program_Year_Selection=P278,  Cultivar_2_Program_Year_Selection=P278),12,
IF(AND(Cultivar_1_Program_Year_Selection=P278, Cultivar_3_Program_Year_Selection=P278), 13,
IF(AND(Cultivar_2_Program_Year_Selection=P278, Cultivar_3_Program_Year_Selection=P278), 23,
IF(Cultivar_1_Program_Year_Selection=P278, 1,
IF(Cultivar_2_Program_Year_Selection=P278, 2,
IF(Cultivar_3_Program_Year_Selection=P278, 3,"")))))))</f>
        <v>#VALUE!</v>
      </c>
      <c r="Q279" s="136" t="e">
        <f t="shared" ca="1" si="28"/>
        <v>#VALUE!</v>
      </c>
      <c r="R279" s="136" t="e">
        <f t="shared" ca="1" si="28"/>
        <v>#VALUE!</v>
      </c>
      <c r="S279" s="136" t="e">
        <f t="shared" ca="1" si="28"/>
        <v>#VALUE!</v>
      </c>
      <c r="T279" s="136" t="e">
        <f t="shared" ca="1" si="28"/>
        <v>#VALUE!</v>
      </c>
      <c r="U279" s="136" t="e">
        <f t="shared" ca="1" si="28"/>
        <v>#VALUE!</v>
      </c>
      <c r="V279" s="136" t="e">
        <f t="shared" ca="1" si="28"/>
        <v>#VALUE!</v>
      </c>
      <c r="W279" s="136" t="e">
        <f t="shared" ca="1" si="28"/>
        <v>#VALUE!</v>
      </c>
      <c r="X279" s="136" t="e">
        <f t="shared" ca="1" si="28"/>
        <v>#VALUE!</v>
      </c>
      <c r="Y279" s="136" t="e">
        <f t="shared" ca="1" si="28"/>
        <v>#VALUE!</v>
      </c>
      <c r="Z279" s="136" t="e">
        <f t="shared" ca="1" si="28"/>
        <v>#VALUE!</v>
      </c>
      <c r="AA279" s="136" t="e">
        <f t="shared" ca="1" si="28"/>
        <v>#VALUE!</v>
      </c>
      <c r="AB279" s="136" t="e">
        <f t="shared" ca="1" si="28"/>
        <v>#VALUE!</v>
      </c>
      <c r="AC279" s="136" t="e">
        <f t="shared" ca="1" si="28"/>
        <v>#VALUE!</v>
      </c>
      <c r="AD279" s="136" t="e">
        <f t="shared" ca="1" si="28"/>
        <v>#VALUE!</v>
      </c>
      <c r="AE279" s="136" t="e">
        <f t="shared" ca="1" si="28"/>
        <v>#VALUE!</v>
      </c>
      <c r="AF279" s="136" t="e">
        <f t="shared" ca="1" si="28"/>
        <v>#VALUE!</v>
      </c>
      <c r="AG279" s="136" t="e">
        <f t="shared" ca="1" si="28"/>
        <v>#VALUE!</v>
      </c>
      <c r="AH279" s="136" t="e">
        <f t="shared" ca="1" si="28"/>
        <v>#VALUE!</v>
      </c>
      <c r="AI279" s="136" t="e">
        <f t="shared" ca="1" si="28"/>
        <v>#VALUE!</v>
      </c>
      <c r="AJ279" s="136" t="e">
        <f t="shared" ca="1" si="28"/>
        <v>#VALUE!</v>
      </c>
      <c r="AK279" s="136" t="e">
        <f t="shared" ca="1" si="28"/>
        <v>#VALUE!</v>
      </c>
      <c r="AL279" s="136" t="e">
        <f t="shared" ca="1" si="28"/>
        <v>#VALUE!</v>
      </c>
      <c r="AM279" s="136" t="e">
        <f t="shared" ca="1" si="28"/>
        <v>#VALUE!</v>
      </c>
      <c r="AN279" s="136" t="e">
        <f t="shared" ca="1" si="28"/>
        <v>#VALUE!</v>
      </c>
      <c r="AO279" s="136" t="e">
        <f t="shared" ca="1" si="28"/>
        <v>#VALUE!</v>
      </c>
      <c r="AP279" s="136" t="e">
        <f t="shared" ca="1" si="28"/>
        <v>#VALUE!</v>
      </c>
      <c r="AQ279" s="136" t="e">
        <f t="shared" ca="1" si="28"/>
        <v>#VALUE!</v>
      </c>
      <c r="AR279" s="136" t="e">
        <f t="shared" ca="1" si="28"/>
        <v>#VALUE!</v>
      </c>
    </row>
    <row r="280" spans="1:44" x14ac:dyDescent="0.25">
      <c r="A280" s="518" t="str">
        <f>Fourth_Stage</f>
        <v>Stage 2 Clonal Test Plots</v>
      </c>
      <c r="B280" s="504" t="str">
        <f>'Breeding Inputs'!B89</f>
        <v/>
      </c>
      <c r="C280" s="520" t="str">
        <f>IF(ISNUMBER(B280), _4_1_0, "")</f>
        <v/>
      </c>
      <c r="D280" s="92" t="str">
        <f>IF(AND(C280&lt;&gt;"", 'Cost Inputs'!$G$88&lt;&gt;""), 'Cost Inputs'!$G$88, "")</f>
        <v/>
      </c>
      <c r="E280" s="92" t="str">
        <f>IF(AND(C280&lt;&gt;"", 'Cost Inputs'!$H$88&lt;&gt;""), 'Cost Inputs'!$H$88, "")</f>
        <v/>
      </c>
      <c r="F280" s="522" t="str">
        <f>IF(AND(C280&lt;&gt;"", 'Cost Inputs'!$I$88&lt;&gt;""), 'Cost Inputs'!$I$88, "")</f>
        <v/>
      </c>
      <c r="G280" s="100" t="str">
        <f t="shared" si="16"/>
        <v/>
      </c>
      <c r="H280" s="522" t="str">
        <f>IF(AND(C280&lt;&gt;"", 'Cost Inputs'!$J$88&lt;&gt;""), 'Cost Inputs'!$J$88, "")</f>
        <v/>
      </c>
      <c r="I280" s="100" t="str">
        <f>IF($C280&lt;&gt;"",IF(AND($E280&lt;&gt;"",H280&lt;&gt;""), H280/$E280, 0),"")</f>
        <v/>
      </c>
      <c r="J280" s="522" t="str">
        <f>IF(AND(C280&lt;&gt;"",('Cost Inputs'!$I$88+'Cost Inputs'!$J$88+'Cost Inputs'!$K$88)&gt;0), 'Cost Inputs'!$I$88+'Cost Inputs'!$J$88+'Cost Inputs'!$K$88, "")</f>
        <v/>
      </c>
      <c r="K280" s="100" t="str">
        <f>IF($C280&lt;&gt;"",IF(AND($E280&lt;&gt;"",J280&lt;&gt;""), J280/$E280, 0),"")</f>
        <v/>
      </c>
      <c r="L280" s="524" t="str">
        <f>IF(AND($B280&lt;&gt;"", 'Breeding Inputs'!$C$89&lt;&gt;""), INDEX('Breeding Inputs'!$C$89:$C$98, MATCH($B280,'Breeding Inputs'!$B$89:$B$98,0)), IF($B280="", "", 0%))</f>
        <v/>
      </c>
      <c r="M280" s="524" t="str">
        <f>IF(AND(B280&lt;&gt;"", 'Breeding Inputs'!$D$89&lt;&gt;""), INDEX('Breeding Inputs'!$D$89:$D$98, MATCH(B280,'Breeding Inputs'!$B$89:$B$98,0))+INDEX('Breeding Inputs'!$E$89:$E$98, MATCH(B280,'Breeding Inputs'!$B$89:$B$98,0)), IF(B280="", "", 0%))</f>
        <v/>
      </c>
      <c r="O280" s="496" t="str">
        <f>IF(ISNUMBER($B$280),
IF($C280&lt;&gt;"",
IF(AND(ISNUMBER('Stage 2 Randomized Selection'!E$2), 'Stage 2 Randomized Selection'!E$2&gt;0),
IF(AND(O$279=123, Cultivar_1_Cohort_Year_Selection=$AP$278,Cultivar_2_Cohort_Year_Selection=$AP$278,Cultivar_3_Cohort_Year_Selection=$AP$278), MAX(0,'Stage 2 Randomized Selection'!E$2 - 3),
IF(AND(OR(O$279=123, O$279=12), Cultivar_1_Cohort_Year_Selection=$AP$278,Cultivar_2_Cohort_Year_Selection=$AP$278),  MAX(0,'Stage 2 Randomized Selection'!E$2 - 2),
IF(AND(OR(O$279=123, O$279=13), Cultivar_1_Cohort_Year_Selection=$AP$278,Cultivar_3_Cohort_Year_Selection=$AP$278), MAX(0,'Stage 2 Randomized Selection'!E$2 - 2),
IF(AND(OR(O$279=123, O$279=23), Cultivar_2_Cohort_Year_Selection=$AP$278,Cultivar_3_Cohort_Year_Selection=$AP$278), MAX(0,'Stage 2 Randomized Selection'!E$2 - 2),
IF(AND(OR(O$279=123, O$279=12, O$279=13, O$279=1), Cultivar_1_Cohort_Year_Selection=$AP$278), MAX(0,'Stage 2 Randomized Selection'!E$2 - 1),
IF(AND(OR(O$279=123, O$279=12, O$279=23, O$279=2), Cultivar_2_Cohort_Year_Selection=$AP$278), MAX(0,'Stage 2 Randomized Selection'!E$2 - 1),
IF(AND(OR(O$279=123, O$279=13, O$279=23, O$279=3), Cultivar_3_Cohort_Year_Selection=$AP$278), MAX(0,'Stage 2 Randomized Selection'!E$2 - 1), 'Stage 2 Randomized Selection'!E$2))))))),""),""),"")</f>
        <v/>
      </c>
      <c r="P280" s="496" t="str">
        <f>IF(ISNUMBER($B$280),
IF($C280&lt;&gt;"",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80" s="496" t="str">
        <f>IF(ISNUMBER($B$280),
IF($C280&lt;&gt;"",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80" s="496" t="str">
        <f>IF(ISNUMBER($B$280),
IF($C280&lt;&gt;"",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80" s="496" t="str">
        <f>IF(ISNUMBER($B$280),
IF($C280&lt;&gt;"",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80" s="496" t="str">
        <f>IF(ISNUMBER($B$280),
IF($C280&lt;&gt;"",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80" s="496" t="str">
        <f>IF(ISNUMBER($B$280),
IF($C280&lt;&gt;"",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80" s="496" t="str">
        <f>IF(ISNUMBER($B$280),
IF($C280&lt;&gt;"",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80" s="496" t="str">
        <f>IF(ISNUMBER($B$280),
IF($C280&lt;&gt;"",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80" s="496" t="str">
        <f>IF(ISNUMBER($B$280),
IF($C280&lt;&gt;"",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80" s="496" t="str">
        <f>IF(ISNUMBER($B$280),
IF($C280&lt;&gt;"",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80" s="496" t="str">
        <f>IF(ISNUMBER($B$280),
IF($C280&lt;&gt;"",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80" s="496" t="str">
        <f>IF(ISNUMBER($B$280),
IF($C280&lt;&gt;"",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80" s="496" t="str">
        <f>IF(ISNUMBER($B$280),
IF($C280&lt;&gt;"",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80" s="496" t="str">
        <f>IF(ISNUMBER($B$280),
IF($C280&lt;&gt;"",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80" s="496" t="str">
        <f>IF(ISNUMBER($B$280),
IF($C280&lt;&gt;"",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80" s="496" t="str">
        <f>IF(ISNUMBER($B$280),
IF($C280&lt;&gt;"",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80" s="496" t="str">
        <f>IF(ISNUMBER($B$280),
IF($C280&lt;&gt;"",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80" s="496" t="str">
        <f>IF(ISNUMBER($B$280),
IF($C280&lt;&gt;"",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80" s="496" t="str">
        <f>IF(ISNUMBER($B$280),
IF($C280&lt;&gt;"",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80" s="496" t="str">
        <f>IF(ISNUMBER($B$280),
IF($C280&lt;&gt;"",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80" s="496" t="str">
        <f>IF(ISNUMBER($B$280),
IF($C280&lt;&gt;"",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80" s="496" t="str">
        <f>IF(ISNUMBER($B$280),
IF($C280&lt;&gt;"",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80" s="496" t="str">
        <f>IF(ISNUMBER($B$280),
IF($C280&lt;&gt;"",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80" s="496" t="str">
        <f>IF(ISNUMBER($B$280),
IF($C280&lt;&gt;"",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80" s="496" t="str">
        <f>IF(ISNUMBER($B$280),
IF($C280&lt;&gt;"",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80" s="496" t="str">
        <f>IF(ISNUMBER($B$280),
IF($C280&lt;&gt;"",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80" s="496" t="str">
        <f>IF(ISNUMBER($B$280),
IF($C280&lt;&gt;"",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80" s="496" t="str">
        <f>IF(ISNUMBER($B$280),
IF($C280&lt;&gt;"",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80" s="496" t="str">
        <f>IF(ISNUMBER($B$280),
IF($C280&lt;&gt;"",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81" spans="1:44" x14ac:dyDescent="0.25">
      <c r="A281" s="518"/>
      <c r="B281" s="504"/>
      <c r="C281" s="521"/>
      <c r="D281" s="94" t="str">
        <f>IF(AND(C280&lt;&gt;"", 'Cost Inputs'!$G$89&lt;&gt;""), 'Cost Inputs'!$G$89, "")</f>
        <v/>
      </c>
      <c r="E281" s="94" t="str">
        <f>IF(AND(C280&lt;&gt;"", 'Cost Inputs'!$H$89&lt;&gt;""), 'Cost Inputs'!$H$89, "")</f>
        <v/>
      </c>
      <c r="F281" s="492" t="str">
        <f>IF(AND(C281&lt;&gt;"", 'Cost Inputs'!$I$86&lt;&gt;""), 'Cost Inputs'!$I$86, "")</f>
        <v/>
      </c>
      <c r="G281" s="102" t="str">
        <f t="shared" si="16"/>
        <v/>
      </c>
      <c r="H281" s="492" t="str">
        <f>IF(AND(C281&lt;&gt;"", 'Cost Inputs'!$J$86&lt;&gt;""), 'Cost Inputs'!$J$86, "")</f>
        <v/>
      </c>
      <c r="I281" s="102" t="str">
        <f>IF($C280&lt;&gt;"", IF(AND($E281&lt;&gt;"", H280&lt;&gt;""), H280/($E280*$E281), 0), "")</f>
        <v/>
      </c>
      <c r="J281" s="492" t="str">
        <f>IF(AND(C281&lt;&gt;"",('Cost Inputs'!$I$86+'Cost Inputs'!$J$86+'Cost Inputs'!$K$86)&gt;0), 'Cost Inputs'!$I$86+'Cost Inputs'!$J$86+'Cost Inputs'!$K$86, "")</f>
        <v/>
      </c>
      <c r="K281" s="102" t="str">
        <f>IF($C280&lt;&gt;"", IF(AND($E281&lt;&gt;"", J280&lt;&gt;""), J280/($E280*$E281), 0), "")</f>
        <v/>
      </c>
      <c r="L281" s="525"/>
      <c r="M281" s="525"/>
      <c r="O281" s="496"/>
      <c r="P281" s="496"/>
      <c r="Q281" s="496"/>
      <c r="R281" s="496"/>
      <c r="S281" s="496"/>
      <c r="T281" s="496"/>
      <c r="U281" s="496"/>
      <c r="V281" s="496"/>
      <c r="W281" s="496"/>
      <c r="X281" s="496"/>
      <c r="Y281" s="496"/>
      <c r="Z281" s="496"/>
      <c r="AA281" s="496"/>
      <c r="AB281" s="496"/>
      <c r="AC281" s="496"/>
      <c r="AD281" s="496"/>
      <c r="AE281" s="496"/>
      <c r="AF281" s="496"/>
      <c r="AG281" s="496"/>
      <c r="AH281" s="496"/>
      <c r="AI281" s="496"/>
      <c r="AJ281" s="496"/>
      <c r="AK281" s="496"/>
      <c r="AL281" s="496"/>
      <c r="AM281" s="496"/>
      <c r="AN281" s="496"/>
      <c r="AO281" s="496"/>
      <c r="AP281" s="496"/>
      <c r="AQ281" s="496"/>
      <c r="AR281" s="496"/>
    </row>
    <row r="282" spans="1:44" x14ac:dyDescent="0.25">
      <c r="A282" s="518"/>
      <c r="B282" s="504"/>
      <c r="C282" s="376" t="str">
        <f>IF(AND(ISNUMBER(B280), OR('Cost Inputs'!H90&lt;&gt;"", 'Cost Inputs'!I90&lt;&gt;"", 'Cost Inputs'!J90&lt;&gt;"")), _4_1_1, "")</f>
        <v/>
      </c>
      <c r="D282" s="17" t="str">
        <f>IF(AND(C282&lt;&gt;"", 'Cost Inputs'!G90&lt;&gt;""), 'Cost Inputs'!G90, "")</f>
        <v/>
      </c>
      <c r="E282" s="17" t="str">
        <f>IF(AND(C282&lt;&gt;"", 'Cost Inputs'!H90&lt;&gt;""), 'Cost Inputs'!H90, "")</f>
        <v/>
      </c>
      <c r="F282" s="493" t="str">
        <f>IF(AND(C282&lt;&gt;"", 'Cost Inputs'!I90&lt;&gt;""), 'Cost Inputs'!I90, "")</f>
        <v/>
      </c>
      <c r="G282" s="105" t="str">
        <f t="shared" si="16"/>
        <v/>
      </c>
      <c r="H282" s="493" t="str">
        <f>IF(AND(C282&lt;&gt;"", 'Cost Inputs'!J90&lt;&gt;""), 'Cost Inputs'!J90, "")</f>
        <v/>
      </c>
      <c r="I282" s="105" t="str">
        <f>IF($C282&lt;&gt;"", IF(AND($E282&lt;&gt;"", H282&lt;&gt;""), H282/$E282, 0),"")</f>
        <v/>
      </c>
      <c r="J282" s="493" t="str">
        <f>IF(AND(C282&lt;&gt;"",('Cost Inputs'!I90+'Cost Inputs'!J90+'Cost Inputs'!K90)&gt;0), 'Cost Inputs'!I90+'Cost Inputs'!J90+'Cost Inputs'!K90, "")</f>
        <v/>
      </c>
      <c r="K282" s="105" t="str">
        <f>IF($C282&lt;&gt;"",IF(AND($E282&lt;&gt;"",J282&lt;&gt;""), J282/$E282, 0),"")</f>
        <v/>
      </c>
      <c r="L282" s="525"/>
      <c r="M282" s="525"/>
      <c r="O282" s="497" t="str">
        <f>IF(ISNUMBER($B$280),
IF($C282&lt;&gt;"",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82" s="497" t="str">
        <f>IF(ISNUMBER($B$280),
IF($C282&lt;&gt;"",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82" s="497" t="str">
        <f>IF(ISNUMBER($B$280),
IF($C282&lt;&gt;"",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82" s="497" t="str">
        <f>IF(ISNUMBER($B$280),
IF($C282&lt;&gt;"",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82" s="497" t="str">
        <f>IF(ISNUMBER($B$280),
IF($C282&lt;&gt;"",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82" s="497" t="str">
        <f>IF(ISNUMBER($B$280),
IF($C282&lt;&gt;"",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82" s="497" t="str">
        <f>IF(ISNUMBER($B$280),
IF($C282&lt;&gt;"",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82" s="497" t="str">
        <f>IF(ISNUMBER($B$280),
IF($C282&lt;&gt;"",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82" s="497" t="str">
        <f>IF(ISNUMBER($B$280),
IF($C282&lt;&gt;"",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82" s="497" t="str">
        <f>IF(ISNUMBER($B$280),
IF($C282&lt;&gt;"",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82" s="497" t="str">
        <f>IF(ISNUMBER($B$280),
IF($C282&lt;&gt;"",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82" s="497" t="str">
        <f>IF(ISNUMBER($B$280),
IF($C282&lt;&gt;"",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82" s="497" t="str">
        <f>IF(ISNUMBER($B$280),
IF($C282&lt;&gt;"",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82" s="497" t="str">
        <f>IF(ISNUMBER($B$280),
IF($C282&lt;&gt;"",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82" s="497" t="str">
        <f>IF(ISNUMBER($B$280),
IF($C282&lt;&gt;"",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82" s="497" t="str">
        <f>IF(ISNUMBER($B$280),
IF($C282&lt;&gt;"",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82" s="497" t="str">
        <f>IF(ISNUMBER($B$280),
IF($C282&lt;&gt;"",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82" s="497" t="str">
        <f>IF(ISNUMBER($B$280),
IF($C282&lt;&gt;"",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82" s="497" t="str">
        <f>IF(ISNUMBER($B$280),
IF($C282&lt;&gt;"",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82" s="497" t="str">
        <f>IF(ISNUMBER($B$280),
IF($C282&lt;&gt;"",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82" s="497" t="str">
        <f>IF(ISNUMBER($B$280),
IF($C282&lt;&gt;"",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82" s="497" t="str">
        <f>IF(ISNUMBER($B$280),
IF($C282&lt;&gt;"",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82" s="497" t="str">
        <f>IF(ISNUMBER($B$280),
IF($C282&lt;&gt;"",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82" s="497" t="str">
        <f>IF(ISNUMBER($B$280),
IF($C282&lt;&gt;"",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82" s="497" t="str">
        <f>IF(ISNUMBER($B$280),
IF($C282&lt;&gt;"",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82" s="497" t="str">
        <f>IF(ISNUMBER($B$280),
IF($C282&lt;&gt;"",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82" s="497" t="str">
        <f>IF(ISNUMBER($B$280),
IF($C282&lt;&gt;"",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82" s="497" t="str">
        <f>IF(ISNUMBER($B$280),
IF($C282&lt;&gt;"",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82" s="497" t="str">
        <f>IF(ISNUMBER($B$280),
IF($C282&lt;&gt;"",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82" s="497" t="str">
        <f>IF(ISNUMBER($B$280),
IF($C282&lt;&gt;"",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83" spans="1:44" x14ac:dyDescent="0.25">
      <c r="A283" s="518"/>
      <c r="B283" s="504"/>
      <c r="C283" s="376" t="str">
        <f>IF(AND(ISNUMBER(B263), OR('Cost Inputs'!$H$85&lt;&gt;"", 'Cost Inputs'!$I$85&lt;&gt;"", 'Cost Inputs'!$J$85&lt;&gt;"")), _3_5_1, "")</f>
        <v/>
      </c>
      <c r="D283" s="17" t="str">
        <f>IF(AND(C282&lt;&gt;"", 'Cost Inputs'!G91&lt;&gt;""), 'Cost Inputs'!G91, "")</f>
        <v/>
      </c>
      <c r="E283" s="17" t="str">
        <f>IF(AND(C282&lt;&gt;"", 'Cost Inputs'!H91&lt;&gt;""), 'Cost Inputs'!H91, "")</f>
        <v/>
      </c>
      <c r="F283" s="493"/>
      <c r="G283" s="105" t="str">
        <f t="shared" si="16"/>
        <v/>
      </c>
      <c r="H283" s="493"/>
      <c r="I283" s="105" t="str">
        <f>IF($C282&lt;&gt;"", IF(AND($E283&lt;&gt;"", H282&lt;&gt;""), H282/($E282*$E283), 0), "")</f>
        <v/>
      </c>
      <c r="J283" s="493" t="str">
        <f>IF(AND(C283&lt;&gt;"",('Cost Inputs'!$I$86+'Cost Inputs'!$J$86+'Cost Inputs'!$K$86)&gt;0), 'Cost Inputs'!$I$86+'Cost Inputs'!$J$86+'Cost Inputs'!$K$86, "")</f>
        <v/>
      </c>
      <c r="K283" s="105" t="str">
        <f>IF($C282&lt;&gt;"", IF(AND($E283&lt;&gt;"", J282&lt;&gt;""), J282/($E282*$E283), 0), "")</f>
        <v/>
      </c>
      <c r="L283" s="525"/>
      <c r="M283" s="525"/>
      <c r="O283" s="497"/>
      <c r="P283" s="497"/>
      <c r="Q283" s="497"/>
      <c r="R283" s="497"/>
      <c r="S283" s="497"/>
      <c r="T283" s="497"/>
      <c r="U283" s="497"/>
      <c r="V283" s="497"/>
      <c r="W283" s="497"/>
      <c r="X283" s="497"/>
      <c r="Y283" s="497"/>
      <c r="Z283" s="497"/>
      <c r="AA283" s="497"/>
      <c r="AB283" s="497"/>
      <c r="AC283" s="497"/>
      <c r="AD283" s="497"/>
      <c r="AE283" s="497"/>
      <c r="AF283" s="497"/>
      <c r="AG283" s="497"/>
      <c r="AH283" s="497"/>
      <c r="AI283" s="497"/>
      <c r="AJ283" s="497"/>
      <c r="AK283" s="497"/>
      <c r="AL283" s="497"/>
      <c r="AM283" s="497"/>
      <c r="AN283" s="497"/>
      <c r="AO283" s="497"/>
      <c r="AP283" s="497"/>
      <c r="AQ283" s="497"/>
      <c r="AR283" s="497"/>
    </row>
    <row r="284" spans="1:44" x14ac:dyDescent="0.25">
      <c r="A284" s="518"/>
      <c r="B284" s="504"/>
      <c r="C284" s="523" t="str">
        <f>IF(AND(ISNUMBER(B280), OR('Cost Inputs'!$H$92&lt;&gt;"", 'Cost Inputs'!$I$92&lt;&gt;"", 'Cost Inputs'!$J$92&lt;&gt;"")), _4_1_2, "")</f>
        <v/>
      </c>
      <c r="D284" s="93" t="str">
        <f>IF(AND(C284&lt;&gt;"", 'Cost Inputs'!G92&lt;&gt;""), 'Cost Inputs'!G92, "")</f>
        <v/>
      </c>
      <c r="E284" s="93" t="str">
        <f>IF(AND(C284&lt;&gt;"", 'Cost Inputs'!H92&lt;&gt;""), 'Cost Inputs'!H92, "")</f>
        <v/>
      </c>
      <c r="F284" s="494" t="str">
        <f>IF(AND(C284&lt;&gt;"", 'Cost Inputs'!I92&lt;&gt;""), 'Cost Inputs'!I92, "")</f>
        <v/>
      </c>
      <c r="G284" s="108" t="str">
        <f t="shared" si="16"/>
        <v/>
      </c>
      <c r="H284" s="494" t="str">
        <f>IF(AND(C284&lt;&gt;"", 'Cost Inputs'!J92&lt;&gt;""), 'Cost Inputs'!J92, "")</f>
        <v/>
      </c>
      <c r="I284" s="108" t="str">
        <f>IF($C284&lt;&gt;"", IF(AND($E284&lt;&gt;"", H284&lt;&gt;""), H284/$E284, 0),"")</f>
        <v/>
      </c>
      <c r="J284" s="494" t="str">
        <f>IF(AND(C284&lt;&gt;"",('Cost Inputs'!I92+'Cost Inputs'!J92+'Cost Inputs'!K92)&gt;0), 'Cost Inputs'!I92+'Cost Inputs'!J92+'Cost Inputs'!K92, "")</f>
        <v/>
      </c>
      <c r="K284" s="108" t="str">
        <f>IF($C284&lt;&gt;"",IF(AND($E284&lt;&gt;"",J284&lt;&gt;""), J284/$E284, 0),"")</f>
        <v/>
      </c>
      <c r="L284" s="525"/>
      <c r="M284" s="525"/>
      <c r="O284" s="519" t="str">
        <f>IF(ISNUMBER($B$280),
IF($C284&lt;&gt;"",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84" s="519" t="str">
        <f>IF(ISNUMBER($B$280),
IF($C284&lt;&gt;"",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84" s="519" t="str">
        <f>IF(ISNUMBER($B$280),
IF($C284&lt;&gt;"",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84" s="519" t="str">
        <f>IF(ISNUMBER($B$280),
IF($C284&lt;&gt;"",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84" s="519" t="str">
        <f>IF(ISNUMBER($B$280),
IF($C284&lt;&gt;"",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84" s="519" t="str">
        <f>IF(ISNUMBER($B$280),
IF($C284&lt;&gt;"",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84" s="519" t="str">
        <f>IF(ISNUMBER($B$280),
IF($C284&lt;&gt;"",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84" s="519" t="str">
        <f>IF(ISNUMBER($B$280),
IF($C284&lt;&gt;"",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84" s="519" t="str">
        <f>IF(ISNUMBER($B$280),
IF($C284&lt;&gt;"",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84" s="519" t="str">
        <f>IF(ISNUMBER($B$280),
IF($C284&lt;&gt;"",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84" s="519" t="str">
        <f>IF(ISNUMBER($B$280),
IF($C284&lt;&gt;"",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84" s="519" t="str">
        <f>IF(ISNUMBER($B$280),
IF($C284&lt;&gt;"",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84" s="519" t="str">
        <f>IF(ISNUMBER($B$280),
IF($C284&lt;&gt;"",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84" s="519" t="str">
        <f>IF(ISNUMBER($B$280),
IF($C284&lt;&gt;"",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84" s="519" t="str">
        <f>IF(ISNUMBER($B$280),
IF($C284&lt;&gt;"",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84" s="519" t="str">
        <f>IF(ISNUMBER($B$280),
IF($C284&lt;&gt;"",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84" s="519" t="str">
        <f>IF(ISNUMBER($B$280),
IF($C284&lt;&gt;"",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84" s="519" t="str">
        <f>IF(ISNUMBER($B$280),
IF($C284&lt;&gt;"",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84" s="519" t="str">
        <f>IF(ISNUMBER($B$280),
IF($C284&lt;&gt;"",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84" s="519" t="str">
        <f>IF(ISNUMBER($B$280),
IF($C284&lt;&gt;"",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84" s="519" t="str">
        <f>IF(ISNUMBER($B$280),
IF($C284&lt;&gt;"",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84" s="519" t="str">
        <f>IF(ISNUMBER($B$280),
IF($C284&lt;&gt;"",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84" s="519" t="str">
        <f>IF(ISNUMBER($B$280),
IF($C284&lt;&gt;"",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84" s="519" t="str">
        <f>IF(ISNUMBER($B$280),
IF($C284&lt;&gt;"",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84" s="519" t="str">
        <f>IF(ISNUMBER($B$280),
IF($C284&lt;&gt;"",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84" s="519" t="str">
        <f>IF(ISNUMBER($B$280),
IF($C284&lt;&gt;"",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84" s="519" t="str">
        <f>IF(ISNUMBER($B$280),
IF($C284&lt;&gt;"",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84" s="519" t="str">
        <f>IF(ISNUMBER($B$280),
IF($C284&lt;&gt;"",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84" s="519" t="str">
        <f>IF(ISNUMBER($B$280),
IF($C284&lt;&gt;"",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84" s="519" t="str">
        <f>IF(ISNUMBER($B$280),
IF($C284&lt;&gt;"",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85" spans="1:44" x14ac:dyDescent="0.25">
      <c r="A285" s="518"/>
      <c r="B285" s="504"/>
      <c r="C285" s="523"/>
      <c r="D285" s="93" t="str">
        <f>IF(AND(C284&lt;&gt;"", 'Cost Inputs'!G93&lt;&gt;""), 'Cost Inputs'!G93, "")</f>
        <v/>
      </c>
      <c r="E285" s="93" t="str">
        <f>IF(AND(C284&lt;&gt;"", 'Cost Inputs'!H93&lt;&gt;""), 'Cost Inputs'!H93, "")</f>
        <v/>
      </c>
      <c r="F285" s="494"/>
      <c r="G285" s="108" t="str">
        <f t="shared" si="16"/>
        <v/>
      </c>
      <c r="H285" s="494"/>
      <c r="I285" s="108" t="str">
        <f>IF($C284&lt;&gt;"", IF(AND($E285&lt;&gt;"", H284&lt;&gt;""), H284/($E284*$E285), 0), "")</f>
        <v/>
      </c>
      <c r="J285" s="494"/>
      <c r="K285" s="108" t="str">
        <f>IF($C284&lt;&gt;"", IF(AND($E285&lt;&gt;"", J284&lt;&gt;""), J284/($E284*$E285), 0), "")</f>
        <v/>
      </c>
      <c r="L285" s="525"/>
      <c r="M285" s="525"/>
      <c r="O285" s="519"/>
      <c r="P285" s="519"/>
      <c r="Q285" s="519"/>
      <c r="R285" s="519"/>
      <c r="S285" s="519"/>
      <c r="T285" s="519"/>
      <c r="U285" s="519"/>
      <c r="V285" s="519"/>
      <c r="W285" s="519"/>
      <c r="X285" s="519"/>
      <c r="Y285" s="519"/>
      <c r="Z285" s="519"/>
      <c r="AA285" s="519"/>
      <c r="AB285" s="519"/>
      <c r="AC285" s="519"/>
      <c r="AD285" s="519"/>
      <c r="AE285" s="519"/>
      <c r="AF285" s="519"/>
      <c r="AG285" s="519"/>
      <c r="AH285" s="519"/>
      <c r="AI285" s="519"/>
      <c r="AJ285" s="519"/>
      <c r="AK285" s="519"/>
      <c r="AL285" s="519"/>
      <c r="AM285" s="519"/>
      <c r="AN285" s="519"/>
      <c r="AO285" s="519"/>
      <c r="AP285" s="519"/>
      <c r="AQ285" s="519"/>
      <c r="AR285" s="519"/>
    </row>
    <row r="286" spans="1:44" x14ac:dyDescent="0.25">
      <c r="A286" s="518"/>
      <c r="B286" s="504"/>
      <c r="C286" s="376" t="str">
        <f>IF(AND(ISNUMBER(B280), OR('Cost Inputs'!$H$94&lt;&gt;"", 'Cost Inputs'!$I$94&lt;&gt;"", 'Cost Inputs'!$J$94&lt;&gt;"")), _4_1_3, "")</f>
        <v/>
      </c>
      <c r="D286" s="17" t="str">
        <f>IF(AND(C286&lt;&gt;"", 'Cost Inputs'!G94&lt;&gt;""), 'Cost Inputs'!G94, "")</f>
        <v/>
      </c>
      <c r="E286" s="17" t="str">
        <f>IF(AND(C286&lt;&gt;"", 'Cost Inputs'!H94&lt;&gt;""), 'Cost Inputs'!H94, "")</f>
        <v/>
      </c>
      <c r="F286" s="493" t="str">
        <f>IF(AND(C286&lt;&gt;"", 'Cost Inputs'!I94&lt;&gt;""), 'Cost Inputs'!I94, "")</f>
        <v/>
      </c>
      <c r="G286" s="105" t="str">
        <f t="shared" si="16"/>
        <v/>
      </c>
      <c r="H286" s="493" t="str">
        <f>IF(AND(C286&lt;&gt;"", 'Cost Inputs'!J94&lt;&gt;""), 'Cost Inputs'!J94, "")</f>
        <v/>
      </c>
      <c r="I286" s="105" t="str">
        <f>IF($C286&lt;&gt;"", IF(AND($E286&lt;&gt;"", H286&lt;&gt;""), H286/$E286, 0),"")</f>
        <v/>
      </c>
      <c r="J286" s="493" t="str">
        <f>IF(AND(C286&lt;&gt;"",('Cost Inputs'!I94+'Cost Inputs'!J94+'Cost Inputs'!K94)&gt;0), 'Cost Inputs'!I94+'Cost Inputs'!J94+'Cost Inputs'!K94, "")</f>
        <v/>
      </c>
      <c r="K286" s="105" t="str">
        <f>IF($C286&lt;&gt;"",IF(AND($E286&lt;&gt;"",J286&lt;&gt;""), J286/$E286, 0),"")</f>
        <v/>
      </c>
      <c r="L286" s="525"/>
      <c r="M286" s="525"/>
      <c r="O286" s="497" t="str">
        <f>IF(ISNUMBER($B$280),
IF($C286&lt;&gt;"",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86" s="497" t="str">
        <f>IF(ISNUMBER($B$280),
IF($C286&lt;&gt;"",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86" s="497" t="str">
        <f>IF(ISNUMBER($B$280),
IF($C286&lt;&gt;"",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86" s="497" t="str">
        <f>IF(ISNUMBER($B$280),
IF($C286&lt;&gt;"",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86" s="497" t="str">
        <f>IF(ISNUMBER($B$280),
IF($C286&lt;&gt;"",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86" s="497" t="str">
        <f>IF(ISNUMBER($B$280),
IF($C286&lt;&gt;"",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86" s="497" t="str">
        <f>IF(ISNUMBER($B$280),
IF($C286&lt;&gt;"",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86" s="497" t="str">
        <f>IF(ISNUMBER($B$280),
IF($C286&lt;&gt;"",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86" s="497" t="str">
        <f>IF(ISNUMBER($B$280),
IF($C286&lt;&gt;"",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86" s="497" t="str">
        <f>IF(ISNUMBER($B$280),
IF($C286&lt;&gt;"",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86" s="497" t="str">
        <f>IF(ISNUMBER($B$280),
IF($C286&lt;&gt;"",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86" s="497" t="str">
        <f>IF(ISNUMBER($B$280),
IF($C286&lt;&gt;"",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86" s="497" t="str">
        <f>IF(ISNUMBER($B$280),
IF($C286&lt;&gt;"",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86" s="497" t="str">
        <f>IF(ISNUMBER($B$280),
IF($C286&lt;&gt;"",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86" s="497" t="str">
        <f>IF(ISNUMBER($B$280),
IF($C286&lt;&gt;"",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86" s="497" t="str">
        <f>IF(ISNUMBER($B$280),
IF($C286&lt;&gt;"",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86" s="497" t="str">
        <f>IF(ISNUMBER($B$280),
IF($C286&lt;&gt;"",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86" s="497" t="str">
        <f>IF(ISNUMBER($B$280),
IF($C286&lt;&gt;"",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86" s="497" t="str">
        <f>IF(ISNUMBER($B$280),
IF($C286&lt;&gt;"",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86" s="497" t="str">
        <f>IF(ISNUMBER($B$280),
IF($C286&lt;&gt;"",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86" s="497" t="str">
        <f>IF(ISNUMBER($B$280),
IF($C286&lt;&gt;"",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86" s="497" t="str">
        <f>IF(ISNUMBER($B$280),
IF($C286&lt;&gt;"",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86" s="497" t="str">
        <f>IF(ISNUMBER($B$280),
IF($C286&lt;&gt;"",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86" s="497" t="str">
        <f>IF(ISNUMBER($B$280),
IF($C286&lt;&gt;"",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86" s="497" t="str">
        <f>IF(ISNUMBER($B$280),
IF($C286&lt;&gt;"",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86" s="497" t="str">
        <f>IF(ISNUMBER($B$280),
IF($C286&lt;&gt;"",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86" s="497" t="str">
        <f>IF(ISNUMBER($B$280),
IF($C286&lt;&gt;"",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86" s="497" t="str">
        <f>IF(ISNUMBER($B$280),
IF($C286&lt;&gt;"",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86" s="497" t="str">
        <f>IF(ISNUMBER($B$280),
IF($C286&lt;&gt;"",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86" s="497" t="str">
        <f>IF(ISNUMBER($B$280),
IF($C286&lt;&gt;"",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87" spans="1:44" x14ac:dyDescent="0.25">
      <c r="A287" s="518"/>
      <c r="B287" s="504"/>
      <c r="C287" s="376"/>
      <c r="D287" s="17" t="str">
        <f>IF(AND(C286&lt;&gt;"", 'Cost Inputs'!G95&lt;&gt;""), 'Cost Inputs'!G95, "")</f>
        <v/>
      </c>
      <c r="E287" s="17" t="str">
        <f>IF(AND(C286&lt;&gt;"", 'Cost Inputs'!H95&lt;&gt;""), 'Cost Inputs'!H95, "")</f>
        <v/>
      </c>
      <c r="F287" s="493"/>
      <c r="G287" s="105" t="str">
        <f t="shared" si="16"/>
        <v/>
      </c>
      <c r="H287" s="493"/>
      <c r="I287" s="105" t="str">
        <f>IF($C286&lt;&gt;"", IF(AND($E287&lt;&gt;"", H286&lt;&gt;""), H286/($E286*$E287), 0), "")</f>
        <v/>
      </c>
      <c r="J287" s="493"/>
      <c r="K287" s="105" t="str">
        <f>IF($C286&lt;&gt;"", IF(AND($E287&lt;&gt;"", J286&lt;&gt;""), J286/($E286*$E287), 0), "")</f>
        <v/>
      </c>
      <c r="L287" s="525"/>
      <c r="M287" s="525"/>
      <c r="O287" s="497"/>
      <c r="P287" s="497"/>
      <c r="Q287" s="497"/>
      <c r="R287" s="497"/>
      <c r="S287" s="497"/>
      <c r="T287" s="497"/>
      <c r="U287" s="497"/>
      <c r="V287" s="497"/>
      <c r="W287" s="497"/>
      <c r="X287" s="497"/>
      <c r="Y287" s="497"/>
      <c r="Z287" s="497"/>
      <c r="AA287" s="497"/>
      <c r="AB287" s="497"/>
      <c r="AC287" s="497"/>
      <c r="AD287" s="497"/>
      <c r="AE287" s="497"/>
      <c r="AF287" s="497"/>
      <c r="AG287" s="497"/>
      <c r="AH287" s="497"/>
      <c r="AI287" s="497"/>
      <c r="AJ287" s="497"/>
      <c r="AK287" s="497"/>
      <c r="AL287" s="497"/>
      <c r="AM287" s="497"/>
      <c r="AN287" s="497"/>
      <c r="AO287" s="497"/>
      <c r="AP287" s="497"/>
      <c r="AQ287" s="497"/>
      <c r="AR287" s="497"/>
    </row>
    <row r="288" spans="1:44" x14ac:dyDescent="0.25">
      <c r="A288" s="518"/>
      <c r="B288" s="504"/>
      <c r="C288" s="107" t="str">
        <f>IF(AND(ISNUMBER(B280), OR('Cost Inputs'!H96&lt;&gt;"", 'Cost Inputs'!I96&lt;&gt;"", 'Cost Inputs'!J96&lt;&gt;"")), _4_1_4, "")</f>
        <v/>
      </c>
      <c r="D288" s="93" t="str">
        <f>IF(AND(C288&lt;&gt;"", 'Cost Inputs'!G96&lt;&gt;""), 'Cost Inputs'!G96, "")</f>
        <v/>
      </c>
      <c r="E288" s="93" t="str">
        <f>IF(AND(C288&lt;&gt;"", 'Cost Inputs'!H96&lt;&gt;""), 'Cost Inputs'!H96, "")</f>
        <v/>
      </c>
      <c r="F288" s="93" t="str">
        <f>IF(AND(C288&lt;&gt;"", 'Cost Inputs'!I96&lt;&gt;""), 'Cost Inputs'!I96, "")</f>
        <v/>
      </c>
      <c r="G288" s="108" t="str">
        <f t="shared" si="16"/>
        <v/>
      </c>
      <c r="H288" s="93" t="str">
        <f>IF(AND(C288&lt;&gt;"", 'Cost Inputs'!J96&lt;&gt;""), 'Cost Inputs'!J96, "")</f>
        <v/>
      </c>
      <c r="I288" s="108" t="str">
        <f>IF($C288&lt;&gt;"", IF(AND($E288&lt;&gt;"", H288&lt;&gt;""), H288/$E288, 0),"")</f>
        <v/>
      </c>
      <c r="J288" s="93" t="str">
        <f>IF(AND(C288&lt;&gt;"",('Cost Inputs'!I96+'Cost Inputs'!J96+'Cost Inputs'!K96)&gt;0), 'Cost Inputs'!I96+'Cost Inputs'!J96+'Cost Inputs'!K96, "")</f>
        <v/>
      </c>
      <c r="K288" s="108" t="str">
        <f>IF($C288&lt;&gt;"", IF(AND($E288&lt;&gt;"", J288&lt;&gt;""), J288/$E288, 0),"")</f>
        <v/>
      </c>
      <c r="L288" s="525"/>
      <c r="M288" s="525"/>
      <c r="O288" s="108" t="str">
        <f>IF(ISNUMBER($B$280),
IF($C288&lt;&gt;"",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88" s="108" t="str">
        <f>IF(ISNUMBER($B$280),
IF($C288&lt;&gt;"",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88" s="108" t="str">
        <f>IF(ISNUMBER($B$280),
IF($C288&lt;&gt;"",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88" s="108" t="str">
        <f>IF(ISNUMBER($B$280),
IF($C288&lt;&gt;"",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88" s="108" t="str">
        <f>IF(ISNUMBER($B$280),
IF($C288&lt;&gt;"",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88" s="108" t="str">
        <f>IF(ISNUMBER($B$280),
IF($C288&lt;&gt;"",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88" s="108" t="str">
        <f>IF(ISNUMBER($B$280),
IF($C288&lt;&gt;"",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88" s="108" t="str">
        <f>IF(ISNUMBER($B$280),
IF($C288&lt;&gt;"",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88" s="108" t="str">
        <f>IF(ISNUMBER($B$280),
IF($C288&lt;&gt;"",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88" s="108" t="str">
        <f>IF(ISNUMBER($B$280),
IF($C288&lt;&gt;"",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88" s="108" t="str">
        <f>IF(ISNUMBER($B$280),
IF($C288&lt;&gt;"",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88" s="108" t="str">
        <f>IF(ISNUMBER($B$280),
IF($C288&lt;&gt;"",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88" s="108" t="str">
        <f>IF(ISNUMBER($B$280),
IF($C288&lt;&gt;"",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88" s="108" t="str">
        <f>IF(ISNUMBER($B$280),
IF($C288&lt;&gt;"",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88" s="108" t="str">
        <f>IF(ISNUMBER($B$280),
IF($C288&lt;&gt;"",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88" s="108" t="str">
        <f>IF(ISNUMBER($B$280),
IF($C288&lt;&gt;"",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88" s="108" t="str">
        <f>IF(ISNUMBER($B$280),
IF($C288&lt;&gt;"",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88" s="108" t="str">
        <f>IF(ISNUMBER($B$280),
IF($C288&lt;&gt;"",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88" s="108" t="str">
        <f>IF(ISNUMBER($B$280),
IF($C288&lt;&gt;"",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88" s="108" t="str">
        <f>IF(ISNUMBER($B$280),
IF($C288&lt;&gt;"",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88" s="108" t="str">
        <f>IF(ISNUMBER($B$280),
IF($C288&lt;&gt;"",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88" s="108" t="str">
        <f>IF(ISNUMBER($B$280),
IF($C288&lt;&gt;"",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88" s="108" t="str">
        <f>IF(ISNUMBER($B$280),
IF($C288&lt;&gt;"",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88" s="108" t="str">
        <f>IF(ISNUMBER($B$280),
IF($C288&lt;&gt;"",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88" s="108" t="str">
        <f>IF(ISNUMBER($B$280),
IF($C288&lt;&gt;"",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88" s="108" t="str">
        <f>IF(ISNUMBER($B$280),
IF($C288&lt;&gt;"",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88" s="108" t="str">
        <f>IF(ISNUMBER($B$280),
IF($C288&lt;&gt;"",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88" s="108" t="str">
        <f>IF(ISNUMBER($B$280),
IF($C288&lt;&gt;"",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88" s="108" t="str">
        <f>IF(ISNUMBER($B$280),
IF($C288&lt;&gt;"",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88" s="108" t="str">
        <f>IF(ISNUMBER($B$280),
IF($C288&lt;&gt;"",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89" spans="1:45" x14ac:dyDescent="0.25">
      <c r="A289" s="518"/>
      <c r="B289" s="504"/>
      <c r="C289" s="521" t="str">
        <f>IF(ISNUMBER(B280), _4_2_0, "")</f>
        <v/>
      </c>
      <c r="D289" s="94" t="str">
        <f>IF(AND(C289&lt;&gt;"", 'Cost Inputs'!G97&lt;&gt;""), 'Cost Inputs'!G97, "")</f>
        <v/>
      </c>
      <c r="E289" s="94" t="str">
        <f>IF(AND(C289&lt;&gt;"", 'Cost Inputs'!H97&lt;&gt;""), 'Cost Inputs'!H97, "")</f>
        <v/>
      </c>
      <c r="F289" s="492" t="str">
        <f>IF(AND(C289&lt;&gt;"", 'Cost Inputs'!I97&lt;&gt;""), 'Cost Inputs'!I97, "")</f>
        <v/>
      </c>
      <c r="G289" s="102" t="str">
        <f t="shared" si="16"/>
        <v/>
      </c>
      <c r="H289" s="492" t="str">
        <f>IF(AND(C289&lt;&gt;"", 'Cost Inputs'!J97&lt;&gt;""), 'Cost Inputs'!J97, "")</f>
        <v/>
      </c>
      <c r="I289" s="102" t="str">
        <f>IF($C289&lt;&gt;"", IF(AND($E289&lt;&gt;"", H289&lt;&gt;""), H289/$E289, 0),"")</f>
        <v/>
      </c>
      <c r="J289" s="492" t="str">
        <f>IF(AND(C289&lt;&gt;"",('Cost Inputs'!I97+'Cost Inputs'!J97+'Cost Inputs'!K97)&gt;0), 'Cost Inputs'!I97+'Cost Inputs'!J97+'Cost Inputs'!K97, "")</f>
        <v/>
      </c>
      <c r="K289" s="102" t="str">
        <f>IF($C289&lt;&gt;"",IF(AND($E289&lt;&gt;"",J289&lt;&gt;""), J289/$E289, 0),"")</f>
        <v/>
      </c>
      <c r="L289" s="525"/>
      <c r="M289" s="525"/>
      <c r="O289" s="496" t="str">
        <f>IF(ISNUMBER($B$280),
IF($C289&lt;&gt;"",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89" s="496" t="str">
        <f>IF(ISNUMBER($B$280),
IF($C289&lt;&gt;"",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89" s="496" t="str">
        <f>IF(ISNUMBER($B$280),
IF($C289&lt;&gt;"",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89" s="496" t="str">
        <f>IF(ISNUMBER($B$280),
IF($C289&lt;&gt;"",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89" s="496" t="str">
        <f>IF(ISNUMBER($B$280),
IF($C289&lt;&gt;"",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89" s="496" t="str">
        <f>IF(ISNUMBER($B$280),
IF($C289&lt;&gt;"",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89" s="496" t="str">
        <f>IF(ISNUMBER($B$280),
IF($C289&lt;&gt;"",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89" s="496" t="str">
        <f>IF(ISNUMBER($B$280),
IF($C289&lt;&gt;"",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89" s="496" t="str">
        <f>IF(ISNUMBER($B$280),
IF($C289&lt;&gt;"",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89" s="496" t="str">
        <f>IF(ISNUMBER($B$280),
IF($C289&lt;&gt;"",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89" s="496" t="str">
        <f>IF(ISNUMBER($B$280),
IF($C289&lt;&gt;"",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89" s="496" t="str">
        <f>IF(ISNUMBER($B$280),
IF($C289&lt;&gt;"",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89" s="496" t="str">
        <f>IF(ISNUMBER($B$280),
IF($C289&lt;&gt;"",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89" s="496" t="str">
        <f>IF(ISNUMBER($B$280),
IF($C289&lt;&gt;"",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89" s="496" t="str">
        <f>IF(ISNUMBER($B$280),
IF($C289&lt;&gt;"",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89" s="496" t="str">
        <f>IF(ISNUMBER($B$280),
IF($C289&lt;&gt;"",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89" s="496" t="str">
        <f>IF(ISNUMBER($B$280),
IF($C289&lt;&gt;"",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89" s="496" t="str">
        <f>IF(ISNUMBER($B$280),
IF($C289&lt;&gt;"",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89" s="496" t="str">
        <f>IF(ISNUMBER($B$280),
IF($C289&lt;&gt;"",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89" s="496" t="str">
        <f>IF(ISNUMBER($B$280),
IF($C289&lt;&gt;"",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89" s="496" t="str">
        <f>IF(ISNUMBER($B$280),
IF($C289&lt;&gt;"",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89" s="496" t="str">
        <f>IF(ISNUMBER($B$280),
IF($C289&lt;&gt;"",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89" s="496" t="str">
        <f>IF(ISNUMBER($B$280),
IF($C289&lt;&gt;"",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89" s="496" t="str">
        <f>IF(ISNUMBER($B$280),
IF($C289&lt;&gt;"",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89" s="496" t="str">
        <f>IF(ISNUMBER($B$280),
IF($C289&lt;&gt;"",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89" s="496" t="str">
        <f>IF(ISNUMBER($B$280),
IF($C289&lt;&gt;"",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89" s="496" t="str">
        <f>IF(ISNUMBER($B$280),
IF($C289&lt;&gt;"",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89" s="496" t="str">
        <f>IF(ISNUMBER($B$280),
IF($C289&lt;&gt;"",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89" s="496" t="str">
        <f>IF(ISNUMBER($B$280),
IF($C289&lt;&gt;"",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89" s="496" t="str">
        <f>IF(ISNUMBER($B$280),
IF($C289&lt;&gt;"",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c r="AS289" s="528"/>
    </row>
    <row r="290" spans="1:45" x14ac:dyDescent="0.25">
      <c r="A290" s="518"/>
      <c r="B290" s="504"/>
      <c r="C290" s="521"/>
      <c r="D290" s="94" t="str">
        <f>IF(AND(C289&lt;&gt;"", 'Cost Inputs'!G98&lt;&gt;""), 'Cost Inputs'!G98, "")</f>
        <v/>
      </c>
      <c r="E290" s="94" t="str">
        <f>IF(AND(C289&lt;&gt;"", 'Cost Inputs'!H98&lt;&gt;""), 'Cost Inputs'!H98, "")</f>
        <v/>
      </c>
      <c r="F290" s="492"/>
      <c r="G290" s="102" t="str">
        <f t="shared" si="16"/>
        <v/>
      </c>
      <c r="H290" s="492"/>
      <c r="I290" s="102" t="str">
        <f>IF($C289&lt;&gt;"", IF(AND($E290&lt;&gt;"", H289&lt;&gt;""), H289/($E289*$E290), 0), "")</f>
        <v/>
      </c>
      <c r="J290" s="492" t="str">
        <f>IF(AND(C290&lt;&gt;"",('Cost Inputs'!$I$86+'Cost Inputs'!$J$86+'Cost Inputs'!$K$86)&gt;0), 'Cost Inputs'!$I$86+'Cost Inputs'!$J$86+'Cost Inputs'!$K$86, "")</f>
        <v/>
      </c>
      <c r="K290" s="102" t="str">
        <f>IF($C289&lt;&gt;"", IF(AND($E290&lt;&gt;"", J289&lt;&gt;""), J289/($E289*$E290), 0), "")</f>
        <v/>
      </c>
      <c r="L290" s="525"/>
      <c r="M290" s="525"/>
      <c r="O290" s="496" t="str">
        <f>IF(ISNUMBER($B$280),
IF($C290&lt;&gt;"",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0" s="496" t="str">
        <f>IF(ISNUMBER($B$280),
IF($C290&lt;&gt;"",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0" s="496" t="str">
        <f>IF(ISNUMBER($B$280),
IF($C290&lt;&gt;"",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0" s="496" t="str">
        <f>IF(ISNUMBER($B$280),
IF($C290&lt;&gt;"",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0" s="496" t="str">
        <f>IF(ISNUMBER($B$280),
IF($C290&lt;&gt;"",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0" s="496" t="str">
        <f>IF(ISNUMBER($B$280),
IF($C290&lt;&gt;"",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0" s="496" t="str">
        <f>IF(ISNUMBER($B$280),
IF($C290&lt;&gt;"",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0" s="496" t="str">
        <f>IF(ISNUMBER($B$280),
IF($C290&lt;&gt;"",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0" s="496" t="str">
        <f>IF(ISNUMBER($B$280),
IF($C290&lt;&gt;"",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0" s="496" t="str">
        <f>IF(ISNUMBER($B$280),
IF($C290&lt;&gt;"",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0" s="496" t="str">
        <f>IF(ISNUMBER($B$280),
IF($C290&lt;&gt;"",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0" s="496" t="str">
        <f>IF(ISNUMBER($B$280),
IF($C290&lt;&gt;"",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0" s="496" t="str">
        <f>IF(ISNUMBER($B$280),
IF($C290&lt;&gt;"",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0" s="496" t="str">
        <f>IF(ISNUMBER($B$280),
IF($C290&lt;&gt;"",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0" s="496" t="str">
        <f>IF(ISNUMBER($B$280),
IF($C290&lt;&gt;"",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0" s="496" t="str">
        <f>IF(ISNUMBER($B$280),
IF($C290&lt;&gt;"",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0" s="496" t="str">
        <f>IF(ISNUMBER($B$280),
IF($C290&lt;&gt;"",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0" s="496" t="str">
        <f>IF(ISNUMBER($B$280),
IF($C290&lt;&gt;"",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0" s="496" t="str">
        <f>IF(ISNUMBER($B$280),
IF($C290&lt;&gt;"",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0" s="496" t="str">
        <f>IF(ISNUMBER($B$280),
IF($C290&lt;&gt;"",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0" s="496" t="str">
        <f>IF(ISNUMBER($B$280),
IF($C290&lt;&gt;"",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0" s="496" t="str">
        <f>IF(ISNUMBER($B$280),
IF($C290&lt;&gt;"",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0" s="496" t="str">
        <f>IF(ISNUMBER($B$280),
IF($C290&lt;&gt;"",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0" s="496" t="str">
        <f>IF(ISNUMBER($B$280),
IF($C290&lt;&gt;"",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0" s="496" t="str">
        <f>IF(ISNUMBER($B$280),
IF($C290&lt;&gt;"",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0" s="496" t="str">
        <f>IF(ISNUMBER($B$280),
IF($C290&lt;&gt;"",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0" s="496" t="str">
        <f>IF(ISNUMBER($B$280),
IF($C290&lt;&gt;"",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0" s="496" t="str">
        <f>IF(ISNUMBER($B$280),
IF($C290&lt;&gt;"",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0" s="496" t="str">
        <f>IF(ISNUMBER($B$280),
IF($C290&lt;&gt;"",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0" s="496" t="str">
        <f>IF(ISNUMBER($B$280),
IF($C290&lt;&gt;"",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c r="AS290" s="528"/>
    </row>
    <row r="291" spans="1:45" x14ac:dyDescent="0.25">
      <c r="A291" s="518"/>
      <c r="B291" s="504"/>
      <c r="C291" s="376" t="str">
        <f>IF(AND(ISNUMBER(B280), OR('Cost Inputs'!H99&lt;&gt;"", 'Cost Inputs'!I99&lt;&gt;"", 'Cost Inputs'!J99&lt;&gt;"")), _4_2_1, "")</f>
        <v/>
      </c>
      <c r="D291" s="17" t="str">
        <f>IF(AND(C291&lt;&gt;"", 'Cost Inputs'!G99&lt;&gt;""), 'Cost Inputs'!G99, "")</f>
        <v/>
      </c>
      <c r="E291" s="17" t="str">
        <f>IF(AND(C291&lt;&gt;"", 'Cost Inputs'!H99&lt;&gt;""), 'Cost Inputs'!H99, "")</f>
        <v/>
      </c>
      <c r="F291" s="493" t="str">
        <f>IF(AND(C291&lt;&gt;"", 'Cost Inputs'!I99&lt;&gt;""), 'Cost Inputs'!I99, "")</f>
        <v/>
      </c>
      <c r="G291" s="105" t="str">
        <f t="shared" si="16"/>
        <v/>
      </c>
      <c r="H291" s="493" t="str">
        <f>IF(AND(C291&lt;&gt;"", 'Cost Inputs'!J99&lt;&gt;""), 'Cost Inputs'!J99, "")</f>
        <v/>
      </c>
      <c r="I291" s="105" t="str">
        <f>IF($C291&lt;&gt;"", IF(AND($E291&lt;&gt;"", H291&lt;&gt;""), H291/$E291, 0),"")</f>
        <v/>
      </c>
      <c r="J291" s="493" t="str">
        <f>IF(AND(C291&lt;&gt;"",('Cost Inputs'!I99+'Cost Inputs'!J99+'Cost Inputs'!K99)&gt;0), 'Cost Inputs'!I99+'Cost Inputs'!J99+'Cost Inputs'!K99, "")</f>
        <v/>
      </c>
      <c r="K291" s="105" t="str">
        <f>IF($C291&lt;&gt;"",IF(AND($E291&lt;&gt;"",J291&lt;&gt;""), J291/$E291, 0),"")</f>
        <v/>
      </c>
      <c r="L291" s="525"/>
      <c r="M291" s="525"/>
      <c r="O291" s="497" t="str">
        <f>IF(ISNUMBER($B$280),
IF($C291&lt;&gt;"",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1" s="497" t="str">
        <f>IF(ISNUMBER($B$280),
IF($C291&lt;&gt;"",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1" s="497" t="str">
        <f>IF(ISNUMBER($B$280),
IF($C291&lt;&gt;"",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1" s="497" t="str">
        <f>IF(ISNUMBER($B$280),
IF($C291&lt;&gt;"",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1" s="497" t="str">
        <f>IF(ISNUMBER($B$280),
IF($C291&lt;&gt;"",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1" s="497" t="str">
        <f>IF(ISNUMBER($B$280),
IF($C291&lt;&gt;"",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1" s="497" t="str">
        <f>IF(ISNUMBER($B$280),
IF($C291&lt;&gt;"",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1" s="497" t="str">
        <f>IF(ISNUMBER($B$280),
IF($C291&lt;&gt;"",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1" s="497" t="str">
        <f>IF(ISNUMBER($B$280),
IF($C291&lt;&gt;"",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1" s="497" t="str">
        <f>IF(ISNUMBER($B$280),
IF($C291&lt;&gt;"",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1" s="497" t="str">
        <f>IF(ISNUMBER($B$280),
IF($C291&lt;&gt;"",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1" s="497" t="str">
        <f>IF(ISNUMBER($B$280),
IF($C291&lt;&gt;"",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1" s="497" t="str">
        <f>IF(ISNUMBER($B$280),
IF($C291&lt;&gt;"",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1" s="497" t="str">
        <f>IF(ISNUMBER($B$280),
IF($C291&lt;&gt;"",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1" s="497" t="str">
        <f>IF(ISNUMBER($B$280),
IF($C291&lt;&gt;"",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1" s="497" t="str">
        <f>IF(ISNUMBER($B$280),
IF($C291&lt;&gt;"",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1" s="497" t="str">
        <f>IF(ISNUMBER($B$280),
IF($C291&lt;&gt;"",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1" s="497" t="str">
        <f>IF(ISNUMBER($B$280),
IF($C291&lt;&gt;"",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1" s="497" t="str">
        <f>IF(ISNUMBER($B$280),
IF($C291&lt;&gt;"",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1" s="497" t="str">
        <f>IF(ISNUMBER($B$280),
IF($C291&lt;&gt;"",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1" s="497" t="str">
        <f>IF(ISNUMBER($B$280),
IF($C291&lt;&gt;"",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1" s="497" t="str">
        <f>IF(ISNUMBER($B$280),
IF($C291&lt;&gt;"",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1" s="497" t="str">
        <f>IF(ISNUMBER($B$280),
IF($C291&lt;&gt;"",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1" s="497" t="str">
        <f>IF(ISNUMBER($B$280),
IF($C291&lt;&gt;"",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1" s="497" t="str">
        <f>IF(ISNUMBER($B$280),
IF($C291&lt;&gt;"",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1" s="497" t="str">
        <f>IF(ISNUMBER($B$280),
IF($C291&lt;&gt;"",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1" s="497" t="str">
        <f>IF(ISNUMBER($B$280),
IF($C291&lt;&gt;"",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1" s="497" t="str">
        <f>IF(ISNUMBER($B$280),
IF($C291&lt;&gt;"",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1" s="497" t="str">
        <f>IF(ISNUMBER($B$280),
IF($C291&lt;&gt;"",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1" s="497" t="str">
        <f>IF(ISNUMBER($B$280),
IF($C291&lt;&gt;"",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c r="AS291" s="528"/>
    </row>
    <row r="292" spans="1:45" x14ac:dyDescent="0.25">
      <c r="A292" s="518"/>
      <c r="B292" s="504"/>
      <c r="C292" s="376" t="str">
        <f>IF(AND(ISNUMBER(B272), OR('Cost Inputs'!$H$85&lt;&gt;"", 'Cost Inputs'!$I$85&lt;&gt;"", 'Cost Inputs'!$J$85&lt;&gt;"")), _3_5_1, "")</f>
        <v/>
      </c>
      <c r="D292" s="17" t="str">
        <f>IF(AND(C291&lt;&gt;"", 'Cost Inputs'!G100&lt;&gt;""), 'Cost Inputs'!G100, "")</f>
        <v/>
      </c>
      <c r="E292" s="17" t="str">
        <f>IF(AND(C291&lt;&gt;"", 'Cost Inputs'!H100&lt;&gt;""), 'Cost Inputs'!H100, "")</f>
        <v/>
      </c>
      <c r="F292" s="493"/>
      <c r="G292" s="105" t="str">
        <f t="shared" si="16"/>
        <v/>
      </c>
      <c r="H292" s="493"/>
      <c r="I292" s="105" t="str">
        <f>IF($C291&lt;&gt;"", IF(AND($E292&lt;&gt;"", H291&lt;&gt;""), H291/($E291*$E292), 0), "")</f>
        <v/>
      </c>
      <c r="J292" s="493" t="str">
        <f>IF(AND(C292&lt;&gt;"",('Cost Inputs'!$I$86+'Cost Inputs'!$J$86+'Cost Inputs'!$K$86)&gt;0), 'Cost Inputs'!$I$86+'Cost Inputs'!$J$86+'Cost Inputs'!$K$86, "")</f>
        <v/>
      </c>
      <c r="K292" s="105" t="str">
        <f>IF($C291&lt;&gt;"", IF(AND($E292&lt;&gt;"", J291&lt;&gt;""), J291/($E291*$E292), 0), "")</f>
        <v/>
      </c>
      <c r="L292" s="525"/>
      <c r="M292" s="525"/>
      <c r="O292" s="497" t="str">
        <f>IF(ISNUMBER($B$280),
IF($C292&lt;&gt;"",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2" s="497" t="str">
        <f>IF(ISNUMBER($B$280),
IF($C292&lt;&gt;"",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2" s="497" t="str">
        <f>IF(ISNUMBER($B$280),
IF($C292&lt;&gt;"",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2" s="497" t="str">
        <f>IF(ISNUMBER($B$280),
IF($C292&lt;&gt;"",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2" s="497" t="str">
        <f>IF(ISNUMBER($B$280),
IF($C292&lt;&gt;"",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2" s="497" t="str">
        <f>IF(ISNUMBER($B$280),
IF($C292&lt;&gt;"",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2" s="497" t="str">
        <f>IF(ISNUMBER($B$280),
IF($C292&lt;&gt;"",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2" s="497" t="str">
        <f>IF(ISNUMBER($B$280),
IF($C292&lt;&gt;"",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2" s="497" t="str">
        <f>IF(ISNUMBER($B$280),
IF($C292&lt;&gt;"",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2" s="497" t="str">
        <f>IF(ISNUMBER($B$280),
IF($C292&lt;&gt;"",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2" s="497" t="str">
        <f>IF(ISNUMBER($B$280),
IF($C292&lt;&gt;"",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2" s="497" t="str">
        <f>IF(ISNUMBER($B$280),
IF($C292&lt;&gt;"",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2" s="497" t="str">
        <f>IF(ISNUMBER($B$280),
IF($C292&lt;&gt;"",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2" s="497" t="str">
        <f>IF(ISNUMBER($B$280),
IF($C292&lt;&gt;"",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2" s="497" t="str">
        <f>IF(ISNUMBER($B$280),
IF($C292&lt;&gt;"",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2" s="497" t="str">
        <f>IF(ISNUMBER($B$280),
IF($C292&lt;&gt;"",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2" s="497" t="str">
        <f>IF(ISNUMBER($B$280),
IF($C292&lt;&gt;"",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2" s="497" t="str">
        <f>IF(ISNUMBER($B$280),
IF($C292&lt;&gt;"",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2" s="497" t="str">
        <f>IF(ISNUMBER($B$280),
IF($C292&lt;&gt;"",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2" s="497" t="str">
        <f>IF(ISNUMBER($B$280),
IF($C292&lt;&gt;"",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2" s="497" t="str">
        <f>IF(ISNUMBER($B$280),
IF($C292&lt;&gt;"",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2" s="497" t="str">
        <f>IF(ISNUMBER($B$280),
IF($C292&lt;&gt;"",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2" s="497" t="str">
        <f>IF(ISNUMBER($B$280),
IF($C292&lt;&gt;"",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2" s="497" t="str">
        <f>IF(ISNUMBER($B$280),
IF($C292&lt;&gt;"",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2" s="497" t="str">
        <f>IF(ISNUMBER($B$280),
IF($C292&lt;&gt;"",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2" s="497" t="str">
        <f>IF(ISNUMBER($B$280),
IF($C292&lt;&gt;"",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2" s="497" t="str">
        <f>IF(ISNUMBER($B$280),
IF($C292&lt;&gt;"",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2" s="497" t="str">
        <f>IF(ISNUMBER($B$280),
IF($C292&lt;&gt;"",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2" s="497" t="str">
        <f>IF(ISNUMBER($B$280),
IF($C292&lt;&gt;"",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2" s="497" t="str">
        <f>IF(ISNUMBER($B$280),
IF($C292&lt;&gt;"",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c r="AS292" s="528"/>
    </row>
    <row r="293" spans="1:45" x14ac:dyDescent="0.25">
      <c r="A293" s="518"/>
      <c r="B293" s="504"/>
      <c r="C293" s="523" t="str">
        <f>IF(AND(ISNUMBER(B280), OR('Cost Inputs'!H101&lt;&gt;"", 'Cost Inputs'!I101&lt;&gt;"", 'Cost Inputs'!J101&lt;&gt;"")), _4_2_2, "")</f>
        <v/>
      </c>
      <c r="D293" s="93" t="str">
        <f>IF(AND(C293&lt;&gt;"", 'Cost Inputs'!G101&lt;&gt;""), 'Cost Inputs'!G101, "")</f>
        <v/>
      </c>
      <c r="E293" s="93" t="str">
        <f>IF(AND(C293&lt;&gt;"", 'Cost Inputs'!H101&lt;&gt;""), 'Cost Inputs'!H101, "")</f>
        <v/>
      </c>
      <c r="F293" s="494" t="str">
        <f>IF(AND(C293&lt;&gt;"", 'Cost Inputs'!I101&lt;&gt;""), 'Cost Inputs'!I101, "")</f>
        <v/>
      </c>
      <c r="G293" s="108" t="str">
        <f t="shared" si="16"/>
        <v/>
      </c>
      <c r="H293" s="494" t="str">
        <f>IF(AND(C293&lt;&gt;"", 'Cost Inputs'!J101&lt;&gt;""), 'Cost Inputs'!J101, "")</f>
        <v/>
      </c>
      <c r="I293" s="108" t="str">
        <f>IF($C293&lt;&gt;"", IF(AND($E293&lt;&gt;"", H293&lt;&gt;""), H293/$E293, 0),"")</f>
        <v/>
      </c>
      <c r="J293" s="494" t="str">
        <f>IF(AND(C293&lt;&gt;"",('Cost Inputs'!I101+'Cost Inputs'!J101+'Cost Inputs'!K101)&gt;0), 'Cost Inputs'!I101+'Cost Inputs'!J101+'Cost Inputs'!K101, "")</f>
        <v/>
      </c>
      <c r="K293" s="108" t="str">
        <f>IF($C293&lt;&gt;"",IF(AND($E293&lt;&gt;"",J293&lt;&gt;""), J293/$E293, 0),"")</f>
        <v/>
      </c>
      <c r="L293" s="525"/>
      <c r="M293" s="525"/>
      <c r="O293" s="519" t="str">
        <f>IF(ISNUMBER($B$280),
IF($C293&lt;&gt;"",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3" s="519" t="str">
        <f>IF(ISNUMBER($B$280),
IF($C293&lt;&gt;"",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3" s="519" t="str">
        <f>IF(ISNUMBER($B$280),
IF($C293&lt;&gt;"",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3" s="519" t="str">
        <f>IF(ISNUMBER($B$280),
IF($C293&lt;&gt;"",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3" s="519" t="str">
        <f>IF(ISNUMBER($B$280),
IF($C293&lt;&gt;"",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3" s="519" t="str">
        <f>IF(ISNUMBER($B$280),
IF($C293&lt;&gt;"",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3" s="519" t="str">
        <f>IF(ISNUMBER($B$280),
IF($C293&lt;&gt;"",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3" s="519" t="str">
        <f>IF(ISNUMBER($B$280),
IF($C293&lt;&gt;"",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3" s="519" t="str">
        <f>IF(ISNUMBER($B$280),
IF($C293&lt;&gt;"",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3" s="519" t="str">
        <f>IF(ISNUMBER($B$280),
IF($C293&lt;&gt;"",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3" s="519" t="str">
        <f>IF(ISNUMBER($B$280),
IF($C293&lt;&gt;"",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3" s="519" t="str">
        <f>IF(ISNUMBER($B$280),
IF($C293&lt;&gt;"",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3" s="519" t="str">
        <f>IF(ISNUMBER($B$280),
IF($C293&lt;&gt;"",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3" s="519" t="str">
        <f>IF(ISNUMBER($B$280),
IF($C293&lt;&gt;"",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3" s="519" t="str">
        <f>IF(ISNUMBER($B$280),
IF($C293&lt;&gt;"",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3" s="519" t="str">
        <f>IF(ISNUMBER($B$280),
IF($C293&lt;&gt;"",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3" s="519" t="str">
        <f>IF(ISNUMBER($B$280),
IF($C293&lt;&gt;"",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3" s="519" t="str">
        <f>IF(ISNUMBER($B$280),
IF($C293&lt;&gt;"",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3" s="519" t="str">
        <f>IF(ISNUMBER($B$280),
IF($C293&lt;&gt;"",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3" s="519" t="str">
        <f>IF(ISNUMBER($B$280),
IF($C293&lt;&gt;"",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3" s="519" t="str">
        <f>IF(ISNUMBER($B$280),
IF($C293&lt;&gt;"",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3" s="519" t="str">
        <f>IF(ISNUMBER($B$280),
IF($C293&lt;&gt;"",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3" s="519" t="str">
        <f>IF(ISNUMBER($B$280),
IF($C293&lt;&gt;"",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3" s="519" t="str">
        <f>IF(ISNUMBER($B$280),
IF($C293&lt;&gt;"",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3" s="519" t="str">
        <f>IF(ISNUMBER($B$280),
IF($C293&lt;&gt;"",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3" s="519" t="str">
        <f>IF(ISNUMBER($B$280),
IF($C293&lt;&gt;"",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3" s="519" t="str">
        <f>IF(ISNUMBER($B$280),
IF($C293&lt;&gt;"",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3" s="519" t="str">
        <f>IF(ISNUMBER($B$280),
IF($C293&lt;&gt;"",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3" s="519" t="str">
        <f>IF(ISNUMBER($B$280),
IF($C293&lt;&gt;"",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3" s="519" t="str">
        <f>IF(ISNUMBER($B$280),
IF($C293&lt;&gt;"",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94" spans="1:45" x14ac:dyDescent="0.25">
      <c r="A294" s="518"/>
      <c r="B294" s="504"/>
      <c r="C294" s="523" t="str">
        <f>IF(AND(ISNUMBER(B275), OR('Cost Inputs'!$H$85&lt;&gt;"", 'Cost Inputs'!$I$85&lt;&gt;"", 'Cost Inputs'!$J$85&lt;&gt;"")), _3_5_1, "")</f>
        <v/>
      </c>
      <c r="D294" s="93" t="str">
        <f>IF(AND(C293&lt;&gt;"", 'Cost Inputs'!G102&lt;&gt;""), 'Cost Inputs'!G102, "")</f>
        <v/>
      </c>
      <c r="E294" s="93" t="str">
        <f>IF(AND(C293&lt;&gt;"", 'Cost Inputs'!H102&lt;&gt;""), 'Cost Inputs'!H102, "")</f>
        <v/>
      </c>
      <c r="F294" s="494"/>
      <c r="G294" s="108" t="str">
        <f t="shared" si="16"/>
        <v/>
      </c>
      <c r="H294" s="494"/>
      <c r="I294" s="108" t="str">
        <f>IF($C293&lt;&gt;"", IF(AND($E294&lt;&gt;"", H293&lt;&gt;""), H293/($E293*$E294), 0), "")</f>
        <v/>
      </c>
      <c r="J294" s="494" t="str">
        <f>IF(AND(C294&lt;&gt;"",('Cost Inputs'!$I$86+'Cost Inputs'!$J$86+'Cost Inputs'!$K$86)&gt;0), 'Cost Inputs'!$I$86+'Cost Inputs'!$J$86+'Cost Inputs'!$K$86, "")</f>
        <v/>
      </c>
      <c r="K294" s="108" t="str">
        <f>IF($C293&lt;&gt;"", IF(AND($E294&lt;&gt;"", J293&lt;&gt;""), J293/($E293*$E294), 0), "")</f>
        <v/>
      </c>
      <c r="L294" s="525"/>
      <c r="M294" s="525"/>
      <c r="O294" s="519" t="str">
        <f>IF(ISNUMBER($B$280),
IF($C294&lt;&gt;"",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4" s="519" t="str">
        <f>IF(ISNUMBER($B$280),
IF($C294&lt;&gt;"",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4" s="519" t="str">
        <f>IF(ISNUMBER($B$280),
IF($C294&lt;&gt;"",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4" s="519" t="str">
        <f>IF(ISNUMBER($B$280),
IF($C294&lt;&gt;"",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4" s="519" t="str">
        <f>IF(ISNUMBER($B$280),
IF($C294&lt;&gt;"",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4" s="519" t="str">
        <f>IF(ISNUMBER($B$280),
IF($C294&lt;&gt;"",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4" s="519" t="str">
        <f>IF(ISNUMBER($B$280),
IF($C294&lt;&gt;"",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4" s="519" t="str">
        <f>IF(ISNUMBER($B$280),
IF($C294&lt;&gt;"",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4" s="519" t="str">
        <f>IF(ISNUMBER($B$280),
IF($C294&lt;&gt;"",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4" s="519" t="str">
        <f>IF(ISNUMBER($B$280),
IF($C294&lt;&gt;"",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4" s="519" t="str">
        <f>IF(ISNUMBER($B$280),
IF($C294&lt;&gt;"",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4" s="519" t="str">
        <f>IF(ISNUMBER($B$280),
IF($C294&lt;&gt;"",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4" s="519" t="str">
        <f>IF(ISNUMBER($B$280),
IF($C294&lt;&gt;"",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4" s="519" t="str">
        <f>IF(ISNUMBER($B$280),
IF($C294&lt;&gt;"",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4" s="519" t="str">
        <f>IF(ISNUMBER($B$280),
IF($C294&lt;&gt;"",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4" s="519" t="str">
        <f>IF(ISNUMBER($B$280),
IF($C294&lt;&gt;"",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4" s="519" t="str">
        <f>IF(ISNUMBER($B$280),
IF($C294&lt;&gt;"",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4" s="519" t="str">
        <f>IF(ISNUMBER($B$280),
IF($C294&lt;&gt;"",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4" s="519" t="str">
        <f>IF(ISNUMBER($B$280),
IF($C294&lt;&gt;"",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4" s="519" t="str">
        <f>IF(ISNUMBER($B$280),
IF($C294&lt;&gt;"",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4" s="519" t="str">
        <f>IF(ISNUMBER($B$280),
IF($C294&lt;&gt;"",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4" s="519" t="str">
        <f>IF(ISNUMBER($B$280),
IF($C294&lt;&gt;"",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4" s="519" t="str">
        <f>IF(ISNUMBER($B$280),
IF($C294&lt;&gt;"",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4" s="519" t="str">
        <f>IF(ISNUMBER($B$280),
IF($C294&lt;&gt;"",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4" s="519" t="str">
        <f>IF(ISNUMBER($B$280),
IF($C294&lt;&gt;"",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4" s="519" t="str">
        <f>IF(ISNUMBER($B$280),
IF($C294&lt;&gt;"",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4" s="519" t="str">
        <f>IF(ISNUMBER($B$280),
IF($C294&lt;&gt;"",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4" s="519" t="str">
        <f>IF(ISNUMBER($B$280),
IF($C294&lt;&gt;"",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4" s="519" t="str">
        <f>IF(ISNUMBER($B$280),
IF($C294&lt;&gt;"",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4" s="519" t="str">
        <f>IF(ISNUMBER($B$280),
IF($C294&lt;&gt;"",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95" spans="1:45" x14ac:dyDescent="0.25">
      <c r="A295" s="518"/>
      <c r="B295" s="504"/>
      <c r="C295" s="104" t="str">
        <f>IF(AND(ISNUMBER(B280), OR('Cost Inputs'!H103&lt;&gt;"", 'Cost Inputs'!I103&lt;&gt;"", 'Cost Inputs'!J103&lt;&gt;"")), _4_2_3, "")</f>
        <v/>
      </c>
      <c r="D295" s="17" t="str">
        <f>IF(AND(C295&lt;&gt;"", 'Cost Inputs'!G103&lt;&gt;""), 'Cost Inputs'!G103, "")</f>
        <v/>
      </c>
      <c r="E295" s="17" t="str">
        <f>IF(AND(C295&lt;&gt;"", 'Cost Inputs'!H103&lt;&gt;""), 'Cost Inputs'!H103, "")</f>
        <v/>
      </c>
      <c r="F295" s="17" t="str">
        <f>IF(AND(C295&lt;&gt;"", 'Cost Inputs'!I103&lt;&gt;""), 'Cost Inputs'!I103, "")</f>
        <v/>
      </c>
      <c r="G295" s="105" t="str">
        <f t="shared" si="16"/>
        <v/>
      </c>
      <c r="H295" s="17" t="str">
        <f>IF(AND(C295&lt;&gt;"", 'Cost Inputs'!J103&lt;&gt;""), 'Cost Inputs'!J103, "")</f>
        <v/>
      </c>
      <c r="I295" s="17" t="str">
        <f>IF($C295&lt;&gt;"", IF(AND($E295&lt;&gt;"", H295&lt;&gt;""), H295/$E295, 0),"")</f>
        <v/>
      </c>
      <c r="J295" s="17" t="str">
        <f>IF(AND(C295&lt;&gt;"",('Cost Inputs'!I103+'Cost Inputs'!J103+'Cost Inputs'!K103)&gt;0), 'Cost Inputs'!I103+'Cost Inputs'!J103+'Cost Inputs'!K103, "")</f>
        <v/>
      </c>
      <c r="K295" s="17" t="str">
        <f>IF($C295&lt;&gt;"", IF(AND($E295&lt;&gt;"", J295&lt;&gt;""), J295/$E295, 0),"")</f>
        <v/>
      </c>
      <c r="L295" s="525"/>
      <c r="M295" s="525"/>
      <c r="O295" s="17" t="str">
        <f>IF(ISNUMBER($B$280),
IF($C295&lt;&gt;"",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5" s="17" t="str">
        <f>IF(ISNUMBER($B$280),
IF($C295&lt;&gt;"",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5" s="17" t="str">
        <f>IF(ISNUMBER($B$280),
IF($C295&lt;&gt;"",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5" s="17" t="str">
        <f>IF(ISNUMBER($B$280),
IF($C295&lt;&gt;"",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5" s="17" t="str">
        <f>IF(ISNUMBER($B$280),
IF($C295&lt;&gt;"",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5" s="17" t="str">
        <f>IF(ISNUMBER($B$280),
IF($C295&lt;&gt;"",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5" s="17" t="str">
        <f>IF(ISNUMBER($B$280),
IF($C295&lt;&gt;"",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5" s="17" t="str">
        <f>IF(ISNUMBER($B$280),
IF($C295&lt;&gt;"",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5" s="17" t="str">
        <f>IF(ISNUMBER($B$280),
IF($C295&lt;&gt;"",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5" s="17" t="str">
        <f>IF(ISNUMBER($B$280),
IF($C295&lt;&gt;"",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5" s="17" t="str">
        <f>IF(ISNUMBER($B$280),
IF($C295&lt;&gt;"",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5" s="17" t="str">
        <f>IF(ISNUMBER($B$280),
IF($C295&lt;&gt;"",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5" s="17" t="str">
        <f>IF(ISNUMBER($B$280),
IF($C295&lt;&gt;"",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5" s="17" t="str">
        <f>IF(ISNUMBER($B$280),
IF($C295&lt;&gt;"",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5" s="17" t="str">
        <f>IF(ISNUMBER($B$280),
IF($C295&lt;&gt;"",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5" s="17" t="str">
        <f>IF(ISNUMBER($B$280),
IF($C295&lt;&gt;"",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5" s="17" t="str">
        <f>IF(ISNUMBER($B$280),
IF($C295&lt;&gt;"",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5" s="17" t="str">
        <f>IF(ISNUMBER($B$280),
IF($C295&lt;&gt;"",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5" s="17" t="str">
        <f>IF(ISNUMBER($B$280),
IF($C295&lt;&gt;"",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5" s="17" t="str">
        <f>IF(ISNUMBER($B$280),
IF($C295&lt;&gt;"",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5" s="17" t="str">
        <f>IF(ISNUMBER($B$280),
IF($C295&lt;&gt;"",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5" s="17" t="str">
        <f>IF(ISNUMBER($B$280),
IF($C295&lt;&gt;"",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5" s="17" t="str">
        <f>IF(ISNUMBER($B$280),
IF($C295&lt;&gt;"",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5" s="17" t="str">
        <f>IF(ISNUMBER($B$280),
IF($C295&lt;&gt;"",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5" s="17" t="str">
        <f>IF(ISNUMBER($B$280),
IF($C295&lt;&gt;"",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5" s="17" t="str">
        <f>IF(ISNUMBER($B$280),
IF($C295&lt;&gt;"",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5" s="17" t="str">
        <f>IF(ISNUMBER($B$280),
IF($C295&lt;&gt;"",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5" s="17" t="str">
        <f>IF(ISNUMBER($B$280),
IF($C295&lt;&gt;"",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5" s="17" t="str">
        <f>IF(ISNUMBER($B$280),
IF($C295&lt;&gt;"",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5" s="17" t="str">
        <f>IF(ISNUMBER($B$280),
IF($C295&lt;&gt;"",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96" spans="1:45" x14ac:dyDescent="0.25">
      <c r="A296" s="518"/>
      <c r="B296" s="504"/>
      <c r="C296" s="107" t="str">
        <f>IF(AND(ISNUMBER(B280), OR('Cost Inputs'!H104&lt;&gt;"", 'Cost Inputs'!I104&lt;&gt;"", 'Cost Inputs'!J104&lt;&gt;"")), _4_2_4, "")</f>
        <v/>
      </c>
      <c r="D296" s="93" t="str">
        <f>IF(AND(C296&lt;&gt;"", 'Cost Inputs'!G104&lt;&gt;""), 'Cost Inputs'!G104, "")</f>
        <v/>
      </c>
      <c r="E296" s="93" t="str">
        <f>IF(AND(C296&lt;&gt;"", 'Cost Inputs'!H104&lt;&gt;""), 'Cost Inputs'!H104, "")</f>
        <v/>
      </c>
      <c r="F296" s="93" t="str">
        <f>IF(AND(C296&lt;&gt;"", 'Cost Inputs'!I104&lt;&gt;""), 'Cost Inputs'!I104, "")</f>
        <v/>
      </c>
      <c r="G296" s="108" t="str">
        <f t="shared" si="16"/>
        <v/>
      </c>
      <c r="H296" s="93" t="str">
        <f>IF(AND(C296&lt;&gt;"", 'Cost Inputs'!J104&lt;&gt;""), 'Cost Inputs'!J104, "")</f>
        <v/>
      </c>
      <c r="I296" s="93" t="str">
        <f>IF($C296&lt;&gt;"", IF(AND($E296&lt;&gt;"", H296&lt;&gt;""), H296/$E296, 0),"")</f>
        <v/>
      </c>
      <c r="J296" s="93" t="str">
        <f>IF(AND(C296&lt;&gt;"",('Cost Inputs'!I104+'Cost Inputs'!J104+'Cost Inputs'!K104)&gt;0), 'Cost Inputs'!I104+'Cost Inputs'!J104+'Cost Inputs'!K104, "")</f>
        <v/>
      </c>
      <c r="K296" s="93" t="str">
        <f>IF($C296&lt;&gt;"", IF(AND($E296&lt;&gt;"", J296&lt;&gt;""), J296/$E296, 0),"")</f>
        <v/>
      </c>
      <c r="L296" s="525"/>
      <c r="M296" s="525"/>
      <c r="O296" s="93" t="str">
        <f>IF(ISNUMBER($B$280),
IF($C296&lt;&gt;"",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6" s="93" t="str">
        <f>IF(ISNUMBER($B$280),
IF($C296&lt;&gt;"",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6" s="93" t="str">
        <f>IF(ISNUMBER($B$280),
IF($C296&lt;&gt;"",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6" s="93" t="str">
        <f>IF(ISNUMBER($B$280),
IF($C296&lt;&gt;"",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6" s="93" t="str">
        <f>IF(ISNUMBER($B$280),
IF($C296&lt;&gt;"",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6" s="93" t="str">
        <f>IF(ISNUMBER($B$280),
IF($C296&lt;&gt;"",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6" s="93" t="str">
        <f>IF(ISNUMBER($B$280),
IF($C296&lt;&gt;"",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6" s="93" t="str">
        <f>IF(ISNUMBER($B$280),
IF($C296&lt;&gt;"",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6" s="93" t="str">
        <f>IF(ISNUMBER($B$280),
IF($C296&lt;&gt;"",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6" s="93" t="str">
        <f>IF(ISNUMBER($B$280),
IF($C296&lt;&gt;"",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6" s="93" t="str">
        <f>IF(ISNUMBER($B$280),
IF($C296&lt;&gt;"",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6" s="93" t="str">
        <f>IF(ISNUMBER($B$280),
IF($C296&lt;&gt;"",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6" s="93" t="str">
        <f>IF(ISNUMBER($B$280),
IF($C296&lt;&gt;"",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6" s="93" t="str">
        <f>IF(ISNUMBER($B$280),
IF($C296&lt;&gt;"",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6" s="93" t="str">
        <f>IF(ISNUMBER($B$280),
IF($C296&lt;&gt;"",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6" s="93" t="str">
        <f>IF(ISNUMBER($B$280),
IF($C296&lt;&gt;"",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6" s="93" t="str">
        <f>IF(ISNUMBER($B$280),
IF($C296&lt;&gt;"",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6" s="93" t="str">
        <f>IF(ISNUMBER($B$280),
IF($C296&lt;&gt;"",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6" s="93" t="str">
        <f>IF(ISNUMBER($B$280),
IF($C296&lt;&gt;"",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6" s="93" t="str">
        <f>IF(ISNUMBER($B$280),
IF($C296&lt;&gt;"",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6" s="93" t="str">
        <f>IF(ISNUMBER($B$280),
IF($C296&lt;&gt;"",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6" s="93" t="str">
        <f>IF(ISNUMBER($B$280),
IF($C296&lt;&gt;"",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6" s="93" t="str">
        <f>IF(ISNUMBER($B$280),
IF($C296&lt;&gt;"",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6" s="93" t="str">
        <f>IF(ISNUMBER($B$280),
IF($C296&lt;&gt;"",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6" s="93" t="str">
        <f>IF(ISNUMBER($B$280),
IF($C296&lt;&gt;"",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6" s="93" t="str">
        <f>IF(ISNUMBER($B$280),
IF($C296&lt;&gt;"",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6" s="93" t="str">
        <f>IF(ISNUMBER($B$280),
IF($C296&lt;&gt;"",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6" s="93" t="str">
        <f>IF(ISNUMBER($B$280),
IF($C296&lt;&gt;"",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6" s="93" t="str">
        <f>IF(ISNUMBER($B$280),
IF($C296&lt;&gt;"",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6" s="93" t="str">
        <f>IF(ISNUMBER($B$280),
IF($C296&lt;&gt;"",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97" spans="1:45" x14ac:dyDescent="0.25">
      <c r="A297" s="518"/>
      <c r="B297" s="504"/>
      <c r="C297" s="521" t="str">
        <f>IF(ISNUMBER(B280), _4_3_0, "")</f>
        <v/>
      </c>
      <c r="D297" s="94" t="str">
        <f>IF(AND(C297&lt;&gt;"", 'Cost Inputs'!$G$105&lt;&gt;""), 'Cost Inputs'!$G$105, "")</f>
        <v/>
      </c>
      <c r="E297" s="94" t="str">
        <f>IF(AND(C297&lt;&gt;"", 'Cost Inputs'!$H$105&lt;&gt;""), 'Cost Inputs'!$H$105, "")</f>
        <v/>
      </c>
      <c r="F297" s="492" t="str">
        <f>IF(AND(C297&lt;&gt;"", 'Cost Inputs'!$I$105&lt;&gt;""), 'Cost Inputs'!$I$105, "")</f>
        <v/>
      </c>
      <c r="G297" s="102" t="str">
        <f t="shared" si="16"/>
        <v/>
      </c>
      <c r="H297" s="492" t="str">
        <f>IF(AND(C297&lt;&gt;"", 'Cost Inputs'!$J$105&lt;&gt;""), 'Cost Inputs'!$J$105, "")</f>
        <v/>
      </c>
      <c r="I297" s="102" t="str">
        <f>IF($C297&lt;&gt;"", IF(AND($E297&lt;&gt;"", H297&lt;&gt;""), H297/$E297, 0),"")</f>
        <v/>
      </c>
      <c r="J297" s="492" t="str">
        <f>IF(AND(C297&lt;&gt;"",('Cost Inputs'!$I$105+'Cost Inputs'!$J$105+'Cost Inputs'!$K$105)&gt;0), 'Cost Inputs'!$I$105+'Cost Inputs'!$J$105+'Cost Inputs'!$K$105, "")</f>
        <v/>
      </c>
      <c r="K297" s="102" t="str">
        <f>IF($C297&lt;&gt;"",IF(AND($E297&lt;&gt;"",J297&lt;&gt;""), J297/$E297, 0),"")</f>
        <v/>
      </c>
      <c r="L297" s="525"/>
      <c r="M297" s="525"/>
      <c r="O297" s="496" t="str">
        <f>IF(ISNUMBER($B$280),
IF($C297&lt;&gt;"",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7" s="496" t="str">
        <f>IF(ISNUMBER($B$280),
IF($C297&lt;&gt;"",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7" s="496" t="str">
        <f>IF(ISNUMBER($B$280),
IF($C297&lt;&gt;"",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7" s="496" t="str">
        <f>IF(ISNUMBER($B$280),
IF($C297&lt;&gt;"",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7" s="496" t="str">
        <f>IF(ISNUMBER($B$280),
IF($C297&lt;&gt;"",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7" s="496" t="str">
        <f>IF(ISNUMBER($B$280),
IF($C297&lt;&gt;"",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7" s="496" t="str">
        <f>IF(ISNUMBER($B$280),
IF($C297&lt;&gt;"",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7" s="496" t="str">
        <f>IF(ISNUMBER($B$280),
IF($C297&lt;&gt;"",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7" s="496" t="str">
        <f>IF(ISNUMBER($B$280),
IF($C297&lt;&gt;"",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7" s="496" t="str">
        <f>IF(ISNUMBER($B$280),
IF($C297&lt;&gt;"",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7" s="496" t="str">
        <f>IF(ISNUMBER($B$280),
IF($C297&lt;&gt;"",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7" s="496" t="str">
        <f>IF(ISNUMBER($B$280),
IF($C297&lt;&gt;"",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7" s="496" t="str">
        <f>IF(ISNUMBER($B$280),
IF($C297&lt;&gt;"",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7" s="496" t="str">
        <f>IF(ISNUMBER($B$280),
IF($C297&lt;&gt;"",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7" s="496" t="str">
        <f>IF(ISNUMBER($B$280),
IF($C297&lt;&gt;"",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7" s="496" t="str">
        <f>IF(ISNUMBER($B$280),
IF($C297&lt;&gt;"",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7" s="496" t="str">
        <f>IF(ISNUMBER($B$280),
IF($C297&lt;&gt;"",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7" s="496" t="str">
        <f>IF(ISNUMBER($B$280),
IF($C297&lt;&gt;"",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7" s="496" t="str">
        <f>IF(ISNUMBER($B$280),
IF($C297&lt;&gt;"",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7" s="496" t="str">
        <f>IF(ISNUMBER($B$280),
IF($C297&lt;&gt;"",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7" s="496" t="str">
        <f>IF(ISNUMBER($B$280),
IF($C297&lt;&gt;"",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7" s="496" t="str">
        <f>IF(ISNUMBER($B$280),
IF($C297&lt;&gt;"",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7" s="496" t="str">
        <f>IF(ISNUMBER($B$280),
IF($C297&lt;&gt;"",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7" s="496" t="str">
        <f>IF(ISNUMBER($B$280),
IF($C297&lt;&gt;"",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7" s="496" t="str">
        <f>IF(ISNUMBER($B$280),
IF($C297&lt;&gt;"",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7" s="496" t="str">
        <f>IF(ISNUMBER($B$280),
IF($C297&lt;&gt;"",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7" s="496" t="str">
        <f>IF(ISNUMBER($B$280),
IF($C297&lt;&gt;"",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7" s="496" t="str">
        <f>IF(ISNUMBER($B$280),
IF($C297&lt;&gt;"",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7" s="496" t="str">
        <f>IF(ISNUMBER($B$280),
IF($C297&lt;&gt;"",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7" s="496" t="str">
        <f>IF(ISNUMBER($B$280),
IF($C297&lt;&gt;"",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98" spans="1:45" x14ac:dyDescent="0.25">
      <c r="A298" s="518"/>
      <c r="B298" s="504"/>
      <c r="C298" s="521"/>
      <c r="D298" s="94" t="str">
        <f>IF(AND(C297&lt;&gt;"", 'Cost Inputs'!$G$106&lt;&gt;""), 'Cost Inputs'!$G$106, "")</f>
        <v/>
      </c>
      <c r="E298" s="94" t="str">
        <f>IF(AND(C297&lt;&gt;"", 'Cost Inputs'!H106&lt;&gt;""), 'Cost Inputs'!H106, "")</f>
        <v/>
      </c>
      <c r="F298" s="492"/>
      <c r="G298" s="102" t="str">
        <f t="shared" si="16"/>
        <v/>
      </c>
      <c r="H298" s="492"/>
      <c r="I298" s="102" t="str">
        <f>IF($C297&lt;&gt;"", IF(AND($E298&lt;&gt;"", H297&lt;&gt;""), H297/($E297*$E298), 0), "")</f>
        <v/>
      </c>
      <c r="J298" s="492" t="str">
        <f>IF(AND(C298&lt;&gt;"",('Cost Inputs'!$I$86+'Cost Inputs'!$J$86+'Cost Inputs'!$K$86)&gt;0), 'Cost Inputs'!$I$86+'Cost Inputs'!$J$86+'Cost Inputs'!$K$86, "")</f>
        <v/>
      </c>
      <c r="K298" s="102" t="str">
        <f>IF($C297&lt;&gt;"", IF(AND($E298&lt;&gt;"", J297&lt;&gt;""), J297/($E297*$E298), 0), "")</f>
        <v/>
      </c>
      <c r="L298" s="525"/>
      <c r="M298" s="525"/>
      <c r="O298" s="496" t="str">
        <f>IF(ISNUMBER($B$280),
IF($C298&lt;&gt;"",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8" s="496" t="str">
        <f>IF(ISNUMBER($B$280),
IF($C298&lt;&gt;"",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8" s="496" t="str">
        <f>IF(ISNUMBER($B$280),
IF($C298&lt;&gt;"",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8" s="496" t="str">
        <f>IF(ISNUMBER($B$280),
IF($C298&lt;&gt;"",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8" s="496" t="str">
        <f>IF(ISNUMBER($B$280),
IF($C298&lt;&gt;"",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8" s="496" t="str">
        <f>IF(ISNUMBER($B$280),
IF($C298&lt;&gt;"",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8" s="496" t="str">
        <f>IF(ISNUMBER($B$280),
IF($C298&lt;&gt;"",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8" s="496" t="str">
        <f>IF(ISNUMBER($B$280),
IF($C298&lt;&gt;"",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8" s="496" t="str">
        <f>IF(ISNUMBER($B$280),
IF($C298&lt;&gt;"",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8" s="496" t="str">
        <f>IF(ISNUMBER($B$280),
IF($C298&lt;&gt;"",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8" s="496" t="str">
        <f>IF(ISNUMBER($B$280),
IF($C298&lt;&gt;"",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8" s="496" t="str">
        <f>IF(ISNUMBER($B$280),
IF($C298&lt;&gt;"",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8" s="496" t="str">
        <f>IF(ISNUMBER($B$280),
IF($C298&lt;&gt;"",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8" s="496" t="str">
        <f>IF(ISNUMBER($B$280),
IF($C298&lt;&gt;"",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8" s="496" t="str">
        <f>IF(ISNUMBER($B$280),
IF($C298&lt;&gt;"",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8" s="496" t="str">
        <f>IF(ISNUMBER($B$280),
IF($C298&lt;&gt;"",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8" s="496" t="str">
        <f>IF(ISNUMBER($B$280),
IF($C298&lt;&gt;"",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8" s="496" t="str">
        <f>IF(ISNUMBER($B$280),
IF($C298&lt;&gt;"",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8" s="496" t="str">
        <f>IF(ISNUMBER($B$280),
IF($C298&lt;&gt;"",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8" s="496" t="str">
        <f>IF(ISNUMBER($B$280),
IF($C298&lt;&gt;"",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8" s="496" t="str">
        <f>IF(ISNUMBER($B$280),
IF($C298&lt;&gt;"",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8" s="496" t="str">
        <f>IF(ISNUMBER($B$280),
IF($C298&lt;&gt;"",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8" s="496" t="str">
        <f>IF(ISNUMBER($B$280),
IF($C298&lt;&gt;"",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8" s="496" t="str">
        <f>IF(ISNUMBER($B$280),
IF($C298&lt;&gt;"",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8" s="496" t="str">
        <f>IF(ISNUMBER($B$280),
IF($C298&lt;&gt;"",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8" s="496" t="str">
        <f>IF(ISNUMBER($B$280),
IF($C298&lt;&gt;"",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8" s="496" t="str">
        <f>IF(ISNUMBER($B$280),
IF($C298&lt;&gt;"",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8" s="496" t="str">
        <f>IF(ISNUMBER($B$280),
IF($C298&lt;&gt;"",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8" s="496" t="str">
        <f>IF(ISNUMBER($B$280),
IF($C298&lt;&gt;"",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8" s="496" t="str">
        <f>IF(ISNUMBER($B$280),
IF($C298&lt;&gt;"",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299" spans="1:45" x14ac:dyDescent="0.25">
      <c r="A299" s="518"/>
      <c r="B299" s="504"/>
      <c r="C299" s="104" t="str">
        <f>IF(AND(ISNUMBER(B280), OR('Cost Inputs'!$H$107&lt;&gt;"", 'Cost Inputs'!$I$107&lt;&gt;"", 'Cost Inputs'!$J$107&lt;&gt;"")), _4_3_1, "")</f>
        <v/>
      </c>
      <c r="D299" s="17" t="str">
        <f>IF(AND(C299&lt;&gt;"", 'Cost Inputs'!$G$107&lt;&gt;""), 'Cost Inputs'!$G$107, "")</f>
        <v/>
      </c>
      <c r="E299" s="17" t="str">
        <f>IF(AND(C299&lt;&gt;"", 'Cost Inputs'!$H$107&lt;&gt;""), 'Cost Inputs'!$H$107, "")</f>
        <v/>
      </c>
      <c r="F299" s="17" t="str">
        <f>IF(AND(C299&lt;&gt;"", 'Cost Inputs'!$I$107&lt;&gt;""), 'Cost Inputs'!$I$107, "")</f>
        <v/>
      </c>
      <c r="G299" s="105" t="str">
        <f t="shared" si="16"/>
        <v/>
      </c>
      <c r="H299" s="17" t="str">
        <f>IF(AND(C299&lt;&gt;"", 'Cost Inputs'!$J$107&lt;&gt;""), 'Cost Inputs'!$J$107, "")</f>
        <v/>
      </c>
      <c r="I299" s="17" t="str">
        <f t="shared" ref="I299:I307" si="29">IF($C299&lt;&gt;"", IF(AND($E299&lt;&gt;"", H299&lt;&gt;""), H299/$E299, 0),"")</f>
        <v/>
      </c>
      <c r="J299" s="17" t="str">
        <f>IF(AND(C299&lt;&gt;"",('Cost Inputs'!$I$107+'Cost Inputs'!$J$107+'Cost Inputs'!$K$107)&gt;0), 'Cost Inputs'!$I$107+'Cost Inputs'!$J$107+'Cost Inputs'!$K$107, "")</f>
        <v/>
      </c>
      <c r="K299" s="17" t="str">
        <f t="shared" ref="K299:K307" si="30">IF($C299&lt;&gt;"", IF(AND($E299&lt;&gt;"", J299&lt;&gt;""), J299/$E299, 0),"")</f>
        <v/>
      </c>
      <c r="L299" s="525"/>
      <c r="M299" s="525"/>
      <c r="N299" s="17"/>
      <c r="O299" s="17" t="str">
        <f>IF(ISNUMBER($B$280),
IF($C299&lt;&gt;"",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299" s="17" t="str">
        <f>IF(ISNUMBER($B$280),
IF($C299&lt;&gt;"",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299" s="17" t="str">
        <f>IF(ISNUMBER($B$280),
IF($C299&lt;&gt;"",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299" s="17" t="str">
        <f>IF(ISNUMBER($B$280),
IF($C299&lt;&gt;"",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299" s="17" t="str">
        <f>IF(ISNUMBER($B$280),
IF($C299&lt;&gt;"",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299" s="17" t="str">
        <f>IF(ISNUMBER($B$280),
IF($C299&lt;&gt;"",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299" s="17" t="str">
        <f>IF(ISNUMBER($B$280),
IF($C299&lt;&gt;"",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299" s="17" t="str">
        <f>IF(ISNUMBER($B$280),
IF($C299&lt;&gt;"",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299" s="17" t="str">
        <f>IF(ISNUMBER($B$280),
IF($C299&lt;&gt;"",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299" s="17" t="str">
        <f>IF(ISNUMBER($B$280),
IF($C299&lt;&gt;"",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299" s="17" t="str">
        <f>IF(ISNUMBER($B$280),
IF($C299&lt;&gt;"",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299" s="17" t="str">
        <f>IF(ISNUMBER($B$280),
IF($C299&lt;&gt;"",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299" s="17" t="str">
        <f>IF(ISNUMBER($B$280),
IF($C299&lt;&gt;"",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299" s="17" t="str">
        <f>IF(ISNUMBER($B$280),
IF($C299&lt;&gt;"",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299" s="17" t="str">
        <f>IF(ISNUMBER($B$280),
IF($C299&lt;&gt;"",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299" s="17" t="str">
        <f>IF(ISNUMBER($B$280),
IF($C299&lt;&gt;"",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299" s="17" t="str">
        <f>IF(ISNUMBER($B$280),
IF($C299&lt;&gt;"",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299" s="17" t="str">
        <f>IF(ISNUMBER($B$280),
IF($C299&lt;&gt;"",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299" s="17" t="str">
        <f>IF(ISNUMBER($B$280),
IF($C299&lt;&gt;"",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299" s="17" t="str">
        <f>IF(ISNUMBER($B$280),
IF($C299&lt;&gt;"",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299" s="17" t="str">
        <f>IF(ISNUMBER($B$280),
IF($C299&lt;&gt;"",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299" s="17" t="str">
        <f>IF(ISNUMBER($B$280),
IF($C299&lt;&gt;"",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299" s="17" t="str">
        <f>IF(ISNUMBER($B$280),
IF($C299&lt;&gt;"",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299" s="17" t="str">
        <f>IF(ISNUMBER($B$280),
IF($C299&lt;&gt;"",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299" s="17" t="str">
        <f>IF(ISNUMBER($B$280),
IF($C299&lt;&gt;"",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299" s="17" t="str">
        <f>IF(ISNUMBER($B$280),
IF($C299&lt;&gt;"",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299" s="17" t="str">
        <f>IF(ISNUMBER($B$280),
IF($C299&lt;&gt;"",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299" s="17" t="str">
        <f>IF(ISNUMBER($B$280),
IF($C299&lt;&gt;"",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299" s="17" t="str">
        <f>IF(ISNUMBER($B$280),
IF($C299&lt;&gt;"",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299" s="17" t="str">
        <f>IF(ISNUMBER($B$280),
IF($C299&lt;&gt;"",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00" spans="1:45" x14ac:dyDescent="0.25">
      <c r="A300" s="518"/>
      <c r="B300" s="504"/>
      <c r="C300" s="107" t="str">
        <f>IF(AND(ISNUMBER(B280), OR('Cost Inputs'!$H$108&lt;&gt;"", 'Cost Inputs'!$I$108&lt;&gt;"", 'Cost Inputs'!$J$108&lt;&gt;"")), _4_3_2, "")</f>
        <v/>
      </c>
      <c r="D300" s="93" t="str">
        <f>IF(AND(C300&lt;&gt;"", 'Cost Inputs'!$G$108&lt;&gt;""), 'Cost Inputs'!$G$108, "")</f>
        <v/>
      </c>
      <c r="E300" s="93" t="str">
        <f>IF(AND(C300&lt;&gt;"", 'Cost Inputs'!$H$108&lt;&gt;""), 'Cost Inputs'!$H$108, "")</f>
        <v/>
      </c>
      <c r="F300" s="93" t="str">
        <f>IF(AND(C300&lt;&gt;"", 'Cost Inputs'!$I$108&lt;&gt;""), 'Cost Inputs'!$I$108, "")</f>
        <v/>
      </c>
      <c r="G300" s="108" t="str">
        <f t="shared" si="16"/>
        <v/>
      </c>
      <c r="H300" s="93" t="str">
        <f>IF(AND(C300&lt;&gt;"", 'Cost Inputs'!$J$108&lt;&gt;""), 'Cost Inputs'!$J$108, "")</f>
        <v/>
      </c>
      <c r="I300" s="93" t="str">
        <f t="shared" si="29"/>
        <v/>
      </c>
      <c r="J300" s="93" t="str">
        <f>IF(AND(C300&lt;&gt;"",('Cost Inputs'!$I$108+'Cost Inputs'!$J$108+'Cost Inputs'!$K$108)&gt;0), 'Cost Inputs'!$I$108+'Cost Inputs'!$J$108+'Cost Inputs'!$K$108, "")</f>
        <v/>
      </c>
      <c r="K300" s="93" t="str">
        <f t="shared" si="30"/>
        <v/>
      </c>
      <c r="L300" s="525"/>
      <c r="M300" s="525"/>
      <c r="O300" s="93" t="str">
        <f>IF(ISNUMBER($B$280),
IF($C300&lt;&gt;"",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00" s="93" t="str">
        <f>IF(ISNUMBER($B$280),
IF($C300&lt;&gt;"",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00" s="93" t="str">
        <f>IF(ISNUMBER($B$280),
IF($C300&lt;&gt;"",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00" s="93" t="str">
        <f>IF(ISNUMBER($B$280),
IF($C300&lt;&gt;"",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00" s="93" t="str">
        <f>IF(ISNUMBER($B$280),
IF($C300&lt;&gt;"",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00" s="93" t="str">
        <f>IF(ISNUMBER($B$280),
IF($C300&lt;&gt;"",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00" s="93" t="str">
        <f>IF(ISNUMBER($B$280),
IF($C300&lt;&gt;"",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00" s="93" t="str">
        <f>IF(ISNUMBER($B$280),
IF($C300&lt;&gt;"",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00" s="93" t="str">
        <f>IF(ISNUMBER($B$280),
IF($C300&lt;&gt;"",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00" s="93" t="str">
        <f>IF(ISNUMBER($B$280),
IF($C300&lt;&gt;"",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00" s="93" t="str">
        <f>IF(ISNUMBER($B$280),
IF($C300&lt;&gt;"",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00" s="93" t="str">
        <f>IF(ISNUMBER($B$280),
IF($C300&lt;&gt;"",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00" s="93" t="str">
        <f>IF(ISNUMBER($B$280),
IF($C300&lt;&gt;"",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00" s="93" t="str">
        <f>IF(ISNUMBER($B$280),
IF($C300&lt;&gt;"",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00" s="93" t="str">
        <f>IF(ISNUMBER($B$280),
IF($C300&lt;&gt;"",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00" s="93" t="str">
        <f>IF(ISNUMBER($B$280),
IF($C300&lt;&gt;"",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00" s="93" t="str">
        <f>IF(ISNUMBER($B$280),
IF($C300&lt;&gt;"",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00" s="93" t="str">
        <f>IF(ISNUMBER($B$280),
IF($C300&lt;&gt;"",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00" s="93" t="str">
        <f>IF(ISNUMBER($B$280),
IF($C300&lt;&gt;"",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00" s="93" t="str">
        <f>IF(ISNUMBER($B$280),
IF($C300&lt;&gt;"",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00" s="93" t="str">
        <f>IF(ISNUMBER($B$280),
IF($C300&lt;&gt;"",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00" s="93" t="str">
        <f>IF(ISNUMBER($B$280),
IF($C300&lt;&gt;"",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00" s="93" t="str">
        <f>IF(ISNUMBER($B$280),
IF($C300&lt;&gt;"",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00" s="93" t="str">
        <f>IF(ISNUMBER($B$280),
IF($C300&lt;&gt;"",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00" s="93" t="str">
        <f>IF(ISNUMBER($B$280),
IF($C300&lt;&gt;"",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00" s="93" t="str">
        <f>IF(ISNUMBER($B$280),
IF($C300&lt;&gt;"",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00" s="93" t="str">
        <f>IF(ISNUMBER($B$280),
IF($C300&lt;&gt;"",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00" s="93" t="str">
        <f>IF(ISNUMBER($B$280),
IF($C300&lt;&gt;"",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00" s="93" t="str">
        <f>IF(ISNUMBER($B$280),
IF($C300&lt;&gt;"",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00" s="93" t="str">
        <f>IF(ISNUMBER($B$280),
IF($C300&lt;&gt;"",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01" spans="1:45" x14ac:dyDescent="0.25">
      <c r="A301" s="518"/>
      <c r="B301" s="504"/>
      <c r="C301" s="110" t="str">
        <f>IF(ISNUMBER(B280), _4_4_0, "")</f>
        <v/>
      </c>
      <c r="D301" s="94" t="str">
        <f>IF(AND(C301&lt;&gt;"", 'Cost Inputs'!$G$109&lt;&gt;""), 'Cost Inputs'!$G$109, "")</f>
        <v/>
      </c>
      <c r="E301" s="94" t="str">
        <f>IF(AND(C301&lt;&gt;"", 'Cost Inputs'!$H$109&lt;&gt;""), 'Cost Inputs'!$H$109, "")</f>
        <v/>
      </c>
      <c r="F301" s="94" t="str">
        <f>IF(AND(C301&lt;&gt;"", 'Cost Inputs'!$I$109&lt;&gt;""), 'Cost Inputs'!$I$109, "")</f>
        <v/>
      </c>
      <c r="G301" s="102" t="str">
        <f t="shared" si="16"/>
        <v/>
      </c>
      <c r="H301" s="102" t="str">
        <f>IF(AND(C301&lt;&gt;"", 'Cost Inputs'!$J$109&lt;&gt;""), 'Cost Inputs'!$J$109, "")</f>
        <v/>
      </c>
      <c r="I301" s="102" t="str">
        <f t="shared" si="29"/>
        <v/>
      </c>
      <c r="J301" s="102" t="str">
        <f>IF(AND(C301&lt;&gt;"",('Cost Inputs'!$I$109+'Cost Inputs'!$J$109+'Cost Inputs'!$K$109)&gt;0), 'Cost Inputs'!$I$109+'Cost Inputs'!$J$109+'Cost Inputs'!$K$109, "")</f>
        <v/>
      </c>
      <c r="K301" s="102" t="str">
        <f t="shared" si="30"/>
        <v/>
      </c>
      <c r="L301" s="525"/>
      <c r="M301" s="525"/>
      <c r="O301" s="102" t="str">
        <f>IF(ISNUMBER($B$280),
IF($C301&lt;&gt;"",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01" s="102" t="str">
        <f>IF(ISNUMBER($B$280),
IF($C301&lt;&gt;"",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01" s="102" t="str">
        <f>IF(ISNUMBER($B$280),
IF($C301&lt;&gt;"",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01" s="102" t="str">
        <f>IF(ISNUMBER($B$280),
IF($C301&lt;&gt;"",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01" s="102" t="str">
        <f>IF(ISNUMBER($B$280),
IF($C301&lt;&gt;"",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01" s="102" t="str">
        <f>IF(ISNUMBER($B$280),
IF($C301&lt;&gt;"",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01" s="102" t="str">
        <f>IF(ISNUMBER($B$280),
IF($C301&lt;&gt;"",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01" s="102" t="str">
        <f>IF(ISNUMBER($B$280),
IF($C301&lt;&gt;"",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01" s="102" t="str">
        <f>IF(ISNUMBER($B$280),
IF($C301&lt;&gt;"",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01" s="102" t="str">
        <f>IF(ISNUMBER($B$280),
IF($C301&lt;&gt;"",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01" s="102" t="str">
        <f>IF(ISNUMBER($B$280),
IF($C301&lt;&gt;"",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01" s="102" t="str">
        <f>IF(ISNUMBER($B$280),
IF($C301&lt;&gt;"",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01" s="102" t="str">
        <f>IF(ISNUMBER($B$280),
IF($C301&lt;&gt;"",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01" s="102" t="str">
        <f>IF(ISNUMBER($B$280),
IF($C301&lt;&gt;"",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01" s="102" t="str">
        <f>IF(ISNUMBER($B$280),
IF($C301&lt;&gt;"",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01" s="102" t="str">
        <f>IF(ISNUMBER($B$280),
IF($C301&lt;&gt;"",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01" s="102" t="str">
        <f>IF(ISNUMBER($B$280),
IF($C301&lt;&gt;"",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01" s="102" t="str">
        <f>IF(ISNUMBER($B$280),
IF($C301&lt;&gt;"",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01" s="102" t="str">
        <f>IF(ISNUMBER($B$280),
IF($C301&lt;&gt;"",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01" s="102" t="str">
        <f>IF(ISNUMBER($B$280),
IF($C301&lt;&gt;"",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01" s="102" t="str">
        <f>IF(ISNUMBER($B$280),
IF($C301&lt;&gt;"",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01" s="102" t="str">
        <f>IF(ISNUMBER($B$280),
IF($C301&lt;&gt;"",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01" s="102" t="str">
        <f>IF(ISNUMBER($B$280),
IF($C301&lt;&gt;"",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01" s="102" t="str">
        <f>IF(ISNUMBER($B$280),
IF($C301&lt;&gt;"",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01" s="102" t="str">
        <f>IF(ISNUMBER($B$280),
IF($C301&lt;&gt;"",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01" s="102" t="str">
        <f>IF(ISNUMBER($B$280),
IF($C301&lt;&gt;"",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01" s="102" t="str">
        <f>IF(ISNUMBER($B$280),
IF($C301&lt;&gt;"",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01" s="102" t="str">
        <f>IF(ISNUMBER($B$280),
IF($C301&lt;&gt;"",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01" s="102" t="str">
        <f>IF(ISNUMBER($B$280),
IF($C301&lt;&gt;"",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01" s="102" t="str">
        <f>IF(ISNUMBER($B$280),
IF($C301&lt;&gt;"",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02" spans="1:45" x14ac:dyDescent="0.25">
      <c r="A302" s="518"/>
      <c r="B302" s="504"/>
      <c r="C302" s="104" t="str">
        <f>IF(AND(ISNUMBER(B280), OR('Cost Inputs'!$H$110&lt;&gt;"", 'Cost Inputs'!$I$110&lt;&gt;"", 'Cost Inputs'!$J$110&lt;&gt;"")), _4_4_1, "")</f>
        <v/>
      </c>
      <c r="D302" s="17" t="str">
        <f>IF(AND(C302&lt;&gt;"", 'Cost Inputs'!$G$110&lt;&gt;""), 'Cost Inputs'!$G$110, "")</f>
        <v/>
      </c>
      <c r="E302" s="17" t="str">
        <f>IF(AND(C302&lt;&gt;"", 'Cost Inputs'!$H$110&lt;&gt;""), 'Cost Inputs'!$H$110, "")</f>
        <v/>
      </c>
      <c r="F302" s="17" t="str">
        <f>IF(AND(C302&lt;&gt;"", 'Cost Inputs'!$I$110&lt;&gt;""), 'Cost Inputs'!$I$110, "")</f>
        <v/>
      </c>
      <c r="G302" s="105" t="str">
        <f t="shared" si="16"/>
        <v/>
      </c>
      <c r="H302" s="17" t="str">
        <f>IF(AND(C302&lt;&gt;"", 'Cost Inputs'!$J$110&lt;&gt;""), 'Cost Inputs'!$J$110, "")</f>
        <v/>
      </c>
      <c r="I302" s="17" t="str">
        <f t="shared" si="29"/>
        <v/>
      </c>
      <c r="J302" s="17" t="str">
        <f>IF(AND(C302&lt;&gt;"",('Cost Inputs'!$I$110+'Cost Inputs'!$J$110+'Cost Inputs'!$K$110)&gt;0), 'Cost Inputs'!$I$110+'Cost Inputs'!$J$110+'Cost Inputs'!$K$110, "")</f>
        <v/>
      </c>
      <c r="K302" s="17" t="str">
        <f t="shared" si="30"/>
        <v/>
      </c>
      <c r="L302" s="525"/>
      <c r="M302" s="525"/>
      <c r="O302" s="17" t="str">
        <f>IF(ISNUMBER($B$280),
IF($C302&lt;&gt;"",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02" s="17" t="str">
        <f>IF(ISNUMBER($B$280),
IF($C302&lt;&gt;"",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02" s="17" t="str">
        <f>IF(ISNUMBER($B$280),
IF($C302&lt;&gt;"",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02" s="17" t="str">
        <f>IF(ISNUMBER($B$280),
IF($C302&lt;&gt;"",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02" s="17" t="str">
        <f>IF(ISNUMBER($B$280),
IF($C302&lt;&gt;"",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02" s="17" t="str">
        <f>IF(ISNUMBER($B$280),
IF($C302&lt;&gt;"",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02" s="17" t="str">
        <f>IF(ISNUMBER($B$280),
IF($C302&lt;&gt;"",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02" s="17" t="str">
        <f>IF(ISNUMBER($B$280),
IF($C302&lt;&gt;"",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02" s="17" t="str">
        <f>IF(ISNUMBER($B$280),
IF($C302&lt;&gt;"",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02" s="17" t="str">
        <f>IF(ISNUMBER($B$280),
IF($C302&lt;&gt;"",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02" s="17" t="str">
        <f>IF(ISNUMBER($B$280),
IF($C302&lt;&gt;"",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02" s="17" t="str">
        <f>IF(ISNUMBER($B$280),
IF($C302&lt;&gt;"",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02" s="17" t="str">
        <f>IF(ISNUMBER($B$280),
IF($C302&lt;&gt;"",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02" s="17" t="str">
        <f>IF(ISNUMBER($B$280),
IF($C302&lt;&gt;"",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02" s="17" t="str">
        <f>IF(ISNUMBER($B$280),
IF($C302&lt;&gt;"",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02" s="17" t="str">
        <f>IF(ISNUMBER($B$280),
IF($C302&lt;&gt;"",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02" s="17" t="str">
        <f>IF(ISNUMBER($B$280),
IF($C302&lt;&gt;"",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02" s="17" t="str">
        <f>IF(ISNUMBER($B$280),
IF($C302&lt;&gt;"",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02" s="17" t="str">
        <f>IF(ISNUMBER($B$280),
IF($C302&lt;&gt;"",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02" s="17" t="str">
        <f>IF(ISNUMBER($B$280),
IF($C302&lt;&gt;"",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02" s="17" t="str">
        <f>IF(ISNUMBER($B$280),
IF($C302&lt;&gt;"",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02" s="17" t="str">
        <f>IF(ISNUMBER($B$280),
IF($C302&lt;&gt;"",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02" s="17" t="str">
        <f>IF(ISNUMBER($B$280),
IF($C302&lt;&gt;"",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02" s="17" t="str">
        <f>IF(ISNUMBER($B$280),
IF($C302&lt;&gt;"",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02" s="17" t="str">
        <f>IF(ISNUMBER($B$280),
IF($C302&lt;&gt;"",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02" s="17" t="str">
        <f>IF(ISNUMBER($B$280),
IF($C302&lt;&gt;"",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02" s="17" t="str">
        <f>IF(ISNUMBER($B$280),
IF($C302&lt;&gt;"",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02" s="17" t="str">
        <f>IF(ISNUMBER($B$280),
IF($C302&lt;&gt;"",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02" s="17" t="str">
        <f>IF(ISNUMBER($B$280),
IF($C302&lt;&gt;"",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02" s="17" t="str">
        <f>IF(ISNUMBER($B$280),
IF($C302&lt;&gt;"",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03" spans="1:45" x14ac:dyDescent="0.25">
      <c r="A303" s="518"/>
      <c r="B303" s="504"/>
      <c r="C303" s="107" t="str">
        <f>IF(AND(ISNUMBER(B280), OR('Cost Inputs'!$H$111&lt;&gt;"", 'Cost Inputs'!$I$111&lt;&gt;"", 'Cost Inputs'!$J$111&lt;&gt;"")), _4_4_2, "")</f>
        <v/>
      </c>
      <c r="D303" s="93" t="str">
        <f>IF(AND(C303&lt;&gt;"", 'Cost Inputs'!$G$111&lt;&gt;""), 'Cost Inputs'!$G$111, "")</f>
        <v/>
      </c>
      <c r="E303" s="93" t="str">
        <f>IF(AND(C303&lt;&gt;"", 'Cost Inputs'!$H$111&lt;&gt;""), 'Cost Inputs'!$H$111, "")</f>
        <v/>
      </c>
      <c r="F303" s="93" t="str">
        <f>IF(AND(C303&lt;&gt;"", 'Cost Inputs'!$I$111&lt;&gt;""), 'Cost Inputs'!$I$111, "")</f>
        <v/>
      </c>
      <c r="G303" s="108" t="str">
        <f t="shared" si="16"/>
        <v/>
      </c>
      <c r="H303" s="93" t="str">
        <f>IF(AND(C303&lt;&gt;"", 'Cost Inputs'!$J$111&lt;&gt;""), 'Cost Inputs'!$J$111, "")</f>
        <v/>
      </c>
      <c r="I303" s="93" t="str">
        <f t="shared" si="29"/>
        <v/>
      </c>
      <c r="J303" s="93" t="str">
        <f>IF(AND(C303&lt;&gt;"",('Cost Inputs'!$I$111+'Cost Inputs'!$J$111+'Cost Inputs'!$K$111)&gt;0), 'Cost Inputs'!$I$111+'Cost Inputs'!$J$111+'Cost Inputs'!$K$111, "")</f>
        <v/>
      </c>
      <c r="K303" s="93" t="str">
        <f t="shared" si="30"/>
        <v/>
      </c>
      <c r="L303" s="525"/>
      <c r="M303" s="525"/>
      <c r="O303" s="93" t="str">
        <f>IF(ISNUMBER($B$280),
IF($C303&lt;&gt;"",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03" s="93" t="str">
        <f>IF(ISNUMBER($B$280),
IF($C303&lt;&gt;"",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03" s="93" t="str">
        <f>IF(ISNUMBER($B$280),
IF($C303&lt;&gt;"",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03" s="93" t="str">
        <f>IF(ISNUMBER($B$280),
IF($C303&lt;&gt;"",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03" s="93" t="str">
        <f>IF(ISNUMBER($B$280),
IF($C303&lt;&gt;"",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03" s="93" t="str">
        <f>IF(ISNUMBER($B$280),
IF($C303&lt;&gt;"",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03" s="93" t="str">
        <f>IF(ISNUMBER($B$280),
IF($C303&lt;&gt;"",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03" s="93" t="str">
        <f>IF(ISNUMBER($B$280),
IF($C303&lt;&gt;"",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03" s="93" t="str">
        <f>IF(ISNUMBER($B$280),
IF($C303&lt;&gt;"",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03" s="93" t="str">
        <f>IF(ISNUMBER($B$280),
IF($C303&lt;&gt;"",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03" s="93" t="str">
        <f>IF(ISNUMBER($B$280),
IF($C303&lt;&gt;"",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03" s="93" t="str">
        <f>IF(ISNUMBER($B$280),
IF($C303&lt;&gt;"",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03" s="93" t="str">
        <f>IF(ISNUMBER($B$280),
IF($C303&lt;&gt;"",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03" s="93" t="str">
        <f>IF(ISNUMBER($B$280),
IF($C303&lt;&gt;"",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03" s="93" t="str">
        <f>IF(ISNUMBER($B$280),
IF($C303&lt;&gt;"",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03" s="93" t="str">
        <f>IF(ISNUMBER($B$280),
IF($C303&lt;&gt;"",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03" s="93" t="str">
        <f>IF(ISNUMBER($B$280),
IF($C303&lt;&gt;"",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03" s="93" t="str">
        <f>IF(ISNUMBER($B$280),
IF($C303&lt;&gt;"",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03" s="93" t="str">
        <f>IF(ISNUMBER($B$280),
IF($C303&lt;&gt;"",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03" s="93" t="str">
        <f>IF(ISNUMBER($B$280),
IF($C303&lt;&gt;"",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03" s="93" t="str">
        <f>IF(ISNUMBER($B$280),
IF($C303&lt;&gt;"",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03" s="93" t="str">
        <f>IF(ISNUMBER($B$280),
IF($C303&lt;&gt;"",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03" s="93" t="str">
        <f>IF(ISNUMBER($B$280),
IF($C303&lt;&gt;"",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03" s="93" t="str">
        <f>IF(ISNUMBER($B$280),
IF($C303&lt;&gt;"",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03" s="93" t="str">
        <f>IF(ISNUMBER($B$280),
IF($C303&lt;&gt;"",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03" s="93" t="str">
        <f>IF(ISNUMBER($B$280),
IF($C303&lt;&gt;"",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03" s="93" t="str">
        <f>IF(ISNUMBER($B$280),
IF($C303&lt;&gt;"",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03" s="93" t="str">
        <f>IF(ISNUMBER($B$280),
IF($C303&lt;&gt;"",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03" s="93" t="str">
        <f>IF(ISNUMBER($B$280),
IF($C303&lt;&gt;"",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03" s="93" t="str">
        <f>IF(ISNUMBER($B$280),
IF($C303&lt;&gt;"",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04" spans="1:45" x14ac:dyDescent="0.25">
      <c r="A304" s="518"/>
      <c r="B304" s="504"/>
      <c r="C304" s="104" t="str">
        <f>IF(AND(ISNUMBER(B280), OR('Cost Inputs'!$H$112&lt;&gt;"", 'Cost Inputs'!$I$112&lt;&gt;"", 'Cost Inputs'!$J$112&lt;&gt;"")), _4_4_3, "")</f>
        <v/>
      </c>
      <c r="D304" s="17" t="str">
        <f>IF(AND(C304&lt;&gt;"", 'Cost Inputs'!$G$112&lt;&gt;""), 'Cost Inputs'!$G$112, "")</f>
        <v/>
      </c>
      <c r="E304" s="17" t="str">
        <f>IF(AND(C304&lt;&gt;"", 'Cost Inputs'!$H$112&lt;&gt;""), 'Cost Inputs'!$H$112, "")</f>
        <v/>
      </c>
      <c r="F304" s="17" t="str">
        <f>IF(AND(C304&lt;&gt;"", 'Cost Inputs'!$I$112&lt;&gt;""), 'Cost Inputs'!$I$112, "")</f>
        <v/>
      </c>
      <c r="G304" s="105" t="str">
        <f t="shared" si="16"/>
        <v/>
      </c>
      <c r="H304" s="17" t="str">
        <f>IF(AND(C304&lt;&gt;"", 'Cost Inputs'!$J$112&lt;&gt;""), 'Cost Inputs'!$J$112, "")</f>
        <v/>
      </c>
      <c r="I304" s="17" t="str">
        <f t="shared" si="29"/>
        <v/>
      </c>
      <c r="J304" s="17" t="str">
        <f>IF(AND(C304&lt;&gt;"",('Cost Inputs'!$I$112+'Cost Inputs'!$J$112+'Cost Inputs'!$K$112)&gt;0), 'Cost Inputs'!$I$112+'Cost Inputs'!$J$112+'Cost Inputs'!$K$112, "")</f>
        <v/>
      </c>
      <c r="K304" s="17" t="str">
        <f t="shared" si="30"/>
        <v/>
      </c>
      <c r="L304" s="525"/>
      <c r="M304" s="525"/>
      <c r="O304" s="17" t="str">
        <f>IF(ISNUMBER($B$280),
IF($C304&lt;&gt;"",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04" s="17" t="str">
        <f>IF(ISNUMBER($B$280),
IF($C304&lt;&gt;"",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04" s="17" t="str">
        <f>IF(ISNUMBER($B$280),
IF($C304&lt;&gt;"",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04" s="17" t="str">
        <f>IF(ISNUMBER($B$280),
IF($C304&lt;&gt;"",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04" s="17" t="str">
        <f>IF(ISNUMBER($B$280),
IF($C304&lt;&gt;"",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04" s="17" t="str">
        <f>IF(ISNUMBER($B$280),
IF($C304&lt;&gt;"",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04" s="17" t="str">
        <f>IF(ISNUMBER($B$280),
IF($C304&lt;&gt;"",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04" s="17" t="str">
        <f>IF(ISNUMBER($B$280),
IF($C304&lt;&gt;"",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04" s="17" t="str">
        <f>IF(ISNUMBER($B$280),
IF($C304&lt;&gt;"",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04" s="17" t="str">
        <f>IF(ISNUMBER($B$280),
IF($C304&lt;&gt;"",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04" s="17" t="str">
        <f>IF(ISNUMBER($B$280),
IF($C304&lt;&gt;"",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04" s="17" t="str">
        <f>IF(ISNUMBER($B$280),
IF($C304&lt;&gt;"",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04" s="17" t="str">
        <f>IF(ISNUMBER($B$280),
IF($C304&lt;&gt;"",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04" s="17" t="str">
        <f>IF(ISNUMBER($B$280),
IF($C304&lt;&gt;"",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04" s="17" t="str">
        <f>IF(ISNUMBER($B$280),
IF($C304&lt;&gt;"",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04" s="17" t="str">
        <f>IF(ISNUMBER($B$280),
IF($C304&lt;&gt;"",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04" s="17" t="str">
        <f>IF(ISNUMBER($B$280),
IF($C304&lt;&gt;"",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04" s="17" t="str">
        <f>IF(ISNUMBER($B$280),
IF($C304&lt;&gt;"",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04" s="17" t="str">
        <f>IF(ISNUMBER($B$280),
IF($C304&lt;&gt;"",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04" s="17" t="str">
        <f>IF(ISNUMBER($B$280),
IF($C304&lt;&gt;"",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04" s="17" t="str">
        <f>IF(ISNUMBER($B$280),
IF($C304&lt;&gt;"",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04" s="17" t="str">
        <f>IF(ISNUMBER($B$280),
IF($C304&lt;&gt;"",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04" s="17" t="str">
        <f>IF(ISNUMBER($B$280),
IF($C304&lt;&gt;"",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04" s="17" t="str">
        <f>IF(ISNUMBER($B$280),
IF($C304&lt;&gt;"",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04" s="17" t="str">
        <f>IF(ISNUMBER($B$280),
IF($C304&lt;&gt;"",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04" s="17" t="str">
        <f>IF(ISNUMBER($B$280),
IF($C304&lt;&gt;"",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04" s="17" t="str">
        <f>IF(ISNUMBER($B$280),
IF($C304&lt;&gt;"",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04" s="17" t="str">
        <f>IF(ISNUMBER($B$280),
IF($C304&lt;&gt;"",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04" s="17" t="str">
        <f>IF(ISNUMBER($B$280),
IF($C304&lt;&gt;"",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04" s="17" t="str">
        <f>IF(ISNUMBER($B$280),
IF($C304&lt;&gt;"",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05" spans="1:45" x14ac:dyDescent="0.25">
      <c r="A305" s="518"/>
      <c r="B305" s="504"/>
      <c r="C305" s="107" t="str">
        <f>IF(AND(ISNUMBER(B280), OR('Cost Inputs'!$H$113&lt;&gt;"", 'Cost Inputs'!$I$113&lt;&gt;"", 'Cost Inputs'!$J$113&lt;&gt;"")), _4_4_4, "")</f>
        <v/>
      </c>
      <c r="D305" s="93" t="str">
        <f>IF(AND(C305&lt;&gt;"", 'Cost Inputs'!$G$113&lt;&gt;""), 'Cost Inputs'!$G$113, "")</f>
        <v/>
      </c>
      <c r="E305" s="93" t="str">
        <f>IF(AND(C305&lt;&gt;"", 'Cost Inputs'!$H$113&lt;&gt;""), 'Cost Inputs'!$H$113, "")</f>
        <v/>
      </c>
      <c r="F305" s="93" t="str">
        <f>IF(AND(C305&lt;&gt;"", 'Cost Inputs'!$I$113&lt;&gt;""), 'Cost Inputs'!$I$113, "")</f>
        <v/>
      </c>
      <c r="G305" s="108" t="str">
        <f t="shared" si="16"/>
        <v/>
      </c>
      <c r="H305" s="93" t="str">
        <f>IF(AND(C305&lt;&gt;"", 'Cost Inputs'!$J$113&lt;&gt;""), 'Cost Inputs'!$J$113, "")</f>
        <v/>
      </c>
      <c r="I305" s="93" t="str">
        <f t="shared" si="29"/>
        <v/>
      </c>
      <c r="J305" s="93" t="str">
        <f>IF(AND(C305&lt;&gt;"",('Cost Inputs'!$I$113+'Cost Inputs'!$J$113+'Cost Inputs'!$K$113)&gt;0), 'Cost Inputs'!$I$113+'Cost Inputs'!$J$113+'Cost Inputs'!$K$113, "")</f>
        <v/>
      </c>
      <c r="K305" s="93" t="str">
        <f t="shared" si="30"/>
        <v/>
      </c>
      <c r="L305" s="525"/>
      <c r="M305" s="525"/>
      <c r="O305" s="93" t="str">
        <f>IF(ISNUMBER($B$280),
IF($C305&lt;&gt;"",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05" s="93" t="str">
        <f>IF(ISNUMBER($B$280),
IF($C305&lt;&gt;"",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05" s="93" t="str">
        <f>IF(ISNUMBER($B$280),
IF($C305&lt;&gt;"",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05" s="93" t="str">
        <f>IF(ISNUMBER($B$280),
IF($C305&lt;&gt;"",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05" s="93" t="str">
        <f>IF(ISNUMBER($B$280),
IF($C305&lt;&gt;"",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05" s="93" t="str">
        <f>IF(ISNUMBER($B$280),
IF($C305&lt;&gt;"",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05" s="93" t="str">
        <f>IF(ISNUMBER($B$280),
IF($C305&lt;&gt;"",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05" s="93" t="str">
        <f>IF(ISNUMBER($B$280),
IF($C305&lt;&gt;"",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05" s="93" t="str">
        <f>IF(ISNUMBER($B$280),
IF($C305&lt;&gt;"",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05" s="93" t="str">
        <f>IF(ISNUMBER($B$280),
IF($C305&lt;&gt;"",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05" s="93" t="str">
        <f>IF(ISNUMBER($B$280),
IF($C305&lt;&gt;"",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05" s="93" t="str">
        <f>IF(ISNUMBER($B$280),
IF($C305&lt;&gt;"",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05" s="93" t="str">
        <f>IF(ISNUMBER($B$280),
IF($C305&lt;&gt;"",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05" s="93" t="str">
        <f>IF(ISNUMBER($B$280),
IF($C305&lt;&gt;"",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05" s="93" t="str">
        <f>IF(ISNUMBER($B$280),
IF($C305&lt;&gt;"",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05" s="93" t="str">
        <f>IF(ISNUMBER($B$280),
IF($C305&lt;&gt;"",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05" s="93" t="str">
        <f>IF(ISNUMBER($B$280),
IF($C305&lt;&gt;"",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05" s="93" t="str">
        <f>IF(ISNUMBER($B$280),
IF($C305&lt;&gt;"",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05" s="93" t="str">
        <f>IF(ISNUMBER($B$280),
IF($C305&lt;&gt;"",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05" s="93" t="str">
        <f>IF(ISNUMBER($B$280),
IF($C305&lt;&gt;"",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05" s="93" t="str">
        <f>IF(ISNUMBER($B$280),
IF($C305&lt;&gt;"",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05" s="93" t="str">
        <f>IF(ISNUMBER($B$280),
IF($C305&lt;&gt;"",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05" s="93" t="str">
        <f>IF(ISNUMBER($B$280),
IF($C305&lt;&gt;"",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05" s="93" t="str">
        <f>IF(ISNUMBER($B$280),
IF($C305&lt;&gt;"",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05" s="93" t="str">
        <f>IF(ISNUMBER($B$280),
IF($C305&lt;&gt;"",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05" s="93" t="str">
        <f>IF(ISNUMBER($B$280),
IF($C305&lt;&gt;"",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05" s="93" t="str">
        <f>IF(ISNUMBER($B$280),
IF($C305&lt;&gt;"",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05" s="93" t="str">
        <f>IF(ISNUMBER($B$280),
IF($C305&lt;&gt;"",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05" s="93" t="str">
        <f>IF(ISNUMBER($B$280),
IF($C305&lt;&gt;"",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05" s="93" t="str">
        <f>IF(ISNUMBER($B$280),
IF($C305&lt;&gt;"",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06" spans="1:45" x14ac:dyDescent="0.25">
      <c r="A306" s="518"/>
      <c r="B306" s="504"/>
      <c r="C306" s="104" t="str">
        <f>IF(AND(ISNUMBER(B280), OR('Cost Inputs'!$H$114&lt;&gt;"", 'Cost Inputs'!$I$114&lt;&gt;"", 'Cost Inputs'!$J$114&lt;&gt;"")), _4_4_5, "")</f>
        <v/>
      </c>
      <c r="D306" s="17" t="str">
        <f>IF(AND(C306&lt;&gt;"", 'Cost Inputs'!$G$114&lt;&gt;""), 'Cost Inputs'!$G$114, "")</f>
        <v/>
      </c>
      <c r="E306" s="17" t="str">
        <f>IF(AND(C306&lt;&gt;"", 'Cost Inputs'!$H$114&lt;&gt;""), 'Cost Inputs'!$H$114, "")</f>
        <v/>
      </c>
      <c r="F306" s="17" t="str">
        <f>IF(AND(C306&lt;&gt;"", 'Cost Inputs'!$I$114&lt;&gt;""), 'Cost Inputs'!$I$114, "")</f>
        <v/>
      </c>
      <c r="G306" s="105" t="str">
        <f t="shared" si="16"/>
        <v/>
      </c>
      <c r="H306" s="17" t="str">
        <f>IF(AND(C306&lt;&gt;"", 'Cost Inputs'!$J$114&lt;&gt;""), 'Cost Inputs'!$J$114, "")</f>
        <v/>
      </c>
      <c r="I306" s="17" t="str">
        <f t="shared" si="29"/>
        <v/>
      </c>
      <c r="J306" s="17" t="str">
        <f>IF(AND(C306&lt;&gt;"",('Cost Inputs'!$I$114+'Cost Inputs'!$J$114+'Cost Inputs'!$K$114)&gt;0), 'Cost Inputs'!$I$114+'Cost Inputs'!$J$114+'Cost Inputs'!$K$114, "")</f>
        <v/>
      </c>
      <c r="K306" s="17" t="str">
        <f t="shared" si="30"/>
        <v/>
      </c>
      <c r="L306" s="525"/>
      <c r="M306" s="525"/>
      <c r="O306" s="17" t="str">
        <f>IF(ISNUMBER($B$280),
IF($C306&lt;&gt;"",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06" s="17" t="str">
        <f>IF(ISNUMBER($B$280),
IF($C306&lt;&gt;"",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06" s="17" t="str">
        <f>IF(ISNUMBER($B$280),
IF($C306&lt;&gt;"",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06" s="17" t="str">
        <f>IF(ISNUMBER($B$280),
IF($C306&lt;&gt;"",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06" s="17" t="str">
        <f>IF(ISNUMBER($B$280),
IF($C306&lt;&gt;"",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06" s="17" t="str">
        <f>IF(ISNUMBER($B$280),
IF($C306&lt;&gt;"",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06" s="17" t="str">
        <f>IF(ISNUMBER($B$280),
IF($C306&lt;&gt;"",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06" s="17" t="str">
        <f>IF(ISNUMBER($B$280),
IF($C306&lt;&gt;"",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06" s="17" t="str">
        <f>IF(ISNUMBER($B$280),
IF($C306&lt;&gt;"",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06" s="17" t="str">
        <f>IF(ISNUMBER($B$280),
IF($C306&lt;&gt;"",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06" s="17" t="str">
        <f>IF(ISNUMBER($B$280),
IF($C306&lt;&gt;"",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06" s="17" t="str">
        <f>IF(ISNUMBER($B$280),
IF($C306&lt;&gt;"",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06" s="17" t="str">
        <f>IF(ISNUMBER($B$280),
IF($C306&lt;&gt;"",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06" s="17" t="str">
        <f>IF(ISNUMBER($B$280),
IF($C306&lt;&gt;"",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06" s="17" t="str">
        <f>IF(ISNUMBER($B$280),
IF($C306&lt;&gt;"",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06" s="17" t="str">
        <f>IF(ISNUMBER($B$280),
IF($C306&lt;&gt;"",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06" s="17" t="str">
        <f>IF(ISNUMBER($B$280),
IF($C306&lt;&gt;"",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06" s="17" t="str">
        <f>IF(ISNUMBER($B$280),
IF($C306&lt;&gt;"",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06" s="17" t="str">
        <f>IF(ISNUMBER($B$280),
IF($C306&lt;&gt;"",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06" s="17" t="str">
        <f>IF(ISNUMBER($B$280),
IF($C306&lt;&gt;"",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06" s="17" t="str">
        <f>IF(ISNUMBER($B$280),
IF($C306&lt;&gt;"",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06" s="17" t="str">
        <f>IF(ISNUMBER($B$280),
IF($C306&lt;&gt;"",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06" s="17" t="str">
        <f>IF(ISNUMBER($B$280),
IF($C306&lt;&gt;"",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06" s="17" t="str">
        <f>IF(ISNUMBER($B$280),
IF($C306&lt;&gt;"",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06" s="17" t="str">
        <f>IF(ISNUMBER($B$280),
IF($C306&lt;&gt;"",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06" s="17" t="str">
        <f>IF(ISNUMBER($B$280),
IF($C306&lt;&gt;"",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06" s="17" t="str">
        <f>IF(ISNUMBER($B$280),
IF($C306&lt;&gt;"",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06" s="17" t="str">
        <f>IF(ISNUMBER($B$280),
IF($C306&lt;&gt;"",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06" s="17" t="str">
        <f>IF(ISNUMBER($B$280),
IF($C306&lt;&gt;"",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06" s="17" t="str">
        <f>IF(ISNUMBER($B$280),
IF($C306&lt;&gt;"",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07" spans="1:45" x14ac:dyDescent="0.25">
      <c r="A307" s="518"/>
      <c r="B307" s="504"/>
      <c r="C307" s="107" t="str">
        <f>IF(AND(ISNUMBER(B280), OR('Cost Inputs'!$H$115&lt;&gt;"", 'Cost Inputs'!$I$115&lt;&gt;"", 'Cost Inputs'!$J$115&lt;&gt;"")), _4_4_6, "")</f>
        <v/>
      </c>
      <c r="D307" s="93" t="str">
        <f>IF(AND(C307&lt;&gt;"", 'Cost Inputs'!$G$115&lt;&gt;""), 'Cost Inputs'!$G$115, "")</f>
        <v/>
      </c>
      <c r="E307" s="93" t="str">
        <f>IF(AND(C307&lt;&gt;"", 'Cost Inputs'!$H$115&lt;&gt;""), 'Cost Inputs'!$H$115, "")</f>
        <v/>
      </c>
      <c r="F307" s="93" t="str">
        <f>IF(AND(C307&lt;&gt;"", 'Cost Inputs'!$I$115&lt;&gt;""), 'Cost Inputs'!$I$115, "")</f>
        <v/>
      </c>
      <c r="G307" s="108" t="str">
        <f t="shared" si="16"/>
        <v/>
      </c>
      <c r="H307" s="93" t="str">
        <f>IF(AND(C307&lt;&gt;"", 'Cost Inputs'!$J$115&lt;&gt;""), 'Cost Inputs'!$J$115, "")</f>
        <v/>
      </c>
      <c r="I307" s="93" t="str">
        <f t="shared" si="29"/>
        <v/>
      </c>
      <c r="J307" s="93" t="str">
        <f>IF(AND(C307&lt;&gt;"",('Cost Inputs'!$I$115+'Cost Inputs'!$J$115+'Cost Inputs'!$K$115)&gt;0), 'Cost Inputs'!$I$115+'Cost Inputs'!$J$115+'Cost Inputs'!$K$115, "")</f>
        <v/>
      </c>
      <c r="K307" s="93" t="str">
        <f t="shared" si="30"/>
        <v/>
      </c>
      <c r="L307" s="525"/>
      <c r="M307" s="525"/>
      <c r="O307" s="93" t="str">
        <f>IF(ISNUMBER($B$280),
IF($C307&lt;&gt;"",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07" s="93" t="str">
        <f>IF(ISNUMBER($B$280),
IF($C307&lt;&gt;"",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07" s="93" t="str">
        <f>IF(ISNUMBER($B$280),
IF($C307&lt;&gt;"",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07" s="93" t="str">
        <f>IF(ISNUMBER($B$280),
IF($C307&lt;&gt;"",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07" s="93" t="str">
        <f>IF(ISNUMBER($B$280),
IF($C307&lt;&gt;"",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07" s="93" t="str">
        <f>IF(ISNUMBER($B$280),
IF($C307&lt;&gt;"",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07" s="93" t="str">
        <f>IF(ISNUMBER($B$280),
IF($C307&lt;&gt;"",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07" s="93" t="str">
        <f>IF(ISNUMBER($B$280),
IF($C307&lt;&gt;"",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07" s="93" t="str">
        <f>IF(ISNUMBER($B$280),
IF($C307&lt;&gt;"",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07" s="93" t="str">
        <f>IF(ISNUMBER($B$280),
IF($C307&lt;&gt;"",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07" s="93" t="str">
        <f>IF(ISNUMBER($B$280),
IF($C307&lt;&gt;"",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07" s="93" t="str">
        <f>IF(ISNUMBER($B$280),
IF($C307&lt;&gt;"",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07" s="93" t="str">
        <f>IF(ISNUMBER($B$280),
IF($C307&lt;&gt;"",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07" s="93" t="str">
        <f>IF(ISNUMBER($B$280),
IF($C307&lt;&gt;"",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07" s="93" t="str">
        <f>IF(ISNUMBER($B$280),
IF($C307&lt;&gt;"",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07" s="93" t="str">
        <f>IF(ISNUMBER($B$280),
IF($C307&lt;&gt;"",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07" s="93" t="str">
        <f>IF(ISNUMBER($B$280),
IF($C307&lt;&gt;"",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07" s="93" t="str">
        <f>IF(ISNUMBER($B$280),
IF($C307&lt;&gt;"",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07" s="93" t="str">
        <f>IF(ISNUMBER($B$280),
IF($C307&lt;&gt;"",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07" s="93" t="str">
        <f>IF(ISNUMBER($B$280),
IF($C307&lt;&gt;"",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07" s="93" t="str">
        <f>IF(ISNUMBER($B$280),
IF($C307&lt;&gt;"",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07" s="93" t="str">
        <f>IF(ISNUMBER($B$280),
IF($C307&lt;&gt;"",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07" s="93" t="str">
        <f>IF(ISNUMBER($B$280),
IF($C307&lt;&gt;"",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07" s="93" t="str">
        <f>IF(ISNUMBER($B$280),
IF($C307&lt;&gt;"",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07" s="93" t="str">
        <f>IF(ISNUMBER($B$280),
IF($C307&lt;&gt;"",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07" s="93" t="str">
        <f>IF(ISNUMBER($B$280),
IF($C307&lt;&gt;"",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07" s="93" t="str">
        <f>IF(ISNUMBER($B$280),
IF($C307&lt;&gt;"",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07" s="93" t="str">
        <f>IF(ISNUMBER($B$280),
IF($C307&lt;&gt;"",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07" s="93" t="str">
        <f>IF(ISNUMBER($B$280),
IF($C307&lt;&gt;"",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07" s="93" t="str">
        <f>IF(ISNUMBER($B$280),
IF($C307&lt;&gt;"",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08" spans="1:45" x14ac:dyDescent="0.25">
      <c r="A308" s="518"/>
      <c r="B308" s="504"/>
      <c r="C308" s="489" t="str">
        <f>IF('Model_ of_individuals'!C301&lt;&gt;"", "Percentage decrease in marker culling","")</f>
        <v/>
      </c>
      <c r="D308" s="490"/>
      <c r="E308" s="490"/>
      <c r="F308" s="490"/>
      <c r="G308" s="490"/>
      <c r="H308" s="490"/>
      <c r="I308" s="490"/>
      <c r="J308" s="490"/>
      <c r="K308" s="491"/>
      <c r="L308" s="525"/>
      <c r="M308" s="525"/>
      <c r="O308" s="17" t="str">
        <f>IF(OR('Breeding Inputs'!$I$17="Y",'Model_ of_individuals'!$C301&lt;&gt;""),
IF('Breeding Inputs'!$I$44="Y",
IF(OR('Breeding Inputs'!$I$45=1), 25%,
IF('Breeding Inputs'!$I$44="N",
IF('Breeding Inputs'!$I$45=1,
IF(ISNUMBER('Breeding Inputs'!$I$46),'Breeding Inputs'!$I$46,""),""),"")),""),"")</f>
        <v/>
      </c>
      <c r="P308" s="17" t="str">
        <f>IF(OR('Breeding Inputs'!$I$17="Y",'Model_ of_individuals'!$C301&lt;&gt;""),
IF('Breeding Inputs'!$I$44="Y",
IF(OR('Breeding Inputs'!$I$45=1), 25%,
IF(ISNUMBER(O308), O308,
IF('Breeding Inputs'!$I$44="N",
IF(OR('Breeding Inputs'!$I$45=1),
IF(ISNUMBER('Breeding Inputs'!$I$46),'Breeding Inputs'!$I$46,""),""),""))),""),"")</f>
        <v/>
      </c>
      <c r="Q308" s="17" t="str">
        <f>IF(OR('Breeding Inputs'!$I$17="Y",'Model_ of_individuals'!$C301&lt;&gt;""),
IF('Breeding Inputs'!$I$44="Y",
IF(OR('Breeding Inputs'!$I$45=1, 'Breeding Inputs'!$I$45=2), 25%,
IF(ISNUMBER(P308), P308,
IF('Breeding Inputs'!$I$44="N",
IF(OR('Breeding Inputs'!$I$45=1, 'Breeding Inputs'!$I$45=2),
IF(ISNUMBER('Breeding Inputs'!$I$46),'Breeding Inputs'!$I$46,""),""),""))),""),"")</f>
        <v/>
      </c>
      <c r="R308" s="17" t="str">
        <f>IF(OR('Breeding Inputs'!$I$17="Y",'Model_ of_individuals'!$C301&lt;&gt;""),
IF('Breeding Inputs'!$I$44="Y",
IF(OR('Breeding Inputs'!$I$45=1, 'Breeding Inputs'!$I$45=3), 25%,
IF(ISNUMBER(Q308), Q308,
IF('Breeding Inputs'!$I$44="N",
IF(OR('Breeding Inputs'!$I$45=1, 'Breeding Inputs'!$I$45=3),
IF(ISNUMBER('Breeding Inputs'!$I$46),'Breeding Inputs'!$I$46,""),""),""))),""),"")</f>
        <v/>
      </c>
      <c r="S308" s="17" t="str">
        <f>IF(OR('Breeding Inputs'!$I$17="Y",'Model_ of_individuals'!$C301&lt;&gt;""),
IF('Breeding Inputs'!$I$44="Y",
IF(OR('Breeding Inputs'!$I$45=1, 'Breeding Inputs'!$I$45=2, 'Breeding Inputs'!$I$45=4), 25%,
IF(ISNUMBER(R308), R308,
IF('Breeding Inputs'!$I$44="N",
IF(OR('Breeding Inputs'!$I$45=1, 'Breeding Inputs'!$I$45=2, 'Breeding Inputs'!$I$45=4),
IF(ISNUMBER('Breeding Inputs'!$I$46),'Breeding Inputs'!$I$46,""),""),""))),""),"")</f>
        <v/>
      </c>
      <c r="T308" s="17" t="str">
        <f>IF(OR('Breeding Inputs'!$I$17="Y",'Model_ of_individuals'!$C301&lt;&gt;""),
IF('Breeding Inputs'!$I$44="Y",
IF(OR('Breeding Inputs'!$I$45=1, 'Breeding Inputs'!$I$45=5), 25%,
IF(ISNUMBER(S308), S308,
IF('Breeding Inputs'!$I$44="N",
IF(OR('Breeding Inputs'!$I$45=1, 'Breeding Inputs'!$I$45=5),
IF(ISNUMBER('Breeding Inputs'!$I$46),'Breeding Inputs'!$I$46,""),""),""))),""),"")</f>
        <v/>
      </c>
      <c r="U308" s="17" t="str">
        <f>IF(OR('Breeding Inputs'!$I$17="Y",'Model_ of_individuals'!$C301&lt;&gt;""),
IF('Breeding Inputs'!$I$44="Y",
IF(OR('Breeding Inputs'!$I$45=1, 'Breeding Inputs'!$I$45=2, 'Breeding Inputs'!$I$45=3, 'Breeding Inputs'!$I$45=6), 25%,
IF(ISNUMBER(T308), T308,
IF('Breeding Inputs'!$I$44="N",
IF(OR('Breeding Inputs'!$I$45=1, 'Breeding Inputs'!$I$45=2, 'Breeding Inputs'!$I$45=3, 'Breeding Inputs'!$I$45=6),
IF(ISNUMBER('Breeding Inputs'!$I$46),'Breeding Inputs'!$I$46,""),""),""))),""),"")</f>
        <v/>
      </c>
      <c r="V308" s="17" t="str">
        <f>IF(OR('Breeding Inputs'!$I$17="Y",'Model_ of_individuals'!$C301&lt;&gt;""),
IF('Breeding Inputs'!$I$44="Y",
IF(OR('Breeding Inputs'!$I$45=1, 'Breeding Inputs'!$I$45=7), 25%,
IF(ISNUMBER(U308), U308,
IF('Breeding Inputs'!$I$44="N",
IF(OR('Breeding Inputs'!$I$45=1, 'Breeding Inputs'!$I$45=7),
IF(ISNUMBER('Breeding Inputs'!$I$46),'Breeding Inputs'!$I$46,""),""),""))),""),"")</f>
        <v/>
      </c>
      <c r="W308" s="17" t="str">
        <f>IF(OR('Breeding Inputs'!$I$17="Y",'Model_ of_individuals'!$C301&lt;&gt;""),
IF('Breeding Inputs'!$I$44="Y",
IF(OR('Breeding Inputs'!$I$45=1, 'Breeding Inputs'!$I$45=2, 'Breeding Inputs'!$I$45=4, 'Breeding Inputs'!$I$45=8), 25%,
IF(ISNUMBER(V308), V308,
IF('Breeding Inputs'!$I$44="N",
IF(OR('Breeding Inputs'!$I$45=1, 'Breeding Inputs'!$I$45=2, 'Breeding Inputs'!$I$45=4, 'Breeding Inputs'!$I$45=8),
IF(ISNUMBER('Breeding Inputs'!$I$46),'Breeding Inputs'!$I$46,""),""),""))),""),"")</f>
        <v/>
      </c>
      <c r="X308" s="17" t="str">
        <f>IF(OR('Breeding Inputs'!$I$17="Y",'Model_ of_individuals'!$C301&lt;&gt;""),
IF('Breeding Inputs'!$I$44="Y",
IF(OR('Breeding Inputs'!$I$45=1, 'Breeding Inputs'!$I$45=3, 'Breeding Inputs'!$I$45=9), 25%,
IF(ISNUMBER(W308), W308,
IF('Breeding Inputs'!$I$44="N",
IF(OR('Breeding Inputs'!$I$45=1, 'Breeding Inputs'!$I$45=3, 'Breeding Inputs'!$I$45=9),
IF(ISNUMBER('Breeding Inputs'!$I$46),'Breeding Inputs'!$I$46,""),""),""))),""),"")</f>
        <v/>
      </c>
      <c r="Y308" s="17" t="str">
        <f>IF(OR('Breeding Inputs'!$I$17="Y",'Model_ of_individuals'!$C301&lt;&gt;""),
IF('Breeding Inputs'!$I$44="Y",
IF(OR('Breeding Inputs'!$I$45=1, 'Breeding Inputs'!$I$45=3, 'Breeding Inputs'!$I$45=9), 25%,
IF(ISNUMBER(X308), X308,
IF('Breeding Inputs'!$I$44="N",
IF(OR('Breeding Inputs'!$I$45=1, 'Breeding Inputs'!$I$45=3, 'Breeding Inputs'!$I$45=9),
IF(ISNUMBER('Breeding Inputs'!$I$46),'Breeding Inputs'!$I$46,""),""),""))),""),"")</f>
        <v/>
      </c>
      <c r="Z308" s="17" t="str">
        <f>IF(OR('Breeding Inputs'!$I$17="Y",'Model_ of_individuals'!$C301&lt;&gt;""),
IF('Breeding Inputs'!$I$44="Y",
IF(OR('Breeding Inputs'!$I$45=1, 'Breeding Inputs'!$I$45=3, 'Breeding Inputs'!$I$45=9), 25%,
IF(ISNUMBER(Y308), Y308,
IF('Breeding Inputs'!$I$44="N",
IF(OR('Breeding Inputs'!$I$45=1, 'Breeding Inputs'!$I$45=3, 'Breeding Inputs'!$I$45=9),
IF(ISNUMBER('Breeding Inputs'!$I$46),'Breeding Inputs'!$I$46,""),""),""))),""),"")</f>
        <v/>
      </c>
      <c r="AA308" s="17" t="str">
        <f>IF(OR('Breeding Inputs'!$I$17="Y",'Model_ of_individuals'!$C301&lt;&gt;""),
IF('Breeding Inputs'!$I$44="Y",
IF(OR('Breeding Inputs'!$I$45=1, 'Breeding Inputs'!$I$45=3, 'Breeding Inputs'!$I$45=9), 25%,
IF(ISNUMBER(Z308), Z308,
IF('Breeding Inputs'!$I$44="N",
IF(OR('Breeding Inputs'!$I$45=1, 'Breeding Inputs'!$I$45=3, 'Breeding Inputs'!$I$45=9),
IF(ISNUMBER('Breeding Inputs'!$I$46),'Breeding Inputs'!$I$46,""),""),""))),""),"")</f>
        <v/>
      </c>
      <c r="AB308" s="17" t="str">
        <f>IF(OR('Breeding Inputs'!$I$17="Y",'Model_ of_individuals'!$C301&lt;&gt;""),
IF('Breeding Inputs'!$I$44="Y",
IF(OR('Breeding Inputs'!$I$45=1, 'Breeding Inputs'!$I$45=3, 'Breeding Inputs'!$I$45=9), 25%,
IF(ISNUMBER(AA308), AA308,
IF('Breeding Inputs'!$I$44="N",
IF(OR('Breeding Inputs'!$I$45=1, 'Breeding Inputs'!$I$45=3, 'Breeding Inputs'!$I$45=9),
IF(ISNUMBER('Breeding Inputs'!$I$46),'Breeding Inputs'!$I$46,""),""),""))),""),"")</f>
        <v/>
      </c>
      <c r="AC308" s="17" t="str">
        <f>IF(OR('Breeding Inputs'!$I$17="Y",'Model_ of_individuals'!$C301&lt;&gt;""),
IF('Breeding Inputs'!$I$44="Y",
IF(OR('Breeding Inputs'!$I$45=1, 'Breeding Inputs'!$I$45=3, 'Breeding Inputs'!$I$45=9), 25%,
IF(ISNUMBER(AB308), AB308,
IF('Breeding Inputs'!$I$44="N",
IF(OR('Breeding Inputs'!$I$45=1, 'Breeding Inputs'!$I$45=3, 'Breeding Inputs'!$I$45=9),
IF(ISNUMBER('Breeding Inputs'!$I$46),'Breeding Inputs'!$I$46,""),""),""))),""),"")</f>
        <v/>
      </c>
      <c r="AD308" s="17" t="str">
        <f>IF(OR('Breeding Inputs'!$I$17="Y",'Model_ of_individuals'!$C301&lt;&gt;""),
IF('Breeding Inputs'!$I$44="Y",
IF(OR('Breeding Inputs'!$I$45=1, 'Breeding Inputs'!$I$45=3, 'Breeding Inputs'!$I$45=9), 25%,
IF(ISNUMBER(AC308), AC308,
IF('Breeding Inputs'!$I$44="N",
IF(OR('Breeding Inputs'!$I$45=1, 'Breeding Inputs'!$I$45=3, 'Breeding Inputs'!$I$45=9),
IF(ISNUMBER('Breeding Inputs'!$I$46),'Breeding Inputs'!$I$46,""),""),""))),""),"")</f>
        <v/>
      </c>
      <c r="AE308" s="17" t="str">
        <f>IF(OR('Breeding Inputs'!$I$17="Y",'Model_ of_individuals'!$C301&lt;&gt;""),
IF('Breeding Inputs'!$I$44="Y",
IF(OR('Breeding Inputs'!$I$45=1, 'Breeding Inputs'!$I$45=3, 'Breeding Inputs'!$I$45=9), 25%,
IF(ISNUMBER(AD308), AD308,
IF('Breeding Inputs'!$I$44="N",
IF(OR('Breeding Inputs'!$I$45=1, 'Breeding Inputs'!$I$45=3, 'Breeding Inputs'!$I$45=9),
IF(ISNUMBER('Breeding Inputs'!$I$46),'Breeding Inputs'!$I$46,""),""),""))),""),"")</f>
        <v/>
      </c>
      <c r="AF308" s="17" t="str">
        <f>IF(OR('Breeding Inputs'!$I$17="Y",'Model_ of_individuals'!$C301&lt;&gt;""),
IF('Breeding Inputs'!$I$44="Y",
IF(OR('Breeding Inputs'!$I$45=1, 'Breeding Inputs'!$I$45=3, 'Breeding Inputs'!$I$45=9), 25%,
IF(ISNUMBER(AE308), AE308,
IF('Breeding Inputs'!$I$44="N",
IF(OR('Breeding Inputs'!$I$45=1, 'Breeding Inputs'!$I$45=3, 'Breeding Inputs'!$I$45=9),
IF(ISNUMBER('Breeding Inputs'!$I$46),'Breeding Inputs'!$I$46,""),""),""))),""),"")</f>
        <v/>
      </c>
      <c r="AG308" s="17" t="str">
        <f>IF(OR('Breeding Inputs'!$I$17="Y",'Model_ of_individuals'!$C301&lt;&gt;""),
IF('Breeding Inputs'!$I$44="Y",
IF(OR('Breeding Inputs'!$I$45=1, 'Breeding Inputs'!$I$45=3, 'Breeding Inputs'!$I$45=9), 25%,
IF(ISNUMBER(AF308), AF308,
IF('Breeding Inputs'!$I$44="N",
IF(OR('Breeding Inputs'!$I$45=1, 'Breeding Inputs'!$I$45=3, 'Breeding Inputs'!$I$45=9),
IF(ISNUMBER('Breeding Inputs'!$I$46),'Breeding Inputs'!$I$46,""),""),""))),""),"")</f>
        <v/>
      </c>
      <c r="AH308" s="17" t="str">
        <f>IF(OR('Breeding Inputs'!$I$17="Y",'Model_ of_individuals'!$C301&lt;&gt;""),
IF('Breeding Inputs'!$I$44="Y",
IF(OR('Breeding Inputs'!$I$45=1, 'Breeding Inputs'!$I$45=3, 'Breeding Inputs'!$I$45=9), 25%,
IF(ISNUMBER(AG308), AG308,
IF('Breeding Inputs'!$I$44="N",
IF(OR('Breeding Inputs'!$I$45=1, 'Breeding Inputs'!$I$45=3, 'Breeding Inputs'!$I$45=9),
IF(ISNUMBER('Breeding Inputs'!$I$46),'Breeding Inputs'!$I$46,""),""),""))),""),"")</f>
        <v/>
      </c>
      <c r="AI308" s="17" t="str">
        <f>IF(OR('Breeding Inputs'!$I$17="Y",'Model_ of_individuals'!$C301&lt;&gt;""),
IF('Breeding Inputs'!$I$44="Y",
IF(OR('Breeding Inputs'!$I$45=1, 'Breeding Inputs'!$I$45=3, 'Breeding Inputs'!$I$45=9), 25%,
IF(ISNUMBER(AH308), AH308,
IF('Breeding Inputs'!$I$44="N",
IF(OR('Breeding Inputs'!$I$45=1, 'Breeding Inputs'!$I$45=3, 'Breeding Inputs'!$I$45=9),
IF(ISNUMBER('Breeding Inputs'!$I$46),'Breeding Inputs'!$I$46,""),""),""))),""),"")</f>
        <v/>
      </c>
      <c r="AJ308" s="17" t="str">
        <f>IF(OR('Breeding Inputs'!$I$17="Y",'Model_ of_individuals'!$C301&lt;&gt;""),
IF('Breeding Inputs'!$I$44="Y",
IF(OR('Breeding Inputs'!$I$45=1, 'Breeding Inputs'!$I$45=3, 'Breeding Inputs'!$I$45=9), 25%,
IF(ISNUMBER(AI308), AI308,
IF('Breeding Inputs'!$I$44="N",
IF(OR('Breeding Inputs'!$I$45=1, 'Breeding Inputs'!$I$45=3, 'Breeding Inputs'!$I$45=9),
IF(ISNUMBER('Breeding Inputs'!$I$46),'Breeding Inputs'!$I$46,""),""),""))),""),"")</f>
        <v/>
      </c>
      <c r="AK308" s="17" t="str">
        <f>IF(OR('Breeding Inputs'!$I$17="Y",'Model_ of_individuals'!$C301&lt;&gt;""),
IF('Breeding Inputs'!$I$44="Y",
IF(OR('Breeding Inputs'!$I$45=1, 'Breeding Inputs'!$I$45=3, 'Breeding Inputs'!$I$45=9), 25%,
IF(ISNUMBER(AJ308), AJ308,
IF('Breeding Inputs'!$I$44="N",
IF(OR('Breeding Inputs'!$I$45=1, 'Breeding Inputs'!$I$45=3, 'Breeding Inputs'!$I$45=9),
IF(ISNUMBER('Breeding Inputs'!$I$46),'Breeding Inputs'!$I$46,""),""),""))),""),"")</f>
        <v/>
      </c>
      <c r="AL308" s="17" t="str">
        <f>IF(OR('Breeding Inputs'!$I$17="Y",'Model_ of_individuals'!$C301&lt;&gt;""),
IF('Breeding Inputs'!$I$44="Y",
IF(OR('Breeding Inputs'!$I$45=1, 'Breeding Inputs'!$I$45=3, 'Breeding Inputs'!$I$45=9), 25%,
IF(ISNUMBER(AK308), AK308,
IF('Breeding Inputs'!$I$44="N",
IF(OR('Breeding Inputs'!$I$45=1, 'Breeding Inputs'!$I$45=3, 'Breeding Inputs'!$I$45=9),
IF(ISNUMBER('Breeding Inputs'!$I$46),'Breeding Inputs'!$I$46,""),""),""))),""),"")</f>
        <v/>
      </c>
      <c r="AM308" s="17" t="str">
        <f>IF(OR('Breeding Inputs'!$I$17="Y",'Model_ of_individuals'!$C301&lt;&gt;""),
IF('Breeding Inputs'!$I$44="Y",
IF(OR('Breeding Inputs'!$I$45=1, 'Breeding Inputs'!$I$45=3, 'Breeding Inputs'!$I$45=9), 25%,
IF(ISNUMBER(AL308), AL308,
IF('Breeding Inputs'!$I$44="N",
IF(OR('Breeding Inputs'!$I$45=1, 'Breeding Inputs'!$I$45=3, 'Breeding Inputs'!$I$45=9),
IF(ISNUMBER('Breeding Inputs'!$I$46),'Breeding Inputs'!$I$46,""),""),""))),""),"")</f>
        <v/>
      </c>
      <c r="AN308" s="17" t="str">
        <f>IF(OR('Breeding Inputs'!$I$17="Y",'Model_ of_individuals'!$C301&lt;&gt;""),
IF('Breeding Inputs'!$I$44="Y",
IF(OR('Breeding Inputs'!$I$45=1, 'Breeding Inputs'!$I$45=3, 'Breeding Inputs'!$I$45=9), 25%,
IF(ISNUMBER(AM308), AM308,
IF('Breeding Inputs'!$I$44="N",
IF(OR('Breeding Inputs'!$I$45=1, 'Breeding Inputs'!$I$45=3, 'Breeding Inputs'!$I$45=9),
IF(ISNUMBER('Breeding Inputs'!$I$46),'Breeding Inputs'!$I$46,""),""),""))),""),"")</f>
        <v/>
      </c>
      <c r="AO308" s="17" t="str">
        <f>IF(OR('Breeding Inputs'!$I$17="Y",'Model_ of_individuals'!$C301&lt;&gt;""),
IF('Breeding Inputs'!$I$44="Y",
IF(OR('Breeding Inputs'!$I$45=1, 'Breeding Inputs'!$I$45=3, 'Breeding Inputs'!$I$45=9), 25%,
IF(ISNUMBER(AN308), AN308,
IF('Breeding Inputs'!$I$44="N",
IF(OR('Breeding Inputs'!$I$45=1, 'Breeding Inputs'!$I$45=3, 'Breeding Inputs'!$I$45=9),
IF(ISNUMBER('Breeding Inputs'!$I$46),'Breeding Inputs'!$I$46,""),""),""))),""),"")</f>
        <v/>
      </c>
      <c r="AP308" s="17" t="str">
        <f>IF(OR('Breeding Inputs'!$I$17="Y",'Model_ of_individuals'!$C301&lt;&gt;""),
IF('Breeding Inputs'!$I$44="Y",
IF(OR('Breeding Inputs'!$I$45=1, 'Breeding Inputs'!$I$45=3, 'Breeding Inputs'!$I$45=9), 25%,
IF(ISNUMBER(AO308), AO308,
IF('Breeding Inputs'!$I$44="N",
IF(OR('Breeding Inputs'!$I$45=1, 'Breeding Inputs'!$I$45=3, 'Breeding Inputs'!$I$45=9),
IF(ISNUMBER('Breeding Inputs'!$I$46),'Breeding Inputs'!$I$46,""),""),""))),""),"")</f>
        <v/>
      </c>
      <c r="AQ308" s="17" t="str">
        <f>IF(OR('Breeding Inputs'!$I$17="Y",'Model_ of_individuals'!$C301&lt;&gt;""),
IF('Breeding Inputs'!$I$44="Y",
IF(OR('Breeding Inputs'!$I$45=1, 'Breeding Inputs'!$I$45=3, 'Breeding Inputs'!$I$45=9), 25%,
IF(ISNUMBER(AP308), AP308,
IF('Breeding Inputs'!$I$44="N",
IF(OR('Breeding Inputs'!$I$45=1, 'Breeding Inputs'!$I$45=3, 'Breeding Inputs'!$I$45=9),
IF(ISNUMBER('Breeding Inputs'!$I$46),'Breeding Inputs'!$I$46,""),""),""))),""),"")</f>
        <v/>
      </c>
      <c r="AR308" s="17" t="str">
        <f>IF(OR('Breeding Inputs'!$I$17="Y",'Model_ of_individuals'!$C301&lt;&gt;""),
IF('Breeding Inputs'!$I$44="Y",
IF(OR('Breeding Inputs'!$I$45=1, 'Breeding Inputs'!$I$45=3, 'Breeding Inputs'!$I$45=9), 25%,
IF(ISNUMBER(AQ308), AQ308,
IF('Breeding Inputs'!$I$44="N",
IF(OR('Breeding Inputs'!$I$45=1, 'Breeding Inputs'!$I$45=3, 'Breeding Inputs'!$I$45=9),
IF(ISNUMBER('Breeding Inputs'!$I$46),'Breeding Inputs'!$I$46,""),""),""))),""),"")</f>
        <v/>
      </c>
    </row>
    <row r="309" spans="1:45" x14ac:dyDescent="0.25">
      <c r="A309" s="518"/>
      <c r="B309" s="504"/>
      <c r="C309" s="521" t="str">
        <f>IF(AND(B280&lt;&gt;"", ISNUMBER(B280), ISNUMBER(Stage2EvaluationBegins)), IF((INDEX(ProgramYearStage2,MATCH(Stage2EvaluationBegins,Years_in_Stage2,0)))=B280, _5_5_0, IF(AND(B280&lt;&gt;"", ISNUMBER(B280), OR(Stage2EvaluationBegins=0, Stage2EvaluationBegins="")),"", "")),"")</f>
        <v/>
      </c>
      <c r="D309" s="94" t="str">
        <f>IF(AND(C309&lt;&gt;"", 'Cost Inputs'!$G$116&lt;&gt;""), 'Cost Inputs'!$G$116, "")</f>
        <v/>
      </c>
      <c r="E309" s="94" t="str">
        <f>IF(AND(C309&lt;&gt;"", 'Cost Inputs'!$H$116&lt;&gt;""), 'Cost Inputs'!$H$116, "")</f>
        <v/>
      </c>
      <c r="F309" s="492" t="str">
        <f>IF(AND(C309&lt;&gt;"", 'Cost Inputs'!$I$116&lt;&gt;""), 'Cost Inputs'!$I$116, "")</f>
        <v/>
      </c>
      <c r="G309" s="102" t="str">
        <f t="shared" si="16"/>
        <v/>
      </c>
      <c r="H309" s="492" t="str">
        <f>IF(AND(C309&lt;&gt;"", 'Cost Inputs'!$J$116&lt;&gt;""), 'Cost Inputs'!$J$116, "")</f>
        <v/>
      </c>
      <c r="I309" s="102" t="str">
        <f>IF($C309&lt;&gt;"", IF(AND($E309&lt;&gt;"", H309&lt;&gt;""), H309/$E309, 0),"")</f>
        <v/>
      </c>
      <c r="J309" s="492" t="str">
        <f>IF(AND(C309&lt;&gt;"",('Cost Inputs'!$I$116+'Cost Inputs'!$J$116+'Cost Inputs'!$K$116)&gt;0), 'Cost Inputs'!$I$116+'Cost Inputs'!$J$116+'Cost Inputs'!$K$116, "")</f>
        <v/>
      </c>
      <c r="K309" s="102" t="str">
        <f>IF($C309&lt;&gt;"",IF(AND($E309&lt;&gt;"",J309&lt;&gt;""), J309/$E309, 0),"")</f>
        <v/>
      </c>
      <c r="L309" s="525"/>
      <c r="M309" s="525"/>
      <c r="O309" s="496" t="str">
        <f>IF(ISNUMBER($B$280),
IF($C309&lt;&gt;"",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09" s="496" t="str">
        <f>IF(ISNUMBER($B$280),
IF($C309&lt;&gt;"",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09" s="496" t="str">
        <f>IF(ISNUMBER($B$280),
IF($C309&lt;&gt;"",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09" s="496" t="str">
        <f>IF(ISNUMBER($B$280),
IF($C309&lt;&gt;"",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09" s="496" t="str">
        <f>IF(ISNUMBER($B$280),
IF($C309&lt;&gt;"",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09" s="496" t="str">
        <f>IF(ISNUMBER($B$280),
IF($C309&lt;&gt;"",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09" s="496" t="str">
        <f>IF(ISNUMBER($B$280),
IF($C309&lt;&gt;"",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09" s="496" t="str">
        <f>IF(ISNUMBER($B$280),
IF($C309&lt;&gt;"",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09" s="496" t="str">
        <f>IF(ISNUMBER($B$280),
IF($C309&lt;&gt;"",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09" s="496" t="str">
        <f>IF(ISNUMBER($B$280),
IF($C309&lt;&gt;"",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09" s="496" t="str">
        <f>IF(ISNUMBER($B$280),
IF($C309&lt;&gt;"",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09" s="496" t="str">
        <f>IF(ISNUMBER($B$280),
IF($C309&lt;&gt;"",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09" s="496" t="str">
        <f>IF(ISNUMBER($B$280),
IF($C309&lt;&gt;"",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09" s="496" t="str">
        <f>IF(ISNUMBER($B$280),
IF($C309&lt;&gt;"",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09" s="496" t="str">
        <f>IF(ISNUMBER($B$280),
IF($C309&lt;&gt;"",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09" s="496" t="str">
        <f>IF(ISNUMBER($B$280),
IF($C309&lt;&gt;"",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09" s="496" t="str">
        <f>IF(ISNUMBER($B$280),
IF($C309&lt;&gt;"",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09" s="496" t="str">
        <f>IF(ISNUMBER($B$280),
IF($C309&lt;&gt;"",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09" s="496" t="str">
        <f>IF(ISNUMBER($B$280),
IF($C309&lt;&gt;"",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09" s="496" t="str">
        <f>IF(ISNUMBER($B$280),
IF($C309&lt;&gt;"",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09" s="496" t="str">
        <f>IF(ISNUMBER($B$280),
IF($C309&lt;&gt;"",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09" s="496" t="str">
        <f>IF(ISNUMBER($B$280),
IF($C309&lt;&gt;"",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09" s="496" t="str">
        <f>IF(ISNUMBER($B$280),
IF($C309&lt;&gt;"",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09" s="496" t="str">
        <f>IF(ISNUMBER($B$280),
IF($C309&lt;&gt;"",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09" s="496" t="str">
        <f>IF(ISNUMBER($B$280),
IF($C309&lt;&gt;"",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09" s="496" t="str">
        <f>IF(ISNUMBER($B$280),
IF($C309&lt;&gt;"",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09" s="496" t="str">
        <f>IF(ISNUMBER($B$280),
IF($C309&lt;&gt;"",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09" s="496" t="str">
        <f>IF(ISNUMBER($B$280),
IF($C309&lt;&gt;"",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09" s="496" t="str">
        <f>IF(ISNUMBER($B$280),
IF($C309&lt;&gt;"",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09" s="496" t="str">
        <f>IF(ISNUMBER($B$280),
IF($C309&lt;&gt;"",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c r="AS309" s="528"/>
    </row>
    <row r="310" spans="1:45" x14ac:dyDescent="0.25">
      <c r="A310" s="518"/>
      <c r="B310" s="504"/>
      <c r="C310" s="521"/>
      <c r="D310" s="94" t="str">
        <f>IF(AND(C309&lt;&gt;"", 'Cost Inputs'!$G$117&lt;&gt;""), 'Cost Inputs'!$G$117, "")</f>
        <v/>
      </c>
      <c r="E310" s="94" t="str">
        <f>IF(AND(C309&lt;&gt;"", 'Cost Inputs'!$H$117&lt;&gt;""), 'Cost Inputs'!$H$117, "")</f>
        <v/>
      </c>
      <c r="F310" s="492"/>
      <c r="G310" s="102" t="str">
        <f t="shared" si="16"/>
        <v/>
      </c>
      <c r="H310" s="492"/>
      <c r="I310" s="102" t="str">
        <f>IF($C309&lt;&gt;"", IF(AND($E310&lt;&gt;"", H309&lt;&gt;""), H309/($E309*$E310), 0), "")</f>
        <v/>
      </c>
      <c r="J310" s="492" t="str">
        <f>IF(AND(C310&lt;&gt;"",('Cost Inputs'!$I$86+'Cost Inputs'!$J$86+'Cost Inputs'!$K$86)&gt;0), 'Cost Inputs'!$I$86+'Cost Inputs'!$J$86+'Cost Inputs'!$K$86, "")</f>
        <v/>
      </c>
      <c r="K310" s="102" t="str">
        <f>IF($C309&lt;&gt;"", IF(AND($E310&lt;&gt;"", J309&lt;&gt;""), J309/($E309*$E310), 0), "")</f>
        <v/>
      </c>
      <c r="L310" s="525"/>
      <c r="M310" s="525"/>
      <c r="O310" s="496" t="str">
        <f>IF(ISNUMBER($B$280),
IF($C310&lt;&gt;"",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10" s="496" t="str">
        <f>IF(ISNUMBER($B$280),
IF($C310&lt;&gt;"",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10" s="496" t="str">
        <f>IF(ISNUMBER($B$280),
IF($C310&lt;&gt;"",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10" s="496" t="str">
        <f>IF(ISNUMBER($B$280),
IF($C310&lt;&gt;"",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10" s="496" t="str">
        <f>IF(ISNUMBER($B$280),
IF($C310&lt;&gt;"",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10" s="496" t="str">
        <f>IF(ISNUMBER($B$280),
IF($C310&lt;&gt;"",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10" s="496" t="str">
        <f>IF(ISNUMBER($B$280),
IF($C310&lt;&gt;"",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10" s="496" t="str">
        <f>IF(ISNUMBER($B$280),
IF($C310&lt;&gt;"",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10" s="496" t="str">
        <f>IF(ISNUMBER($B$280),
IF($C310&lt;&gt;"",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10" s="496" t="str">
        <f>IF(ISNUMBER($B$280),
IF($C310&lt;&gt;"",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10" s="496" t="str">
        <f>IF(ISNUMBER($B$280),
IF($C310&lt;&gt;"",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10" s="496" t="str">
        <f>IF(ISNUMBER($B$280),
IF($C310&lt;&gt;"",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10" s="496" t="str">
        <f>IF(ISNUMBER($B$280),
IF($C310&lt;&gt;"",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10" s="496" t="str">
        <f>IF(ISNUMBER($B$280),
IF($C310&lt;&gt;"",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10" s="496" t="str">
        <f>IF(ISNUMBER($B$280),
IF($C310&lt;&gt;"",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10" s="496" t="str">
        <f>IF(ISNUMBER($B$280),
IF($C310&lt;&gt;"",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10" s="496" t="str">
        <f>IF(ISNUMBER($B$280),
IF($C310&lt;&gt;"",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10" s="496" t="str">
        <f>IF(ISNUMBER($B$280),
IF($C310&lt;&gt;"",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10" s="496" t="str">
        <f>IF(ISNUMBER($B$280),
IF($C310&lt;&gt;"",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10" s="496" t="str">
        <f>IF(ISNUMBER($B$280),
IF($C310&lt;&gt;"",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10" s="496" t="str">
        <f>IF(ISNUMBER($B$280),
IF($C310&lt;&gt;"",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10" s="496" t="str">
        <f>IF(ISNUMBER($B$280),
IF($C310&lt;&gt;"",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10" s="496" t="str">
        <f>IF(ISNUMBER($B$280),
IF($C310&lt;&gt;"",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10" s="496" t="str">
        <f>IF(ISNUMBER($B$280),
IF($C310&lt;&gt;"",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10" s="496" t="str">
        <f>IF(ISNUMBER($B$280),
IF($C310&lt;&gt;"",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10" s="496" t="str">
        <f>IF(ISNUMBER($B$280),
IF($C310&lt;&gt;"",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10" s="496" t="str">
        <f>IF(ISNUMBER($B$280),
IF($C310&lt;&gt;"",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10" s="496" t="str">
        <f>IF(ISNUMBER($B$280),
IF($C310&lt;&gt;"",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10" s="496" t="str">
        <f>IF(ISNUMBER($B$280),
IF($C310&lt;&gt;"",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10" s="496" t="str">
        <f>IF(ISNUMBER($B$280),
IF($C310&lt;&gt;"",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c r="AS310" s="528"/>
    </row>
    <row r="311" spans="1:45" x14ac:dyDescent="0.25">
      <c r="A311" s="518"/>
      <c r="B311" s="504"/>
      <c r="C311" s="376" t="str">
        <f>IF(AND(ISNUMBER(B280), C309&lt;&gt;"", OR('Cost Inputs'!$H$118&lt;&gt;"", 'Cost Inputs'!$I$118&lt;&gt;"", 'Cost Inputs'!$J$118&lt;&gt;"")), _4_5_1, "")</f>
        <v/>
      </c>
      <c r="D311" s="17" t="str">
        <f>IF(AND(C311&lt;&gt;"", 'Cost Inputs'!$G$118&lt;&gt;""), 'Cost Inputs'!$G$118, "")</f>
        <v/>
      </c>
      <c r="E311" s="17" t="str">
        <f>IF(AND(C311&lt;&gt;"", 'Cost Inputs'!$H$118&lt;&gt;""), 'Cost Inputs'!$H$118, "")</f>
        <v/>
      </c>
      <c r="F311" s="493" t="str">
        <f>IF(AND(C311&lt;&gt;"", 'Cost Inputs'!$I$118&lt;&gt;""), 'Cost Inputs'!$I$118, "")</f>
        <v/>
      </c>
      <c r="G311" s="105" t="str">
        <f t="shared" si="16"/>
        <v/>
      </c>
      <c r="H311" s="493" t="str">
        <f>IF(AND(C311&lt;&gt;"", 'Cost Inputs'!$J$118&lt;&gt;""), 'Cost Inputs'!$J$118, "")</f>
        <v/>
      </c>
      <c r="I311" s="105" t="str">
        <f>IF($C311&lt;&gt;"", IF(AND($E311&lt;&gt;"", H311&lt;&gt;""), H311/$E311, 0),"")</f>
        <v/>
      </c>
      <c r="J311" s="493" t="str">
        <f>IF(AND(C311&lt;&gt;"",('Cost Inputs'!$I$118+'Cost Inputs'!$J$118+'Cost Inputs'!$K$118)&gt;0), 'Cost Inputs'!$I$118+'Cost Inputs'!$J$118+'Cost Inputs'!$K$118, "")</f>
        <v/>
      </c>
      <c r="K311" s="105" t="str">
        <f>IF($C311&lt;&gt;"",IF(AND($E311&lt;&gt;"",J311&lt;&gt;""), J311/$E311, 0),"")</f>
        <v/>
      </c>
      <c r="L311" s="525"/>
      <c r="M311" s="525"/>
      <c r="O311" s="497" t="str">
        <f>IF(ISNUMBER($B$280),
IF($C311&lt;&gt;"",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11" s="497" t="str">
        <f>IF(ISNUMBER($B$280),
IF($C311&lt;&gt;"",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11" s="497" t="str">
        <f>IF(ISNUMBER($B$280),
IF($C311&lt;&gt;"",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11" s="497" t="str">
        <f>IF(ISNUMBER($B$280),
IF($C311&lt;&gt;"",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11" s="497" t="str">
        <f>IF(ISNUMBER($B$280),
IF($C311&lt;&gt;"",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11" s="497" t="str">
        <f>IF(ISNUMBER($B$280),
IF($C311&lt;&gt;"",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11" s="497" t="str">
        <f>IF(ISNUMBER($B$280),
IF($C311&lt;&gt;"",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11" s="497" t="str">
        <f>IF(ISNUMBER($B$280),
IF($C311&lt;&gt;"",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11" s="497" t="str">
        <f>IF(ISNUMBER($B$280),
IF($C311&lt;&gt;"",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11" s="497" t="str">
        <f>IF(ISNUMBER($B$280),
IF($C311&lt;&gt;"",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11" s="497" t="str">
        <f>IF(ISNUMBER($B$280),
IF($C311&lt;&gt;"",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11" s="497" t="str">
        <f>IF(ISNUMBER($B$280),
IF($C311&lt;&gt;"",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11" s="497" t="str">
        <f>IF(ISNUMBER($B$280),
IF($C311&lt;&gt;"",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11" s="497" t="str">
        <f>IF(ISNUMBER($B$280),
IF($C311&lt;&gt;"",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11" s="497" t="str">
        <f>IF(ISNUMBER($B$280),
IF($C311&lt;&gt;"",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11" s="497" t="str">
        <f>IF(ISNUMBER($B$280),
IF($C311&lt;&gt;"",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11" s="497" t="str">
        <f>IF(ISNUMBER($B$280),
IF($C311&lt;&gt;"",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11" s="497" t="str">
        <f>IF(ISNUMBER($B$280),
IF($C311&lt;&gt;"",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11" s="497" t="str">
        <f>IF(ISNUMBER($B$280),
IF($C311&lt;&gt;"",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11" s="497" t="str">
        <f>IF(ISNUMBER($B$280),
IF($C311&lt;&gt;"",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11" s="497" t="str">
        <f>IF(ISNUMBER($B$280),
IF($C311&lt;&gt;"",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11" s="497" t="str">
        <f>IF(ISNUMBER($B$280),
IF($C311&lt;&gt;"",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11" s="497" t="str">
        <f>IF(ISNUMBER($B$280),
IF($C311&lt;&gt;"",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11" s="497" t="str">
        <f>IF(ISNUMBER($B$280),
IF($C311&lt;&gt;"",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11" s="497" t="str">
        <f>IF(ISNUMBER($B$280),
IF($C311&lt;&gt;"",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11" s="497" t="str">
        <f>IF(ISNUMBER($B$280),
IF($C311&lt;&gt;"",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11" s="497" t="str">
        <f>IF(ISNUMBER($B$280),
IF($C311&lt;&gt;"",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11" s="497" t="str">
        <f>IF(ISNUMBER($B$280),
IF($C311&lt;&gt;"",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11" s="497" t="str">
        <f>IF(ISNUMBER($B$280),
IF($C311&lt;&gt;"",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11" s="497" t="str">
        <f>IF(ISNUMBER($B$280),
IF($C311&lt;&gt;"",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12" spans="1:45" x14ac:dyDescent="0.25">
      <c r="A312" s="518"/>
      <c r="B312" s="504"/>
      <c r="C312" s="376" t="str">
        <f>IF(AND(ISNUMBER(B293), OR('Cost Inputs'!$H$85&lt;&gt;"", 'Cost Inputs'!$I$85&lt;&gt;"", 'Cost Inputs'!$J$85&lt;&gt;"")), _3_5_1, "")</f>
        <v/>
      </c>
      <c r="D312" s="17" t="str">
        <f>IF(AND(C311&lt;&gt;"", 'Cost Inputs'!$G$119&lt;&gt;""), 'Cost Inputs'!$G$119, "")</f>
        <v/>
      </c>
      <c r="E312" s="17" t="str">
        <f>IF(AND(C311&lt;&gt;"", 'Cost Inputs'!$H$119&lt;&gt;""), 'Cost Inputs'!$H$119, "")</f>
        <v/>
      </c>
      <c r="F312" s="493"/>
      <c r="G312" s="105" t="str">
        <f t="shared" si="16"/>
        <v/>
      </c>
      <c r="H312" s="493"/>
      <c r="I312" s="105" t="str">
        <f>IF($C311&lt;&gt;"", IF(AND($E312&lt;&gt;"", H311&lt;&gt;""), H311/($E311*$E312), 0), "")</f>
        <v/>
      </c>
      <c r="J312" s="493" t="str">
        <f>IF(AND(C312&lt;&gt;"",('Cost Inputs'!$I$86+'Cost Inputs'!$J$86+'Cost Inputs'!$K$86)&gt;0), 'Cost Inputs'!$I$86+'Cost Inputs'!$J$86+'Cost Inputs'!$K$86, "")</f>
        <v/>
      </c>
      <c r="K312" s="105" t="str">
        <f>IF($C311&lt;&gt;"", IF(AND($E312&lt;&gt;"", J311&lt;&gt;""), J311/($E311*$E312), 0), "")</f>
        <v/>
      </c>
      <c r="L312" s="525"/>
      <c r="M312" s="525"/>
      <c r="O312" s="497" t="str">
        <f>IF(ISNUMBER($B$280),
IF($C312&lt;&gt;"",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12" s="497" t="str">
        <f>IF(ISNUMBER($B$280),
IF($C312&lt;&gt;"",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12" s="497" t="str">
        <f>IF(ISNUMBER($B$280),
IF($C312&lt;&gt;"",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12" s="497" t="str">
        <f>IF(ISNUMBER($B$280),
IF($C312&lt;&gt;"",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12" s="497" t="str">
        <f>IF(ISNUMBER($B$280),
IF($C312&lt;&gt;"",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12" s="497" t="str">
        <f>IF(ISNUMBER($B$280),
IF($C312&lt;&gt;"",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12" s="497" t="str">
        <f>IF(ISNUMBER($B$280),
IF($C312&lt;&gt;"",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12" s="497" t="str">
        <f>IF(ISNUMBER($B$280),
IF($C312&lt;&gt;"",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12" s="497" t="str">
        <f>IF(ISNUMBER($B$280),
IF($C312&lt;&gt;"",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12" s="497" t="str">
        <f>IF(ISNUMBER($B$280),
IF($C312&lt;&gt;"",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12" s="497" t="str">
        <f>IF(ISNUMBER($B$280),
IF($C312&lt;&gt;"",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12" s="497" t="str">
        <f>IF(ISNUMBER($B$280),
IF($C312&lt;&gt;"",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12" s="497" t="str">
        <f>IF(ISNUMBER($B$280),
IF($C312&lt;&gt;"",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12" s="497" t="str">
        <f>IF(ISNUMBER($B$280),
IF($C312&lt;&gt;"",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12" s="497" t="str">
        <f>IF(ISNUMBER($B$280),
IF($C312&lt;&gt;"",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12" s="497" t="str">
        <f>IF(ISNUMBER($B$280),
IF($C312&lt;&gt;"",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12" s="497" t="str">
        <f>IF(ISNUMBER($B$280),
IF($C312&lt;&gt;"",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12" s="497" t="str">
        <f>IF(ISNUMBER($B$280),
IF($C312&lt;&gt;"",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12" s="497" t="str">
        <f>IF(ISNUMBER($B$280),
IF($C312&lt;&gt;"",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12" s="497" t="str">
        <f>IF(ISNUMBER($B$280),
IF($C312&lt;&gt;"",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12" s="497" t="str">
        <f>IF(ISNUMBER($B$280),
IF($C312&lt;&gt;"",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12" s="497" t="str">
        <f>IF(ISNUMBER($B$280),
IF($C312&lt;&gt;"",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12" s="497" t="str">
        <f>IF(ISNUMBER($B$280),
IF($C312&lt;&gt;"",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12" s="497" t="str">
        <f>IF(ISNUMBER($B$280),
IF($C312&lt;&gt;"",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12" s="497" t="str">
        <f>IF(ISNUMBER($B$280),
IF($C312&lt;&gt;"",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12" s="497" t="str">
        <f>IF(ISNUMBER($B$280),
IF($C312&lt;&gt;"",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12" s="497" t="str">
        <f>IF(ISNUMBER($B$280),
IF($C312&lt;&gt;"",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12" s="497" t="str">
        <f>IF(ISNUMBER($B$280),
IF($C312&lt;&gt;"",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12" s="497" t="str">
        <f>IF(ISNUMBER($B$280),
IF($C312&lt;&gt;"",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12" s="497" t="str">
        <f>IF(ISNUMBER($B$280),
IF($C312&lt;&gt;"",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13" spans="1:45" x14ac:dyDescent="0.25">
      <c r="A313" s="518"/>
      <c r="B313" s="504"/>
      <c r="C313" s="107" t="str">
        <f>IF(AND(ISNUMBER(B280), C309&lt;&gt;"", OR('Cost Inputs'!$H$120&lt;&gt;"", 'Cost Inputs'!$I$120&lt;&gt;"", 'Cost Inputs'!$J$120&lt;&gt;"")), _4_5_2, "")</f>
        <v/>
      </c>
      <c r="D313" s="93" t="str">
        <f>IF(AND(C313&lt;&gt;"", 'Cost Inputs'!$G$120&lt;&gt;""), 'Cost Inputs'!$G$120, "")</f>
        <v/>
      </c>
      <c r="E313" s="93" t="str">
        <f>IF(AND(C313&lt;&gt;"", 'Cost Inputs'!$H$120&lt;&gt;""), 'Cost Inputs'!$H$120, "")</f>
        <v/>
      </c>
      <c r="F313" s="93" t="str">
        <f>IF(AND(C313&lt;&gt;"", 'Cost Inputs'!$I$120&lt;&gt;""), 'Cost Inputs'!$I$120, "")</f>
        <v/>
      </c>
      <c r="G313" s="108" t="str">
        <f t="shared" si="16"/>
        <v/>
      </c>
      <c r="H313" s="93" t="str">
        <f>IF(AND(C313&lt;&gt;"", 'Cost Inputs'!$J$120&lt;&gt;""), 'Cost Inputs'!$J$120, "")</f>
        <v/>
      </c>
      <c r="I313" s="93" t="str">
        <f t="shared" ref="I313:I319" si="31">IF($C313&lt;&gt;"", IF(AND($E313&lt;&gt;"", H313&lt;&gt;""), H313/$E313, 0),"")</f>
        <v/>
      </c>
      <c r="J313" s="93" t="str">
        <f>IF(AND(C313&lt;&gt;"",('Cost Inputs'!$I$120+'Cost Inputs'!$J$120+'Cost Inputs'!$K$120)&gt;0), 'Cost Inputs'!$I$120+'Cost Inputs'!$J$120+'Cost Inputs'!$K$120, "")</f>
        <v/>
      </c>
      <c r="K313" s="93" t="str">
        <f>IF($C313&lt;&gt;"", IF(AND($E313&lt;&gt;"", J313&lt;&gt;""), J313/$E313, 0),"")</f>
        <v/>
      </c>
      <c r="L313" s="525"/>
      <c r="M313" s="525"/>
      <c r="O313" s="93" t="str">
        <f>IF(ISNUMBER($B$280),
IF($C313&lt;&gt;"",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13" s="93" t="str">
        <f>IF(ISNUMBER($B$280),
IF($C313&lt;&gt;"",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13" s="93" t="str">
        <f>IF(ISNUMBER($B$280),
IF($C313&lt;&gt;"",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13" s="93" t="str">
        <f>IF(ISNUMBER($B$280),
IF($C313&lt;&gt;"",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13" s="93" t="str">
        <f>IF(ISNUMBER($B$280),
IF($C313&lt;&gt;"",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13" s="93" t="str">
        <f>IF(ISNUMBER($B$280),
IF($C313&lt;&gt;"",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13" s="93" t="str">
        <f>IF(ISNUMBER($B$280),
IF($C313&lt;&gt;"",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13" s="93" t="str">
        <f>IF(ISNUMBER($B$280),
IF($C313&lt;&gt;"",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13" s="93" t="str">
        <f>IF(ISNUMBER($B$280),
IF($C313&lt;&gt;"",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13" s="93" t="str">
        <f>IF(ISNUMBER($B$280),
IF($C313&lt;&gt;"",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13" s="93" t="str">
        <f>IF(ISNUMBER($B$280),
IF($C313&lt;&gt;"",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13" s="93" t="str">
        <f>IF(ISNUMBER($B$280),
IF($C313&lt;&gt;"",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13" s="93" t="str">
        <f>IF(ISNUMBER($B$280),
IF($C313&lt;&gt;"",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13" s="93" t="str">
        <f>IF(ISNUMBER($B$280),
IF($C313&lt;&gt;"",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13" s="93" t="str">
        <f>IF(ISNUMBER($B$280),
IF($C313&lt;&gt;"",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13" s="93" t="str">
        <f>IF(ISNUMBER($B$280),
IF($C313&lt;&gt;"",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13" s="93" t="str">
        <f>IF(ISNUMBER($B$280),
IF($C313&lt;&gt;"",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13" s="93" t="str">
        <f>IF(ISNUMBER($B$280),
IF($C313&lt;&gt;"",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13" s="93" t="str">
        <f>IF(ISNUMBER($B$280),
IF($C313&lt;&gt;"",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13" s="93" t="str">
        <f>IF(ISNUMBER($B$280),
IF($C313&lt;&gt;"",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13" s="93" t="str">
        <f>IF(ISNUMBER($B$280),
IF($C313&lt;&gt;"",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13" s="93" t="str">
        <f>IF(ISNUMBER($B$280),
IF($C313&lt;&gt;"",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13" s="93" t="str">
        <f>IF(ISNUMBER($B$280),
IF($C313&lt;&gt;"",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13" s="93" t="str">
        <f>IF(ISNUMBER($B$280),
IF($C313&lt;&gt;"",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13" s="93" t="str">
        <f>IF(ISNUMBER($B$280),
IF($C313&lt;&gt;"",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13" s="93" t="str">
        <f>IF(ISNUMBER($B$280),
IF($C313&lt;&gt;"",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13" s="93" t="str">
        <f>IF(ISNUMBER($B$280),
IF($C313&lt;&gt;"",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13" s="93" t="str">
        <f>IF(ISNUMBER($B$280),
IF($C313&lt;&gt;"",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13" s="93" t="str">
        <f>IF(ISNUMBER($B$280),
IF($C313&lt;&gt;"",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13" s="93" t="str">
        <f>IF(ISNUMBER($B$280),
IF($C313&lt;&gt;"",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14" spans="1:45" x14ac:dyDescent="0.25">
      <c r="A314" s="518"/>
      <c r="B314" s="504"/>
      <c r="C314" s="104" t="str">
        <f>IF(AND(ISNUMBER(B280), C309&lt;&gt;"", OR('Cost Inputs'!$H$121&lt;&gt;"", 'Cost Inputs'!$I$121&lt;&gt;"", 'Cost Inputs'!$J$121&lt;&gt;"")), _4_5_3, "")</f>
        <v/>
      </c>
      <c r="D314" s="17" t="str">
        <f>IF(AND(C314&lt;&gt;"", 'Cost Inputs'!$G$121&lt;&gt;""), 'Cost Inputs'!$G$121, "")</f>
        <v/>
      </c>
      <c r="E314" s="17" t="str">
        <f>IF(AND(C314&lt;&gt;"", 'Cost Inputs'!$H$121&lt;&gt;""), 'Cost Inputs'!$H$121, "")</f>
        <v/>
      </c>
      <c r="F314" s="17" t="str">
        <f>IF(AND(C314&lt;&gt;"", 'Cost Inputs'!$I$121&lt;&gt;""), 'Cost Inputs'!$I$121, "")</f>
        <v/>
      </c>
      <c r="G314" s="105" t="str">
        <f t="shared" si="16"/>
        <v/>
      </c>
      <c r="H314" s="17" t="str">
        <f>IF(AND(C314&lt;&gt;"", 'Cost Inputs'!$J$121&lt;&gt;""), 'Cost Inputs'!$J$121, "")</f>
        <v/>
      </c>
      <c r="I314" s="17" t="str">
        <f t="shared" si="31"/>
        <v/>
      </c>
      <c r="J314" s="17" t="str">
        <f>IF(AND(C314&lt;&gt;"",('Cost Inputs'!$I$121+'Cost Inputs'!$J$121+'Cost Inputs'!$K$121)&gt;0), 'Cost Inputs'!$I$121+'Cost Inputs'!$J$121+'Cost Inputs'!$K$121, "")</f>
        <v/>
      </c>
      <c r="K314" s="17" t="str">
        <f>IF($C314&lt;&gt;"", IF(AND($E314&lt;&gt;"", J314&lt;&gt;""), J314/$E314, 0),"")</f>
        <v/>
      </c>
      <c r="L314" s="525"/>
      <c r="M314" s="525"/>
      <c r="O314" s="17" t="str">
        <f>IF(ISNUMBER($B$280),
IF($C314&lt;&gt;"",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14" s="17" t="str">
        <f>IF(ISNUMBER($B$280),
IF($C314&lt;&gt;"",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14" s="17" t="str">
        <f>IF(ISNUMBER($B$280),
IF($C314&lt;&gt;"",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14" s="17" t="str">
        <f>IF(ISNUMBER($B$280),
IF($C314&lt;&gt;"",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14" s="17" t="str">
        <f>IF(ISNUMBER($B$280),
IF($C314&lt;&gt;"",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14" s="17" t="str">
        <f>IF(ISNUMBER($B$280),
IF($C314&lt;&gt;"",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14" s="17" t="str">
        <f>IF(ISNUMBER($B$280),
IF($C314&lt;&gt;"",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14" s="17" t="str">
        <f>IF(ISNUMBER($B$280),
IF($C314&lt;&gt;"",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14" s="17" t="str">
        <f>IF(ISNUMBER($B$280),
IF($C314&lt;&gt;"",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14" s="17" t="str">
        <f>IF(ISNUMBER($B$280),
IF($C314&lt;&gt;"",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14" s="17" t="str">
        <f>IF(ISNUMBER($B$280),
IF($C314&lt;&gt;"",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14" s="17" t="str">
        <f>IF(ISNUMBER($B$280),
IF($C314&lt;&gt;"",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14" s="17" t="str">
        <f>IF(ISNUMBER($B$280),
IF($C314&lt;&gt;"",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14" s="17" t="str">
        <f>IF(ISNUMBER($B$280),
IF($C314&lt;&gt;"",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14" s="17" t="str">
        <f>IF(ISNUMBER($B$280),
IF($C314&lt;&gt;"",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14" s="17" t="str">
        <f>IF(ISNUMBER($B$280),
IF($C314&lt;&gt;"",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14" s="17" t="str">
        <f>IF(ISNUMBER($B$280),
IF($C314&lt;&gt;"",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14" s="17" t="str">
        <f>IF(ISNUMBER($B$280),
IF($C314&lt;&gt;"",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14" s="17" t="str">
        <f>IF(ISNUMBER($B$280),
IF($C314&lt;&gt;"",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14" s="17" t="str">
        <f>IF(ISNUMBER($B$280),
IF($C314&lt;&gt;"",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14" s="17" t="str">
        <f>IF(ISNUMBER($B$280),
IF($C314&lt;&gt;"",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14" s="17" t="str">
        <f>IF(ISNUMBER($B$280),
IF($C314&lt;&gt;"",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14" s="17" t="str">
        <f>IF(ISNUMBER($B$280),
IF($C314&lt;&gt;"",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14" s="17" t="str">
        <f>IF(ISNUMBER($B$280),
IF($C314&lt;&gt;"",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14" s="17" t="str">
        <f>IF(ISNUMBER($B$280),
IF($C314&lt;&gt;"",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14" s="17" t="str">
        <f>IF(ISNUMBER($B$280),
IF($C314&lt;&gt;"",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14" s="17" t="str">
        <f>IF(ISNUMBER($B$280),
IF($C314&lt;&gt;"",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14" s="17" t="str">
        <f>IF(ISNUMBER($B$280),
IF($C314&lt;&gt;"",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14" s="17" t="str">
        <f>IF(ISNUMBER($B$280),
IF($C314&lt;&gt;"",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14" s="17" t="str">
        <f>IF(ISNUMBER($B$280),
IF($C314&lt;&gt;"",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15" spans="1:45" x14ac:dyDescent="0.25">
      <c r="A315" s="518"/>
      <c r="B315" s="504"/>
      <c r="C315" s="107" t="str">
        <f>IF(AND(ISNUMBER(B280), C309&lt;&gt;"", OR('Cost Inputs'!$H$122&lt;&gt;"", 'Cost Inputs'!$I$122&lt;&gt;"", 'Cost Inputs'!$J$122&lt;&gt;"")), _4_5_2, "")</f>
        <v/>
      </c>
      <c r="D315" s="93" t="str">
        <f>IF(AND(C315&lt;&gt;"", 'Cost Inputs'!$G$122&lt;&gt;""), 'Cost Inputs'!$G$122, "")</f>
        <v/>
      </c>
      <c r="E315" s="93" t="str">
        <f>IF(AND(C315&lt;&gt;"", 'Cost Inputs'!$H$122&lt;&gt;""), 'Cost Inputs'!$H$122, "")</f>
        <v/>
      </c>
      <c r="F315" s="93" t="str">
        <f>IF(AND(C315&lt;&gt;"", 'Cost Inputs'!$I$122&lt;&gt;""), 'Cost Inputs'!$I$122, "")</f>
        <v/>
      </c>
      <c r="G315" s="108" t="str">
        <f t="shared" si="16"/>
        <v/>
      </c>
      <c r="H315" s="93" t="str">
        <f>IF(AND(C315&lt;&gt;"", 'Cost Inputs'!$J$122&lt;&gt;""), 'Cost Inputs'!$J$122, "")</f>
        <v/>
      </c>
      <c r="I315" s="93" t="str">
        <f t="shared" si="31"/>
        <v/>
      </c>
      <c r="J315" s="93" t="str">
        <f>IF(AND(C315&lt;&gt;"",('Cost Inputs'!$I$122+'Cost Inputs'!$J$122+'Cost Inputs'!$K$122)&gt;0), 'Cost Inputs'!$I$122+'Cost Inputs'!$J$122+'Cost Inputs'!$K$122, "")</f>
        <v/>
      </c>
      <c r="K315" s="93" t="str">
        <f>IF($C315&lt;&gt;"", IF(AND($E315&lt;&gt;"", J315&lt;&gt;""), J315/$E315, 0),"")</f>
        <v/>
      </c>
      <c r="L315" s="525"/>
      <c r="M315" s="525"/>
      <c r="O315" s="93" t="str">
        <f>IF(ISNUMBER($B$280),
IF($C315&lt;&gt;"",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15" s="93" t="str">
        <f>IF(ISNUMBER($B$280),
IF($C315&lt;&gt;"",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15" s="93" t="str">
        <f>IF(ISNUMBER($B$280),
IF($C315&lt;&gt;"",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15" s="93" t="str">
        <f>IF(ISNUMBER($B$280),
IF($C315&lt;&gt;"",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15" s="93" t="str">
        <f>IF(ISNUMBER($B$280),
IF($C315&lt;&gt;"",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15" s="93" t="str">
        <f>IF(ISNUMBER($B$280),
IF($C315&lt;&gt;"",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15" s="93" t="str">
        <f>IF(ISNUMBER($B$280),
IF($C315&lt;&gt;"",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15" s="93" t="str">
        <f>IF(ISNUMBER($B$280),
IF($C315&lt;&gt;"",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15" s="93" t="str">
        <f>IF(ISNUMBER($B$280),
IF($C315&lt;&gt;"",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15" s="93" t="str">
        <f>IF(ISNUMBER($B$280),
IF($C315&lt;&gt;"",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15" s="93" t="str">
        <f>IF(ISNUMBER($B$280),
IF($C315&lt;&gt;"",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15" s="93" t="str">
        <f>IF(ISNUMBER($B$280),
IF($C315&lt;&gt;"",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15" s="93" t="str">
        <f>IF(ISNUMBER($B$280),
IF($C315&lt;&gt;"",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15" s="93" t="str">
        <f>IF(ISNUMBER($B$280),
IF($C315&lt;&gt;"",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15" s="93" t="str">
        <f>IF(ISNUMBER($B$280),
IF($C315&lt;&gt;"",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15" s="93" t="str">
        <f>IF(ISNUMBER($B$280),
IF($C315&lt;&gt;"",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15" s="93" t="str">
        <f>IF(ISNUMBER($B$280),
IF($C315&lt;&gt;"",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15" s="93" t="str">
        <f>IF(ISNUMBER($B$280),
IF($C315&lt;&gt;"",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15" s="93" t="str">
        <f>IF(ISNUMBER($B$280),
IF($C315&lt;&gt;"",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15" s="93" t="str">
        <f>IF(ISNUMBER($B$280),
IF($C315&lt;&gt;"",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15" s="93" t="str">
        <f>IF(ISNUMBER($B$280),
IF($C315&lt;&gt;"",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15" s="93" t="str">
        <f>IF(ISNUMBER($B$280),
IF($C315&lt;&gt;"",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15" s="93" t="str">
        <f>IF(ISNUMBER($B$280),
IF($C315&lt;&gt;"",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15" s="93" t="str">
        <f>IF(ISNUMBER($B$280),
IF($C315&lt;&gt;"",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15" s="93" t="str">
        <f>IF(ISNUMBER($B$280),
IF($C315&lt;&gt;"",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15" s="93" t="str">
        <f>IF(ISNUMBER($B$280),
IF($C315&lt;&gt;"",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15" s="93" t="str">
        <f>IF(ISNUMBER($B$280),
IF($C315&lt;&gt;"",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15" s="93" t="str">
        <f>IF(ISNUMBER($B$280),
IF($C315&lt;&gt;"",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15" s="93" t="str">
        <f>IF(ISNUMBER($B$280),
IF($C315&lt;&gt;"",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15" s="93" t="str">
        <f>IF(ISNUMBER($B$280),
IF($C315&lt;&gt;"",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16" spans="1:45" x14ac:dyDescent="0.25">
      <c r="A316" s="518"/>
      <c r="B316" s="504"/>
      <c r="C316" s="104" t="str">
        <f>IF(AND(ISNUMBER(B280), C309&lt;&gt;"", OR('Cost Inputs'!$H$123&lt;&gt;"", 'Cost Inputs'!$I$123&lt;&gt;"", 'Cost Inputs'!$J$123&lt;&gt;"")), _4_5_3, "")</f>
        <v/>
      </c>
      <c r="D316" s="17" t="str">
        <f>IF(AND(C316&lt;&gt;"", 'Cost Inputs'!$G$123&lt;&gt;""), 'Cost Inputs'!$G$123, "")</f>
        <v/>
      </c>
      <c r="E316" s="17" t="str">
        <f>IF(AND(C316&lt;&gt;"", 'Cost Inputs'!$H$123&lt;&gt;""), 'Cost Inputs'!$H$123, "")</f>
        <v/>
      </c>
      <c r="F316" s="17" t="str">
        <f>IF(AND(C316&lt;&gt;"", 'Cost Inputs'!$I$123&lt;&gt;""), 'Cost Inputs'!$I$123, "")</f>
        <v/>
      </c>
      <c r="G316" s="105" t="str">
        <f t="shared" si="16"/>
        <v/>
      </c>
      <c r="H316" s="17" t="str">
        <f>IF(AND(C316&lt;&gt;"", 'Cost Inputs'!$J$123&lt;&gt;""), 'Cost Inputs'!$J$123, "")</f>
        <v/>
      </c>
      <c r="I316" s="17" t="str">
        <f t="shared" si="31"/>
        <v/>
      </c>
      <c r="J316" s="17" t="str">
        <f>IF(AND(C316&lt;&gt;"",('Cost Inputs'!$I$123+'Cost Inputs'!$J$123+'Cost Inputs'!$K$123)&gt;0), 'Cost Inputs'!$I$123+'Cost Inputs'!$J$123+'Cost Inputs'!$K$123, "")</f>
        <v/>
      </c>
      <c r="K316" s="17" t="str">
        <f>IF($C316&lt;&gt;"", IF(AND($E316&lt;&gt;"", J316&lt;&gt;""), J316/$E316, 0),"")</f>
        <v/>
      </c>
      <c r="L316" s="525"/>
      <c r="M316" s="525"/>
      <c r="O316" s="17" t="str">
        <f>IF(ISNUMBER($B$280),
IF($C316&lt;&gt;"",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16" s="17" t="str">
        <f>IF(ISNUMBER($B$280),
IF($C316&lt;&gt;"",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16" s="17" t="str">
        <f>IF(ISNUMBER($B$280),
IF($C316&lt;&gt;"",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16" s="17" t="str">
        <f>IF(ISNUMBER($B$280),
IF($C316&lt;&gt;"",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16" s="17" t="str">
        <f>IF(ISNUMBER($B$280),
IF($C316&lt;&gt;"",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16" s="17" t="str">
        <f>IF(ISNUMBER($B$280),
IF($C316&lt;&gt;"",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16" s="17" t="str">
        <f>IF(ISNUMBER($B$280),
IF($C316&lt;&gt;"",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16" s="17" t="str">
        <f>IF(ISNUMBER($B$280),
IF($C316&lt;&gt;"",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16" s="17" t="str">
        <f>IF(ISNUMBER($B$280),
IF($C316&lt;&gt;"",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16" s="17" t="str">
        <f>IF(ISNUMBER($B$280),
IF($C316&lt;&gt;"",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16" s="17" t="str">
        <f>IF(ISNUMBER($B$280),
IF($C316&lt;&gt;"",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16" s="17" t="str">
        <f>IF(ISNUMBER($B$280),
IF($C316&lt;&gt;"",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16" s="17" t="str">
        <f>IF(ISNUMBER($B$280),
IF($C316&lt;&gt;"",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16" s="17" t="str">
        <f>IF(ISNUMBER($B$280),
IF($C316&lt;&gt;"",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16" s="17" t="str">
        <f>IF(ISNUMBER($B$280),
IF($C316&lt;&gt;"",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16" s="17" t="str">
        <f>IF(ISNUMBER($B$280),
IF($C316&lt;&gt;"",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16" s="17" t="str">
        <f>IF(ISNUMBER($B$280),
IF($C316&lt;&gt;"",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16" s="17" t="str">
        <f>IF(ISNUMBER($B$280),
IF($C316&lt;&gt;"",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16" s="17" t="str">
        <f>IF(ISNUMBER($B$280),
IF($C316&lt;&gt;"",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16" s="17" t="str">
        <f>IF(ISNUMBER($B$280),
IF($C316&lt;&gt;"",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16" s="17" t="str">
        <f>IF(ISNUMBER($B$280),
IF($C316&lt;&gt;"",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16" s="17" t="str">
        <f>IF(ISNUMBER($B$280),
IF($C316&lt;&gt;"",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16" s="17" t="str">
        <f>IF(ISNUMBER($B$280),
IF($C316&lt;&gt;"",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16" s="17" t="str">
        <f>IF(ISNUMBER($B$280),
IF($C316&lt;&gt;"",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16" s="17" t="str">
        <f>IF(ISNUMBER($B$280),
IF($C316&lt;&gt;"",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16" s="17" t="str">
        <f>IF(ISNUMBER($B$280),
IF($C316&lt;&gt;"",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16" s="17" t="str">
        <f>IF(ISNUMBER($B$280),
IF($C316&lt;&gt;"",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16" s="17" t="str">
        <f>IF(ISNUMBER($B$280),
IF($C316&lt;&gt;"",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16" s="17" t="str">
        <f>IF(ISNUMBER($B$280),
IF($C316&lt;&gt;"",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16" s="17" t="str">
        <f>IF(ISNUMBER($B$280),
IF($C316&lt;&gt;"",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17" spans="1:45" x14ac:dyDescent="0.25">
      <c r="A317" s="518"/>
      <c r="B317" s="504"/>
      <c r="C317" s="110" t="str">
        <f>IF(ISNUMBER(B280), _4_6_0, "")</f>
        <v/>
      </c>
      <c r="D317" s="94" t="str">
        <f>IF(AND(C317&lt;&gt;"", 'Cost Inputs'!$G$124&lt;&gt;""), 'Cost Inputs'!$G$124, "")</f>
        <v/>
      </c>
      <c r="E317" s="94" t="str">
        <f>IF(AND(C317&lt;&gt;"", 'Cost Inputs'!$H$124&lt;&gt;""), 'Cost Inputs'!$H$124, "")</f>
        <v/>
      </c>
      <c r="F317" s="94" t="str">
        <f>IF(AND(C317&lt;&gt;"", 'Cost Inputs'!$I$124&lt;&gt;""), 'Cost Inputs'!$I$124, "")</f>
        <v/>
      </c>
      <c r="G317" s="102" t="str">
        <f t="shared" si="16"/>
        <v/>
      </c>
      <c r="H317" s="94" t="str">
        <f>IF(AND(C317&lt;&gt;"", 'Cost Inputs'!$J$124&lt;&gt;""), 'Cost Inputs'!$J$124, "")</f>
        <v/>
      </c>
      <c r="I317" s="102" t="str">
        <f t="shared" si="31"/>
        <v/>
      </c>
      <c r="J317" s="94" t="str">
        <f>IF(AND(C317&lt;&gt;"",('Cost Inputs'!$I$124+'Cost Inputs'!$J$124+'Cost Inputs'!$K$124)&gt;0), 'Cost Inputs'!$I$124+'Cost Inputs'!$J$124+'Cost Inputs'!$K$124, "")</f>
        <v/>
      </c>
      <c r="K317" s="102" t="str">
        <f>IF($C317&lt;&gt;"",IF(AND($E317&lt;&gt;"",J317&lt;&gt;""), J317/$E317, 0),"")</f>
        <v/>
      </c>
      <c r="L317" s="525"/>
      <c r="M317" s="525"/>
      <c r="O317" s="102" t="str">
        <f>IF(ISNUMBER($B$280), IF($C317&lt;&gt;"", IF(AND(ISNUMBER('Stage 2 Randomized Selection'!E$2),'Stage 2 Randomized Selection'!E$2&gt;0),'Stage 2 Randomized Selection'!E$2*$M280, ""),""),"")</f>
        <v/>
      </c>
      <c r="P317" s="102" t="str">
        <f>IF(ISNUMBER($B$280), IF($C317&lt;&gt;"", IF(AND(ISNUMBER('Stage 2 Randomized Selection'!F$2),'Stage 2 Randomized Selection'!F$2&gt;0),'Stage 2 Randomized Selection'!F$2*$M280, ""),""),"")</f>
        <v/>
      </c>
      <c r="Q317" s="102" t="str">
        <f>IF(ISNUMBER($B$280), IF($C317&lt;&gt;"", IF(AND(ISNUMBER('Stage 2 Randomized Selection'!G$2),'Stage 2 Randomized Selection'!G$2&gt;0),'Stage 2 Randomized Selection'!G$2*$M280, ""),""),"")</f>
        <v/>
      </c>
      <c r="R317" s="102" t="str">
        <f>IF(ISNUMBER($B$280), IF($C317&lt;&gt;"", IF(AND(ISNUMBER('Stage 2 Randomized Selection'!H$2),'Stage 2 Randomized Selection'!H$2&gt;0),'Stage 2 Randomized Selection'!H$2*$M280, ""),""),"")</f>
        <v/>
      </c>
      <c r="S317" s="102" t="str">
        <f>IF(ISNUMBER($B$280), IF($C317&lt;&gt;"", IF(AND(ISNUMBER('Stage 2 Randomized Selection'!I$2),'Stage 2 Randomized Selection'!I$2&gt;0),'Stage 2 Randomized Selection'!I$2*$M280, ""),""),"")</f>
        <v/>
      </c>
      <c r="T317" s="102" t="str">
        <f>IF(ISNUMBER($B$280), IF($C317&lt;&gt;"", IF(AND(ISNUMBER('Stage 2 Randomized Selection'!J$2),'Stage 2 Randomized Selection'!J$2&gt;0),'Stage 2 Randomized Selection'!J$2*$M280, ""),""),"")</f>
        <v/>
      </c>
      <c r="U317" s="102" t="str">
        <f>IF(ISNUMBER($B$280), IF($C317&lt;&gt;"", IF(AND(ISNUMBER('Stage 2 Randomized Selection'!K$2),'Stage 2 Randomized Selection'!K$2&gt;0),'Stage 2 Randomized Selection'!K$2*$M280, ""),""),"")</f>
        <v/>
      </c>
      <c r="V317" s="102" t="str">
        <f>IF(ISNUMBER($B$280), IF($C317&lt;&gt;"", IF(AND(ISNUMBER('Stage 2 Randomized Selection'!L$2),'Stage 2 Randomized Selection'!L$2&gt;0),'Stage 2 Randomized Selection'!L$2*$M280, ""),""),"")</f>
        <v/>
      </c>
      <c r="W317" s="102" t="str">
        <f>IF(ISNUMBER($B$280), IF($C317&lt;&gt;"", IF(AND(ISNUMBER('Stage 2 Randomized Selection'!M$2),'Stage 2 Randomized Selection'!M$2&gt;0),'Stage 2 Randomized Selection'!M$2*$M280, ""),""),"")</f>
        <v/>
      </c>
      <c r="X317" s="102" t="str">
        <f>IF(ISNUMBER($B$280), IF($C317&lt;&gt;"", IF(AND(ISNUMBER('Stage 2 Randomized Selection'!N$2),'Stage 2 Randomized Selection'!N$2&gt;0),'Stage 2 Randomized Selection'!N$2*$M280, ""),""),"")</f>
        <v/>
      </c>
      <c r="Y317" s="102" t="str">
        <f>IF(ISNUMBER($B$280), IF($C317&lt;&gt;"", IF(AND(ISNUMBER('Stage 2 Randomized Selection'!O$2),'Stage 2 Randomized Selection'!O$2&gt;0),'Stage 2 Randomized Selection'!O$2*$M280, ""),""),"")</f>
        <v/>
      </c>
      <c r="Z317" s="102" t="str">
        <f>IF(ISNUMBER($B$280), IF($C317&lt;&gt;"", IF(AND(ISNUMBER('Stage 2 Randomized Selection'!P$2),'Stage 2 Randomized Selection'!P$2&gt;0),'Stage 2 Randomized Selection'!P$2*$M280, ""),""),"")</f>
        <v/>
      </c>
      <c r="AA317" s="102" t="str">
        <f>IF(ISNUMBER($B$280), IF($C317&lt;&gt;"", IF(AND(ISNUMBER('Stage 2 Randomized Selection'!Q$2),'Stage 2 Randomized Selection'!Q$2&gt;0),'Stage 2 Randomized Selection'!Q$2*$M280, ""),""),"")</f>
        <v/>
      </c>
      <c r="AB317" s="102" t="str">
        <f>IF(ISNUMBER($B$280), IF($C317&lt;&gt;"", IF(AND(ISNUMBER('Stage 2 Randomized Selection'!R$2),'Stage 2 Randomized Selection'!R$2&gt;0),'Stage 2 Randomized Selection'!R$2*$M280, ""),""),"")</f>
        <v/>
      </c>
      <c r="AC317" s="102" t="str">
        <f>IF(ISNUMBER($B$280), IF($C317&lt;&gt;"", IF(AND(ISNUMBER('Stage 2 Randomized Selection'!S$2),'Stage 2 Randomized Selection'!S$2&gt;0),'Stage 2 Randomized Selection'!S$2*$M280, ""),""),"")</f>
        <v/>
      </c>
      <c r="AD317" s="102" t="str">
        <f>IF(ISNUMBER($B$280), IF($C317&lt;&gt;"", IF(AND(ISNUMBER('Stage 2 Randomized Selection'!T$2),'Stage 2 Randomized Selection'!T$2&gt;0),'Stage 2 Randomized Selection'!T$2*$M280, ""),""),"")</f>
        <v/>
      </c>
      <c r="AE317" s="102" t="str">
        <f>IF(ISNUMBER($B$280), IF($C317&lt;&gt;"", IF(AND(ISNUMBER('Stage 2 Randomized Selection'!U$2),'Stage 2 Randomized Selection'!U$2&gt;0),'Stage 2 Randomized Selection'!U$2*$M280, ""),""),"")</f>
        <v/>
      </c>
      <c r="AF317" s="102" t="str">
        <f>IF(ISNUMBER($B$280), IF($C317&lt;&gt;"", IF(AND(ISNUMBER('Stage 2 Randomized Selection'!V$2),'Stage 2 Randomized Selection'!V$2&gt;0),'Stage 2 Randomized Selection'!V$2*$M280, ""),""),"")</f>
        <v/>
      </c>
      <c r="AG317" s="102" t="str">
        <f>IF(ISNUMBER($B$280), IF($C317&lt;&gt;"", IF(AND(ISNUMBER('Stage 2 Randomized Selection'!W$2),'Stage 2 Randomized Selection'!W$2&gt;0),'Stage 2 Randomized Selection'!W$2*$M280, ""),""),"")</f>
        <v/>
      </c>
      <c r="AH317" s="102" t="str">
        <f>IF(ISNUMBER($B$280), IF($C317&lt;&gt;"", IF(AND(ISNUMBER('Stage 2 Randomized Selection'!X$2),'Stage 2 Randomized Selection'!X$2&gt;0),'Stage 2 Randomized Selection'!X$2*$M280, ""),""),"")</f>
        <v/>
      </c>
      <c r="AI317" s="102" t="str">
        <f>IF(ISNUMBER($B$280), IF($C317&lt;&gt;"", IF(AND(ISNUMBER('Stage 2 Randomized Selection'!Y$2),'Stage 2 Randomized Selection'!Y$2&gt;0),'Stage 2 Randomized Selection'!Y$2*$M280, ""),""),"")</f>
        <v/>
      </c>
      <c r="AJ317" s="102" t="str">
        <f>IF(ISNUMBER($B$280), IF($C317&lt;&gt;"", IF(AND(ISNUMBER('Stage 2 Randomized Selection'!Z$2),'Stage 2 Randomized Selection'!Z$2&gt;0),'Stage 2 Randomized Selection'!Z$2*$M280, ""),""),"")</f>
        <v/>
      </c>
      <c r="AK317" s="102" t="str">
        <f>IF(ISNUMBER($B$280), IF($C317&lt;&gt;"", IF(AND(ISNUMBER('Stage 2 Randomized Selection'!AA$2),'Stage 2 Randomized Selection'!AA$2&gt;0),'Stage 2 Randomized Selection'!AA$2*$M280, ""),""),"")</f>
        <v/>
      </c>
      <c r="AL317" s="102" t="str">
        <f>IF(ISNUMBER($B$280), IF($C317&lt;&gt;"", IF(AND(ISNUMBER('Stage 2 Randomized Selection'!AB$2),'Stage 2 Randomized Selection'!AB$2&gt;0),'Stage 2 Randomized Selection'!AB$2*$M280, ""),""),"")</f>
        <v/>
      </c>
      <c r="AM317" s="102" t="str">
        <f>IF(ISNUMBER($B$280), IF($C317&lt;&gt;"", IF(AND(ISNUMBER('Stage 2 Randomized Selection'!AC$2),'Stage 2 Randomized Selection'!AC$2&gt;0),'Stage 2 Randomized Selection'!AC$2*$M280, ""),""),"")</f>
        <v/>
      </c>
      <c r="AN317" s="102" t="str">
        <f>IF(ISNUMBER($B$280), IF($C317&lt;&gt;"", IF(AND(ISNUMBER('Stage 2 Randomized Selection'!AD$2),'Stage 2 Randomized Selection'!AD$2&gt;0),'Stage 2 Randomized Selection'!AD$2*$M280, ""),""),"")</f>
        <v/>
      </c>
      <c r="AO317" s="102" t="str">
        <f>IF(ISNUMBER($B$280), IF($C317&lt;&gt;"", IF(AND(ISNUMBER('Stage 2 Randomized Selection'!AE$2),'Stage 2 Randomized Selection'!AE$2&gt;0),'Stage 2 Randomized Selection'!AE$2*$M280, ""),""),"")</f>
        <v/>
      </c>
      <c r="AP317" s="102" t="str">
        <f>IF(ISNUMBER($B$280), IF($C317&lt;&gt;"", IF(AND(ISNUMBER('Stage 2 Randomized Selection'!AF$2),'Stage 2 Randomized Selection'!AF$2&gt;0),'Stage 2 Randomized Selection'!AF$2*$M280, ""),""),"")</f>
        <v/>
      </c>
      <c r="AQ317" s="102" t="str">
        <f>IF(ISNUMBER($B$280), IF($C317&lt;&gt;"", IF(AND(ISNUMBER('Stage 2 Randomized Selection'!AG$2),'Stage 2 Randomized Selection'!AG$2&gt;0),'Stage 2 Randomized Selection'!AG$2*$M280, ""),""),"")</f>
        <v/>
      </c>
      <c r="AR317" s="102" t="str">
        <f>IF(ISNUMBER($B$280), IF($C317&lt;&gt;"", IF(AND(ISNUMBER('Stage 2 Randomized Selection'!AH$2),'Stage 2 Randomized Selection'!AH$2&gt;0),'Stage 2 Randomized Selection'!AH$2*$M280, ""),""),"")</f>
        <v/>
      </c>
    </row>
    <row r="318" spans="1:45" x14ac:dyDescent="0.25">
      <c r="A318" s="518"/>
      <c r="B318" s="504"/>
      <c r="C318" s="104" t="str">
        <f>IF(AND(ISNUMBER(B280), OR('Cost Inputs'!$H$125&lt;&gt;"", 'Cost Inputs'!$I$125&lt;&gt;"", 'Cost Inputs'!$J$125&lt;&gt;"")), _4_5_3, "")</f>
        <v/>
      </c>
      <c r="D318" s="17" t="str">
        <f>IF(AND(C318&lt;&gt;"", 'Cost Inputs'!$G$125&lt;&gt;""), 'Cost Inputs'!$G$125, "")</f>
        <v/>
      </c>
      <c r="E318" s="17" t="str">
        <f>IF(AND(C318&lt;&gt;"", 'Cost Inputs'!$H$125&lt;&gt;""), 'Cost Inputs'!$H$125, "")</f>
        <v/>
      </c>
      <c r="F318" s="17" t="str">
        <f>IF(AND(C318&lt;&gt;"", 'Cost Inputs'!$I$125&lt;&gt;""), 'Cost Inputs'!$I$125, "")</f>
        <v/>
      </c>
      <c r="G318" s="105" t="str">
        <f t="shared" si="16"/>
        <v/>
      </c>
      <c r="H318" s="17" t="str">
        <f>IF(AND(C318&lt;&gt;"", 'Cost Inputs'!$J$125&lt;&gt;""), 'Cost Inputs'!$J$125, "")</f>
        <v/>
      </c>
      <c r="I318" s="17" t="str">
        <f t="shared" si="31"/>
        <v/>
      </c>
      <c r="J318" s="17" t="str">
        <f>IF(AND(C318&lt;&gt;"",('Cost Inputs'!$I$125+'Cost Inputs'!$J$125+'Cost Inputs'!$K$125)&gt;0), 'Cost Inputs'!$I$125+'Cost Inputs'!$J$125+'Cost Inputs'!$K$125, "")</f>
        <v/>
      </c>
      <c r="K318" s="17" t="str">
        <f>IF($C318&lt;&gt;"", IF(AND($E318&lt;&gt;"", J318&lt;&gt;""), J318/$E318, 0),"")</f>
        <v/>
      </c>
      <c r="L318" s="525"/>
      <c r="M318" s="525"/>
      <c r="O318" s="17" t="str">
        <f>IF(ISNUMBER($B$280),
IF($C318&lt;&gt;"",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18" s="17" t="str">
        <f>IF(ISNUMBER($B$280),
IF($C318&lt;&gt;"",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18" s="17" t="str">
        <f>IF(ISNUMBER($B$280),
IF($C318&lt;&gt;"",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18" s="17" t="str">
        <f>IF(ISNUMBER($B$280),
IF($C318&lt;&gt;"",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18" s="17" t="str">
        <f>IF(ISNUMBER($B$280),
IF($C318&lt;&gt;"",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18" s="17" t="str">
        <f>IF(ISNUMBER($B$280),
IF($C318&lt;&gt;"",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18" s="17" t="str">
        <f>IF(ISNUMBER($B$280),
IF($C318&lt;&gt;"",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18" s="17" t="str">
        <f>IF(ISNUMBER($B$280),
IF($C318&lt;&gt;"",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18" s="17" t="str">
        <f>IF(ISNUMBER($B$280),
IF($C318&lt;&gt;"",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18" s="17" t="str">
        <f>IF(ISNUMBER($B$280),
IF($C318&lt;&gt;"",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18" s="17" t="str">
        <f>IF(ISNUMBER($B$280),
IF($C318&lt;&gt;"",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18" s="17" t="str">
        <f>IF(ISNUMBER($B$280),
IF($C318&lt;&gt;"",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18" s="17" t="str">
        <f>IF(ISNUMBER($B$280),
IF($C318&lt;&gt;"",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18" s="17" t="str">
        <f>IF(ISNUMBER($B$280),
IF($C318&lt;&gt;"",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18" s="17" t="str">
        <f>IF(ISNUMBER($B$280),
IF($C318&lt;&gt;"",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18" s="17" t="str">
        <f>IF(ISNUMBER($B$280),
IF($C318&lt;&gt;"",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18" s="17" t="str">
        <f>IF(ISNUMBER($B$280),
IF($C318&lt;&gt;"",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18" s="17" t="str">
        <f>IF(ISNUMBER($B$280),
IF($C318&lt;&gt;"",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18" s="17" t="str">
        <f>IF(ISNUMBER($B$280),
IF($C318&lt;&gt;"",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18" s="17" t="str">
        <f>IF(ISNUMBER($B$280),
IF($C318&lt;&gt;"",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18" s="17" t="str">
        <f>IF(ISNUMBER($B$280),
IF($C318&lt;&gt;"",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18" s="17" t="str">
        <f>IF(ISNUMBER($B$280),
IF($C318&lt;&gt;"",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18" s="17" t="str">
        <f>IF(ISNUMBER($B$280),
IF($C318&lt;&gt;"",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18" s="17" t="str">
        <f>IF(ISNUMBER($B$280),
IF($C318&lt;&gt;"",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18" s="17" t="str">
        <f>IF(ISNUMBER($B$280),
IF($C318&lt;&gt;"",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18" s="17" t="str">
        <f>IF(ISNUMBER($B$280),
IF($C318&lt;&gt;"",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18" s="17" t="str">
        <f>IF(ISNUMBER($B$280),
IF($C318&lt;&gt;"",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18" s="17" t="str">
        <f>IF(ISNUMBER($B$280),
IF($C318&lt;&gt;"",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18" s="17" t="str">
        <f>IF(ISNUMBER($B$280),
IF($C318&lt;&gt;"",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18" s="17" t="str">
        <f>IF(ISNUMBER($B$280),
IF($C318&lt;&gt;"",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19" spans="1:45" ht="15.75" thickBot="1" x14ac:dyDescent="0.3">
      <c r="A319" s="518"/>
      <c r="B319" s="504"/>
      <c r="C319" s="111" t="str">
        <f>IF(AND(ISNUMBER(B280), OR('Cost Inputs'!$H$126&lt;&gt;"", 'Cost Inputs'!$I$126&lt;&gt;"", 'Cost Inputs'!$J$126&lt;&gt;"")), _4_5_2, "")</f>
        <v/>
      </c>
      <c r="D319" s="95" t="str">
        <f>IF(AND(C319&lt;&gt;"", 'Cost Inputs'!$G$126&lt;&gt;""), 'Cost Inputs'!$G$126, "")</f>
        <v/>
      </c>
      <c r="E319" s="95" t="str">
        <f>IF(AND(C319&lt;&gt;"", 'Cost Inputs'!$H$126&lt;&gt;""), 'Cost Inputs'!$H$126, "")</f>
        <v/>
      </c>
      <c r="F319" s="95" t="str">
        <f>IF(AND(C319&lt;&gt;"", 'Cost Inputs'!$I$126&lt;&gt;""), 'Cost Inputs'!$I$126, "")</f>
        <v/>
      </c>
      <c r="G319" s="112" t="str">
        <f t="shared" si="16"/>
        <v/>
      </c>
      <c r="H319" s="95" t="str">
        <f>IF(AND(C319&lt;&gt;"", 'Cost Inputs'!$J$126&lt;&gt;""), 'Cost Inputs'!$J$126, "")</f>
        <v/>
      </c>
      <c r="I319" s="95" t="str">
        <f t="shared" si="31"/>
        <v/>
      </c>
      <c r="J319" s="95" t="str">
        <f>IF(AND(C319&lt;&gt;"",('Cost Inputs'!$I$126+'Cost Inputs'!$J$126+'Cost Inputs'!$K$126)&gt;0), 'Cost Inputs'!$I$126+'Cost Inputs'!$J$126+'Cost Inputs'!$K$126, "")</f>
        <v/>
      </c>
      <c r="K319" s="95" t="str">
        <f>IF($C319&lt;&gt;"", IF(AND($E319&lt;&gt;"", J319&lt;&gt;""), J319/$E319, 0),"")</f>
        <v/>
      </c>
      <c r="L319" s="526"/>
      <c r="M319" s="526"/>
      <c r="O319" s="95" t="str">
        <f>IF(ISNUMBER($B$280),
IF($C319&lt;&gt;"",
IF(AND(ISNUMBER('Stage 2 Randomized Selection'!E$2), 'Stage 2 Randomized Selection'!E$2&gt;0),
IF(AND(O$279=123, Cultivar_1_Cohort_Year_Selection=$O$278,Cultivar_2_Cohort_Year_Selection=$O$278,Cultivar_3_Cohort_Year_Selection=$O$278), MAX(0,'Stage 2 Randomized Selection'!E$2 - 3),
IF(AND(OR(O$279=123, O$279=12), Cultivar_1_Cohort_Year_Selection=$O$278,Cultivar_2_Cohort_Year_Selection=$O$278),  MAX(0,'Stage 2 Randomized Selection'!E$2 - 2),
IF(AND(OR(O$279=123, O$279=13), Cultivar_1_Cohort_Year_Selection=$O$278,Cultivar_3_Cohort_Year_Selection=$O$278), MAX(0,'Stage 2 Randomized Selection'!E$2 - 2),
IF(AND(OR(O$279=123, O$279=23), Cultivar_2_Cohort_Year_Selection=$O$278,Cultivar_3_Cohort_Year_Selection=$O$278), MAX(0,'Stage 2 Randomized Selection'!E$2 - 2),
IF(AND(OR(O$279=123, O$279=12, O$279=13, O$279=1), Cultivar_1_Cohort_Year_Selection=$O$278), MAX(0,'Stage 2 Randomized Selection'!E$2 - 1),
IF(AND(OR(O$279=123, O$279=12, O$279=23, O$279=2), Cultivar_2_Cohort_Year_Selection=$O$278), MAX(0,'Stage 2 Randomized Selection'!E$2 - 1),
IF(AND(OR(O$279=123, O$279=13, O$279=23, O$279=3), Cultivar_3_Cohort_Year_Selection=$O$278), MAX(0,'Stage 2 Randomized Selection'!E$2 - 1), 'Stage 2 Randomized Selection'!E$2))))))),""),""),"")</f>
        <v/>
      </c>
      <c r="P319" s="95" t="str">
        <f>IF(ISNUMBER($B$280),
IF($C319&lt;&gt;"",
IF(AND(ISNUMBER('Stage 2 Randomized Selection'!F$2), 'Stage 2 Randomized Selection'!F$2&gt;0),
IF(AND(P$279=123, Cultivar_1_Cohort_Year_Selection=$P$278,Cultivar_2_Cohort_Year_Selection=$P$278,Cultivar_3_Cohort_Year_Selection=$P$278), MAX(0,'Stage 2 Randomized Selection'!F$2 - 3),
IF(AND(OR(P$279=123, P$279=12), Cultivar_1_Cohort_Year_Selection=$P$278,Cultivar_2_Cohort_Year_Selection=$P$278),  MAX(0,'Stage 2 Randomized Selection'!F$2 - 2),
IF(AND(OR(P$279=123, P$279=13), Cultivar_1_Cohort_Year_Selection=$P$278,Cultivar_3_Cohort_Year_Selection=$P$278), MAX(0,'Stage 2 Randomized Selection'!F$2 - 2),
IF(AND(OR(P$279=123, P$279=23), Cultivar_2_Cohort_Year_Selection=$P$278,Cultivar_3_Cohort_Year_Selection=$P$278), MAX(0,'Stage 2 Randomized Selection'!F$2 - 2),
IF(AND(OR(P$279=123, P$279=12, P$279=13, P$279=1), Cultivar_1_Cohort_Year_Selection=$P$278), MAX(0,'Stage 2 Randomized Selection'!F$2 - 1),
IF(AND(OR(P$279=123, P$279=12, P$279=23, P$279=2), Cultivar_2_Cohort_Year_Selection=$P$278), MAX(0,'Stage 2 Randomized Selection'!F$2 - 1),
IF(AND(OR(P$279=123, P$279=13, P$279=23, P$279=3), Cultivar_3_Cohort_Year_Selection=$P$278), MAX(0,'Stage 2 Randomized Selection'!F$2 - 1), 'Stage 2 Randomized Selection'!F$2))))))),""),""),"")</f>
        <v/>
      </c>
      <c r="Q319" s="95" t="str">
        <f>IF(ISNUMBER($B$280),
IF($C319&lt;&gt;"",
IF(AND(ISNUMBER('Stage 2 Randomized Selection'!G$2), 'Stage 2 Randomized Selection'!G$2&gt;0),
IF(AND(Q$279=123, Cultivar_1_Cohort_Year_Selection=$Q$278,Cultivar_2_Cohort_Year_Selection=$Q$278,Cultivar_3_Cohort_Year_Selection=$Q$278), MAX(0,'Stage 2 Randomized Selection'!G$2 - 3),
IF(AND(OR(Q$279=123, Q$279=12), Cultivar_1_Cohort_Year_Selection=$Q$278,Cultivar_2_Cohort_Year_Selection=$Q$278),  MAX(0,'Stage 2 Randomized Selection'!G$2 - 2),
IF(AND(OR(Q$279=123, Q$279=13), Cultivar_1_Cohort_Year_Selection=$Q$278,Cultivar_3_Cohort_Year_Selection=$Q$278), MAX(0,'Stage 2 Randomized Selection'!G$2 - 2),
IF(AND(OR(Q$279=123, Q$279=23), Cultivar_2_Cohort_Year_Selection=$Q$278,Cultivar_3_Cohort_Year_Selection=$Q$278), MAX(0,'Stage 2 Randomized Selection'!G$2 - 2),
IF(AND(OR(Q$279=123, Q$279=12, Q$279=13, Q$279=1), Cultivar_1_Cohort_Year_Selection=$Q$278), MAX(0,'Stage 2 Randomized Selection'!G$2 - 1),
IF(AND(OR(Q$279=123, Q$279=12, Q$279=23, Q$279=2), Cultivar_2_Cohort_Year_Selection=$Q$278), MAX(0,'Stage 2 Randomized Selection'!G$2 - 1),
IF(AND(OR(Q$279=123, Q$279=13, Q$279=23, Q$279=3), Cultivar_3_Cohort_Year_Selection=$Q$278), MAX(0,'Stage 2 Randomized Selection'!G$2 - 1), 'Stage 2 Randomized Selection'!G$2))))))),""),""),"")</f>
        <v/>
      </c>
      <c r="R319" s="95" t="str">
        <f>IF(ISNUMBER($B$280),
IF($C319&lt;&gt;"",
IF(AND(ISNUMBER('Stage 2 Randomized Selection'!H$2), 'Stage 2 Randomized Selection'!H$2&gt;0),
IF(AND(R$279=123, Cultivar_1_Cohort_Year_Selection=$R$278,Cultivar_2_Cohort_Year_Selection=$R$278,Cultivar_3_Cohort_Year_Selection=$R$278), MAX(0,'Stage 2 Randomized Selection'!H$2 - 3),
IF(AND(OR(R$279=123, R$279=12), Cultivar_1_Cohort_Year_Selection=$R$278,Cultivar_2_Cohort_Year_Selection=$R$278),  MAX(0,'Stage 2 Randomized Selection'!H$2 - 2),
IF(AND(OR(R$279=123, R$279=13), Cultivar_1_Cohort_Year_Selection=$R$278,Cultivar_3_Cohort_Year_Selection=$R$278), MAX(0,'Stage 2 Randomized Selection'!H$2 - 2),
IF(AND(OR(R$279=123, R$279=23), Cultivar_2_Cohort_Year_Selection=$R$278,Cultivar_3_Cohort_Year_Selection=$R$278), MAX(0,'Stage 2 Randomized Selection'!H$2 - 2),
IF(AND(OR(R$279=123, R$279=12, R$279=13, R$279=1), Cultivar_1_Cohort_Year_Selection=$R$278), MAX(0,'Stage 2 Randomized Selection'!H$2 - 1),
IF(AND(OR(R$279=123, R$279=12, R$279=23, R$279=2), Cultivar_2_Cohort_Year_Selection=$R$278), MAX(0,'Stage 2 Randomized Selection'!H$2 - 1),
IF(AND(OR(R$279=123, R$279=13, R$279=23, R$279=3), Cultivar_3_Cohort_Year_Selection=$R$278), MAX(0,'Stage 2 Randomized Selection'!H$2 - 1), 'Stage 2 Randomized Selection'!H$2))))))),""),""),"")</f>
        <v/>
      </c>
      <c r="S319" s="95" t="str">
        <f>IF(ISNUMBER($B$280),
IF($C319&lt;&gt;"",
IF(AND(ISNUMBER('Stage 2 Randomized Selection'!I$2), 'Stage 2 Randomized Selection'!I$2&gt;0),
IF(AND(S$279=123, Cultivar_1_Cohort_Year_Selection=$S$278,Cultivar_2_Cohort_Year_Selection=$S$278,Cultivar_3_Cohort_Year_Selection=$S$278), MAX(0,'Stage 2 Randomized Selection'!I$2 - 3),
IF(AND(OR(S$279=123, S$279=12), Cultivar_1_Cohort_Year_Selection=$S$278,Cultivar_2_Cohort_Year_Selection=$S$278),  MAX(0,'Stage 2 Randomized Selection'!I$2 - 2),
IF(AND(OR(S$279=123, S$279=13), Cultivar_1_Cohort_Year_Selection=$S$278,Cultivar_3_Cohort_Year_Selection=$S$278), MAX(0,'Stage 2 Randomized Selection'!I$2 - 2),
IF(AND(OR(S$279=123, S$279=23), Cultivar_2_Cohort_Year_Selection=$S$278,Cultivar_3_Cohort_Year_Selection=$S$278), MAX(0,'Stage 2 Randomized Selection'!I$2 - 2),
IF(AND(OR(S$279=123, S$279=12, S$279=13, S$279=1), Cultivar_1_Cohort_Year_Selection=$S$278), MAX(0,'Stage 2 Randomized Selection'!I$2 - 1),
IF(AND(OR(S$279=123, S$279=12, S$279=23, S$279=2), Cultivar_2_Cohort_Year_Selection=$S$278), MAX(0,'Stage 2 Randomized Selection'!I$2 - 1),
IF(AND(OR(S$279=123, S$279=13, S$279=23, S$279=3), Cultivar_3_Cohort_Year_Selection=$S$278), MAX(0,'Stage 2 Randomized Selection'!I$2 - 1), 'Stage 2 Randomized Selection'!I$2))))))),""),""),"")</f>
        <v/>
      </c>
      <c r="T319" s="95" t="str">
        <f>IF(ISNUMBER($B$280),
IF($C319&lt;&gt;"",
IF(AND(ISNUMBER('Stage 2 Randomized Selection'!J$2), 'Stage 2 Randomized Selection'!J$2&gt;0),
IF(AND(T$279=123, Cultivar_1_Cohort_Year_Selection=$T$278,Cultivar_2_Cohort_Year_Selection=$T$278,Cultivar_3_Cohort_Year_Selection=$T$278), MAX(0,'Stage 2 Randomized Selection'!J$2 - 3),
IF(AND(OR(T$279=123, T$279=12), Cultivar_1_Cohort_Year_Selection=$T$278,Cultivar_2_Cohort_Year_Selection=$T$278),  MAX(0,'Stage 2 Randomized Selection'!J$2 - 2),
IF(AND(OR(T$279=123, T$279=13), Cultivar_1_Cohort_Year_Selection=$T$278,Cultivar_3_Cohort_Year_Selection=$T$278), MAX(0,'Stage 2 Randomized Selection'!J$2 - 2),
IF(AND(OR(T$279=123, T$279=23), Cultivar_2_Cohort_Year_Selection=$T$278,Cultivar_3_Cohort_Year_Selection=$T$278), MAX(0,'Stage 2 Randomized Selection'!J$2 - 2),
IF(AND(OR(T$279=123, T$279=12, T$279=13, T$279=1), Cultivar_1_Cohort_Year_Selection=$T$278), MAX(0,'Stage 2 Randomized Selection'!J$2 - 1),
IF(AND(OR(T$279=123, T$279=12, T$279=23, T$279=2), Cultivar_2_Cohort_Year_Selection=$T$278), MAX(0,'Stage 2 Randomized Selection'!J$2 - 1),
IF(AND(OR(T$279=123, T$279=13, T$279=23, T$279=3), Cultivar_3_Cohort_Year_Selection=$T$278), MAX(0,'Stage 2 Randomized Selection'!J$2 - 1), 'Stage 2 Randomized Selection'!J$2))))))),""),""),"")</f>
        <v/>
      </c>
      <c r="U319" s="95" t="str">
        <f>IF(ISNUMBER($B$280),
IF($C319&lt;&gt;"",
IF(AND(ISNUMBER('Stage 2 Randomized Selection'!K$2), 'Stage 2 Randomized Selection'!K$2&gt;0),
IF(AND(U$279=123, Cultivar_1_Cohort_Year_Selection=$U$278,Cultivar_2_Cohort_Year_Selection=$U$278,Cultivar_3_Cohort_Year_Selection=$U$278), MAX(0,'Stage 2 Randomized Selection'!K$2 - 3),
IF(AND(OR(U$279=123, U$279=12), Cultivar_1_Cohort_Year_Selection=$U$278,Cultivar_2_Cohort_Year_Selection=$U$278),  MAX(0,'Stage 2 Randomized Selection'!K$2 - 2),
IF(AND(OR(U$279=123, U$279=13), Cultivar_1_Cohort_Year_Selection=$U$278,Cultivar_3_Cohort_Year_Selection=$U$278), MAX(0,'Stage 2 Randomized Selection'!K$2 - 2),
IF(AND(OR(U$279=123, U$279=23), Cultivar_2_Cohort_Year_Selection=$U$278,Cultivar_3_Cohort_Year_Selection=$U$278), MAX(0,'Stage 2 Randomized Selection'!K$2 - 2),
IF(AND(OR(U$279=123, U$279=12, U$279=13, U$279=1), Cultivar_1_Cohort_Year_Selection=$U$278), MAX(0,'Stage 2 Randomized Selection'!K$2 - 1),
IF(AND(OR(U$279=123, U$279=12, U$279=23, U$279=2), Cultivar_2_Cohort_Year_Selection=$U$278), MAX(0,'Stage 2 Randomized Selection'!K$2 - 1),
IF(AND(OR(U$279=123, U$279=13, U$279=23, U$279=3), Cultivar_3_Cohort_Year_Selection=$U$278), MAX(0,'Stage 2 Randomized Selection'!K$2 - 1), 'Stage 2 Randomized Selection'!K$2))))))),""),""),"")</f>
        <v/>
      </c>
      <c r="V319" s="95" t="str">
        <f>IF(ISNUMBER($B$280),
IF($C319&lt;&gt;"",
IF(AND(ISNUMBER('Stage 2 Randomized Selection'!L$2), 'Stage 2 Randomized Selection'!L$2&gt;0),
IF(AND(V$279=123, Cultivar_1_Cohort_Year_Selection=$V$278,Cultivar_2_Cohort_Year_Selection=$V$278,Cultivar_3_Cohort_Year_Selection=$V$278), MAX(0,'Stage 2 Randomized Selection'!L$2 - 3),
IF(AND(OR(V$279=123, V$279=12), Cultivar_1_Cohort_Year_Selection=$V$278,Cultivar_2_Cohort_Year_Selection=$V$278),  MAX(0,'Stage 2 Randomized Selection'!L$2 - 2),
IF(AND(OR(V$279=123, V$279=13), Cultivar_1_Cohort_Year_Selection=$V$278,Cultivar_3_Cohort_Year_Selection=$V$278), MAX(0,'Stage 2 Randomized Selection'!L$2 - 2),
IF(AND(OR(V$279=123, V$279=23), Cultivar_2_Cohort_Year_Selection=$V$278,Cultivar_3_Cohort_Year_Selection=$V$278), MAX(0,'Stage 2 Randomized Selection'!L$2 - 2),
IF(AND(OR(V$279=123, V$279=12, V$279=13, V$279=1), Cultivar_1_Cohort_Year_Selection=$V$278), MAX(0,'Stage 2 Randomized Selection'!L$2 - 1),
IF(AND(OR(V$279=123, V$279=12, V$279=23, V$279=2), Cultivar_2_Cohort_Year_Selection=$V$278), MAX(0,'Stage 2 Randomized Selection'!L$2 - 1),
IF(AND(OR(V$279=123, V$279=13, V$279=23, V$279=3), Cultivar_3_Cohort_Year_Selection=$V$278), MAX(0,'Stage 2 Randomized Selection'!L$2 - 1), 'Stage 2 Randomized Selection'!L$2))))))),""),""),"")</f>
        <v/>
      </c>
      <c r="W319" s="95" t="str">
        <f>IF(ISNUMBER($B$280),
IF($C319&lt;&gt;"",
IF(AND(ISNUMBER('Stage 2 Randomized Selection'!M$2), 'Stage 2 Randomized Selection'!M$2&gt;0),
IF(AND(W$279=123, Cultivar_1_Cohort_Year_Selection=$W$278,Cultivar_2_Cohort_Year_Selection=$W$278,Cultivar_3_Cohort_Year_Selection=$W$278), MAX(0,'Stage 2 Randomized Selection'!M$2 - 3),
IF(AND(OR(W$279=123, W$279=12), Cultivar_1_Cohort_Year_Selection=$W$278,Cultivar_2_Cohort_Year_Selection=$W$278),  MAX(0,'Stage 2 Randomized Selection'!M$2 - 2),
IF(AND(OR(W$279=123, W$279=13), Cultivar_1_Cohort_Year_Selection=$W$278,Cultivar_3_Cohort_Year_Selection=$W$278), MAX(0,'Stage 2 Randomized Selection'!M$2 - 2),
IF(AND(OR(W$279=123, W$279=23), Cultivar_2_Cohort_Year_Selection=$W$278,Cultivar_3_Cohort_Year_Selection=$W$278), MAX(0,'Stage 2 Randomized Selection'!M$2 - 2),
IF(AND(OR(W$279=123, W$279=12, W$279=13, W$279=1), Cultivar_1_Cohort_Year_Selection=$W$278), MAX(0,'Stage 2 Randomized Selection'!M$2 - 1),
IF(AND(OR(W$279=123, W$279=12, W$279=23, W$279=2), Cultivar_2_Cohort_Year_Selection=$W$278), MAX(0,'Stage 2 Randomized Selection'!M$2 - 1),
IF(AND(OR(W$279=123, W$279=13, W$279=23, W$279=3), Cultivar_3_Cohort_Year_Selection=$W$278), MAX(0,'Stage 2 Randomized Selection'!M$2 - 1), 'Stage 2 Randomized Selection'!M$2))))))),""),""),"")</f>
        <v/>
      </c>
      <c r="X319" s="95" t="str">
        <f>IF(ISNUMBER($B$280),
IF($C319&lt;&gt;"",
IF(AND(ISNUMBER('Stage 2 Randomized Selection'!N$2), 'Stage 2 Randomized Selection'!N$2&gt;0),
IF(AND(X$279=123, Cultivar_1_Cohort_Year_Selection=$X$278,Cultivar_2_Cohort_Year_Selection=$X$278,Cultivar_3_Cohort_Year_Selection=$X$278), MAX(0,'Stage 2 Randomized Selection'!N$2 - 3),
IF(AND(OR(X$279=123, X$279=12), Cultivar_1_Cohort_Year_Selection=$X$278,Cultivar_2_Cohort_Year_Selection=$X$278),  MAX(0,'Stage 2 Randomized Selection'!N$2 - 2),
IF(AND(OR(X$279=123, X$279=13), Cultivar_1_Cohort_Year_Selection=$X$278,Cultivar_3_Cohort_Year_Selection=$X$278), MAX(0,'Stage 2 Randomized Selection'!N$2 - 2),
IF(AND(OR(X$279=123, X$279=23), Cultivar_2_Cohort_Year_Selection=$X$278,Cultivar_3_Cohort_Year_Selection=$X$278), MAX(0,'Stage 2 Randomized Selection'!N$2 - 2),
IF(AND(OR(X$279=123, X$279=12, X$279=13, X$279=1), Cultivar_1_Cohort_Year_Selection=$X$278), MAX(0,'Stage 2 Randomized Selection'!N$2 - 1),
IF(AND(OR(X$279=123, X$279=12, X$279=23, X$279=2), Cultivar_2_Cohort_Year_Selection=$X$278), MAX(0,'Stage 2 Randomized Selection'!N$2 - 1),
IF(AND(OR(X$279=123, X$279=13, X$279=23, X$279=3), Cultivar_3_Cohort_Year_Selection=$X$278), MAX(0,'Stage 2 Randomized Selection'!N$2 - 1), 'Stage 2 Randomized Selection'!N$2))))))),""),""),"")</f>
        <v/>
      </c>
      <c r="Y319" s="95" t="str">
        <f>IF(ISNUMBER($B$280),
IF($C319&lt;&gt;"",
IF(AND(ISNUMBER('Stage 2 Randomized Selection'!O$2), 'Stage 2 Randomized Selection'!O$2&gt;0),
IF(AND(Y$279=123, Cultivar_1_Cohort_Year_Selection=$Y$278,Cultivar_2_Cohort_Year_Selection=$Y$278,Cultivar_3_Cohort_Year_Selection=$Y$278), MAX(0,'Stage 2 Randomized Selection'!O$2 - 3),
IF(AND(OR(Y$279=123, Y$279=12), Cultivar_1_Cohort_Year_Selection=$Y$278,Cultivar_2_Cohort_Year_Selection=$Y$278),  MAX(0,'Stage 2 Randomized Selection'!O$2 - 2),
IF(AND(OR(Y$279=123, Y$279=13), Cultivar_1_Cohort_Year_Selection=$Y$278,Cultivar_3_Cohort_Year_Selection=$Y$278), MAX(0,'Stage 2 Randomized Selection'!O$2 - 2),
IF(AND(OR(Y$279=123, Y$279=23), Cultivar_2_Cohort_Year_Selection=$Y$278,Cultivar_3_Cohort_Year_Selection=$Y$278), MAX(0,'Stage 2 Randomized Selection'!O$2 - 2),
IF(AND(OR(Y$279=123, Y$279=12, Y$279=13, Y$279=1), Cultivar_1_Cohort_Year_Selection=$Y$278), MAX(0,'Stage 2 Randomized Selection'!O$2 - 1),
IF(AND(OR(Y$279=123, Y$279=12, Y$279=23, Y$279=2), Cultivar_2_Cohort_Year_Selection=$Y$278), MAX(0,'Stage 2 Randomized Selection'!O$2 - 1),
IF(AND(OR(Y$279=123, Y$279=13, Y$279=23, Y$279=3), Cultivar_3_Cohort_Year_Selection=$Y$278), MAX(0,'Stage 2 Randomized Selection'!O$2 - 1), 'Stage 2 Randomized Selection'!O$2))))))),""),""),"")</f>
        <v/>
      </c>
      <c r="Z319" s="95" t="str">
        <f>IF(ISNUMBER($B$280),
IF($C319&lt;&gt;"",
IF(AND(ISNUMBER('Stage 2 Randomized Selection'!P$2), 'Stage 2 Randomized Selection'!P$2&gt;0),
IF(AND(Z$279=123, Cultivar_1_Cohort_Year_Selection=$Z$278,Cultivar_2_Cohort_Year_Selection=$Z$278,Cultivar_3_Cohort_Year_Selection=$Z$278), MAX(0,'Stage 2 Randomized Selection'!P$2 - 3),
IF(AND(OR(Z$279=123, Z$279=12), Cultivar_1_Cohort_Year_Selection=$Z$278,Cultivar_2_Cohort_Year_Selection=$Z$278),  MAX(0,'Stage 2 Randomized Selection'!P$2 - 2),
IF(AND(OR(Z$279=123, Z$279=13), Cultivar_1_Cohort_Year_Selection=$Z$278,Cultivar_3_Cohort_Year_Selection=$Z$278), MAX(0,'Stage 2 Randomized Selection'!P$2 - 2),
IF(AND(OR(Z$279=123, Z$279=23), Cultivar_2_Cohort_Year_Selection=$Z$278,Cultivar_3_Cohort_Year_Selection=$Z$278), MAX(0,'Stage 2 Randomized Selection'!P$2 - 2),
IF(AND(OR(Z$279=123, Z$279=12, Z$279=13, Z$279=1), Cultivar_1_Cohort_Year_Selection=$Z$278), MAX(0,'Stage 2 Randomized Selection'!P$2 - 1),
IF(AND(OR(Z$279=123, Z$279=12, Z$279=23, Z$279=2), Cultivar_2_Cohort_Year_Selection=$Z$278), MAX(0,'Stage 2 Randomized Selection'!P$2 - 1),
IF(AND(OR(Z$279=123, Z$279=13, Z$279=23, Z$279=3), Cultivar_3_Cohort_Year_Selection=$Z$278), MAX(0,'Stage 2 Randomized Selection'!P$2 - 1), 'Stage 2 Randomized Selection'!P$2))))))),""),""),"")</f>
        <v/>
      </c>
      <c r="AA319" s="95" t="str">
        <f>IF(ISNUMBER($B$280),
IF($C319&lt;&gt;"",
IF(AND(ISNUMBER('Stage 2 Randomized Selection'!Q$2), 'Stage 2 Randomized Selection'!Q$2&gt;0),
IF(AND(AA$279=123, Cultivar_1_Cohort_Year_Selection=$AA$278,Cultivar_2_Cohort_Year_Selection=$AA$278,Cultivar_3_Cohort_Year_Selection=$AA$278), MAX(0,'Stage 2 Randomized Selection'!Q$2 - 3),
IF(AND(OR(AA$279=123, AA$279=12), Cultivar_1_Cohort_Year_Selection=$AA$278,Cultivar_2_Cohort_Year_Selection=$AA$278),  MAX(0,'Stage 2 Randomized Selection'!Q$2 - 2),
IF(AND(OR(AA$279=123, AA$279=13), Cultivar_1_Cohort_Year_Selection=$AA$278,Cultivar_3_Cohort_Year_Selection=$AA$278), MAX(0,'Stage 2 Randomized Selection'!Q$2 - 2),
IF(AND(OR(AA$279=123, AA$279=23), Cultivar_2_Cohort_Year_Selection=$AA$278,Cultivar_3_Cohort_Year_Selection=$AA$278), MAX(0,'Stage 2 Randomized Selection'!Q$2 - 2),
IF(AND(OR(AA$279=123, AA$279=12, AA$279=13, AA$279=1), Cultivar_1_Cohort_Year_Selection=$AA$278), MAX(0,'Stage 2 Randomized Selection'!Q$2 - 1),
IF(AND(OR(AA$279=123, AA$279=12, AA$279=23, AA$279=2), Cultivar_2_Cohort_Year_Selection=$AA$278), MAX(0,'Stage 2 Randomized Selection'!Q$2 - 1),
IF(AND(OR(AA$279=123, AA$279=13, AA$279=23, AA$279=3), Cultivar_3_Cohort_Year_Selection=$AA$278), MAX(0,'Stage 2 Randomized Selection'!Q$2 - 1), 'Stage 2 Randomized Selection'!Q$2))))))),""),""),"")</f>
        <v/>
      </c>
      <c r="AB319" s="95" t="str">
        <f>IF(ISNUMBER($B$280),
IF($C319&lt;&gt;"",
IF(AND(ISNUMBER('Stage 2 Randomized Selection'!R$2), 'Stage 2 Randomized Selection'!R$2&gt;0),
IF(AND(AB$279=123, Cultivar_1_Cohort_Year_Selection=$AB$278,Cultivar_2_Cohort_Year_Selection=$AB$278,Cultivar_3_Cohort_Year_Selection=$AB$278), MAX(0,'Stage 2 Randomized Selection'!R$2 - 3),
IF(AND(OR(AB$279=123, AB$279=12), Cultivar_1_Cohort_Year_Selection=$AB$278,Cultivar_2_Cohort_Year_Selection=$AB$278),  MAX(0,'Stage 2 Randomized Selection'!R$2 - 2),
IF(AND(OR(AB$279=123, AB$279=13), Cultivar_1_Cohort_Year_Selection=$AB$278,Cultivar_3_Cohort_Year_Selection=$AB$278), MAX(0,'Stage 2 Randomized Selection'!R$2 - 2),
IF(AND(OR(AB$279=123, AB$279=23), Cultivar_2_Cohort_Year_Selection=$AB$278,Cultivar_3_Cohort_Year_Selection=$AB$278), MAX(0,'Stage 2 Randomized Selection'!R$2 - 2),
IF(AND(OR(AB$279=123, AB$279=12, AB$279=13, AB$279=1), Cultivar_1_Cohort_Year_Selection=$AB$278), MAX(0,'Stage 2 Randomized Selection'!R$2 - 1),
IF(AND(OR(AB$279=123, AB$279=12, AB$279=23, AB$279=2), Cultivar_2_Cohort_Year_Selection=$AB$278), MAX(0,'Stage 2 Randomized Selection'!R$2 - 1),
IF(AND(OR(AB$279=123, AB$279=13, AB$279=23, AB$279=3), Cultivar_3_Cohort_Year_Selection=$AB$278), MAX(0,'Stage 2 Randomized Selection'!R$2 - 1), 'Stage 2 Randomized Selection'!R$2))))))),""),""),"")</f>
        <v/>
      </c>
      <c r="AC319" s="95" t="str">
        <f>IF(ISNUMBER($B$280),
IF($C319&lt;&gt;"",
IF(AND(ISNUMBER('Stage 2 Randomized Selection'!S$2), 'Stage 2 Randomized Selection'!S$2&gt;0),
IF(AND(AC$279=123, Cultivar_1_Cohort_Year_Selection=$AC$278,Cultivar_2_Cohort_Year_Selection=$AC$278,Cultivar_3_Cohort_Year_Selection=$AC$278), MAX(0,'Stage 2 Randomized Selection'!S$2 - 3),
IF(AND(OR(AC$279=123, AC$279=12), Cultivar_1_Cohort_Year_Selection=$AC$278,Cultivar_2_Cohort_Year_Selection=$AC$278),  MAX(0,'Stage 2 Randomized Selection'!S$2 - 2),
IF(AND(OR(AC$279=123, AC$279=13), Cultivar_1_Cohort_Year_Selection=$AC$278,Cultivar_3_Cohort_Year_Selection=$AC$278), MAX(0,'Stage 2 Randomized Selection'!S$2 - 2),
IF(AND(OR(AC$279=123, AC$279=23), Cultivar_2_Cohort_Year_Selection=$AC$278,Cultivar_3_Cohort_Year_Selection=$AC$278), MAX(0,'Stage 2 Randomized Selection'!S$2 - 2),
IF(AND(OR(AC$279=123, AC$279=12, AC$279=13, AC$279=1), Cultivar_1_Cohort_Year_Selection=$AC$278), MAX(0,'Stage 2 Randomized Selection'!S$2 - 1),
IF(AND(OR(AC$279=123, AC$279=12, AC$279=23, AC$279=2), Cultivar_2_Cohort_Year_Selection=$AC$278), MAX(0,'Stage 2 Randomized Selection'!S$2 - 1),
IF(AND(OR(AC$279=123, AC$279=13, AC$279=23, AC$279=3), Cultivar_3_Cohort_Year_Selection=$AC$278), MAX(0,'Stage 2 Randomized Selection'!S$2 - 1), 'Stage 2 Randomized Selection'!S$2))))))),""),""),"")</f>
        <v/>
      </c>
      <c r="AD319" s="95" t="str">
        <f>IF(ISNUMBER($B$280),
IF($C319&lt;&gt;"",
IF(AND(ISNUMBER('Stage 2 Randomized Selection'!T$2), 'Stage 2 Randomized Selection'!T$2&gt;0),
IF(AND(AD$279=123, Cultivar_1_Cohort_Year_Selection=$AD$278,Cultivar_2_Cohort_Year_Selection=$AD$278,Cultivar_3_Cohort_Year_Selection=$AD$278), MAX(0,'Stage 2 Randomized Selection'!T$2 - 3),
IF(AND(OR(AD$279=123, AD$279=12), Cultivar_1_Cohort_Year_Selection=$AD$278,Cultivar_2_Cohort_Year_Selection=$AD$278),  MAX(0,'Stage 2 Randomized Selection'!T$2 - 2),
IF(AND(OR(AD$279=123, AD$279=13), Cultivar_1_Cohort_Year_Selection=$AD$278,Cultivar_3_Cohort_Year_Selection=$AD$278), MAX(0,'Stage 2 Randomized Selection'!T$2 - 2),
IF(AND(OR(AD$279=123, AD$279=23), Cultivar_2_Cohort_Year_Selection=$AD$278,Cultivar_3_Cohort_Year_Selection=$AD$278), MAX(0,'Stage 2 Randomized Selection'!T$2 - 2),
IF(AND(OR(AD$279=123, AD$279=12, AD$279=13, AD$279=1), Cultivar_1_Cohort_Year_Selection=$AD$278), MAX(0,'Stage 2 Randomized Selection'!T$2 - 1),
IF(AND(OR(AD$279=123, AD$279=12, AD$279=23, AD$279=2), Cultivar_2_Cohort_Year_Selection=$AD$278), MAX(0,'Stage 2 Randomized Selection'!T$2 - 1),
IF(AND(OR(AD$279=123, AD$279=13, AD$279=23, AD$279=3), Cultivar_3_Cohort_Year_Selection=$AD$278), MAX(0,'Stage 2 Randomized Selection'!T$2 - 1), 'Stage 2 Randomized Selection'!T$2))))))),""),""),"")</f>
        <v/>
      </c>
      <c r="AE319" s="95" t="str">
        <f>IF(ISNUMBER($B$280),
IF($C319&lt;&gt;"",
IF(AND(ISNUMBER('Stage 2 Randomized Selection'!U$2), 'Stage 2 Randomized Selection'!U$2&gt;0),
IF(AND(AE$279=123, Cultivar_1_Cohort_Year_Selection=$AE$278,Cultivar_2_Cohort_Year_Selection=$AE$278,Cultivar_3_Cohort_Year_Selection=$AE$278), MAX(0,'Stage 2 Randomized Selection'!U$2 - 3),
IF(AND(OR(AE$279=123, AE$279=12), Cultivar_1_Cohort_Year_Selection=$AE$278,Cultivar_2_Cohort_Year_Selection=$AE$278),  MAX(0,'Stage 2 Randomized Selection'!U$2 - 2),
IF(AND(OR(AE$279=123, AE$279=13), Cultivar_1_Cohort_Year_Selection=$AE$278,Cultivar_3_Cohort_Year_Selection=$AE$278), MAX(0,'Stage 2 Randomized Selection'!U$2 - 2),
IF(AND(OR(AE$279=123, AE$279=23), Cultivar_2_Cohort_Year_Selection=$AE$278,Cultivar_3_Cohort_Year_Selection=$AE$278), MAX(0,'Stage 2 Randomized Selection'!U$2 - 2),
IF(AND(OR(AE$279=123, AE$279=12, AE$279=13, AE$279=1), Cultivar_1_Cohort_Year_Selection=$AE$278), MAX(0,'Stage 2 Randomized Selection'!U$2 - 1),
IF(AND(OR(AE$279=123, AE$279=12, AE$279=23, AE$279=2), Cultivar_2_Cohort_Year_Selection=$AE$278), MAX(0,'Stage 2 Randomized Selection'!U$2 - 1),
IF(AND(OR(AE$279=123, AE$279=13, AE$279=23, AE$279=3), Cultivar_3_Cohort_Year_Selection=$AE$278), MAX(0,'Stage 2 Randomized Selection'!U$2 - 1), 'Stage 2 Randomized Selection'!U$2))))))),""),""),"")</f>
        <v/>
      </c>
      <c r="AF319" s="95" t="str">
        <f>IF(ISNUMBER($B$280),
IF($C319&lt;&gt;"",
IF(AND(ISNUMBER('Stage 2 Randomized Selection'!V$2), 'Stage 2 Randomized Selection'!V$2&gt;0),
IF(AND(AF$279=123, Cultivar_1_Cohort_Year_Selection=$AF$278,Cultivar_2_Cohort_Year_Selection=$AF$278,Cultivar_3_Cohort_Year_Selection=$AF$278), MAX(0,'Stage 2 Randomized Selection'!V$2 - 3),
IF(AND(OR(AF$279=123, AF$279=12), Cultivar_1_Cohort_Year_Selection=$AF$278,Cultivar_2_Cohort_Year_Selection=$AF$278),  MAX(0,'Stage 2 Randomized Selection'!V$2 - 2),
IF(AND(OR(AF$279=123, AF$279=13), Cultivar_1_Cohort_Year_Selection=$AF$278,Cultivar_3_Cohort_Year_Selection=$AF$278), MAX(0,'Stage 2 Randomized Selection'!V$2 - 2),
IF(AND(OR(AF$279=123, AF$279=23), Cultivar_2_Cohort_Year_Selection=$AF$278,Cultivar_3_Cohort_Year_Selection=$AF$278), MAX(0,'Stage 2 Randomized Selection'!V$2 - 2),
IF(AND(OR(AF$279=123, AF$279=12, AF$279=13, AF$279=1), Cultivar_1_Cohort_Year_Selection=$AF$278), MAX(0,'Stage 2 Randomized Selection'!V$2 - 1),
IF(AND(OR(AF$279=123, AF$279=12, AF$279=23, AF$279=2), Cultivar_2_Cohort_Year_Selection=$AF$278), MAX(0,'Stage 2 Randomized Selection'!V$2 - 1),
IF(AND(OR(AF$279=123, AF$279=13, AF$279=23, AF$279=3), Cultivar_3_Cohort_Year_Selection=$AF$278), MAX(0,'Stage 2 Randomized Selection'!V$2 - 1), 'Stage 2 Randomized Selection'!V$2))))))),""),""),"")</f>
        <v/>
      </c>
      <c r="AG319" s="95" t="str">
        <f>IF(ISNUMBER($B$280),
IF($C319&lt;&gt;"",
IF(AND(ISNUMBER('Stage 2 Randomized Selection'!W$2), 'Stage 2 Randomized Selection'!W$2&gt;0),
IF(AND(AG$279=123, Cultivar_1_Cohort_Year_Selection=$AG$278,Cultivar_2_Cohort_Year_Selection=$AG$278,Cultivar_3_Cohort_Year_Selection=$AG$278), MAX(0,'Stage 2 Randomized Selection'!W$2 - 3),
IF(AND(OR(AG$279=123, AG$279=12), Cultivar_1_Cohort_Year_Selection=$AG$278,Cultivar_2_Cohort_Year_Selection=$AG$278),  MAX(0,'Stage 2 Randomized Selection'!W$2 - 2),
IF(AND(OR(AG$279=123, AG$279=13), Cultivar_1_Cohort_Year_Selection=$AG$278,Cultivar_3_Cohort_Year_Selection=$AG$278), MAX(0,'Stage 2 Randomized Selection'!W$2 - 2),
IF(AND(OR(AG$279=123, AG$279=23), Cultivar_2_Cohort_Year_Selection=$AG$278,Cultivar_3_Cohort_Year_Selection=$AG$278), MAX(0,'Stage 2 Randomized Selection'!W$2 - 2),
IF(AND(OR(AG$279=123, AG$279=12, AG$279=13, AG$279=1), Cultivar_1_Cohort_Year_Selection=$AG$278), MAX(0,'Stage 2 Randomized Selection'!W$2 - 1),
IF(AND(OR(AG$279=123, AG$279=12, AG$279=23, AG$279=2), Cultivar_2_Cohort_Year_Selection=$AG$278), MAX(0,'Stage 2 Randomized Selection'!W$2 - 1),
IF(AND(OR(AG$279=123, AG$279=13, AG$279=23, AG$279=3), Cultivar_3_Cohort_Year_Selection=$AG$278), MAX(0,'Stage 2 Randomized Selection'!W$2 - 1), 'Stage 2 Randomized Selection'!W$2))))))),""),""),"")</f>
        <v/>
      </c>
      <c r="AH319" s="95" t="str">
        <f>IF(ISNUMBER($B$280),
IF($C319&lt;&gt;"",
IF(AND(ISNUMBER('Stage 2 Randomized Selection'!X$2), 'Stage 2 Randomized Selection'!X$2&gt;0),
IF(AND(AH$279=123, Cultivar_1_Cohort_Year_Selection=$AH$278,Cultivar_2_Cohort_Year_Selection=$AH$278,Cultivar_3_Cohort_Year_Selection=$AH$278), MAX(0,'Stage 2 Randomized Selection'!X$2 - 3),
IF(AND(OR(AH$279=123, AH$279=12), Cultivar_1_Cohort_Year_Selection=$AH$278,Cultivar_2_Cohort_Year_Selection=$AH$278),  MAX(0,'Stage 2 Randomized Selection'!X$2 - 2),
IF(AND(OR(AH$279=123, AH$279=13), Cultivar_1_Cohort_Year_Selection=$AH$278,Cultivar_3_Cohort_Year_Selection=$AH$278), MAX(0,'Stage 2 Randomized Selection'!X$2 - 2),
IF(AND(OR(AH$279=123, AH$279=23), Cultivar_2_Cohort_Year_Selection=$AH$278,Cultivar_3_Cohort_Year_Selection=$AH$278), MAX(0,'Stage 2 Randomized Selection'!X$2 - 2),
IF(AND(OR(AH$279=123, AH$279=12, AH$279=13, AH$279=1), Cultivar_1_Cohort_Year_Selection=$AH$278), MAX(0,'Stage 2 Randomized Selection'!X$2 - 1),
IF(AND(OR(AH$279=123, AH$279=12, AH$279=23, AH$279=2), Cultivar_2_Cohort_Year_Selection=$AH$278), MAX(0,'Stage 2 Randomized Selection'!X$2 - 1),
IF(AND(OR(AH$279=123, AH$279=13, AH$279=23, AH$279=3), Cultivar_3_Cohort_Year_Selection=$AH$278), MAX(0,'Stage 2 Randomized Selection'!X$2 - 1), 'Stage 2 Randomized Selection'!X$2))))))),""),""),"")</f>
        <v/>
      </c>
      <c r="AI319" s="95" t="str">
        <f>IF(ISNUMBER($B$280),
IF($C319&lt;&gt;"",
IF(AND(ISNUMBER('Stage 2 Randomized Selection'!Y$2), 'Stage 2 Randomized Selection'!Y$2&gt;0),
IF(AND(AI$279=123, Cultivar_1_Cohort_Year_Selection=$AI$278,Cultivar_2_Cohort_Year_Selection=$AI$278,Cultivar_3_Cohort_Year_Selection=$AI$278), MAX(0,'Stage 2 Randomized Selection'!Y$2 - 3),
IF(AND(OR(AI$279=123, AI$279=12), Cultivar_1_Cohort_Year_Selection=$AI$278,Cultivar_2_Cohort_Year_Selection=$AI$278),  MAX(0,'Stage 2 Randomized Selection'!Y$2 - 2),
IF(AND(OR(AI$279=123, AI$279=13), Cultivar_1_Cohort_Year_Selection=$AI$278,Cultivar_3_Cohort_Year_Selection=$AI$278), MAX(0,'Stage 2 Randomized Selection'!Y$2 - 2),
IF(AND(OR(AI$279=123, AI$279=23), Cultivar_2_Cohort_Year_Selection=$AI$278,Cultivar_3_Cohort_Year_Selection=$AI$278), MAX(0,'Stage 2 Randomized Selection'!Y$2 - 2),
IF(AND(OR(AI$279=123, AI$279=12, AI$279=13, AI$279=1), Cultivar_1_Cohort_Year_Selection=$AI$278), MAX(0,'Stage 2 Randomized Selection'!Y$2 - 1),
IF(AND(OR(AI$279=123, AI$279=12, AI$279=23, AI$279=2), Cultivar_2_Cohort_Year_Selection=$AI$278), MAX(0,'Stage 2 Randomized Selection'!Y$2 - 1),
IF(AND(OR(AI$279=123, AI$279=13, AI$279=23, AI$279=3), Cultivar_3_Cohort_Year_Selection=$AI$278), MAX(0,'Stage 2 Randomized Selection'!Y$2 - 1), 'Stage 2 Randomized Selection'!Y$2))))))),""),""),"")</f>
        <v/>
      </c>
      <c r="AJ319" s="95" t="str">
        <f>IF(ISNUMBER($B$280),
IF($C319&lt;&gt;"",
IF(AND(ISNUMBER('Stage 2 Randomized Selection'!Z$2), 'Stage 2 Randomized Selection'!Z$2&gt;0),
IF(AND(AJ$279=123, Cultivar_1_Cohort_Year_Selection=$AJ$278,Cultivar_2_Cohort_Year_Selection=$AJ$278,Cultivar_3_Cohort_Year_Selection=$AJ$278), MAX(0,'Stage 2 Randomized Selection'!Z$2 - 3),
IF(AND(OR(AJ$279=123, AJ$279=12), Cultivar_1_Cohort_Year_Selection=$AJ$278,Cultivar_2_Cohort_Year_Selection=$AJ$278),  MAX(0,'Stage 2 Randomized Selection'!Z$2 - 2),
IF(AND(OR(AJ$279=123, AJ$279=13), Cultivar_1_Cohort_Year_Selection=$AJ$278,Cultivar_3_Cohort_Year_Selection=$AJ$278), MAX(0,'Stage 2 Randomized Selection'!Z$2 - 2),
IF(AND(OR(AJ$279=123, AJ$279=23), Cultivar_2_Cohort_Year_Selection=$AJ$278,Cultivar_3_Cohort_Year_Selection=$AJ$278), MAX(0,'Stage 2 Randomized Selection'!Z$2 - 2),
IF(AND(OR(AJ$279=123, AJ$279=12, AJ$279=13, AJ$279=1), Cultivar_1_Cohort_Year_Selection=$AJ$278), MAX(0,'Stage 2 Randomized Selection'!Z$2 - 1),
IF(AND(OR(AJ$279=123, AJ$279=12, AJ$279=23, AJ$279=2), Cultivar_2_Cohort_Year_Selection=$AJ$278), MAX(0,'Stage 2 Randomized Selection'!Z$2 - 1),
IF(AND(OR(AJ$279=123, AJ$279=13, AJ$279=23, AJ$279=3), Cultivar_3_Cohort_Year_Selection=$AJ$278), MAX(0,'Stage 2 Randomized Selection'!Z$2 - 1), 'Stage 2 Randomized Selection'!Z$2))))))),""),""),"")</f>
        <v/>
      </c>
      <c r="AK319" s="95" t="str">
        <f>IF(ISNUMBER($B$280),
IF($C319&lt;&gt;"",
IF(AND(ISNUMBER('Stage 2 Randomized Selection'!AA$2), 'Stage 2 Randomized Selection'!AA$2&gt;0),
IF(AND(AK$279=123, Cultivar_1_Cohort_Year_Selection=$AK$278,Cultivar_2_Cohort_Year_Selection=$AK$278,Cultivar_3_Cohort_Year_Selection=$AK$278), MAX(0,'Stage 2 Randomized Selection'!AA$2 - 3),
IF(AND(OR(AK$279=123, AK$279=12), Cultivar_1_Cohort_Year_Selection=$AK$278,Cultivar_2_Cohort_Year_Selection=$AK$278),  MAX(0,'Stage 2 Randomized Selection'!AA$2 - 2),
IF(AND(OR(AK$279=123, AK$279=13), Cultivar_1_Cohort_Year_Selection=$AK$278,Cultivar_3_Cohort_Year_Selection=$AK$278), MAX(0,'Stage 2 Randomized Selection'!AA$2 - 2),
IF(AND(OR(AK$279=123, AK$279=23), Cultivar_2_Cohort_Year_Selection=$AK$278,Cultivar_3_Cohort_Year_Selection=$AK$278), MAX(0,'Stage 2 Randomized Selection'!AA$2 - 2),
IF(AND(OR(AK$279=123, AK$279=12, AK$279=13, AK$279=1), Cultivar_1_Cohort_Year_Selection=$AK$278), MAX(0,'Stage 2 Randomized Selection'!AA$2 - 1),
IF(AND(OR(AK$279=123, AK$279=12, AK$279=23, AK$279=2), Cultivar_2_Cohort_Year_Selection=$AK$278), MAX(0,'Stage 2 Randomized Selection'!AA$2 - 1),
IF(AND(OR(AK$279=123, AK$279=13, AK$279=23, AK$279=3), Cultivar_3_Cohort_Year_Selection=$AK$278), MAX(0,'Stage 2 Randomized Selection'!AA$2 - 1), 'Stage 2 Randomized Selection'!AA$2))))))),""),""),"")</f>
        <v/>
      </c>
      <c r="AL319" s="95" t="str">
        <f>IF(ISNUMBER($B$280),
IF($C319&lt;&gt;"",
IF(AND(ISNUMBER('Stage 2 Randomized Selection'!AB$2), 'Stage 2 Randomized Selection'!AB$2&gt;0),
IF(AND(AL$279=123, Cultivar_1_Cohort_Year_Selection=$AL$278,Cultivar_2_Cohort_Year_Selection=$AL$278,Cultivar_3_Cohort_Year_Selection=$AL$278), MAX(0,'Stage 2 Randomized Selection'!AB$2 - 3),
IF(AND(OR(AL$279=123, AL$279=12), Cultivar_1_Cohort_Year_Selection=$AL$278,Cultivar_2_Cohort_Year_Selection=$AL$278),  MAX(0,'Stage 2 Randomized Selection'!AB$2 - 2),
IF(AND(OR(AL$279=123, AL$279=13), Cultivar_1_Cohort_Year_Selection=$AL$278,Cultivar_3_Cohort_Year_Selection=$AL$278), MAX(0,'Stage 2 Randomized Selection'!AB$2 - 2),
IF(AND(OR(AL$279=123, AL$279=23), Cultivar_2_Cohort_Year_Selection=$AL$278,Cultivar_3_Cohort_Year_Selection=$AL$278), MAX(0,'Stage 2 Randomized Selection'!AB$2 - 2),
IF(AND(OR(AL$279=123, AL$279=12, AL$279=13, AL$279=1), Cultivar_1_Cohort_Year_Selection=$AL$278), MAX(0,'Stage 2 Randomized Selection'!AB$2 - 1),
IF(AND(OR(AL$279=123, AL$279=12, AL$279=23, AL$279=2), Cultivar_2_Cohort_Year_Selection=$AL$278), MAX(0,'Stage 2 Randomized Selection'!AB$2 - 1),
IF(AND(OR(AL$279=123, AL$279=13, AL$279=23, AL$279=3), Cultivar_3_Cohort_Year_Selection=$AL$278), MAX(0,'Stage 2 Randomized Selection'!AB$2 - 1), 'Stage 2 Randomized Selection'!AB$2))))))),""),""),"")</f>
        <v/>
      </c>
      <c r="AM319" s="95" t="str">
        <f>IF(ISNUMBER($B$280),
IF($C319&lt;&gt;"",
IF(AND(ISNUMBER('Stage 2 Randomized Selection'!AC$2), 'Stage 2 Randomized Selection'!AC$2&gt;0),
IF(AND(AM$279=123, Cultivar_1_Cohort_Year_Selection=$AM$278,Cultivar_2_Cohort_Year_Selection=$AM$278,Cultivar_3_Cohort_Year_Selection=$AM$278), MAX(0,'Stage 2 Randomized Selection'!AC$2 - 3),
IF(AND(OR(AM$279=123, AM$279=12), Cultivar_1_Cohort_Year_Selection=$AM$278,Cultivar_2_Cohort_Year_Selection=$AM$278),  MAX(0,'Stage 2 Randomized Selection'!AC$2 - 2),
IF(AND(OR(AM$279=123, AM$279=13), Cultivar_1_Cohort_Year_Selection=$AM$278,Cultivar_3_Cohort_Year_Selection=$AM$278), MAX(0,'Stage 2 Randomized Selection'!AC$2 - 2),
IF(AND(OR(AM$279=123, AM$279=23), Cultivar_2_Cohort_Year_Selection=$AM$278,Cultivar_3_Cohort_Year_Selection=$AM$278), MAX(0,'Stage 2 Randomized Selection'!AC$2 - 2),
IF(AND(OR(AM$279=123, AM$279=12, AM$279=13, AM$279=1), Cultivar_1_Cohort_Year_Selection=$AM$278), MAX(0,'Stage 2 Randomized Selection'!AC$2 - 1),
IF(AND(OR(AM$279=123, AM$279=12, AM$279=23, AM$279=2), Cultivar_2_Cohort_Year_Selection=$AM$278), MAX(0,'Stage 2 Randomized Selection'!AC$2 - 1),
IF(AND(OR(AM$279=123, AM$279=13, AM$279=23, AM$279=3), Cultivar_3_Cohort_Year_Selection=$AM$278), MAX(0,'Stage 2 Randomized Selection'!AC$2 - 1), 'Stage 2 Randomized Selection'!AC$2))))))),""),""),"")</f>
        <v/>
      </c>
      <c r="AN319" s="95" t="str">
        <f>IF(ISNUMBER($B$280),
IF($C319&lt;&gt;"",
IF(AND(ISNUMBER('Stage 2 Randomized Selection'!AD$2), 'Stage 2 Randomized Selection'!AD$2&gt;0),
IF(AND(AN$279=123, Cultivar_1_Cohort_Year_Selection=$AN$278,Cultivar_2_Cohort_Year_Selection=$AN$278,Cultivar_3_Cohort_Year_Selection=$AN$278), MAX(0,'Stage 2 Randomized Selection'!AD$2 - 3),
IF(AND(OR(AN$279=123, AN$279=12), Cultivar_1_Cohort_Year_Selection=$AN$278,Cultivar_2_Cohort_Year_Selection=$AN$278),  MAX(0,'Stage 2 Randomized Selection'!AD$2 - 2),
IF(AND(OR(AN$279=123, AN$279=13), Cultivar_1_Cohort_Year_Selection=$AN$278,Cultivar_3_Cohort_Year_Selection=$AN$278), MAX(0,'Stage 2 Randomized Selection'!AD$2 - 2),
IF(AND(OR(AN$279=123, AN$279=23), Cultivar_2_Cohort_Year_Selection=$AN$278,Cultivar_3_Cohort_Year_Selection=$AN$278), MAX(0,'Stage 2 Randomized Selection'!AD$2 - 2),
IF(AND(OR(AN$279=123, AN$279=12, AN$279=13, AN$279=1), Cultivar_1_Cohort_Year_Selection=$AN$278), MAX(0,'Stage 2 Randomized Selection'!AD$2 - 1),
IF(AND(OR(AN$279=123, AN$279=12, AN$279=23, AN$279=2), Cultivar_2_Cohort_Year_Selection=$AN$278), MAX(0,'Stage 2 Randomized Selection'!AD$2 - 1),
IF(AND(OR(AN$279=123, AN$279=13, AN$279=23, AN$279=3), Cultivar_3_Cohort_Year_Selection=$AN$278), MAX(0,'Stage 2 Randomized Selection'!AD$2 - 1), 'Stage 2 Randomized Selection'!AD$2))))))),""),""),"")</f>
        <v/>
      </c>
      <c r="AO319" s="95" t="str">
        <f>IF(ISNUMBER($B$280),
IF($C319&lt;&gt;"",
IF(AND(ISNUMBER('Stage 2 Randomized Selection'!AE$2), 'Stage 2 Randomized Selection'!AE$2&gt;0),
IF(AND(AO$279=123, Cultivar_1_Cohort_Year_Selection=$AO$278,Cultivar_2_Cohort_Year_Selection=$AO$278,Cultivar_3_Cohort_Year_Selection=$AO$278), MAX(0,'Stage 2 Randomized Selection'!AE$2 - 3),
IF(AND(OR(AO$279=123, AO$279=12), Cultivar_1_Cohort_Year_Selection=$AO$278,Cultivar_2_Cohort_Year_Selection=$AO$278),  MAX(0,'Stage 2 Randomized Selection'!AE$2 - 2),
IF(AND(OR(AO$279=123, AO$279=13), Cultivar_1_Cohort_Year_Selection=$AO$278,Cultivar_3_Cohort_Year_Selection=$AO$278), MAX(0,'Stage 2 Randomized Selection'!AE$2 - 2),
IF(AND(OR(AO$279=123, AO$279=23), Cultivar_2_Cohort_Year_Selection=$AO$278,Cultivar_3_Cohort_Year_Selection=$AO$278), MAX(0,'Stage 2 Randomized Selection'!AE$2 - 2),
IF(AND(OR(AO$279=123, AO$279=12, AO$279=13, AO$279=1), Cultivar_1_Cohort_Year_Selection=$AO$278), MAX(0,'Stage 2 Randomized Selection'!AE$2 - 1),
IF(AND(OR(AO$279=123, AO$279=12, AO$279=23, AO$279=2), Cultivar_2_Cohort_Year_Selection=$AO$278), MAX(0,'Stage 2 Randomized Selection'!AE$2 - 1),
IF(AND(OR(AO$279=123, AO$279=13, AO$279=23, AO$279=3), Cultivar_3_Cohort_Year_Selection=$AO$278), MAX(0,'Stage 2 Randomized Selection'!AE$2 - 1), 'Stage 2 Randomized Selection'!AE$2))))))),""),""),"")</f>
        <v/>
      </c>
      <c r="AP319" s="95" t="str">
        <f>IF(ISNUMBER($B$280),
IF($C319&lt;&gt;"",
IF(AND(ISNUMBER('Stage 2 Randomized Selection'!AF$2), 'Stage 2 Randomized Selection'!AF$2&gt;0),
IF(AND(AP$279=123, Cultivar_1_Cohort_Year_Selection=$AP$278,Cultivar_2_Cohort_Year_Selection=$AP$278,Cultivar_3_Cohort_Year_Selection=$AP$278), MAX(0,'Stage 2 Randomized Selection'!AF$2 - 3),
IF(AND(OR(AP$279=123, AP$279=12), Cultivar_1_Cohort_Year_Selection=$AP$278,Cultivar_2_Cohort_Year_Selection=$AP$278),  MAX(0,'Stage 2 Randomized Selection'!AF$2 - 2),
IF(AND(OR(AP$279=123, AP$279=13), Cultivar_1_Cohort_Year_Selection=$AP$278,Cultivar_3_Cohort_Year_Selection=$AP$278), MAX(0,'Stage 2 Randomized Selection'!AF$2 - 2),
IF(AND(OR(AP$279=123, AP$279=23), Cultivar_2_Cohort_Year_Selection=$AP$278,Cultivar_3_Cohort_Year_Selection=$AP$278), MAX(0,'Stage 2 Randomized Selection'!AF$2 - 2),
IF(AND(OR(AP$279=123, AP$279=12, AP$279=13, AP$279=1), Cultivar_1_Cohort_Year_Selection=$AP$278), MAX(0,'Stage 2 Randomized Selection'!AF$2 - 1),
IF(AND(OR(AP$279=123, AP$279=12, AP$279=23, AP$279=2), Cultivar_2_Cohort_Year_Selection=$AP$278), MAX(0,'Stage 2 Randomized Selection'!AF$2 - 1),
IF(AND(OR(AP$279=123, AP$279=13, AP$279=23, AP$279=3), Cultivar_3_Cohort_Year_Selection=$AP$278), MAX(0,'Stage 2 Randomized Selection'!AF$2 - 1), 'Stage 2 Randomized Selection'!AF$2))))))),""),""),"")</f>
        <v/>
      </c>
      <c r="AQ319" s="95" t="str">
        <f>IF(ISNUMBER($B$280),
IF($C319&lt;&gt;"",
IF(AND(ISNUMBER('Stage 2 Randomized Selection'!AG$2), 'Stage 2 Randomized Selection'!AG$2&gt;0),
IF(AND(AQ$279=123, Cultivar_1_Cohort_Year_Selection=$AQ$278,Cultivar_2_Cohort_Year_Selection=$AQ$278,Cultivar_3_Cohort_Year_Selection=$AQ$278), MAX(0,'Stage 2 Randomized Selection'!AG$2 - 3),
IF(AND(OR(AQ$279=123, AQ$279=12), Cultivar_1_Cohort_Year_Selection=$AQ$278,Cultivar_2_Cohort_Year_Selection=$AQ$278),  MAX(0,'Stage 2 Randomized Selection'!AG$2 - 2),
IF(AND(OR(AQ$279=123, AQ$279=13), Cultivar_1_Cohort_Year_Selection=$AQ$278,Cultivar_3_Cohort_Year_Selection=$AQ$278), MAX(0,'Stage 2 Randomized Selection'!AG$2 - 2),
IF(AND(OR(AQ$279=123, AQ$279=23), Cultivar_2_Cohort_Year_Selection=$AQ$278,Cultivar_3_Cohort_Year_Selection=$AQ$278), MAX(0,'Stage 2 Randomized Selection'!AG$2 - 2),
IF(AND(OR(AQ$279=123, AQ$279=12, AQ$279=13, AQ$279=1), Cultivar_1_Cohort_Year_Selection=$AQ$278), MAX(0,'Stage 2 Randomized Selection'!AG$2 - 1),
IF(AND(OR(AQ$279=123, AQ$279=12, AQ$279=23, AQ$279=2), Cultivar_2_Cohort_Year_Selection=$AQ$278), MAX(0,'Stage 2 Randomized Selection'!AG$2 - 1),
IF(AND(OR(AQ$279=123, AQ$279=13, AQ$279=23, AQ$279=3), Cultivar_3_Cohort_Year_Selection=$AQ$278), MAX(0,'Stage 2 Randomized Selection'!AG$2 - 1), 'Stage 2 Randomized Selection'!AG$2))))))),""),""),"")</f>
        <v/>
      </c>
      <c r="AR319" s="95" t="str">
        <f>IF(ISNUMBER($B$280),
IF($C319&lt;&gt;"",
IF(AND(ISNUMBER('Stage 2 Randomized Selection'!AH$2), 'Stage 2 Randomized Selection'!AH$2&gt;0),
IF(AND(AR$279=123, Cultivar_1_Cohort_Year_Selection=$AR$278,Cultivar_2_Cohort_Year_Selection=$AR$278,Cultivar_3_Cohort_Year_Selection=$AR$278), MAX(0,'Stage 2 Randomized Selection'!AH$2 - 3),
IF(AND(OR(AR$279=123, AR$279=12), Cultivar_1_Cohort_Year_Selection=$AR$278,Cultivar_2_Cohort_Year_Selection=$AR$278),  MAX(0,'Stage 2 Randomized Selection'!AH$2 - 2),
IF(AND(OR(AR$279=123, AR$279=13), Cultivar_1_Cohort_Year_Selection=$AR$278,Cultivar_3_Cohort_Year_Selection=$AR$278), MAX(0,'Stage 2 Randomized Selection'!AH$2 - 2),
IF(AND(OR(AR$279=123, AR$279=23), Cultivar_2_Cohort_Year_Selection=$AR$278,Cultivar_3_Cohort_Year_Selection=$AR$278), MAX(0,'Stage 2 Randomized Selection'!AH$2 - 2),
IF(AND(OR(AR$279=123, AR$279=12, AR$279=13, AR$279=1), Cultivar_1_Cohort_Year_Selection=$AR$278), MAX(0,'Stage 2 Randomized Selection'!AH$2 - 1),
IF(AND(OR(AR$279=123, AR$279=12, AR$279=23, AR$279=2), Cultivar_2_Cohort_Year_Selection=$AR$278), MAX(0,'Stage 2 Randomized Selection'!AH$2 - 1),
IF(AND(OR(AR$279=123, AR$279=13, AR$279=23, AR$279=3), Cultivar_3_Cohort_Year_Selection=$AR$278), MAX(0,'Stage 2 Randomized Selection'!AH$2 - 1), 'Stage 2 Randomized Selection'!AH$2))))))),""),""),"")</f>
        <v/>
      </c>
    </row>
    <row r="320" spans="1:45" ht="6.6" customHeight="1" thickBot="1" x14ac:dyDescent="0.3">
      <c r="A320" s="213"/>
      <c r="B320" s="272"/>
      <c r="C320" s="273"/>
      <c r="D320" s="134"/>
      <c r="E320" s="134"/>
      <c r="F320" s="134"/>
      <c r="G320" s="274"/>
      <c r="H320" s="134"/>
      <c r="I320" s="134"/>
      <c r="J320" s="134"/>
      <c r="K320" s="134"/>
      <c r="L320" s="275"/>
      <c r="M320" s="275"/>
      <c r="N320" s="276"/>
      <c r="O320" s="134" t="str">
        <f>IF(ISNUMBER($B$280),
IF($C280&lt;&gt;"",
IF(AND(ISNUMBER('Stage 2 Randomized Selection'!E$2), 'Stage 2 Randomized Selection'!E$2&gt;0),
IF(AND(O$279=123, Cultivar_1_Cohort_Year_Selection=$O$278,Cultivar_2_Cohort_Year_Selection=$O$278,Cultivar_3_Cohort_Year_Selection=$O$278), ROUND(MAX(0,('Stage 2 Randomized Selection'!E$2-('Stage 2 Randomized Selection'!E$2*$M280)) - 3),0),
IF(AND(OR(O$279=123, O$279=12), Cultivar_1_Cohort_Year_Selection=$O$278,Cultivar_2_Cohort_Year_Selection=$O$278),  ROUND(MAX(0,('Stage 2 Randomized Selection'!E$2-('Stage 2 Randomized Selection'!E$2*$M280)) - 2),0),
IF(AND(OR(O$279=123, O$279=13), Cultivar_1_Cohort_Year_Selection=$O$278,Cultivar_3_Cohort_Year_Selection=$O$278), ROUND(MAX(0,('Stage 2 Randomized Selection'!E$2-('Stage 2 Randomized Selection'!E$2*$M280)) - 2),0),
IF(AND(OR(O$279=123, O$279=23), Cultivar_2_Cohort_Year_Selection=$O$278,Cultivar_3_Cohort_Year_Selection=$O$278), ROUND(MAX(0,('Stage 2 Randomized Selection'!E$2-('Stage 2 Randomized Selection'!E$2*$M280)) - 2),0),
IF(AND(OR(O$279=123, O$279=12, O$279=13, O$279=1), Cultivar_1_Cohort_Year_Selection=$O$278), ROUND(MAX(0,('Stage 2 Randomized Selection'!E$2-('Stage 2 Randomized Selection'!E$2*$M280)) - 1),0),
IF(AND(OR(O$279=123, O$279=12, O$279=23, O$279=2), Cultivar_2_Cohort_Year_Selection=$O$278), ROUND(MAX(0,('Stage 2 Randomized Selection'!E$2-('Stage 2 Randomized Selection'!E$2*$M280)) - 1),0),
IF(AND(OR(O$279=123, O$279=13, O$279=23, O$279=3), Cultivar_3_Cohort_Year_Selection=$O$278), ROUND(MAX(0,('Stage 2 Randomized Selection'!E$2-('Stage 2 Randomized Selection'!E$2*$M280)) - 1),0),
('Stage 2 Randomized Selection'!E$2-('Stage 2 Randomized Selection'!E$2*$M280))))))))),""),""),"")</f>
        <v/>
      </c>
      <c r="P320" s="134" t="str">
        <f>IF(ISNUMBER($B$280),
IF($C280&lt;&gt;"",
IF(AND(ISNUMBER('Stage 2 Randomized Selection'!F$2), 'Stage 2 Randomized Selection'!F$2&gt;0),
IF(AND(P$279=123, Cultivar_1_Cohort_Year_Selection=$O$278,Cultivar_2_Cohort_Year_Selection=$O$278,Cultivar_3_Cohort_Year_Selection=$O$278), ROUND(MAX(0,('Stage 2 Randomized Selection'!F$2-('Stage 2 Randomized Selection'!F$2*$M280)) - 3),0),
IF(AND(OR(P$279=123, P$279=12), Cultivar_1_Cohort_Year_Selection=$O$278,Cultivar_2_Cohort_Year_Selection=$O$278),  ROUND(MAX(0,('Stage 2 Randomized Selection'!F$2-('Stage 2 Randomized Selection'!F$2*$M280)) - 2),0),
IF(AND(OR(P$279=123, P$279=13), Cultivar_1_Cohort_Year_Selection=$O$278,Cultivar_3_Cohort_Year_Selection=$O$278), ROUND(MAX(0,('Stage 2 Randomized Selection'!F$2-('Stage 2 Randomized Selection'!F$2*$M280)) - 2),0),
IF(AND(OR(P$279=123, P$279=23), Cultivar_2_Cohort_Year_Selection=$O$278,Cultivar_3_Cohort_Year_Selection=$O$278), ROUND(MAX(0,('Stage 2 Randomized Selection'!F$2-('Stage 2 Randomized Selection'!F$2*$M280)) - 2),0),
IF(AND(OR(P$279=123, P$279=12, P$279=13, P$279=1), Cultivar_1_Cohort_Year_Selection=$O$278), ROUND(MAX(0,('Stage 2 Randomized Selection'!F$2-('Stage 2 Randomized Selection'!F$2*$M280)) - 1),0),
IF(AND(OR(P$279=123, P$279=12, P$279=23, P$279=2), Cultivar_2_Cohort_Year_Selection=$O$278), ROUND(MAX(0,('Stage 2 Randomized Selection'!F$2-('Stage 2 Randomized Selection'!F$2*$M280)) - 1),0),
IF(AND(OR(P$279=123, P$279=13, P$279=23, P$279=3), Cultivar_3_Cohort_Year_Selection=$O$278), ROUND(MAX(0,('Stage 2 Randomized Selection'!F$2-('Stage 2 Randomized Selection'!F$2*$M280)) - 1),0),
('Stage 2 Randomized Selection'!F$2-('Stage 2 Randomized Selection'!F$2*$M280))))))))),""),""),"")</f>
        <v/>
      </c>
      <c r="Q320" s="134" t="str">
        <f>IF(ISNUMBER($B$280),
IF($C280&lt;&gt;"",
IF(AND(ISNUMBER('Stage 2 Randomized Selection'!G$2), 'Stage 2 Randomized Selection'!G$2&gt;0),
IF(AND(Q$279=123, Cultivar_1_Cohort_Year_Selection=$O$278,Cultivar_2_Cohort_Year_Selection=$O$278,Cultivar_3_Cohort_Year_Selection=$O$278), ROUND(MAX(0,('Stage 2 Randomized Selection'!G$2-('Stage 2 Randomized Selection'!G$2*$M280)) - 3),0),
IF(AND(OR(Q$279=123, Q$279=12), Cultivar_1_Cohort_Year_Selection=$O$278,Cultivar_2_Cohort_Year_Selection=$O$278),  ROUND(MAX(0,('Stage 2 Randomized Selection'!G$2-('Stage 2 Randomized Selection'!G$2*$M280)) - 2),0),
IF(AND(OR(Q$279=123, Q$279=13), Cultivar_1_Cohort_Year_Selection=$O$278,Cultivar_3_Cohort_Year_Selection=$O$278), ROUND(MAX(0,('Stage 2 Randomized Selection'!G$2-('Stage 2 Randomized Selection'!G$2*$M280)) - 2),0),
IF(AND(OR(Q$279=123, Q$279=23), Cultivar_2_Cohort_Year_Selection=$O$278,Cultivar_3_Cohort_Year_Selection=$O$278), ROUND(MAX(0,('Stage 2 Randomized Selection'!G$2-('Stage 2 Randomized Selection'!G$2*$M280)) - 2),0),
IF(AND(OR(Q$279=123, Q$279=12, Q$279=13, Q$279=1), Cultivar_1_Cohort_Year_Selection=$O$278), ROUND(MAX(0,('Stage 2 Randomized Selection'!G$2-('Stage 2 Randomized Selection'!G$2*$M280)) - 1),0),
IF(AND(OR(Q$279=123, Q$279=12, Q$279=23, Q$279=2), Cultivar_2_Cohort_Year_Selection=$O$278), ROUND(MAX(0,('Stage 2 Randomized Selection'!G$2-('Stage 2 Randomized Selection'!G$2*$M280)) - 1),0),
IF(AND(OR(Q$279=123, Q$279=13, Q$279=23, Q$279=3), Cultivar_3_Cohort_Year_Selection=$O$278), ROUND(MAX(0,('Stage 2 Randomized Selection'!G$2-('Stage 2 Randomized Selection'!G$2*$M280)) - 1),0),
('Stage 2 Randomized Selection'!G$2-('Stage 2 Randomized Selection'!G$2*$M280))))))))),""),""),"")</f>
        <v/>
      </c>
      <c r="R320" s="134" t="str">
        <f>IF(ISNUMBER($B$280),
IF($C280&lt;&gt;"",
IF(AND(ISNUMBER('Stage 2 Randomized Selection'!H$2), 'Stage 2 Randomized Selection'!H$2&gt;0),
IF(AND(R$279=123, Cultivar_1_Cohort_Year_Selection=$O$278,Cultivar_2_Cohort_Year_Selection=$O$278,Cultivar_3_Cohort_Year_Selection=$O$278), ROUND(MAX(0,('Stage 2 Randomized Selection'!H$2-('Stage 2 Randomized Selection'!H$2*$M280)) - 3),0),
IF(AND(OR(R$279=123, R$279=12), Cultivar_1_Cohort_Year_Selection=$O$278,Cultivar_2_Cohort_Year_Selection=$O$278),  ROUND(MAX(0,('Stage 2 Randomized Selection'!H$2-('Stage 2 Randomized Selection'!H$2*$M280)) - 2),0),
IF(AND(OR(R$279=123, R$279=13), Cultivar_1_Cohort_Year_Selection=$O$278,Cultivar_3_Cohort_Year_Selection=$O$278), ROUND(MAX(0,('Stage 2 Randomized Selection'!H$2-('Stage 2 Randomized Selection'!H$2*$M280)) - 2),0),
IF(AND(OR(R$279=123, R$279=23), Cultivar_2_Cohort_Year_Selection=$O$278,Cultivar_3_Cohort_Year_Selection=$O$278), ROUND(MAX(0,('Stage 2 Randomized Selection'!H$2-('Stage 2 Randomized Selection'!H$2*$M280)) - 2),0),
IF(AND(OR(R$279=123, R$279=12, R$279=13, R$279=1), Cultivar_1_Cohort_Year_Selection=$O$278), ROUND(MAX(0,('Stage 2 Randomized Selection'!H$2-('Stage 2 Randomized Selection'!H$2*$M280)) - 1),0),
IF(AND(OR(R$279=123, R$279=12, R$279=23, R$279=2), Cultivar_2_Cohort_Year_Selection=$O$278), ROUND(MAX(0,('Stage 2 Randomized Selection'!H$2-('Stage 2 Randomized Selection'!H$2*$M280)) - 1),0),
IF(AND(OR(R$279=123, R$279=13, R$279=23, R$279=3), Cultivar_3_Cohort_Year_Selection=$O$278), ROUND(MAX(0,('Stage 2 Randomized Selection'!H$2-('Stage 2 Randomized Selection'!H$2*$M280)) - 1),0),
('Stage 2 Randomized Selection'!H$2-('Stage 2 Randomized Selection'!H$2*$M280))))))))),""),""),"")</f>
        <v/>
      </c>
      <c r="S320" s="134" t="str">
        <f>IF(ISNUMBER($B$280),
IF($C280&lt;&gt;"",
IF(AND(ISNUMBER('Stage 2 Randomized Selection'!I$2), 'Stage 2 Randomized Selection'!I$2&gt;0),
IF(AND(S$279=123, Cultivar_1_Cohort_Year_Selection=$O$278,Cultivar_2_Cohort_Year_Selection=$O$278,Cultivar_3_Cohort_Year_Selection=$O$278), ROUND(MAX(0,('Stage 2 Randomized Selection'!I$2-('Stage 2 Randomized Selection'!I$2*$M280)) - 3),0),
IF(AND(OR(S$279=123, S$279=12), Cultivar_1_Cohort_Year_Selection=$O$278,Cultivar_2_Cohort_Year_Selection=$O$278),  ROUND(MAX(0,('Stage 2 Randomized Selection'!I$2-('Stage 2 Randomized Selection'!I$2*$M280)) - 2),0),
IF(AND(OR(S$279=123, S$279=13), Cultivar_1_Cohort_Year_Selection=$O$278,Cultivar_3_Cohort_Year_Selection=$O$278), ROUND(MAX(0,('Stage 2 Randomized Selection'!I$2-('Stage 2 Randomized Selection'!I$2*$M280)) - 2),0),
IF(AND(OR(S$279=123, S$279=23), Cultivar_2_Cohort_Year_Selection=$O$278,Cultivar_3_Cohort_Year_Selection=$O$278), ROUND(MAX(0,('Stage 2 Randomized Selection'!I$2-('Stage 2 Randomized Selection'!I$2*$M280)) - 2),0),
IF(AND(OR(S$279=123, S$279=12, S$279=13, S$279=1), Cultivar_1_Cohort_Year_Selection=$O$278), ROUND(MAX(0,('Stage 2 Randomized Selection'!I$2-('Stage 2 Randomized Selection'!I$2*$M280)) - 1),0),
IF(AND(OR(S$279=123, S$279=12, S$279=23, S$279=2), Cultivar_2_Cohort_Year_Selection=$O$278), ROUND(MAX(0,('Stage 2 Randomized Selection'!I$2-('Stage 2 Randomized Selection'!I$2*$M280)) - 1),0),
IF(AND(OR(S$279=123, S$279=13, S$279=23, S$279=3), Cultivar_3_Cohort_Year_Selection=$O$278), ROUND(MAX(0,('Stage 2 Randomized Selection'!I$2-('Stage 2 Randomized Selection'!I$2*$M280)) - 1),0),
('Stage 2 Randomized Selection'!I$2-('Stage 2 Randomized Selection'!I$2*$M280))))))))),""),""),"")</f>
        <v/>
      </c>
      <c r="T320" s="134" t="str">
        <f>IF(ISNUMBER($B$280),
IF($C280&lt;&gt;"",
IF(AND(ISNUMBER('Stage 2 Randomized Selection'!J$2), 'Stage 2 Randomized Selection'!J$2&gt;0),
IF(AND(T$279=123, Cultivar_1_Cohort_Year_Selection=$O$278,Cultivar_2_Cohort_Year_Selection=$O$278,Cultivar_3_Cohort_Year_Selection=$O$278), ROUND(MAX(0,('Stage 2 Randomized Selection'!J$2-('Stage 2 Randomized Selection'!J$2*$M280)) - 3),0),
IF(AND(OR(T$279=123, T$279=12), Cultivar_1_Cohort_Year_Selection=$O$278,Cultivar_2_Cohort_Year_Selection=$O$278),  ROUND(MAX(0,('Stage 2 Randomized Selection'!J$2-('Stage 2 Randomized Selection'!J$2*$M280)) - 2),0),
IF(AND(OR(T$279=123, T$279=13), Cultivar_1_Cohort_Year_Selection=$O$278,Cultivar_3_Cohort_Year_Selection=$O$278), ROUND(MAX(0,('Stage 2 Randomized Selection'!J$2-('Stage 2 Randomized Selection'!J$2*$M280)) - 2),0),
IF(AND(OR(T$279=123, T$279=23), Cultivar_2_Cohort_Year_Selection=$O$278,Cultivar_3_Cohort_Year_Selection=$O$278), ROUND(MAX(0,('Stage 2 Randomized Selection'!J$2-('Stage 2 Randomized Selection'!J$2*$M280)) - 2),0),
IF(AND(OR(T$279=123, T$279=12, T$279=13, T$279=1), Cultivar_1_Cohort_Year_Selection=$O$278), ROUND(MAX(0,('Stage 2 Randomized Selection'!J$2-('Stage 2 Randomized Selection'!J$2*$M280)) - 1),0),
IF(AND(OR(T$279=123, T$279=12, T$279=23, T$279=2), Cultivar_2_Cohort_Year_Selection=$O$278), ROUND(MAX(0,('Stage 2 Randomized Selection'!J$2-('Stage 2 Randomized Selection'!J$2*$M280)) - 1),0),
IF(AND(OR(T$279=123, T$279=13, T$279=23, T$279=3), Cultivar_3_Cohort_Year_Selection=$O$278), ROUND(MAX(0,('Stage 2 Randomized Selection'!J$2-('Stage 2 Randomized Selection'!J$2*$M280)) - 1),0),
('Stage 2 Randomized Selection'!J$2-('Stage 2 Randomized Selection'!J$2*$M280))))))))),""),""),"")</f>
        <v/>
      </c>
      <c r="U320" s="134" t="str">
        <f>IF(ISNUMBER($B$280),
IF($C280&lt;&gt;"",
IF(AND(ISNUMBER('Stage 2 Randomized Selection'!K$2), 'Stage 2 Randomized Selection'!K$2&gt;0),
IF(AND(U$279=123, Cultivar_1_Cohort_Year_Selection=$O$278,Cultivar_2_Cohort_Year_Selection=$O$278,Cultivar_3_Cohort_Year_Selection=$O$278), ROUND(MAX(0,('Stage 2 Randomized Selection'!K$2-('Stage 2 Randomized Selection'!K$2*$M280)) - 3),0),
IF(AND(OR(U$279=123, U$279=12), Cultivar_1_Cohort_Year_Selection=$O$278,Cultivar_2_Cohort_Year_Selection=$O$278),  ROUND(MAX(0,('Stage 2 Randomized Selection'!K$2-('Stage 2 Randomized Selection'!K$2*$M280)) - 2),0),
IF(AND(OR(U$279=123, U$279=13), Cultivar_1_Cohort_Year_Selection=$O$278,Cultivar_3_Cohort_Year_Selection=$O$278), ROUND(MAX(0,('Stage 2 Randomized Selection'!K$2-('Stage 2 Randomized Selection'!K$2*$M280)) - 2),0),
IF(AND(OR(U$279=123, U$279=23), Cultivar_2_Cohort_Year_Selection=$O$278,Cultivar_3_Cohort_Year_Selection=$O$278), ROUND(MAX(0,('Stage 2 Randomized Selection'!K$2-('Stage 2 Randomized Selection'!K$2*$M280)) - 2),0),
IF(AND(OR(U$279=123, U$279=12, U$279=13, U$279=1), Cultivar_1_Cohort_Year_Selection=$O$278), ROUND(MAX(0,('Stage 2 Randomized Selection'!K$2-('Stage 2 Randomized Selection'!K$2*$M280)) - 1),0),
IF(AND(OR(U$279=123, U$279=12, U$279=23, U$279=2), Cultivar_2_Cohort_Year_Selection=$O$278), ROUND(MAX(0,('Stage 2 Randomized Selection'!K$2-('Stage 2 Randomized Selection'!K$2*$M280)) - 1),0),
IF(AND(OR(U$279=123, U$279=13, U$279=23, U$279=3), Cultivar_3_Cohort_Year_Selection=$O$278), ROUND(MAX(0,('Stage 2 Randomized Selection'!K$2-('Stage 2 Randomized Selection'!K$2*$M280)) - 1),0),
('Stage 2 Randomized Selection'!K$2-('Stage 2 Randomized Selection'!K$2*$M280))))))))),""),""),"")</f>
        <v/>
      </c>
      <c r="V320" s="134" t="str">
        <f>IF(ISNUMBER($B$280),
IF($C280&lt;&gt;"",
IF(AND(ISNUMBER('Stage 2 Randomized Selection'!L$2), 'Stage 2 Randomized Selection'!L$2&gt;0),
IF(AND(V$279=123, Cultivar_1_Cohort_Year_Selection=$O$278,Cultivar_2_Cohort_Year_Selection=$O$278,Cultivar_3_Cohort_Year_Selection=$O$278), ROUND(MAX(0,('Stage 2 Randomized Selection'!L$2-('Stage 2 Randomized Selection'!L$2*$M280)) - 3),0),
IF(AND(OR(V$279=123, V$279=12), Cultivar_1_Cohort_Year_Selection=$O$278,Cultivar_2_Cohort_Year_Selection=$O$278),  ROUND(MAX(0,('Stage 2 Randomized Selection'!L$2-('Stage 2 Randomized Selection'!L$2*$M280)) - 2),0),
IF(AND(OR(V$279=123, V$279=13), Cultivar_1_Cohort_Year_Selection=$O$278,Cultivar_3_Cohort_Year_Selection=$O$278), ROUND(MAX(0,('Stage 2 Randomized Selection'!L$2-('Stage 2 Randomized Selection'!L$2*$M280)) - 2),0),
IF(AND(OR(V$279=123, V$279=23), Cultivar_2_Cohort_Year_Selection=$O$278,Cultivar_3_Cohort_Year_Selection=$O$278), ROUND(MAX(0,('Stage 2 Randomized Selection'!L$2-('Stage 2 Randomized Selection'!L$2*$M280)) - 2),0),
IF(AND(OR(V$279=123, V$279=12, V$279=13, V$279=1), Cultivar_1_Cohort_Year_Selection=$O$278), ROUND(MAX(0,('Stage 2 Randomized Selection'!L$2-('Stage 2 Randomized Selection'!L$2*$M280)) - 1),0),
IF(AND(OR(V$279=123, V$279=12, V$279=23, V$279=2), Cultivar_2_Cohort_Year_Selection=$O$278), ROUND(MAX(0,('Stage 2 Randomized Selection'!L$2-('Stage 2 Randomized Selection'!L$2*$M280)) - 1),0),
IF(AND(OR(V$279=123, V$279=13, V$279=23, V$279=3), Cultivar_3_Cohort_Year_Selection=$O$278), ROUND(MAX(0,('Stage 2 Randomized Selection'!L$2-('Stage 2 Randomized Selection'!L$2*$M280)) - 1),0),
('Stage 2 Randomized Selection'!L$2-('Stage 2 Randomized Selection'!L$2*$M280))))))))),""),""),"")</f>
        <v/>
      </c>
      <c r="W320" s="134" t="str">
        <f>IF(ISNUMBER($B$280),
IF($C280&lt;&gt;"",
IF(AND(ISNUMBER('Stage 2 Randomized Selection'!M$2), 'Stage 2 Randomized Selection'!M$2&gt;0),
IF(AND(W$279=123, Cultivar_1_Cohort_Year_Selection=$O$278,Cultivar_2_Cohort_Year_Selection=$O$278,Cultivar_3_Cohort_Year_Selection=$O$278), ROUND(MAX(0,('Stage 2 Randomized Selection'!M$2-('Stage 2 Randomized Selection'!M$2*$M280)) - 3),0),
IF(AND(OR(W$279=123, W$279=12), Cultivar_1_Cohort_Year_Selection=$O$278,Cultivar_2_Cohort_Year_Selection=$O$278),  ROUND(MAX(0,('Stage 2 Randomized Selection'!M$2-('Stage 2 Randomized Selection'!M$2*$M280)) - 2),0),
IF(AND(OR(W$279=123, W$279=13), Cultivar_1_Cohort_Year_Selection=$O$278,Cultivar_3_Cohort_Year_Selection=$O$278), ROUND(MAX(0,('Stage 2 Randomized Selection'!M$2-('Stage 2 Randomized Selection'!M$2*$M280)) - 2),0),
IF(AND(OR(W$279=123, W$279=23), Cultivar_2_Cohort_Year_Selection=$O$278,Cultivar_3_Cohort_Year_Selection=$O$278), ROUND(MAX(0,('Stage 2 Randomized Selection'!M$2-('Stage 2 Randomized Selection'!M$2*$M280)) - 2),0),
IF(AND(OR(W$279=123, W$279=12, W$279=13, W$279=1), Cultivar_1_Cohort_Year_Selection=$O$278), ROUND(MAX(0,('Stage 2 Randomized Selection'!M$2-('Stage 2 Randomized Selection'!M$2*$M280)) - 1),0),
IF(AND(OR(W$279=123, W$279=12, W$279=23, W$279=2), Cultivar_2_Cohort_Year_Selection=$O$278), ROUND(MAX(0,('Stage 2 Randomized Selection'!M$2-('Stage 2 Randomized Selection'!M$2*$M280)) - 1),0),
IF(AND(OR(W$279=123, W$279=13, W$279=23, W$279=3), Cultivar_3_Cohort_Year_Selection=$O$278), ROUND(MAX(0,('Stage 2 Randomized Selection'!M$2-('Stage 2 Randomized Selection'!M$2*$M280)) - 1),0),
('Stage 2 Randomized Selection'!M$2-('Stage 2 Randomized Selection'!M$2*$M280))))))))),""),""),"")</f>
        <v/>
      </c>
      <c r="X320" s="134" t="str">
        <f>IF(ISNUMBER($B$280),
IF($C280&lt;&gt;"",
IF(AND(ISNUMBER('Stage 2 Randomized Selection'!N$2), 'Stage 2 Randomized Selection'!N$2&gt;0),
IF(AND(X$279=123, Cultivar_1_Cohort_Year_Selection=$O$278,Cultivar_2_Cohort_Year_Selection=$O$278,Cultivar_3_Cohort_Year_Selection=$O$278), ROUND(MAX(0,('Stage 2 Randomized Selection'!N$2-('Stage 2 Randomized Selection'!N$2*$M280)) - 3),0),
IF(AND(OR(X$279=123, X$279=12), Cultivar_1_Cohort_Year_Selection=$O$278,Cultivar_2_Cohort_Year_Selection=$O$278),  ROUND(MAX(0,('Stage 2 Randomized Selection'!N$2-('Stage 2 Randomized Selection'!N$2*$M280)) - 2),0),
IF(AND(OR(X$279=123, X$279=13), Cultivar_1_Cohort_Year_Selection=$O$278,Cultivar_3_Cohort_Year_Selection=$O$278), ROUND(MAX(0,('Stage 2 Randomized Selection'!N$2-('Stage 2 Randomized Selection'!N$2*$M280)) - 2),0),
IF(AND(OR(X$279=123, X$279=23), Cultivar_2_Cohort_Year_Selection=$O$278,Cultivar_3_Cohort_Year_Selection=$O$278), ROUND(MAX(0,('Stage 2 Randomized Selection'!N$2-('Stage 2 Randomized Selection'!N$2*$M280)) - 2),0),
IF(AND(OR(X$279=123, X$279=12, X$279=13, X$279=1), Cultivar_1_Cohort_Year_Selection=$O$278), ROUND(MAX(0,('Stage 2 Randomized Selection'!N$2-('Stage 2 Randomized Selection'!N$2*$M280)) - 1),0),
IF(AND(OR(X$279=123, X$279=12, X$279=23, X$279=2), Cultivar_2_Cohort_Year_Selection=$O$278), ROUND(MAX(0,('Stage 2 Randomized Selection'!N$2-('Stage 2 Randomized Selection'!N$2*$M280)) - 1),0),
IF(AND(OR(X$279=123, X$279=13, X$279=23, X$279=3), Cultivar_3_Cohort_Year_Selection=$O$278), ROUND(MAX(0,('Stage 2 Randomized Selection'!N$2-('Stage 2 Randomized Selection'!N$2*$M280)) - 1),0),
('Stage 2 Randomized Selection'!N$2-('Stage 2 Randomized Selection'!N$2*$M280))))))))),""),""),"")</f>
        <v/>
      </c>
      <c r="Y320" s="134" t="str">
        <f>IF(ISNUMBER($B$280),
IF($C280&lt;&gt;"",
IF(AND(ISNUMBER('Stage 2 Randomized Selection'!O$2), 'Stage 2 Randomized Selection'!O$2&gt;0),
IF(AND(Y$279=123, Cultivar_1_Cohort_Year_Selection=$O$278,Cultivar_2_Cohort_Year_Selection=$O$278,Cultivar_3_Cohort_Year_Selection=$O$278), ROUND(MAX(0,('Stage 2 Randomized Selection'!O$2-('Stage 2 Randomized Selection'!O$2*$M280)) - 3),0),
IF(AND(OR(Y$279=123, Y$279=12), Cultivar_1_Cohort_Year_Selection=$O$278,Cultivar_2_Cohort_Year_Selection=$O$278),  ROUND(MAX(0,('Stage 2 Randomized Selection'!O$2-('Stage 2 Randomized Selection'!O$2*$M280)) - 2),0),
IF(AND(OR(Y$279=123, Y$279=13), Cultivar_1_Cohort_Year_Selection=$O$278,Cultivar_3_Cohort_Year_Selection=$O$278), ROUND(MAX(0,('Stage 2 Randomized Selection'!O$2-('Stage 2 Randomized Selection'!O$2*$M280)) - 2),0),
IF(AND(OR(Y$279=123, Y$279=23), Cultivar_2_Cohort_Year_Selection=$O$278,Cultivar_3_Cohort_Year_Selection=$O$278), ROUND(MAX(0,('Stage 2 Randomized Selection'!O$2-('Stage 2 Randomized Selection'!O$2*$M280)) - 2),0),
IF(AND(OR(Y$279=123, Y$279=12, Y$279=13, Y$279=1), Cultivar_1_Cohort_Year_Selection=$O$278), ROUND(MAX(0,('Stage 2 Randomized Selection'!O$2-('Stage 2 Randomized Selection'!O$2*$M280)) - 1),0),
IF(AND(OR(Y$279=123, Y$279=12, Y$279=23, Y$279=2), Cultivar_2_Cohort_Year_Selection=$O$278), ROUND(MAX(0,('Stage 2 Randomized Selection'!O$2-('Stage 2 Randomized Selection'!O$2*$M280)) - 1),0),
IF(AND(OR(Y$279=123, Y$279=13, Y$279=23, Y$279=3), Cultivar_3_Cohort_Year_Selection=$O$278), ROUND(MAX(0,('Stage 2 Randomized Selection'!O$2-('Stage 2 Randomized Selection'!O$2*$M280)) - 1),0),
('Stage 2 Randomized Selection'!O$2-('Stage 2 Randomized Selection'!O$2*$M280))))))))),""),""),"")</f>
        <v/>
      </c>
      <c r="Z320" s="134" t="str">
        <f>IF(ISNUMBER($B$280),
IF($C280&lt;&gt;"",
IF(AND(ISNUMBER('Stage 2 Randomized Selection'!P$2), 'Stage 2 Randomized Selection'!P$2&gt;0),
IF(AND(Z$279=123, Cultivar_1_Cohort_Year_Selection=$O$278,Cultivar_2_Cohort_Year_Selection=$O$278,Cultivar_3_Cohort_Year_Selection=$O$278), ROUND(MAX(0,('Stage 2 Randomized Selection'!P$2-('Stage 2 Randomized Selection'!P$2*$M280)) - 3),0),
IF(AND(OR(Z$279=123, Z$279=12), Cultivar_1_Cohort_Year_Selection=$O$278,Cultivar_2_Cohort_Year_Selection=$O$278),  ROUND(MAX(0,('Stage 2 Randomized Selection'!P$2-('Stage 2 Randomized Selection'!P$2*$M280)) - 2),0),
IF(AND(OR(Z$279=123, Z$279=13), Cultivar_1_Cohort_Year_Selection=$O$278,Cultivar_3_Cohort_Year_Selection=$O$278), ROUND(MAX(0,('Stage 2 Randomized Selection'!P$2-('Stage 2 Randomized Selection'!P$2*$M280)) - 2),0),
IF(AND(OR(Z$279=123, Z$279=23), Cultivar_2_Cohort_Year_Selection=$O$278,Cultivar_3_Cohort_Year_Selection=$O$278), ROUND(MAX(0,('Stage 2 Randomized Selection'!P$2-('Stage 2 Randomized Selection'!P$2*$M280)) - 2),0),
IF(AND(OR(Z$279=123, Z$279=12, Z$279=13, Z$279=1), Cultivar_1_Cohort_Year_Selection=$O$278), ROUND(MAX(0,('Stage 2 Randomized Selection'!P$2-('Stage 2 Randomized Selection'!P$2*$M280)) - 1),0),
IF(AND(OR(Z$279=123, Z$279=12, Z$279=23, Z$279=2), Cultivar_2_Cohort_Year_Selection=$O$278), ROUND(MAX(0,('Stage 2 Randomized Selection'!P$2-('Stage 2 Randomized Selection'!P$2*$M280)) - 1),0),
IF(AND(OR(Z$279=123, Z$279=13, Z$279=23, Z$279=3), Cultivar_3_Cohort_Year_Selection=$O$278), ROUND(MAX(0,('Stage 2 Randomized Selection'!P$2-('Stage 2 Randomized Selection'!P$2*$M280)) - 1),0),
('Stage 2 Randomized Selection'!P$2-('Stage 2 Randomized Selection'!P$2*$M280))))))))),""),""),"")</f>
        <v/>
      </c>
      <c r="AA320" s="134" t="str">
        <f>IF(ISNUMBER($B$280),
IF($C280&lt;&gt;"",
IF(AND(ISNUMBER('Stage 2 Randomized Selection'!Q$2), 'Stage 2 Randomized Selection'!Q$2&gt;0),
IF(AND(AA$279=123, Cultivar_1_Cohort_Year_Selection=$O$278,Cultivar_2_Cohort_Year_Selection=$O$278,Cultivar_3_Cohort_Year_Selection=$O$278), ROUND(MAX(0,('Stage 2 Randomized Selection'!Q$2-('Stage 2 Randomized Selection'!Q$2*$M280)) - 3),0),
IF(AND(OR(AA$279=123, AA$279=12), Cultivar_1_Cohort_Year_Selection=$O$278,Cultivar_2_Cohort_Year_Selection=$O$278),  ROUND(MAX(0,('Stage 2 Randomized Selection'!Q$2-('Stage 2 Randomized Selection'!Q$2*$M280)) - 2),0),
IF(AND(OR(AA$279=123, AA$279=13), Cultivar_1_Cohort_Year_Selection=$O$278,Cultivar_3_Cohort_Year_Selection=$O$278), ROUND(MAX(0,('Stage 2 Randomized Selection'!Q$2-('Stage 2 Randomized Selection'!Q$2*$M280)) - 2),0),
IF(AND(OR(AA$279=123, AA$279=23), Cultivar_2_Cohort_Year_Selection=$O$278,Cultivar_3_Cohort_Year_Selection=$O$278), ROUND(MAX(0,('Stage 2 Randomized Selection'!Q$2-('Stage 2 Randomized Selection'!Q$2*$M280)) - 2),0),
IF(AND(OR(AA$279=123, AA$279=12, AA$279=13, AA$279=1), Cultivar_1_Cohort_Year_Selection=$O$278), ROUND(MAX(0,('Stage 2 Randomized Selection'!Q$2-('Stage 2 Randomized Selection'!Q$2*$M280)) - 1),0),
IF(AND(OR(AA$279=123, AA$279=12, AA$279=23, AA$279=2), Cultivar_2_Cohort_Year_Selection=$O$278), ROUND(MAX(0,('Stage 2 Randomized Selection'!Q$2-('Stage 2 Randomized Selection'!Q$2*$M280)) - 1),0),
IF(AND(OR(AA$279=123, AA$279=13, AA$279=23, AA$279=3), Cultivar_3_Cohort_Year_Selection=$O$278), ROUND(MAX(0,('Stage 2 Randomized Selection'!Q$2-('Stage 2 Randomized Selection'!Q$2*$M280)) - 1),0),
('Stage 2 Randomized Selection'!Q$2-('Stage 2 Randomized Selection'!Q$2*$M280))))))))),""),""),"")</f>
        <v/>
      </c>
      <c r="AB320" s="134" t="str">
        <f>IF(ISNUMBER($B$280),
IF($C280&lt;&gt;"",
IF(AND(ISNUMBER('Stage 2 Randomized Selection'!R$2), 'Stage 2 Randomized Selection'!R$2&gt;0),
IF(AND(AB$279=123, Cultivar_1_Cohort_Year_Selection=$O$278,Cultivar_2_Cohort_Year_Selection=$O$278,Cultivar_3_Cohort_Year_Selection=$O$278), ROUND(MAX(0,('Stage 2 Randomized Selection'!R$2-('Stage 2 Randomized Selection'!R$2*$M280)) - 3),0),
IF(AND(OR(AB$279=123, AB$279=12), Cultivar_1_Cohort_Year_Selection=$O$278,Cultivar_2_Cohort_Year_Selection=$O$278),  ROUND(MAX(0,('Stage 2 Randomized Selection'!R$2-('Stage 2 Randomized Selection'!R$2*$M280)) - 2),0),
IF(AND(OR(AB$279=123, AB$279=13), Cultivar_1_Cohort_Year_Selection=$O$278,Cultivar_3_Cohort_Year_Selection=$O$278), ROUND(MAX(0,('Stage 2 Randomized Selection'!R$2-('Stage 2 Randomized Selection'!R$2*$M280)) - 2),0),
IF(AND(OR(AB$279=123, AB$279=23), Cultivar_2_Cohort_Year_Selection=$O$278,Cultivar_3_Cohort_Year_Selection=$O$278), ROUND(MAX(0,('Stage 2 Randomized Selection'!R$2-('Stage 2 Randomized Selection'!R$2*$M280)) - 2),0),
IF(AND(OR(AB$279=123, AB$279=12, AB$279=13, AB$279=1), Cultivar_1_Cohort_Year_Selection=$O$278), ROUND(MAX(0,('Stage 2 Randomized Selection'!R$2-('Stage 2 Randomized Selection'!R$2*$M280)) - 1),0),
IF(AND(OR(AB$279=123, AB$279=12, AB$279=23, AB$279=2), Cultivar_2_Cohort_Year_Selection=$O$278), ROUND(MAX(0,('Stage 2 Randomized Selection'!R$2-('Stage 2 Randomized Selection'!R$2*$M280)) - 1),0),
IF(AND(OR(AB$279=123, AB$279=13, AB$279=23, AB$279=3), Cultivar_3_Cohort_Year_Selection=$O$278), ROUND(MAX(0,('Stage 2 Randomized Selection'!R$2-('Stage 2 Randomized Selection'!R$2*$M280)) - 1),0),
('Stage 2 Randomized Selection'!R$2-('Stage 2 Randomized Selection'!R$2*$M280))))))))),""),""),"")</f>
        <v/>
      </c>
      <c r="AC320" s="134" t="str">
        <f>IF(ISNUMBER($B$280),
IF($C280&lt;&gt;"",
IF(AND(ISNUMBER('Stage 2 Randomized Selection'!S$2), 'Stage 2 Randomized Selection'!S$2&gt;0),
IF(AND(AC$279=123, Cultivar_1_Cohort_Year_Selection=$O$278,Cultivar_2_Cohort_Year_Selection=$O$278,Cultivar_3_Cohort_Year_Selection=$O$278), ROUND(MAX(0,('Stage 2 Randomized Selection'!S$2-('Stage 2 Randomized Selection'!S$2*$M280)) - 3),0),
IF(AND(OR(AC$279=123, AC$279=12), Cultivar_1_Cohort_Year_Selection=$O$278,Cultivar_2_Cohort_Year_Selection=$O$278),  ROUND(MAX(0,('Stage 2 Randomized Selection'!S$2-('Stage 2 Randomized Selection'!S$2*$M280)) - 2),0),
IF(AND(OR(AC$279=123, AC$279=13), Cultivar_1_Cohort_Year_Selection=$O$278,Cultivar_3_Cohort_Year_Selection=$O$278), ROUND(MAX(0,('Stage 2 Randomized Selection'!S$2-('Stage 2 Randomized Selection'!S$2*$M280)) - 2),0),
IF(AND(OR(AC$279=123, AC$279=23), Cultivar_2_Cohort_Year_Selection=$O$278,Cultivar_3_Cohort_Year_Selection=$O$278), ROUND(MAX(0,('Stage 2 Randomized Selection'!S$2-('Stage 2 Randomized Selection'!S$2*$M280)) - 2),0),
IF(AND(OR(AC$279=123, AC$279=12, AC$279=13, AC$279=1), Cultivar_1_Cohort_Year_Selection=$O$278), ROUND(MAX(0,('Stage 2 Randomized Selection'!S$2-('Stage 2 Randomized Selection'!S$2*$M280)) - 1),0),
IF(AND(OR(AC$279=123, AC$279=12, AC$279=23, AC$279=2), Cultivar_2_Cohort_Year_Selection=$O$278), ROUND(MAX(0,('Stage 2 Randomized Selection'!S$2-('Stage 2 Randomized Selection'!S$2*$M280)) - 1),0),
IF(AND(OR(AC$279=123, AC$279=13, AC$279=23, AC$279=3), Cultivar_3_Cohort_Year_Selection=$O$278), ROUND(MAX(0,('Stage 2 Randomized Selection'!S$2-('Stage 2 Randomized Selection'!S$2*$M280)) - 1),0),
('Stage 2 Randomized Selection'!S$2-('Stage 2 Randomized Selection'!S$2*$M280))))))))),""),""),"")</f>
        <v/>
      </c>
      <c r="AD320" s="134" t="str">
        <f>IF(ISNUMBER($B$280),
IF($C280&lt;&gt;"",
IF(AND(ISNUMBER('Stage 2 Randomized Selection'!T$2), 'Stage 2 Randomized Selection'!T$2&gt;0),
IF(AND(AD$279=123, Cultivar_1_Cohort_Year_Selection=$O$278,Cultivar_2_Cohort_Year_Selection=$O$278,Cultivar_3_Cohort_Year_Selection=$O$278), ROUND(MAX(0,('Stage 2 Randomized Selection'!T$2-('Stage 2 Randomized Selection'!T$2*$M280)) - 3),0),
IF(AND(OR(AD$279=123, AD$279=12), Cultivar_1_Cohort_Year_Selection=$O$278,Cultivar_2_Cohort_Year_Selection=$O$278),  ROUND(MAX(0,('Stage 2 Randomized Selection'!T$2-('Stage 2 Randomized Selection'!T$2*$M280)) - 2),0),
IF(AND(OR(AD$279=123, AD$279=13), Cultivar_1_Cohort_Year_Selection=$O$278,Cultivar_3_Cohort_Year_Selection=$O$278), ROUND(MAX(0,('Stage 2 Randomized Selection'!T$2-('Stage 2 Randomized Selection'!T$2*$M280)) - 2),0),
IF(AND(OR(AD$279=123, AD$279=23), Cultivar_2_Cohort_Year_Selection=$O$278,Cultivar_3_Cohort_Year_Selection=$O$278), ROUND(MAX(0,('Stage 2 Randomized Selection'!T$2-('Stage 2 Randomized Selection'!T$2*$M280)) - 2),0),
IF(AND(OR(AD$279=123, AD$279=12, AD$279=13, AD$279=1), Cultivar_1_Cohort_Year_Selection=$O$278), ROUND(MAX(0,('Stage 2 Randomized Selection'!T$2-('Stage 2 Randomized Selection'!T$2*$M280)) - 1),0),
IF(AND(OR(AD$279=123, AD$279=12, AD$279=23, AD$279=2), Cultivar_2_Cohort_Year_Selection=$O$278), ROUND(MAX(0,('Stage 2 Randomized Selection'!T$2-('Stage 2 Randomized Selection'!T$2*$M280)) - 1),0),
IF(AND(OR(AD$279=123, AD$279=13, AD$279=23, AD$279=3), Cultivar_3_Cohort_Year_Selection=$O$278), ROUND(MAX(0,('Stage 2 Randomized Selection'!T$2-('Stage 2 Randomized Selection'!T$2*$M280)) - 1),0),
('Stage 2 Randomized Selection'!T$2-('Stage 2 Randomized Selection'!T$2*$M280))))))))),""),""),"")</f>
        <v/>
      </c>
      <c r="AE320" s="134" t="str">
        <f>IF(ISNUMBER($B$280),
IF($C280&lt;&gt;"",
IF(AND(ISNUMBER('Stage 2 Randomized Selection'!U$2), 'Stage 2 Randomized Selection'!U$2&gt;0),
IF(AND(AE$279=123, Cultivar_1_Cohort_Year_Selection=$O$278,Cultivar_2_Cohort_Year_Selection=$O$278,Cultivar_3_Cohort_Year_Selection=$O$278), ROUND(MAX(0,('Stage 2 Randomized Selection'!U$2-('Stage 2 Randomized Selection'!U$2*$M280)) - 3),0),
IF(AND(OR(AE$279=123, AE$279=12), Cultivar_1_Cohort_Year_Selection=$O$278,Cultivar_2_Cohort_Year_Selection=$O$278),  ROUND(MAX(0,('Stage 2 Randomized Selection'!U$2-('Stage 2 Randomized Selection'!U$2*$M280)) - 2),0),
IF(AND(OR(AE$279=123, AE$279=13), Cultivar_1_Cohort_Year_Selection=$O$278,Cultivar_3_Cohort_Year_Selection=$O$278), ROUND(MAX(0,('Stage 2 Randomized Selection'!U$2-('Stage 2 Randomized Selection'!U$2*$M280)) - 2),0),
IF(AND(OR(AE$279=123, AE$279=23), Cultivar_2_Cohort_Year_Selection=$O$278,Cultivar_3_Cohort_Year_Selection=$O$278), ROUND(MAX(0,('Stage 2 Randomized Selection'!U$2-('Stage 2 Randomized Selection'!U$2*$M280)) - 2),0),
IF(AND(OR(AE$279=123, AE$279=12, AE$279=13, AE$279=1), Cultivar_1_Cohort_Year_Selection=$O$278), ROUND(MAX(0,('Stage 2 Randomized Selection'!U$2-('Stage 2 Randomized Selection'!U$2*$M280)) - 1),0),
IF(AND(OR(AE$279=123, AE$279=12, AE$279=23, AE$279=2), Cultivar_2_Cohort_Year_Selection=$O$278), ROUND(MAX(0,('Stage 2 Randomized Selection'!U$2-('Stage 2 Randomized Selection'!U$2*$M280)) - 1),0),
IF(AND(OR(AE$279=123, AE$279=13, AE$279=23, AE$279=3), Cultivar_3_Cohort_Year_Selection=$O$278), ROUND(MAX(0,('Stage 2 Randomized Selection'!U$2-('Stage 2 Randomized Selection'!U$2*$M280)) - 1),0),
('Stage 2 Randomized Selection'!U$2-('Stage 2 Randomized Selection'!U$2*$M280))))))))),""),""),"")</f>
        <v/>
      </c>
      <c r="AF320" s="134" t="str">
        <f>IF(ISNUMBER($B$280),
IF($C280&lt;&gt;"",
IF(AND(ISNUMBER('Stage 2 Randomized Selection'!V$2), 'Stage 2 Randomized Selection'!V$2&gt;0),
IF(AND(AF$279=123, Cultivar_1_Cohort_Year_Selection=$O$278,Cultivar_2_Cohort_Year_Selection=$O$278,Cultivar_3_Cohort_Year_Selection=$O$278), ROUND(MAX(0,('Stage 2 Randomized Selection'!V$2-('Stage 2 Randomized Selection'!V$2*$M280)) - 3),0),
IF(AND(OR(AF$279=123, AF$279=12), Cultivar_1_Cohort_Year_Selection=$O$278,Cultivar_2_Cohort_Year_Selection=$O$278),  ROUND(MAX(0,('Stage 2 Randomized Selection'!V$2-('Stage 2 Randomized Selection'!V$2*$M280)) - 2),0),
IF(AND(OR(AF$279=123, AF$279=13), Cultivar_1_Cohort_Year_Selection=$O$278,Cultivar_3_Cohort_Year_Selection=$O$278), ROUND(MAX(0,('Stage 2 Randomized Selection'!V$2-('Stage 2 Randomized Selection'!V$2*$M280)) - 2),0),
IF(AND(OR(AF$279=123, AF$279=23), Cultivar_2_Cohort_Year_Selection=$O$278,Cultivar_3_Cohort_Year_Selection=$O$278), ROUND(MAX(0,('Stage 2 Randomized Selection'!V$2-('Stage 2 Randomized Selection'!V$2*$M280)) - 2),0),
IF(AND(OR(AF$279=123, AF$279=12, AF$279=13, AF$279=1), Cultivar_1_Cohort_Year_Selection=$O$278), ROUND(MAX(0,('Stage 2 Randomized Selection'!V$2-('Stage 2 Randomized Selection'!V$2*$M280)) - 1),0),
IF(AND(OR(AF$279=123, AF$279=12, AF$279=23, AF$279=2), Cultivar_2_Cohort_Year_Selection=$O$278), ROUND(MAX(0,('Stage 2 Randomized Selection'!V$2-('Stage 2 Randomized Selection'!V$2*$M280)) - 1),0),
IF(AND(OR(AF$279=123, AF$279=13, AF$279=23, AF$279=3), Cultivar_3_Cohort_Year_Selection=$O$278), ROUND(MAX(0,('Stage 2 Randomized Selection'!V$2-('Stage 2 Randomized Selection'!V$2*$M280)) - 1),0),
('Stage 2 Randomized Selection'!V$2-('Stage 2 Randomized Selection'!V$2*$M280))))))))),""),""),"")</f>
        <v/>
      </c>
      <c r="AG320" s="134" t="str">
        <f>IF(ISNUMBER($B$280),
IF($C280&lt;&gt;"",
IF(AND(ISNUMBER('Stage 2 Randomized Selection'!W$2), 'Stage 2 Randomized Selection'!W$2&gt;0),
IF(AND(AG$279=123, Cultivar_1_Cohort_Year_Selection=$O$278,Cultivar_2_Cohort_Year_Selection=$O$278,Cultivar_3_Cohort_Year_Selection=$O$278), ROUND(MAX(0,('Stage 2 Randomized Selection'!W$2-('Stage 2 Randomized Selection'!W$2*$M280)) - 3),0),
IF(AND(OR(AG$279=123, AG$279=12), Cultivar_1_Cohort_Year_Selection=$O$278,Cultivar_2_Cohort_Year_Selection=$O$278),  ROUND(MAX(0,('Stage 2 Randomized Selection'!W$2-('Stage 2 Randomized Selection'!W$2*$M280)) - 2),0),
IF(AND(OR(AG$279=123, AG$279=13), Cultivar_1_Cohort_Year_Selection=$O$278,Cultivar_3_Cohort_Year_Selection=$O$278), ROUND(MAX(0,('Stage 2 Randomized Selection'!W$2-('Stage 2 Randomized Selection'!W$2*$M280)) - 2),0),
IF(AND(OR(AG$279=123, AG$279=23), Cultivar_2_Cohort_Year_Selection=$O$278,Cultivar_3_Cohort_Year_Selection=$O$278), ROUND(MAX(0,('Stage 2 Randomized Selection'!W$2-('Stage 2 Randomized Selection'!W$2*$M280)) - 2),0),
IF(AND(OR(AG$279=123, AG$279=12, AG$279=13, AG$279=1), Cultivar_1_Cohort_Year_Selection=$O$278), ROUND(MAX(0,('Stage 2 Randomized Selection'!W$2-('Stage 2 Randomized Selection'!W$2*$M280)) - 1),0),
IF(AND(OR(AG$279=123, AG$279=12, AG$279=23, AG$279=2), Cultivar_2_Cohort_Year_Selection=$O$278), ROUND(MAX(0,('Stage 2 Randomized Selection'!W$2-('Stage 2 Randomized Selection'!W$2*$M280)) - 1),0),
IF(AND(OR(AG$279=123, AG$279=13, AG$279=23, AG$279=3), Cultivar_3_Cohort_Year_Selection=$O$278), ROUND(MAX(0,('Stage 2 Randomized Selection'!W$2-('Stage 2 Randomized Selection'!W$2*$M280)) - 1),0),
('Stage 2 Randomized Selection'!W$2-('Stage 2 Randomized Selection'!W$2*$M280))))))))),""),""),"")</f>
        <v/>
      </c>
      <c r="AH320" s="134" t="str">
        <f>IF(ISNUMBER($B$280),
IF($C280&lt;&gt;"",
IF(AND(ISNUMBER('Stage 2 Randomized Selection'!X$2), 'Stage 2 Randomized Selection'!X$2&gt;0),
IF(AND(AH$279=123, Cultivar_1_Cohort_Year_Selection=$O$278,Cultivar_2_Cohort_Year_Selection=$O$278,Cultivar_3_Cohort_Year_Selection=$O$278), ROUND(MAX(0,('Stage 2 Randomized Selection'!X$2-('Stage 2 Randomized Selection'!X$2*$M280)) - 3),0),
IF(AND(OR(AH$279=123, AH$279=12), Cultivar_1_Cohort_Year_Selection=$O$278,Cultivar_2_Cohort_Year_Selection=$O$278),  ROUND(MAX(0,('Stage 2 Randomized Selection'!X$2-('Stage 2 Randomized Selection'!X$2*$M280)) - 2),0),
IF(AND(OR(AH$279=123, AH$279=13), Cultivar_1_Cohort_Year_Selection=$O$278,Cultivar_3_Cohort_Year_Selection=$O$278), ROUND(MAX(0,('Stage 2 Randomized Selection'!X$2-('Stage 2 Randomized Selection'!X$2*$M280)) - 2),0),
IF(AND(OR(AH$279=123, AH$279=23), Cultivar_2_Cohort_Year_Selection=$O$278,Cultivar_3_Cohort_Year_Selection=$O$278), ROUND(MAX(0,('Stage 2 Randomized Selection'!X$2-('Stage 2 Randomized Selection'!X$2*$M280)) - 2),0),
IF(AND(OR(AH$279=123, AH$279=12, AH$279=13, AH$279=1), Cultivar_1_Cohort_Year_Selection=$O$278), ROUND(MAX(0,('Stage 2 Randomized Selection'!X$2-('Stage 2 Randomized Selection'!X$2*$M280)) - 1),0),
IF(AND(OR(AH$279=123, AH$279=12, AH$279=23, AH$279=2), Cultivar_2_Cohort_Year_Selection=$O$278), ROUND(MAX(0,('Stage 2 Randomized Selection'!X$2-('Stage 2 Randomized Selection'!X$2*$M280)) - 1),0),
IF(AND(OR(AH$279=123, AH$279=13, AH$279=23, AH$279=3), Cultivar_3_Cohort_Year_Selection=$O$278), ROUND(MAX(0,('Stage 2 Randomized Selection'!X$2-('Stage 2 Randomized Selection'!X$2*$M280)) - 1),0),
('Stage 2 Randomized Selection'!X$2-('Stage 2 Randomized Selection'!X$2*$M280))))))))),""),""),"")</f>
        <v/>
      </c>
      <c r="AI320" s="134" t="str">
        <f>IF(ISNUMBER($B$280),
IF($C280&lt;&gt;"",
IF(AND(ISNUMBER('Stage 2 Randomized Selection'!Y$2), 'Stage 2 Randomized Selection'!Y$2&gt;0),
IF(AND(AI$279=123, Cultivar_1_Cohort_Year_Selection=$O$278,Cultivar_2_Cohort_Year_Selection=$O$278,Cultivar_3_Cohort_Year_Selection=$O$278), ROUND(MAX(0,('Stage 2 Randomized Selection'!Y$2-('Stage 2 Randomized Selection'!Y$2*$M280)) - 3),0),
IF(AND(OR(AI$279=123, AI$279=12), Cultivar_1_Cohort_Year_Selection=$O$278,Cultivar_2_Cohort_Year_Selection=$O$278),  ROUND(MAX(0,('Stage 2 Randomized Selection'!Y$2-('Stage 2 Randomized Selection'!Y$2*$M280)) - 2),0),
IF(AND(OR(AI$279=123, AI$279=13), Cultivar_1_Cohort_Year_Selection=$O$278,Cultivar_3_Cohort_Year_Selection=$O$278), ROUND(MAX(0,('Stage 2 Randomized Selection'!Y$2-('Stage 2 Randomized Selection'!Y$2*$M280)) - 2),0),
IF(AND(OR(AI$279=123, AI$279=23), Cultivar_2_Cohort_Year_Selection=$O$278,Cultivar_3_Cohort_Year_Selection=$O$278), ROUND(MAX(0,('Stage 2 Randomized Selection'!Y$2-('Stage 2 Randomized Selection'!Y$2*$M280)) - 2),0),
IF(AND(OR(AI$279=123, AI$279=12, AI$279=13, AI$279=1), Cultivar_1_Cohort_Year_Selection=$O$278), ROUND(MAX(0,('Stage 2 Randomized Selection'!Y$2-('Stage 2 Randomized Selection'!Y$2*$M280)) - 1),0),
IF(AND(OR(AI$279=123, AI$279=12, AI$279=23, AI$279=2), Cultivar_2_Cohort_Year_Selection=$O$278), ROUND(MAX(0,('Stage 2 Randomized Selection'!Y$2-('Stage 2 Randomized Selection'!Y$2*$M280)) - 1),0),
IF(AND(OR(AI$279=123, AI$279=13, AI$279=23, AI$279=3), Cultivar_3_Cohort_Year_Selection=$O$278), ROUND(MAX(0,('Stage 2 Randomized Selection'!Y$2-('Stage 2 Randomized Selection'!Y$2*$M280)) - 1),0),
('Stage 2 Randomized Selection'!Y$2-('Stage 2 Randomized Selection'!Y$2*$M280))))))))),""),""),"")</f>
        <v/>
      </c>
      <c r="AJ320" s="134" t="str">
        <f>IF(ISNUMBER($B$280),
IF($C280&lt;&gt;"",
IF(AND(ISNUMBER('Stage 2 Randomized Selection'!Z$2), 'Stage 2 Randomized Selection'!Z$2&gt;0),
IF(AND(AJ$279=123, Cultivar_1_Cohort_Year_Selection=$O$278,Cultivar_2_Cohort_Year_Selection=$O$278,Cultivar_3_Cohort_Year_Selection=$O$278), ROUND(MAX(0,('Stage 2 Randomized Selection'!Z$2-('Stage 2 Randomized Selection'!Z$2*$M280)) - 3),0),
IF(AND(OR(AJ$279=123, AJ$279=12), Cultivar_1_Cohort_Year_Selection=$O$278,Cultivar_2_Cohort_Year_Selection=$O$278),  ROUND(MAX(0,('Stage 2 Randomized Selection'!Z$2-('Stage 2 Randomized Selection'!Z$2*$M280)) - 2),0),
IF(AND(OR(AJ$279=123, AJ$279=13), Cultivar_1_Cohort_Year_Selection=$O$278,Cultivar_3_Cohort_Year_Selection=$O$278), ROUND(MAX(0,('Stage 2 Randomized Selection'!Z$2-('Stage 2 Randomized Selection'!Z$2*$M280)) - 2),0),
IF(AND(OR(AJ$279=123, AJ$279=23), Cultivar_2_Cohort_Year_Selection=$O$278,Cultivar_3_Cohort_Year_Selection=$O$278), ROUND(MAX(0,('Stage 2 Randomized Selection'!Z$2-('Stage 2 Randomized Selection'!Z$2*$M280)) - 2),0),
IF(AND(OR(AJ$279=123, AJ$279=12, AJ$279=13, AJ$279=1), Cultivar_1_Cohort_Year_Selection=$O$278), ROUND(MAX(0,('Stage 2 Randomized Selection'!Z$2-('Stage 2 Randomized Selection'!Z$2*$M280)) - 1),0),
IF(AND(OR(AJ$279=123, AJ$279=12, AJ$279=23, AJ$279=2), Cultivar_2_Cohort_Year_Selection=$O$278), ROUND(MAX(0,('Stage 2 Randomized Selection'!Z$2-('Stage 2 Randomized Selection'!Z$2*$M280)) - 1),0),
IF(AND(OR(AJ$279=123, AJ$279=13, AJ$279=23, AJ$279=3), Cultivar_3_Cohort_Year_Selection=$O$278), ROUND(MAX(0,('Stage 2 Randomized Selection'!Z$2-('Stage 2 Randomized Selection'!Z$2*$M280)) - 1),0),
('Stage 2 Randomized Selection'!Z$2-('Stage 2 Randomized Selection'!Z$2*$M280))))))))),""),""),"")</f>
        <v/>
      </c>
      <c r="AK320" s="134" t="str">
        <f>IF(ISNUMBER($B$280),
IF($C280&lt;&gt;"",
IF(AND(ISNUMBER('Stage 2 Randomized Selection'!AA$2), 'Stage 2 Randomized Selection'!AA$2&gt;0),
IF(AND(AK$279=123, Cultivar_1_Cohort_Year_Selection=$O$278,Cultivar_2_Cohort_Year_Selection=$O$278,Cultivar_3_Cohort_Year_Selection=$O$278), ROUND(MAX(0,('Stage 2 Randomized Selection'!AA$2-('Stage 2 Randomized Selection'!AA$2*$M280)) - 3),0),
IF(AND(OR(AK$279=123, AK$279=12), Cultivar_1_Cohort_Year_Selection=$O$278,Cultivar_2_Cohort_Year_Selection=$O$278),  ROUND(MAX(0,('Stage 2 Randomized Selection'!AA$2-('Stage 2 Randomized Selection'!AA$2*$M280)) - 2),0),
IF(AND(OR(AK$279=123, AK$279=13), Cultivar_1_Cohort_Year_Selection=$O$278,Cultivar_3_Cohort_Year_Selection=$O$278), ROUND(MAX(0,('Stage 2 Randomized Selection'!AA$2-('Stage 2 Randomized Selection'!AA$2*$M280)) - 2),0),
IF(AND(OR(AK$279=123, AK$279=23), Cultivar_2_Cohort_Year_Selection=$O$278,Cultivar_3_Cohort_Year_Selection=$O$278), ROUND(MAX(0,('Stage 2 Randomized Selection'!AA$2-('Stage 2 Randomized Selection'!AA$2*$M280)) - 2),0),
IF(AND(OR(AK$279=123, AK$279=12, AK$279=13, AK$279=1), Cultivar_1_Cohort_Year_Selection=$O$278), ROUND(MAX(0,('Stage 2 Randomized Selection'!AA$2-('Stage 2 Randomized Selection'!AA$2*$M280)) - 1),0),
IF(AND(OR(AK$279=123, AK$279=12, AK$279=23, AK$279=2), Cultivar_2_Cohort_Year_Selection=$O$278), ROUND(MAX(0,('Stage 2 Randomized Selection'!AA$2-('Stage 2 Randomized Selection'!AA$2*$M280)) - 1),0),
IF(AND(OR(AK$279=123, AK$279=13, AK$279=23, AK$279=3), Cultivar_3_Cohort_Year_Selection=$O$278), ROUND(MAX(0,('Stage 2 Randomized Selection'!AA$2-('Stage 2 Randomized Selection'!AA$2*$M280)) - 1),0),
('Stage 2 Randomized Selection'!AA$2-('Stage 2 Randomized Selection'!AA$2*$M280))))))))),""),""),"")</f>
        <v/>
      </c>
      <c r="AL320" s="134" t="str">
        <f>IF(ISNUMBER($B$280),
IF($C280&lt;&gt;"",
IF(AND(ISNUMBER('Stage 2 Randomized Selection'!AB$2), 'Stage 2 Randomized Selection'!AB$2&gt;0),
IF(AND(AL$279=123, Cultivar_1_Cohort_Year_Selection=$O$278,Cultivar_2_Cohort_Year_Selection=$O$278,Cultivar_3_Cohort_Year_Selection=$O$278), ROUND(MAX(0,('Stage 2 Randomized Selection'!AB$2-('Stage 2 Randomized Selection'!AB$2*$M280)) - 3),0),
IF(AND(OR(AL$279=123, AL$279=12), Cultivar_1_Cohort_Year_Selection=$O$278,Cultivar_2_Cohort_Year_Selection=$O$278),  ROUND(MAX(0,('Stage 2 Randomized Selection'!AB$2-('Stage 2 Randomized Selection'!AB$2*$M280)) - 2),0),
IF(AND(OR(AL$279=123, AL$279=13), Cultivar_1_Cohort_Year_Selection=$O$278,Cultivar_3_Cohort_Year_Selection=$O$278), ROUND(MAX(0,('Stage 2 Randomized Selection'!AB$2-('Stage 2 Randomized Selection'!AB$2*$M280)) - 2),0),
IF(AND(OR(AL$279=123, AL$279=23), Cultivar_2_Cohort_Year_Selection=$O$278,Cultivar_3_Cohort_Year_Selection=$O$278), ROUND(MAX(0,('Stage 2 Randomized Selection'!AB$2-('Stage 2 Randomized Selection'!AB$2*$M280)) - 2),0),
IF(AND(OR(AL$279=123, AL$279=12, AL$279=13, AL$279=1), Cultivar_1_Cohort_Year_Selection=$O$278), ROUND(MAX(0,('Stage 2 Randomized Selection'!AB$2-('Stage 2 Randomized Selection'!AB$2*$M280)) - 1),0),
IF(AND(OR(AL$279=123, AL$279=12, AL$279=23, AL$279=2), Cultivar_2_Cohort_Year_Selection=$O$278), ROUND(MAX(0,('Stage 2 Randomized Selection'!AB$2-('Stage 2 Randomized Selection'!AB$2*$M280)) - 1),0),
IF(AND(OR(AL$279=123, AL$279=13, AL$279=23, AL$279=3), Cultivar_3_Cohort_Year_Selection=$O$278), ROUND(MAX(0,('Stage 2 Randomized Selection'!AB$2-('Stage 2 Randomized Selection'!AB$2*$M280)) - 1),0),
('Stage 2 Randomized Selection'!AB$2-('Stage 2 Randomized Selection'!AB$2*$M280))))))))),""),""),"")</f>
        <v/>
      </c>
      <c r="AM320" s="134" t="str">
        <f>IF(ISNUMBER($B$280),
IF($C280&lt;&gt;"",
IF(AND(ISNUMBER('Stage 2 Randomized Selection'!AC$2), 'Stage 2 Randomized Selection'!AC$2&gt;0),
IF(AND(AM$279=123, Cultivar_1_Cohort_Year_Selection=$O$278,Cultivar_2_Cohort_Year_Selection=$O$278,Cultivar_3_Cohort_Year_Selection=$O$278), ROUND(MAX(0,('Stage 2 Randomized Selection'!AC$2-('Stage 2 Randomized Selection'!AC$2*$M280)) - 3),0),
IF(AND(OR(AM$279=123, AM$279=12), Cultivar_1_Cohort_Year_Selection=$O$278,Cultivar_2_Cohort_Year_Selection=$O$278),  ROUND(MAX(0,('Stage 2 Randomized Selection'!AC$2-('Stage 2 Randomized Selection'!AC$2*$M280)) - 2),0),
IF(AND(OR(AM$279=123, AM$279=13), Cultivar_1_Cohort_Year_Selection=$O$278,Cultivar_3_Cohort_Year_Selection=$O$278), ROUND(MAX(0,('Stage 2 Randomized Selection'!AC$2-('Stage 2 Randomized Selection'!AC$2*$M280)) - 2),0),
IF(AND(OR(AM$279=123, AM$279=23), Cultivar_2_Cohort_Year_Selection=$O$278,Cultivar_3_Cohort_Year_Selection=$O$278), ROUND(MAX(0,('Stage 2 Randomized Selection'!AC$2-('Stage 2 Randomized Selection'!AC$2*$M280)) - 2),0),
IF(AND(OR(AM$279=123, AM$279=12, AM$279=13, AM$279=1), Cultivar_1_Cohort_Year_Selection=$O$278), ROUND(MAX(0,('Stage 2 Randomized Selection'!AC$2-('Stage 2 Randomized Selection'!AC$2*$M280)) - 1),0),
IF(AND(OR(AM$279=123, AM$279=12, AM$279=23, AM$279=2), Cultivar_2_Cohort_Year_Selection=$O$278), ROUND(MAX(0,('Stage 2 Randomized Selection'!AC$2-('Stage 2 Randomized Selection'!AC$2*$M280)) - 1),0),
IF(AND(OR(AM$279=123, AM$279=13, AM$279=23, AM$279=3), Cultivar_3_Cohort_Year_Selection=$O$278), ROUND(MAX(0,('Stage 2 Randomized Selection'!AC$2-('Stage 2 Randomized Selection'!AC$2*$M280)) - 1),0),
('Stage 2 Randomized Selection'!AC$2-('Stage 2 Randomized Selection'!AC$2*$M280))))))))),""),""),"")</f>
        <v/>
      </c>
      <c r="AN320" s="134" t="str">
        <f>IF(ISNUMBER($B$280),
IF($C280&lt;&gt;"",
IF(AND(ISNUMBER('Stage 2 Randomized Selection'!AD$2), 'Stage 2 Randomized Selection'!AD$2&gt;0),
IF(AND(AN$279=123, Cultivar_1_Cohort_Year_Selection=$O$278,Cultivar_2_Cohort_Year_Selection=$O$278,Cultivar_3_Cohort_Year_Selection=$O$278), ROUND(MAX(0,('Stage 2 Randomized Selection'!AD$2-('Stage 2 Randomized Selection'!AD$2*$M280)) - 3),0),
IF(AND(OR(AN$279=123, AN$279=12), Cultivar_1_Cohort_Year_Selection=$O$278,Cultivar_2_Cohort_Year_Selection=$O$278),  ROUND(MAX(0,('Stage 2 Randomized Selection'!AD$2-('Stage 2 Randomized Selection'!AD$2*$M280)) - 2),0),
IF(AND(OR(AN$279=123, AN$279=13), Cultivar_1_Cohort_Year_Selection=$O$278,Cultivar_3_Cohort_Year_Selection=$O$278), ROUND(MAX(0,('Stage 2 Randomized Selection'!AD$2-('Stage 2 Randomized Selection'!AD$2*$M280)) - 2),0),
IF(AND(OR(AN$279=123, AN$279=23), Cultivar_2_Cohort_Year_Selection=$O$278,Cultivar_3_Cohort_Year_Selection=$O$278), ROUND(MAX(0,('Stage 2 Randomized Selection'!AD$2-('Stage 2 Randomized Selection'!AD$2*$M280)) - 2),0),
IF(AND(OR(AN$279=123, AN$279=12, AN$279=13, AN$279=1), Cultivar_1_Cohort_Year_Selection=$O$278), ROUND(MAX(0,('Stage 2 Randomized Selection'!AD$2-('Stage 2 Randomized Selection'!AD$2*$M280)) - 1),0),
IF(AND(OR(AN$279=123, AN$279=12, AN$279=23, AN$279=2), Cultivar_2_Cohort_Year_Selection=$O$278), ROUND(MAX(0,('Stage 2 Randomized Selection'!AD$2-('Stage 2 Randomized Selection'!AD$2*$M280)) - 1),0),
IF(AND(OR(AN$279=123, AN$279=13, AN$279=23, AN$279=3), Cultivar_3_Cohort_Year_Selection=$O$278), ROUND(MAX(0,('Stage 2 Randomized Selection'!AD$2-('Stage 2 Randomized Selection'!AD$2*$M280)) - 1),0),
('Stage 2 Randomized Selection'!AD$2-('Stage 2 Randomized Selection'!AD$2*$M280))))))))),""),""),"")</f>
        <v/>
      </c>
      <c r="AO320" s="134" t="str">
        <f>IF(ISNUMBER($B$280),
IF($C280&lt;&gt;"",
IF(AND(ISNUMBER('Stage 2 Randomized Selection'!AE$2), 'Stage 2 Randomized Selection'!AE$2&gt;0),
IF(AND(AO$279=123, Cultivar_1_Cohort_Year_Selection=$O$278,Cultivar_2_Cohort_Year_Selection=$O$278,Cultivar_3_Cohort_Year_Selection=$O$278), ROUND(MAX(0,('Stage 2 Randomized Selection'!AE$2-('Stage 2 Randomized Selection'!AE$2*$M280)) - 3),0),
IF(AND(OR(AO$279=123, AO$279=12), Cultivar_1_Cohort_Year_Selection=$O$278,Cultivar_2_Cohort_Year_Selection=$O$278),  ROUND(MAX(0,('Stage 2 Randomized Selection'!AE$2-('Stage 2 Randomized Selection'!AE$2*$M280)) - 2),0),
IF(AND(OR(AO$279=123, AO$279=13), Cultivar_1_Cohort_Year_Selection=$O$278,Cultivar_3_Cohort_Year_Selection=$O$278), ROUND(MAX(0,('Stage 2 Randomized Selection'!AE$2-('Stage 2 Randomized Selection'!AE$2*$M280)) - 2),0),
IF(AND(OR(AO$279=123, AO$279=23), Cultivar_2_Cohort_Year_Selection=$O$278,Cultivar_3_Cohort_Year_Selection=$O$278), ROUND(MAX(0,('Stage 2 Randomized Selection'!AE$2-('Stage 2 Randomized Selection'!AE$2*$M280)) - 2),0),
IF(AND(OR(AO$279=123, AO$279=12, AO$279=13, AO$279=1), Cultivar_1_Cohort_Year_Selection=$O$278), ROUND(MAX(0,('Stage 2 Randomized Selection'!AE$2-('Stage 2 Randomized Selection'!AE$2*$M280)) - 1),0),
IF(AND(OR(AO$279=123, AO$279=12, AO$279=23, AO$279=2), Cultivar_2_Cohort_Year_Selection=$O$278), ROUND(MAX(0,('Stage 2 Randomized Selection'!AE$2-('Stage 2 Randomized Selection'!AE$2*$M280)) - 1),0),
IF(AND(OR(AO$279=123, AO$279=13, AO$279=23, AO$279=3), Cultivar_3_Cohort_Year_Selection=$O$278), ROUND(MAX(0,('Stage 2 Randomized Selection'!AE$2-('Stage 2 Randomized Selection'!AE$2*$M280)) - 1),0),
('Stage 2 Randomized Selection'!AE$2-('Stage 2 Randomized Selection'!AE$2*$M280))))))))),""),""),"")</f>
        <v/>
      </c>
      <c r="AP320" s="134" t="str">
        <f>IF(ISNUMBER($B$280),
IF($C280&lt;&gt;"",
IF(AND(ISNUMBER('Stage 2 Randomized Selection'!AF$2), 'Stage 2 Randomized Selection'!AF$2&gt;0),
IF(AND(AP$279=123, Cultivar_1_Cohort_Year_Selection=$O$278,Cultivar_2_Cohort_Year_Selection=$O$278,Cultivar_3_Cohort_Year_Selection=$O$278), ROUND(MAX(0,('Stage 2 Randomized Selection'!AF$2-('Stage 2 Randomized Selection'!AF$2*$M280)) - 3),0),
IF(AND(OR(AP$279=123, AP$279=12), Cultivar_1_Cohort_Year_Selection=$O$278,Cultivar_2_Cohort_Year_Selection=$O$278),  ROUND(MAX(0,('Stage 2 Randomized Selection'!AF$2-('Stage 2 Randomized Selection'!AF$2*$M280)) - 2),0),
IF(AND(OR(AP$279=123, AP$279=13), Cultivar_1_Cohort_Year_Selection=$O$278,Cultivar_3_Cohort_Year_Selection=$O$278), ROUND(MAX(0,('Stage 2 Randomized Selection'!AF$2-('Stage 2 Randomized Selection'!AF$2*$M280)) - 2),0),
IF(AND(OR(AP$279=123, AP$279=23), Cultivar_2_Cohort_Year_Selection=$O$278,Cultivar_3_Cohort_Year_Selection=$O$278), ROUND(MAX(0,('Stage 2 Randomized Selection'!AF$2-('Stage 2 Randomized Selection'!AF$2*$M280)) - 2),0),
IF(AND(OR(AP$279=123, AP$279=12, AP$279=13, AP$279=1), Cultivar_1_Cohort_Year_Selection=$O$278), ROUND(MAX(0,('Stage 2 Randomized Selection'!AF$2-('Stage 2 Randomized Selection'!AF$2*$M280)) - 1),0),
IF(AND(OR(AP$279=123, AP$279=12, AP$279=23, AP$279=2), Cultivar_2_Cohort_Year_Selection=$O$278), ROUND(MAX(0,('Stage 2 Randomized Selection'!AF$2-('Stage 2 Randomized Selection'!AF$2*$M280)) - 1),0),
IF(AND(OR(AP$279=123, AP$279=13, AP$279=23, AP$279=3), Cultivar_3_Cohort_Year_Selection=$O$278), ROUND(MAX(0,('Stage 2 Randomized Selection'!AF$2-('Stage 2 Randomized Selection'!AF$2*$M280)) - 1),0),
('Stage 2 Randomized Selection'!AF$2-('Stage 2 Randomized Selection'!AF$2*$M280))))))))),""),""),"")</f>
        <v/>
      </c>
      <c r="AQ320" s="134" t="str">
        <f>IF(ISNUMBER($B$280),
IF($C280&lt;&gt;"",
IF(AND(ISNUMBER('Stage 2 Randomized Selection'!AG$2), 'Stage 2 Randomized Selection'!AG$2&gt;0),
IF(AND(AQ$279=123, Cultivar_1_Cohort_Year_Selection=$O$278,Cultivar_2_Cohort_Year_Selection=$O$278,Cultivar_3_Cohort_Year_Selection=$O$278), ROUND(MAX(0,('Stage 2 Randomized Selection'!AG$2-('Stage 2 Randomized Selection'!AG$2*$M280)) - 3),0),
IF(AND(OR(AQ$279=123, AQ$279=12), Cultivar_1_Cohort_Year_Selection=$O$278,Cultivar_2_Cohort_Year_Selection=$O$278),  ROUND(MAX(0,('Stage 2 Randomized Selection'!AG$2-('Stage 2 Randomized Selection'!AG$2*$M280)) - 2),0),
IF(AND(OR(AQ$279=123, AQ$279=13), Cultivar_1_Cohort_Year_Selection=$O$278,Cultivar_3_Cohort_Year_Selection=$O$278), ROUND(MAX(0,('Stage 2 Randomized Selection'!AG$2-('Stage 2 Randomized Selection'!AG$2*$M280)) - 2),0),
IF(AND(OR(AQ$279=123, AQ$279=23), Cultivar_2_Cohort_Year_Selection=$O$278,Cultivar_3_Cohort_Year_Selection=$O$278), ROUND(MAX(0,('Stage 2 Randomized Selection'!AG$2-('Stage 2 Randomized Selection'!AG$2*$M280)) - 2),0),
IF(AND(OR(AQ$279=123, AQ$279=12, AQ$279=13, AQ$279=1), Cultivar_1_Cohort_Year_Selection=$O$278), ROUND(MAX(0,('Stage 2 Randomized Selection'!AG$2-('Stage 2 Randomized Selection'!AG$2*$M280)) - 1),0),
IF(AND(OR(AQ$279=123, AQ$279=12, AQ$279=23, AQ$279=2), Cultivar_2_Cohort_Year_Selection=$O$278), ROUND(MAX(0,('Stage 2 Randomized Selection'!AG$2-('Stage 2 Randomized Selection'!AG$2*$M280)) - 1),0),
IF(AND(OR(AQ$279=123, AQ$279=13, AQ$279=23, AQ$279=3), Cultivar_3_Cohort_Year_Selection=$O$278), ROUND(MAX(0,('Stage 2 Randomized Selection'!AG$2-('Stage 2 Randomized Selection'!AG$2*$M280)) - 1),0),
('Stage 2 Randomized Selection'!AG$2-('Stage 2 Randomized Selection'!AG$2*$M280))))))))),""),""),"")</f>
        <v/>
      </c>
      <c r="AR320" s="134" t="str">
        <f>IF(ISNUMBER($B$280),
IF($C280&lt;&gt;"",
IF(AND(ISNUMBER('Stage 2 Randomized Selection'!AH$2), 'Stage 2 Randomized Selection'!AH$2&gt;0),
IF(AND(AR$279=123, Cultivar_1_Cohort_Year_Selection=$O$278,Cultivar_2_Cohort_Year_Selection=$O$278,Cultivar_3_Cohort_Year_Selection=$O$278), ROUND(MAX(0,('Stage 2 Randomized Selection'!AH$2-('Stage 2 Randomized Selection'!AH$2*$M280)) - 3),0),
IF(AND(OR(AR$279=123, AR$279=12), Cultivar_1_Cohort_Year_Selection=$O$278,Cultivar_2_Cohort_Year_Selection=$O$278),  ROUND(MAX(0,('Stage 2 Randomized Selection'!AH$2-('Stage 2 Randomized Selection'!AH$2*$M280)) - 2),0),
IF(AND(OR(AR$279=123, AR$279=13), Cultivar_1_Cohort_Year_Selection=$O$278,Cultivar_3_Cohort_Year_Selection=$O$278), ROUND(MAX(0,('Stage 2 Randomized Selection'!AH$2-('Stage 2 Randomized Selection'!AH$2*$M280)) - 2),0),
IF(AND(OR(AR$279=123, AR$279=23), Cultivar_2_Cohort_Year_Selection=$O$278,Cultivar_3_Cohort_Year_Selection=$O$278), ROUND(MAX(0,('Stage 2 Randomized Selection'!AH$2-('Stage 2 Randomized Selection'!AH$2*$M280)) - 2),0),
IF(AND(OR(AR$279=123, AR$279=12, AR$279=13, AR$279=1), Cultivar_1_Cohort_Year_Selection=$O$278), ROUND(MAX(0,('Stage 2 Randomized Selection'!AH$2-('Stage 2 Randomized Selection'!AH$2*$M280)) - 1),0),
IF(AND(OR(AR$279=123, AR$279=12, AR$279=23, AR$279=2), Cultivar_2_Cohort_Year_Selection=$O$278), ROUND(MAX(0,('Stage 2 Randomized Selection'!AH$2-('Stage 2 Randomized Selection'!AH$2*$M280)) - 1),0),
IF(AND(OR(AR$279=123, AR$279=13, AR$279=23, AR$279=3), Cultivar_3_Cohort_Year_Selection=$O$278), ROUND(MAX(0,('Stage 2 Randomized Selection'!AH$2-('Stage 2 Randomized Selection'!AH$2*$M280)) - 1),0),
('Stage 2 Randomized Selection'!AH$2-('Stage 2 Randomized Selection'!AH$2*$M280))))))))),""),""),"")</f>
        <v/>
      </c>
    </row>
    <row r="321" spans="1:44" x14ac:dyDescent="0.25">
      <c r="A321" s="518" t="str">
        <f>Fourth_Stage</f>
        <v>Stage 2 Clonal Test Plots</v>
      </c>
      <c r="B321" s="503" t="str">
        <f>'Breeding Inputs'!B90</f>
        <v/>
      </c>
      <c r="C321" s="520" t="str">
        <f>IF(ISNUMBER(B321), _4_3_0, "")</f>
        <v/>
      </c>
      <c r="D321" s="92" t="str">
        <f>IF(AND(C321&lt;&gt;"", 'Cost Inputs'!$G$105&lt;&gt;""), 'Cost Inputs'!$G$105, "")</f>
        <v/>
      </c>
      <c r="E321" s="92" t="str">
        <f>IF(AND(C321&lt;&gt;"", 'Cost Inputs'!$H$105&lt;&gt;""), 'Cost Inputs'!$H$105, "")</f>
        <v/>
      </c>
      <c r="F321" s="522" t="str">
        <f>IF(AND(C321&lt;&gt;"", 'Cost Inputs'!$I$105&lt;&gt;""), 'Cost Inputs'!$I$105, "")</f>
        <v/>
      </c>
      <c r="G321" s="100" t="str">
        <f t="shared" si="16"/>
        <v/>
      </c>
      <c r="H321" s="522" t="str">
        <f>IF(AND(C321&lt;&gt;"", 'Cost Inputs'!$J$105&lt;&gt;""), 'Cost Inputs'!$J$105, "")</f>
        <v/>
      </c>
      <c r="I321" s="100" t="str">
        <f>IF($C321&lt;&gt;"",IF(AND($E321&lt;&gt;"",H321&lt;&gt;""), H321/$E321, 0),"")</f>
        <v/>
      </c>
      <c r="J321" s="522" t="str">
        <f>IF(AND(C321&lt;&gt;"",('Cost Inputs'!$I$105+'Cost Inputs'!$J$105+'Cost Inputs'!$K$105)&gt;0), 'Cost Inputs'!$I$105+'Cost Inputs'!$J$105+'Cost Inputs'!$K$105, "")</f>
        <v/>
      </c>
      <c r="K321" s="100" t="str">
        <f>IF($C321&lt;&gt;"",IF(AND($E321&lt;&gt;"",J321&lt;&gt;""), J321/$E321, 0),"")</f>
        <v/>
      </c>
      <c r="L321" s="524" t="str">
        <f>IF(AND($B321&lt;&gt;"", 'Breeding Inputs'!$C$89&lt;&gt;""), INDEX('Breeding Inputs'!$C$89:$C$98, MATCH($B321,'Breeding Inputs'!$B$89:$B$98,0)), IF($B321="", "", 0%))</f>
        <v/>
      </c>
      <c r="M321" s="524" t="str">
        <f>IF(AND($B321&lt;&gt;"", 'Breeding Inputs'!$D$89&lt;&gt;""), INDEX('Breeding Inputs'!$D$89:$D$98, MATCH($B321,'Breeding Inputs'!$B$89:$B$98,0))+INDEX('Breeding Inputs'!$E$89:$E$98, MATCH($B321,'Breeding Inputs'!$B$89:$B$98,0)), IF($B321="", "", 0%))</f>
        <v/>
      </c>
      <c r="P321" s="495" t="str">
        <f>IF(ISNUMBER($B$321),
IF($C321&lt;&gt;"",
IF(AND(ISNUMBER(O$280), ISNUMBER(O$317)),
IF(AND(P$279=123, Cultivar_1_Cohort_Year_Selection=$O$278,Cultivar_2_Cohort_Year_Selection=$O$278,Cultivar_3_Cohort_Year_Selection=$O$278), ROUND(MAX(0,O$320 - 3),0),
IF(AND(OR(P$279=123, P$279=12), Cultivar_1_Cohort_Year_Selection=$O$278,Cultivar_2_Cohort_Year_Selection=$O$278), ROUND(MAX(0,O$320 - 2),0),
IF(AND(OR(P$279=123, P$279=13), Cultivar_1_Cohort_Year_Selection=$O$278,Cultivar_3_Cohort_Year_Selection=$O$278), ROUND(MAX(0,O$320 - 2),0),
IF(AND(OR(P$279=123, P$279=23), Cultivar_2_Cohort_Year_Selection=$O$278,Cultivar_3_Cohort_Year_Selection=$O$278), ROUND(MAX(0,O$320 - 2),0),
IF(AND(OR(P$279=123, P$279=12, P$279=13, P$279=1), Cultivar_1_Cohort_Year_Selection=$O$278), ROUND(MAX(0,O$320 - 1),0),
IF(AND(OR(P$279=123, P$279=12, P$279=23, P$279=2), Cultivar_2_Cohort_Year_Selection=$O$278), ROUND(MAX(0,O$320 - 1),0),
IF(AND(OR(P$279=123, P$279=13, P$279=23, P$279=3), Cultivar_3_Cohort_Year_Selection=$O$278), ROUND(MAX(0,O$320 - 1),0),
ROUND(MAX(0,O$320),0)))))))),""),""),"")</f>
        <v/>
      </c>
      <c r="Q321" s="495" t="str">
        <f>IF(ISNUMBER($B$321),
IF($C321&lt;&gt;"",
IF(AND(ISNUMBER(P$280), ISNUMBER(P$317)),
IF(AND(Q$279=123, Cultivar_1_Cohort_Year_Selection=$P$278,Cultivar_2_Cohort_Year_Selection=$P$278,Cultivar_3_Cohort_Year_Selection=$P$278), ROUND(MAX(0,P$320 - 3),0),
IF(AND(OR(Q$279=123, Q$279=12), Cultivar_1_Cohort_Year_Selection=$P$278,Cultivar_2_Cohort_Year_Selection=$P$278), ROUND(MAX(0,P$320 - 2),0),
IF(AND(OR(Q$279=123, Q$279=13), Cultivar_1_Cohort_Year_Selection=$P$278,Cultivar_3_Cohort_Year_Selection=$P$278), ROUND(MAX(0,P$320 - 2),0),
IF(AND(OR(Q$279=123, Q$279=23), Cultivar_2_Cohort_Year_Selection=$P$278,Cultivar_3_Cohort_Year_Selection=$P$278), ROUND(MAX(0,P$320 - 2),0),
IF(AND(OR(Q$279=123, Q$279=12, Q$279=13, Q$279=1), Cultivar_1_Cohort_Year_Selection=$P$278), ROUND(MAX(0,P$320 - 1),0),
IF(AND(OR(Q$279=123, Q$279=12, Q$279=23, Q$279=2), Cultivar_2_Cohort_Year_Selection=$P$278), ROUND(MAX(0,P$320 - 1),0),
IF(AND(OR(Q$279=123, Q$279=13, Q$279=23, Q$279=3), Cultivar_3_Cohort_Year_Selection=$P$278), ROUND(MAX(0,P$320 - 1),0),
ROUND(MAX(0,P$320),0)))))))),""),""),"")</f>
        <v/>
      </c>
      <c r="R321" s="495" t="str">
        <f>IF(ISNUMBER($B$321),
IF($C321&lt;&gt;"",
IF(AND(ISNUMBER(Q$280), ISNUMBER(Q$317)),
IF(AND(R$279=123, Cultivar_1_Cohort_Year_Selection=$Q$278,Cultivar_2_Cohort_Year_Selection=$Q$278,Cultivar_3_Cohort_Year_Selection=$Q$278), ROUND(MAX(0,Q$320 - 3),0),
IF(AND(OR(R$279=123, R$279=12), Cultivar_1_Cohort_Year_Selection=$Q$278,Cultivar_2_Cohort_Year_Selection=$Q$278), ROUND(MAX(0,Q$320 - 2),0),
IF(AND(OR(R$279=123, R$279=13), Cultivar_1_Cohort_Year_Selection=$Q$278,Cultivar_3_Cohort_Year_Selection=$Q$278), ROUND(MAX(0,Q$320 - 2),0),
IF(AND(OR(R$279=123, R$279=23), Cultivar_2_Cohort_Year_Selection=$Q$278,Cultivar_3_Cohort_Year_Selection=$Q$278), ROUND(MAX(0,Q$320 - 2),0),
IF(AND(OR(R$279=123, R$279=12, R$279=13, R$279=1), Cultivar_1_Cohort_Year_Selection=$Q$278), ROUND(MAX(0,Q$320 - 1),0),
IF(AND(OR(R$279=123, R$279=12, R$279=23, R$279=2), Cultivar_2_Cohort_Year_Selection=$Q$278), ROUND(MAX(0,Q$320 - 1),0),
IF(AND(OR(R$279=123, R$279=13, R$279=23, R$279=3), Cultivar_3_Cohort_Year_Selection=$Q$278), ROUND(MAX(0,Q$320 - 1),0),
ROUND(MAX(0,Q$320),0)))))))),""),""),"")</f>
        <v/>
      </c>
      <c r="S321" s="495" t="str">
        <f>IF(ISNUMBER($B$321),
IF($C321&lt;&gt;"",
IF(AND(ISNUMBER(R$280), ISNUMBER(R$317)),
IF(AND(S$279=123, Cultivar_1_Cohort_Year_Selection=$R$278,Cultivar_2_Cohort_Year_Selection=$R$278,Cultivar_3_Cohort_Year_Selection=$R$278), ROUND(MAX(0,R$320 - 3),0),
IF(AND(OR(S$279=123, S$279=12), Cultivar_1_Cohort_Year_Selection=$R$278,Cultivar_2_Cohort_Year_Selection=$R$278), ROUND(MAX(0,R$320 - 2),0),
IF(AND(OR(S$279=123, S$279=13), Cultivar_1_Cohort_Year_Selection=$R$278,Cultivar_3_Cohort_Year_Selection=$R$278), ROUND(MAX(0,R$320 - 2),0),
IF(AND(OR(S$279=123, S$279=23), Cultivar_2_Cohort_Year_Selection=$R$278,Cultivar_3_Cohort_Year_Selection=$R$278), ROUND(MAX(0,R$320 - 2),0),
IF(AND(OR(S$279=123, S$279=12, S$279=13, S$279=1), Cultivar_1_Cohort_Year_Selection=$R$278), ROUND(MAX(0,R$320 - 1),0),
IF(AND(OR(S$279=123, S$279=12, S$279=23, S$279=2), Cultivar_2_Cohort_Year_Selection=$R$278), ROUND(MAX(0,R$320 - 1),0),
IF(AND(OR(S$279=123, S$279=13, S$279=23, S$279=3), Cultivar_3_Cohort_Year_Selection=$R$278), ROUND(MAX(0,R$320 - 1),0),
ROUND(MAX(0,R$320),0)))))))),""),""),"")</f>
        <v/>
      </c>
      <c r="T321" s="495" t="str">
        <f>IF(ISNUMBER($B$321),
IF($C321&lt;&gt;"",
IF(AND(ISNUMBER(S$280), ISNUMBER(S$317)),
IF(AND(T$279=123, Cultivar_1_Cohort_Year_Selection=$S$278,Cultivar_2_Cohort_Year_Selection=$S$278,Cultivar_3_Cohort_Year_Selection=$S$278), ROUND(MAX(0,S$320 - 3),0),
IF(AND(OR(T$279=123, T$279=12), Cultivar_1_Cohort_Year_Selection=$S$278,Cultivar_2_Cohort_Year_Selection=$S$278), ROUND(MAX(0,S$320 - 2),0),
IF(AND(OR(T$279=123, T$279=13), Cultivar_1_Cohort_Year_Selection=$S$278,Cultivar_3_Cohort_Year_Selection=$S$278), ROUND(MAX(0,S$320 - 2),0),
IF(AND(OR(T$279=123, T$279=23), Cultivar_2_Cohort_Year_Selection=$S$278,Cultivar_3_Cohort_Year_Selection=$S$278), ROUND(MAX(0,S$320 - 2),0),
IF(AND(OR(T$279=123, T$279=12, T$279=13, T$279=1), Cultivar_1_Cohort_Year_Selection=$S$278), ROUND(MAX(0,S$320 - 1),0),
IF(AND(OR(T$279=123, T$279=12, T$279=23, T$279=2), Cultivar_2_Cohort_Year_Selection=$S$278), ROUND(MAX(0,S$320 - 1),0),
IF(AND(OR(T$279=123, T$279=13, T$279=23, T$279=3), Cultivar_3_Cohort_Year_Selection=$S$278), ROUND(MAX(0,S$320 - 1),0),
ROUND(MAX(0,S$320),0)))))))),""),""),"")</f>
        <v/>
      </c>
      <c r="U321" s="495" t="str">
        <f>IF(ISNUMBER($B$321),
IF($C321&lt;&gt;"",
IF(AND(ISNUMBER(T$280), ISNUMBER(T$317)),
IF(AND(U$279=123, Cultivar_1_Cohort_Year_Selection=$T$278,Cultivar_2_Cohort_Year_Selection=$T$278,Cultivar_3_Cohort_Year_Selection=$T$278), ROUND(MAX(0,T$320 - 3),0),
IF(AND(OR(U$279=123, U$279=12), Cultivar_1_Cohort_Year_Selection=$T$278,Cultivar_2_Cohort_Year_Selection=$T$278), ROUND(MAX(0,T$320 - 2),0),
IF(AND(OR(U$279=123, U$279=13), Cultivar_1_Cohort_Year_Selection=$T$278,Cultivar_3_Cohort_Year_Selection=$T$278), ROUND(MAX(0,T$320 - 2),0),
IF(AND(OR(U$279=123, U$279=23), Cultivar_2_Cohort_Year_Selection=$T$278,Cultivar_3_Cohort_Year_Selection=$T$278), ROUND(MAX(0,T$320 - 2),0),
IF(AND(OR(U$279=123, U$279=12, U$279=13, U$279=1), Cultivar_1_Cohort_Year_Selection=$T$278), ROUND(MAX(0,T$320 - 1),0),
IF(AND(OR(U$279=123, U$279=12, U$279=23, U$279=2), Cultivar_2_Cohort_Year_Selection=$T$278), ROUND(MAX(0,T$320 - 1),0),
IF(AND(OR(U$279=123, U$279=13, U$279=23, U$279=3), Cultivar_3_Cohort_Year_Selection=$T$278), ROUND(MAX(0,T$320 - 1),0),
ROUND(MAX(0,T$320),0)))))))),""),""),"")</f>
        <v/>
      </c>
      <c r="V321" s="495" t="str">
        <f>IF(ISNUMBER($B$321),
IF($C321&lt;&gt;"",
IF(AND(ISNUMBER(U$280), ISNUMBER(U$317)),
IF(AND(V$279=123, Cultivar_1_Cohort_Year_Selection=$U$278,Cultivar_2_Cohort_Year_Selection=$U$278,Cultivar_3_Cohort_Year_Selection=$U$278), ROUND(MAX(0,U$320 - 3),0),
IF(AND(OR(V$279=123, V$279=12), Cultivar_1_Cohort_Year_Selection=$U$278,Cultivar_2_Cohort_Year_Selection=$U$278), ROUND(MAX(0,U$320 - 2),0),
IF(AND(OR(V$279=123, V$279=13), Cultivar_1_Cohort_Year_Selection=$U$278,Cultivar_3_Cohort_Year_Selection=$U$278), ROUND(MAX(0,U$320 - 2),0),
IF(AND(OR(V$279=123, V$279=23), Cultivar_2_Cohort_Year_Selection=$U$278,Cultivar_3_Cohort_Year_Selection=$U$278), ROUND(MAX(0,U$320 - 2),0),
IF(AND(OR(V$279=123, V$279=12, V$279=13, V$279=1), Cultivar_1_Cohort_Year_Selection=$U$278), ROUND(MAX(0,U$320 - 1),0),
IF(AND(OR(V$279=123, V$279=12, V$279=23, V$279=2), Cultivar_2_Cohort_Year_Selection=$U$278), ROUND(MAX(0,U$320 - 1),0),
IF(AND(OR(V$279=123, V$279=13, V$279=23, V$279=3), Cultivar_3_Cohort_Year_Selection=$U$278), ROUND(MAX(0,U$320 - 1),0),
ROUND(MAX(0,U$320),0)))))))),""),""),"")</f>
        <v/>
      </c>
      <c r="W321" s="495" t="str">
        <f>IF(ISNUMBER($B$321),
IF($C321&lt;&gt;"",
IF(AND(ISNUMBER(V$280), ISNUMBER(V$317)),
IF(AND(W$279=123, Cultivar_1_Cohort_Year_Selection=$V$278,Cultivar_2_Cohort_Year_Selection=$V$278,Cultivar_3_Cohort_Year_Selection=$V$278), ROUND(MAX(0,V$320 - 3),0),
IF(AND(OR(W$279=123, W$279=12), Cultivar_1_Cohort_Year_Selection=$V$278,Cultivar_2_Cohort_Year_Selection=$V$278), ROUND(MAX(0,V$320 - 2),0),
IF(AND(OR(W$279=123, W$279=13), Cultivar_1_Cohort_Year_Selection=$V$278,Cultivar_3_Cohort_Year_Selection=$V$278), ROUND(MAX(0,V$320 - 2),0),
IF(AND(OR(W$279=123, W$279=23), Cultivar_2_Cohort_Year_Selection=$V$278,Cultivar_3_Cohort_Year_Selection=$V$278), ROUND(MAX(0,V$320 - 2),0),
IF(AND(OR(W$279=123, W$279=12, W$279=13, W$279=1), Cultivar_1_Cohort_Year_Selection=$V$278), ROUND(MAX(0,V$320 - 1),0),
IF(AND(OR(W$279=123, W$279=12, W$279=23, W$279=2), Cultivar_2_Cohort_Year_Selection=$V$278), ROUND(MAX(0,V$320 - 1),0),
IF(AND(OR(W$279=123, W$279=13, W$279=23, W$279=3), Cultivar_3_Cohort_Year_Selection=$V$278), ROUND(MAX(0,V$320 - 1),0),
ROUND(MAX(0,V$320),0)))))))),""),""),"")</f>
        <v/>
      </c>
      <c r="X321" s="495" t="str">
        <f>IF(ISNUMBER($B$321),
IF($C321&lt;&gt;"",
IF(AND(ISNUMBER(W$280), ISNUMBER(W$317)),
IF(AND(X$279=123, Cultivar_1_Cohort_Year_Selection=$W$278,Cultivar_2_Cohort_Year_Selection=$W$278,Cultivar_3_Cohort_Year_Selection=$W$278), ROUND(MAX(0,W$320 - 3),0),
IF(AND(OR(X$279=123, X$279=12), Cultivar_1_Cohort_Year_Selection=$W$278,Cultivar_2_Cohort_Year_Selection=$W$278), ROUND(MAX(0,W$320 - 2),0),
IF(AND(OR(X$279=123, X$279=13), Cultivar_1_Cohort_Year_Selection=$W$278,Cultivar_3_Cohort_Year_Selection=$W$278), ROUND(MAX(0,W$320 - 2),0),
IF(AND(OR(X$279=123, X$279=23), Cultivar_2_Cohort_Year_Selection=$W$278,Cultivar_3_Cohort_Year_Selection=$W$278), ROUND(MAX(0,W$320 - 2),0),
IF(AND(OR(X$279=123, X$279=12, X$279=13, X$279=1), Cultivar_1_Cohort_Year_Selection=$W$278), ROUND(MAX(0,W$320 - 1),0),
IF(AND(OR(X$279=123, X$279=12, X$279=23, X$279=2), Cultivar_2_Cohort_Year_Selection=$W$278), ROUND(MAX(0,W$320 - 1),0),
IF(AND(OR(X$279=123, X$279=13, X$279=23, X$279=3), Cultivar_3_Cohort_Year_Selection=$W$278), ROUND(MAX(0,W$320 - 1),0),
ROUND(MAX(0,W$320),0)))))))),""),""),"")</f>
        <v/>
      </c>
      <c r="Y321" s="495" t="str">
        <f>IF(ISNUMBER($B$321),
IF($C321&lt;&gt;"",
IF(AND(ISNUMBER(X$280), ISNUMBER(X$317)),
IF(AND(Y$279=123, Cultivar_1_Cohort_Year_Selection=$X$278,Cultivar_2_Cohort_Year_Selection=$X$278,Cultivar_3_Cohort_Year_Selection=$X$278), ROUND(MAX(0,X$320 - 3),0),
IF(AND(OR(Y$279=123, Y$279=12), Cultivar_1_Cohort_Year_Selection=$X$278,Cultivar_2_Cohort_Year_Selection=$X$278), ROUND(MAX(0,X$320 - 2),0),
IF(AND(OR(Y$279=123, Y$279=13), Cultivar_1_Cohort_Year_Selection=$X$278,Cultivar_3_Cohort_Year_Selection=$X$278), ROUND(MAX(0,X$320 - 2),0),
IF(AND(OR(Y$279=123, Y$279=23), Cultivar_2_Cohort_Year_Selection=$X$278,Cultivar_3_Cohort_Year_Selection=$X$278), ROUND(MAX(0,X$320 - 2),0),
IF(AND(OR(Y$279=123, Y$279=12, Y$279=13, Y$279=1), Cultivar_1_Cohort_Year_Selection=$X$278), ROUND(MAX(0,X$320 - 1),0),
IF(AND(OR(Y$279=123, Y$279=12, Y$279=23, Y$279=2), Cultivar_2_Cohort_Year_Selection=$X$278), ROUND(MAX(0,X$320 - 1),0),
IF(AND(OR(Y$279=123, Y$279=13, Y$279=23, Y$279=3), Cultivar_3_Cohort_Year_Selection=$X$278), ROUND(MAX(0,X$320 - 1),0),
ROUND(MAX(0,X$320),0)))))))),""),""),"")</f>
        <v/>
      </c>
      <c r="Z321" s="495" t="str">
        <f>IF(ISNUMBER($B$321),
IF($C321&lt;&gt;"",
IF(AND(ISNUMBER(Y$280), ISNUMBER(Y$317)),
IF(AND(Z$279=123, Cultivar_1_Cohort_Year_Selection=$Y$278,Cultivar_2_Cohort_Year_Selection=$Y$278,Cultivar_3_Cohort_Year_Selection=$Y$278), ROUND(MAX(0,Y$320 - 3),0),
IF(AND(OR(Z$279=123, Z$279=12), Cultivar_1_Cohort_Year_Selection=$Y$278,Cultivar_2_Cohort_Year_Selection=$Y$278), ROUND(MAX(0,Y$320 - 2),0),
IF(AND(OR(Z$279=123, Z$279=13), Cultivar_1_Cohort_Year_Selection=$Y$278,Cultivar_3_Cohort_Year_Selection=$Y$278), ROUND(MAX(0,Y$320 - 2),0),
IF(AND(OR(Z$279=123, Z$279=23), Cultivar_2_Cohort_Year_Selection=$Y$278,Cultivar_3_Cohort_Year_Selection=$Y$278), ROUND(MAX(0,Y$320 - 2),0),
IF(AND(OR(Z$279=123, Z$279=12, Z$279=13, Z$279=1), Cultivar_1_Cohort_Year_Selection=$Y$278), ROUND(MAX(0,Y$320 - 1),0),
IF(AND(OR(Z$279=123, Z$279=12, Z$279=23, Z$279=2), Cultivar_2_Cohort_Year_Selection=$Y$278), ROUND(MAX(0,Y$320 - 1),0),
IF(AND(OR(Z$279=123, Z$279=13, Z$279=23, Z$279=3), Cultivar_3_Cohort_Year_Selection=$Y$278), ROUND(MAX(0,Y$320 - 1),0),
ROUND(MAX(0,Y$320),0)))))))),""),""),"")</f>
        <v/>
      </c>
      <c r="AA321" s="495" t="str">
        <f>IF(ISNUMBER($B$321),
IF($C321&lt;&gt;"",
IF(AND(ISNUMBER(Z$280), ISNUMBER(Z$317)),
IF(AND(AA$279=123, Cultivar_1_Cohort_Year_Selection=$Z$278,Cultivar_2_Cohort_Year_Selection=$Z$278,Cultivar_3_Cohort_Year_Selection=$Z$278), ROUND(MAX(0,Z$320 - 3),0),
IF(AND(OR(AA$279=123, AA$279=12), Cultivar_1_Cohort_Year_Selection=$Z$278,Cultivar_2_Cohort_Year_Selection=$Z$278), ROUND(MAX(0,Z$320 - 2),0),
IF(AND(OR(AA$279=123, AA$279=13), Cultivar_1_Cohort_Year_Selection=$Z$278,Cultivar_3_Cohort_Year_Selection=$Z$278), ROUND(MAX(0,Z$320 - 2),0),
IF(AND(OR(AA$279=123, AA$279=23), Cultivar_2_Cohort_Year_Selection=$Z$278,Cultivar_3_Cohort_Year_Selection=$Z$278), ROUND(MAX(0,Z$320 - 2),0),
IF(AND(OR(AA$279=123, AA$279=12, AA$279=13, AA$279=1), Cultivar_1_Cohort_Year_Selection=$Z$278), ROUND(MAX(0,Z$320 - 1),0),
IF(AND(OR(AA$279=123, AA$279=12, AA$279=23, AA$279=2), Cultivar_2_Cohort_Year_Selection=$Z$278), ROUND(MAX(0,Z$320 - 1),0),
IF(AND(OR(AA$279=123, AA$279=13, AA$279=23, AA$279=3), Cultivar_3_Cohort_Year_Selection=$Z$278), ROUND(MAX(0,Z$320 - 1),0),
ROUND(MAX(0,Z$320),0)))))))),""),""),"")</f>
        <v/>
      </c>
      <c r="AB321" s="495" t="str">
        <f>IF(ISNUMBER($B$321),
IF($C321&lt;&gt;"",
IF(AND(ISNUMBER(AA$280), ISNUMBER(AA$317)),
IF(AND(AB$279=123, Cultivar_1_Cohort_Year_Selection=$AA$278,Cultivar_2_Cohort_Year_Selection=$AA$278,Cultivar_3_Cohort_Year_Selection=$AA$278), ROUND(MAX(0,AA$320 - 3),0),
IF(AND(OR(AB$279=123, AB$279=12), Cultivar_1_Cohort_Year_Selection=$AA$278,Cultivar_2_Cohort_Year_Selection=$AA$278), ROUND(MAX(0,AA$320 - 2),0),
IF(AND(OR(AB$279=123, AB$279=13), Cultivar_1_Cohort_Year_Selection=$AA$278,Cultivar_3_Cohort_Year_Selection=$AA$278), ROUND(MAX(0,AA$320 - 2),0),
IF(AND(OR(AB$279=123, AB$279=23), Cultivar_2_Cohort_Year_Selection=$AA$278,Cultivar_3_Cohort_Year_Selection=$AA$278), ROUND(MAX(0,AA$320 - 2),0),
IF(AND(OR(AB$279=123, AB$279=12, AB$279=13, AB$279=1), Cultivar_1_Cohort_Year_Selection=$AA$278), ROUND(MAX(0,AA$320 - 1),0),
IF(AND(OR(AB$279=123, AB$279=12, AB$279=23, AB$279=2), Cultivar_2_Cohort_Year_Selection=$AA$278), ROUND(MAX(0,AA$320 - 1),0),
IF(AND(OR(AB$279=123, AB$279=13, AB$279=23, AB$279=3), Cultivar_3_Cohort_Year_Selection=$AA$278), ROUND(MAX(0,AA$320 - 1),0),
ROUND(MAX(0,AA$320),0)))))))),""),""),"")</f>
        <v/>
      </c>
      <c r="AC321" s="495" t="str">
        <f>IF(ISNUMBER($B$321),
IF($C321&lt;&gt;"",
IF(AND(ISNUMBER(AB$280), ISNUMBER(AB$317)),
IF(AND(AC$279=123, Cultivar_1_Cohort_Year_Selection=$AB$278,Cultivar_2_Cohort_Year_Selection=$AB$278,Cultivar_3_Cohort_Year_Selection=$AB$278), ROUND(MAX(0,AB$320 - 3),0),
IF(AND(OR(AC$279=123, AC$279=12), Cultivar_1_Cohort_Year_Selection=$AB$278,Cultivar_2_Cohort_Year_Selection=$AB$278), ROUND(MAX(0,AB$320 - 2),0),
IF(AND(OR(AC$279=123, AC$279=13), Cultivar_1_Cohort_Year_Selection=$AB$278,Cultivar_3_Cohort_Year_Selection=$AB$278), ROUND(MAX(0,AB$320 - 2),0),
IF(AND(OR(AC$279=123, AC$279=23), Cultivar_2_Cohort_Year_Selection=$AB$278,Cultivar_3_Cohort_Year_Selection=$AB$278), ROUND(MAX(0,AB$320 - 2),0),
IF(AND(OR(AC$279=123, AC$279=12, AC$279=13, AC$279=1), Cultivar_1_Cohort_Year_Selection=$AB$278), ROUND(MAX(0,AB$320 - 1),0),
IF(AND(OR(AC$279=123, AC$279=12, AC$279=23, AC$279=2), Cultivar_2_Cohort_Year_Selection=$AB$278), ROUND(MAX(0,AB$320 - 1),0),
IF(AND(OR(AC$279=123, AC$279=13, AC$279=23, AC$279=3), Cultivar_3_Cohort_Year_Selection=$AB$278), ROUND(MAX(0,AB$320 - 1),0),
ROUND(MAX(0,AB$320),0)))))))),""),""),"")</f>
        <v/>
      </c>
      <c r="AD321" s="495" t="str">
        <f>IF(ISNUMBER($B$321),
IF($C321&lt;&gt;"",
IF(AND(ISNUMBER(AC$280), ISNUMBER(AC$317)),
IF(AND(AD$279=123, Cultivar_1_Cohort_Year_Selection=$AC$278,Cultivar_2_Cohort_Year_Selection=$AC$278,Cultivar_3_Cohort_Year_Selection=$AC$278), ROUND(MAX(0,AC$320 - 3),0),
IF(AND(OR(AD$279=123, AD$279=12), Cultivar_1_Cohort_Year_Selection=$AC$278,Cultivar_2_Cohort_Year_Selection=$AC$278), ROUND(MAX(0,AC$320 - 2),0),
IF(AND(OR(AD$279=123, AD$279=13), Cultivar_1_Cohort_Year_Selection=$AC$278,Cultivar_3_Cohort_Year_Selection=$AC$278), ROUND(MAX(0,AC$320 - 2),0),
IF(AND(OR(AD$279=123, AD$279=23), Cultivar_2_Cohort_Year_Selection=$AC$278,Cultivar_3_Cohort_Year_Selection=$AC$278), ROUND(MAX(0,AC$320 - 2),0),
IF(AND(OR(AD$279=123, AD$279=12, AD$279=13, AD$279=1), Cultivar_1_Cohort_Year_Selection=$AC$278), ROUND(MAX(0,AC$320 - 1),0),
IF(AND(OR(AD$279=123, AD$279=12, AD$279=23, AD$279=2), Cultivar_2_Cohort_Year_Selection=$AC$278), ROUND(MAX(0,AC$320 - 1),0),
IF(AND(OR(AD$279=123, AD$279=13, AD$279=23, AD$279=3), Cultivar_3_Cohort_Year_Selection=$AC$278), ROUND(MAX(0,AC$320 - 1),0),
ROUND(MAX(0,AC$320),0)))))))),""),""),"")</f>
        <v/>
      </c>
      <c r="AE321" s="495" t="str">
        <f>IF(ISNUMBER($B$321),
IF($C321&lt;&gt;"",
IF(AND(ISNUMBER(AD$280), ISNUMBER(AD$317)),
IF(AND(AE$279=123, Cultivar_1_Cohort_Year_Selection=$AD$278,Cultivar_2_Cohort_Year_Selection=$AD$278,Cultivar_3_Cohort_Year_Selection=$AD$278), ROUND(MAX(0,AD$320 - 3),0),
IF(AND(OR(AE$279=123, AE$279=12), Cultivar_1_Cohort_Year_Selection=$AD$278,Cultivar_2_Cohort_Year_Selection=$AD$278), ROUND(MAX(0,AD$320 - 2),0),
IF(AND(OR(AE$279=123, AE$279=13), Cultivar_1_Cohort_Year_Selection=$AD$278,Cultivar_3_Cohort_Year_Selection=$AD$278), ROUND(MAX(0,AD$320 - 2),0),
IF(AND(OR(AE$279=123, AE$279=23), Cultivar_2_Cohort_Year_Selection=$AD$278,Cultivar_3_Cohort_Year_Selection=$AD$278), ROUND(MAX(0,AD$320 - 2),0),
IF(AND(OR(AE$279=123, AE$279=12, AE$279=13, AE$279=1), Cultivar_1_Cohort_Year_Selection=$AD$278), ROUND(MAX(0,AD$320 - 1),0),
IF(AND(OR(AE$279=123, AE$279=12, AE$279=23, AE$279=2), Cultivar_2_Cohort_Year_Selection=$AD$278), ROUND(MAX(0,AD$320 - 1),0),
IF(AND(OR(AE$279=123, AE$279=13, AE$279=23, AE$279=3), Cultivar_3_Cohort_Year_Selection=$AD$278), ROUND(MAX(0,AD$320 - 1),0),
ROUND(MAX(0,AD$320),0)))))))),""),""),"")</f>
        <v/>
      </c>
      <c r="AF321" s="495" t="str">
        <f>IF(ISNUMBER($B$321),
IF($C321&lt;&gt;"",
IF(AND(ISNUMBER(AE$280), ISNUMBER(AE$317)),
IF(AND(AF$279=123, Cultivar_1_Cohort_Year_Selection=$AE$278,Cultivar_2_Cohort_Year_Selection=$AE$278,Cultivar_3_Cohort_Year_Selection=$AE$278), ROUND(MAX(0,AE$320 - 3),0),
IF(AND(OR(AF$279=123, AF$279=12), Cultivar_1_Cohort_Year_Selection=$AE$278,Cultivar_2_Cohort_Year_Selection=$AE$278), ROUND(MAX(0,AE$320 - 2),0),
IF(AND(OR(AF$279=123, AF$279=13), Cultivar_1_Cohort_Year_Selection=$AE$278,Cultivar_3_Cohort_Year_Selection=$AE$278), ROUND(MAX(0,AE$320 - 2),0),
IF(AND(OR(AF$279=123, AF$279=23), Cultivar_2_Cohort_Year_Selection=$AE$278,Cultivar_3_Cohort_Year_Selection=$AE$278), ROUND(MAX(0,AE$320 - 2),0),
IF(AND(OR(AF$279=123, AF$279=12, AF$279=13, AF$279=1), Cultivar_1_Cohort_Year_Selection=$AE$278), ROUND(MAX(0,AE$320 - 1),0),
IF(AND(OR(AF$279=123, AF$279=12, AF$279=23, AF$279=2), Cultivar_2_Cohort_Year_Selection=$AE$278), ROUND(MAX(0,AE$320 - 1),0),
IF(AND(OR(AF$279=123, AF$279=13, AF$279=23, AF$279=3), Cultivar_3_Cohort_Year_Selection=$AE$278), ROUND(MAX(0,AE$320 - 1),0),
ROUND(MAX(0,AE$320),0)))))))),""),""),"")</f>
        <v/>
      </c>
      <c r="AG321" s="495" t="str">
        <f>IF(ISNUMBER($B$321),
IF($C321&lt;&gt;"",
IF(AND(ISNUMBER(AF$280), ISNUMBER(AF$317)),
IF(AND(AG$279=123, Cultivar_1_Cohort_Year_Selection=$AF$278,Cultivar_2_Cohort_Year_Selection=$AF$278,Cultivar_3_Cohort_Year_Selection=$AF$278), ROUND(MAX(0,AF$320 - 3),0),
IF(AND(OR(AG$279=123, AG$279=12), Cultivar_1_Cohort_Year_Selection=$AF$278,Cultivar_2_Cohort_Year_Selection=$AF$278), ROUND(MAX(0,AF$320 - 2),0),
IF(AND(OR(AG$279=123, AG$279=13), Cultivar_1_Cohort_Year_Selection=$AF$278,Cultivar_3_Cohort_Year_Selection=$AF$278), ROUND(MAX(0,AF$320 - 2),0),
IF(AND(OR(AG$279=123, AG$279=23), Cultivar_2_Cohort_Year_Selection=$AF$278,Cultivar_3_Cohort_Year_Selection=$AF$278), ROUND(MAX(0,AF$320 - 2),0),
IF(AND(OR(AG$279=123, AG$279=12, AG$279=13, AG$279=1), Cultivar_1_Cohort_Year_Selection=$AF$278), ROUND(MAX(0,AF$320 - 1),0),
IF(AND(OR(AG$279=123, AG$279=12, AG$279=23, AG$279=2), Cultivar_2_Cohort_Year_Selection=$AF$278), ROUND(MAX(0,AF$320 - 1),0),
IF(AND(OR(AG$279=123, AG$279=13, AG$279=23, AG$279=3), Cultivar_3_Cohort_Year_Selection=$AF$278), ROUND(MAX(0,AF$320 - 1),0),
ROUND(MAX(0,AF$320),0)))))))),""),""),"")</f>
        <v/>
      </c>
      <c r="AH321" s="495" t="str">
        <f>IF(ISNUMBER($B$321),
IF($C321&lt;&gt;"",
IF(AND(ISNUMBER(AG$280), ISNUMBER(AG$317)),
IF(AND(AH$279=123, Cultivar_1_Cohort_Year_Selection=$AG$278,Cultivar_2_Cohort_Year_Selection=$AG$278,Cultivar_3_Cohort_Year_Selection=$AG$278), ROUND(MAX(0,AG$320 - 3),0),
IF(AND(OR(AH$279=123, AH$279=12), Cultivar_1_Cohort_Year_Selection=$AG$278,Cultivar_2_Cohort_Year_Selection=$AG$278), ROUND(MAX(0,AG$320 - 2),0),
IF(AND(OR(AH$279=123, AH$279=13), Cultivar_1_Cohort_Year_Selection=$AG$278,Cultivar_3_Cohort_Year_Selection=$AG$278), ROUND(MAX(0,AG$320 - 2),0),
IF(AND(OR(AH$279=123, AH$279=23), Cultivar_2_Cohort_Year_Selection=$AG$278,Cultivar_3_Cohort_Year_Selection=$AG$278), ROUND(MAX(0,AG$320 - 2),0),
IF(AND(OR(AH$279=123, AH$279=12, AH$279=13, AH$279=1), Cultivar_1_Cohort_Year_Selection=$AG$278), ROUND(MAX(0,AG$320 - 1),0),
IF(AND(OR(AH$279=123, AH$279=12, AH$279=23, AH$279=2), Cultivar_2_Cohort_Year_Selection=$AG$278), ROUND(MAX(0,AG$320 - 1),0),
IF(AND(OR(AH$279=123, AH$279=13, AH$279=23, AH$279=3), Cultivar_3_Cohort_Year_Selection=$AG$278), ROUND(MAX(0,AG$320 - 1),0),
ROUND(MAX(0,AG$320),0)))))))),""),""),"")</f>
        <v/>
      </c>
      <c r="AI321" s="495" t="str">
        <f>IF(ISNUMBER($B$321),
IF($C321&lt;&gt;"",
IF(AND(ISNUMBER(AH$280), ISNUMBER(AH$317)),
IF(AND(AI$279=123, Cultivar_1_Cohort_Year_Selection=$AH$278,Cultivar_2_Cohort_Year_Selection=$AH$278,Cultivar_3_Cohort_Year_Selection=$AH$278), ROUND(MAX(0,AH$320 - 3),0),
IF(AND(OR(AI$279=123, AI$279=12), Cultivar_1_Cohort_Year_Selection=$AH$278,Cultivar_2_Cohort_Year_Selection=$AH$278), ROUND(MAX(0,AH$320 - 2),0),
IF(AND(OR(AI$279=123, AI$279=13), Cultivar_1_Cohort_Year_Selection=$AH$278,Cultivar_3_Cohort_Year_Selection=$AH$278), ROUND(MAX(0,AH$320 - 2),0),
IF(AND(OR(AI$279=123, AI$279=23), Cultivar_2_Cohort_Year_Selection=$AH$278,Cultivar_3_Cohort_Year_Selection=$AH$278), ROUND(MAX(0,AH$320 - 2),0),
IF(AND(OR(AI$279=123, AI$279=12, AI$279=13, AI$279=1), Cultivar_1_Cohort_Year_Selection=$AH$278), ROUND(MAX(0,AH$320 - 1),0),
IF(AND(OR(AI$279=123, AI$279=12, AI$279=23, AI$279=2), Cultivar_2_Cohort_Year_Selection=$AH$278), ROUND(MAX(0,AH$320 - 1),0),
IF(AND(OR(AI$279=123, AI$279=13, AI$279=23, AI$279=3), Cultivar_3_Cohort_Year_Selection=$AH$278), ROUND(MAX(0,AH$320 - 1),0),
ROUND(MAX(0,AH$320),0)))))))),""),""),"")</f>
        <v/>
      </c>
      <c r="AJ321" s="495" t="str">
        <f>IF(ISNUMBER($B$321),
IF($C321&lt;&gt;"",
IF(AND(ISNUMBER(AI$280), ISNUMBER(AI$317)),
IF(AND(AJ$279=123, Cultivar_1_Cohort_Year_Selection=$AI$278,Cultivar_2_Cohort_Year_Selection=$AI$278,Cultivar_3_Cohort_Year_Selection=$AI$278), ROUND(MAX(0,AI$320 - 3),0),
IF(AND(OR(AJ$279=123, AJ$279=12), Cultivar_1_Cohort_Year_Selection=$AI$278,Cultivar_2_Cohort_Year_Selection=$AI$278), ROUND(MAX(0,AI$320 - 2),0),
IF(AND(OR(AJ$279=123, AJ$279=13), Cultivar_1_Cohort_Year_Selection=$AI$278,Cultivar_3_Cohort_Year_Selection=$AI$278), ROUND(MAX(0,AI$320 - 2),0),
IF(AND(OR(AJ$279=123, AJ$279=23), Cultivar_2_Cohort_Year_Selection=$AI$278,Cultivar_3_Cohort_Year_Selection=$AI$278), ROUND(MAX(0,AI$320 - 2),0),
IF(AND(OR(AJ$279=123, AJ$279=12, AJ$279=13, AJ$279=1), Cultivar_1_Cohort_Year_Selection=$AI$278), ROUND(MAX(0,AI$320 - 1),0),
IF(AND(OR(AJ$279=123, AJ$279=12, AJ$279=23, AJ$279=2), Cultivar_2_Cohort_Year_Selection=$AI$278), ROUND(MAX(0,AI$320 - 1),0),
IF(AND(OR(AJ$279=123, AJ$279=13, AJ$279=23, AJ$279=3), Cultivar_3_Cohort_Year_Selection=$AI$278), ROUND(MAX(0,AI$320 - 1),0),
ROUND(MAX(0,AI$320),0)))))))),""),""),"")</f>
        <v/>
      </c>
      <c r="AK321" s="495" t="str">
        <f>IF(ISNUMBER($B$321),
IF($C321&lt;&gt;"",
IF(AND(ISNUMBER(AJ$280), ISNUMBER(AJ$317)),
IF(AND(AK$279=123, Cultivar_1_Cohort_Year_Selection=$AJ$278,Cultivar_2_Cohort_Year_Selection=$AJ$278,Cultivar_3_Cohort_Year_Selection=$AJ$278), ROUND(MAX(0,AJ$320 - 3),0),
IF(AND(OR(AK$279=123, AK$279=12), Cultivar_1_Cohort_Year_Selection=$AJ$278,Cultivar_2_Cohort_Year_Selection=$AJ$278), ROUND(MAX(0,AJ$320 - 2),0),
IF(AND(OR(AK$279=123, AK$279=13), Cultivar_1_Cohort_Year_Selection=$AJ$278,Cultivar_3_Cohort_Year_Selection=$AJ$278), ROUND(MAX(0,AJ$320 - 2),0),
IF(AND(OR(AK$279=123, AK$279=23), Cultivar_2_Cohort_Year_Selection=$AJ$278,Cultivar_3_Cohort_Year_Selection=$AJ$278), ROUND(MAX(0,AJ$320 - 2),0),
IF(AND(OR(AK$279=123, AK$279=12, AK$279=13, AK$279=1), Cultivar_1_Cohort_Year_Selection=$AJ$278), ROUND(MAX(0,AJ$320 - 1),0),
IF(AND(OR(AK$279=123, AK$279=12, AK$279=23, AK$279=2), Cultivar_2_Cohort_Year_Selection=$AJ$278), ROUND(MAX(0,AJ$320 - 1),0),
IF(AND(OR(AK$279=123, AK$279=13, AK$279=23, AK$279=3), Cultivar_3_Cohort_Year_Selection=$AJ$278), ROUND(MAX(0,AJ$320 - 1),0),
ROUND(MAX(0,AJ$320),0)))))))),""),""),"")</f>
        <v/>
      </c>
      <c r="AL321" s="495" t="str">
        <f>IF(ISNUMBER($B$321),
IF($C321&lt;&gt;"",
IF(AND(ISNUMBER(AK$280), ISNUMBER(AK$317)),
IF(AND(AL$279=123, Cultivar_1_Cohort_Year_Selection=$AK$278,Cultivar_2_Cohort_Year_Selection=$AK$278,Cultivar_3_Cohort_Year_Selection=$AK$278), ROUND(MAX(0,AK$320 - 3),0),
IF(AND(OR(AL$279=123, AL$279=12), Cultivar_1_Cohort_Year_Selection=$AK$278,Cultivar_2_Cohort_Year_Selection=$AK$278), ROUND(MAX(0,AK$320 - 2),0),
IF(AND(OR(AL$279=123, AL$279=13), Cultivar_1_Cohort_Year_Selection=$AK$278,Cultivar_3_Cohort_Year_Selection=$AK$278), ROUND(MAX(0,AK$320 - 2),0),
IF(AND(OR(AL$279=123, AL$279=23), Cultivar_2_Cohort_Year_Selection=$AK$278,Cultivar_3_Cohort_Year_Selection=$AK$278), ROUND(MAX(0,AK$320 - 2),0),
IF(AND(OR(AL$279=123, AL$279=12, AL$279=13, AL$279=1), Cultivar_1_Cohort_Year_Selection=$AK$278), ROUND(MAX(0,AK$320 - 1),0),
IF(AND(OR(AL$279=123, AL$279=12, AL$279=23, AL$279=2), Cultivar_2_Cohort_Year_Selection=$AK$278), ROUND(MAX(0,AK$320 - 1),0),
IF(AND(OR(AL$279=123, AL$279=13, AL$279=23, AL$279=3), Cultivar_3_Cohort_Year_Selection=$AK$278), ROUND(MAX(0,AK$320 - 1),0),
ROUND(MAX(0,AK$320),0)))))))),""),""),"")</f>
        <v/>
      </c>
      <c r="AM321" s="495" t="str">
        <f>IF(ISNUMBER($B$321),
IF($C321&lt;&gt;"",
IF(AND(ISNUMBER(AL$280), ISNUMBER(AL$317)),
IF(AND(AM$279=123, Cultivar_1_Cohort_Year_Selection=$AL$278,Cultivar_2_Cohort_Year_Selection=$AL$278,Cultivar_3_Cohort_Year_Selection=$AL$278), ROUND(MAX(0,AL$320 - 3),0),
IF(AND(OR(AM$279=123, AM$279=12), Cultivar_1_Cohort_Year_Selection=$AL$278,Cultivar_2_Cohort_Year_Selection=$AL$278), ROUND(MAX(0,AL$320 - 2),0),
IF(AND(OR(AM$279=123, AM$279=13), Cultivar_1_Cohort_Year_Selection=$AL$278,Cultivar_3_Cohort_Year_Selection=$AL$278), ROUND(MAX(0,AL$320 - 2),0),
IF(AND(OR(AM$279=123, AM$279=23), Cultivar_2_Cohort_Year_Selection=$AL$278,Cultivar_3_Cohort_Year_Selection=$AL$278), ROUND(MAX(0,AL$320 - 2),0),
IF(AND(OR(AM$279=123, AM$279=12, AM$279=13, AM$279=1), Cultivar_1_Cohort_Year_Selection=$AL$278), ROUND(MAX(0,AL$320 - 1),0),
IF(AND(OR(AM$279=123, AM$279=12, AM$279=23, AM$279=2), Cultivar_2_Cohort_Year_Selection=$AL$278), ROUND(MAX(0,AL$320 - 1),0),
IF(AND(OR(AM$279=123, AM$279=13, AM$279=23, AM$279=3), Cultivar_3_Cohort_Year_Selection=$AL$278), ROUND(MAX(0,AL$320 - 1),0),
ROUND(MAX(0,AL$320),0)))))))),""),""),"")</f>
        <v/>
      </c>
      <c r="AN321" s="495" t="str">
        <f>IF(ISNUMBER($B$321),
IF($C321&lt;&gt;"",
IF(AND(ISNUMBER(AM$280), ISNUMBER(AM$317)),
IF(AND(AN$279=123, Cultivar_1_Cohort_Year_Selection=$AM$278,Cultivar_2_Cohort_Year_Selection=$AM$278,Cultivar_3_Cohort_Year_Selection=$AM$278), ROUND(MAX(0,AM$320 - 3),0),
IF(AND(OR(AN$279=123, AN$279=12), Cultivar_1_Cohort_Year_Selection=$AM$278,Cultivar_2_Cohort_Year_Selection=$AM$278), ROUND(MAX(0,AM$320 - 2),0),
IF(AND(OR(AN$279=123, AN$279=13), Cultivar_1_Cohort_Year_Selection=$AM$278,Cultivar_3_Cohort_Year_Selection=$AM$278), ROUND(MAX(0,AM$320 - 2),0),
IF(AND(OR(AN$279=123, AN$279=23), Cultivar_2_Cohort_Year_Selection=$AM$278,Cultivar_3_Cohort_Year_Selection=$AM$278), ROUND(MAX(0,AM$320 - 2),0),
IF(AND(OR(AN$279=123, AN$279=12, AN$279=13, AN$279=1), Cultivar_1_Cohort_Year_Selection=$AM$278), ROUND(MAX(0,AM$320 - 1),0),
IF(AND(OR(AN$279=123, AN$279=12, AN$279=23, AN$279=2), Cultivar_2_Cohort_Year_Selection=$AM$278), ROUND(MAX(0,AM$320 - 1),0),
IF(AND(OR(AN$279=123, AN$279=13, AN$279=23, AN$279=3), Cultivar_3_Cohort_Year_Selection=$AM$278), ROUND(MAX(0,AM$320 - 1),0),
ROUND(MAX(0,AM$320),0)))))))),""),""),"")</f>
        <v/>
      </c>
      <c r="AO321" s="495" t="str">
        <f>IF(ISNUMBER($B$321),
IF($C321&lt;&gt;"",
IF(AND(ISNUMBER(AN$280), ISNUMBER(AN$317)),
IF(AND(AO$279=123, Cultivar_1_Cohort_Year_Selection=$AN$278,Cultivar_2_Cohort_Year_Selection=$AN$278,Cultivar_3_Cohort_Year_Selection=$AN$278), ROUND(MAX(0,AN$320 - 3),0),
IF(AND(OR(AO$279=123, AO$279=12), Cultivar_1_Cohort_Year_Selection=$AN$278,Cultivar_2_Cohort_Year_Selection=$AN$278), ROUND(MAX(0,AN$320 - 2),0),
IF(AND(OR(AO$279=123, AO$279=13), Cultivar_1_Cohort_Year_Selection=$AN$278,Cultivar_3_Cohort_Year_Selection=$AN$278), ROUND(MAX(0,AN$320 - 2),0),
IF(AND(OR(AO$279=123, AO$279=23), Cultivar_2_Cohort_Year_Selection=$AN$278,Cultivar_3_Cohort_Year_Selection=$AN$278), ROUND(MAX(0,AN$320 - 2),0),
IF(AND(OR(AO$279=123, AO$279=12, AO$279=13, AO$279=1), Cultivar_1_Cohort_Year_Selection=$AN$278), ROUND(MAX(0,AN$320 - 1),0),
IF(AND(OR(AO$279=123, AO$279=12, AO$279=23, AO$279=2), Cultivar_2_Cohort_Year_Selection=$AN$278), ROUND(MAX(0,AN$320 - 1),0),
IF(AND(OR(AO$279=123, AO$279=13, AO$279=23, AO$279=3), Cultivar_3_Cohort_Year_Selection=$AN$278), ROUND(MAX(0,AN$320 - 1),0),
ROUND(MAX(0,AN$320),0)))))))),""),""),"")</f>
        <v/>
      </c>
      <c r="AP321" s="495" t="str">
        <f>IF(ISNUMBER($B$321),
IF($C321&lt;&gt;"",
IF(AND(ISNUMBER(AO$280), ISNUMBER(AO$317)),
IF(AND(AP$279=123, Cultivar_1_Cohort_Year_Selection=$AO$278,Cultivar_2_Cohort_Year_Selection=$AO$278,Cultivar_3_Cohort_Year_Selection=$AO$278), ROUND(MAX(0,AO$320 - 3),0),
IF(AND(OR(AP$279=123, AP$279=12), Cultivar_1_Cohort_Year_Selection=$AO$278,Cultivar_2_Cohort_Year_Selection=$AO$278), ROUND(MAX(0,AO$320 - 2),0),
IF(AND(OR(AP$279=123, AP$279=13), Cultivar_1_Cohort_Year_Selection=$AO$278,Cultivar_3_Cohort_Year_Selection=$AO$278), ROUND(MAX(0,AO$320 - 2),0),
IF(AND(OR(AP$279=123, AP$279=23), Cultivar_2_Cohort_Year_Selection=$AO$278,Cultivar_3_Cohort_Year_Selection=$AO$278), ROUND(MAX(0,AO$320 - 2),0),
IF(AND(OR(AP$279=123, AP$279=12, AP$279=13, AP$279=1), Cultivar_1_Cohort_Year_Selection=$AO$278), ROUND(MAX(0,AO$320 - 1),0),
IF(AND(OR(AP$279=123, AP$279=12, AP$279=23, AP$279=2), Cultivar_2_Cohort_Year_Selection=$AO$278), ROUND(MAX(0,AO$320 - 1),0),
IF(AND(OR(AP$279=123, AP$279=13, AP$279=23, AP$279=3), Cultivar_3_Cohort_Year_Selection=$AO$278), ROUND(MAX(0,AO$320 - 1),0),
ROUND(MAX(0,AO$320),0)))))))),""),""),"")</f>
        <v/>
      </c>
      <c r="AQ321" s="495" t="str">
        <f>IF(ISNUMBER($B$321),
IF($C321&lt;&gt;"",
IF(AND(ISNUMBER(AP$280), ISNUMBER(AP$317)),
IF(AND(AQ$279=123, Cultivar_1_Cohort_Year_Selection=$AP$278,Cultivar_2_Cohort_Year_Selection=$AP$278,Cultivar_3_Cohort_Year_Selection=$AP$278), ROUND(MAX(0,AP$320 - 3),0),
IF(AND(OR(AQ$279=123, AQ$279=12), Cultivar_1_Cohort_Year_Selection=$AP$278,Cultivar_2_Cohort_Year_Selection=$AP$278), ROUND(MAX(0,AP$320 - 2),0),
IF(AND(OR(AQ$279=123, AQ$279=13), Cultivar_1_Cohort_Year_Selection=$AP$278,Cultivar_3_Cohort_Year_Selection=$AP$278), ROUND(MAX(0,AP$320 - 2),0),
IF(AND(OR(AQ$279=123, AQ$279=23), Cultivar_2_Cohort_Year_Selection=$AP$278,Cultivar_3_Cohort_Year_Selection=$AP$278), ROUND(MAX(0,AP$320 - 2),0),
IF(AND(OR(AQ$279=123, AQ$279=12, AQ$279=13, AQ$279=1), Cultivar_1_Cohort_Year_Selection=$AP$278), ROUND(MAX(0,AP$320 - 1),0),
IF(AND(OR(AQ$279=123, AQ$279=12, AQ$279=23, AQ$279=2), Cultivar_2_Cohort_Year_Selection=$AP$278), ROUND(MAX(0,AP$320 - 1),0),
IF(AND(OR(AQ$279=123, AQ$279=13, AQ$279=23, AQ$279=3), Cultivar_3_Cohort_Year_Selection=$AP$278), ROUND(MAX(0,AP$320 - 1),0),
ROUND(MAX(0,AP$320),0)))))))),""),""),"")</f>
        <v/>
      </c>
      <c r="AR321" s="495" t="str">
        <f>IF(ISNUMBER($B$321),
IF($C321&lt;&gt;"",
IF(AND(ISNUMBER(AQ$280), ISNUMBER(AQ$317)),
IF(AND(AR$279=123, Cultivar_1_Cohort_Year_Selection=$AQ$278,Cultivar_2_Cohort_Year_Selection=$AQ$278,Cultivar_3_Cohort_Year_Selection=$AQ$278), ROUND(MAX(0,AQ$320 - 3),0),
IF(AND(OR(AR$279=123, AR$279=12), Cultivar_1_Cohort_Year_Selection=$AQ$278,Cultivar_2_Cohort_Year_Selection=$AQ$278), ROUND(MAX(0,AQ$320 - 2),0),
IF(AND(OR(AR$279=123, AR$279=13), Cultivar_1_Cohort_Year_Selection=$AQ$278,Cultivar_3_Cohort_Year_Selection=$AQ$278), ROUND(MAX(0,AQ$320 - 2),0),
IF(AND(OR(AR$279=123, AR$279=23), Cultivar_2_Cohort_Year_Selection=$AQ$278,Cultivar_3_Cohort_Year_Selection=$AQ$278), ROUND(MAX(0,AQ$320 - 2),0),
IF(AND(OR(AR$279=123, AR$279=12, AR$279=13, AR$279=1), Cultivar_1_Cohort_Year_Selection=$AQ$278), ROUND(MAX(0,AQ$320 - 1),0),
IF(AND(OR(AR$279=123, AR$279=12, AR$279=23, AR$279=2), Cultivar_2_Cohort_Year_Selection=$AQ$278), ROUND(MAX(0,AQ$320 - 1),0),
IF(AND(OR(AR$279=123, AR$279=13, AR$279=23, AR$279=3), Cultivar_3_Cohort_Year_Selection=$AQ$278), ROUND(MAX(0,AQ$320 - 1),0),
ROUND(MAX(0,AQ$320),0)))))))),""),""),"")</f>
        <v/>
      </c>
    </row>
    <row r="322" spans="1:44" x14ac:dyDescent="0.25">
      <c r="A322" s="518"/>
      <c r="B322" s="504"/>
      <c r="C322" s="521"/>
      <c r="D322" s="94" t="str">
        <f>IF(AND(C321&lt;&gt;"", 'Cost Inputs'!$G$106&lt;&gt;""), 'Cost Inputs'!$G$106, "")</f>
        <v/>
      </c>
      <c r="E322" s="94" t="str">
        <f>IF(AND(C321&lt;&gt;"", 'Cost Inputs'!H128&lt;&gt;""), 'Cost Inputs'!H128, "")</f>
        <v/>
      </c>
      <c r="F322" s="492"/>
      <c r="G322" s="102" t="str">
        <f t="shared" si="16"/>
        <v/>
      </c>
      <c r="H322" s="492"/>
      <c r="I322" s="102" t="str">
        <f>IF($C321&lt;&gt;"", IF(AND($E322&lt;&gt;"", H321&lt;&gt;""), H321/($E321*$E322), 0), "")</f>
        <v/>
      </c>
      <c r="J322" s="492" t="str">
        <f>IF(AND(C322&lt;&gt;"",('Cost Inputs'!$I$86+'Cost Inputs'!$J$86+'Cost Inputs'!$K$86)&gt;0), 'Cost Inputs'!$I$86+'Cost Inputs'!$J$86+'Cost Inputs'!$K$86, "")</f>
        <v/>
      </c>
      <c r="K322" s="102" t="str">
        <f>IF($C321&lt;&gt;"", IF(AND($E322&lt;&gt;"", J321&lt;&gt;""), J321/($E321*$E322), 0), "")</f>
        <v/>
      </c>
      <c r="L322" s="525"/>
      <c r="M322" s="525"/>
      <c r="P322" s="496" t="str">
        <f>IF(ISNUMBER($B$280),
IF($C322&lt;&gt;"",
IF(AND(ISNUMBER('Stage 2 Randomized Selection'!F$2), 'Stage 2 Randomized Selection'!F$2&gt;0),
IF(AND(P$279=123, Cultivar_1_Cohort_Year_Selection=$O$278,Cultivar_2_Cohort_Year_Selection=$O$278,Cultivar_3_Cohort_Year_Selection=$O$278), MAX(0,'Stage 2 Randomized Selection'!F$2 - 3),
IF(AND(OR(P$279=123, P$279=12), Cultivar_1_Cohort_Year_Selection=$O$278,Cultivar_2_Cohort_Year_Selection=$O$278),  MAX(0,'Stage 2 Randomized Selection'!F$2 - 2),
IF(AND(OR(P$279=123, P$279=13), Cultivar_1_Cohort_Year_Selection=$O$278,Cultivar_3_Cohort_Year_Selection=$O$278), MAX(0,'Stage 2 Randomized Selection'!F$2 - 2),
IF(AND(OR(P$279=123, P$279=23), Cultivar_2_Cohort_Year_Selection=$O$278,Cultivar_3_Cohort_Year_Selection=$O$278), MAX(0,'Stage 2 Randomized Selection'!F$2 - 2),
IF(AND(OR(P$279=123, P$279=12, P$279=13, P$279=1), Cultivar_1_Cohort_Year_Selection=$O$278), MAX(0,'Stage 2 Randomized Selection'!F$2 - 1),
IF(AND(OR(P$279=123, P$279=12, P$279=23, P$279=2), Cultivar_2_Cohort_Year_Selection=$O$278), MAX(0,'Stage 2 Randomized Selection'!F$2 - 1),
IF(AND(OR(P$279=123, P$279=13, P$279=23, P$279=3), Cultivar_3_Cohort_Year_Selection=$O$278), MAX(0,'Stage 2 Randomized Selection'!F$2 - 1), 'Stage 2 Randomized Selection'!F$2))))))),""),""),"")</f>
        <v/>
      </c>
      <c r="Q322" s="496" t="str">
        <f>IF(ISNUMBER($B$280),
IF($C322&lt;&gt;"",
IF(AND(ISNUMBER('Stage 2 Randomized Selection'!G$2), 'Stage 2 Randomized Selection'!G$2&gt;0),
IF(AND(Q$279=123, Cultivar_1_Cohort_Year_Selection=$O$278,Cultivar_2_Cohort_Year_Selection=$O$278,Cultivar_3_Cohort_Year_Selection=$O$278), MAX(0,'Stage 2 Randomized Selection'!G$2 - 3),
IF(AND(OR(Q$279=123, Q$279=12), Cultivar_1_Cohort_Year_Selection=$O$278,Cultivar_2_Cohort_Year_Selection=$O$278),  MAX(0,'Stage 2 Randomized Selection'!G$2 - 2),
IF(AND(OR(Q$279=123, Q$279=13), Cultivar_1_Cohort_Year_Selection=$O$278,Cultivar_3_Cohort_Year_Selection=$O$278), MAX(0,'Stage 2 Randomized Selection'!G$2 - 2),
IF(AND(OR(Q$279=123, Q$279=23), Cultivar_2_Cohort_Year_Selection=$O$278,Cultivar_3_Cohort_Year_Selection=$O$278), MAX(0,'Stage 2 Randomized Selection'!G$2 - 2),
IF(AND(OR(Q$279=123, Q$279=12, Q$279=13, Q$279=1), Cultivar_1_Cohort_Year_Selection=$O$278), MAX(0,'Stage 2 Randomized Selection'!G$2 - 1),
IF(AND(OR(Q$279=123, Q$279=12, Q$279=23, Q$279=2), Cultivar_2_Cohort_Year_Selection=$O$278), MAX(0,'Stage 2 Randomized Selection'!G$2 - 1),
IF(AND(OR(Q$279=123, Q$279=13, Q$279=23, Q$279=3), Cultivar_3_Cohort_Year_Selection=$O$278), MAX(0,'Stage 2 Randomized Selection'!G$2 - 1), 'Stage 2 Randomized Selection'!G$2))))))),""),""),"")</f>
        <v/>
      </c>
      <c r="R322" s="496" t="str">
        <f>IF(ISNUMBER($B$280),
IF($C322&lt;&gt;"",
IF(AND(ISNUMBER('Stage 2 Randomized Selection'!H$2), 'Stage 2 Randomized Selection'!H$2&gt;0),
IF(AND(R$279=123, Cultivar_1_Cohort_Year_Selection=$O$278,Cultivar_2_Cohort_Year_Selection=$O$278,Cultivar_3_Cohort_Year_Selection=$O$278), MAX(0,'Stage 2 Randomized Selection'!H$2 - 3),
IF(AND(OR(R$279=123, R$279=12), Cultivar_1_Cohort_Year_Selection=$O$278,Cultivar_2_Cohort_Year_Selection=$O$278),  MAX(0,'Stage 2 Randomized Selection'!H$2 - 2),
IF(AND(OR(R$279=123, R$279=13), Cultivar_1_Cohort_Year_Selection=$O$278,Cultivar_3_Cohort_Year_Selection=$O$278), MAX(0,'Stage 2 Randomized Selection'!H$2 - 2),
IF(AND(OR(R$279=123, R$279=23), Cultivar_2_Cohort_Year_Selection=$O$278,Cultivar_3_Cohort_Year_Selection=$O$278), MAX(0,'Stage 2 Randomized Selection'!H$2 - 2),
IF(AND(OR(R$279=123, R$279=12, R$279=13, R$279=1), Cultivar_1_Cohort_Year_Selection=$O$278), MAX(0,'Stage 2 Randomized Selection'!H$2 - 1),
IF(AND(OR(R$279=123, R$279=12, R$279=23, R$279=2), Cultivar_2_Cohort_Year_Selection=$O$278), MAX(0,'Stage 2 Randomized Selection'!H$2 - 1),
IF(AND(OR(R$279=123, R$279=13, R$279=23, R$279=3), Cultivar_3_Cohort_Year_Selection=$O$278), MAX(0,'Stage 2 Randomized Selection'!H$2 - 1), 'Stage 2 Randomized Selection'!H$2))))))),""),""),"")</f>
        <v/>
      </c>
      <c r="S322" s="496" t="str">
        <f>IF(ISNUMBER($B$280),
IF($C322&lt;&gt;"",
IF(AND(ISNUMBER('Stage 2 Randomized Selection'!I$2), 'Stage 2 Randomized Selection'!I$2&gt;0),
IF(AND(S$279=123, Cultivar_1_Cohort_Year_Selection=$O$278,Cultivar_2_Cohort_Year_Selection=$O$278,Cultivar_3_Cohort_Year_Selection=$O$278), MAX(0,'Stage 2 Randomized Selection'!I$2 - 3),
IF(AND(OR(S$279=123, S$279=12), Cultivar_1_Cohort_Year_Selection=$O$278,Cultivar_2_Cohort_Year_Selection=$O$278),  MAX(0,'Stage 2 Randomized Selection'!I$2 - 2),
IF(AND(OR(S$279=123, S$279=13), Cultivar_1_Cohort_Year_Selection=$O$278,Cultivar_3_Cohort_Year_Selection=$O$278), MAX(0,'Stage 2 Randomized Selection'!I$2 - 2),
IF(AND(OR(S$279=123, S$279=23), Cultivar_2_Cohort_Year_Selection=$O$278,Cultivar_3_Cohort_Year_Selection=$O$278), MAX(0,'Stage 2 Randomized Selection'!I$2 - 2),
IF(AND(OR(S$279=123, S$279=12, S$279=13, S$279=1), Cultivar_1_Cohort_Year_Selection=$O$278), MAX(0,'Stage 2 Randomized Selection'!I$2 - 1),
IF(AND(OR(S$279=123, S$279=12, S$279=23, S$279=2), Cultivar_2_Cohort_Year_Selection=$O$278), MAX(0,'Stage 2 Randomized Selection'!I$2 - 1),
IF(AND(OR(S$279=123, S$279=13, S$279=23, S$279=3), Cultivar_3_Cohort_Year_Selection=$O$278), MAX(0,'Stage 2 Randomized Selection'!I$2 - 1), 'Stage 2 Randomized Selection'!I$2))))))),""),""),"")</f>
        <v/>
      </c>
      <c r="T322" s="496" t="str">
        <f>IF(ISNUMBER($B$280),
IF($C322&lt;&gt;"",
IF(AND(ISNUMBER('Stage 2 Randomized Selection'!J$2), 'Stage 2 Randomized Selection'!J$2&gt;0),
IF(AND(T$279=123, Cultivar_1_Cohort_Year_Selection=$O$278,Cultivar_2_Cohort_Year_Selection=$O$278,Cultivar_3_Cohort_Year_Selection=$O$278), MAX(0,'Stage 2 Randomized Selection'!J$2 - 3),
IF(AND(OR(T$279=123, T$279=12), Cultivar_1_Cohort_Year_Selection=$O$278,Cultivar_2_Cohort_Year_Selection=$O$278),  MAX(0,'Stage 2 Randomized Selection'!J$2 - 2),
IF(AND(OR(T$279=123, T$279=13), Cultivar_1_Cohort_Year_Selection=$O$278,Cultivar_3_Cohort_Year_Selection=$O$278), MAX(0,'Stage 2 Randomized Selection'!J$2 - 2),
IF(AND(OR(T$279=123, T$279=23), Cultivar_2_Cohort_Year_Selection=$O$278,Cultivar_3_Cohort_Year_Selection=$O$278), MAX(0,'Stage 2 Randomized Selection'!J$2 - 2),
IF(AND(OR(T$279=123, T$279=12, T$279=13, T$279=1), Cultivar_1_Cohort_Year_Selection=$O$278), MAX(0,'Stage 2 Randomized Selection'!J$2 - 1),
IF(AND(OR(T$279=123, T$279=12, T$279=23, T$279=2), Cultivar_2_Cohort_Year_Selection=$O$278), MAX(0,'Stage 2 Randomized Selection'!J$2 - 1),
IF(AND(OR(T$279=123, T$279=13, T$279=23, T$279=3), Cultivar_3_Cohort_Year_Selection=$O$278), MAX(0,'Stage 2 Randomized Selection'!J$2 - 1), 'Stage 2 Randomized Selection'!J$2))))))),""),""),"")</f>
        <v/>
      </c>
      <c r="U322" s="496" t="str">
        <f>IF(ISNUMBER($B$280),
IF($C322&lt;&gt;"",
IF(AND(ISNUMBER('Stage 2 Randomized Selection'!K$2), 'Stage 2 Randomized Selection'!K$2&gt;0),
IF(AND(U$279=123, Cultivar_1_Cohort_Year_Selection=$O$278,Cultivar_2_Cohort_Year_Selection=$O$278,Cultivar_3_Cohort_Year_Selection=$O$278), MAX(0,'Stage 2 Randomized Selection'!K$2 - 3),
IF(AND(OR(U$279=123, U$279=12), Cultivar_1_Cohort_Year_Selection=$O$278,Cultivar_2_Cohort_Year_Selection=$O$278),  MAX(0,'Stage 2 Randomized Selection'!K$2 - 2),
IF(AND(OR(U$279=123, U$279=13), Cultivar_1_Cohort_Year_Selection=$O$278,Cultivar_3_Cohort_Year_Selection=$O$278), MAX(0,'Stage 2 Randomized Selection'!K$2 - 2),
IF(AND(OR(U$279=123, U$279=23), Cultivar_2_Cohort_Year_Selection=$O$278,Cultivar_3_Cohort_Year_Selection=$O$278), MAX(0,'Stage 2 Randomized Selection'!K$2 - 2),
IF(AND(OR(U$279=123, U$279=12, U$279=13, U$279=1), Cultivar_1_Cohort_Year_Selection=$O$278), MAX(0,'Stage 2 Randomized Selection'!K$2 - 1),
IF(AND(OR(U$279=123, U$279=12, U$279=23, U$279=2), Cultivar_2_Cohort_Year_Selection=$O$278), MAX(0,'Stage 2 Randomized Selection'!K$2 - 1),
IF(AND(OR(U$279=123, U$279=13, U$279=23, U$279=3), Cultivar_3_Cohort_Year_Selection=$O$278), MAX(0,'Stage 2 Randomized Selection'!K$2 - 1), 'Stage 2 Randomized Selection'!K$2))))))),""),""),"")</f>
        <v/>
      </c>
      <c r="V322" s="496" t="str">
        <f>IF(ISNUMBER($B$280),
IF($C322&lt;&gt;"",
IF(AND(ISNUMBER('Stage 2 Randomized Selection'!L$2), 'Stage 2 Randomized Selection'!L$2&gt;0),
IF(AND(V$279=123, Cultivar_1_Cohort_Year_Selection=$O$278,Cultivar_2_Cohort_Year_Selection=$O$278,Cultivar_3_Cohort_Year_Selection=$O$278), MAX(0,'Stage 2 Randomized Selection'!L$2 - 3),
IF(AND(OR(V$279=123, V$279=12), Cultivar_1_Cohort_Year_Selection=$O$278,Cultivar_2_Cohort_Year_Selection=$O$278),  MAX(0,'Stage 2 Randomized Selection'!L$2 - 2),
IF(AND(OR(V$279=123, V$279=13), Cultivar_1_Cohort_Year_Selection=$O$278,Cultivar_3_Cohort_Year_Selection=$O$278), MAX(0,'Stage 2 Randomized Selection'!L$2 - 2),
IF(AND(OR(V$279=123, V$279=23), Cultivar_2_Cohort_Year_Selection=$O$278,Cultivar_3_Cohort_Year_Selection=$O$278), MAX(0,'Stage 2 Randomized Selection'!L$2 - 2),
IF(AND(OR(V$279=123, V$279=12, V$279=13, V$279=1), Cultivar_1_Cohort_Year_Selection=$O$278), MAX(0,'Stage 2 Randomized Selection'!L$2 - 1),
IF(AND(OR(V$279=123, V$279=12, V$279=23, V$279=2), Cultivar_2_Cohort_Year_Selection=$O$278), MAX(0,'Stage 2 Randomized Selection'!L$2 - 1),
IF(AND(OR(V$279=123, V$279=13, V$279=23, V$279=3), Cultivar_3_Cohort_Year_Selection=$O$278), MAX(0,'Stage 2 Randomized Selection'!L$2 - 1), 'Stage 2 Randomized Selection'!L$2))))))),""),""),"")</f>
        <v/>
      </c>
      <c r="W322" s="496" t="str">
        <f>IF(ISNUMBER($B$280),
IF($C322&lt;&gt;"",
IF(AND(ISNUMBER('Stage 2 Randomized Selection'!M$2), 'Stage 2 Randomized Selection'!M$2&gt;0),
IF(AND(W$279=123, Cultivar_1_Cohort_Year_Selection=$O$278,Cultivar_2_Cohort_Year_Selection=$O$278,Cultivar_3_Cohort_Year_Selection=$O$278), MAX(0,'Stage 2 Randomized Selection'!M$2 - 3),
IF(AND(OR(W$279=123, W$279=12), Cultivar_1_Cohort_Year_Selection=$O$278,Cultivar_2_Cohort_Year_Selection=$O$278),  MAX(0,'Stage 2 Randomized Selection'!M$2 - 2),
IF(AND(OR(W$279=123, W$279=13), Cultivar_1_Cohort_Year_Selection=$O$278,Cultivar_3_Cohort_Year_Selection=$O$278), MAX(0,'Stage 2 Randomized Selection'!M$2 - 2),
IF(AND(OR(W$279=123, W$279=23), Cultivar_2_Cohort_Year_Selection=$O$278,Cultivar_3_Cohort_Year_Selection=$O$278), MAX(0,'Stage 2 Randomized Selection'!M$2 - 2),
IF(AND(OR(W$279=123, W$279=12, W$279=13, W$279=1), Cultivar_1_Cohort_Year_Selection=$O$278), MAX(0,'Stage 2 Randomized Selection'!M$2 - 1),
IF(AND(OR(W$279=123, W$279=12, W$279=23, W$279=2), Cultivar_2_Cohort_Year_Selection=$O$278), MAX(0,'Stage 2 Randomized Selection'!M$2 - 1),
IF(AND(OR(W$279=123, W$279=13, W$279=23, W$279=3), Cultivar_3_Cohort_Year_Selection=$O$278), MAX(0,'Stage 2 Randomized Selection'!M$2 - 1), 'Stage 2 Randomized Selection'!M$2))))))),""),""),"")</f>
        <v/>
      </c>
      <c r="X322" s="496" t="str">
        <f>IF(ISNUMBER($B$280),
IF($C322&lt;&gt;"",
IF(AND(ISNUMBER('Stage 2 Randomized Selection'!N$2), 'Stage 2 Randomized Selection'!N$2&gt;0),
IF(AND(X$279=123, Cultivar_1_Cohort_Year_Selection=$O$278,Cultivar_2_Cohort_Year_Selection=$O$278,Cultivar_3_Cohort_Year_Selection=$O$278), MAX(0,'Stage 2 Randomized Selection'!N$2 - 3),
IF(AND(OR(X$279=123, X$279=12), Cultivar_1_Cohort_Year_Selection=$O$278,Cultivar_2_Cohort_Year_Selection=$O$278),  MAX(0,'Stage 2 Randomized Selection'!N$2 - 2),
IF(AND(OR(X$279=123, X$279=13), Cultivar_1_Cohort_Year_Selection=$O$278,Cultivar_3_Cohort_Year_Selection=$O$278), MAX(0,'Stage 2 Randomized Selection'!N$2 - 2),
IF(AND(OR(X$279=123, X$279=23), Cultivar_2_Cohort_Year_Selection=$O$278,Cultivar_3_Cohort_Year_Selection=$O$278), MAX(0,'Stage 2 Randomized Selection'!N$2 - 2),
IF(AND(OR(X$279=123, X$279=12, X$279=13, X$279=1), Cultivar_1_Cohort_Year_Selection=$O$278), MAX(0,'Stage 2 Randomized Selection'!N$2 - 1),
IF(AND(OR(X$279=123, X$279=12, X$279=23, X$279=2), Cultivar_2_Cohort_Year_Selection=$O$278), MAX(0,'Stage 2 Randomized Selection'!N$2 - 1),
IF(AND(OR(X$279=123, X$279=13, X$279=23, X$279=3), Cultivar_3_Cohort_Year_Selection=$O$278), MAX(0,'Stage 2 Randomized Selection'!N$2 - 1), 'Stage 2 Randomized Selection'!N$2))))))),""),""),"")</f>
        <v/>
      </c>
      <c r="Y322" s="496" t="str">
        <f>IF(ISNUMBER($B$280),
IF($C322&lt;&gt;"",
IF(AND(ISNUMBER('Stage 2 Randomized Selection'!O$2), 'Stage 2 Randomized Selection'!O$2&gt;0),
IF(AND(Y$279=123, Cultivar_1_Cohort_Year_Selection=$O$278,Cultivar_2_Cohort_Year_Selection=$O$278,Cultivar_3_Cohort_Year_Selection=$O$278), MAX(0,'Stage 2 Randomized Selection'!O$2 - 3),
IF(AND(OR(Y$279=123, Y$279=12), Cultivar_1_Cohort_Year_Selection=$O$278,Cultivar_2_Cohort_Year_Selection=$O$278),  MAX(0,'Stage 2 Randomized Selection'!O$2 - 2),
IF(AND(OR(Y$279=123, Y$279=13), Cultivar_1_Cohort_Year_Selection=$O$278,Cultivar_3_Cohort_Year_Selection=$O$278), MAX(0,'Stage 2 Randomized Selection'!O$2 - 2),
IF(AND(OR(Y$279=123, Y$279=23), Cultivar_2_Cohort_Year_Selection=$O$278,Cultivar_3_Cohort_Year_Selection=$O$278), MAX(0,'Stage 2 Randomized Selection'!O$2 - 2),
IF(AND(OR(Y$279=123, Y$279=12, Y$279=13, Y$279=1), Cultivar_1_Cohort_Year_Selection=$O$278), MAX(0,'Stage 2 Randomized Selection'!O$2 - 1),
IF(AND(OR(Y$279=123, Y$279=12, Y$279=23, Y$279=2), Cultivar_2_Cohort_Year_Selection=$O$278), MAX(0,'Stage 2 Randomized Selection'!O$2 - 1),
IF(AND(OR(Y$279=123, Y$279=13, Y$279=23, Y$279=3), Cultivar_3_Cohort_Year_Selection=$O$278), MAX(0,'Stage 2 Randomized Selection'!O$2 - 1), 'Stage 2 Randomized Selection'!O$2))))))),""),""),"")</f>
        <v/>
      </c>
      <c r="Z322" s="496" t="str">
        <f>IF(ISNUMBER($B$280),
IF($C322&lt;&gt;"",
IF(AND(ISNUMBER('Stage 2 Randomized Selection'!P$2), 'Stage 2 Randomized Selection'!P$2&gt;0),
IF(AND(Z$279=123, Cultivar_1_Cohort_Year_Selection=$O$278,Cultivar_2_Cohort_Year_Selection=$O$278,Cultivar_3_Cohort_Year_Selection=$O$278), MAX(0,'Stage 2 Randomized Selection'!P$2 - 3),
IF(AND(OR(Z$279=123, Z$279=12), Cultivar_1_Cohort_Year_Selection=$O$278,Cultivar_2_Cohort_Year_Selection=$O$278),  MAX(0,'Stage 2 Randomized Selection'!P$2 - 2),
IF(AND(OR(Z$279=123, Z$279=13), Cultivar_1_Cohort_Year_Selection=$O$278,Cultivar_3_Cohort_Year_Selection=$O$278), MAX(0,'Stage 2 Randomized Selection'!P$2 - 2),
IF(AND(OR(Z$279=123, Z$279=23), Cultivar_2_Cohort_Year_Selection=$O$278,Cultivar_3_Cohort_Year_Selection=$O$278), MAX(0,'Stage 2 Randomized Selection'!P$2 - 2),
IF(AND(OR(Z$279=123, Z$279=12, Z$279=13, Z$279=1), Cultivar_1_Cohort_Year_Selection=$O$278), MAX(0,'Stage 2 Randomized Selection'!P$2 - 1),
IF(AND(OR(Z$279=123, Z$279=12, Z$279=23, Z$279=2), Cultivar_2_Cohort_Year_Selection=$O$278), MAX(0,'Stage 2 Randomized Selection'!P$2 - 1),
IF(AND(OR(Z$279=123, Z$279=13, Z$279=23, Z$279=3), Cultivar_3_Cohort_Year_Selection=$O$278), MAX(0,'Stage 2 Randomized Selection'!P$2 - 1), 'Stage 2 Randomized Selection'!P$2))))))),""),""),"")</f>
        <v/>
      </c>
      <c r="AA322" s="496" t="str">
        <f>IF(ISNUMBER($B$280),
IF($C322&lt;&gt;"",
IF(AND(ISNUMBER('Stage 2 Randomized Selection'!Q$2), 'Stage 2 Randomized Selection'!Q$2&gt;0),
IF(AND(AA$279=123, Cultivar_1_Cohort_Year_Selection=$O$278,Cultivar_2_Cohort_Year_Selection=$O$278,Cultivar_3_Cohort_Year_Selection=$O$278), MAX(0,'Stage 2 Randomized Selection'!Q$2 - 3),
IF(AND(OR(AA$279=123, AA$279=12), Cultivar_1_Cohort_Year_Selection=$O$278,Cultivar_2_Cohort_Year_Selection=$O$278),  MAX(0,'Stage 2 Randomized Selection'!Q$2 - 2),
IF(AND(OR(AA$279=123, AA$279=13), Cultivar_1_Cohort_Year_Selection=$O$278,Cultivar_3_Cohort_Year_Selection=$O$278), MAX(0,'Stage 2 Randomized Selection'!Q$2 - 2),
IF(AND(OR(AA$279=123, AA$279=23), Cultivar_2_Cohort_Year_Selection=$O$278,Cultivar_3_Cohort_Year_Selection=$O$278), MAX(0,'Stage 2 Randomized Selection'!Q$2 - 2),
IF(AND(OR(AA$279=123, AA$279=12, AA$279=13, AA$279=1), Cultivar_1_Cohort_Year_Selection=$O$278), MAX(0,'Stage 2 Randomized Selection'!Q$2 - 1),
IF(AND(OR(AA$279=123, AA$279=12, AA$279=23, AA$279=2), Cultivar_2_Cohort_Year_Selection=$O$278), MAX(0,'Stage 2 Randomized Selection'!Q$2 - 1),
IF(AND(OR(AA$279=123, AA$279=13, AA$279=23, AA$279=3), Cultivar_3_Cohort_Year_Selection=$O$278), MAX(0,'Stage 2 Randomized Selection'!Q$2 - 1), 'Stage 2 Randomized Selection'!Q$2))))))),""),""),"")</f>
        <v/>
      </c>
      <c r="AB322" s="496" t="str">
        <f>IF(ISNUMBER($B$280),
IF($C322&lt;&gt;"",
IF(AND(ISNUMBER('Stage 2 Randomized Selection'!R$2), 'Stage 2 Randomized Selection'!R$2&gt;0),
IF(AND(AB$279=123, Cultivar_1_Cohort_Year_Selection=$O$278,Cultivar_2_Cohort_Year_Selection=$O$278,Cultivar_3_Cohort_Year_Selection=$O$278), MAX(0,'Stage 2 Randomized Selection'!R$2 - 3),
IF(AND(OR(AB$279=123, AB$279=12), Cultivar_1_Cohort_Year_Selection=$O$278,Cultivar_2_Cohort_Year_Selection=$O$278),  MAX(0,'Stage 2 Randomized Selection'!R$2 - 2),
IF(AND(OR(AB$279=123, AB$279=13), Cultivar_1_Cohort_Year_Selection=$O$278,Cultivar_3_Cohort_Year_Selection=$O$278), MAX(0,'Stage 2 Randomized Selection'!R$2 - 2),
IF(AND(OR(AB$279=123, AB$279=23), Cultivar_2_Cohort_Year_Selection=$O$278,Cultivar_3_Cohort_Year_Selection=$O$278), MAX(0,'Stage 2 Randomized Selection'!R$2 - 2),
IF(AND(OR(AB$279=123, AB$279=12, AB$279=13, AB$279=1), Cultivar_1_Cohort_Year_Selection=$O$278), MAX(0,'Stage 2 Randomized Selection'!R$2 - 1),
IF(AND(OR(AB$279=123, AB$279=12, AB$279=23, AB$279=2), Cultivar_2_Cohort_Year_Selection=$O$278), MAX(0,'Stage 2 Randomized Selection'!R$2 - 1),
IF(AND(OR(AB$279=123, AB$279=13, AB$279=23, AB$279=3), Cultivar_3_Cohort_Year_Selection=$O$278), MAX(0,'Stage 2 Randomized Selection'!R$2 - 1), 'Stage 2 Randomized Selection'!R$2))))))),""),""),"")</f>
        <v/>
      </c>
      <c r="AC322" s="496" t="str">
        <f>IF(ISNUMBER($B$280),
IF($C322&lt;&gt;"",
IF(AND(ISNUMBER('Stage 2 Randomized Selection'!S$2), 'Stage 2 Randomized Selection'!S$2&gt;0),
IF(AND(AC$279=123, Cultivar_1_Cohort_Year_Selection=$O$278,Cultivar_2_Cohort_Year_Selection=$O$278,Cultivar_3_Cohort_Year_Selection=$O$278), MAX(0,'Stage 2 Randomized Selection'!S$2 - 3),
IF(AND(OR(AC$279=123, AC$279=12), Cultivar_1_Cohort_Year_Selection=$O$278,Cultivar_2_Cohort_Year_Selection=$O$278),  MAX(0,'Stage 2 Randomized Selection'!S$2 - 2),
IF(AND(OR(AC$279=123, AC$279=13), Cultivar_1_Cohort_Year_Selection=$O$278,Cultivar_3_Cohort_Year_Selection=$O$278), MAX(0,'Stage 2 Randomized Selection'!S$2 - 2),
IF(AND(OR(AC$279=123, AC$279=23), Cultivar_2_Cohort_Year_Selection=$O$278,Cultivar_3_Cohort_Year_Selection=$O$278), MAX(0,'Stage 2 Randomized Selection'!S$2 - 2),
IF(AND(OR(AC$279=123, AC$279=12, AC$279=13, AC$279=1), Cultivar_1_Cohort_Year_Selection=$O$278), MAX(0,'Stage 2 Randomized Selection'!S$2 - 1),
IF(AND(OR(AC$279=123, AC$279=12, AC$279=23, AC$279=2), Cultivar_2_Cohort_Year_Selection=$O$278), MAX(0,'Stage 2 Randomized Selection'!S$2 - 1),
IF(AND(OR(AC$279=123, AC$279=13, AC$279=23, AC$279=3), Cultivar_3_Cohort_Year_Selection=$O$278), MAX(0,'Stage 2 Randomized Selection'!S$2 - 1), 'Stage 2 Randomized Selection'!S$2))))))),""),""),"")</f>
        <v/>
      </c>
      <c r="AD322" s="496" t="str">
        <f>IF(ISNUMBER($B$280),
IF($C322&lt;&gt;"",
IF(AND(ISNUMBER('Stage 2 Randomized Selection'!T$2), 'Stage 2 Randomized Selection'!T$2&gt;0),
IF(AND(AD$279=123, Cultivar_1_Cohort_Year_Selection=$O$278,Cultivar_2_Cohort_Year_Selection=$O$278,Cultivar_3_Cohort_Year_Selection=$O$278), MAX(0,'Stage 2 Randomized Selection'!T$2 - 3),
IF(AND(OR(AD$279=123, AD$279=12), Cultivar_1_Cohort_Year_Selection=$O$278,Cultivar_2_Cohort_Year_Selection=$O$278),  MAX(0,'Stage 2 Randomized Selection'!T$2 - 2),
IF(AND(OR(AD$279=123, AD$279=13), Cultivar_1_Cohort_Year_Selection=$O$278,Cultivar_3_Cohort_Year_Selection=$O$278), MAX(0,'Stage 2 Randomized Selection'!T$2 - 2),
IF(AND(OR(AD$279=123, AD$279=23), Cultivar_2_Cohort_Year_Selection=$O$278,Cultivar_3_Cohort_Year_Selection=$O$278), MAX(0,'Stage 2 Randomized Selection'!T$2 - 2),
IF(AND(OR(AD$279=123, AD$279=12, AD$279=13, AD$279=1), Cultivar_1_Cohort_Year_Selection=$O$278), MAX(0,'Stage 2 Randomized Selection'!T$2 - 1),
IF(AND(OR(AD$279=123, AD$279=12, AD$279=23, AD$279=2), Cultivar_2_Cohort_Year_Selection=$O$278), MAX(0,'Stage 2 Randomized Selection'!T$2 - 1),
IF(AND(OR(AD$279=123, AD$279=13, AD$279=23, AD$279=3), Cultivar_3_Cohort_Year_Selection=$O$278), MAX(0,'Stage 2 Randomized Selection'!T$2 - 1), 'Stage 2 Randomized Selection'!T$2))))))),""),""),"")</f>
        <v/>
      </c>
      <c r="AE322" s="496" t="str">
        <f>IF(ISNUMBER($B$280),
IF($C322&lt;&gt;"",
IF(AND(ISNUMBER('Stage 2 Randomized Selection'!U$2), 'Stage 2 Randomized Selection'!U$2&gt;0),
IF(AND(AE$279=123, Cultivar_1_Cohort_Year_Selection=$O$278,Cultivar_2_Cohort_Year_Selection=$O$278,Cultivar_3_Cohort_Year_Selection=$O$278), MAX(0,'Stage 2 Randomized Selection'!U$2 - 3),
IF(AND(OR(AE$279=123, AE$279=12), Cultivar_1_Cohort_Year_Selection=$O$278,Cultivar_2_Cohort_Year_Selection=$O$278),  MAX(0,'Stage 2 Randomized Selection'!U$2 - 2),
IF(AND(OR(AE$279=123, AE$279=13), Cultivar_1_Cohort_Year_Selection=$O$278,Cultivar_3_Cohort_Year_Selection=$O$278), MAX(0,'Stage 2 Randomized Selection'!U$2 - 2),
IF(AND(OR(AE$279=123, AE$279=23), Cultivar_2_Cohort_Year_Selection=$O$278,Cultivar_3_Cohort_Year_Selection=$O$278), MAX(0,'Stage 2 Randomized Selection'!U$2 - 2),
IF(AND(OR(AE$279=123, AE$279=12, AE$279=13, AE$279=1), Cultivar_1_Cohort_Year_Selection=$O$278), MAX(0,'Stage 2 Randomized Selection'!U$2 - 1),
IF(AND(OR(AE$279=123, AE$279=12, AE$279=23, AE$279=2), Cultivar_2_Cohort_Year_Selection=$O$278), MAX(0,'Stage 2 Randomized Selection'!U$2 - 1),
IF(AND(OR(AE$279=123, AE$279=13, AE$279=23, AE$279=3), Cultivar_3_Cohort_Year_Selection=$O$278), MAX(0,'Stage 2 Randomized Selection'!U$2 - 1), 'Stage 2 Randomized Selection'!U$2))))))),""),""),"")</f>
        <v/>
      </c>
      <c r="AF322" s="496" t="str">
        <f>IF(ISNUMBER($B$280),
IF($C322&lt;&gt;"",
IF(AND(ISNUMBER('Stage 2 Randomized Selection'!V$2), 'Stage 2 Randomized Selection'!V$2&gt;0),
IF(AND(AF$279=123, Cultivar_1_Cohort_Year_Selection=$O$278,Cultivar_2_Cohort_Year_Selection=$O$278,Cultivar_3_Cohort_Year_Selection=$O$278), MAX(0,'Stage 2 Randomized Selection'!V$2 - 3),
IF(AND(OR(AF$279=123, AF$279=12), Cultivar_1_Cohort_Year_Selection=$O$278,Cultivar_2_Cohort_Year_Selection=$O$278),  MAX(0,'Stage 2 Randomized Selection'!V$2 - 2),
IF(AND(OR(AF$279=123, AF$279=13), Cultivar_1_Cohort_Year_Selection=$O$278,Cultivar_3_Cohort_Year_Selection=$O$278), MAX(0,'Stage 2 Randomized Selection'!V$2 - 2),
IF(AND(OR(AF$279=123, AF$279=23), Cultivar_2_Cohort_Year_Selection=$O$278,Cultivar_3_Cohort_Year_Selection=$O$278), MAX(0,'Stage 2 Randomized Selection'!V$2 - 2),
IF(AND(OR(AF$279=123, AF$279=12, AF$279=13, AF$279=1), Cultivar_1_Cohort_Year_Selection=$O$278), MAX(0,'Stage 2 Randomized Selection'!V$2 - 1),
IF(AND(OR(AF$279=123, AF$279=12, AF$279=23, AF$279=2), Cultivar_2_Cohort_Year_Selection=$O$278), MAX(0,'Stage 2 Randomized Selection'!V$2 - 1),
IF(AND(OR(AF$279=123, AF$279=13, AF$279=23, AF$279=3), Cultivar_3_Cohort_Year_Selection=$O$278), MAX(0,'Stage 2 Randomized Selection'!V$2 - 1), 'Stage 2 Randomized Selection'!V$2))))))),""),""),"")</f>
        <v/>
      </c>
      <c r="AG322" s="496" t="str">
        <f>IF(ISNUMBER($B$280),
IF($C322&lt;&gt;"",
IF(AND(ISNUMBER('Stage 2 Randomized Selection'!W$2), 'Stage 2 Randomized Selection'!W$2&gt;0),
IF(AND(AG$279=123, Cultivar_1_Cohort_Year_Selection=$O$278,Cultivar_2_Cohort_Year_Selection=$O$278,Cultivar_3_Cohort_Year_Selection=$O$278), MAX(0,'Stage 2 Randomized Selection'!W$2 - 3),
IF(AND(OR(AG$279=123, AG$279=12), Cultivar_1_Cohort_Year_Selection=$O$278,Cultivar_2_Cohort_Year_Selection=$O$278),  MAX(0,'Stage 2 Randomized Selection'!W$2 - 2),
IF(AND(OR(AG$279=123, AG$279=13), Cultivar_1_Cohort_Year_Selection=$O$278,Cultivar_3_Cohort_Year_Selection=$O$278), MAX(0,'Stage 2 Randomized Selection'!W$2 - 2),
IF(AND(OR(AG$279=123, AG$279=23), Cultivar_2_Cohort_Year_Selection=$O$278,Cultivar_3_Cohort_Year_Selection=$O$278), MAX(0,'Stage 2 Randomized Selection'!W$2 - 2),
IF(AND(OR(AG$279=123, AG$279=12, AG$279=13, AG$279=1), Cultivar_1_Cohort_Year_Selection=$O$278), MAX(0,'Stage 2 Randomized Selection'!W$2 - 1),
IF(AND(OR(AG$279=123, AG$279=12, AG$279=23, AG$279=2), Cultivar_2_Cohort_Year_Selection=$O$278), MAX(0,'Stage 2 Randomized Selection'!W$2 - 1),
IF(AND(OR(AG$279=123, AG$279=13, AG$279=23, AG$279=3), Cultivar_3_Cohort_Year_Selection=$O$278), MAX(0,'Stage 2 Randomized Selection'!W$2 - 1), 'Stage 2 Randomized Selection'!W$2))))))),""),""),"")</f>
        <v/>
      </c>
      <c r="AH322" s="496" t="str">
        <f>IF(ISNUMBER($B$280),
IF($C322&lt;&gt;"",
IF(AND(ISNUMBER('Stage 2 Randomized Selection'!X$2), 'Stage 2 Randomized Selection'!X$2&gt;0),
IF(AND(AH$279=123, Cultivar_1_Cohort_Year_Selection=$O$278,Cultivar_2_Cohort_Year_Selection=$O$278,Cultivar_3_Cohort_Year_Selection=$O$278), MAX(0,'Stage 2 Randomized Selection'!X$2 - 3),
IF(AND(OR(AH$279=123, AH$279=12), Cultivar_1_Cohort_Year_Selection=$O$278,Cultivar_2_Cohort_Year_Selection=$O$278),  MAX(0,'Stage 2 Randomized Selection'!X$2 - 2),
IF(AND(OR(AH$279=123, AH$279=13), Cultivar_1_Cohort_Year_Selection=$O$278,Cultivar_3_Cohort_Year_Selection=$O$278), MAX(0,'Stage 2 Randomized Selection'!X$2 - 2),
IF(AND(OR(AH$279=123, AH$279=23), Cultivar_2_Cohort_Year_Selection=$O$278,Cultivar_3_Cohort_Year_Selection=$O$278), MAX(0,'Stage 2 Randomized Selection'!X$2 - 2),
IF(AND(OR(AH$279=123, AH$279=12, AH$279=13, AH$279=1), Cultivar_1_Cohort_Year_Selection=$O$278), MAX(0,'Stage 2 Randomized Selection'!X$2 - 1),
IF(AND(OR(AH$279=123, AH$279=12, AH$279=23, AH$279=2), Cultivar_2_Cohort_Year_Selection=$O$278), MAX(0,'Stage 2 Randomized Selection'!X$2 - 1),
IF(AND(OR(AH$279=123, AH$279=13, AH$279=23, AH$279=3), Cultivar_3_Cohort_Year_Selection=$O$278), MAX(0,'Stage 2 Randomized Selection'!X$2 - 1), 'Stage 2 Randomized Selection'!X$2))))))),""),""),"")</f>
        <v/>
      </c>
      <c r="AI322" s="496" t="str">
        <f>IF(ISNUMBER($B$280),
IF($C322&lt;&gt;"",
IF(AND(ISNUMBER('Stage 2 Randomized Selection'!Y$2), 'Stage 2 Randomized Selection'!Y$2&gt;0),
IF(AND(AI$279=123, Cultivar_1_Cohort_Year_Selection=$O$278,Cultivar_2_Cohort_Year_Selection=$O$278,Cultivar_3_Cohort_Year_Selection=$O$278), MAX(0,'Stage 2 Randomized Selection'!Y$2 - 3),
IF(AND(OR(AI$279=123, AI$279=12), Cultivar_1_Cohort_Year_Selection=$O$278,Cultivar_2_Cohort_Year_Selection=$O$278),  MAX(0,'Stage 2 Randomized Selection'!Y$2 - 2),
IF(AND(OR(AI$279=123, AI$279=13), Cultivar_1_Cohort_Year_Selection=$O$278,Cultivar_3_Cohort_Year_Selection=$O$278), MAX(0,'Stage 2 Randomized Selection'!Y$2 - 2),
IF(AND(OR(AI$279=123, AI$279=23), Cultivar_2_Cohort_Year_Selection=$O$278,Cultivar_3_Cohort_Year_Selection=$O$278), MAX(0,'Stage 2 Randomized Selection'!Y$2 - 2),
IF(AND(OR(AI$279=123, AI$279=12, AI$279=13, AI$279=1), Cultivar_1_Cohort_Year_Selection=$O$278), MAX(0,'Stage 2 Randomized Selection'!Y$2 - 1),
IF(AND(OR(AI$279=123, AI$279=12, AI$279=23, AI$279=2), Cultivar_2_Cohort_Year_Selection=$O$278), MAX(0,'Stage 2 Randomized Selection'!Y$2 - 1),
IF(AND(OR(AI$279=123, AI$279=13, AI$279=23, AI$279=3), Cultivar_3_Cohort_Year_Selection=$O$278), MAX(0,'Stage 2 Randomized Selection'!Y$2 - 1), 'Stage 2 Randomized Selection'!Y$2))))))),""),""),"")</f>
        <v/>
      </c>
      <c r="AJ322" s="496" t="str">
        <f>IF(ISNUMBER($B$280),
IF($C322&lt;&gt;"",
IF(AND(ISNUMBER('Stage 2 Randomized Selection'!Z$2), 'Stage 2 Randomized Selection'!Z$2&gt;0),
IF(AND(AJ$279=123, Cultivar_1_Cohort_Year_Selection=$O$278,Cultivar_2_Cohort_Year_Selection=$O$278,Cultivar_3_Cohort_Year_Selection=$O$278), MAX(0,'Stage 2 Randomized Selection'!Z$2 - 3),
IF(AND(OR(AJ$279=123, AJ$279=12), Cultivar_1_Cohort_Year_Selection=$O$278,Cultivar_2_Cohort_Year_Selection=$O$278),  MAX(0,'Stage 2 Randomized Selection'!Z$2 - 2),
IF(AND(OR(AJ$279=123, AJ$279=13), Cultivar_1_Cohort_Year_Selection=$O$278,Cultivar_3_Cohort_Year_Selection=$O$278), MAX(0,'Stage 2 Randomized Selection'!Z$2 - 2),
IF(AND(OR(AJ$279=123, AJ$279=23), Cultivar_2_Cohort_Year_Selection=$O$278,Cultivar_3_Cohort_Year_Selection=$O$278), MAX(0,'Stage 2 Randomized Selection'!Z$2 - 2),
IF(AND(OR(AJ$279=123, AJ$279=12, AJ$279=13, AJ$279=1), Cultivar_1_Cohort_Year_Selection=$O$278), MAX(0,'Stage 2 Randomized Selection'!Z$2 - 1),
IF(AND(OR(AJ$279=123, AJ$279=12, AJ$279=23, AJ$279=2), Cultivar_2_Cohort_Year_Selection=$O$278), MAX(0,'Stage 2 Randomized Selection'!Z$2 - 1),
IF(AND(OR(AJ$279=123, AJ$279=13, AJ$279=23, AJ$279=3), Cultivar_3_Cohort_Year_Selection=$O$278), MAX(0,'Stage 2 Randomized Selection'!Z$2 - 1), 'Stage 2 Randomized Selection'!Z$2))))))),""),""),"")</f>
        <v/>
      </c>
      <c r="AK322" s="496" t="str">
        <f>IF(ISNUMBER($B$280),
IF($C322&lt;&gt;"",
IF(AND(ISNUMBER('Stage 2 Randomized Selection'!AA$2), 'Stage 2 Randomized Selection'!AA$2&gt;0),
IF(AND(AK$279=123, Cultivar_1_Cohort_Year_Selection=$O$278,Cultivar_2_Cohort_Year_Selection=$O$278,Cultivar_3_Cohort_Year_Selection=$O$278), MAX(0,'Stage 2 Randomized Selection'!AA$2 - 3),
IF(AND(OR(AK$279=123, AK$279=12), Cultivar_1_Cohort_Year_Selection=$O$278,Cultivar_2_Cohort_Year_Selection=$O$278),  MAX(0,'Stage 2 Randomized Selection'!AA$2 - 2),
IF(AND(OR(AK$279=123, AK$279=13), Cultivar_1_Cohort_Year_Selection=$O$278,Cultivar_3_Cohort_Year_Selection=$O$278), MAX(0,'Stage 2 Randomized Selection'!AA$2 - 2),
IF(AND(OR(AK$279=123, AK$279=23), Cultivar_2_Cohort_Year_Selection=$O$278,Cultivar_3_Cohort_Year_Selection=$O$278), MAX(0,'Stage 2 Randomized Selection'!AA$2 - 2),
IF(AND(OR(AK$279=123, AK$279=12, AK$279=13, AK$279=1), Cultivar_1_Cohort_Year_Selection=$O$278), MAX(0,'Stage 2 Randomized Selection'!AA$2 - 1),
IF(AND(OR(AK$279=123, AK$279=12, AK$279=23, AK$279=2), Cultivar_2_Cohort_Year_Selection=$O$278), MAX(0,'Stage 2 Randomized Selection'!AA$2 - 1),
IF(AND(OR(AK$279=123, AK$279=13, AK$279=23, AK$279=3), Cultivar_3_Cohort_Year_Selection=$O$278), MAX(0,'Stage 2 Randomized Selection'!AA$2 - 1), 'Stage 2 Randomized Selection'!AA$2))))))),""),""),"")</f>
        <v/>
      </c>
      <c r="AL322" s="496" t="str">
        <f>IF(ISNUMBER($B$280),
IF($C322&lt;&gt;"",
IF(AND(ISNUMBER('Stage 2 Randomized Selection'!AB$2), 'Stage 2 Randomized Selection'!AB$2&gt;0),
IF(AND(AL$279=123, Cultivar_1_Cohort_Year_Selection=$O$278,Cultivar_2_Cohort_Year_Selection=$O$278,Cultivar_3_Cohort_Year_Selection=$O$278), MAX(0,'Stage 2 Randomized Selection'!AB$2 - 3),
IF(AND(OR(AL$279=123, AL$279=12), Cultivar_1_Cohort_Year_Selection=$O$278,Cultivar_2_Cohort_Year_Selection=$O$278),  MAX(0,'Stage 2 Randomized Selection'!AB$2 - 2),
IF(AND(OR(AL$279=123, AL$279=13), Cultivar_1_Cohort_Year_Selection=$O$278,Cultivar_3_Cohort_Year_Selection=$O$278), MAX(0,'Stage 2 Randomized Selection'!AB$2 - 2),
IF(AND(OR(AL$279=123, AL$279=23), Cultivar_2_Cohort_Year_Selection=$O$278,Cultivar_3_Cohort_Year_Selection=$O$278), MAX(0,'Stage 2 Randomized Selection'!AB$2 - 2),
IF(AND(OR(AL$279=123, AL$279=12, AL$279=13, AL$279=1), Cultivar_1_Cohort_Year_Selection=$O$278), MAX(0,'Stage 2 Randomized Selection'!AB$2 - 1),
IF(AND(OR(AL$279=123, AL$279=12, AL$279=23, AL$279=2), Cultivar_2_Cohort_Year_Selection=$O$278), MAX(0,'Stage 2 Randomized Selection'!AB$2 - 1),
IF(AND(OR(AL$279=123, AL$279=13, AL$279=23, AL$279=3), Cultivar_3_Cohort_Year_Selection=$O$278), MAX(0,'Stage 2 Randomized Selection'!AB$2 - 1), 'Stage 2 Randomized Selection'!AB$2))))))),""),""),"")</f>
        <v/>
      </c>
      <c r="AM322" s="496" t="str">
        <f>IF(ISNUMBER($B$280),
IF($C322&lt;&gt;"",
IF(AND(ISNUMBER('Stage 2 Randomized Selection'!AC$2), 'Stage 2 Randomized Selection'!AC$2&gt;0),
IF(AND(AM$279=123, Cultivar_1_Cohort_Year_Selection=$O$278,Cultivar_2_Cohort_Year_Selection=$O$278,Cultivar_3_Cohort_Year_Selection=$O$278), MAX(0,'Stage 2 Randomized Selection'!AC$2 - 3),
IF(AND(OR(AM$279=123, AM$279=12), Cultivar_1_Cohort_Year_Selection=$O$278,Cultivar_2_Cohort_Year_Selection=$O$278),  MAX(0,'Stage 2 Randomized Selection'!AC$2 - 2),
IF(AND(OR(AM$279=123, AM$279=13), Cultivar_1_Cohort_Year_Selection=$O$278,Cultivar_3_Cohort_Year_Selection=$O$278), MAX(0,'Stage 2 Randomized Selection'!AC$2 - 2),
IF(AND(OR(AM$279=123, AM$279=23), Cultivar_2_Cohort_Year_Selection=$O$278,Cultivar_3_Cohort_Year_Selection=$O$278), MAX(0,'Stage 2 Randomized Selection'!AC$2 - 2),
IF(AND(OR(AM$279=123, AM$279=12, AM$279=13, AM$279=1), Cultivar_1_Cohort_Year_Selection=$O$278), MAX(0,'Stage 2 Randomized Selection'!AC$2 - 1),
IF(AND(OR(AM$279=123, AM$279=12, AM$279=23, AM$279=2), Cultivar_2_Cohort_Year_Selection=$O$278), MAX(0,'Stage 2 Randomized Selection'!AC$2 - 1),
IF(AND(OR(AM$279=123, AM$279=13, AM$279=23, AM$279=3), Cultivar_3_Cohort_Year_Selection=$O$278), MAX(0,'Stage 2 Randomized Selection'!AC$2 - 1), 'Stage 2 Randomized Selection'!AC$2))))))),""),""),"")</f>
        <v/>
      </c>
      <c r="AN322" s="496" t="str">
        <f>IF(ISNUMBER($B$280),
IF($C322&lt;&gt;"",
IF(AND(ISNUMBER('Stage 2 Randomized Selection'!AD$2), 'Stage 2 Randomized Selection'!AD$2&gt;0),
IF(AND(AN$279=123, Cultivar_1_Cohort_Year_Selection=$O$278,Cultivar_2_Cohort_Year_Selection=$O$278,Cultivar_3_Cohort_Year_Selection=$O$278), MAX(0,'Stage 2 Randomized Selection'!AD$2 - 3),
IF(AND(OR(AN$279=123, AN$279=12), Cultivar_1_Cohort_Year_Selection=$O$278,Cultivar_2_Cohort_Year_Selection=$O$278),  MAX(0,'Stage 2 Randomized Selection'!AD$2 - 2),
IF(AND(OR(AN$279=123, AN$279=13), Cultivar_1_Cohort_Year_Selection=$O$278,Cultivar_3_Cohort_Year_Selection=$O$278), MAX(0,'Stage 2 Randomized Selection'!AD$2 - 2),
IF(AND(OR(AN$279=123, AN$279=23), Cultivar_2_Cohort_Year_Selection=$O$278,Cultivar_3_Cohort_Year_Selection=$O$278), MAX(0,'Stage 2 Randomized Selection'!AD$2 - 2),
IF(AND(OR(AN$279=123, AN$279=12, AN$279=13, AN$279=1), Cultivar_1_Cohort_Year_Selection=$O$278), MAX(0,'Stage 2 Randomized Selection'!AD$2 - 1),
IF(AND(OR(AN$279=123, AN$279=12, AN$279=23, AN$279=2), Cultivar_2_Cohort_Year_Selection=$O$278), MAX(0,'Stage 2 Randomized Selection'!AD$2 - 1),
IF(AND(OR(AN$279=123, AN$279=13, AN$279=23, AN$279=3), Cultivar_3_Cohort_Year_Selection=$O$278), MAX(0,'Stage 2 Randomized Selection'!AD$2 - 1), 'Stage 2 Randomized Selection'!AD$2))))))),""),""),"")</f>
        <v/>
      </c>
      <c r="AO322" s="496" t="str">
        <f>IF(ISNUMBER($B$280),
IF($C322&lt;&gt;"",
IF(AND(ISNUMBER('Stage 2 Randomized Selection'!AE$2), 'Stage 2 Randomized Selection'!AE$2&gt;0),
IF(AND(AO$279=123, Cultivar_1_Cohort_Year_Selection=$O$278,Cultivar_2_Cohort_Year_Selection=$O$278,Cultivar_3_Cohort_Year_Selection=$O$278), MAX(0,'Stage 2 Randomized Selection'!AE$2 - 3),
IF(AND(OR(AO$279=123, AO$279=12), Cultivar_1_Cohort_Year_Selection=$O$278,Cultivar_2_Cohort_Year_Selection=$O$278),  MAX(0,'Stage 2 Randomized Selection'!AE$2 - 2),
IF(AND(OR(AO$279=123, AO$279=13), Cultivar_1_Cohort_Year_Selection=$O$278,Cultivar_3_Cohort_Year_Selection=$O$278), MAX(0,'Stage 2 Randomized Selection'!AE$2 - 2),
IF(AND(OR(AO$279=123, AO$279=23), Cultivar_2_Cohort_Year_Selection=$O$278,Cultivar_3_Cohort_Year_Selection=$O$278), MAX(0,'Stage 2 Randomized Selection'!AE$2 - 2),
IF(AND(OR(AO$279=123, AO$279=12, AO$279=13, AO$279=1), Cultivar_1_Cohort_Year_Selection=$O$278), MAX(0,'Stage 2 Randomized Selection'!AE$2 - 1),
IF(AND(OR(AO$279=123, AO$279=12, AO$279=23, AO$279=2), Cultivar_2_Cohort_Year_Selection=$O$278), MAX(0,'Stage 2 Randomized Selection'!AE$2 - 1),
IF(AND(OR(AO$279=123, AO$279=13, AO$279=23, AO$279=3), Cultivar_3_Cohort_Year_Selection=$O$278), MAX(0,'Stage 2 Randomized Selection'!AE$2 - 1), 'Stage 2 Randomized Selection'!AE$2))))))),""),""),"")</f>
        <v/>
      </c>
      <c r="AP322" s="496" t="str">
        <f>IF(ISNUMBER($B$280),
IF($C322&lt;&gt;"",
IF(AND(ISNUMBER('Stage 2 Randomized Selection'!AF$2), 'Stage 2 Randomized Selection'!AF$2&gt;0),
IF(AND(AP$279=123, Cultivar_1_Cohort_Year_Selection=$O$278,Cultivar_2_Cohort_Year_Selection=$O$278,Cultivar_3_Cohort_Year_Selection=$O$278), MAX(0,'Stage 2 Randomized Selection'!AF$2 - 3),
IF(AND(OR(AP$279=123, AP$279=12), Cultivar_1_Cohort_Year_Selection=$O$278,Cultivar_2_Cohort_Year_Selection=$O$278),  MAX(0,'Stage 2 Randomized Selection'!AF$2 - 2),
IF(AND(OR(AP$279=123, AP$279=13), Cultivar_1_Cohort_Year_Selection=$O$278,Cultivar_3_Cohort_Year_Selection=$O$278), MAX(0,'Stage 2 Randomized Selection'!AF$2 - 2),
IF(AND(OR(AP$279=123, AP$279=23), Cultivar_2_Cohort_Year_Selection=$O$278,Cultivar_3_Cohort_Year_Selection=$O$278), MAX(0,'Stage 2 Randomized Selection'!AF$2 - 2),
IF(AND(OR(AP$279=123, AP$279=12, AP$279=13, AP$279=1), Cultivar_1_Cohort_Year_Selection=$O$278), MAX(0,'Stage 2 Randomized Selection'!AF$2 - 1),
IF(AND(OR(AP$279=123, AP$279=12, AP$279=23, AP$279=2), Cultivar_2_Cohort_Year_Selection=$O$278), MAX(0,'Stage 2 Randomized Selection'!AF$2 - 1),
IF(AND(OR(AP$279=123, AP$279=13, AP$279=23, AP$279=3), Cultivar_3_Cohort_Year_Selection=$O$278), MAX(0,'Stage 2 Randomized Selection'!AF$2 - 1), 'Stage 2 Randomized Selection'!AF$2))))))),""),""),"")</f>
        <v/>
      </c>
      <c r="AQ322" s="496" t="str">
        <f>IF(ISNUMBER($B$280),
IF($C322&lt;&gt;"",
IF(AND(ISNUMBER('Stage 2 Randomized Selection'!AG$2), 'Stage 2 Randomized Selection'!AG$2&gt;0),
IF(AND(AQ$279=123, Cultivar_1_Cohort_Year_Selection=$O$278,Cultivar_2_Cohort_Year_Selection=$O$278,Cultivar_3_Cohort_Year_Selection=$O$278), MAX(0,'Stage 2 Randomized Selection'!AG$2 - 3),
IF(AND(OR(AQ$279=123, AQ$279=12), Cultivar_1_Cohort_Year_Selection=$O$278,Cultivar_2_Cohort_Year_Selection=$O$278),  MAX(0,'Stage 2 Randomized Selection'!AG$2 - 2),
IF(AND(OR(AQ$279=123, AQ$279=13), Cultivar_1_Cohort_Year_Selection=$O$278,Cultivar_3_Cohort_Year_Selection=$O$278), MAX(0,'Stage 2 Randomized Selection'!AG$2 - 2),
IF(AND(OR(AQ$279=123, AQ$279=23), Cultivar_2_Cohort_Year_Selection=$O$278,Cultivar_3_Cohort_Year_Selection=$O$278), MAX(0,'Stage 2 Randomized Selection'!AG$2 - 2),
IF(AND(OR(AQ$279=123, AQ$279=12, AQ$279=13, AQ$279=1), Cultivar_1_Cohort_Year_Selection=$O$278), MAX(0,'Stage 2 Randomized Selection'!AG$2 - 1),
IF(AND(OR(AQ$279=123, AQ$279=12, AQ$279=23, AQ$279=2), Cultivar_2_Cohort_Year_Selection=$O$278), MAX(0,'Stage 2 Randomized Selection'!AG$2 - 1),
IF(AND(OR(AQ$279=123, AQ$279=13, AQ$279=23, AQ$279=3), Cultivar_3_Cohort_Year_Selection=$O$278), MAX(0,'Stage 2 Randomized Selection'!AG$2 - 1), 'Stage 2 Randomized Selection'!AG$2))))))),""),""),"")</f>
        <v/>
      </c>
      <c r="AR322" s="496" t="str">
        <f>IF(ISNUMBER($B$280),
IF($C322&lt;&gt;"",
IF(AND(ISNUMBER('Stage 2 Randomized Selection'!AH$2), 'Stage 2 Randomized Selection'!AH$2&gt;0),
IF(AND(AR$279=123, Cultivar_1_Cohort_Year_Selection=$O$278,Cultivar_2_Cohort_Year_Selection=$O$278,Cultivar_3_Cohort_Year_Selection=$O$278), MAX(0,'Stage 2 Randomized Selection'!AH$2 - 3),
IF(AND(OR(AR$279=123, AR$279=12), Cultivar_1_Cohort_Year_Selection=$O$278,Cultivar_2_Cohort_Year_Selection=$O$278),  MAX(0,'Stage 2 Randomized Selection'!AH$2 - 2),
IF(AND(OR(AR$279=123, AR$279=13), Cultivar_1_Cohort_Year_Selection=$O$278,Cultivar_3_Cohort_Year_Selection=$O$278), MAX(0,'Stage 2 Randomized Selection'!AH$2 - 2),
IF(AND(OR(AR$279=123, AR$279=23), Cultivar_2_Cohort_Year_Selection=$O$278,Cultivar_3_Cohort_Year_Selection=$O$278), MAX(0,'Stage 2 Randomized Selection'!AH$2 - 2),
IF(AND(OR(AR$279=123, AR$279=12, AR$279=13, AR$279=1), Cultivar_1_Cohort_Year_Selection=$O$278), MAX(0,'Stage 2 Randomized Selection'!AH$2 - 1),
IF(AND(OR(AR$279=123, AR$279=12, AR$279=23, AR$279=2), Cultivar_2_Cohort_Year_Selection=$O$278), MAX(0,'Stage 2 Randomized Selection'!AH$2 - 1),
IF(AND(OR(AR$279=123, AR$279=13, AR$279=23, AR$279=3), Cultivar_3_Cohort_Year_Selection=$O$278), MAX(0,'Stage 2 Randomized Selection'!AH$2 - 1), 'Stage 2 Randomized Selection'!AH$2))))))),""),""),"")</f>
        <v/>
      </c>
    </row>
    <row r="323" spans="1:44" x14ac:dyDescent="0.25">
      <c r="A323" s="518"/>
      <c r="B323" s="504"/>
      <c r="C323" s="104" t="str">
        <f>IF(AND(ISNUMBER(B321), OR('Cost Inputs'!$H$107&lt;&gt;"", 'Cost Inputs'!$I$107&lt;&gt;"", 'Cost Inputs'!$J$107&lt;&gt;"")), _4_3_1, "")</f>
        <v/>
      </c>
      <c r="D323" s="17" t="str">
        <f>IF(AND(C323&lt;&gt;"", 'Cost Inputs'!$G$107&lt;&gt;""), 'Cost Inputs'!$G$107, "")</f>
        <v/>
      </c>
      <c r="E323" s="17" t="str">
        <f>IF(AND(C323&lt;&gt;"", 'Cost Inputs'!$H$107&lt;&gt;""), 'Cost Inputs'!$H$107, "")</f>
        <v/>
      </c>
      <c r="F323" s="17" t="str">
        <f>IF(AND(C323&lt;&gt;"", 'Cost Inputs'!$I$107&lt;&gt;""), 'Cost Inputs'!$I$107, "")</f>
        <v/>
      </c>
      <c r="G323" s="105" t="str">
        <f t="shared" si="16"/>
        <v/>
      </c>
      <c r="H323" s="17" t="str">
        <f>IF(AND(C323&lt;&gt;"", 'Cost Inputs'!$J$107&lt;&gt;""), 'Cost Inputs'!$J$107, "")</f>
        <v/>
      </c>
      <c r="I323" s="17" t="str">
        <f t="shared" ref="I323:I331" si="32">IF($C323&lt;&gt;"", IF(AND($E323&lt;&gt;"", H323&lt;&gt;""), H323/$E323, 0),"")</f>
        <v/>
      </c>
      <c r="J323" s="17" t="str">
        <f>IF(AND(C323&lt;&gt;"",('Cost Inputs'!$I$107+'Cost Inputs'!$J$107+'Cost Inputs'!$K$107)&gt;0), 'Cost Inputs'!$I$107+'Cost Inputs'!$J$107+'Cost Inputs'!$K$107, "")</f>
        <v/>
      </c>
      <c r="K323" s="17" t="str">
        <f t="shared" ref="K323:K331" si="33">IF($C323&lt;&gt;"", IF(AND($E323&lt;&gt;"", J323&lt;&gt;""), J323/$E323, 0),"")</f>
        <v/>
      </c>
      <c r="L323" s="525"/>
      <c r="M323" s="525"/>
      <c r="P323" s="17" t="str">
        <f t="shared" ref="P323:P331" si="34">IF(ISNUMBER($B$321),
IF($C323&lt;&gt;"",
IF(AND(ISNUMBER(O$280), ISNUMBER(O$317)),
IF(AND(P$279=123, Cultivar_1_Cohort_Year_Selection=$P$278,Cultivar_2_Cohort_Year_Selection=$P$278,Cultivar_3_Cohort_Year_Selection=$P$278), ROUND(MAX(0,O$320 - 3),0),
IF(AND(OR(P$279=123, P$279=12), Cultivar_1_Cohort_Year_Selection=$P$278,Cultivar_2_Cohort_Year_Selection=$P$278), ROUND(MAX(0,O$320 - 2),0),
IF(AND(OR(P$279=123, P$279=13), Cultivar_1_Cohort_Year_Selection=$P$278,Cultivar_3_Cohort_Year_Selection=$P$278), ROUND(MAX(0,O$320 - 2),0),
IF(AND(OR(P$279=123, P$279=23), Cultivar_2_Cohort_Year_Selection=$P$278,Cultivar_3_Cohort_Year_Selection=$P$278), ROUND(MAX(0,O$320 - 2),0),
IF(AND(OR(P$279=123, P$279=12, P$279=13, P$279=1), Cultivar_1_Cohort_Year_Selection=$P$278), ROUND(MAX(0,O$320 - 1),0),
IF(AND(OR(P$279=123, P$279=12, P$279=23, P$279=2), Cultivar_2_Cohort_Year_Selection=$P$278), ROUND(MAX(0,O$320 - 1),0),
IF(AND(OR(P$279=123, P$279=13, P$279=23, P$279=3), Cultivar_3_Cohort_Year_Selection=$P$278), ROUND(MAX(0,O$320 - 1),0),
ROUND(MAX(0,O$320),0)))))))),""),""),"")</f>
        <v/>
      </c>
      <c r="Q323" s="17" t="str">
        <f t="shared" ref="Q323:Q331" si="35">IF(ISNUMBER($B$321),
IF($C323&lt;&gt;"",
IF(AND(ISNUMBER(P$280), ISNUMBER(P$317)),
IF(AND(Q$279=123, Cultivar_1_Cohort_Year_Selection=$Q$278,Cultivar_2_Cohort_Year_Selection=$Q$278,Cultivar_3_Cohort_Year_Selection=$Q$278), ROUND(MAX(0,P$320 - 3),0),
IF(AND(OR(Q$279=123, Q$279=12), Cultivar_1_Cohort_Year_Selection=$Q$278,Cultivar_2_Cohort_Year_Selection=$Q$278), ROUND(MAX(0,P$320 - 2),0),
IF(AND(OR(Q$279=123, Q$279=13), Cultivar_1_Cohort_Year_Selection=$Q$278,Cultivar_3_Cohort_Year_Selection=$Q$278), ROUND(MAX(0,P$320 - 2),0),
IF(AND(OR(Q$279=123, Q$279=23), Cultivar_2_Cohort_Year_Selection=$Q$278,Cultivar_3_Cohort_Year_Selection=$Q$278), ROUND(MAX(0,P$320 - 2),0),
IF(AND(OR(Q$279=123, Q$279=12, Q$279=13, Q$279=1), Cultivar_1_Cohort_Year_Selection=$Q$278), ROUND(MAX(0,P$320 - 1),0),
IF(AND(OR(Q$279=123, Q$279=12, Q$279=23, Q$279=2), Cultivar_2_Cohort_Year_Selection=$Q$278), ROUND(MAX(0,P$320 - 1),0),
IF(AND(OR(Q$279=123, Q$279=13, Q$279=23, Q$279=3), Cultivar_3_Cohort_Year_Selection=$Q$278), ROUND(MAX(0,P$320 - 1),0),
ROUND(MAX(0,P$320),0)))))))),""),""),"")</f>
        <v/>
      </c>
      <c r="R323" s="17" t="str">
        <f t="shared" ref="R323:R331" si="36">IF(ISNUMBER($B$321),
IF($C323&lt;&gt;"",
IF(AND(ISNUMBER(Q$280), ISNUMBER(Q$317)),
IF(AND(R$279=123, Cultivar_1_Cohort_Year_Selection=$R$278,Cultivar_2_Cohort_Year_Selection=$R$278,Cultivar_3_Cohort_Year_Selection=$R$278), ROUND(MAX(0,Q$320 - 3),0),
IF(AND(OR(R$279=123, R$279=12), Cultivar_1_Cohort_Year_Selection=$R$278,Cultivar_2_Cohort_Year_Selection=$R$278), ROUND(MAX(0,Q$320 - 2),0),
IF(AND(OR(R$279=123, R$279=13), Cultivar_1_Cohort_Year_Selection=$R$278,Cultivar_3_Cohort_Year_Selection=$R$278), ROUND(MAX(0,Q$320 - 2),0),
IF(AND(OR(R$279=123, R$279=23), Cultivar_2_Cohort_Year_Selection=$R$278,Cultivar_3_Cohort_Year_Selection=$R$278), ROUND(MAX(0,Q$320 - 2),0),
IF(AND(OR(R$279=123, R$279=12, R$279=13, R$279=1), Cultivar_1_Cohort_Year_Selection=$R$278), ROUND(MAX(0,Q$320 - 1),0),
IF(AND(OR(R$279=123, R$279=12, R$279=23, R$279=2), Cultivar_2_Cohort_Year_Selection=$R$278), ROUND(MAX(0,Q$320 - 1),0),
IF(AND(OR(R$279=123, R$279=13, R$279=23, R$279=3), Cultivar_3_Cohort_Year_Selection=$R$278), ROUND(MAX(0,Q$320 - 1),0),
ROUND(MAX(0,Q$320),0)))))))),""),""),"")</f>
        <v/>
      </c>
      <c r="S323" s="17" t="str">
        <f t="shared" ref="S323:S331" si="37">IF(ISNUMBER($B$321),
IF($C323&lt;&gt;"",
IF(AND(ISNUMBER(R$280), ISNUMBER(R$317)),
IF(AND(S$279=123, Cultivar_1_Cohort_Year_Selection=$S$278,Cultivar_2_Cohort_Year_Selection=$S$278,Cultivar_3_Cohort_Year_Selection=$S$278), ROUND(MAX(0,R$320 - 3),0),
IF(AND(OR(S$279=123, S$279=12), Cultivar_1_Cohort_Year_Selection=$S$278,Cultivar_2_Cohort_Year_Selection=$S$278), ROUND(MAX(0,R$320 - 2),0),
IF(AND(OR(S$279=123, S$279=13), Cultivar_1_Cohort_Year_Selection=$S$278,Cultivar_3_Cohort_Year_Selection=$S$278), ROUND(MAX(0,R$320 - 2),0),
IF(AND(OR(S$279=123, S$279=23), Cultivar_2_Cohort_Year_Selection=$S$278,Cultivar_3_Cohort_Year_Selection=$S$278), ROUND(MAX(0,R$320 - 2),0),
IF(AND(OR(S$279=123, S$279=12, S$279=13, S$279=1), Cultivar_1_Cohort_Year_Selection=$S$278), ROUND(MAX(0,R$320 - 1),0),
IF(AND(OR(S$279=123, S$279=12, S$279=23, S$279=2), Cultivar_2_Cohort_Year_Selection=$S$278), ROUND(MAX(0,R$320 - 1),0),
IF(AND(OR(S$279=123, S$279=13, S$279=23, S$279=3), Cultivar_3_Cohort_Year_Selection=$S$278), ROUND(MAX(0,R$320 - 1),0),
ROUND(MAX(0,R$320),0)))))))),""),""),"")</f>
        <v/>
      </c>
      <c r="T323" s="17" t="str">
        <f t="shared" ref="T323:T331" si="38">IF(ISNUMBER($B$321),
IF($C323&lt;&gt;"",
IF(AND(ISNUMBER(S$280), ISNUMBER(S$317)),
IF(AND(T$279=123, Cultivar_1_Cohort_Year_Selection=$T$278,Cultivar_2_Cohort_Year_Selection=$T$278,Cultivar_3_Cohort_Year_Selection=$T$278), ROUND(MAX(0,S$320 - 3),0),
IF(AND(OR(T$279=123, T$279=12), Cultivar_1_Cohort_Year_Selection=$T$278,Cultivar_2_Cohort_Year_Selection=$T$278), ROUND(MAX(0,S$320 - 2),0),
IF(AND(OR(T$279=123, T$279=13), Cultivar_1_Cohort_Year_Selection=$T$278,Cultivar_3_Cohort_Year_Selection=$T$278), ROUND(MAX(0,S$320 - 2),0),
IF(AND(OR(T$279=123, T$279=23), Cultivar_2_Cohort_Year_Selection=$T$278,Cultivar_3_Cohort_Year_Selection=$T$278), ROUND(MAX(0,S$320 - 2),0),
IF(AND(OR(T$279=123, T$279=12, T$279=13, T$279=1), Cultivar_1_Cohort_Year_Selection=$T$278), ROUND(MAX(0,S$320 - 1),0),
IF(AND(OR(T$279=123, T$279=12, T$279=23, T$279=2), Cultivar_2_Cohort_Year_Selection=$T$278), ROUND(MAX(0,S$320 - 1),0),
IF(AND(OR(T$279=123, T$279=13, T$279=23, T$279=3), Cultivar_3_Cohort_Year_Selection=$T$278), ROUND(MAX(0,S$320 - 1),0),
ROUND(MAX(0,S$320),0)))))))),""),""),"")</f>
        <v/>
      </c>
      <c r="U323" s="17" t="str">
        <f t="shared" ref="U323:U331" si="39">IF(ISNUMBER($B$321),
IF($C323&lt;&gt;"",
IF(AND(ISNUMBER(T$280), ISNUMBER(T$317)),
IF(AND(U$279=123, Cultivar_1_Cohort_Year_Selection=$U$278,Cultivar_2_Cohort_Year_Selection=$U$278,Cultivar_3_Cohort_Year_Selection=$U$278), ROUND(MAX(0,T$320 - 3),0),
IF(AND(OR(U$279=123, U$279=12), Cultivar_1_Cohort_Year_Selection=$U$278,Cultivar_2_Cohort_Year_Selection=$U$278), ROUND(MAX(0,T$320 - 2),0),
IF(AND(OR(U$279=123, U$279=13), Cultivar_1_Cohort_Year_Selection=$U$278,Cultivar_3_Cohort_Year_Selection=$U$278), ROUND(MAX(0,T$320 - 2),0),
IF(AND(OR(U$279=123, U$279=23), Cultivar_2_Cohort_Year_Selection=$U$278,Cultivar_3_Cohort_Year_Selection=$U$278), ROUND(MAX(0,T$320 - 2),0),
IF(AND(OR(U$279=123, U$279=12, U$279=13, U$279=1), Cultivar_1_Cohort_Year_Selection=$U$278), ROUND(MAX(0,T$320 - 1),0),
IF(AND(OR(U$279=123, U$279=12, U$279=23, U$279=2), Cultivar_2_Cohort_Year_Selection=$U$278), ROUND(MAX(0,T$320 - 1),0),
IF(AND(OR(U$279=123, U$279=13, U$279=23, U$279=3), Cultivar_3_Cohort_Year_Selection=$U$278), ROUND(MAX(0,T$320 - 1),0),
ROUND(MAX(0,T$320),0)))))))),""),""),"")</f>
        <v/>
      </c>
      <c r="V323" s="17" t="str">
        <f t="shared" ref="V323:V331" si="40">IF(ISNUMBER($B$321),
IF($C323&lt;&gt;"",
IF(AND(ISNUMBER(U$280), ISNUMBER(U$317)),
IF(AND(V$279=123, Cultivar_1_Cohort_Year_Selection=$V$278,Cultivar_2_Cohort_Year_Selection=$V$278,Cultivar_3_Cohort_Year_Selection=$V$278), ROUND(MAX(0,U$320 - 3),0),
IF(AND(OR(V$279=123, V$279=12), Cultivar_1_Cohort_Year_Selection=$V$278,Cultivar_2_Cohort_Year_Selection=$V$278), ROUND(MAX(0,U$320 - 2),0),
IF(AND(OR(V$279=123, V$279=13), Cultivar_1_Cohort_Year_Selection=$V$278,Cultivar_3_Cohort_Year_Selection=$V$278), ROUND(MAX(0,U$320 - 2),0),
IF(AND(OR(V$279=123, V$279=23), Cultivar_2_Cohort_Year_Selection=$V$278,Cultivar_3_Cohort_Year_Selection=$V$278), ROUND(MAX(0,U$320 - 2),0),
IF(AND(OR(V$279=123, V$279=12, V$279=13, V$279=1), Cultivar_1_Cohort_Year_Selection=$V$278), ROUND(MAX(0,U$320 - 1),0),
IF(AND(OR(V$279=123, V$279=12, V$279=23, V$279=2), Cultivar_2_Cohort_Year_Selection=$V$278), ROUND(MAX(0,U$320 - 1),0),
IF(AND(OR(V$279=123, V$279=13, V$279=23, V$279=3), Cultivar_3_Cohort_Year_Selection=$V$278), ROUND(MAX(0,U$320 - 1),0),
ROUND(MAX(0,U$320),0)))))))),""),""),"")</f>
        <v/>
      </c>
      <c r="W323" s="17" t="str">
        <f t="shared" ref="W323:W331" si="41">IF(ISNUMBER($B$321),
IF($C323&lt;&gt;"",
IF(AND(ISNUMBER(V$280), ISNUMBER(V$317)),
IF(AND(W$279=123, Cultivar_1_Cohort_Year_Selection=$W$278,Cultivar_2_Cohort_Year_Selection=$W$278,Cultivar_3_Cohort_Year_Selection=$W$278), ROUND(MAX(0,V$320 - 3),0),
IF(AND(OR(W$279=123, W$279=12), Cultivar_1_Cohort_Year_Selection=$W$278,Cultivar_2_Cohort_Year_Selection=$W$278), ROUND(MAX(0,V$320 - 2),0),
IF(AND(OR(W$279=123, W$279=13), Cultivar_1_Cohort_Year_Selection=$W$278,Cultivar_3_Cohort_Year_Selection=$W$278), ROUND(MAX(0,V$320 - 2),0),
IF(AND(OR(W$279=123, W$279=23), Cultivar_2_Cohort_Year_Selection=$W$278,Cultivar_3_Cohort_Year_Selection=$W$278), ROUND(MAX(0,V$320 - 2),0),
IF(AND(OR(W$279=123, W$279=12, W$279=13, W$279=1), Cultivar_1_Cohort_Year_Selection=$W$278), ROUND(MAX(0,V$320 - 1),0),
IF(AND(OR(W$279=123, W$279=12, W$279=23, W$279=2), Cultivar_2_Cohort_Year_Selection=$W$278), ROUND(MAX(0,V$320 - 1),0),
IF(AND(OR(W$279=123, W$279=13, W$279=23, W$279=3), Cultivar_3_Cohort_Year_Selection=$W$278), ROUND(MAX(0,V$320 - 1),0),
ROUND(MAX(0,V$320),0)))))))),""),""),"")</f>
        <v/>
      </c>
      <c r="X323" s="17" t="str">
        <f t="shared" ref="X323:X331" si="42">IF(ISNUMBER($B$321),
IF($C323&lt;&gt;"",
IF(AND(ISNUMBER(W$280), ISNUMBER(W$317)),
IF(AND(X$279=123, Cultivar_1_Cohort_Year_Selection=$X$278,Cultivar_2_Cohort_Year_Selection=$X$278,Cultivar_3_Cohort_Year_Selection=$X$278), ROUND(MAX(0,W$320 - 3),0),
IF(AND(OR(X$279=123, X$279=12), Cultivar_1_Cohort_Year_Selection=$X$278,Cultivar_2_Cohort_Year_Selection=$X$278), ROUND(MAX(0,W$320 - 2),0),
IF(AND(OR(X$279=123, X$279=13), Cultivar_1_Cohort_Year_Selection=$X$278,Cultivar_3_Cohort_Year_Selection=$X$278), ROUND(MAX(0,W$320 - 2),0),
IF(AND(OR(X$279=123, X$279=23), Cultivar_2_Cohort_Year_Selection=$X$278,Cultivar_3_Cohort_Year_Selection=$X$278), ROUND(MAX(0,W$320 - 2),0),
IF(AND(OR(X$279=123, X$279=12, X$279=13, X$279=1), Cultivar_1_Cohort_Year_Selection=$X$278), ROUND(MAX(0,W$320 - 1),0),
IF(AND(OR(X$279=123, X$279=12, X$279=23, X$279=2), Cultivar_2_Cohort_Year_Selection=$X$278), ROUND(MAX(0,W$320 - 1),0),
IF(AND(OR(X$279=123, X$279=13, X$279=23, X$279=3), Cultivar_3_Cohort_Year_Selection=$X$278), ROUND(MAX(0,W$320 - 1),0),
ROUND(MAX(0,W$320),0)))))))),""),""),"")</f>
        <v/>
      </c>
      <c r="Y323" s="17" t="str">
        <f t="shared" ref="Y323:Y331" si="43">IF(ISNUMBER($B$321),
IF($C323&lt;&gt;"",
IF(AND(ISNUMBER(X$280), ISNUMBER(X$317)),
IF(AND(Y$279=123, Cultivar_1_Cohort_Year_Selection=$Y$278,Cultivar_2_Cohort_Year_Selection=$Y$278,Cultivar_3_Cohort_Year_Selection=$Y$278), ROUND(MAX(0,X$320 - 3),0),
IF(AND(OR(Y$279=123, Y$279=12), Cultivar_1_Cohort_Year_Selection=$Y$278,Cultivar_2_Cohort_Year_Selection=$Y$278), ROUND(MAX(0,X$320 - 2),0),
IF(AND(OR(Y$279=123, Y$279=13), Cultivar_1_Cohort_Year_Selection=$Y$278,Cultivar_3_Cohort_Year_Selection=$Y$278), ROUND(MAX(0,X$320 - 2),0),
IF(AND(OR(Y$279=123, Y$279=23), Cultivar_2_Cohort_Year_Selection=$Y$278,Cultivar_3_Cohort_Year_Selection=$Y$278), ROUND(MAX(0,X$320 - 2),0),
IF(AND(OR(Y$279=123, Y$279=12, Y$279=13, Y$279=1), Cultivar_1_Cohort_Year_Selection=$Y$278), ROUND(MAX(0,X$320 - 1),0),
IF(AND(OR(Y$279=123, Y$279=12, Y$279=23, Y$279=2), Cultivar_2_Cohort_Year_Selection=$Y$278), ROUND(MAX(0,X$320 - 1),0),
IF(AND(OR(Y$279=123, Y$279=13, Y$279=23, Y$279=3), Cultivar_3_Cohort_Year_Selection=$Y$278), ROUND(MAX(0,X$320 - 1),0),
ROUND(MAX(0,X$320),0)))))))),""),""),"")</f>
        <v/>
      </c>
      <c r="Z323" s="17" t="str">
        <f t="shared" ref="Z323:Z331" si="44">IF(ISNUMBER($B$321),
IF($C323&lt;&gt;"",
IF(AND(ISNUMBER(Y$280), ISNUMBER(Y$317)),
IF(AND(Z$279=123, Cultivar_1_Cohort_Year_Selection=$Z$278,Cultivar_2_Cohort_Year_Selection=$Z$278,Cultivar_3_Cohort_Year_Selection=$Z$278), ROUND(MAX(0,Y$320 - 3),0),
IF(AND(OR(Z$279=123, Z$279=12), Cultivar_1_Cohort_Year_Selection=$Z$278,Cultivar_2_Cohort_Year_Selection=$Z$278), ROUND(MAX(0,Y$320 - 2),0),
IF(AND(OR(Z$279=123, Z$279=13), Cultivar_1_Cohort_Year_Selection=$Z$278,Cultivar_3_Cohort_Year_Selection=$Z$278), ROUND(MAX(0,Y$320 - 2),0),
IF(AND(OR(Z$279=123, Z$279=23), Cultivar_2_Cohort_Year_Selection=$Z$278,Cultivar_3_Cohort_Year_Selection=$Z$278), ROUND(MAX(0,Y$320 - 2),0),
IF(AND(OR(Z$279=123, Z$279=12, Z$279=13, Z$279=1), Cultivar_1_Cohort_Year_Selection=$Z$278), ROUND(MAX(0,Y$320 - 1),0),
IF(AND(OR(Z$279=123, Z$279=12, Z$279=23, Z$279=2), Cultivar_2_Cohort_Year_Selection=$Z$278), ROUND(MAX(0,Y$320 - 1),0),
IF(AND(OR(Z$279=123, Z$279=13, Z$279=23, Z$279=3), Cultivar_3_Cohort_Year_Selection=$Z$278), ROUND(MAX(0,Y$320 - 1),0),
ROUND(MAX(0,Y$320),0)))))))),""),""),"")</f>
        <v/>
      </c>
      <c r="AA323" s="17" t="str">
        <f t="shared" ref="AA323:AA331" si="45">IF(ISNUMBER($B$321),
IF($C323&lt;&gt;"",
IF(AND(ISNUMBER(Z$280), ISNUMBER(Z$317)),
IF(AND(AA$279=123, Cultivar_1_Cohort_Year_Selection=$AA$278,Cultivar_2_Cohort_Year_Selection=$AA$278,Cultivar_3_Cohort_Year_Selection=$AA$278), ROUND(MAX(0,Z$320 - 3),0),
IF(AND(OR(AA$279=123, AA$279=12), Cultivar_1_Cohort_Year_Selection=$AA$278,Cultivar_2_Cohort_Year_Selection=$AA$278), ROUND(MAX(0,Z$320 - 2),0),
IF(AND(OR(AA$279=123, AA$279=13), Cultivar_1_Cohort_Year_Selection=$AA$278,Cultivar_3_Cohort_Year_Selection=$AA$278), ROUND(MAX(0,Z$320 - 2),0),
IF(AND(OR(AA$279=123, AA$279=23), Cultivar_2_Cohort_Year_Selection=$AA$278,Cultivar_3_Cohort_Year_Selection=$AA$278), ROUND(MAX(0,Z$320 - 2),0),
IF(AND(OR(AA$279=123, AA$279=12, AA$279=13, AA$279=1), Cultivar_1_Cohort_Year_Selection=$AA$278), ROUND(MAX(0,Z$320 - 1),0),
IF(AND(OR(AA$279=123, AA$279=12, AA$279=23, AA$279=2), Cultivar_2_Cohort_Year_Selection=$AA$278), ROUND(MAX(0,Z$320 - 1),0),
IF(AND(OR(AA$279=123, AA$279=13, AA$279=23, AA$279=3), Cultivar_3_Cohort_Year_Selection=$AA$278), ROUND(MAX(0,Z$320 - 1),0),
ROUND(MAX(0,Z$320),0)))))))),""),""),"")</f>
        <v/>
      </c>
      <c r="AB323" s="17" t="str">
        <f t="shared" ref="AB323:AB331" si="46">IF(ISNUMBER($B$321),
IF($C323&lt;&gt;"",
IF(AND(ISNUMBER(AA$280), ISNUMBER(AA$317)),
IF(AND(AB$279=123, Cultivar_1_Cohort_Year_Selection=$AB$278,Cultivar_2_Cohort_Year_Selection=$AB$278,Cultivar_3_Cohort_Year_Selection=$AB$278), ROUND(MAX(0,AA$320 - 3),0),
IF(AND(OR(AB$279=123, AB$279=12), Cultivar_1_Cohort_Year_Selection=$AB$278,Cultivar_2_Cohort_Year_Selection=$AB$278), ROUND(MAX(0,AA$320 - 2),0),
IF(AND(OR(AB$279=123, AB$279=13), Cultivar_1_Cohort_Year_Selection=$AB$278,Cultivar_3_Cohort_Year_Selection=$AB$278), ROUND(MAX(0,AA$320 - 2),0),
IF(AND(OR(AB$279=123, AB$279=23), Cultivar_2_Cohort_Year_Selection=$AB$278,Cultivar_3_Cohort_Year_Selection=$AB$278), ROUND(MAX(0,AA$320 - 2),0),
IF(AND(OR(AB$279=123, AB$279=12, AB$279=13, AB$279=1), Cultivar_1_Cohort_Year_Selection=$AB$278), ROUND(MAX(0,AA$320 - 1),0),
IF(AND(OR(AB$279=123, AB$279=12, AB$279=23, AB$279=2), Cultivar_2_Cohort_Year_Selection=$AB$278), ROUND(MAX(0,AA$320 - 1),0),
IF(AND(OR(AB$279=123, AB$279=13, AB$279=23, AB$279=3), Cultivar_3_Cohort_Year_Selection=$AB$278), ROUND(MAX(0,AA$320 - 1),0),
ROUND(MAX(0,AA$320),0)))))))),""),""),"")</f>
        <v/>
      </c>
      <c r="AC323" s="17" t="str">
        <f t="shared" ref="AC323:AC331" si="47">IF(ISNUMBER($B$321),
IF($C323&lt;&gt;"",
IF(AND(ISNUMBER(AB$280), ISNUMBER(AB$317)),
IF(AND(AC$279=123, Cultivar_1_Cohort_Year_Selection=$AC$278,Cultivar_2_Cohort_Year_Selection=$AC$278,Cultivar_3_Cohort_Year_Selection=$AC$278), ROUND(MAX(0,AB$320 - 3),0),
IF(AND(OR(AC$279=123, AC$279=12), Cultivar_1_Cohort_Year_Selection=$AC$278,Cultivar_2_Cohort_Year_Selection=$AC$278), ROUND(MAX(0,AB$320 - 2),0),
IF(AND(OR(AC$279=123, AC$279=13), Cultivar_1_Cohort_Year_Selection=$AC$278,Cultivar_3_Cohort_Year_Selection=$AC$278), ROUND(MAX(0,AB$320 - 2),0),
IF(AND(OR(AC$279=123, AC$279=23), Cultivar_2_Cohort_Year_Selection=$AC$278,Cultivar_3_Cohort_Year_Selection=$AC$278), ROUND(MAX(0,AB$320 - 2),0),
IF(AND(OR(AC$279=123, AC$279=12, AC$279=13, AC$279=1), Cultivar_1_Cohort_Year_Selection=$AC$278), ROUND(MAX(0,AB$320 - 1),0),
IF(AND(OR(AC$279=123, AC$279=12, AC$279=23, AC$279=2), Cultivar_2_Cohort_Year_Selection=$AC$278), ROUND(MAX(0,AB$320 - 1),0),
IF(AND(OR(AC$279=123, AC$279=13, AC$279=23, AC$279=3), Cultivar_3_Cohort_Year_Selection=$AC$278), ROUND(MAX(0,AB$320 - 1),0),
ROUND(MAX(0,AB$320),0)))))))),""),""),"")</f>
        <v/>
      </c>
      <c r="AD323" s="17" t="str">
        <f t="shared" ref="AD323:AD331" si="48">IF(ISNUMBER($B$321),
IF($C323&lt;&gt;"",
IF(AND(ISNUMBER(AC$280), ISNUMBER(AC$317)),
IF(AND(AD$279=123, Cultivar_1_Cohort_Year_Selection=$AD$278,Cultivar_2_Cohort_Year_Selection=$AD$278,Cultivar_3_Cohort_Year_Selection=$AD$278), ROUND(MAX(0,AC$320 - 3),0),
IF(AND(OR(AD$279=123, AD$279=12), Cultivar_1_Cohort_Year_Selection=$AD$278,Cultivar_2_Cohort_Year_Selection=$AD$278), ROUND(MAX(0,AC$320 - 2),0),
IF(AND(OR(AD$279=123, AD$279=13), Cultivar_1_Cohort_Year_Selection=$AD$278,Cultivar_3_Cohort_Year_Selection=$AD$278), ROUND(MAX(0,AC$320 - 2),0),
IF(AND(OR(AD$279=123, AD$279=23), Cultivar_2_Cohort_Year_Selection=$AD$278,Cultivar_3_Cohort_Year_Selection=$AD$278), ROUND(MAX(0,AC$320 - 2),0),
IF(AND(OR(AD$279=123, AD$279=12, AD$279=13, AD$279=1), Cultivar_1_Cohort_Year_Selection=$AD$278), ROUND(MAX(0,AC$320 - 1),0),
IF(AND(OR(AD$279=123, AD$279=12, AD$279=23, AD$279=2), Cultivar_2_Cohort_Year_Selection=$AD$278), ROUND(MAX(0,AC$320 - 1),0),
IF(AND(OR(AD$279=123, AD$279=13, AD$279=23, AD$279=3), Cultivar_3_Cohort_Year_Selection=$AD$278), ROUND(MAX(0,AC$320 - 1),0),
ROUND(MAX(0,AC$320),0)))))))),""),""),"")</f>
        <v/>
      </c>
      <c r="AE323" s="17" t="str">
        <f t="shared" ref="AE323:AE331" si="49">IF(ISNUMBER($B$321),
IF($C323&lt;&gt;"",
IF(AND(ISNUMBER(AD$280), ISNUMBER(AD$317)),
IF(AND(AE$279=123, Cultivar_1_Cohort_Year_Selection=$AE$278,Cultivar_2_Cohort_Year_Selection=$AE$278,Cultivar_3_Cohort_Year_Selection=$AE$278), ROUND(MAX(0,AD$320 - 3),0),
IF(AND(OR(AE$279=123, AE$279=12), Cultivar_1_Cohort_Year_Selection=$AE$278,Cultivar_2_Cohort_Year_Selection=$AE$278), ROUND(MAX(0,AD$320 - 2),0),
IF(AND(OR(AE$279=123, AE$279=13), Cultivar_1_Cohort_Year_Selection=$AE$278,Cultivar_3_Cohort_Year_Selection=$AE$278), ROUND(MAX(0,AD$320 - 2),0),
IF(AND(OR(AE$279=123, AE$279=23), Cultivar_2_Cohort_Year_Selection=$AE$278,Cultivar_3_Cohort_Year_Selection=$AE$278), ROUND(MAX(0,AD$320 - 2),0),
IF(AND(OR(AE$279=123, AE$279=12, AE$279=13, AE$279=1), Cultivar_1_Cohort_Year_Selection=$AE$278), ROUND(MAX(0,AD$320 - 1),0),
IF(AND(OR(AE$279=123, AE$279=12, AE$279=23, AE$279=2), Cultivar_2_Cohort_Year_Selection=$AE$278), ROUND(MAX(0,AD$320 - 1),0),
IF(AND(OR(AE$279=123, AE$279=13, AE$279=23, AE$279=3), Cultivar_3_Cohort_Year_Selection=$AE$278), ROUND(MAX(0,AD$320 - 1),0),
ROUND(MAX(0,AD$320),0)))))))),""),""),"")</f>
        <v/>
      </c>
      <c r="AF323" s="17" t="str">
        <f t="shared" ref="AF323:AF331" si="50">IF(ISNUMBER($B$321),
IF($C323&lt;&gt;"",
IF(AND(ISNUMBER(AE$280), ISNUMBER(AE$317)),
IF(AND(AF$279=123, Cultivar_1_Cohort_Year_Selection=$AF$278,Cultivar_2_Cohort_Year_Selection=$AF$278,Cultivar_3_Cohort_Year_Selection=$AF$278), ROUND(MAX(0,AE$320 - 3),0),
IF(AND(OR(AF$279=123, AF$279=12), Cultivar_1_Cohort_Year_Selection=$AF$278,Cultivar_2_Cohort_Year_Selection=$AF$278), ROUND(MAX(0,AE$320 - 2),0),
IF(AND(OR(AF$279=123, AF$279=13), Cultivar_1_Cohort_Year_Selection=$AF$278,Cultivar_3_Cohort_Year_Selection=$AF$278), ROUND(MAX(0,AE$320 - 2),0),
IF(AND(OR(AF$279=123, AF$279=23), Cultivar_2_Cohort_Year_Selection=$AF$278,Cultivar_3_Cohort_Year_Selection=$AF$278), ROUND(MAX(0,AE$320 - 2),0),
IF(AND(OR(AF$279=123, AF$279=12, AF$279=13, AF$279=1), Cultivar_1_Cohort_Year_Selection=$AF$278), ROUND(MAX(0,AE$320 - 1),0),
IF(AND(OR(AF$279=123, AF$279=12, AF$279=23, AF$279=2), Cultivar_2_Cohort_Year_Selection=$AF$278), ROUND(MAX(0,AE$320 - 1),0),
IF(AND(OR(AF$279=123, AF$279=13, AF$279=23, AF$279=3), Cultivar_3_Cohort_Year_Selection=$AF$278), ROUND(MAX(0,AE$320 - 1),0),
ROUND(MAX(0,AE$320),0)))))))),""),""),"")</f>
        <v/>
      </c>
      <c r="AG323" s="17" t="str">
        <f t="shared" ref="AG323:AG331" si="51">IF(ISNUMBER($B$321),
IF($C323&lt;&gt;"",
IF(AND(ISNUMBER(AF$280), ISNUMBER(AF$317)),
IF(AND(AG$279=123, Cultivar_1_Cohort_Year_Selection=$AG$278,Cultivar_2_Cohort_Year_Selection=$AG$278,Cultivar_3_Cohort_Year_Selection=$AG$278), ROUND(MAX(0,AF$320 - 3),0),
IF(AND(OR(AG$279=123, AG$279=12), Cultivar_1_Cohort_Year_Selection=$AG$278,Cultivar_2_Cohort_Year_Selection=$AG$278), ROUND(MAX(0,AF$320 - 2),0),
IF(AND(OR(AG$279=123, AG$279=13), Cultivar_1_Cohort_Year_Selection=$AG$278,Cultivar_3_Cohort_Year_Selection=$AG$278), ROUND(MAX(0,AF$320 - 2),0),
IF(AND(OR(AG$279=123, AG$279=23), Cultivar_2_Cohort_Year_Selection=$AG$278,Cultivar_3_Cohort_Year_Selection=$AG$278), ROUND(MAX(0,AF$320 - 2),0),
IF(AND(OR(AG$279=123, AG$279=12, AG$279=13, AG$279=1), Cultivar_1_Cohort_Year_Selection=$AG$278), ROUND(MAX(0,AF$320 - 1),0),
IF(AND(OR(AG$279=123, AG$279=12, AG$279=23, AG$279=2), Cultivar_2_Cohort_Year_Selection=$AG$278), ROUND(MAX(0,AF$320 - 1),0),
IF(AND(OR(AG$279=123, AG$279=13, AG$279=23, AG$279=3), Cultivar_3_Cohort_Year_Selection=$AG$278), ROUND(MAX(0,AF$320 - 1),0),
ROUND(MAX(0,AF$320),0)))))))),""),""),"")</f>
        <v/>
      </c>
      <c r="AH323" s="17" t="str">
        <f t="shared" ref="AH323:AH331" si="52">IF(ISNUMBER($B$321),
IF($C323&lt;&gt;"",
IF(AND(ISNUMBER(AG$280), ISNUMBER(AG$317)),
IF(AND(AH$279=123, Cultivar_1_Cohort_Year_Selection=$AH$278,Cultivar_2_Cohort_Year_Selection=$AH$278,Cultivar_3_Cohort_Year_Selection=$AH$278), ROUND(MAX(0,AG$320 - 3),0),
IF(AND(OR(AH$279=123, AH$279=12), Cultivar_1_Cohort_Year_Selection=$AH$278,Cultivar_2_Cohort_Year_Selection=$AH$278), ROUND(MAX(0,AG$320 - 2),0),
IF(AND(OR(AH$279=123, AH$279=13), Cultivar_1_Cohort_Year_Selection=$AH$278,Cultivar_3_Cohort_Year_Selection=$AH$278), ROUND(MAX(0,AG$320 - 2),0),
IF(AND(OR(AH$279=123, AH$279=23), Cultivar_2_Cohort_Year_Selection=$AH$278,Cultivar_3_Cohort_Year_Selection=$AH$278), ROUND(MAX(0,AG$320 - 2),0),
IF(AND(OR(AH$279=123, AH$279=12, AH$279=13, AH$279=1), Cultivar_1_Cohort_Year_Selection=$AH$278), ROUND(MAX(0,AG$320 - 1),0),
IF(AND(OR(AH$279=123, AH$279=12, AH$279=23, AH$279=2), Cultivar_2_Cohort_Year_Selection=$AH$278), ROUND(MAX(0,AG$320 - 1),0),
IF(AND(OR(AH$279=123, AH$279=13, AH$279=23, AH$279=3), Cultivar_3_Cohort_Year_Selection=$AH$278), ROUND(MAX(0,AG$320 - 1),0),
ROUND(MAX(0,AG$320),0)))))))),""),""),"")</f>
        <v/>
      </c>
      <c r="AI323" s="17" t="str">
        <f t="shared" ref="AI323:AI331" si="53">IF(ISNUMBER($B$321),
IF($C323&lt;&gt;"",
IF(AND(ISNUMBER(AH$280), ISNUMBER(AH$317)),
IF(AND(AI$279=123, Cultivar_1_Cohort_Year_Selection=$AI$278,Cultivar_2_Cohort_Year_Selection=$AI$278,Cultivar_3_Cohort_Year_Selection=$AI$278), ROUND(MAX(0,AH$320 - 3),0),
IF(AND(OR(AI$279=123, AI$279=12), Cultivar_1_Cohort_Year_Selection=$AI$278,Cultivar_2_Cohort_Year_Selection=$AI$278), ROUND(MAX(0,AH$320 - 2),0),
IF(AND(OR(AI$279=123, AI$279=13), Cultivar_1_Cohort_Year_Selection=$AI$278,Cultivar_3_Cohort_Year_Selection=$AI$278), ROUND(MAX(0,AH$320 - 2),0),
IF(AND(OR(AI$279=123, AI$279=23), Cultivar_2_Cohort_Year_Selection=$AI$278,Cultivar_3_Cohort_Year_Selection=$AI$278), ROUND(MAX(0,AH$320 - 2),0),
IF(AND(OR(AI$279=123, AI$279=12, AI$279=13, AI$279=1), Cultivar_1_Cohort_Year_Selection=$AI$278), ROUND(MAX(0,AH$320 - 1),0),
IF(AND(OR(AI$279=123, AI$279=12, AI$279=23, AI$279=2), Cultivar_2_Cohort_Year_Selection=$AI$278), ROUND(MAX(0,AH$320 - 1),0),
IF(AND(OR(AI$279=123, AI$279=13, AI$279=23, AI$279=3), Cultivar_3_Cohort_Year_Selection=$AI$278), ROUND(MAX(0,AH$320 - 1),0),
ROUND(MAX(0,AH$320),0)))))))),""),""),"")</f>
        <v/>
      </c>
      <c r="AJ323" s="17" t="str">
        <f t="shared" ref="AJ323:AJ331" si="54">IF(ISNUMBER($B$321),
IF($C323&lt;&gt;"",
IF(AND(ISNUMBER(AI$280), ISNUMBER(AI$317)),
IF(AND(AJ$279=123, Cultivar_1_Cohort_Year_Selection=$AJ$278,Cultivar_2_Cohort_Year_Selection=$AJ$278,Cultivar_3_Cohort_Year_Selection=$AJ$278), ROUND(MAX(0,AI$320 - 3),0),
IF(AND(OR(AJ$279=123, AJ$279=12), Cultivar_1_Cohort_Year_Selection=$AJ$278,Cultivar_2_Cohort_Year_Selection=$AJ$278), ROUND(MAX(0,AI$320 - 2),0),
IF(AND(OR(AJ$279=123, AJ$279=13), Cultivar_1_Cohort_Year_Selection=$AJ$278,Cultivar_3_Cohort_Year_Selection=$AJ$278), ROUND(MAX(0,AI$320 - 2),0),
IF(AND(OR(AJ$279=123, AJ$279=23), Cultivar_2_Cohort_Year_Selection=$AJ$278,Cultivar_3_Cohort_Year_Selection=$AJ$278), ROUND(MAX(0,AI$320 - 2),0),
IF(AND(OR(AJ$279=123, AJ$279=12, AJ$279=13, AJ$279=1), Cultivar_1_Cohort_Year_Selection=$AJ$278), ROUND(MAX(0,AI$320 - 1),0),
IF(AND(OR(AJ$279=123, AJ$279=12, AJ$279=23, AJ$279=2), Cultivar_2_Cohort_Year_Selection=$AJ$278), ROUND(MAX(0,AI$320 - 1),0),
IF(AND(OR(AJ$279=123, AJ$279=13, AJ$279=23, AJ$279=3), Cultivar_3_Cohort_Year_Selection=$AJ$278), ROUND(MAX(0,AI$320 - 1),0),
ROUND(MAX(0,AI$320),0)))))))),""),""),"")</f>
        <v/>
      </c>
      <c r="AK323" s="17" t="str">
        <f t="shared" ref="AK323:AK331" si="55">IF(ISNUMBER($B$321),
IF($C323&lt;&gt;"",
IF(AND(ISNUMBER(AJ$280), ISNUMBER(AJ$317)),
IF(AND(AK$279=123, Cultivar_1_Cohort_Year_Selection=$AK$278,Cultivar_2_Cohort_Year_Selection=$AK$278,Cultivar_3_Cohort_Year_Selection=$AK$278), ROUND(MAX(0,AJ$320 - 3),0),
IF(AND(OR(AK$279=123, AK$279=12), Cultivar_1_Cohort_Year_Selection=$AK$278,Cultivar_2_Cohort_Year_Selection=$AK$278), ROUND(MAX(0,AJ$320 - 2),0),
IF(AND(OR(AK$279=123, AK$279=13), Cultivar_1_Cohort_Year_Selection=$AK$278,Cultivar_3_Cohort_Year_Selection=$AK$278), ROUND(MAX(0,AJ$320 - 2),0),
IF(AND(OR(AK$279=123, AK$279=23), Cultivar_2_Cohort_Year_Selection=$AK$278,Cultivar_3_Cohort_Year_Selection=$AK$278), ROUND(MAX(0,AJ$320 - 2),0),
IF(AND(OR(AK$279=123, AK$279=12, AK$279=13, AK$279=1), Cultivar_1_Cohort_Year_Selection=$AK$278), ROUND(MAX(0,AJ$320 - 1),0),
IF(AND(OR(AK$279=123, AK$279=12, AK$279=23, AK$279=2), Cultivar_2_Cohort_Year_Selection=$AK$278), ROUND(MAX(0,AJ$320 - 1),0),
IF(AND(OR(AK$279=123, AK$279=13, AK$279=23, AK$279=3), Cultivar_3_Cohort_Year_Selection=$AK$278), ROUND(MAX(0,AJ$320 - 1),0),
ROUND(MAX(0,AJ$320),0)))))))),""),""),"")</f>
        <v/>
      </c>
      <c r="AL323" s="17" t="str">
        <f t="shared" ref="AL323:AL331" si="56">IF(ISNUMBER($B$321),
IF($C323&lt;&gt;"",
IF(AND(ISNUMBER(AK$280), ISNUMBER(AK$317)),
IF(AND(AL$279=123, Cultivar_1_Cohort_Year_Selection=$AL$278,Cultivar_2_Cohort_Year_Selection=$AL$278,Cultivar_3_Cohort_Year_Selection=$AL$278), ROUND(MAX(0,AK$320 - 3),0),
IF(AND(OR(AL$279=123, AL$279=12), Cultivar_1_Cohort_Year_Selection=$AL$278,Cultivar_2_Cohort_Year_Selection=$AL$278), ROUND(MAX(0,AK$320 - 2),0),
IF(AND(OR(AL$279=123, AL$279=13), Cultivar_1_Cohort_Year_Selection=$AL$278,Cultivar_3_Cohort_Year_Selection=$AL$278), ROUND(MAX(0,AK$320 - 2),0),
IF(AND(OR(AL$279=123, AL$279=23), Cultivar_2_Cohort_Year_Selection=$AL$278,Cultivar_3_Cohort_Year_Selection=$AL$278), ROUND(MAX(0,AK$320 - 2),0),
IF(AND(OR(AL$279=123, AL$279=12, AL$279=13, AL$279=1), Cultivar_1_Cohort_Year_Selection=$AL$278), ROUND(MAX(0,AK$320 - 1),0),
IF(AND(OR(AL$279=123, AL$279=12, AL$279=23, AL$279=2), Cultivar_2_Cohort_Year_Selection=$AL$278), ROUND(MAX(0,AK$320 - 1),0),
IF(AND(OR(AL$279=123, AL$279=13, AL$279=23, AL$279=3), Cultivar_3_Cohort_Year_Selection=$AL$278), ROUND(MAX(0,AK$320 - 1),0),
ROUND(MAX(0,AK$320),0)))))))),""),""),"")</f>
        <v/>
      </c>
      <c r="AM323" s="17" t="str">
        <f t="shared" ref="AM323:AM331" si="57">IF(ISNUMBER($B$321),
IF($C323&lt;&gt;"",
IF(AND(ISNUMBER(AL$280), ISNUMBER(AL$317)),
IF(AND(AM$279=123, Cultivar_1_Cohort_Year_Selection=$AM$278,Cultivar_2_Cohort_Year_Selection=$AM$278,Cultivar_3_Cohort_Year_Selection=$AM$278), ROUND(MAX(0,AL$320 - 3),0),
IF(AND(OR(AM$279=123, AM$279=12), Cultivar_1_Cohort_Year_Selection=$AM$278,Cultivar_2_Cohort_Year_Selection=$AM$278), ROUND(MAX(0,AL$320 - 2),0),
IF(AND(OR(AM$279=123, AM$279=13), Cultivar_1_Cohort_Year_Selection=$AM$278,Cultivar_3_Cohort_Year_Selection=$AM$278), ROUND(MAX(0,AL$320 - 2),0),
IF(AND(OR(AM$279=123, AM$279=23), Cultivar_2_Cohort_Year_Selection=$AM$278,Cultivar_3_Cohort_Year_Selection=$AM$278), ROUND(MAX(0,AL$320 - 2),0),
IF(AND(OR(AM$279=123, AM$279=12, AM$279=13, AM$279=1), Cultivar_1_Cohort_Year_Selection=$AM$278), ROUND(MAX(0,AL$320 - 1),0),
IF(AND(OR(AM$279=123, AM$279=12, AM$279=23, AM$279=2), Cultivar_2_Cohort_Year_Selection=$AM$278), ROUND(MAX(0,AL$320 - 1),0),
IF(AND(OR(AM$279=123, AM$279=13, AM$279=23, AM$279=3), Cultivar_3_Cohort_Year_Selection=$AM$278), ROUND(MAX(0,AL$320 - 1),0),
ROUND(MAX(0,AL$320),0)))))))),""),""),"")</f>
        <v/>
      </c>
      <c r="AN323" s="17" t="str">
        <f t="shared" ref="AN323:AN331" si="58">IF(ISNUMBER($B$321),
IF($C323&lt;&gt;"",
IF(AND(ISNUMBER(AM$280), ISNUMBER(AM$317)),
IF(AND(AN$279=123, Cultivar_1_Cohort_Year_Selection=$AN$278,Cultivar_2_Cohort_Year_Selection=$AN$278,Cultivar_3_Cohort_Year_Selection=$AN$278), ROUND(MAX(0,AM$320 - 3),0),
IF(AND(OR(AN$279=123, AN$279=12), Cultivar_1_Cohort_Year_Selection=$AN$278,Cultivar_2_Cohort_Year_Selection=$AN$278), ROUND(MAX(0,AM$320 - 2),0),
IF(AND(OR(AN$279=123, AN$279=13), Cultivar_1_Cohort_Year_Selection=$AN$278,Cultivar_3_Cohort_Year_Selection=$AN$278), ROUND(MAX(0,AM$320 - 2),0),
IF(AND(OR(AN$279=123, AN$279=23), Cultivar_2_Cohort_Year_Selection=$AN$278,Cultivar_3_Cohort_Year_Selection=$AN$278), ROUND(MAX(0,AM$320 - 2),0),
IF(AND(OR(AN$279=123, AN$279=12, AN$279=13, AN$279=1), Cultivar_1_Cohort_Year_Selection=$AN$278), ROUND(MAX(0,AM$320 - 1),0),
IF(AND(OR(AN$279=123, AN$279=12, AN$279=23, AN$279=2), Cultivar_2_Cohort_Year_Selection=$AN$278), ROUND(MAX(0,AM$320 - 1),0),
IF(AND(OR(AN$279=123, AN$279=13, AN$279=23, AN$279=3), Cultivar_3_Cohort_Year_Selection=$AN$278), ROUND(MAX(0,AM$320 - 1),0),
ROUND(MAX(0,AM$320),0)))))))),""),""),"")</f>
        <v/>
      </c>
      <c r="AO323" s="17" t="str">
        <f t="shared" ref="AO323:AO331" si="59">IF(ISNUMBER($B$321),
IF($C323&lt;&gt;"",
IF(AND(ISNUMBER(AN$280), ISNUMBER(AN$317)),
IF(AND(AO$279=123, Cultivar_1_Cohort_Year_Selection=$AO$278,Cultivar_2_Cohort_Year_Selection=$AO$278,Cultivar_3_Cohort_Year_Selection=$AO$278), ROUND(MAX(0,AN$320 - 3),0),
IF(AND(OR(AO$279=123, AO$279=12), Cultivar_1_Cohort_Year_Selection=$AO$278,Cultivar_2_Cohort_Year_Selection=$AO$278), ROUND(MAX(0,AN$320 - 2),0),
IF(AND(OR(AO$279=123, AO$279=13), Cultivar_1_Cohort_Year_Selection=$AO$278,Cultivar_3_Cohort_Year_Selection=$AO$278), ROUND(MAX(0,AN$320 - 2),0),
IF(AND(OR(AO$279=123, AO$279=23), Cultivar_2_Cohort_Year_Selection=$AO$278,Cultivar_3_Cohort_Year_Selection=$AO$278), ROUND(MAX(0,AN$320 - 2),0),
IF(AND(OR(AO$279=123, AO$279=12, AO$279=13, AO$279=1), Cultivar_1_Cohort_Year_Selection=$AO$278), ROUND(MAX(0,AN$320 - 1),0),
IF(AND(OR(AO$279=123, AO$279=12, AO$279=23, AO$279=2), Cultivar_2_Cohort_Year_Selection=$AO$278), ROUND(MAX(0,AN$320 - 1),0),
IF(AND(OR(AO$279=123, AO$279=13, AO$279=23, AO$279=3), Cultivar_3_Cohort_Year_Selection=$AO$278), ROUND(MAX(0,AN$320 - 1),0),
ROUND(MAX(0,AN$320),0)))))))),""),""),"")</f>
        <v/>
      </c>
      <c r="AP323" s="17" t="str">
        <f t="shared" ref="AP323:AP331" si="60">IF(ISNUMBER($B$321),
IF($C323&lt;&gt;"",
IF(AND(ISNUMBER(AO$280), ISNUMBER(AO$317)),
IF(AND(AP$279=123, Cultivar_1_Cohort_Year_Selection=$AP$278,Cultivar_2_Cohort_Year_Selection=$AP$278,Cultivar_3_Cohort_Year_Selection=$AP$278), ROUND(MAX(0,AO$320 - 3),0),
IF(AND(OR(AP$279=123, AP$279=12), Cultivar_1_Cohort_Year_Selection=$AP$278,Cultivar_2_Cohort_Year_Selection=$AP$278), ROUND(MAX(0,AO$320 - 2),0),
IF(AND(OR(AP$279=123, AP$279=13), Cultivar_1_Cohort_Year_Selection=$AP$278,Cultivar_3_Cohort_Year_Selection=$AP$278), ROUND(MAX(0,AO$320 - 2),0),
IF(AND(OR(AP$279=123, AP$279=23), Cultivar_2_Cohort_Year_Selection=$AP$278,Cultivar_3_Cohort_Year_Selection=$AP$278), ROUND(MAX(0,AO$320 - 2),0),
IF(AND(OR(AP$279=123, AP$279=12, AP$279=13, AP$279=1), Cultivar_1_Cohort_Year_Selection=$AP$278), ROUND(MAX(0,AO$320 - 1),0),
IF(AND(OR(AP$279=123, AP$279=12, AP$279=23, AP$279=2), Cultivar_2_Cohort_Year_Selection=$AP$278), ROUND(MAX(0,AO$320 - 1),0),
IF(AND(OR(AP$279=123, AP$279=13, AP$279=23, AP$279=3), Cultivar_3_Cohort_Year_Selection=$AP$278), ROUND(MAX(0,AO$320 - 1),0),
ROUND(MAX(0,AO$320),0)))))))),""),""),"")</f>
        <v/>
      </c>
      <c r="AQ323" s="17" t="str">
        <f t="shared" ref="AQ323:AQ331" si="61">IF(ISNUMBER($B$321),
IF($C323&lt;&gt;"",
IF(AND(ISNUMBER(AP$280), ISNUMBER(AP$317)),
IF(AND(AQ$279=123, Cultivar_1_Cohort_Year_Selection=$AQ$278,Cultivar_2_Cohort_Year_Selection=$AQ$278,Cultivar_3_Cohort_Year_Selection=$AQ$278), ROUND(MAX(0,AP$320 - 3),0),
IF(AND(OR(AQ$279=123, AQ$279=12), Cultivar_1_Cohort_Year_Selection=$AQ$278,Cultivar_2_Cohort_Year_Selection=$AQ$278), ROUND(MAX(0,AP$320 - 2),0),
IF(AND(OR(AQ$279=123, AQ$279=13), Cultivar_1_Cohort_Year_Selection=$AQ$278,Cultivar_3_Cohort_Year_Selection=$AQ$278), ROUND(MAX(0,AP$320 - 2),0),
IF(AND(OR(AQ$279=123, AQ$279=23), Cultivar_2_Cohort_Year_Selection=$AQ$278,Cultivar_3_Cohort_Year_Selection=$AQ$278), ROUND(MAX(0,AP$320 - 2),0),
IF(AND(OR(AQ$279=123, AQ$279=12, AQ$279=13, AQ$279=1), Cultivar_1_Cohort_Year_Selection=$AQ$278), ROUND(MAX(0,AP$320 - 1),0),
IF(AND(OR(AQ$279=123, AQ$279=12, AQ$279=23, AQ$279=2), Cultivar_2_Cohort_Year_Selection=$AQ$278), ROUND(MAX(0,AP$320 - 1),0),
IF(AND(OR(AQ$279=123, AQ$279=13, AQ$279=23, AQ$279=3), Cultivar_3_Cohort_Year_Selection=$AQ$278), ROUND(MAX(0,AP$320 - 1),0),
ROUND(MAX(0,AP$320),0)))))))),""),""),"")</f>
        <v/>
      </c>
      <c r="AR323" s="17" t="str">
        <f t="shared" ref="AR323:AR331" si="62">IF(ISNUMBER($B$321),
IF($C323&lt;&gt;"",
IF(AND(ISNUMBER(AQ$280), ISNUMBER(AQ$317)),
IF(AND(AR$279=123, Cultivar_1_Cohort_Year_Selection=$AR$278,Cultivar_2_Cohort_Year_Selection=$AR$278,Cultivar_3_Cohort_Year_Selection=$AR$278), ROUND(MAX(0,AQ$320 - 3),0),
IF(AND(OR(AR$279=123, AR$279=12), Cultivar_1_Cohort_Year_Selection=$AR$278,Cultivar_2_Cohort_Year_Selection=$AR$278), ROUND(MAX(0,AQ$320 - 2),0),
IF(AND(OR(AR$279=123, AR$279=13), Cultivar_1_Cohort_Year_Selection=$AR$278,Cultivar_3_Cohort_Year_Selection=$AR$278), ROUND(MAX(0,AQ$320 - 2),0),
IF(AND(OR(AR$279=123, AR$279=23), Cultivar_2_Cohort_Year_Selection=$AR$278,Cultivar_3_Cohort_Year_Selection=$AR$278), ROUND(MAX(0,AQ$320 - 2),0),
IF(AND(OR(AR$279=123, AR$279=12, AR$279=13, AR$279=1), Cultivar_1_Cohort_Year_Selection=$AR$278), ROUND(MAX(0,AQ$320 - 1),0),
IF(AND(OR(AR$279=123, AR$279=12, AR$279=23, AR$279=2), Cultivar_2_Cohort_Year_Selection=$AR$278), ROUND(MAX(0,AQ$320 - 1),0),
IF(AND(OR(AR$279=123, AR$279=13, AR$279=23, AR$279=3), Cultivar_3_Cohort_Year_Selection=$AR$278), ROUND(MAX(0,AQ$320 - 1),0),
ROUND(MAX(0,AQ$320),0)))))))),""),""),"")</f>
        <v/>
      </c>
    </row>
    <row r="324" spans="1:44" x14ac:dyDescent="0.25">
      <c r="A324" s="518"/>
      <c r="B324" s="504"/>
      <c r="C324" s="107" t="str">
        <f>IF(AND(ISNUMBER(B321), OR('Cost Inputs'!$H$108&lt;&gt;"", 'Cost Inputs'!$I$108&lt;&gt;"", 'Cost Inputs'!$J$108&lt;&gt;"")), _4_3_2, "")</f>
        <v/>
      </c>
      <c r="D324" s="93" t="str">
        <f>IF(AND(C324&lt;&gt;"", 'Cost Inputs'!$G$108&lt;&gt;""), 'Cost Inputs'!$G$108, "")</f>
        <v/>
      </c>
      <c r="E324" s="93" t="str">
        <f>IF(AND(C324&lt;&gt;"", 'Cost Inputs'!$H$108&lt;&gt;""), 'Cost Inputs'!$H$108, "")</f>
        <v/>
      </c>
      <c r="F324" s="93" t="str">
        <f>IF(AND(C324&lt;&gt;"", 'Cost Inputs'!$I$108&lt;&gt;""), 'Cost Inputs'!$I$108, "")</f>
        <v/>
      </c>
      <c r="G324" s="108" t="str">
        <f t="shared" si="16"/>
        <v/>
      </c>
      <c r="H324" s="93" t="str">
        <f>IF(AND(C324&lt;&gt;"", 'Cost Inputs'!$J$108&lt;&gt;""), 'Cost Inputs'!$J$108, "")</f>
        <v/>
      </c>
      <c r="I324" s="93" t="str">
        <f t="shared" si="32"/>
        <v/>
      </c>
      <c r="J324" s="93" t="str">
        <f>IF(AND(C324&lt;&gt;"",('Cost Inputs'!$I$108+'Cost Inputs'!$J$108+'Cost Inputs'!$K$108)&gt;0), 'Cost Inputs'!$I$108+'Cost Inputs'!$J$108+'Cost Inputs'!$K$108, "")</f>
        <v/>
      </c>
      <c r="K324" s="93" t="str">
        <f t="shared" si="33"/>
        <v/>
      </c>
      <c r="L324" s="525"/>
      <c r="M324" s="525"/>
      <c r="P324" s="93" t="str">
        <f t="shared" si="34"/>
        <v/>
      </c>
      <c r="Q324" s="93" t="str">
        <f t="shared" si="35"/>
        <v/>
      </c>
      <c r="R324" s="93" t="str">
        <f t="shared" si="36"/>
        <v/>
      </c>
      <c r="S324" s="93" t="str">
        <f t="shared" si="37"/>
        <v/>
      </c>
      <c r="T324" s="93" t="str">
        <f t="shared" si="38"/>
        <v/>
      </c>
      <c r="U324" s="93" t="str">
        <f t="shared" si="39"/>
        <v/>
      </c>
      <c r="V324" s="93" t="str">
        <f t="shared" si="40"/>
        <v/>
      </c>
      <c r="W324" s="93" t="str">
        <f t="shared" si="41"/>
        <v/>
      </c>
      <c r="X324" s="93" t="str">
        <f t="shared" si="42"/>
        <v/>
      </c>
      <c r="Y324" s="93" t="str">
        <f t="shared" si="43"/>
        <v/>
      </c>
      <c r="Z324" s="93" t="str">
        <f t="shared" si="44"/>
        <v/>
      </c>
      <c r="AA324" s="93" t="str">
        <f t="shared" si="45"/>
        <v/>
      </c>
      <c r="AB324" s="93" t="str">
        <f t="shared" si="46"/>
        <v/>
      </c>
      <c r="AC324" s="93" t="str">
        <f t="shared" si="47"/>
        <v/>
      </c>
      <c r="AD324" s="93" t="str">
        <f t="shared" si="48"/>
        <v/>
      </c>
      <c r="AE324" s="93" t="str">
        <f t="shared" si="49"/>
        <v/>
      </c>
      <c r="AF324" s="93" t="str">
        <f t="shared" si="50"/>
        <v/>
      </c>
      <c r="AG324" s="93" t="str">
        <f t="shared" si="51"/>
        <v/>
      </c>
      <c r="AH324" s="93" t="str">
        <f t="shared" si="52"/>
        <v/>
      </c>
      <c r="AI324" s="93" t="str">
        <f t="shared" si="53"/>
        <v/>
      </c>
      <c r="AJ324" s="93" t="str">
        <f t="shared" si="54"/>
        <v/>
      </c>
      <c r="AK324" s="93" t="str">
        <f t="shared" si="55"/>
        <v/>
      </c>
      <c r="AL324" s="93" t="str">
        <f t="shared" si="56"/>
        <v/>
      </c>
      <c r="AM324" s="93" t="str">
        <f t="shared" si="57"/>
        <v/>
      </c>
      <c r="AN324" s="93" t="str">
        <f t="shared" si="58"/>
        <v/>
      </c>
      <c r="AO324" s="93" t="str">
        <f t="shared" si="59"/>
        <v/>
      </c>
      <c r="AP324" s="93" t="str">
        <f t="shared" si="60"/>
        <v/>
      </c>
      <c r="AQ324" s="93" t="str">
        <f t="shared" si="61"/>
        <v/>
      </c>
      <c r="AR324" s="93" t="str">
        <f t="shared" si="62"/>
        <v/>
      </c>
    </row>
    <row r="325" spans="1:44" x14ac:dyDescent="0.25">
      <c r="A325" s="518"/>
      <c r="B325" s="504"/>
      <c r="C325" s="110" t="str">
        <f>IF(ISNUMBER(B321), _4_4_0, "")</f>
        <v/>
      </c>
      <c r="D325" s="94" t="str">
        <f>IF(AND(C325&lt;&gt;"", 'Cost Inputs'!$G$109&lt;&gt;""), 'Cost Inputs'!$G$109, "")</f>
        <v/>
      </c>
      <c r="E325" s="94" t="str">
        <f>IF(AND(C325&lt;&gt;"", 'Cost Inputs'!$H$109&lt;&gt;""), 'Cost Inputs'!$H$109, "")</f>
        <v/>
      </c>
      <c r="F325" s="94" t="str">
        <f>IF(AND(C325&lt;&gt;"", 'Cost Inputs'!$I$109&lt;&gt;""), 'Cost Inputs'!$I$109, "")</f>
        <v/>
      </c>
      <c r="G325" s="102" t="str">
        <f t="shared" si="16"/>
        <v/>
      </c>
      <c r="H325" s="102" t="str">
        <f>IF(AND(C325&lt;&gt;"", 'Cost Inputs'!$J$109&lt;&gt;""), 'Cost Inputs'!$J$109, "")</f>
        <v/>
      </c>
      <c r="I325" s="102" t="str">
        <f t="shared" si="32"/>
        <v/>
      </c>
      <c r="J325" s="102" t="str">
        <f>IF(AND(C325&lt;&gt;"",('Cost Inputs'!$I$109+'Cost Inputs'!$J$109+'Cost Inputs'!$K$109)&gt;0), 'Cost Inputs'!$I$109+'Cost Inputs'!$J$109+'Cost Inputs'!$K$109, "")</f>
        <v/>
      </c>
      <c r="K325" s="102" t="str">
        <f t="shared" si="33"/>
        <v/>
      </c>
      <c r="L325" s="525"/>
      <c r="M325" s="525"/>
      <c r="P325" s="102" t="str">
        <f t="shared" si="34"/>
        <v/>
      </c>
      <c r="Q325" s="102" t="str">
        <f t="shared" si="35"/>
        <v/>
      </c>
      <c r="R325" s="102" t="str">
        <f t="shared" si="36"/>
        <v/>
      </c>
      <c r="S325" s="102" t="str">
        <f t="shared" si="37"/>
        <v/>
      </c>
      <c r="T325" s="102" t="str">
        <f t="shared" si="38"/>
        <v/>
      </c>
      <c r="U325" s="102" t="str">
        <f t="shared" si="39"/>
        <v/>
      </c>
      <c r="V325" s="102" t="str">
        <f t="shared" si="40"/>
        <v/>
      </c>
      <c r="W325" s="102" t="str">
        <f t="shared" si="41"/>
        <v/>
      </c>
      <c r="X325" s="102" t="str">
        <f t="shared" si="42"/>
        <v/>
      </c>
      <c r="Y325" s="102" t="str">
        <f t="shared" si="43"/>
        <v/>
      </c>
      <c r="Z325" s="102" t="str">
        <f t="shared" si="44"/>
        <v/>
      </c>
      <c r="AA325" s="102" t="str">
        <f t="shared" si="45"/>
        <v/>
      </c>
      <c r="AB325" s="102" t="str">
        <f t="shared" si="46"/>
        <v/>
      </c>
      <c r="AC325" s="102" t="str">
        <f t="shared" si="47"/>
        <v/>
      </c>
      <c r="AD325" s="102" t="str">
        <f t="shared" si="48"/>
        <v/>
      </c>
      <c r="AE325" s="102" t="str">
        <f t="shared" si="49"/>
        <v/>
      </c>
      <c r="AF325" s="102" t="str">
        <f t="shared" si="50"/>
        <v/>
      </c>
      <c r="AG325" s="102" t="str">
        <f t="shared" si="51"/>
        <v/>
      </c>
      <c r="AH325" s="102" t="str">
        <f t="shared" si="52"/>
        <v/>
      </c>
      <c r="AI325" s="102" t="str">
        <f t="shared" si="53"/>
        <v/>
      </c>
      <c r="AJ325" s="102" t="str">
        <f t="shared" si="54"/>
        <v/>
      </c>
      <c r="AK325" s="102" t="str">
        <f t="shared" si="55"/>
        <v/>
      </c>
      <c r="AL325" s="102" t="str">
        <f t="shared" si="56"/>
        <v/>
      </c>
      <c r="AM325" s="102" t="str">
        <f t="shared" si="57"/>
        <v/>
      </c>
      <c r="AN325" s="102" t="str">
        <f t="shared" si="58"/>
        <v/>
      </c>
      <c r="AO325" s="102" t="str">
        <f t="shared" si="59"/>
        <v/>
      </c>
      <c r="AP325" s="102" t="str">
        <f t="shared" si="60"/>
        <v/>
      </c>
      <c r="AQ325" s="102" t="str">
        <f t="shared" si="61"/>
        <v/>
      </c>
      <c r="AR325" s="102" t="str">
        <f t="shared" si="62"/>
        <v/>
      </c>
    </row>
    <row r="326" spans="1:44" x14ac:dyDescent="0.25">
      <c r="A326" s="518"/>
      <c r="B326" s="504"/>
      <c r="C326" s="104" t="str">
        <f>IF(AND(ISNUMBER(B321), OR('Cost Inputs'!$H$110&lt;&gt;"", 'Cost Inputs'!$I$110&lt;&gt;"", 'Cost Inputs'!$J$110&lt;&gt;"")), _4_4_1, "")</f>
        <v/>
      </c>
      <c r="D326" s="17" t="str">
        <f>IF(AND(C326&lt;&gt;"", 'Cost Inputs'!$G$110&lt;&gt;""), 'Cost Inputs'!$G$110, "")</f>
        <v/>
      </c>
      <c r="E326" s="17" t="str">
        <f>IF(AND(C326&lt;&gt;"", 'Cost Inputs'!$H$110&lt;&gt;""), 'Cost Inputs'!$H$110, "")</f>
        <v/>
      </c>
      <c r="F326" s="17" t="str">
        <f>IF(AND(C326&lt;&gt;"", 'Cost Inputs'!$I$110&lt;&gt;""), 'Cost Inputs'!$I$110, "")</f>
        <v/>
      </c>
      <c r="G326" s="105" t="str">
        <f t="shared" si="16"/>
        <v/>
      </c>
      <c r="H326" s="17" t="str">
        <f>IF(AND(C326&lt;&gt;"", 'Cost Inputs'!$J$110&lt;&gt;""), 'Cost Inputs'!$J$110, "")</f>
        <v/>
      </c>
      <c r="I326" s="17" t="str">
        <f t="shared" si="32"/>
        <v/>
      </c>
      <c r="J326" s="17" t="str">
        <f>IF(AND(C326&lt;&gt;"",('Cost Inputs'!$I$110+'Cost Inputs'!$J$110+'Cost Inputs'!$K$110)&gt;0), 'Cost Inputs'!$I$110+'Cost Inputs'!$J$110+'Cost Inputs'!$K$110, "")</f>
        <v/>
      </c>
      <c r="K326" s="17" t="str">
        <f t="shared" si="33"/>
        <v/>
      </c>
      <c r="L326" s="525"/>
      <c r="M326" s="525"/>
      <c r="P326" s="17" t="str">
        <f t="shared" si="34"/>
        <v/>
      </c>
      <c r="Q326" s="17" t="str">
        <f t="shared" si="35"/>
        <v/>
      </c>
      <c r="R326" s="17" t="str">
        <f t="shared" si="36"/>
        <v/>
      </c>
      <c r="S326" s="17" t="str">
        <f t="shared" si="37"/>
        <v/>
      </c>
      <c r="T326" s="17" t="str">
        <f t="shared" si="38"/>
        <v/>
      </c>
      <c r="U326" s="17" t="str">
        <f t="shared" si="39"/>
        <v/>
      </c>
      <c r="V326" s="17" t="str">
        <f t="shared" si="40"/>
        <v/>
      </c>
      <c r="W326" s="17" t="str">
        <f t="shared" si="41"/>
        <v/>
      </c>
      <c r="X326" s="17" t="str">
        <f t="shared" si="42"/>
        <v/>
      </c>
      <c r="Y326" s="17" t="str">
        <f t="shared" si="43"/>
        <v/>
      </c>
      <c r="Z326" s="17" t="str">
        <f t="shared" si="44"/>
        <v/>
      </c>
      <c r="AA326" s="17" t="str">
        <f t="shared" si="45"/>
        <v/>
      </c>
      <c r="AB326" s="17" t="str">
        <f t="shared" si="46"/>
        <v/>
      </c>
      <c r="AC326" s="17" t="str">
        <f t="shared" si="47"/>
        <v/>
      </c>
      <c r="AD326" s="17" t="str">
        <f t="shared" si="48"/>
        <v/>
      </c>
      <c r="AE326" s="17" t="str">
        <f t="shared" si="49"/>
        <v/>
      </c>
      <c r="AF326" s="17" t="str">
        <f t="shared" si="50"/>
        <v/>
      </c>
      <c r="AG326" s="17" t="str">
        <f t="shared" si="51"/>
        <v/>
      </c>
      <c r="AH326" s="17" t="str">
        <f t="shared" si="52"/>
        <v/>
      </c>
      <c r="AI326" s="17" t="str">
        <f t="shared" si="53"/>
        <v/>
      </c>
      <c r="AJ326" s="17" t="str">
        <f t="shared" si="54"/>
        <v/>
      </c>
      <c r="AK326" s="17" t="str">
        <f t="shared" si="55"/>
        <v/>
      </c>
      <c r="AL326" s="17" t="str">
        <f t="shared" si="56"/>
        <v/>
      </c>
      <c r="AM326" s="17" t="str">
        <f t="shared" si="57"/>
        <v/>
      </c>
      <c r="AN326" s="17" t="str">
        <f t="shared" si="58"/>
        <v/>
      </c>
      <c r="AO326" s="17" t="str">
        <f t="shared" si="59"/>
        <v/>
      </c>
      <c r="AP326" s="17" t="str">
        <f t="shared" si="60"/>
        <v/>
      </c>
      <c r="AQ326" s="17" t="str">
        <f t="shared" si="61"/>
        <v/>
      </c>
      <c r="AR326" s="17" t="str">
        <f t="shared" si="62"/>
        <v/>
      </c>
    </row>
    <row r="327" spans="1:44" x14ac:dyDescent="0.25">
      <c r="A327" s="518"/>
      <c r="B327" s="504"/>
      <c r="C327" s="107" t="str">
        <f>IF(AND(ISNUMBER(B321), OR('Cost Inputs'!$H$111&lt;&gt;"", 'Cost Inputs'!$I$111&lt;&gt;"", 'Cost Inputs'!$J$111&lt;&gt;"")), _4_4_2, "")</f>
        <v/>
      </c>
      <c r="D327" s="93" t="str">
        <f>IF(AND(C327&lt;&gt;"", 'Cost Inputs'!$G$111&lt;&gt;""), 'Cost Inputs'!$G$111, "")</f>
        <v/>
      </c>
      <c r="E327" s="93" t="str">
        <f>IF(AND(C327&lt;&gt;"", 'Cost Inputs'!$H$111&lt;&gt;""), 'Cost Inputs'!$H$111, "")</f>
        <v/>
      </c>
      <c r="F327" s="93" t="str">
        <f>IF(AND(C327&lt;&gt;"", 'Cost Inputs'!$I$111&lt;&gt;""), 'Cost Inputs'!$I$111, "")</f>
        <v/>
      </c>
      <c r="G327" s="108" t="str">
        <f t="shared" si="16"/>
        <v/>
      </c>
      <c r="H327" s="93" t="str">
        <f>IF(AND(C327&lt;&gt;"", 'Cost Inputs'!$J$111&lt;&gt;""), 'Cost Inputs'!$J$111, "")</f>
        <v/>
      </c>
      <c r="I327" s="93" t="str">
        <f t="shared" si="32"/>
        <v/>
      </c>
      <c r="J327" s="93" t="str">
        <f>IF(AND(C327&lt;&gt;"",('Cost Inputs'!$I$111+'Cost Inputs'!$J$111+'Cost Inputs'!$K$111)&gt;0), 'Cost Inputs'!$I$111+'Cost Inputs'!$J$111+'Cost Inputs'!$K$111, "")</f>
        <v/>
      </c>
      <c r="K327" s="93" t="str">
        <f t="shared" si="33"/>
        <v/>
      </c>
      <c r="L327" s="525"/>
      <c r="M327" s="525"/>
      <c r="P327" s="93" t="str">
        <f t="shared" si="34"/>
        <v/>
      </c>
      <c r="Q327" s="93" t="str">
        <f t="shared" si="35"/>
        <v/>
      </c>
      <c r="R327" s="93" t="str">
        <f t="shared" si="36"/>
        <v/>
      </c>
      <c r="S327" s="93" t="str">
        <f t="shared" si="37"/>
        <v/>
      </c>
      <c r="T327" s="93" t="str">
        <f t="shared" si="38"/>
        <v/>
      </c>
      <c r="U327" s="93" t="str">
        <f t="shared" si="39"/>
        <v/>
      </c>
      <c r="V327" s="93" t="str">
        <f t="shared" si="40"/>
        <v/>
      </c>
      <c r="W327" s="93" t="str">
        <f t="shared" si="41"/>
        <v/>
      </c>
      <c r="X327" s="93" t="str">
        <f t="shared" si="42"/>
        <v/>
      </c>
      <c r="Y327" s="93" t="str">
        <f t="shared" si="43"/>
        <v/>
      </c>
      <c r="Z327" s="93" t="str">
        <f t="shared" si="44"/>
        <v/>
      </c>
      <c r="AA327" s="93" t="str">
        <f t="shared" si="45"/>
        <v/>
      </c>
      <c r="AB327" s="93" t="str">
        <f t="shared" si="46"/>
        <v/>
      </c>
      <c r="AC327" s="93" t="str">
        <f t="shared" si="47"/>
        <v/>
      </c>
      <c r="AD327" s="93" t="str">
        <f t="shared" si="48"/>
        <v/>
      </c>
      <c r="AE327" s="93" t="str">
        <f t="shared" si="49"/>
        <v/>
      </c>
      <c r="AF327" s="93" t="str">
        <f t="shared" si="50"/>
        <v/>
      </c>
      <c r="AG327" s="93" t="str">
        <f t="shared" si="51"/>
        <v/>
      </c>
      <c r="AH327" s="93" t="str">
        <f t="shared" si="52"/>
        <v/>
      </c>
      <c r="AI327" s="93" t="str">
        <f t="shared" si="53"/>
        <v/>
      </c>
      <c r="AJ327" s="93" t="str">
        <f t="shared" si="54"/>
        <v/>
      </c>
      <c r="AK327" s="93" t="str">
        <f t="shared" si="55"/>
        <v/>
      </c>
      <c r="AL327" s="93" t="str">
        <f t="shared" si="56"/>
        <v/>
      </c>
      <c r="AM327" s="93" t="str">
        <f t="shared" si="57"/>
        <v/>
      </c>
      <c r="AN327" s="93" t="str">
        <f t="shared" si="58"/>
        <v/>
      </c>
      <c r="AO327" s="93" t="str">
        <f t="shared" si="59"/>
        <v/>
      </c>
      <c r="AP327" s="93" t="str">
        <f t="shared" si="60"/>
        <v/>
      </c>
      <c r="AQ327" s="93" t="str">
        <f t="shared" si="61"/>
        <v/>
      </c>
      <c r="AR327" s="93" t="str">
        <f t="shared" si="62"/>
        <v/>
      </c>
    </row>
    <row r="328" spans="1:44" x14ac:dyDescent="0.25">
      <c r="A328" s="518"/>
      <c r="B328" s="504"/>
      <c r="C328" s="104" t="str">
        <f>IF(AND(ISNUMBER(B321), OR('Cost Inputs'!$H$112&lt;&gt;"", 'Cost Inputs'!$I$112&lt;&gt;"", 'Cost Inputs'!$J$112&lt;&gt;"")), _4_4_3, "")</f>
        <v/>
      </c>
      <c r="D328" s="17" t="str">
        <f>IF(AND(C328&lt;&gt;"", 'Cost Inputs'!$G$112&lt;&gt;""), 'Cost Inputs'!$G$112, "")</f>
        <v/>
      </c>
      <c r="E328" s="17" t="str">
        <f>IF(AND(C328&lt;&gt;"", 'Cost Inputs'!$H$112&lt;&gt;""), 'Cost Inputs'!$H$112, "")</f>
        <v/>
      </c>
      <c r="F328" s="17" t="str">
        <f>IF(AND(C328&lt;&gt;"", 'Cost Inputs'!$I$112&lt;&gt;""), 'Cost Inputs'!$I$112, "")</f>
        <v/>
      </c>
      <c r="G328" s="105" t="str">
        <f t="shared" si="16"/>
        <v/>
      </c>
      <c r="H328" s="17" t="str">
        <f>IF(AND(C328&lt;&gt;"", 'Cost Inputs'!$J$112&lt;&gt;""), 'Cost Inputs'!$J$112, "")</f>
        <v/>
      </c>
      <c r="I328" s="17" t="str">
        <f t="shared" si="32"/>
        <v/>
      </c>
      <c r="J328" s="17" t="str">
        <f>IF(AND(C328&lt;&gt;"",('Cost Inputs'!$I$112+'Cost Inputs'!$J$112+'Cost Inputs'!$K$112)&gt;0), 'Cost Inputs'!$I$112+'Cost Inputs'!$J$112+'Cost Inputs'!$K$112, "")</f>
        <v/>
      </c>
      <c r="K328" s="17" t="str">
        <f t="shared" si="33"/>
        <v/>
      </c>
      <c r="L328" s="525"/>
      <c r="M328" s="525"/>
      <c r="P328" s="17" t="str">
        <f t="shared" si="34"/>
        <v/>
      </c>
      <c r="Q328" s="17" t="str">
        <f t="shared" si="35"/>
        <v/>
      </c>
      <c r="R328" s="17" t="str">
        <f t="shared" si="36"/>
        <v/>
      </c>
      <c r="S328" s="17" t="str">
        <f t="shared" si="37"/>
        <v/>
      </c>
      <c r="T328" s="17" t="str">
        <f t="shared" si="38"/>
        <v/>
      </c>
      <c r="U328" s="17" t="str">
        <f t="shared" si="39"/>
        <v/>
      </c>
      <c r="V328" s="17" t="str">
        <f t="shared" si="40"/>
        <v/>
      </c>
      <c r="W328" s="17" t="str">
        <f t="shared" si="41"/>
        <v/>
      </c>
      <c r="X328" s="17" t="str">
        <f t="shared" si="42"/>
        <v/>
      </c>
      <c r="Y328" s="17" t="str">
        <f t="shared" si="43"/>
        <v/>
      </c>
      <c r="Z328" s="17" t="str">
        <f t="shared" si="44"/>
        <v/>
      </c>
      <c r="AA328" s="17" t="str">
        <f t="shared" si="45"/>
        <v/>
      </c>
      <c r="AB328" s="17" t="str">
        <f t="shared" si="46"/>
        <v/>
      </c>
      <c r="AC328" s="17" t="str">
        <f t="shared" si="47"/>
        <v/>
      </c>
      <c r="AD328" s="17" t="str">
        <f t="shared" si="48"/>
        <v/>
      </c>
      <c r="AE328" s="17" t="str">
        <f t="shared" si="49"/>
        <v/>
      </c>
      <c r="AF328" s="17" t="str">
        <f t="shared" si="50"/>
        <v/>
      </c>
      <c r="AG328" s="17" t="str">
        <f t="shared" si="51"/>
        <v/>
      </c>
      <c r="AH328" s="17" t="str">
        <f t="shared" si="52"/>
        <v/>
      </c>
      <c r="AI328" s="17" t="str">
        <f t="shared" si="53"/>
        <v/>
      </c>
      <c r="AJ328" s="17" t="str">
        <f t="shared" si="54"/>
        <v/>
      </c>
      <c r="AK328" s="17" t="str">
        <f t="shared" si="55"/>
        <v/>
      </c>
      <c r="AL328" s="17" t="str">
        <f t="shared" si="56"/>
        <v/>
      </c>
      <c r="AM328" s="17" t="str">
        <f t="shared" si="57"/>
        <v/>
      </c>
      <c r="AN328" s="17" t="str">
        <f t="shared" si="58"/>
        <v/>
      </c>
      <c r="AO328" s="17" t="str">
        <f t="shared" si="59"/>
        <v/>
      </c>
      <c r="AP328" s="17" t="str">
        <f t="shared" si="60"/>
        <v/>
      </c>
      <c r="AQ328" s="17" t="str">
        <f t="shared" si="61"/>
        <v/>
      </c>
      <c r="AR328" s="17" t="str">
        <f t="shared" si="62"/>
        <v/>
      </c>
    </row>
    <row r="329" spans="1:44" x14ac:dyDescent="0.25">
      <c r="A329" s="518"/>
      <c r="B329" s="504"/>
      <c r="C329" s="107" t="str">
        <f>IF(AND(ISNUMBER(B321), OR('Cost Inputs'!$H$113&lt;&gt;"", 'Cost Inputs'!$I$113&lt;&gt;"", 'Cost Inputs'!$J$113&lt;&gt;"")), _4_4_4, "")</f>
        <v/>
      </c>
      <c r="D329" s="93" t="str">
        <f>IF(AND(C329&lt;&gt;"", 'Cost Inputs'!$G$113&lt;&gt;""), 'Cost Inputs'!$G$113, "")</f>
        <v/>
      </c>
      <c r="E329" s="93" t="str">
        <f>IF(AND(C329&lt;&gt;"", 'Cost Inputs'!$H$113&lt;&gt;""), 'Cost Inputs'!$H$113, "")</f>
        <v/>
      </c>
      <c r="F329" s="93" t="str">
        <f>IF(AND(C329&lt;&gt;"", 'Cost Inputs'!$I$113&lt;&gt;""), 'Cost Inputs'!$I$113, "")</f>
        <v/>
      </c>
      <c r="G329" s="108" t="str">
        <f t="shared" si="16"/>
        <v/>
      </c>
      <c r="H329" s="93" t="str">
        <f>IF(AND(C329&lt;&gt;"", 'Cost Inputs'!$J$113&lt;&gt;""), 'Cost Inputs'!$J$113, "")</f>
        <v/>
      </c>
      <c r="I329" s="93" t="str">
        <f t="shared" si="32"/>
        <v/>
      </c>
      <c r="J329" s="93" t="str">
        <f>IF(AND(C329&lt;&gt;"",('Cost Inputs'!$I$113+'Cost Inputs'!$J$113+'Cost Inputs'!$K$113)&gt;0), 'Cost Inputs'!$I$113+'Cost Inputs'!$J$113+'Cost Inputs'!$K$113, "")</f>
        <v/>
      </c>
      <c r="K329" s="93" t="str">
        <f t="shared" si="33"/>
        <v/>
      </c>
      <c r="L329" s="525"/>
      <c r="M329" s="525"/>
      <c r="P329" s="93" t="str">
        <f t="shared" si="34"/>
        <v/>
      </c>
      <c r="Q329" s="93" t="str">
        <f t="shared" si="35"/>
        <v/>
      </c>
      <c r="R329" s="93" t="str">
        <f t="shared" si="36"/>
        <v/>
      </c>
      <c r="S329" s="93" t="str">
        <f t="shared" si="37"/>
        <v/>
      </c>
      <c r="T329" s="93" t="str">
        <f t="shared" si="38"/>
        <v/>
      </c>
      <c r="U329" s="93" t="str">
        <f t="shared" si="39"/>
        <v/>
      </c>
      <c r="V329" s="93" t="str">
        <f t="shared" si="40"/>
        <v/>
      </c>
      <c r="W329" s="93" t="str">
        <f t="shared" si="41"/>
        <v/>
      </c>
      <c r="X329" s="93" t="str">
        <f t="shared" si="42"/>
        <v/>
      </c>
      <c r="Y329" s="93" t="str">
        <f t="shared" si="43"/>
        <v/>
      </c>
      <c r="Z329" s="93" t="str">
        <f t="shared" si="44"/>
        <v/>
      </c>
      <c r="AA329" s="93" t="str">
        <f t="shared" si="45"/>
        <v/>
      </c>
      <c r="AB329" s="93" t="str">
        <f t="shared" si="46"/>
        <v/>
      </c>
      <c r="AC329" s="93" t="str">
        <f t="shared" si="47"/>
        <v/>
      </c>
      <c r="AD329" s="93" t="str">
        <f t="shared" si="48"/>
        <v/>
      </c>
      <c r="AE329" s="93" t="str">
        <f t="shared" si="49"/>
        <v/>
      </c>
      <c r="AF329" s="93" t="str">
        <f t="shared" si="50"/>
        <v/>
      </c>
      <c r="AG329" s="93" t="str">
        <f t="shared" si="51"/>
        <v/>
      </c>
      <c r="AH329" s="93" t="str">
        <f t="shared" si="52"/>
        <v/>
      </c>
      <c r="AI329" s="93" t="str">
        <f t="shared" si="53"/>
        <v/>
      </c>
      <c r="AJ329" s="93" t="str">
        <f t="shared" si="54"/>
        <v/>
      </c>
      <c r="AK329" s="93" t="str">
        <f t="shared" si="55"/>
        <v/>
      </c>
      <c r="AL329" s="93" t="str">
        <f t="shared" si="56"/>
        <v/>
      </c>
      <c r="AM329" s="93" t="str">
        <f t="shared" si="57"/>
        <v/>
      </c>
      <c r="AN329" s="93" t="str">
        <f t="shared" si="58"/>
        <v/>
      </c>
      <c r="AO329" s="93" t="str">
        <f t="shared" si="59"/>
        <v/>
      </c>
      <c r="AP329" s="93" t="str">
        <f t="shared" si="60"/>
        <v/>
      </c>
      <c r="AQ329" s="93" t="str">
        <f t="shared" si="61"/>
        <v/>
      </c>
      <c r="AR329" s="93" t="str">
        <f t="shared" si="62"/>
        <v/>
      </c>
    </row>
    <row r="330" spans="1:44" x14ac:dyDescent="0.25">
      <c r="A330" s="518"/>
      <c r="B330" s="504"/>
      <c r="C330" s="104" t="str">
        <f>IF(AND(ISNUMBER(B321), OR('Cost Inputs'!$H$114&lt;&gt;"", 'Cost Inputs'!$I$114&lt;&gt;"", 'Cost Inputs'!$J$114&lt;&gt;"")), _4_4_5, "")</f>
        <v/>
      </c>
      <c r="D330" s="17" t="str">
        <f>IF(AND(C330&lt;&gt;"", 'Cost Inputs'!$G$114&lt;&gt;""), 'Cost Inputs'!$G$114, "")</f>
        <v/>
      </c>
      <c r="E330" s="17" t="str">
        <f>IF(AND(C330&lt;&gt;"", 'Cost Inputs'!$H$114&lt;&gt;""), 'Cost Inputs'!$H$114, "")</f>
        <v/>
      </c>
      <c r="F330" s="17" t="str">
        <f>IF(AND(C330&lt;&gt;"", 'Cost Inputs'!$I$114&lt;&gt;""), 'Cost Inputs'!$I$114, "")</f>
        <v/>
      </c>
      <c r="G330" s="105" t="str">
        <f t="shared" si="16"/>
        <v/>
      </c>
      <c r="H330" s="17" t="str">
        <f>IF(AND(C330&lt;&gt;"", 'Cost Inputs'!$J$114&lt;&gt;""), 'Cost Inputs'!$J$114, "")</f>
        <v/>
      </c>
      <c r="I330" s="17" t="str">
        <f t="shared" si="32"/>
        <v/>
      </c>
      <c r="J330" s="17" t="str">
        <f>IF(AND(C330&lt;&gt;"",('Cost Inputs'!$I$114+'Cost Inputs'!$J$114+'Cost Inputs'!$K$114)&gt;0), 'Cost Inputs'!$I$114+'Cost Inputs'!$J$114+'Cost Inputs'!$K$114, "")</f>
        <v/>
      </c>
      <c r="K330" s="17" t="str">
        <f t="shared" si="33"/>
        <v/>
      </c>
      <c r="L330" s="525"/>
      <c r="M330" s="525"/>
      <c r="P330" s="17" t="str">
        <f t="shared" si="34"/>
        <v/>
      </c>
      <c r="Q330" s="17" t="str">
        <f t="shared" si="35"/>
        <v/>
      </c>
      <c r="R330" s="17" t="str">
        <f t="shared" si="36"/>
        <v/>
      </c>
      <c r="S330" s="17" t="str">
        <f t="shared" si="37"/>
        <v/>
      </c>
      <c r="T330" s="17" t="str">
        <f t="shared" si="38"/>
        <v/>
      </c>
      <c r="U330" s="17" t="str">
        <f t="shared" si="39"/>
        <v/>
      </c>
      <c r="V330" s="17" t="str">
        <f t="shared" si="40"/>
        <v/>
      </c>
      <c r="W330" s="17" t="str">
        <f t="shared" si="41"/>
        <v/>
      </c>
      <c r="X330" s="17" t="str">
        <f t="shared" si="42"/>
        <v/>
      </c>
      <c r="Y330" s="17" t="str">
        <f t="shared" si="43"/>
        <v/>
      </c>
      <c r="Z330" s="17" t="str">
        <f t="shared" si="44"/>
        <v/>
      </c>
      <c r="AA330" s="17" t="str">
        <f t="shared" si="45"/>
        <v/>
      </c>
      <c r="AB330" s="17" t="str">
        <f t="shared" si="46"/>
        <v/>
      </c>
      <c r="AC330" s="17" t="str">
        <f t="shared" si="47"/>
        <v/>
      </c>
      <c r="AD330" s="17" t="str">
        <f t="shared" si="48"/>
        <v/>
      </c>
      <c r="AE330" s="17" t="str">
        <f t="shared" si="49"/>
        <v/>
      </c>
      <c r="AF330" s="17" t="str">
        <f t="shared" si="50"/>
        <v/>
      </c>
      <c r="AG330" s="17" t="str">
        <f t="shared" si="51"/>
        <v/>
      </c>
      <c r="AH330" s="17" t="str">
        <f t="shared" si="52"/>
        <v/>
      </c>
      <c r="AI330" s="17" t="str">
        <f t="shared" si="53"/>
        <v/>
      </c>
      <c r="AJ330" s="17" t="str">
        <f t="shared" si="54"/>
        <v/>
      </c>
      <c r="AK330" s="17" t="str">
        <f t="shared" si="55"/>
        <v/>
      </c>
      <c r="AL330" s="17" t="str">
        <f t="shared" si="56"/>
        <v/>
      </c>
      <c r="AM330" s="17" t="str">
        <f t="shared" si="57"/>
        <v/>
      </c>
      <c r="AN330" s="17" t="str">
        <f t="shared" si="58"/>
        <v/>
      </c>
      <c r="AO330" s="17" t="str">
        <f t="shared" si="59"/>
        <v/>
      </c>
      <c r="AP330" s="17" t="str">
        <f t="shared" si="60"/>
        <v/>
      </c>
      <c r="AQ330" s="17" t="str">
        <f t="shared" si="61"/>
        <v/>
      </c>
      <c r="AR330" s="17" t="str">
        <f t="shared" si="62"/>
        <v/>
      </c>
    </row>
    <row r="331" spans="1:44" x14ac:dyDescent="0.25">
      <c r="A331" s="518"/>
      <c r="B331" s="504"/>
      <c r="C331" s="107" t="str">
        <f>IF(AND(ISNUMBER(B321), OR('Cost Inputs'!$H$115&lt;&gt;"", 'Cost Inputs'!$I$115&lt;&gt;"", 'Cost Inputs'!$J$115&lt;&gt;"")), _4_4_6, "")</f>
        <v/>
      </c>
      <c r="D331" s="93" t="str">
        <f>IF(AND(C331&lt;&gt;"", 'Cost Inputs'!$G$115&lt;&gt;""), 'Cost Inputs'!$G$115, "")</f>
        <v/>
      </c>
      <c r="E331" s="93" t="str">
        <f>IF(AND(C331&lt;&gt;"", 'Cost Inputs'!$H$115&lt;&gt;""), 'Cost Inputs'!$H$115, "")</f>
        <v/>
      </c>
      <c r="F331" s="93" t="str">
        <f>IF(AND(C331&lt;&gt;"", 'Cost Inputs'!$I$115&lt;&gt;""), 'Cost Inputs'!$I$115, "")</f>
        <v/>
      </c>
      <c r="G331" s="108" t="str">
        <f t="shared" si="16"/>
        <v/>
      </c>
      <c r="H331" s="93" t="str">
        <f>IF(AND(C331&lt;&gt;"", 'Cost Inputs'!$J$115&lt;&gt;""), 'Cost Inputs'!$J$115, "")</f>
        <v/>
      </c>
      <c r="I331" s="93" t="str">
        <f t="shared" si="32"/>
        <v/>
      </c>
      <c r="J331" s="93" t="str">
        <f>IF(AND(C331&lt;&gt;"",('Cost Inputs'!$I$115+'Cost Inputs'!$J$115+'Cost Inputs'!$K$115)&gt;0), 'Cost Inputs'!$I$115+'Cost Inputs'!$J$115+'Cost Inputs'!$K$115, "")</f>
        <v/>
      </c>
      <c r="K331" s="93" t="str">
        <f t="shared" si="33"/>
        <v/>
      </c>
      <c r="L331" s="525"/>
      <c r="M331" s="525"/>
      <c r="P331" s="93" t="str">
        <f t="shared" si="34"/>
        <v/>
      </c>
      <c r="Q331" s="93" t="str">
        <f t="shared" si="35"/>
        <v/>
      </c>
      <c r="R331" s="93" t="str">
        <f t="shared" si="36"/>
        <v/>
      </c>
      <c r="S331" s="93" t="str">
        <f t="shared" si="37"/>
        <v/>
      </c>
      <c r="T331" s="93" t="str">
        <f t="shared" si="38"/>
        <v/>
      </c>
      <c r="U331" s="93" t="str">
        <f t="shared" si="39"/>
        <v/>
      </c>
      <c r="V331" s="93" t="str">
        <f t="shared" si="40"/>
        <v/>
      </c>
      <c r="W331" s="93" t="str">
        <f t="shared" si="41"/>
        <v/>
      </c>
      <c r="X331" s="93" t="str">
        <f t="shared" si="42"/>
        <v/>
      </c>
      <c r="Y331" s="93" t="str">
        <f t="shared" si="43"/>
        <v/>
      </c>
      <c r="Z331" s="93" t="str">
        <f t="shared" si="44"/>
        <v/>
      </c>
      <c r="AA331" s="93" t="str">
        <f t="shared" si="45"/>
        <v/>
      </c>
      <c r="AB331" s="93" t="str">
        <f t="shared" si="46"/>
        <v/>
      </c>
      <c r="AC331" s="93" t="str">
        <f t="shared" si="47"/>
        <v/>
      </c>
      <c r="AD331" s="93" t="str">
        <f t="shared" si="48"/>
        <v/>
      </c>
      <c r="AE331" s="93" t="str">
        <f t="shared" si="49"/>
        <v/>
      </c>
      <c r="AF331" s="93" t="str">
        <f t="shared" si="50"/>
        <v/>
      </c>
      <c r="AG331" s="93" t="str">
        <f t="shared" si="51"/>
        <v/>
      </c>
      <c r="AH331" s="93" t="str">
        <f t="shared" si="52"/>
        <v/>
      </c>
      <c r="AI331" s="93" t="str">
        <f t="shared" si="53"/>
        <v/>
      </c>
      <c r="AJ331" s="93" t="str">
        <f t="shared" si="54"/>
        <v/>
      </c>
      <c r="AK331" s="93" t="str">
        <f t="shared" si="55"/>
        <v/>
      </c>
      <c r="AL331" s="93" t="str">
        <f t="shared" si="56"/>
        <v/>
      </c>
      <c r="AM331" s="93" t="str">
        <f t="shared" si="57"/>
        <v/>
      </c>
      <c r="AN331" s="93" t="str">
        <f t="shared" si="58"/>
        <v/>
      </c>
      <c r="AO331" s="93" t="str">
        <f t="shared" si="59"/>
        <v/>
      </c>
      <c r="AP331" s="93" t="str">
        <f t="shared" si="60"/>
        <v/>
      </c>
      <c r="AQ331" s="93" t="str">
        <f t="shared" si="61"/>
        <v/>
      </c>
      <c r="AR331" s="93" t="str">
        <f t="shared" si="62"/>
        <v/>
      </c>
    </row>
    <row r="332" spans="1:44" x14ac:dyDescent="0.25">
      <c r="A332" s="518"/>
      <c r="B332" s="504"/>
      <c r="C332" s="489" t="str">
        <f>IF('Model_ of_individuals'!C325&lt;&gt;"", "Percentage decrease in marker culling","")</f>
        <v/>
      </c>
      <c r="D332" s="490"/>
      <c r="E332" s="490"/>
      <c r="F332" s="490"/>
      <c r="G332" s="490"/>
      <c r="H332" s="490"/>
      <c r="I332" s="490"/>
      <c r="J332" s="490"/>
      <c r="K332" s="491"/>
      <c r="L332" s="525"/>
      <c r="M332" s="525"/>
      <c r="P332" s="17" t="str">
        <f>IF(OR('Breeding Inputs'!$I$17="Y",'Model_ of_individuals'!$C325&lt;&gt;""),
IF('Breeding Inputs'!$I$44="Y",
IF(OR('Breeding Inputs'!$I$45=1), 25%,
IF('Breeding Inputs'!$I$44="N",
IF('Breeding Inputs'!$I$45=1,
IF(ISNUMBER('Breeding Inputs'!$I$46),'Breeding Inputs'!$I$46,""),""),"")),""),"")</f>
        <v/>
      </c>
      <c r="Q332" s="17" t="str">
        <f>IF(OR('Breeding Inputs'!$I$17="Y",'Model_ of_individuals'!$C325&lt;&gt;""),
IF('Breeding Inputs'!$I$44="Y",
IF(OR('Breeding Inputs'!$I$45=1), 25%,
IF(ISNUMBER(P332), P332,
IF('Breeding Inputs'!$I$44="N",
IF(OR('Breeding Inputs'!$I$45=1),
IF(ISNUMBER('Breeding Inputs'!$I$46),'Breeding Inputs'!$I$46,""),""),""))),""),"")</f>
        <v/>
      </c>
      <c r="R332" s="17" t="str">
        <f>IF(OR('Breeding Inputs'!$I$17="Y",'Model_ of_individuals'!$C325&lt;&gt;""),
IF('Breeding Inputs'!$I$44="Y",
IF(OR('Breeding Inputs'!$I$45=1, 'Breeding Inputs'!$I$45=2), 25%,
IF(ISNUMBER(Q332), Q332,
IF('Breeding Inputs'!$I$44="N",
IF(OR('Breeding Inputs'!$I$45=1, 'Breeding Inputs'!$I$45=2),
IF(ISNUMBER('Breeding Inputs'!$I$46),'Breeding Inputs'!$I$46,""),""),""))),""),"")</f>
        <v/>
      </c>
      <c r="S332" s="17" t="str">
        <f>IF(OR('Breeding Inputs'!$I$17="Y",'Model_ of_individuals'!$C325&lt;&gt;""),
IF('Breeding Inputs'!$I$44="Y",
IF(OR('Breeding Inputs'!$I$45=1, 'Breeding Inputs'!$I$45=3), 25%,
IF(ISNUMBER(R332), R332,
IF('Breeding Inputs'!$I$44="N",
IF(OR('Breeding Inputs'!$I$45=1, 'Breeding Inputs'!$I$45=3),
IF(ISNUMBER('Breeding Inputs'!$I$46),'Breeding Inputs'!$I$46,""),""),""))),""),"")</f>
        <v/>
      </c>
      <c r="T332" s="17" t="str">
        <f>IF(OR('Breeding Inputs'!$I$17="Y",'Model_ of_individuals'!$C325&lt;&gt;""),
IF('Breeding Inputs'!$I$44="Y",
IF(OR('Breeding Inputs'!$I$45=1, 'Breeding Inputs'!$I$45=2, 'Breeding Inputs'!$I$45=4), 25%,
IF(ISNUMBER(S332), S332,
IF('Breeding Inputs'!$I$44="N",
IF(OR('Breeding Inputs'!$I$45=1, 'Breeding Inputs'!$I$45=2, 'Breeding Inputs'!$I$45=4),
IF(ISNUMBER('Breeding Inputs'!$I$46),'Breeding Inputs'!$I$46,""),""),""))),""),"")</f>
        <v/>
      </c>
      <c r="U332" s="17" t="str">
        <f>IF(OR('Breeding Inputs'!$I$17="Y",'Model_ of_individuals'!$C325&lt;&gt;""),
IF('Breeding Inputs'!$I$44="Y",
IF(OR('Breeding Inputs'!$I$45=1, 'Breeding Inputs'!$I$45=5), 25%,
IF(ISNUMBER(T332), T332,
IF('Breeding Inputs'!$I$44="N",
IF(OR('Breeding Inputs'!$I$45=1, 'Breeding Inputs'!$I$45=5),
IF(ISNUMBER('Breeding Inputs'!$I$46),'Breeding Inputs'!$I$46,""),""),""))),""),"")</f>
        <v/>
      </c>
      <c r="V332" s="17" t="str">
        <f>IF(OR('Breeding Inputs'!$I$17="Y",'Model_ of_individuals'!$C325&lt;&gt;""),
IF('Breeding Inputs'!$I$44="Y",
IF(OR('Breeding Inputs'!$I$45=1, 'Breeding Inputs'!$I$45=2, 'Breeding Inputs'!$I$45=3, 'Breeding Inputs'!$I$45=6), 25%,
IF(ISNUMBER(U332), U332,
IF('Breeding Inputs'!$I$44="N",
IF(OR('Breeding Inputs'!$I$45=1, 'Breeding Inputs'!$I$45=2, 'Breeding Inputs'!$I$45=3, 'Breeding Inputs'!$I$45=6),
IF(ISNUMBER('Breeding Inputs'!$I$46),'Breeding Inputs'!$I$46,""),""),""))),""),"")</f>
        <v/>
      </c>
      <c r="W332" s="17" t="str">
        <f>IF(OR('Breeding Inputs'!$I$17="Y",'Model_ of_individuals'!$C325&lt;&gt;""),
IF('Breeding Inputs'!$I$44="Y",
IF(OR('Breeding Inputs'!$I$45=1, 'Breeding Inputs'!$I$45=7), 25%,
IF(ISNUMBER(V332), V332,
IF('Breeding Inputs'!$I$44="N",
IF(OR('Breeding Inputs'!$I$45=1, 'Breeding Inputs'!$I$45=7),
IF(ISNUMBER('Breeding Inputs'!$I$46),'Breeding Inputs'!$I$46,""),""),""))),""),"")</f>
        <v/>
      </c>
      <c r="X332" s="17" t="str">
        <f>IF(OR('Breeding Inputs'!$I$17="Y",'Model_ of_individuals'!$C325&lt;&gt;""),
IF('Breeding Inputs'!$I$44="Y",
IF(OR('Breeding Inputs'!$I$45=1, 'Breeding Inputs'!$I$45=2, 'Breeding Inputs'!$I$45=4, 'Breeding Inputs'!$I$45=8), 25%,
IF(ISNUMBER(W332), W332,
IF('Breeding Inputs'!$I$44="N",
IF(OR('Breeding Inputs'!$I$45=1, 'Breeding Inputs'!$I$45=2, 'Breeding Inputs'!$I$45=4, 'Breeding Inputs'!$I$45=8),
IF(ISNUMBER('Breeding Inputs'!$I$46),'Breeding Inputs'!$I$46,""),""),""))),""),"")</f>
        <v/>
      </c>
      <c r="Y332" s="17" t="str">
        <f>IF(OR('Breeding Inputs'!$I$17="Y",'Model_ of_individuals'!$C325&lt;&gt;""),
IF('Breeding Inputs'!$I$44="Y",
IF(OR('Breeding Inputs'!$I$45=1, 'Breeding Inputs'!$I$45=3, 'Breeding Inputs'!$I$45=9), 25%,
IF(ISNUMBER(X332), X332,
IF('Breeding Inputs'!$I$44="N",
IF(OR('Breeding Inputs'!$I$45=1, 'Breeding Inputs'!$I$45=3, 'Breeding Inputs'!$I$45=9),
IF(ISNUMBER('Breeding Inputs'!$I$46),'Breeding Inputs'!$I$46,""),""),""))),""),"")</f>
        <v/>
      </c>
      <c r="Z332" s="17" t="str">
        <f>IF(OR('Breeding Inputs'!$I$17="Y",'Model_ of_individuals'!$C325&lt;&gt;""),
IF('Breeding Inputs'!$I$44="Y",
IF(OR('Breeding Inputs'!$I$45=1, 'Breeding Inputs'!$I$45=3, 'Breeding Inputs'!$I$45=9), 25%,
IF(ISNUMBER(Y332), Y332,
IF('Breeding Inputs'!$I$44="N",
IF(OR('Breeding Inputs'!$I$45=1, 'Breeding Inputs'!$I$45=3, 'Breeding Inputs'!$I$45=9),
IF(ISNUMBER('Breeding Inputs'!$I$46),'Breeding Inputs'!$I$46,""),""),""))),""),"")</f>
        <v/>
      </c>
      <c r="AA332" s="17" t="str">
        <f>IF(OR('Breeding Inputs'!$I$17="Y",'Model_ of_individuals'!$C325&lt;&gt;""),
IF('Breeding Inputs'!$I$44="Y",
IF(OR('Breeding Inputs'!$I$45=1, 'Breeding Inputs'!$I$45=3, 'Breeding Inputs'!$I$45=9), 25%,
IF(ISNUMBER(Z332), Z332,
IF('Breeding Inputs'!$I$44="N",
IF(OR('Breeding Inputs'!$I$45=1, 'Breeding Inputs'!$I$45=3, 'Breeding Inputs'!$I$45=9),
IF(ISNUMBER('Breeding Inputs'!$I$46),'Breeding Inputs'!$I$46,""),""),""))),""),"")</f>
        <v/>
      </c>
      <c r="AB332" s="17" t="str">
        <f>IF(OR('Breeding Inputs'!$I$17="Y",'Model_ of_individuals'!$C325&lt;&gt;""),
IF('Breeding Inputs'!$I$44="Y",
IF(OR('Breeding Inputs'!$I$45=1, 'Breeding Inputs'!$I$45=3, 'Breeding Inputs'!$I$45=9), 25%,
IF(ISNUMBER(AA332), AA332,
IF('Breeding Inputs'!$I$44="N",
IF(OR('Breeding Inputs'!$I$45=1, 'Breeding Inputs'!$I$45=3, 'Breeding Inputs'!$I$45=9),
IF(ISNUMBER('Breeding Inputs'!$I$46),'Breeding Inputs'!$I$46,""),""),""))),""),"")</f>
        <v/>
      </c>
      <c r="AC332" s="17" t="str">
        <f>IF(OR('Breeding Inputs'!$I$17="Y",'Model_ of_individuals'!$C325&lt;&gt;""),
IF('Breeding Inputs'!$I$44="Y",
IF(OR('Breeding Inputs'!$I$45=1, 'Breeding Inputs'!$I$45=3, 'Breeding Inputs'!$I$45=9), 25%,
IF(ISNUMBER(AB332), AB332,
IF('Breeding Inputs'!$I$44="N",
IF(OR('Breeding Inputs'!$I$45=1, 'Breeding Inputs'!$I$45=3, 'Breeding Inputs'!$I$45=9),
IF(ISNUMBER('Breeding Inputs'!$I$46),'Breeding Inputs'!$I$46,""),""),""))),""),"")</f>
        <v/>
      </c>
      <c r="AD332" s="17" t="str">
        <f>IF(OR('Breeding Inputs'!$I$17="Y",'Model_ of_individuals'!$C325&lt;&gt;""),
IF('Breeding Inputs'!$I$44="Y",
IF(OR('Breeding Inputs'!$I$45=1, 'Breeding Inputs'!$I$45=3, 'Breeding Inputs'!$I$45=9), 25%,
IF(ISNUMBER(AC332), AC332,
IF('Breeding Inputs'!$I$44="N",
IF(OR('Breeding Inputs'!$I$45=1, 'Breeding Inputs'!$I$45=3, 'Breeding Inputs'!$I$45=9),
IF(ISNUMBER('Breeding Inputs'!$I$46),'Breeding Inputs'!$I$46,""),""),""))),""),"")</f>
        <v/>
      </c>
      <c r="AE332" s="17" t="str">
        <f>IF(OR('Breeding Inputs'!$I$17="Y",'Model_ of_individuals'!$C325&lt;&gt;""),
IF('Breeding Inputs'!$I$44="Y",
IF(OR('Breeding Inputs'!$I$45=1, 'Breeding Inputs'!$I$45=3, 'Breeding Inputs'!$I$45=9), 25%,
IF(ISNUMBER(AD332), AD332,
IF('Breeding Inputs'!$I$44="N",
IF(OR('Breeding Inputs'!$I$45=1, 'Breeding Inputs'!$I$45=3, 'Breeding Inputs'!$I$45=9),
IF(ISNUMBER('Breeding Inputs'!$I$46),'Breeding Inputs'!$I$46,""),""),""))),""),"")</f>
        <v/>
      </c>
      <c r="AF332" s="17" t="str">
        <f>IF(OR('Breeding Inputs'!$I$17="Y",'Model_ of_individuals'!$C325&lt;&gt;""),
IF('Breeding Inputs'!$I$44="Y",
IF(OR('Breeding Inputs'!$I$45=1, 'Breeding Inputs'!$I$45=3, 'Breeding Inputs'!$I$45=9), 25%,
IF(ISNUMBER(AE332), AE332,
IF('Breeding Inputs'!$I$44="N",
IF(OR('Breeding Inputs'!$I$45=1, 'Breeding Inputs'!$I$45=3, 'Breeding Inputs'!$I$45=9),
IF(ISNUMBER('Breeding Inputs'!$I$46),'Breeding Inputs'!$I$46,""),""),""))),""),"")</f>
        <v/>
      </c>
      <c r="AG332" s="17" t="str">
        <f>IF(OR('Breeding Inputs'!$I$17="Y",'Model_ of_individuals'!$C325&lt;&gt;""),
IF('Breeding Inputs'!$I$44="Y",
IF(OR('Breeding Inputs'!$I$45=1, 'Breeding Inputs'!$I$45=3, 'Breeding Inputs'!$I$45=9), 25%,
IF(ISNUMBER(AF332), AF332,
IF('Breeding Inputs'!$I$44="N",
IF(OR('Breeding Inputs'!$I$45=1, 'Breeding Inputs'!$I$45=3, 'Breeding Inputs'!$I$45=9),
IF(ISNUMBER('Breeding Inputs'!$I$46),'Breeding Inputs'!$I$46,""),""),""))),""),"")</f>
        <v/>
      </c>
      <c r="AH332" s="17" t="str">
        <f>IF(OR('Breeding Inputs'!$I$17="Y",'Model_ of_individuals'!$C325&lt;&gt;""),
IF('Breeding Inputs'!$I$44="Y",
IF(OR('Breeding Inputs'!$I$45=1, 'Breeding Inputs'!$I$45=3, 'Breeding Inputs'!$I$45=9), 25%,
IF(ISNUMBER(AG332), AG332,
IF('Breeding Inputs'!$I$44="N",
IF(OR('Breeding Inputs'!$I$45=1, 'Breeding Inputs'!$I$45=3, 'Breeding Inputs'!$I$45=9),
IF(ISNUMBER('Breeding Inputs'!$I$46),'Breeding Inputs'!$I$46,""),""),""))),""),"")</f>
        <v/>
      </c>
      <c r="AI332" s="17" t="str">
        <f>IF(OR('Breeding Inputs'!$I$17="Y",'Model_ of_individuals'!$C325&lt;&gt;""),
IF('Breeding Inputs'!$I$44="Y",
IF(OR('Breeding Inputs'!$I$45=1, 'Breeding Inputs'!$I$45=3, 'Breeding Inputs'!$I$45=9), 25%,
IF(ISNUMBER(AH332), AH332,
IF('Breeding Inputs'!$I$44="N",
IF(OR('Breeding Inputs'!$I$45=1, 'Breeding Inputs'!$I$45=3, 'Breeding Inputs'!$I$45=9),
IF(ISNUMBER('Breeding Inputs'!$I$46),'Breeding Inputs'!$I$46,""),""),""))),""),"")</f>
        <v/>
      </c>
      <c r="AJ332" s="17" t="str">
        <f>IF(OR('Breeding Inputs'!$I$17="Y",'Model_ of_individuals'!$C325&lt;&gt;""),
IF('Breeding Inputs'!$I$44="Y",
IF(OR('Breeding Inputs'!$I$45=1, 'Breeding Inputs'!$I$45=3, 'Breeding Inputs'!$I$45=9), 25%,
IF(ISNUMBER(AI332), AI332,
IF('Breeding Inputs'!$I$44="N",
IF(OR('Breeding Inputs'!$I$45=1, 'Breeding Inputs'!$I$45=3, 'Breeding Inputs'!$I$45=9),
IF(ISNUMBER('Breeding Inputs'!$I$46),'Breeding Inputs'!$I$46,""),""),""))),""),"")</f>
        <v/>
      </c>
      <c r="AK332" s="17" t="str">
        <f>IF(OR('Breeding Inputs'!$I$17="Y",'Model_ of_individuals'!$C325&lt;&gt;""),
IF('Breeding Inputs'!$I$44="Y",
IF(OR('Breeding Inputs'!$I$45=1, 'Breeding Inputs'!$I$45=3, 'Breeding Inputs'!$I$45=9), 25%,
IF(ISNUMBER(AJ332), AJ332,
IF('Breeding Inputs'!$I$44="N",
IF(OR('Breeding Inputs'!$I$45=1, 'Breeding Inputs'!$I$45=3, 'Breeding Inputs'!$I$45=9),
IF(ISNUMBER('Breeding Inputs'!$I$46),'Breeding Inputs'!$I$46,""),""),""))),""),"")</f>
        <v/>
      </c>
      <c r="AL332" s="17" t="str">
        <f>IF(OR('Breeding Inputs'!$I$17="Y",'Model_ of_individuals'!$C325&lt;&gt;""),
IF('Breeding Inputs'!$I$44="Y",
IF(OR('Breeding Inputs'!$I$45=1, 'Breeding Inputs'!$I$45=3, 'Breeding Inputs'!$I$45=9), 25%,
IF(ISNUMBER(AK332), AK332,
IF('Breeding Inputs'!$I$44="N",
IF(OR('Breeding Inputs'!$I$45=1, 'Breeding Inputs'!$I$45=3, 'Breeding Inputs'!$I$45=9),
IF(ISNUMBER('Breeding Inputs'!$I$46),'Breeding Inputs'!$I$46,""),""),""))),""),"")</f>
        <v/>
      </c>
      <c r="AM332" s="17" t="str">
        <f>IF(OR('Breeding Inputs'!$I$17="Y",'Model_ of_individuals'!$C325&lt;&gt;""),
IF('Breeding Inputs'!$I$44="Y",
IF(OR('Breeding Inputs'!$I$45=1, 'Breeding Inputs'!$I$45=3, 'Breeding Inputs'!$I$45=9), 25%,
IF(ISNUMBER(AL332), AL332,
IF('Breeding Inputs'!$I$44="N",
IF(OR('Breeding Inputs'!$I$45=1, 'Breeding Inputs'!$I$45=3, 'Breeding Inputs'!$I$45=9),
IF(ISNUMBER('Breeding Inputs'!$I$46),'Breeding Inputs'!$I$46,""),""),""))),""),"")</f>
        <v/>
      </c>
      <c r="AN332" s="17" t="str">
        <f>IF(OR('Breeding Inputs'!$I$17="Y",'Model_ of_individuals'!$C325&lt;&gt;""),
IF('Breeding Inputs'!$I$44="Y",
IF(OR('Breeding Inputs'!$I$45=1, 'Breeding Inputs'!$I$45=3, 'Breeding Inputs'!$I$45=9), 25%,
IF(ISNUMBER(AM332), AM332,
IF('Breeding Inputs'!$I$44="N",
IF(OR('Breeding Inputs'!$I$45=1, 'Breeding Inputs'!$I$45=3, 'Breeding Inputs'!$I$45=9),
IF(ISNUMBER('Breeding Inputs'!$I$46),'Breeding Inputs'!$I$46,""),""),""))),""),"")</f>
        <v/>
      </c>
      <c r="AO332" s="17" t="str">
        <f>IF(OR('Breeding Inputs'!$I$17="Y",'Model_ of_individuals'!$C325&lt;&gt;""),
IF('Breeding Inputs'!$I$44="Y",
IF(OR('Breeding Inputs'!$I$45=1, 'Breeding Inputs'!$I$45=3, 'Breeding Inputs'!$I$45=9), 25%,
IF(ISNUMBER(AN332), AN332,
IF('Breeding Inputs'!$I$44="N",
IF(OR('Breeding Inputs'!$I$45=1, 'Breeding Inputs'!$I$45=3, 'Breeding Inputs'!$I$45=9),
IF(ISNUMBER('Breeding Inputs'!$I$46),'Breeding Inputs'!$I$46,""),""),""))),""),"")</f>
        <v/>
      </c>
      <c r="AP332" s="17" t="str">
        <f>IF(OR('Breeding Inputs'!$I$17="Y",'Model_ of_individuals'!$C325&lt;&gt;""),
IF('Breeding Inputs'!$I$44="Y",
IF(OR('Breeding Inputs'!$I$45=1, 'Breeding Inputs'!$I$45=3, 'Breeding Inputs'!$I$45=9), 25%,
IF(ISNUMBER(AO332), AO332,
IF('Breeding Inputs'!$I$44="N",
IF(OR('Breeding Inputs'!$I$45=1, 'Breeding Inputs'!$I$45=3, 'Breeding Inputs'!$I$45=9),
IF(ISNUMBER('Breeding Inputs'!$I$46),'Breeding Inputs'!$I$46,""),""),""))),""),"")</f>
        <v/>
      </c>
      <c r="AQ332" s="17" t="str">
        <f>IF(OR('Breeding Inputs'!$I$17="Y",'Model_ of_individuals'!$C325&lt;&gt;""),
IF('Breeding Inputs'!$I$44="Y",
IF(OR('Breeding Inputs'!$I$45=1, 'Breeding Inputs'!$I$45=3, 'Breeding Inputs'!$I$45=9), 25%,
IF(ISNUMBER(AP332), AP332,
IF('Breeding Inputs'!$I$44="N",
IF(OR('Breeding Inputs'!$I$45=1, 'Breeding Inputs'!$I$45=3, 'Breeding Inputs'!$I$45=9),
IF(ISNUMBER('Breeding Inputs'!$I$46),'Breeding Inputs'!$I$46,""),""),""))),""),"")</f>
        <v/>
      </c>
      <c r="AR332" s="17" t="str">
        <f>IF(OR('Breeding Inputs'!$I$17="Y",'Model_ of_individuals'!$C325&lt;&gt;""),
IF('Breeding Inputs'!$I$44="Y",
IF(OR('Breeding Inputs'!$I$45=1, 'Breeding Inputs'!$I$45=3, 'Breeding Inputs'!$I$45=9), 25%,
IF(ISNUMBER(AQ332), AQ332,
IF('Breeding Inputs'!$I$44="N",
IF(OR('Breeding Inputs'!$I$45=1, 'Breeding Inputs'!$I$45=3, 'Breeding Inputs'!$I$45=9),
IF(ISNUMBER('Breeding Inputs'!$I$46),'Breeding Inputs'!$I$46,""),""),""))),""),"")</f>
        <v/>
      </c>
    </row>
    <row r="333" spans="1:44" x14ac:dyDescent="0.25">
      <c r="A333" s="518"/>
      <c r="B333" s="504"/>
      <c r="C333" s="521" t="str">
        <f>IF(AND(B321&lt;&gt;"", ISNUMBER(B321), ISNUMBER(Stage2EvaluationBegins)), IF((INDEX(ProgramYearStage2,MATCH(Stage2EvaluationBegins,Years_in_Stage2,0)))=B321, _4_5_0, IF(AND(B321&lt;&gt;"", C309&lt;&gt;""), _4_5_0, IF(AND(B321&lt;&gt;"", ISNUMBER(B321), OR(Stage2EvaluationBegins=0, Stage2EvaluationBegins="")),"", ""))),"")</f>
        <v/>
      </c>
      <c r="D333" s="94" t="str">
        <f>IF(AND(C333&lt;&gt;"", 'Cost Inputs'!$G$116&lt;&gt;""), 'Cost Inputs'!$G$116, "")</f>
        <v/>
      </c>
      <c r="E333" s="94" t="str">
        <f>IF(AND(C333&lt;&gt;"", 'Cost Inputs'!$H$116&lt;&gt;""), 'Cost Inputs'!$H$116, "")</f>
        <v/>
      </c>
      <c r="F333" s="492" t="str">
        <f>IF(AND(C333&lt;&gt;"", 'Cost Inputs'!$I$116&lt;&gt;""), 'Cost Inputs'!$I$116, "")</f>
        <v/>
      </c>
      <c r="G333" s="102" t="str">
        <f t="shared" si="16"/>
        <v/>
      </c>
      <c r="H333" s="492" t="str">
        <f>IF(AND(C333&lt;&gt;"", 'Cost Inputs'!$J$116&lt;&gt;""), 'Cost Inputs'!$J$116, "")</f>
        <v/>
      </c>
      <c r="I333" s="102" t="str">
        <f>IF($C333&lt;&gt;"",IF(AND($E333&lt;&gt;"",H333&lt;&gt;""), H333/$E333, 0),"")</f>
        <v/>
      </c>
      <c r="J333" s="492" t="str">
        <f>IF(AND(C333&lt;&gt;"",('Cost Inputs'!$I$116+'Cost Inputs'!$J$116+'Cost Inputs'!$K$116)&gt;0), 'Cost Inputs'!$I$116+'Cost Inputs'!$J$116+'Cost Inputs'!$K$116, "")</f>
        <v/>
      </c>
      <c r="K333" s="102" t="str">
        <f>IF($C333&lt;&gt;"",IF(AND($E333&lt;&gt;"",J333&lt;&gt;""), J333/$E333, 0),"")</f>
        <v/>
      </c>
      <c r="L333" s="525"/>
      <c r="M333" s="525"/>
      <c r="P333" s="496" t="str">
        <f>IF(ISNUMBER($B$321),
IF($C333&lt;&gt;"",
IF(AND(ISNUMBER(O$280), ISNUMBER(O$317)),
IF(AND(P$279=123, Cultivar_1_Cohort_Year_Selection=$P$278,Cultivar_2_Cohort_Year_Selection=$P$278,Cultivar_3_Cohort_Year_Selection=$P$278), ROUND(MAX(0,O$320 - 3),0),
IF(AND(OR(P$279=123, P$279=12), Cultivar_1_Cohort_Year_Selection=$P$278,Cultivar_2_Cohort_Year_Selection=$P$278), ROUND(MAX(0,O$320 - 2),0),
IF(AND(OR(P$279=123, P$279=13), Cultivar_1_Cohort_Year_Selection=$P$278,Cultivar_3_Cohort_Year_Selection=$P$278), ROUND(MAX(0,O$320 - 2),0),
IF(AND(OR(P$279=123, P$279=23), Cultivar_2_Cohort_Year_Selection=$P$278,Cultivar_3_Cohort_Year_Selection=$P$278), ROUND(MAX(0,O$320 - 2),0),
IF(AND(OR(P$279=123, P$279=12, P$279=13, P$279=1), Cultivar_1_Cohort_Year_Selection=$P$278), ROUND(MAX(0,O$320 - 1),0),
IF(AND(OR(P$279=123, P$279=12, P$279=23, P$279=2), Cultivar_2_Cohort_Year_Selection=$P$278), ROUND(MAX(0,O$320 - 1),0),
IF(AND(OR(P$279=123, P$279=13, P$279=23, P$279=3), Cultivar_3_Cohort_Year_Selection=$P$278), ROUND(MAX(0,O$320 - 1),0),
ROUND(MAX(0,O$320),0)))))))),""),""),"")</f>
        <v/>
      </c>
      <c r="Q333" s="496" t="str">
        <f>IF(ISNUMBER($B$321),
IF($C333&lt;&gt;"",
IF(AND(ISNUMBER(P$280), ISNUMBER(P$317)),
IF(AND(Q$279=123, Cultivar_1_Cohort_Year_Selection=$Q$278,Cultivar_2_Cohort_Year_Selection=$Q$278,Cultivar_3_Cohort_Year_Selection=$Q$278), ROUND(MAX(0,P$320 - 3),0),
IF(AND(OR(Q$279=123, Q$279=12), Cultivar_1_Cohort_Year_Selection=$Q$278,Cultivar_2_Cohort_Year_Selection=$Q$278), ROUND(MAX(0,P$320 - 2),0),
IF(AND(OR(Q$279=123, Q$279=13), Cultivar_1_Cohort_Year_Selection=$Q$278,Cultivar_3_Cohort_Year_Selection=$Q$278), ROUND(MAX(0,P$320 - 2),0),
IF(AND(OR(Q$279=123, Q$279=23), Cultivar_2_Cohort_Year_Selection=$Q$278,Cultivar_3_Cohort_Year_Selection=$Q$278), ROUND(MAX(0,P$320 - 2),0),
IF(AND(OR(Q$279=123, Q$279=12, Q$279=13, Q$279=1), Cultivar_1_Cohort_Year_Selection=$Q$278), ROUND(MAX(0,P$320 - 1),0),
IF(AND(OR(Q$279=123, Q$279=12, Q$279=23, Q$279=2), Cultivar_2_Cohort_Year_Selection=$Q$278), ROUND(MAX(0,P$320 - 1),0),
IF(AND(OR(Q$279=123, Q$279=13, Q$279=23, Q$279=3), Cultivar_3_Cohort_Year_Selection=$Q$278), ROUND(MAX(0,P$320 - 1),0),
ROUND(MAX(0,P$320),0)))))))),""),""),"")</f>
        <v/>
      </c>
      <c r="R333" s="496" t="str">
        <f>IF(ISNUMBER($B$321),
IF($C333&lt;&gt;"",
IF(AND(ISNUMBER(Q$280), ISNUMBER(Q$317)),
IF(AND(R$279=123, Cultivar_1_Cohort_Year_Selection=$R$278,Cultivar_2_Cohort_Year_Selection=$R$278,Cultivar_3_Cohort_Year_Selection=$R$278), ROUND(MAX(0,Q$320 - 3),0),
IF(AND(OR(R$279=123, R$279=12), Cultivar_1_Cohort_Year_Selection=$R$278,Cultivar_2_Cohort_Year_Selection=$R$278), ROUND(MAX(0,Q$320 - 2),0),
IF(AND(OR(R$279=123, R$279=13), Cultivar_1_Cohort_Year_Selection=$R$278,Cultivar_3_Cohort_Year_Selection=$R$278), ROUND(MAX(0,Q$320 - 2),0),
IF(AND(OR(R$279=123, R$279=23), Cultivar_2_Cohort_Year_Selection=$R$278,Cultivar_3_Cohort_Year_Selection=$R$278), ROUND(MAX(0,Q$320 - 2),0),
IF(AND(OR(R$279=123, R$279=12, R$279=13, R$279=1), Cultivar_1_Cohort_Year_Selection=$R$278), ROUND(MAX(0,Q$320 - 1),0),
IF(AND(OR(R$279=123, R$279=12, R$279=23, R$279=2), Cultivar_2_Cohort_Year_Selection=$R$278), ROUND(MAX(0,Q$320 - 1),0),
IF(AND(OR(R$279=123, R$279=13, R$279=23, R$279=3), Cultivar_3_Cohort_Year_Selection=$R$278), ROUND(MAX(0,Q$320 - 1),0),
ROUND(MAX(0,Q$320),0)))))))),""),""),"")</f>
        <v/>
      </c>
      <c r="S333" s="496" t="str">
        <f>IF(ISNUMBER($B$321),
IF($C333&lt;&gt;"",
IF(AND(ISNUMBER(R$280), ISNUMBER(R$317)),
IF(AND(S$279=123, Cultivar_1_Cohort_Year_Selection=$S$278,Cultivar_2_Cohort_Year_Selection=$S$278,Cultivar_3_Cohort_Year_Selection=$S$278), ROUND(MAX(0,R$320 - 3),0),
IF(AND(OR(S$279=123, S$279=12), Cultivar_1_Cohort_Year_Selection=$S$278,Cultivar_2_Cohort_Year_Selection=$S$278), ROUND(MAX(0,R$320 - 2),0),
IF(AND(OR(S$279=123, S$279=13), Cultivar_1_Cohort_Year_Selection=$S$278,Cultivar_3_Cohort_Year_Selection=$S$278), ROUND(MAX(0,R$320 - 2),0),
IF(AND(OR(S$279=123, S$279=23), Cultivar_2_Cohort_Year_Selection=$S$278,Cultivar_3_Cohort_Year_Selection=$S$278), ROUND(MAX(0,R$320 - 2),0),
IF(AND(OR(S$279=123, S$279=12, S$279=13, S$279=1), Cultivar_1_Cohort_Year_Selection=$S$278), ROUND(MAX(0,R$320 - 1),0),
IF(AND(OR(S$279=123, S$279=12, S$279=23, S$279=2), Cultivar_2_Cohort_Year_Selection=$S$278), ROUND(MAX(0,R$320 - 1),0),
IF(AND(OR(S$279=123, S$279=13, S$279=23, S$279=3), Cultivar_3_Cohort_Year_Selection=$S$278), ROUND(MAX(0,R$320 - 1),0),
ROUND(MAX(0,R$320),0)))))))),""),""),"")</f>
        <v/>
      </c>
      <c r="T333" s="496" t="str">
        <f>IF(ISNUMBER($B$321),
IF($C333&lt;&gt;"",
IF(AND(ISNUMBER(S$280), ISNUMBER(S$317)),
IF(AND(T$279=123, Cultivar_1_Cohort_Year_Selection=$T$278,Cultivar_2_Cohort_Year_Selection=$T$278,Cultivar_3_Cohort_Year_Selection=$T$278), ROUND(MAX(0,S$320 - 3),0),
IF(AND(OR(T$279=123, T$279=12), Cultivar_1_Cohort_Year_Selection=$T$278,Cultivar_2_Cohort_Year_Selection=$T$278), ROUND(MAX(0,S$320 - 2),0),
IF(AND(OR(T$279=123, T$279=13), Cultivar_1_Cohort_Year_Selection=$T$278,Cultivar_3_Cohort_Year_Selection=$T$278), ROUND(MAX(0,S$320 - 2),0),
IF(AND(OR(T$279=123, T$279=23), Cultivar_2_Cohort_Year_Selection=$T$278,Cultivar_3_Cohort_Year_Selection=$T$278), ROUND(MAX(0,S$320 - 2),0),
IF(AND(OR(T$279=123, T$279=12, T$279=13, T$279=1), Cultivar_1_Cohort_Year_Selection=$T$278), ROUND(MAX(0,S$320 - 1),0),
IF(AND(OR(T$279=123, T$279=12, T$279=23, T$279=2), Cultivar_2_Cohort_Year_Selection=$T$278), ROUND(MAX(0,S$320 - 1),0),
IF(AND(OR(T$279=123, T$279=13, T$279=23, T$279=3), Cultivar_3_Cohort_Year_Selection=$T$278), ROUND(MAX(0,S$320 - 1),0),
ROUND(MAX(0,S$320),0)))))))),""),""),"")</f>
        <v/>
      </c>
      <c r="U333" s="496" t="str">
        <f>IF(ISNUMBER($B$321),
IF($C333&lt;&gt;"",
IF(AND(ISNUMBER(T$280), ISNUMBER(T$317)),
IF(AND(U$279=123, Cultivar_1_Cohort_Year_Selection=$U$278,Cultivar_2_Cohort_Year_Selection=$U$278,Cultivar_3_Cohort_Year_Selection=$U$278), ROUND(MAX(0,T$320 - 3),0),
IF(AND(OR(U$279=123, U$279=12), Cultivar_1_Cohort_Year_Selection=$U$278,Cultivar_2_Cohort_Year_Selection=$U$278), ROUND(MAX(0,T$320 - 2),0),
IF(AND(OR(U$279=123, U$279=13), Cultivar_1_Cohort_Year_Selection=$U$278,Cultivar_3_Cohort_Year_Selection=$U$278), ROUND(MAX(0,T$320 - 2),0),
IF(AND(OR(U$279=123, U$279=23), Cultivar_2_Cohort_Year_Selection=$U$278,Cultivar_3_Cohort_Year_Selection=$U$278), ROUND(MAX(0,T$320 - 2),0),
IF(AND(OR(U$279=123, U$279=12, U$279=13, U$279=1), Cultivar_1_Cohort_Year_Selection=$U$278), ROUND(MAX(0,T$320 - 1),0),
IF(AND(OR(U$279=123, U$279=12, U$279=23, U$279=2), Cultivar_2_Cohort_Year_Selection=$U$278), ROUND(MAX(0,T$320 - 1),0),
IF(AND(OR(U$279=123, U$279=13, U$279=23, U$279=3), Cultivar_3_Cohort_Year_Selection=$U$278), ROUND(MAX(0,T$320 - 1),0),
ROUND(MAX(0,T$320),0)))))))),""),""),"")</f>
        <v/>
      </c>
      <c r="V333" s="496" t="str">
        <f>IF(ISNUMBER($B$321),
IF($C333&lt;&gt;"",
IF(AND(ISNUMBER(U$280), ISNUMBER(U$317)),
IF(AND(V$279=123, Cultivar_1_Cohort_Year_Selection=$V$278,Cultivar_2_Cohort_Year_Selection=$V$278,Cultivar_3_Cohort_Year_Selection=$V$278), ROUND(MAX(0,U$320 - 3),0),
IF(AND(OR(V$279=123, V$279=12), Cultivar_1_Cohort_Year_Selection=$V$278,Cultivar_2_Cohort_Year_Selection=$V$278), ROUND(MAX(0,U$320 - 2),0),
IF(AND(OR(V$279=123, V$279=13), Cultivar_1_Cohort_Year_Selection=$V$278,Cultivar_3_Cohort_Year_Selection=$V$278), ROUND(MAX(0,U$320 - 2),0),
IF(AND(OR(V$279=123, V$279=23), Cultivar_2_Cohort_Year_Selection=$V$278,Cultivar_3_Cohort_Year_Selection=$V$278), ROUND(MAX(0,U$320 - 2),0),
IF(AND(OR(V$279=123, V$279=12, V$279=13, V$279=1), Cultivar_1_Cohort_Year_Selection=$V$278), ROUND(MAX(0,U$320 - 1),0),
IF(AND(OR(V$279=123, V$279=12, V$279=23, V$279=2), Cultivar_2_Cohort_Year_Selection=$V$278), ROUND(MAX(0,U$320 - 1),0),
IF(AND(OR(V$279=123, V$279=13, V$279=23, V$279=3), Cultivar_3_Cohort_Year_Selection=$V$278), ROUND(MAX(0,U$320 - 1),0),
ROUND(MAX(0,U$320),0)))))))),""),""),"")</f>
        <v/>
      </c>
      <c r="W333" s="496" t="str">
        <f>IF(ISNUMBER($B$321),
IF($C333&lt;&gt;"",
IF(AND(ISNUMBER(V$280), ISNUMBER(V$317)),
IF(AND(W$279=123, Cultivar_1_Cohort_Year_Selection=$W$278,Cultivar_2_Cohort_Year_Selection=$W$278,Cultivar_3_Cohort_Year_Selection=$W$278), ROUND(MAX(0,V$320 - 3),0),
IF(AND(OR(W$279=123, W$279=12), Cultivar_1_Cohort_Year_Selection=$W$278,Cultivar_2_Cohort_Year_Selection=$W$278), ROUND(MAX(0,V$320 - 2),0),
IF(AND(OR(W$279=123, W$279=13), Cultivar_1_Cohort_Year_Selection=$W$278,Cultivar_3_Cohort_Year_Selection=$W$278), ROUND(MAX(0,V$320 - 2),0),
IF(AND(OR(W$279=123, W$279=23), Cultivar_2_Cohort_Year_Selection=$W$278,Cultivar_3_Cohort_Year_Selection=$W$278), ROUND(MAX(0,V$320 - 2),0),
IF(AND(OR(W$279=123, W$279=12, W$279=13, W$279=1), Cultivar_1_Cohort_Year_Selection=$W$278), ROUND(MAX(0,V$320 - 1),0),
IF(AND(OR(W$279=123, W$279=12, W$279=23, W$279=2), Cultivar_2_Cohort_Year_Selection=$W$278), ROUND(MAX(0,V$320 - 1),0),
IF(AND(OR(W$279=123, W$279=13, W$279=23, W$279=3), Cultivar_3_Cohort_Year_Selection=$W$278), ROUND(MAX(0,V$320 - 1),0),
ROUND(MAX(0,V$320),0)))))))),""),""),"")</f>
        <v/>
      </c>
      <c r="X333" s="496" t="str">
        <f>IF(ISNUMBER($B$321),
IF($C333&lt;&gt;"",
IF(AND(ISNUMBER(W$280), ISNUMBER(W$317)),
IF(AND(X$279=123, Cultivar_1_Cohort_Year_Selection=$X$278,Cultivar_2_Cohort_Year_Selection=$X$278,Cultivar_3_Cohort_Year_Selection=$X$278), ROUND(MAX(0,W$320 - 3),0),
IF(AND(OR(X$279=123, X$279=12), Cultivar_1_Cohort_Year_Selection=$X$278,Cultivar_2_Cohort_Year_Selection=$X$278), ROUND(MAX(0,W$320 - 2),0),
IF(AND(OR(X$279=123, X$279=13), Cultivar_1_Cohort_Year_Selection=$X$278,Cultivar_3_Cohort_Year_Selection=$X$278), ROUND(MAX(0,W$320 - 2),0),
IF(AND(OR(X$279=123, X$279=23), Cultivar_2_Cohort_Year_Selection=$X$278,Cultivar_3_Cohort_Year_Selection=$X$278), ROUND(MAX(0,W$320 - 2),0),
IF(AND(OR(X$279=123, X$279=12, X$279=13, X$279=1), Cultivar_1_Cohort_Year_Selection=$X$278), ROUND(MAX(0,W$320 - 1),0),
IF(AND(OR(X$279=123, X$279=12, X$279=23, X$279=2), Cultivar_2_Cohort_Year_Selection=$X$278), ROUND(MAX(0,W$320 - 1),0),
IF(AND(OR(X$279=123, X$279=13, X$279=23, X$279=3), Cultivar_3_Cohort_Year_Selection=$X$278), ROUND(MAX(0,W$320 - 1),0),
ROUND(MAX(0,W$320),0)))))))),""),""),"")</f>
        <v/>
      </c>
      <c r="Y333" s="496" t="str">
        <f>IF(ISNUMBER($B$321),
IF($C333&lt;&gt;"",
IF(AND(ISNUMBER(X$280), ISNUMBER(X$317)),
IF(AND(Y$279=123, Cultivar_1_Cohort_Year_Selection=$Y$278,Cultivar_2_Cohort_Year_Selection=$Y$278,Cultivar_3_Cohort_Year_Selection=$Y$278), ROUND(MAX(0,X$320 - 3),0),
IF(AND(OR(Y$279=123, Y$279=12), Cultivar_1_Cohort_Year_Selection=$Y$278,Cultivar_2_Cohort_Year_Selection=$Y$278), ROUND(MAX(0,X$320 - 2),0),
IF(AND(OR(Y$279=123, Y$279=13), Cultivar_1_Cohort_Year_Selection=$Y$278,Cultivar_3_Cohort_Year_Selection=$Y$278), ROUND(MAX(0,X$320 - 2),0),
IF(AND(OR(Y$279=123, Y$279=23), Cultivar_2_Cohort_Year_Selection=$Y$278,Cultivar_3_Cohort_Year_Selection=$Y$278), ROUND(MAX(0,X$320 - 2),0),
IF(AND(OR(Y$279=123, Y$279=12, Y$279=13, Y$279=1), Cultivar_1_Cohort_Year_Selection=$Y$278), ROUND(MAX(0,X$320 - 1),0),
IF(AND(OR(Y$279=123, Y$279=12, Y$279=23, Y$279=2), Cultivar_2_Cohort_Year_Selection=$Y$278), ROUND(MAX(0,X$320 - 1),0),
IF(AND(OR(Y$279=123, Y$279=13, Y$279=23, Y$279=3), Cultivar_3_Cohort_Year_Selection=$Y$278), ROUND(MAX(0,X$320 - 1),0),
ROUND(MAX(0,X$320),0)))))))),""),""),"")</f>
        <v/>
      </c>
      <c r="Z333" s="496" t="str">
        <f>IF(ISNUMBER($B$321),
IF($C333&lt;&gt;"",
IF(AND(ISNUMBER(Y$280), ISNUMBER(Y$317)),
IF(AND(Z$279=123, Cultivar_1_Cohort_Year_Selection=$Z$278,Cultivar_2_Cohort_Year_Selection=$Z$278,Cultivar_3_Cohort_Year_Selection=$Z$278), ROUND(MAX(0,Y$320 - 3),0),
IF(AND(OR(Z$279=123, Z$279=12), Cultivar_1_Cohort_Year_Selection=$Z$278,Cultivar_2_Cohort_Year_Selection=$Z$278), ROUND(MAX(0,Y$320 - 2),0),
IF(AND(OR(Z$279=123, Z$279=13), Cultivar_1_Cohort_Year_Selection=$Z$278,Cultivar_3_Cohort_Year_Selection=$Z$278), ROUND(MAX(0,Y$320 - 2),0),
IF(AND(OR(Z$279=123, Z$279=23), Cultivar_2_Cohort_Year_Selection=$Z$278,Cultivar_3_Cohort_Year_Selection=$Z$278), ROUND(MAX(0,Y$320 - 2),0),
IF(AND(OR(Z$279=123, Z$279=12, Z$279=13, Z$279=1), Cultivar_1_Cohort_Year_Selection=$Z$278), ROUND(MAX(0,Y$320 - 1),0),
IF(AND(OR(Z$279=123, Z$279=12, Z$279=23, Z$279=2), Cultivar_2_Cohort_Year_Selection=$Z$278), ROUND(MAX(0,Y$320 - 1),0),
IF(AND(OR(Z$279=123, Z$279=13, Z$279=23, Z$279=3), Cultivar_3_Cohort_Year_Selection=$Z$278), ROUND(MAX(0,Y$320 - 1),0),
ROUND(MAX(0,Y$320),0)))))))),""),""),"")</f>
        <v/>
      </c>
      <c r="AA333" s="496" t="str">
        <f>IF(ISNUMBER($B$321),
IF($C333&lt;&gt;"",
IF(AND(ISNUMBER(Z$280), ISNUMBER(Z$317)),
IF(AND(AA$279=123, Cultivar_1_Cohort_Year_Selection=$AA$278,Cultivar_2_Cohort_Year_Selection=$AA$278,Cultivar_3_Cohort_Year_Selection=$AA$278), ROUND(MAX(0,Z$320 - 3),0),
IF(AND(OR(AA$279=123, AA$279=12), Cultivar_1_Cohort_Year_Selection=$AA$278,Cultivar_2_Cohort_Year_Selection=$AA$278), ROUND(MAX(0,Z$320 - 2),0),
IF(AND(OR(AA$279=123, AA$279=13), Cultivar_1_Cohort_Year_Selection=$AA$278,Cultivar_3_Cohort_Year_Selection=$AA$278), ROUND(MAX(0,Z$320 - 2),0),
IF(AND(OR(AA$279=123, AA$279=23), Cultivar_2_Cohort_Year_Selection=$AA$278,Cultivar_3_Cohort_Year_Selection=$AA$278), ROUND(MAX(0,Z$320 - 2),0),
IF(AND(OR(AA$279=123, AA$279=12, AA$279=13, AA$279=1), Cultivar_1_Cohort_Year_Selection=$AA$278), ROUND(MAX(0,Z$320 - 1),0),
IF(AND(OR(AA$279=123, AA$279=12, AA$279=23, AA$279=2), Cultivar_2_Cohort_Year_Selection=$AA$278), ROUND(MAX(0,Z$320 - 1),0),
IF(AND(OR(AA$279=123, AA$279=13, AA$279=23, AA$279=3), Cultivar_3_Cohort_Year_Selection=$AA$278), ROUND(MAX(0,Z$320 - 1),0),
ROUND(MAX(0,Z$320),0)))))))),""),""),"")</f>
        <v/>
      </c>
      <c r="AB333" s="496" t="str">
        <f>IF(ISNUMBER($B$321),
IF($C333&lt;&gt;"",
IF(AND(ISNUMBER(AA$280), ISNUMBER(AA$317)),
IF(AND(AB$279=123, Cultivar_1_Cohort_Year_Selection=$AB$278,Cultivar_2_Cohort_Year_Selection=$AB$278,Cultivar_3_Cohort_Year_Selection=$AB$278), ROUND(MAX(0,AA$320 - 3),0),
IF(AND(OR(AB$279=123, AB$279=12), Cultivar_1_Cohort_Year_Selection=$AB$278,Cultivar_2_Cohort_Year_Selection=$AB$278), ROUND(MAX(0,AA$320 - 2),0),
IF(AND(OR(AB$279=123, AB$279=13), Cultivar_1_Cohort_Year_Selection=$AB$278,Cultivar_3_Cohort_Year_Selection=$AB$278), ROUND(MAX(0,AA$320 - 2),0),
IF(AND(OR(AB$279=123, AB$279=23), Cultivar_2_Cohort_Year_Selection=$AB$278,Cultivar_3_Cohort_Year_Selection=$AB$278), ROUND(MAX(0,AA$320 - 2),0),
IF(AND(OR(AB$279=123, AB$279=12, AB$279=13, AB$279=1), Cultivar_1_Cohort_Year_Selection=$AB$278), ROUND(MAX(0,AA$320 - 1),0),
IF(AND(OR(AB$279=123, AB$279=12, AB$279=23, AB$279=2), Cultivar_2_Cohort_Year_Selection=$AB$278), ROUND(MAX(0,AA$320 - 1),0),
IF(AND(OR(AB$279=123, AB$279=13, AB$279=23, AB$279=3), Cultivar_3_Cohort_Year_Selection=$AB$278), ROUND(MAX(0,AA$320 - 1),0),
ROUND(MAX(0,AA$320),0)))))))),""),""),"")</f>
        <v/>
      </c>
      <c r="AC333" s="496" t="str">
        <f>IF(ISNUMBER($B$321),
IF($C333&lt;&gt;"",
IF(AND(ISNUMBER(AB$280), ISNUMBER(AB$317)),
IF(AND(AC$279=123, Cultivar_1_Cohort_Year_Selection=$AC$278,Cultivar_2_Cohort_Year_Selection=$AC$278,Cultivar_3_Cohort_Year_Selection=$AC$278), ROUND(MAX(0,AB$320 - 3),0),
IF(AND(OR(AC$279=123, AC$279=12), Cultivar_1_Cohort_Year_Selection=$AC$278,Cultivar_2_Cohort_Year_Selection=$AC$278), ROUND(MAX(0,AB$320 - 2),0),
IF(AND(OR(AC$279=123, AC$279=13), Cultivar_1_Cohort_Year_Selection=$AC$278,Cultivar_3_Cohort_Year_Selection=$AC$278), ROUND(MAX(0,AB$320 - 2),0),
IF(AND(OR(AC$279=123, AC$279=23), Cultivar_2_Cohort_Year_Selection=$AC$278,Cultivar_3_Cohort_Year_Selection=$AC$278), ROUND(MAX(0,AB$320 - 2),0),
IF(AND(OR(AC$279=123, AC$279=12, AC$279=13, AC$279=1), Cultivar_1_Cohort_Year_Selection=$AC$278), ROUND(MAX(0,AB$320 - 1),0),
IF(AND(OR(AC$279=123, AC$279=12, AC$279=23, AC$279=2), Cultivar_2_Cohort_Year_Selection=$AC$278), ROUND(MAX(0,AB$320 - 1),0),
IF(AND(OR(AC$279=123, AC$279=13, AC$279=23, AC$279=3), Cultivar_3_Cohort_Year_Selection=$AC$278), ROUND(MAX(0,AB$320 - 1),0),
ROUND(MAX(0,AB$320),0)))))))),""),""),"")</f>
        <v/>
      </c>
      <c r="AD333" s="496" t="str">
        <f>IF(ISNUMBER($B$321),
IF($C333&lt;&gt;"",
IF(AND(ISNUMBER(AC$280), ISNUMBER(AC$317)),
IF(AND(AD$279=123, Cultivar_1_Cohort_Year_Selection=$AD$278,Cultivar_2_Cohort_Year_Selection=$AD$278,Cultivar_3_Cohort_Year_Selection=$AD$278), ROUND(MAX(0,AC$320 - 3),0),
IF(AND(OR(AD$279=123, AD$279=12), Cultivar_1_Cohort_Year_Selection=$AD$278,Cultivar_2_Cohort_Year_Selection=$AD$278), ROUND(MAX(0,AC$320 - 2),0),
IF(AND(OR(AD$279=123, AD$279=13), Cultivar_1_Cohort_Year_Selection=$AD$278,Cultivar_3_Cohort_Year_Selection=$AD$278), ROUND(MAX(0,AC$320 - 2),0),
IF(AND(OR(AD$279=123, AD$279=23), Cultivar_2_Cohort_Year_Selection=$AD$278,Cultivar_3_Cohort_Year_Selection=$AD$278), ROUND(MAX(0,AC$320 - 2),0),
IF(AND(OR(AD$279=123, AD$279=12, AD$279=13, AD$279=1), Cultivar_1_Cohort_Year_Selection=$AD$278), ROUND(MAX(0,AC$320 - 1),0),
IF(AND(OR(AD$279=123, AD$279=12, AD$279=23, AD$279=2), Cultivar_2_Cohort_Year_Selection=$AD$278), ROUND(MAX(0,AC$320 - 1),0),
IF(AND(OR(AD$279=123, AD$279=13, AD$279=23, AD$279=3), Cultivar_3_Cohort_Year_Selection=$AD$278), ROUND(MAX(0,AC$320 - 1),0),
ROUND(MAX(0,AC$320),0)))))))),""),""),"")</f>
        <v/>
      </c>
      <c r="AE333" s="496" t="str">
        <f>IF(ISNUMBER($B$321),
IF($C333&lt;&gt;"",
IF(AND(ISNUMBER(AD$280), ISNUMBER(AD$317)),
IF(AND(AE$279=123, Cultivar_1_Cohort_Year_Selection=$AE$278,Cultivar_2_Cohort_Year_Selection=$AE$278,Cultivar_3_Cohort_Year_Selection=$AE$278), ROUND(MAX(0,AD$320 - 3),0),
IF(AND(OR(AE$279=123, AE$279=12), Cultivar_1_Cohort_Year_Selection=$AE$278,Cultivar_2_Cohort_Year_Selection=$AE$278), ROUND(MAX(0,AD$320 - 2),0),
IF(AND(OR(AE$279=123, AE$279=13), Cultivar_1_Cohort_Year_Selection=$AE$278,Cultivar_3_Cohort_Year_Selection=$AE$278), ROUND(MAX(0,AD$320 - 2),0),
IF(AND(OR(AE$279=123, AE$279=23), Cultivar_2_Cohort_Year_Selection=$AE$278,Cultivar_3_Cohort_Year_Selection=$AE$278), ROUND(MAX(0,AD$320 - 2),0),
IF(AND(OR(AE$279=123, AE$279=12, AE$279=13, AE$279=1), Cultivar_1_Cohort_Year_Selection=$AE$278), ROUND(MAX(0,AD$320 - 1),0),
IF(AND(OR(AE$279=123, AE$279=12, AE$279=23, AE$279=2), Cultivar_2_Cohort_Year_Selection=$AE$278), ROUND(MAX(0,AD$320 - 1),0),
IF(AND(OR(AE$279=123, AE$279=13, AE$279=23, AE$279=3), Cultivar_3_Cohort_Year_Selection=$AE$278), ROUND(MAX(0,AD$320 - 1),0),
ROUND(MAX(0,AD$320),0)))))))),""),""),"")</f>
        <v/>
      </c>
      <c r="AF333" s="496" t="str">
        <f>IF(ISNUMBER($B$321),
IF($C333&lt;&gt;"",
IF(AND(ISNUMBER(AE$280), ISNUMBER(AE$317)),
IF(AND(AF$279=123, Cultivar_1_Cohort_Year_Selection=$AF$278,Cultivar_2_Cohort_Year_Selection=$AF$278,Cultivar_3_Cohort_Year_Selection=$AF$278), ROUND(MAX(0,AE$320 - 3),0),
IF(AND(OR(AF$279=123, AF$279=12), Cultivar_1_Cohort_Year_Selection=$AF$278,Cultivar_2_Cohort_Year_Selection=$AF$278), ROUND(MAX(0,AE$320 - 2),0),
IF(AND(OR(AF$279=123, AF$279=13), Cultivar_1_Cohort_Year_Selection=$AF$278,Cultivar_3_Cohort_Year_Selection=$AF$278), ROUND(MAX(0,AE$320 - 2),0),
IF(AND(OR(AF$279=123, AF$279=23), Cultivar_2_Cohort_Year_Selection=$AF$278,Cultivar_3_Cohort_Year_Selection=$AF$278), ROUND(MAX(0,AE$320 - 2),0),
IF(AND(OR(AF$279=123, AF$279=12, AF$279=13, AF$279=1), Cultivar_1_Cohort_Year_Selection=$AF$278), ROUND(MAX(0,AE$320 - 1),0),
IF(AND(OR(AF$279=123, AF$279=12, AF$279=23, AF$279=2), Cultivar_2_Cohort_Year_Selection=$AF$278), ROUND(MAX(0,AE$320 - 1),0),
IF(AND(OR(AF$279=123, AF$279=13, AF$279=23, AF$279=3), Cultivar_3_Cohort_Year_Selection=$AF$278), ROUND(MAX(0,AE$320 - 1),0),
ROUND(MAX(0,AE$320),0)))))))),""),""),"")</f>
        <v/>
      </c>
      <c r="AG333" s="496" t="str">
        <f>IF(ISNUMBER($B$321),
IF($C333&lt;&gt;"",
IF(AND(ISNUMBER(AF$280), ISNUMBER(AF$317)),
IF(AND(AG$279=123, Cultivar_1_Cohort_Year_Selection=$AG$278,Cultivar_2_Cohort_Year_Selection=$AG$278,Cultivar_3_Cohort_Year_Selection=$AG$278), ROUND(MAX(0,AF$320 - 3),0),
IF(AND(OR(AG$279=123, AG$279=12), Cultivar_1_Cohort_Year_Selection=$AG$278,Cultivar_2_Cohort_Year_Selection=$AG$278), ROUND(MAX(0,AF$320 - 2),0),
IF(AND(OR(AG$279=123, AG$279=13), Cultivar_1_Cohort_Year_Selection=$AG$278,Cultivar_3_Cohort_Year_Selection=$AG$278), ROUND(MAX(0,AF$320 - 2),0),
IF(AND(OR(AG$279=123, AG$279=23), Cultivar_2_Cohort_Year_Selection=$AG$278,Cultivar_3_Cohort_Year_Selection=$AG$278), ROUND(MAX(0,AF$320 - 2),0),
IF(AND(OR(AG$279=123, AG$279=12, AG$279=13, AG$279=1), Cultivar_1_Cohort_Year_Selection=$AG$278), ROUND(MAX(0,AF$320 - 1),0),
IF(AND(OR(AG$279=123, AG$279=12, AG$279=23, AG$279=2), Cultivar_2_Cohort_Year_Selection=$AG$278), ROUND(MAX(0,AF$320 - 1),0),
IF(AND(OR(AG$279=123, AG$279=13, AG$279=23, AG$279=3), Cultivar_3_Cohort_Year_Selection=$AG$278), ROUND(MAX(0,AF$320 - 1),0),
ROUND(MAX(0,AF$320),0)))))))),""),""),"")</f>
        <v/>
      </c>
      <c r="AH333" s="496" t="str">
        <f>IF(ISNUMBER($B$321),
IF($C333&lt;&gt;"",
IF(AND(ISNUMBER(AG$280), ISNUMBER(AG$317)),
IF(AND(AH$279=123, Cultivar_1_Cohort_Year_Selection=$AH$278,Cultivar_2_Cohort_Year_Selection=$AH$278,Cultivar_3_Cohort_Year_Selection=$AH$278), ROUND(MAX(0,AG$320 - 3),0),
IF(AND(OR(AH$279=123, AH$279=12), Cultivar_1_Cohort_Year_Selection=$AH$278,Cultivar_2_Cohort_Year_Selection=$AH$278), ROUND(MAX(0,AG$320 - 2),0),
IF(AND(OR(AH$279=123, AH$279=13), Cultivar_1_Cohort_Year_Selection=$AH$278,Cultivar_3_Cohort_Year_Selection=$AH$278), ROUND(MAX(0,AG$320 - 2),0),
IF(AND(OR(AH$279=123, AH$279=23), Cultivar_2_Cohort_Year_Selection=$AH$278,Cultivar_3_Cohort_Year_Selection=$AH$278), ROUND(MAX(0,AG$320 - 2),0),
IF(AND(OR(AH$279=123, AH$279=12, AH$279=13, AH$279=1), Cultivar_1_Cohort_Year_Selection=$AH$278), ROUND(MAX(0,AG$320 - 1),0),
IF(AND(OR(AH$279=123, AH$279=12, AH$279=23, AH$279=2), Cultivar_2_Cohort_Year_Selection=$AH$278), ROUND(MAX(0,AG$320 - 1),0),
IF(AND(OR(AH$279=123, AH$279=13, AH$279=23, AH$279=3), Cultivar_3_Cohort_Year_Selection=$AH$278), ROUND(MAX(0,AG$320 - 1),0),
ROUND(MAX(0,AG$320),0)))))))),""),""),"")</f>
        <v/>
      </c>
      <c r="AI333" s="496" t="str">
        <f>IF(ISNUMBER($B$321),
IF($C333&lt;&gt;"",
IF(AND(ISNUMBER(AH$280), ISNUMBER(AH$317)),
IF(AND(AI$279=123, Cultivar_1_Cohort_Year_Selection=$AI$278,Cultivar_2_Cohort_Year_Selection=$AI$278,Cultivar_3_Cohort_Year_Selection=$AI$278), ROUND(MAX(0,AH$320 - 3),0),
IF(AND(OR(AI$279=123, AI$279=12), Cultivar_1_Cohort_Year_Selection=$AI$278,Cultivar_2_Cohort_Year_Selection=$AI$278), ROUND(MAX(0,AH$320 - 2),0),
IF(AND(OR(AI$279=123, AI$279=13), Cultivar_1_Cohort_Year_Selection=$AI$278,Cultivar_3_Cohort_Year_Selection=$AI$278), ROUND(MAX(0,AH$320 - 2),0),
IF(AND(OR(AI$279=123, AI$279=23), Cultivar_2_Cohort_Year_Selection=$AI$278,Cultivar_3_Cohort_Year_Selection=$AI$278), ROUND(MAX(0,AH$320 - 2),0),
IF(AND(OR(AI$279=123, AI$279=12, AI$279=13, AI$279=1), Cultivar_1_Cohort_Year_Selection=$AI$278), ROUND(MAX(0,AH$320 - 1),0),
IF(AND(OR(AI$279=123, AI$279=12, AI$279=23, AI$279=2), Cultivar_2_Cohort_Year_Selection=$AI$278), ROUND(MAX(0,AH$320 - 1),0),
IF(AND(OR(AI$279=123, AI$279=13, AI$279=23, AI$279=3), Cultivar_3_Cohort_Year_Selection=$AI$278), ROUND(MAX(0,AH$320 - 1),0),
ROUND(MAX(0,AH$320),0)))))))),""),""),"")</f>
        <v/>
      </c>
      <c r="AJ333" s="496" t="str">
        <f>IF(ISNUMBER($B$321),
IF($C333&lt;&gt;"",
IF(AND(ISNUMBER(AI$280), ISNUMBER(AI$317)),
IF(AND(AJ$279=123, Cultivar_1_Cohort_Year_Selection=$AJ$278,Cultivar_2_Cohort_Year_Selection=$AJ$278,Cultivar_3_Cohort_Year_Selection=$AJ$278), ROUND(MAX(0,AI$320 - 3),0),
IF(AND(OR(AJ$279=123, AJ$279=12), Cultivar_1_Cohort_Year_Selection=$AJ$278,Cultivar_2_Cohort_Year_Selection=$AJ$278), ROUND(MAX(0,AI$320 - 2),0),
IF(AND(OR(AJ$279=123, AJ$279=13), Cultivar_1_Cohort_Year_Selection=$AJ$278,Cultivar_3_Cohort_Year_Selection=$AJ$278), ROUND(MAX(0,AI$320 - 2),0),
IF(AND(OR(AJ$279=123, AJ$279=23), Cultivar_2_Cohort_Year_Selection=$AJ$278,Cultivar_3_Cohort_Year_Selection=$AJ$278), ROUND(MAX(0,AI$320 - 2),0),
IF(AND(OR(AJ$279=123, AJ$279=12, AJ$279=13, AJ$279=1), Cultivar_1_Cohort_Year_Selection=$AJ$278), ROUND(MAX(0,AI$320 - 1),0),
IF(AND(OR(AJ$279=123, AJ$279=12, AJ$279=23, AJ$279=2), Cultivar_2_Cohort_Year_Selection=$AJ$278), ROUND(MAX(0,AI$320 - 1),0),
IF(AND(OR(AJ$279=123, AJ$279=13, AJ$279=23, AJ$279=3), Cultivar_3_Cohort_Year_Selection=$AJ$278), ROUND(MAX(0,AI$320 - 1),0),
ROUND(MAX(0,AI$320),0)))))))),""),""),"")</f>
        <v/>
      </c>
      <c r="AK333" s="496" t="str">
        <f>IF(ISNUMBER($B$321),
IF($C333&lt;&gt;"",
IF(AND(ISNUMBER(AJ$280), ISNUMBER(AJ$317)),
IF(AND(AK$279=123, Cultivar_1_Cohort_Year_Selection=$AK$278,Cultivar_2_Cohort_Year_Selection=$AK$278,Cultivar_3_Cohort_Year_Selection=$AK$278), ROUND(MAX(0,AJ$320 - 3),0),
IF(AND(OR(AK$279=123, AK$279=12), Cultivar_1_Cohort_Year_Selection=$AK$278,Cultivar_2_Cohort_Year_Selection=$AK$278), ROUND(MAX(0,AJ$320 - 2),0),
IF(AND(OR(AK$279=123, AK$279=13), Cultivar_1_Cohort_Year_Selection=$AK$278,Cultivar_3_Cohort_Year_Selection=$AK$278), ROUND(MAX(0,AJ$320 - 2),0),
IF(AND(OR(AK$279=123, AK$279=23), Cultivar_2_Cohort_Year_Selection=$AK$278,Cultivar_3_Cohort_Year_Selection=$AK$278), ROUND(MAX(0,AJ$320 - 2),0),
IF(AND(OR(AK$279=123, AK$279=12, AK$279=13, AK$279=1), Cultivar_1_Cohort_Year_Selection=$AK$278), ROUND(MAX(0,AJ$320 - 1),0),
IF(AND(OR(AK$279=123, AK$279=12, AK$279=23, AK$279=2), Cultivar_2_Cohort_Year_Selection=$AK$278), ROUND(MAX(0,AJ$320 - 1),0),
IF(AND(OR(AK$279=123, AK$279=13, AK$279=23, AK$279=3), Cultivar_3_Cohort_Year_Selection=$AK$278), ROUND(MAX(0,AJ$320 - 1),0),
ROUND(MAX(0,AJ$320),0)))))))),""),""),"")</f>
        <v/>
      </c>
      <c r="AL333" s="496" t="str">
        <f>IF(ISNUMBER($B$321),
IF($C333&lt;&gt;"",
IF(AND(ISNUMBER(AK$280), ISNUMBER(AK$317)),
IF(AND(AL$279=123, Cultivar_1_Cohort_Year_Selection=$AL$278,Cultivar_2_Cohort_Year_Selection=$AL$278,Cultivar_3_Cohort_Year_Selection=$AL$278), ROUND(MAX(0,AK$320 - 3),0),
IF(AND(OR(AL$279=123, AL$279=12), Cultivar_1_Cohort_Year_Selection=$AL$278,Cultivar_2_Cohort_Year_Selection=$AL$278), ROUND(MAX(0,AK$320 - 2),0),
IF(AND(OR(AL$279=123, AL$279=13), Cultivar_1_Cohort_Year_Selection=$AL$278,Cultivar_3_Cohort_Year_Selection=$AL$278), ROUND(MAX(0,AK$320 - 2),0),
IF(AND(OR(AL$279=123, AL$279=23), Cultivar_2_Cohort_Year_Selection=$AL$278,Cultivar_3_Cohort_Year_Selection=$AL$278), ROUND(MAX(0,AK$320 - 2),0),
IF(AND(OR(AL$279=123, AL$279=12, AL$279=13, AL$279=1), Cultivar_1_Cohort_Year_Selection=$AL$278), ROUND(MAX(0,AK$320 - 1),0),
IF(AND(OR(AL$279=123, AL$279=12, AL$279=23, AL$279=2), Cultivar_2_Cohort_Year_Selection=$AL$278), ROUND(MAX(0,AK$320 - 1),0),
IF(AND(OR(AL$279=123, AL$279=13, AL$279=23, AL$279=3), Cultivar_3_Cohort_Year_Selection=$AL$278), ROUND(MAX(0,AK$320 - 1),0),
ROUND(MAX(0,AK$320),0)))))))),""),""),"")</f>
        <v/>
      </c>
      <c r="AM333" s="496" t="str">
        <f>IF(ISNUMBER($B$321),
IF($C333&lt;&gt;"",
IF(AND(ISNUMBER(AL$280), ISNUMBER(AL$317)),
IF(AND(AM$279=123, Cultivar_1_Cohort_Year_Selection=$AM$278,Cultivar_2_Cohort_Year_Selection=$AM$278,Cultivar_3_Cohort_Year_Selection=$AM$278), ROUND(MAX(0,AL$320 - 3),0),
IF(AND(OR(AM$279=123, AM$279=12), Cultivar_1_Cohort_Year_Selection=$AM$278,Cultivar_2_Cohort_Year_Selection=$AM$278), ROUND(MAX(0,AL$320 - 2),0),
IF(AND(OR(AM$279=123, AM$279=13), Cultivar_1_Cohort_Year_Selection=$AM$278,Cultivar_3_Cohort_Year_Selection=$AM$278), ROUND(MAX(0,AL$320 - 2),0),
IF(AND(OR(AM$279=123, AM$279=23), Cultivar_2_Cohort_Year_Selection=$AM$278,Cultivar_3_Cohort_Year_Selection=$AM$278), ROUND(MAX(0,AL$320 - 2),0),
IF(AND(OR(AM$279=123, AM$279=12, AM$279=13, AM$279=1), Cultivar_1_Cohort_Year_Selection=$AM$278), ROUND(MAX(0,AL$320 - 1),0),
IF(AND(OR(AM$279=123, AM$279=12, AM$279=23, AM$279=2), Cultivar_2_Cohort_Year_Selection=$AM$278), ROUND(MAX(0,AL$320 - 1),0),
IF(AND(OR(AM$279=123, AM$279=13, AM$279=23, AM$279=3), Cultivar_3_Cohort_Year_Selection=$AM$278), ROUND(MAX(0,AL$320 - 1),0),
ROUND(MAX(0,AL$320),0)))))))),""),""),"")</f>
        <v/>
      </c>
      <c r="AN333" s="496" t="str">
        <f>IF(ISNUMBER($B$321),
IF($C333&lt;&gt;"",
IF(AND(ISNUMBER(AM$280), ISNUMBER(AM$317)),
IF(AND(AN$279=123, Cultivar_1_Cohort_Year_Selection=$AN$278,Cultivar_2_Cohort_Year_Selection=$AN$278,Cultivar_3_Cohort_Year_Selection=$AN$278), ROUND(MAX(0,AM$320 - 3),0),
IF(AND(OR(AN$279=123, AN$279=12), Cultivar_1_Cohort_Year_Selection=$AN$278,Cultivar_2_Cohort_Year_Selection=$AN$278), ROUND(MAX(0,AM$320 - 2),0),
IF(AND(OR(AN$279=123, AN$279=13), Cultivar_1_Cohort_Year_Selection=$AN$278,Cultivar_3_Cohort_Year_Selection=$AN$278), ROUND(MAX(0,AM$320 - 2),0),
IF(AND(OR(AN$279=123, AN$279=23), Cultivar_2_Cohort_Year_Selection=$AN$278,Cultivar_3_Cohort_Year_Selection=$AN$278), ROUND(MAX(0,AM$320 - 2),0),
IF(AND(OR(AN$279=123, AN$279=12, AN$279=13, AN$279=1), Cultivar_1_Cohort_Year_Selection=$AN$278), ROUND(MAX(0,AM$320 - 1),0),
IF(AND(OR(AN$279=123, AN$279=12, AN$279=23, AN$279=2), Cultivar_2_Cohort_Year_Selection=$AN$278), ROUND(MAX(0,AM$320 - 1),0),
IF(AND(OR(AN$279=123, AN$279=13, AN$279=23, AN$279=3), Cultivar_3_Cohort_Year_Selection=$AN$278), ROUND(MAX(0,AM$320 - 1),0),
ROUND(MAX(0,AM$320),0)))))))),""),""),"")</f>
        <v/>
      </c>
      <c r="AO333" s="496" t="str">
        <f>IF(ISNUMBER($B$321),
IF($C333&lt;&gt;"",
IF(AND(ISNUMBER(AN$280), ISNUMBER(AN$317)),
IF(AND(AO$279=123, Cultivar_1_Cohort_Year_Selection=$AO$278,Cultivar_2_Cohort_Year_Selection=$AO$278,Cultivar_3_Cohort_Year_Selection=$AO$278), ROUND(MAX(0,AN$320 - 3),0),
IF(AND(OR(AO$279=123, AO$279=12), Cultivar_1_Cohort_Year_Selection=$AO$278,Cultivar_2_Cohort_Year_Selection=$AO$278), ROUND(MAX(0,AN$320 - 2),0),
IF(AND(OR(AO$279=123, AO$279=13), Cultivar_1_Cohort_Year_Selection=$AO$278,Cultivar_3_Cohort_Year_Selection=$AO$278), ROUND(MAX(0,AN$320 - 2),0),
IF(AND(OR(AO$279=123, AO$279=23), Cultivar_2_Cohort_Year_Selection=$AO$278,Cultivar_3_Cohort_Year_Selection=$AO$278), ROUND(MAX(0,AN$320 - 2),0),
IF(AND(OR(AO$279=123, AO$279=12, AO$279=13, AO$279=1), Cultivar_1_Cohort_Year_Selection=$AO$278), ROUND(MAX(0,AN$320 - 1),0),
IF(AND(OR(AO$279=123, AO$279=12, AO$279=23, AO$279=2), Cultivar_2_Cohort_Year_Selection=$AO$278), ROUND(MAX(0,AN$320 - 1),0),
IF(AND(OR(AO$279=123, AO$279=13, AO$279=23, AO$279=3), Cultivar_3_Cohort_Year_Selection=$AO$278), ROUND(MAX(0,AN$320 - 1),0),
ROUND(MAX(0,AN$320),0)))))))),""),""),"")</f>
        <v/>
      </c>
      <c r="AP333" s="496" t="str">
        <f>IF(ISNUMBER($B$321),
IF($C333&lt;&gt;"",
IF(AND(ISNUMBER(AO$280), ISNUMBER(AO$317)),
IF(AND(AP$279=123, Cultivar_1_Cohort_Year_Selection=$AP$278,Cultivar_2_Cohort_Year_Selection=$AP$278,Cultivar_3_Cohort_Year_Selection=$AP$278), ROUND(MAX(0,AO$320 - 3),0),
IF(AND(OR(AP$279=123, AP$279=12), Cultivar_1_Cohort_Year_Selection=$AP$278,Cultivar_2_Cohort_Year_Selection=$AP$278), ROUND(MAX(0,AO$320 - 2),0),
IF(AND(OR(AP$279=123, AP$279=13), Cultivar_1_Cohort_Year_Selection=$AP$278,Cultivar_3_Cohort_Year_Selection=$AP$278), ROUND(MAX(0,AO$320 - 2),0),
IF(AND(OR(AP$279=123, AP$279=23), Cultivar_2_Cohort_Year_Selection=$AP$278,Cultivar_3_Cohort_Year_Selection=$AP$278), ROUND(MAX(0,AO$320 - 2),0),
IF(AND(OR(AP$279=123, AP$279=12, AP$279=13, AP$279=1), Cultivar_1_Cohort_Year_Selection=$AP$278), ROUND(MAX(0,AO$320 - 1),0),
IF(AND(OR(AP$279=123, AP$279=12, AP$279=23, AP$279=2), Cultivar_2_Cohort_Year_Selection=$AP$278), ROUND(MAX(0,AO$320 - 1),0),
IF(AND(OR(AP$279=123, AP$279=13, AP$279=23, AP$279=3), Cultivar_3_Cohort_Year_Selection=$AP$278), ROUND(MAX(0,AO$320 - 1),0),
ROUND(MAX(0,AO$320),0)))))))),""),""),"")</f>
        <v/>
      </c>
      <c r="AQ333" s="496" t="str">
        <f>IF(ISNUMBER($B$321),
IF($C333&lt;&gt;"",
IF(AND(ISNUMBER(AP$280), ISNUMBER(AP$317)),
IF(AND(AQ$279=123, Cultivar_1_Cohort_Year_Selection=$AQ$278,Cultivar_2_Cohort_Year_Selection=$AQ$278,Cultivar_3_Cohort_Year_Selection=$AQ$278), ROUND(MAX(0,AP$320 - 3),0),
IF(AND(OR(AQ$279=123, AQ$279=12), Cultivar_1_Cohort_Year_Selection=$AQ$278,Cultivar_2_Cohort_Year_Selection=$AQ$278), ROUND(MAX(0,AP$320 - 2),0),
IF(AND(OR(AQ$279=123, AQ$279=13), Cultivar_1_Cohort_Year_Selection=$AQ$278,Cultivar_3_Cohort_Year_Selection=$AQ$278), ROUND(MAX(0,AP$320 - 2),0),
IF(AND(OR(AQ$279=123, AQ$279=23), Cultivar_2_Cohort_Year_Selection=$AQ$278,Cultivar_3_Cohort_Year_Selection=$AQ$278), ROUND(MAX(0,AP$320 - 2),0),
IF(AND(OR(AQ$279=123, AQ$279=12, AQ$279=13, AQ$279=1), Cultivar_1_Cohort_Year_Selection=$AQ$278), ROUND(MAX(0,AP$320 - 1),0),
IF(AND(OR(AQ$279=123, AQ$279=12, AQ$279=23, AQ$279=2), Cultivar_2_Cohort_Year_Selection=$AQ$278), ROUND(MAX(0,AP$320 - 1),0),
IF(AND(OR(AQ$279=123, AQ$279=13, AQ$279=23, AQ$279=3), Cultivar_3_Cohort_Year_Selection=$AQ$278), ROUND(MAX(0,AP$320 - 1),0),
ROUND(MAX(0,AP$320),0)))))))),""),""),"")</f>
        <v/>
      </c>
      <c r="AR333" s="496" t="str">
        <f>IF(ISNUMBER($B$321),
IF($C333&lt;&gt;"",
IF(AND(ISNUMBER(AQ$280), ISNUMBER(AQ$317)),
IF(AND(AR$279=123, Cultivar_1_Cohort_Year_Selection=$AR$278,Cultivar_2_Cohort_Year_Selection=$AR$278,Cultivar_3_Cohort_Year_Selection=$AR$278), ROUND(MAX(0,AQ$320 - 3),0),
IF(AND(OR(AR$279=123, AR$279=12), Cultivar_1_Cohort_Year_Selection=$AR$278,Cultivar_2_Cohort_Year_Selection=$AR$278), ROUND(MAX(0,AQ$320 - 2),0),
IF(AND(OR(AR$279=123, AR$279=13), Cultivar_1_Cohort_Year_Selection=$AR$278,Cultivar_3_Cohort_Year_Selection=$AR$278), ROUND(MAX(0,AQ$320 - 2),0),
IF(AND(OR(AR$279=123, AR$279=23), Cultivar_2_Cohort_Year_Selection=$AR$278,Cultivar_3_Cohort_Year_Selection=$AR$278), ROUND(MAX(0,AQ$320 - 2),0),
IF(AND(OR(AR$279=123, AR$279=12, AR$279=13, AR$279=1), Cultivar_1_Cohort_Year_Selection=$AR$278), ROUND(MAX(0,AQ$320 - 1),0),
IF(AND(OR(AR$279=123, AR$279=12, AR$279=23, AR$279=2), Cultivar_2_Cohort_Year_Selection=$AR$278), ROUND(MAX(0,AQ$320 - 1),0),
IF(AND(OR(AR$279=123, AR$279=13, AR$279=23, AR$279=3), Cultivar_3_Cohort_Year_Selection=$AR$278), ROUND(MAX(0,AQ$320 - 1),0),
ROUND(MAX(0,AQ$320),0)))))))),""),""),"")</f>
        <v/>
      </c>
    </row>
    <row r="334" spans="1:44" x14ac:dyDescent="0.25">
      <c r="A334" s="518"/>
      <c r="B334" s="504"/>
      <c r="C334" s="521"/>
      <c r="D334" s="94" t="str">
        <f>IF(AND(C333&lt;&gt;"", 'Cost Inputs'!$G$117&lt;&gt;""), 'Cost Inputs'!$G$117, "")</f>
        <v/>
      </c>
      <c r="E334" s="94" t="str">
        <f>IF(AND(C333&lt;&gt;"", 'Cost Inputs'!$H$117&lt;&gt;""), 'Cost Inputs'!$H$117, "")</f>
        <v/>
      </c>
      <c r="F334" s="492"/>
      <c r="G334" s="102" t="str">
        <f t="shared" si="16"/>
        <v/>
      </c>
      <c r="H334" s="492"/>
      <c r="I334" s="102" t="str">
        <f>IF($C333&lt;&gt;"", IF(AND($E334&lt;&gt;"", H333&lt;&gt;""), H333/($E333*$E334), 0), "")</f>
        <v/>
      </c>
      <c r="J334" s="492" t="str">
        <f>IF(AND(C334&lt;&gt;"",('Cost Inputs'!$I$86+'Cost Inputs'!$J$86+'Cost Inputs'!$K$86)&gt;0), 'Cost Inputs'!$I$86+'Cost Inputs'!$J$86+'Cost Inputs'!$K$86, "")</f>
        <v/>
      </c>
      <c r="K334" s="102" t="str">
        <f>IF($C333&lt;&gt;"", IF(AND($E334&lt;&gt;"", J333&lt;&gt;""), J333/($E333*$E334), 0), "")</f>
        <v/>
      </c>
      <c r="L334" s="525"/>
      <c r="M334" s="525"/>
      <c r="P334" s="496" t="str">
        <f>IF(ISNUMBER($B$280),
IF($C334&lt;&gt;"",
IF(AND(ISNUMBER(O$280), ISNUMBER(O$317)),
IF(AND(P$279=123, Cultivar_1_Cohort_Year_Selection=$P$278,Cultivar_2_Cohort_Year_Selection=$P$278,Cultivar_3_Cohort_Year_Selection=$P$278), ROUND(MAX(0,O$280-O$317 - 3),0),
IF(AND(OR(P$279=123, P$279=12), Cultivar_1_Cohort_Year_Selection=$P$278,Cultivar_2_Cohort_Year_Selection=$P$278), ROUND(MAX(0,O$280-O$317 - 2),0),
IF(AND(OR(P$279=123, P$279=13), Cultivar_1_Cohort_Year_Selection=$P$278,Cultivar_3_Cohort_Year_Selection=$P$278), ROUND(MAX(0,O$280-O$317 - 2),0),
IF(AND(OR(P$279=123, P$279=23), Cultivar_2_Cohort_Year_Selection=$P$278,Cultivar_3_Cohort_Year_Selection=$P$278), ROUND(MAX(0,O$280-O$317 - 2),0),
IF(AND(OR(P$279=123, P$279=12, P$279=13, P$279=1), Cultivar_1_Cohort_Year_Selection=$P$278), ROUND(MAX(0,O$280-O$317 - 1),0),
IF(AND(OR(P$279=123, P$279=12, P$279=23, P$279=2), Cultivar_2_Cohort_Year_Selection=$P$278), ROUND(MAX(0,O$280-O$317 - 1),0),
IF(AND(OR(P$279=123, P$279=13, P$279=23, P$279=3), Cultivar_3_Cohort_Year_Selection=$P$278), ROUND(MAX(0,O$280-O$317 - 1),0),
ROUND(MAX(0,O$280-O$317),0)))))))),""),""),"")</f>
        <v/>
      </c>
      <c r="Q334" s="496" t="str">
        <f>IF(ISNUMBER($B$280),
IF($C334&lt;&gt;"",
IF(AND(ISNUMBER(P$280), ISNUMBER(P$317)),
IF(AND(Q$279=123, Cultivar_1_Cohort_Year_Selection=$Q$278,Cultivar_2_Cohort_Year_Selection=$Q$278,Cultivar_3_Cohort_Year_Selection=$Q$278), ROUND(MAX(0,P$280-P$317 - 3),0),
IF(AND(OR(Q$279=123, Q$279=12), Cultivar_1_Cohort_Year_Selection=$Q$278,Cultivar_2_Cohort_Year_Selection=$Q$278), ROUND(MAX(0,P$280-P$317 - 2),0),
IF(AND(OR(Q$279=123, Q$279=13), Cultivar_1_Cohort_Year_Selection=$Q$278,Cultivar_3_Cohort_Year_Selection=$Q$278), ROUND(MAX(0,P$280-P$317 - 2),0),
IF(AND(OR(Q$279=123, Q$279=23), Cultivar_2_Cohort_Year_Selection=$Q$278,Cultivar_3_Cohort_Year_Selection=$Q$278), ROUND(MAX(0,P$280-P$317 - 2),0),
IF(AND(OR(Q$279=123, Q$279=12, Q$279=13, Q$279=1), Cultivar_1_Cohort_Year_Selection=$Q$278), ROUND(MAX(0,P$280-P$317 - 1),0),
IF(AND(OR(Q$279=123, Q$279=12, Q$279=23, Q$279=2), Cultivar_2_Cohort_Year_Selection=$Q$278), ROUND(MAX(0,P$280-P$317 - 1),0),
IF(AND(OR(Q$279=123, Q$279=13, Q$279=23, Q$279=3), Cultivar_3_Cohort_Year_Selection=$Q$278), ROUND(MAX(0,P$280-P$317 - 1),0),
ROUND(MAX(0,P$280-P$317),0)))))))),""),""),"")</f>
        <v/>
      </c>
      <c r="R334" s="496" t="str">
        <f>IF(ISNUMBER($B$280),
IF($C334&lt;&gt;"",
IF(AND(ISNUMBER(Q$280), ISNUMBER(Q$317)),
IF(AND(R$279=123, Cultivar_1_Cohort_Year_Selection=$R$278,Cultivar_2_Cohort_Year_Selection=$R$278,Cultivar_3_Cohort_Year_Selection=$R$278), ROUND(MAX(0,Q$280-Q$317 - 3),0),
IF(AND(OR(R$279=123, R$279=12), Cultivar_1_Cohort_Year_Selection=$R$278,Cultivar_2_Cohort_Year_Selection=$R$278), ROUND(MAX(0,Q$280-Q$317 - 2),0),
IF(AND(OR(R$279=123, R$279=13), Cultivar_1_Cohort_Year_Selection=$R$278,Cultivar_3_Cohort_Year_Selection=$R$278), ROUND(MAX(0,Q$280-Q$317 - 2),0),
IF(AND(OR(R$279=123, R$279=23), Cultivar_2_Cohort_Year_Selection=$R$278,Cultivar_3_Cohort_Year_Selection=$R$278), ROUND(MAX(0,Q$280-Q$317 - 2),0),
IF(AND(OR(R$279=123, R$279=12, R$279=13, R$279=1), Cultivar_1_Cohort_Year_Selection=$R$278), ROUND(MAX(0,Q$280-Q$317 - 1),0),
IF(AND(OR(R$279=123, R$279=12, R$279=23, R$279=2), Cultivar_2_Cohort_Year_Selection=$R$278), ROUND(MAX(0,Q$280-Q$317 - 1),0),
IF(AND(OR(R$279=123, R$279=13, R$279=23, R$279=3), Cultivar_3_Cohort_Year_Selection=$R$278), ROUND(MAX(0,Q$280-Q$317 - 1),0),
ROUND(MAX(0,Q$280-Q$317),0)))))))),""),""),"")</f>
        <v/>
      </c>
      <c r="S334" s="496" t="str">
        <f>IF(ISNUMBER($B$280),
IF($C334&lt;&gt;"",
IF(AND(ISNUMBER(R$280), ISNUMBER(R$317)),
IF(AND(S$279=123, Cultivar_1_Cohort_Year_Selection=$S$278,Cultivar_2_Cohort_Year_Selection=$S$278,Cultivar_3_Cohort_Year_Selection=$S$278), ROUND(MAX(0,R$280-R$317 - 3),0),
IF(AND(OR(S$279=123, S$279=12), Cultivar_1_Cohort_Year_Selection=$S$278,Cultivar_2_Cohort_Year_Selection=$S$278), ROUND(MAX(0,R$280-R$317 - 2),0),
IF(AND(OR(S$279=123, S$279=13), Cultivar_1_Cohort_Year_Selection=$S$278,Cultivar_3_Cohort_Year_Selection=$S$278), ROUND(MAX(0,R$280-R$317 - 2),0),
IF(AND(OR(S$279=123, S$279=23), Cultivar_2_Cohort_Year_Selection=$S$278,Cultivar_3_Cohort_Year_Selection=$S$278), ROUND(MAX(0,R$280-R$317 - 2),0),
IF(AND(OR(S$279=123, S$279=12, S$279=13, S$279=1), Cultivar_1_Cohort_Year_Selection=$S$278), ROUND(MAX(0,R$280-R$317 - 1),0),
IF(AND(OR(S$279=123, S$279=12, S$279=23, S$279=2), Cultivar_2_Cohort_Year_Selection=$S$278), ROUND(MAX(0,R$280-R$317 - 1),0),
IF(AND(OR(S$279=123, S$279=13, S$279=23, S$279=3), Cultivar_3_Cohort_Year_Selection=$S$278), ROUND(MAX(0,R$280-R$317 - 1),0),
ROUND(MAX(0,R$280-R$317),0)))))))),""),""),"")</f>
        <v/>
      </c>
      <c r="T334" s="496" t="str">
        <f>IF(ISNUMBER($B$280),
IF($C334&lt;&gt;"",
IF(AND(ISNUMBER(S$280), ISNUMBER(S$317)),
IF(AND(T$279=123, Cultivar_1_Cohort_Year_Selection=$T$278,Cultivar_2_Cohort_Year_Selection=$T$278,Cultivar_3_Cohort_Year_Selection=$T$278), ROUND(MAX(0,S$280-S$317 - 3),0),
IF(AND(OR(T$279=123, T$279=12), Cultivar_1_Cohort_Year_Selection=$T$278,Cultivar_2_Cohort_Year_Selection=$T$278), ROUND(MAX(0,S$280-S$317 - 2),0),
IF(AND(OR(T$279=123, T$279=13), Cultivar_1_Cohort_Year_Selection=$T$278,Cultivar_3_Cohort_Year_Selection=$T$278), ROUND(MAX(0,S$280-S$317 - 2),0),
IF(AND(OR(T$279=123, T$279=23), Cultivar_2_Cohort_Year_Selection=$T$278,Cultivar_3_Cohort_Year_Selection=$T$278), ROUND(MAX(0,S$280-S$317 - 2),0),
IF(AND(OR(T$279=123, T$279=12, T$279=13, T$279=1), Cultivar_1_Cohort_Year_Selection=$T$278), ROUND(MAX(0,S$280-S$317 - 1),0),
IF(AND(OR(T$279=123, T$279=12, T$279=23, T$279=2), Cultivar_2_Cohort_Year_Selection=$T$278), ROUND(MAX(0,S$280-S$317 - 1),0),
IF(AND(OR(T$279=123, T$279=13, T$279=23, T$279=3), Cultivar_3_Cohort_Year_Selection=$T$278), ROUND(MAX(0,S$280-S$317 - 1),0),
ROUND(MAX(0,S$280-S$317),0)))))))),""),""),"")</f>
        <v/>
      </c>
      <c r="U334" s="496" t="str">
        <f>IF(ISNUMBER($B$280),
IF($C334&lt;&gt;"",
IF(AND(ISNUMBER(T$280), ISNUMBER(T$317)),
IF(AND(U$279=123, Cultivar_1_Cohort_Year_Selection=$U$278,Cultivar_2_Cohort_Year_Selection=$U$278,Cultivar_3_Cohort_Year_Selection=$U$278), ROUND(MAX(0,T$280-T$317 - 3),0),
IF(AND(OR(U$279=123, U$279=12), Cultivar_1_Cohort_Year_Selection=$U$278,Cultivar_2_Cohort_Year_Selection=$U$278), ROUND(MAX(0,T$280-T$317 - 2),0),
IF(AND(OR(U$279=123, U$279=13), Cultivar_1_Cohort_Year_Selection=$U$278,Cultivar_3_Cohort_Year_Selection=$U$278), ROUND(MAX(0,T$280-T$317 - 2),0),
IF(AND(OR(U$279=123, U$279=23), Cultivar_2_Cohort_Year_Selection=$U$278,Cultivar_3_Cohort_Year_Selection=$U$278), ROUND(MAX(0,T$280-T$317 - 2),0),
IF(AND(OR(U$279=123, U$279=12, U$279=13, U$279=1), Cultivar_1_Cohort_Year_Selection=$U$278), ROUND(MAX(0,T$280-T$317 - 1),0),
IF(AND(OR(U$279=123, U$279=12, U$279=23, U$279=2), Cultivar_2_Cohort_Year_Selection=$U$278), ROUND(MAX(0,T$280-T$317 - 1),0),
IF(AND(OR(U$279=123, U$279=13, U$279=23, U$279=3), Cultivar_3_Cohort_Year_Selection=$U$278), ROUND(MAX(0,T$280-T$317 - 1),0),
ROUND(MAX(0,T$280-T$317),0)))))))),""),""),"")</f>
        <v/>
      </c>
      <c r="V334" s="496" t="str">
        <f>IF(ISNUMBER($B$280),
IF($C334&lt;&gt;"",
IF(AND(ISNUMBER(U$280), ISNUMBER(U$317)),
IF(AND(V$279=123, Cultivar_1_Cohort_Year_Selection=$V$278,Cultivar_2_Cohort_Year_Selection=$V$278,Cultivar_3_Cohort_Year_Selection=$V$278), ROUND(MAX(0,U$280-U$317 - 3),0),
IF(AND(OR(V$279=123, V$279=12), Cultivar_1_Cohort_Year_Selection=$V$278,Cultivar_2_Cohort_Year_Selection=$V$278), ROUND(MAX(0,U$280-U$317 - 2),0),
IF(AND(OR(V$279=123, V$279=13), Cultivar_1_Cohort_Year_Selection=$V$278,Cultivar_3_Cohort_Year_Selection=$V$278), ROUND(MAX(0,U$280-U$317 - 2),0),
IF(AND(OR(V$279=123, V$279=23), Cultivar_2_Cohort_Year_Selection=$V$278,Cultivar_3_Cohort_Year_Selection=$V$278), ROUND(MAX(0,U$280-U$317 - 2),0),
IF(AND(OR(V$279=123, V$279=12, V$279=13, V$279=1), Cultivar_1_Cohort_Year_Selection=$V$278), ROUND(MAX(0,U$280-U$317 - 1),0),
IF(AND(OR(V$279=123, V$279=12, V$279=23, V$279=2), Cultivar_2_Cohort_Year_Selection=$V$278), ROUND(MAX(0,U$280-U$317 - 1),0),
IF(AND(OR(V$279=123, V$279=13, V$279=23, V$279=3), Cultivar_3_Cohort_Year_Selection=$V$278), ROUND(MAX(0,U$280-U$317 - 1),0),
ROUND(MAX(0,U$280-U$317),0)))))))),""),""),"")</f>
        <v/>
      </c>
      <c r="W334" s="496" t="str">
        <f>IF(ISNUMBER($B$280),
IF($C334&lt;&gt;"",
IF(AND(ISNUMBER(V$280), ISNUMBER(V$317)),
IF(AND(W$279=123, Cultivar_1_Cohort_Year_Selection=$W$278,Cultivar_2_Cohort_Year_Selection=$W$278,Cultivar_3_Cohort_Year_Selection=$W$278), ROUND(MAX(0,V$280-V$317 - 3),0),
IF(AND(OR(W$279=123, W$279=12), Cultivar_1_Cohort_Year_Selection=$W$278,Cultivar_2_Cohort_Year_Selection=$W$278), ROUND(MAX(0,V$280-V$317 - 2),0),
IF(AND(OR(W$279=123, W$279=13), Cultivar_1_Cohort_Year_Selection=$W$278,Cultivar_3_Cohort_Year_Selection=$W$278), ROUND(MAX(0,V$280-V$317 - 2),0),
IF(AND(OR(W$279=123, W$279=23), Cultivar_2_Cohort_Year_Selection=$W$278,Cultivar_3_Cohort_Year_Selection=$W$278), ROUND(MAX(0,V$280-V$317 - 2),0),
IF(AND(OR(W$279=123, W$279=12, W$279=13, W$279=1), Cultivar_1_Cohort_Year_Selection=$W$278), ROUND(MAX(0,V$280-V$317 - 1),0),
IF(AND(OR(W$279=123, W$279=12, W$279=23, W$279=2), Cultivar_2_Cohort_Year_Selection=$W$278), ROUND(MAX(0,V$280-V$317 - 1),0),
IF(AND(OR(W$279=123, W$279=13, W$279=23, W$279=3), Cultivar_3_Cohort_Year_Selection=$W$278), ROUND(MAX(0,V$280-V$317 - 1),0),
ROUND(MAX(0,V$280-V$317),0)))))))),""),""),"")</f>
        <v/>
      </c>
      <c r="X334" s="496" t="str">
        <f>IF(ISNUMBER($B$280),
IF($C334&lt;&gt;"",
IF(AND(ISNUMBER(W$280), ISNUMBER(W$317)),
IF(AND(X$279=123, Cultivar_1_Cohort_Year_Selection=$X$278,Cultivar_2_Cohort_Year_Selection=$X$278,Cultivar_3_Cohort_Year_Selection=$X$278), ROUND(MAX(0,W$280-W$317 - 3),0),
IF(AND(OR(X$279=123, X$279=12), Cultivar_1_Cohort_Year_Selection=$X$278,Cultivar_2_Cohort_Year_Selection=$X$278), ROUND(MAX(0,W$280-W$317 - 2),0),
IF(AND(OR(X$279=123, X$279=13), Cultivar_1_Cohort_Year_Selection=$X$278,Cultivar_3_Cohort_Year_Selection=$X$278), ROUND(MAX(0,W$280-W$317 - 2),0),
IF(AND(OR(X$279=123, X$279=23), Cultivar_2_Cohort_Year_Selection=$X$278,Cultivar_3_Cohort_Year_Selection=$X$278), ROUND(MAX(0,W$280-W$317 - 2),0),
IF(AND(OR(X$279=123, X$279=12, X$279=13, X$279=1), Cultivar_1_Cohort_Year_Selection=$X$278), ROUND(MAX(0,W$280-W$317 - 1),0),
IF(AND(OR(X$279=123, X$279=12, X$279=23, X$279=2), Cultivar_2_Cohort_Year_Selection=$X$278), ROUND(MAX(0,W$280-W$317 - 1),0),
IF(AND(OR(X$279=123, X$279=13, X$279=23, X$279=3), Cultivar_3_Cohort_Year_Selection=$X$278), ROUND(MAX(0,W$280-W$317 - 1),0),
ROUND(MAX(0,W$280-W$317),0)))))))),""),""),"")</f>
        <v/>
      </c>
      <c r="Y334" s="496" t="str">
        <f>IF(ISNUMBER($B$280),
IF($C334&lt;&gt;"",
IF(AND(ISNUMBER(X$280), ISNUMBER(X$317)),
IF(AND(Y$279=123, Cultivar_1_Cohort_Year_Selection=$Y$278,Cultivar_2_Cohort_Year_Selection=$Y$278,Cultivar_3_Cohort_Year_Selection=$Y$278), ROUND(MAX(0,X$280-X$317 - 3),0),
IF(AND(OR(Y$279=123, Y$279=12), Cultivar_1_Cohort_Year_Selection=$Y$278,Cultivar_2_Cohort_Year_Selection=$Y$278), ROUND(MAX(0,X$280-X$317 - 2),0),
IF(AND(OR(Y$279=123, Y$279=13), Cultivar_1_Cohort_Year_Selection=$Y$278,Cultivar_3_Cohort_Year_Selection=$Y$278), ROUND(MAX(0,X$280-X$317 - 2),0),
IF(AND(OR(Y$279=123, Y$279=23), Cultivar_2_Cohort_Year_Selection=$Y$278,Cultivar_3_Cohort_Year_Selection=$Y$278), ROUND(MAX(0,X$280-X$317 - 2),0),
IF(AND(OR(Y$279=123, Y$279=12, Y$279=13, Y$279=1), Cultivar_1_Cohort_Year_Selection=$Y$278), ROUND(MAX(0,X$280-X$317 - 1),0),
IF(AND(OR(Y$279=123, Y$279=12, Y$279=23, Y$279=2), Cultivar_2_Cohort_Year_Selection=$Y$278), ROUND(MAX(0,X$280-X$317 - 1),0),
IF(AND(OR(Y$279=123, Y$279=13, Y$279=23, Y$279=3), Cultivar_3_Cohort_Year_Selection=$Y$278), ROUND(MAX(0,X$280-X$317 - 1),0),
ROUND(MAX(0,X$280-X$317),0)))))))),""),""),"")</f>
        <v/>
      </c>
      <c r="Z334" s="496" t="str">
        <f>IF(ISNUMBER($B$280),
IF($C334&lt;&gt;"",
IF(AND(ISNUMBER(Y$280), ISNUMBER(Y$317)),
IF(AND(Z$279=123, Cultivar_1_Cohort_Year_Selection=$Z$278,Cultivar_2_Cohort_Year_Selection=$Z$278,Cultivar_3_Cohort_Year_Selection=$Z$278), ROUND(MAX(0,Y$280-Y$317 - 3),0),
IF(AND(OR(Z$279=123, Z$279=12), Cultivar_1_Cohort_Year_Selection=$Z$278,Cultivar_2_Cohort_Year_Selection=$Z$278), ROUND(MAX(0,Y$280-Y$317 - 2),0),
IF(AND(OR(Z$279=123, Z$279=13), Cultivar_1_Cohort_Year_Selection=$Z$278,Cultivar_3_Cohort_Year_Selection=$Z$278), ROUND(MAX(0,Y$280-Y$317 - 2),0),
IF(AND(OR(Z$279=123, Z$279=23), Cultivar_2_Cohort_Year_Selection=$Z$278,Cultivar_3_Cohort_Year_Selection=$Z$278), ROUND(MAX(0,Y$280-Y$317 - 2),0),
IF(AND(OR(Z$279=123, Z$279=12, Z$279=13, Z$279=1), Cultivar_1_Cohort_Year_Selection=$Z$278), ROUND(MAX(0,Y$280-Y$317 - 1),0),
IF(AND(OR(Z$279=123, Z$279=12, Z$279=23, Z$279=2), Cultivar_2_Cohort_Year_Selection=$Z$278), ROUND(MAX(0,Y$280-Y$317 - 1),0),
IF(AND(OR(Z$279=123, Z$279=13, Z$279=23, Z$279=3), Cultivar_3_Cohort_Year_Selection=$Z$278), ROUND(MAX(0,Y$280-Y$317 - 1),0),
ROUND(MAX(0,Y$280-Y$317),0)))))))),""),""),"")</f>
        <v/>
      </c>
      <c r="AA334" s="496" t="str">
        <f>IF(ISNUMBER($B$280),
IF($C334&lt;&gt;"",
IF(AND(ISNUMBER(Z$280), ISNUMBER(Z$317)),
IF(AND(AA$279=123, Cultivar_1_Cohort_Year_Selection=$AA$278,Cultivar_2_Cohort_Year_Selection=$AA$278,Cultivar_3_Cohort_Year_Selection=$AA$278), ROUND(MAX(0,Z$280-Z$317 - 3),0),
IF(AND(OR(AA$279=123, AA$279=12), Cultivar_1_Cohort_Year_Selection=$AA$278,Cultivar_2_Cohort_Year_Selection=$AA$278), ROUND(MAX(0,Z$280-Z$317 - 2),0),
IF(AND(OR(AA$279=123, AA$279=13), Cultivar_1_Cohort_Year_Selection=$AA$278,Cultivar_3_Cohort_Year_Selection=$AA$278), ROUND(MAX(0,Z$280-Z$317 - 2),0),
IF(AND(OR(AA$279=123, AA$279=23), Cultivar_2_Cohort_Year_Selection=$AA$278,Cultivar_3_Cohort_Year_Selection=$AA$278), ROUND(MAX(0,Z$280-Z$317 - 2),0),
IF(AND(OR(AA$279=123, AA$279=12, AA$279=13, AA$279=1), Cultivar_1_Cohort_Year_Selection=$AA$278), ROUND(MAX(0,Z$280-Z$317 - 1),0),
IF(AND(OR(AA$279=123, AA$279=12, AA$279=23, AA$279=2), Cultivar_2_Cohort_Year_Selection=$AA$278), ROUND(MAX(0,Z$280-Z$317 - 1),0),
IF(AND(OR(AA$279=123, AA$279=13, AA$279=23, AA$279=3), Cultivar_3_Cohort_Year_Selection=$AA$278), ROUND(MAX(0,Z$280-Z$317 - 1),0),
ROUND(MAX(0,Z$280-Z$317),0)))))))),""),""),"")</f>
        <v/>
      </c>
      <c r="AB334" s="496" t="str">
        <f>IF(ISNUMBER($B$280),
IF($C334&lt;&gt;"",
IF(AND(ISNUMBER(AA$280), ISNUMBER(AA$317)),
IF(AND(AB$279=123, Cultivar_1_Cohort_Year_Selection=$AB$278,Cultivar_2_Cohort_Year_Selection=$AB$278,Cultivar_3_Cohort_Year_Selection=$AB$278), ROUND(MAX(0,AA$280-AA$317 - 3),0),
IF(AND(OR(AB$279=123, AB$279=12), Cultivar_1_Cohort_Year_Selection=$AB$278,Cultivar_2_Cohort_Year_Selection=$AB$278), ROUND(MAX(0,AA$280-AA$317 - 2),0),
IF(AND(OR(AB$279=123, AB$279=13), Cultivar_1_Cohort_Year_Selection=$AB$278,Cultivar_3_Cohort_Year_Selection=$AB$278), ROUND(MAX(0,AA$280-AA$317 - 2),0),
IF(AND(OR(AB$279=123, AB$279=23), Cultivar_2_Cohort_Year_Selection=$AB$278,Cultivar_3_Cohort_Year_Selection=$AB$278), ROUND(MAX(0,AA$280-AA$317 - 2),0),
IF(AND(OR(AB$279=123, AB$279=12, AB$279=13, AB$279=1), Cultivar_1_Cohort_Year_Selection=$AB$278), ROUND(MAX(0,AA$280-AA$317 - 1),0),
IF(AND(OR(AB$279=123, AB$279=12, AB$279=23, AB$279=2), Cultivar_2_Cohort_Year_Selection=$AB$278), ROUND(MAX(0,AA$280-AA$317 - 1),0),
IF(AND(OR(AB$279=123, AB$279=13, AB$279=23, AB$279=3), Cultivar_3_Cohort_Year_Selection=$AB$278), ROUND(MAX(0,AA$280-AA$317 - 1),0),
ROUND(MAX(0,AA$280-AA$317),0)))))))),""),""),"")</f>
        <v/>
      </c>
      <c r="AC334" s="496" t="str">
        <f>IF(ISNUMBER($B$280),
IF($C334&lt;&gt;"",
IF(AND(ISNUMBER(AB$280), ISNUMBER(AB$317)),
IF(AND(AC$279=123, Cultivar_1_Cohort_Year_Selection=$AC$278,Cultivar_2_Cohort_Year_Selection=$AC$278,Cultivar_3_Cohort_Year_Selection=$AC$278), ROUND(MAX(0,AB$280-AB$317 - 3),0),
IF(AND(OR(AC$279=123, AC$279=12), Cultivar_1_Cohort_Year_Selection=$AC$278,Cultivar_2_Cohort_Year_Selection=$AC$278), ROUND(MAX(0,AB$280-AB$317 - 2),0),
IF(AND(OR(AC$279=123, AC$279=13), Cultivar_1_Cohort_Year_Selection=$AC$278,Cultivar_3_Cohort_Year_Selection=$AC$278), ROUND(MAX(0,AB$280-AB$317 - 2),0),
IF(AND(OR(AC$279=123, AC$279=23), Cultivar_2_Cohort_Year_Selection=$AC$278,Cultivar_3_Cohort_Year_Selection=$AC$278), ROUND(MAX(0,AB$280-AB$317 - 2),0),
IF(AND(OR(AC$279=123, AC$279=12, AC$279=13, AC$279=1), Cultivar_1_Cohort_Year_Selection=$AC$278), ROUND(MAX(0,AB$280-AB$317 - 1),0),
IF(AND(OR(AC$279=123, AC$279=12, AC$279=23, AC$279=2), Cultivar_2_Cohort_Year_Selection=$AC$278), ROUND(MAX(0,AB$280-AB$317 - 1),0),
IF(AND(OR(AC$279=123, AC$279=13, AC$279=23, AC$279=3), Cultivar_3_Cohort_Year_Selection=$AC$278), ROUND(MAX(0,AB$280-AB$317 - 1),0),
ROUND(MAX(0,AB$280-AB$317),0)))))))),""),""),"")</f>
        <v/>
      </c>
      <c r="AD334" s="496" t="str">
        <f>IF(ISNUMBER($B$280),
IF($C334&lt;&gt;"",
IF(AND(ISNUMBER(AC$280), ISNUMBER(AC$317)),
IF(AND(AD$279=123, Cultivar_1_Cohort_Year_Selection=$AD$278,Cultivar_2_Cohort_Year_Selection=$AD$278,Cultivar_3_Cohort_Year_Selection=$AD$278), ROUND(MAX(0,AC$280-AC$317 - 3),0),
IF(AND(OR(AD$279=123, AD$279=12), Cultivar_1_Cohort_Year_Selection=$AD$278,Cultivar_2_Cohort_Year_Selection=$AD$278), ROUND(MAX(0,AC$280-AC$317 - 2),0),
IF(AND(OR(AD$279=123, AD$279=13), Cultivar_1_Cohort_Year_Selection=$AD$278,Cultivar_3_Cohort_Year_Selection=$AD$278), ROUND(MAX(0,AC$280-AC$317 - 2),0),
IF(AND(OR(AD$279=123, AD$279=23), Cultivar_2_Cohort_Year_Selection=$AD$278,Cultivar_3_Cohort_Year_Selection=$AD$278), ROUND(MAX(0,AC$280-AC$317 - 2),0),
IF(AND(OR(AD$279=123, AD$279=12, AD$279=13, AD$279=1), Cultivar_1_Cohort_Year_Selection=$AD$278), ROUND(MAX(0,AC$280-AC$317 - 1),0),
IF(AND(OR(AD$279=123, AD$279=12, AD$279=23, AD$279=2), Cultivar_2_Cohort_Year_Selection=$AD$278), ROUND(MAX(0,AC$280-AC$317 - 1),0),
IF(AND(OR(AD$279=123, AD$279=13, AD$279=23, AD$279=3), Cultivar_3_Cohort_Year_Selection=$AD$278), ROUND(MAX(0,AC$280-AC$317 - 1),0),
ROUND(MAX(0,AC$280-AC$317),0)))))))),""),""),"")</f>
        <v/>
      </c>
      <c r="AE334" s="496" t="str">
        <f>IF(ISNUMBER($B$280),
IF($C334&lt;&gt;"",
IF(AND(ISNUMBER(AD$280), ISNUMBER(AD$317)),
IF(AND(AE$279=123, Cultivar_1_Cohort_Year_Selection=$AE$278,Cultivar_2_Cohort_Year_Selection=$AE$278,Cultivar_3_Cohort_Year_Selection=$AE$278), ROUND(MAX(0,AD$280-AD$317 - 3),0),
IF(AND(OR(AE$279=123, AE$279=12), Cultivar_1_Cohort_Year_Selection=$AE$278,Cultivar_2_Cohort_Year_Selection=$AE$278), ROUND(MAX(0,AD$280-AD$317 - 2),0),
IF(AND(OR(AE$279=123, AE$279=13), Cultivar_1_Cohort_Year_Selection=$AE$278,Cultivar_3_Cohort_Year_Selection=$AE$278), ROUND(MAX(0,AD$280-AD$317 - 2),0),
IF(AND(OR(AE$279=123, AE$279=23), Cultivar_2_Cohort_Year_Selection=$AE$278,Cultivar_3_Cohort_Year_Selection=$AE$278), ROUND(MAX(0,AD$280-AD$317 - 2),0),
IF(AND(OR(AE$279=123, AE$279=12, AE$279=13, AE$279=1), Cultivar_1_Cohort_Year_Selection=$AE$278), ROUND(MAX(0,AD$280-AD$317 - 1),0),
IF(AND(OR(AE$279=123, AE$279=12, AE$279=23, AE$279=2), Cultivar_2_Cohort_Year_Selection=$AE$278), ROUND(MAX(0,AD$280-AD$317 - 1),0),
IF(AND(OR(AE$279=123, AE$279=13, AE$279=23, AE$279=3), Cultivar_3_Cohort_Year_Selection=$AE$278), ROUND(MAX(0,AD$280-AD$317 - 1),0),
ROUND(MAX(0,AD$280-AD$317),0)))))))),""),""),"")</f>
        <v/>
      </c>
      <c r="AF334" s="496" t="str">
        <f>IF(ISNUMBER($B$280),
IF($C334&lt;&gt;"",
IF(AND(ISNUMBER(AE$280), ISNUMBER(AE$317)),
IF(AND(AF$279=123, Cultivar_1_Cohort_Year_Selection=$AF$278,Cultivar_2_Cohort_Year_Selection=$AF$278,Cultivar_3_Cohort_Year_Selection=$AF$278), ROUND(MAX(0,AE$280-AE$317 - 3),0),
IF(AND(OR(AF$279=123, AF$279=12), Cultivar_1_Cohort_Year_Selection=$AF$278,Cultivar_2_Cohort_Year_Selection=$AF$278), ROUND(MAX(0,AE$280-AE$317 - 2),0),
IF(AND(OR(AF$279=123, AF$279=13), Cultivar_1_Cohort_Year_Selection=$AF$278,Cultivar_3_Cohort_Year_Selection=$AF$278), ROUND(MAX(0,AE$280-AE$317 - 2),0),
IF(AND(OR(AF$279=123, AF$279=23), Cultivar_2_Cohort_Year_Selection=$AF$278,Cultivar_3_Cohort_Year_Selection=$AF$278), ROUND(MAX(0,AE$280-AE$317 - 2),0),
IF(AND(OR(AF$279=123, AF$279=12, AF$279=13, AF$279=1), Cultivar_1_Cohort_Year_Selection=$AF$278), ROUND(MAX(0,AE$280-AE$317 - 1),0),
IF(AND(OR(AF$279=123, AF$279=12, AF$279=23, AF$279=2), Cultivar_2_Cohort_Year_Selection=$AF$278), ROUND(MAX(0,AE$280-AE$317 - 1),0),
IF(AND(OR(AF$279=123, AF$279=13, AF$279=23, AF$279=3), Cultivar_3_Cohort_Year_Selection=$AF$278), ROUND(MAX(0,AE$280-AE$317 - 1),0),
ROUND(MAX(0,AE$280-AE$317),0)))))))),""),""),"")</f>
        <v/>
      </c>
      <c r="AG334" s="496" t="str">
        <f>IF(ISNUMBER($B$280),
IF($C334&lt;&gt;"",
IF(AND(ISNUMBER(AF$280), ISNUMBER(AF$317)),
IF(AND(AG$279=123, Cultivar_1_Cohort_Year_Selection=$AG$278,Cultivar_2_Cohort_Year_Selection=$AG$278,Cultivar_3_Cohort_Year_Selection=$AG$278), ROUND(MAX(0,AF$280-AF$317 - 3),0),
IF(AND(OR(AG$279=123, AG$279=12), Cultivar_1_Cohort_Year_Selection=$AG$278,Cultivar_2_Cohort_Year_Selection=$AG$278), ROUND(MAX(0,AF$280-AF$317 - 2),0),
IF(AND(OR(AG$279=123, AG$279=13), Cultivar_1_Cohort_Year_Selection=$AG$278,Cultivar_3_Cohort_Year_Selection=$AG$278), ROUND(MAX(0,AF$280-AF$317 - 2),0),
IF(AND(OR(AG$279=123, AG$279=23), Cultivar_2_Cohort_Year_Selection=$AG$278,Cultivar_3_Cohort_Year_Selection=$AG$278), ROUND(MAX(0,AF$280-AF$317 - 2),0),
IF(AND(OR(AG$279=123, AG$279=12, AG$279=13, AG$279=1), Cultivar_1_Cohort_Year_Selection=$AG$278), ROUND(MAX(0,AF$280-AF$317 - 1),0),
IF(AND(OR(AG$279=123, AG$279=12, AG$279=23, AG$279=2), Cultivar_2_Cohort_Year_Selection=$AG$278), ROUND(MAX(0,AF$280-AF$317 - 1),0),
IF(AND(OR(AG$279=123, AG$279=13, AG$279=23, AG$279=3), Cultivar_3_Cohort_Year_Selection=$AG$278), ROUND(MAX(0,AF$280-AF$317 - 1),0),
ROUND(MAX(0,AF$280-AF$317),0)))))))),""),""),"")</f>
        <v/>
      </c>
      <c r="AH334" s="496" t="str">
        <f>IF(ISNUMBER($B$280),
IF($C334&lt;&gt;"",
IF(AND(ISNUMBER(AG$280), ISNUMBER(AG$317)),
IF(AND(AH$279=123, Cultivar_1_Cohort_Year_Selection=$AH$278,Cultivar_2_Cohort_Year_Selection=$AH$278,Cultivar_3_Cohort_Year_Selection=$AH$278), ROUND(MAX(0,AG$280-AG$317 - 3),0),
IF(AND(OR(AH$279=123, AH$279=12), Cultivar_1_Cohort_Year_Selection=$AH$278,Cultivar_2_Cohort_Year_Selection=$AH$278), ROUND(MAX(0,AG$280-AG$317 - 2),0),
IF(AND(OR(AH$279=123, AH$279=13), Cultivar_1_Cohort_Year_Selection=$AH$278,Cultivar_3_Cohort_Year_Selection=$AH$278), ROUND(MAX(0,AG$280-AG$317 - 2),0),
IF(AND(OR(AH$279=123, AH$279=23), Cultivar_2_Cohort_Year_Selection=$AH$278,Cultivar_3_Cohort_Year_Selection=$AH$278), ROUND(MAX(0,AG$280-AG$317 - 2),0),
IF(AND(OR(AH$279=123, AH$279=12, AH$279=13, AH$279=1), Cultivar_1_Cohort_Year_Selection=$AH$278), ROUND(MAX(0,AG$280-AG$317 - 1),0),
IF(AND(OR(AH$279=123, AH$279=12, AH$279=23, AH$279=2), Cultivar_2_Cohort_Year_Selection=$AH$278), ROUND(MAX(0,AG$280-AG$317 - 1),0),
IF(AND(OR(AH$279=123, AH$279=13, AH$279=23, AH$279=3), Cultivar_3_Cohort_Year_Selection=$AH$278), ROUND(MAX(0,AG$280-AG$317 - 1),0),
ROUND(MAX(0,AG$280-AG$317),0)))))))),""),""),"")</f>
        <v/>
      </c>
      <c r="AI334" s="496" t="str">
        <f>IF(ISNUMBER($B$280),
IF($C334&lt;&gt;"",
IF(AND(ISNUMBER(AH$280), ISNUMBER(AH$317)),
IF(AND(AI$279=123, Cultivar_1_Cohort_Year_Selection=$AI$278,Cultivar_2_Cohort_Year_Selection=$AI$278,Cultivar_3_Cohort_Year_Selection=$AI$278), ROUND(MAX(0,AH$280-AH$317 - 3),0),
IF(AND(OR(AI$279=123, AI$279=12), Cultivar_1_Cohort_Year_Selection=$AI$278,Cultivar_2_Cohort_Year_Selection=$AI$278), ROUND(MAX(0,AH$280-AH$317 - 2),0),
IF(AND(OR(AI$279=123, AI$279=13), Cultivar_1_Cohort_Year_Selection=$AI$278,Cultivar_3_Cohort_Year_Selection=$AI$278), ROUND(MAX(0,AH$280-AH$317 - 2),0),
IF(AND(OR(AI$279=123, AI$279=23), Cultivar_2_Cohort_Year_Selection=$AI$278,Cultivar_3_Cohort_Year_Selection=$AI$278), ROUND(MAX(0,AH$280-AH$317 - 2),0),
IF(AND(OR(AI$279=123, AI$279=12, AI$279=13, AI$279=1), Cultivar_1_Cohort_Year_Selection=$AI$278), ROUND(MAX(0,AH$280-AH$317 - 1),0),
IF(AND(OR(AI$279=123, AI$279=12, AI$279=23, AI$279=2), Cultivar_2_Cohort_Year_Selection=$AI$278), ROUND(MAX(0,AH$280-AH$317 - 1),0),
IF(AND(OR(AI$279=123, AI$279=13, AI$279=23, AI$279=3), Cultivar_3_Cohort_Year_Selection=$AI$278), ROUND(MAX(0,AH$280-AH$317 - 1),0),
ROUND(MAX(0,AH$280-AH$317),0)))))))),""),""),"")</f>
        <v/>
      </c>
      <c r="AJ334" s="496" t="str">
        <f>IF(ISNUMBER($B$280),
IF($C334&lt;&gt;"",
IF(AND(ISNUMBER(AI$280), ISNUMBER(AI$317)),
IF(AND(AJ$279=123, Cultivar_1_Cohort_Year_Selection=$AJ$278,Cultivar_2_Cohort_Year_Selection=$AJ$278,Cultivar_3_Cohort_Year_Selection=$AJ$278), ROUND(MAX(0,AI$280-AI$317 - 3),0),
IF(AND(OR(AJ$279=123, AJ$279=12), Cultivar_1_Cohort_Year_Selection=$AJ$278,Cultivar_2_Cohort_Year_Selection=$AJ$278), ROUND(MAX(0,AI$280-AI$317 - 2),0),
IF(AND(OR(AJ$279=123, AJ$279=13), Cultivar_1_Cohort_Year_Selection=$AJ$278,Cultivar_3_Cohort_Year_Selection=$AJ$278), ROUND(MAX(0,AI$280-AI$317 - 2),0),
IF(AND(OR(AJ$279=123, AJ$279=23), Cultivar_2_Cohort_Year_Selection=$AJ$278,Cultivar_3_Cohort_Year_Selection=$AJ$278), ROUND(MAX(0,AI$280-AI$317 - 2),0),
IF(AND(OR(AJ$279=123, AJ$279=12, AJ$279=13, AJ$279=1), Cultivar_1_Cohort_Year_Selection=$AJ$278), ROUND(MAX(0,AI$280-AI$317 - 1),0),
IF(AND(OR(AJ$279=123, AJ$279=12, AJ$279=23, AJ$279=2), Cultivar_2_Cohort_Year_Selection=$AJ$278), ROUND(MAX(0,AI$280-AI$317 - 1),0),
IF(AND(OR(AJ$279=123, AJ$279=13, AJ$279=23, AJ$279=3), Cultivar_3_Cohort_Year_Selection=$AJ$278), ROUND(MAX(0,AI$280-AI$317 - 1),0),
ROUND(MAX(0,AI$280-AI$317),0)))))))),""),""),"")</f>
        <v/>
      </c>
      <c r="AK334" s="496" t="str">
        <f>IF(ISNUMBER($B$280),
IF($C334&lt;&gt;"",
IF(AND(ISNUMBER(AJ$280), ISNUMBER(AJ$317)),
IF(AND(AK$279=123, Cultivar_1_Cohort_Year_Selection=$AK$278,Cultivar_2_Cohort_Year_Selection=$AK$278,Cultivar_3_Cohort_Year_Selection=$AK$278), ROUND(MAX(0,AJ$280-AJ$317 - 3),0),
IF(AND(OR(AK$279=123, AK$279=12), Cultivar_1_Cohort_Year_Selection=$AK$278,Cultivar_2_Cohort_Year_Selection=$AK$278), ROUND(MAX(0,AJ$280-AJ$317 - 2),0),
IF(AND(OR(AK$279=123, AK$279=13), Cultivar_1_Cohort_Year_Selection=$AK$278,Cultivar_3_Cohort_Year_Selection=$AK$278), ROUND(MAX(0,AJ$280-AJ$317 - 2),0),
IF(AND(OR(AK$279=123, AK$279=23), Cultivar_2_Cohort_Year_Selection=$AK$278,Cultivar_3_Cohort_Year_Selection=$AK$278), ROUND(MAX(0,AJ$280-AJ$317 - 2),0),
IF(AND(OR(AK$279=123, AK$279=12, AK$279=13, AK$279=1), Cultivar_1_Cohort_Year_Selection=$AK$278), ROUND(MAX(0,AJ$280-AJ$317 - 1),0),
IF(AND(OR(AK$279=123, AK$279=12, AK$279=23, AK$279=2), Cultivar_2_Cohort_Year_Selection=$AK$278), ROUND(MAX(0,AJ$280-AJ$317 - 1),0),
IF(AND(OR(AK$279=123, AK$279=13, AK$279=23, AK$279=3), Cultivar_3_Cohort_Year_Selection=$AK$278), ROUND(MAX(0,AJ$280-AJ$317 - 1),0),
ROUND(MAX(0,AJ$280-AJ$317),0)))))))),""),""),"")</f>
        <v/>
      </c>
      <c r="AL334" s="496" t="str">
        <f>IF(ISNUMBER($B$280),
IF($C334&lt;&gt;"",
IF(AND(ISNUMBER(AK$280), ISNUMBER(AK$317)),
IF(AND(AL$279=123, Cultivar_1_Cohort_Year_Selection=$AL$278,Cultivar_2_Cohort_Year_Selection=$AL$278,Cultivar_3_Cohort_Year_Selection=$AL$278), ROUND(MAX(0,AK$280-AK$317 - 3),0),
IF(AND(OR(AL$279=123, AL$279=12), Cultivar_1_Cohort_Year_Selection=$AL$278,Cultivar_2_Cohort_Year_Selection=$AL$278), ROUND(MAX(0,AK$280-AK$317 - 2),0),
IF(AND(OR(AL$279=123, AL$279=13), Cultivar_1_Cohort_Year_Selection=$AL$278,Cultivar_3_Cohort_Year_Selection=$AL$278), ROUND(MAX(0,AK$280-AK$317 - 2),0),
IF(AND(OR(AL$279=123, AL$279=23), Cultivar_2_Cohort_Year_Selection=$AL$278,Cultivar_3_Cohort_Year_Selection=$AL$278), ROUND(MAX(0,AK$280-AK$317 - 2),0),
IF(AND(OR(AL$279=123, AL$279=12, AL$279=13, AL$279=1), Cultivar_1_Cohort_Year_Selection=$AL$278), ROUND(MAX(0,AK$280-AK$317 - 1),0),
IF(AND(OR(AL$279=123, AL$279=12, AL$279=23, AL$279=2), Cultivar_2_Cohort_Year_Selection=$AL$278), ROUND(MAX(0,AK$280-AK$317 - 1),0),
IF(AND(OR(AL$279=123, AL$279=13, AL$279=23, AL$279=3), Cultivar_3_Cohort_Year_Selection=$AL$278), ROUND(MAX(0,AK$280-AK$317 - 1),0),
ROUND(MAX(0,AK$280-AK$317),0)))))))),""),""),"")</f>
        <v/>
      </c>
      <c r="AM334" s="496" t="str">
        <f>IF(ISNUMBER($B$280),
IF($C334&lt;&gt;"",
IF(AND(ISNUMBER(AL$280), ISNUMBER(AL$317)),
IF(AND(AM$279=123, Cultivar_1_Cohort_Year_Selection=$AM$278,Cultivar_2_Cohort_Year_Selection=$AM$278,Cultivar_3_Cohort_Year_Selection=$AM$278), ROUND(MAX(0,AL$280-AL$317 - 3),0),
IF(AND(OR(AM$279=123, AM$279=12), Cultivar_1_Cohort_Year_Selection=$AM$278,Cultivar_2_Cohort_Year_Selection=$AM$278), ROUND(MAX(0,AL$280-AL$317 - 2),0),
IF(AND(OR(AM$279=123, AM$279=13), Cultivar_1_Cohort_Year_Selection=$AM$278,Cultivar_3_Cohort_Year_Selection=$AM$278), ROUND(MAX(0,AL$280-AL$317 - 2),0),
IF(AND(OR(AM$279=123, AM$279=23), Cultivar_2_Cohort_Year_Selection=$AM$278,Cultivar_3_Cohort_Year_Selection=$AM$278), ROUND(MAX(0,AL$280-AL$317 - 2),0),
IF(AND(OR(AM$279=123, AM$279=12, AM$279=13, AM$279=1), Cultivar_1_Cohort_Year_Selection=$AM$278), ROUND(MAX(0,AL$280-AL$317 - 1),0),
IF(AND(OR(AM$279=123, AM$279=12, AM$279=23, AM$279=2), Cultivar_2_Cohort_Year_Selection=$AM$278), ROUND(MAX(0,AL$280-AL$317 - 1),0),
IF(AND(OR(AM$279=123, AM$279=13, AM$279=23, AM$279=3), Cultivar_3_Cohort_Year_Selection=$AM$278), ROUND(MAX(0,AL$280-AL$317 - 1),0),
ROUND(MAX(0,AL$280-AL$317),0)))))))),""),""),"")</f>
        <v/>
      </c>
      <c r="AN334" s="496" t="str">
        <f>IF(ISNUMBER($B$280),
IF($C334&lt;&gt;"",
IF(AND(ISNUMBER(AM$280), ISNUMBER(AM$317)),
IF(AND(AN$279=123, Cultivar_1_Cohort_Year_Selection=$AN$278,Cultivar_2_Cohort_Year_Selection=$AN$278,Cultivar_3_Cohort_Year_Selection=$AN$278), ROUND(MAX(0,AM$280-AM$317 - 3),0),
IF(AND(OR(AN$279=123, AN$279=12), Cultivar_1_Cohort_Year_Selection=$AN$278,Cultivar_2_Cohort_Year_Selection=$AN$278), ROUND(MAX(0,AM$280-AM$317 - 2),0),
IF(AND(OR(AN$279=123, AN$279=13), Cultivar_1_Cohort_Year_Selection=$AN$278,Cultivar_3_Cohort_Year_Selection=$AN$278), ROUND(MAX(0,AM$280-AM$317 - 2),0),
IF(AND(OR(AN$279=123, AN$279=23), Cultivar_2_Cohort_Year_Selection=$AN$278,Cultivar_3_Cohort_Year_Selection=$AN$278), ROUND(MAX(0,AM$280-AM$317 - 2),0),
IF(AND(OR(AN$279=123, AN$279=12, AN$279=13, AN$279=1), Cultivar_1_Cohort_Year_Selection=$AN$278), ROUND(MAX(0,AM$280-AM$317 - 1),0),
IF(AND(OR(AN$279=123, AN$279=12, AN$279=23, AN$279=2), Cultivar_2_Cohort_Year_Selection=$AN$278), ROUND(MAX(0,AM$280-AM$317 - 1),0),
IF(AND(OR(AN$279=123, AN$279=13, AN$279=23, AN$279=3), Cultivar_3_Cohort_Year_Selection=$AN$278), ROUND(MAX(0,AM$280-AM$317 - 1),0),
ROUND(MAX(0,AM$280-AM$317),0)))))))),""),""),"")</f>
        <v/>
      </c>
      <c r="AO334" s="496" t="str">
        <f>IF(ISNUMBER($B$280),
IF($C334&lt;&gt;"",
IF(AND(ISNUMBER(AN$280), ISNUMBER(AN$317)),
IF(AND(AO$279=123, Cultivar_1_Cohort_Year_Selection=$AO$278,Cultivar_2_Cohort_Year_Selection=$AO$278,Cultivar_3_Cohort_Year_Selection=$AO$278), ROUND(MAX(0,AN$280-AN$317 - 3),0),
IF(AND(OR(AO$279=123, AO$279=12), Cultivar_1_Cohort_Year_Selection=$AO$278,Cultivar_2_Cohort_Year_Selection=$AO$278), ROUND(MAX(0,AN$280-AN$317 - 2),0),
IF(AND(OR(AO$279=123, AO$279=13), Cultivar_1_Cohort_Year_Selection=$AO$278,Cultivar_3_Cohort_Year_Selection=$AO$278), ROUND(MAX(0,AN$280-AN$317 - 2),0),
IF(AND(OR(AO$279=123, AO$279=23), Cultivar_2_Cohort_Year_Selection=$AO$278,Cultivar_3_Cohort_Year_Selection=$AO$278), ROUND(MAX(0,AN$280-AN$317 - 2),0),
IF(AND(OR(AO$279=123, AO$279=12, AO$279=13, AO$279=1), Cultivar_1_Cohort_Year_Selection=$AO$278), ROUND(MAX(0,AN$280-AN$317 - 1),0),
IF(AND(OR(AO$279=123, AO$279=12, AO$279=23, AO$279=2), Cultivar_2_Cohort_Year_Selection=$AO$278), ROUND(MAX(0,AN$280-AN$317 - 1),0),
IF(AND(OR(AO$279=123, AO$279=13, AO$279=23, AO$279=3), Cultivar_3_Cohort_Year_Selection=$AO$278), ROUND(MAX(0,AN$280-AN$317 - 1),0),
ROUND(MAX(0,AN$280-AN$317),0)))))))),""),""),"")</f>
        <v/>
      </c>
      <c r="AP334" s="496" t="str">
        <f>IF(ISNUMBER($B$280),
IF($C334&lt;&gt;"",
IF(AND(ISNUMBER(AO$280), ISNUMBER(AO$317)),
IF(AND(AP$279=123, Cultivar_1_Cohort_Year_Selection=$AP$278,Cultivar_2_Cohort_Year_Selection=$AP$278,Cultivar_3_Cohort_Year_Selection=$AP$278), ROUND(MAX(0,AO$280-AO$317 - 3),0),
IF(AND(OR(AP$279=123, AP$279=12), Cultivar_1_Cohort_Year_Selection=$AP$278,Cultivar_2_Cohort_Year_Selection=$AP$278), ROUND(MAX(0,AO$280-AO$317 - 2),0),
IF(AND(OR(AP$279=123, AP$279=13), Cultivar_1_Cohort_Year_Selection=$AP$278,Cultivar_3_Cohort_Year_Selection=$AP$278), ROUND(MAX(0,AO$280-AO$317 - 2),0),
IF(AND(OR(AP$279=123, AP$279=23), Cultivar_2_Cohort_Year_Selection=$AP$278,Cultivar_3_Cohort_Year_Selection=$AP$278), ROUND(MAX(0,AO$280-AO$317 - 2),0),
IF(AND(OR(AP$279=123, AP$279=12, AP$279=13, AP$279=1), Cultivar_1_Cohort_Year_Selection=$AP$278), ROUND(MAX(0,AO$280-AO$317 - 1),0),
IF(AND(OR(AP$279=123, AP$279=12, AP$279=23, AP$279=2), Cultivar_2_Cohort_Year_Selection=$AP$278), ROUND(MAX(0,AO$280-AO$317 - 1),0),
IF(AND(OR(AP$279=123, AP$279=13, AP$279=23, AP$279=3), Cultivar_3_Cohort_Year_Selection=$AP$278), ROUND(MAX(0,AO$280-AO$317 - 1),0),
ROUND(MAX(0,AO$280-AO$317),0)))))))),""),""),"")</f>
        <v/>
      </c>
      <c r="AQ334" s="496" t="str">
        <f>IF(ISNUMBER($B$280),
IF($C334&lt;&gt;"",
IF(AND(ISNUMBER(AP$280), ISNUMBER(AP$317)),
IF(AND(AQ$279=123, Cultivar_1_Cohort_Year_Selection=$AQ$278,Cultivar_2_Cohort_Year_Selection=$AQ$278,Cultivar_3_Cohort_Year_Selection=$AQ$278), ROUND(MAX(0,AP$280-AP$317 - 3),0),
IF(AND(OR(AQ$279=123, AQ$279=12), Cultivar_1_Cohort_Year_Selection=$AQ$278,Cultivar_2_Cohort_Year_Selection=$AQ$278), ROUND(MAX(0,AP$280-AP$317 - 2),0),
IF(AND(OR(AQ$279=123, AQ$279=13), Cultivar_1_Cohort_Year_Selection=$AQ$278,Cultivar_3_Cohort_Year_Selection=$AQ$278), ROUND(MAX(0,AP$280-AP$317 - 2),0),
IF(AND(OR(AQ$279=123, AQ$279=23), Cultivar_2_Cohort_Year_Selection=$AQ$278,Cultivar_3_Cohort_Year_Selection=$AQ$278), ROUND(MAX(0,AP$280-AP$317 - 2),0),
IF(AND(OR(AQ$279=123, AQ$279=12, AQ$279=13, AQ$279=1), Cultivar_1_Cohort_Year_Selection=$AQ$278), ROUND(MAX(0,AP$280-AP$317 - 1),0),
IF(AND(OR(AQ$279=123, AQ$279=12, AQ$279=23, AQ$279=2), Cultivar_2_Cohort_Year_Selection=$AQ$278), ROUND(MAX(0,AP$280-AP$317 - 1),0),
IF(AND(OR(AQ$279=123, AQ$279=13, AQ$279=23, AQ$279=3), Cultivar_3_Cohort_Year_Selection=$AQ$278), ROUND(MAX(0,AP$280-AP$317 - 1),0),
ROUND(MAX(0,AP$280-AP$317),0)))))))),""),""),"")</f>
        <v/>
      </c>
      <c r="AR334" s="496" t="str">
        <f>IF(ISNUMBER($B$280),
IF($C334&lt;&gt;"",
IF(AND(ISNUMBER(AQ$280), ISNUMBER(AQ$317)),
IF(AND(AR$279=123, Cultivar_1_Cohort_Year_Selection=$AR$278,Cultivar_2_Cohort_Year_Selection=$AR$278,Cultivar_3_Cohort_Year_Selection=$AR$278), ROUND(MAX(0,AQ$280-AQ$317 - 3),0),
IF(AND(OR(AR$279=123, AR$279=12), Cultivar_1_Cohort_Year_Selection=$AR$278,Cultivar_2_Cohort_Year_Selection=$AR$278), ROUND(MAX(0,AQ$280-AQ$317 - 2),0),
IF(AND(OR(AR$279=123, AR$279=13), Cultivar_1_Cohort_Year_Selection=$AR$278,Cultivar_3_Cohort_Year_Selection=$AR$278), ROUND(MAX(0,AQ$280-AQ$317 - 2),0),
IF(AND(OR(AR$279=123, AR$279=23), Cultivar_2_Cohort_Year_Selection=$AR$278,Cultivar_3_Cohort_Year_Selection=$AR$278), ROUND(MAX(0,AQ$280-AQ$317 - 2),0),
IF(AND(OR(AR$279=123, AR$279=12, AR$279=13, AR$279=1), Cultivar_1_Cohort_Year_Selection=$AR$278), ROUND(MAX(0,AQ$280-AQ$317 - 1),0),
IF(AND(OR(AR$279=123, AR$279=12, AR$279=23, AR$279=2), Cultivar_2_Cohort_Year_Selection=$AR$278), ROUND(MAX(0,AQ$280-AQ$317 - 1),0),
IF(AND(OR(AR$279=123, AR$279=13, AR$279=23, AR$279=3), Cultivar_3_Cohort_Year_Selection=$AR$278), ROUND(MAX(0,AQ$280-AQ$317 - 1),0),
ROUND(MAX(0,AQ$280-AQ$317),0)))))))),""),""),"")</f>
        <v/>
      </c>
    </row>
    <row r="335" spans="1:44" x14ac:dyDescent="0.25">
      <c r="A335" s="518"/>
      <c r="B335" s="504"/>
      <c r="C335" s="376" t="str">
        <f>IF(AND(ISNUMBER(B321), C333&lt;&gt;"", OR('Cost Inputs'!$H$118&lt;&gt;"", 'Cost Inputs'!$I$118&lt;&gt;"", 'Cost Inputs'!$J$118&lt;&gt;"")), _4_5_1, "")</f>
        <v/>
      </c>
      <c r="D335" s="17" t="str">
        <f>IF(AND(C335&lt;&gt;"", 'Cost Inputs'!$G$118&lt;&gt;""), 'Cost Inputs'!$G$118, "")</f>
        <v/>
      </c>
      <c r="E335" s="17" t="str">
        <f>IF(AND(C335&lt;&gt;"", 'Cost Inputs'!$H$118&lt;&gt;""), 'Cost Inputs'!$H$118, "")</f>
        <v/>
      </c>
      <c r="F335" s="493" t="str">
        <f>IF(AND(C335&lt;&gt;"", 'Cost Inputs'!$I$118&lt;&gt;""), 'Cost Inputs'!$I$118, "")</f>
        <v/>
      </c>
      <c r="G335" s="105" t="str">
        <f t="shared" si="16"/>
        <v/>
      </c>
      <c r="H335" s="493" t="str">
        <f>IF(AND(C335&lt;&gt;"", 'Cost Inputs'!$J$118&lt;&gt;""), 'Cost Inputs'!$J$118, "")</f>
        <v/>
      </c>
      <c r="I335" s="105" t="str">
        <f>IF($C335&lt;&gt;"",IF(AND($E335&lt;&gt;"",H335&lt;&gt;""), H335/$E335, 0),"")</f>
        <v/>
      </c>
      <c r="J335" s="493" t="str">
        <f>IF(AND(C335&lt;&gt;"",('Cost Inputs'!$I$118+'Cost Inputs'!$J$118+'Cost Inputs'!$K$118)&gt;0), 'Cost Inputs'!$I$118+'Cost Inputs'!$J$118+'Cost Inputs'!$K$118, "")</f>
        <v/>
      </c>
      <c r="K335" s="105" t="str">
        <f>IF($C335&lt;&gt;"",IF(AND($E335&lt;&gt;"",J335&lt;&gt;""), J335/$E335, 0),"")</f>
        <v/>
      </c>
      <c r="L335" s="525"/>
      <c r="M335" s="525"/>
      <c r="P335" s="497" t="str">
        <f>IF(ISNUMBER($B$321),
IF($C335&lt;&gt;"",
IF(AND(ISNUMBER(O$280), ISNUMBER(O$317)),
IF(AND(P$279=123, Cultivar_1_Cohort_Year_Selection=$P$278,Cultivar_2_Cohort_Year_Selection=$P$278,Cultivar_3_Cohort_Year_Selection=$P$278), ROUND(MAX(0,O$320 - 3),0),
IF(AND(OR(P$279=123, P$279=12), Cultivar_1_Cohort_Year_Selection=$P$278,Cultivar_2_Cohort_Year_Selection=$P$278), ROUND(MAX(0,O$320 - 2),0),
IF(AND(OR(P$279=123, P$279=13), Cultivar_1_Cohort_Year_Selection=$P$278,Cultivar_3_Cohort_Year_Selection=$P$278), ROUND(MAX(0,O$320 - 2),0),
IF(AND(OR(P$279=123, P$279=23), Cultivar_2_Cohort_Year_Selection=$P$278,Cultivar_3_Cohort_Year_Selection=$P$278), ROUND(MAX(0,O$320 - 2),0),
IF(AND(OR(P$279=123, P$279=12, P$279=13, P$279=1), Cultivar_1_Cohort_Year_Selection=$P$278), ROUND(MAX(0,O$320 - 1),0),
IF(AND(OR(P$279=123, P$279=12, P$279=23, P$279=2), Cultivar_2_Cohort_Year_Selection=$P$278), ROUND(MAX(0,O$320 - 1),0),
IF(AND(OR(P$279=123, P$279=13, P$279=23, P$279=3), Cultivar_3_Cohort_Year_Selection=$P$278), ROUND(MAX(0,O$320 - 1),0),
ROUND(MAX(0,O$320),0)))))))),""),""),"")</f>
        <v/>
      </c>
      <c r="Q335" s="497" t="str">
        <f>IF(ISNUMBER($B$321),
IF($C335&lt;&gt;"",
IF(AND(ISNUMBER(P$280), ISNUMBER(P$317)),
IF(AND(Q$279=123, Cultivar_1_Cohort_Year_Selection=$Q$278,Cultivar_2_Cohort_Year_Selection=$Q$278,Cultivar_3_Cohort_Year_Selection=$Q$278), ROUND(MAX(0,P$320 - 3),0),
IF(AND(OR(Q$279=123, Q$279=12), Cultivar_1_Cohort_Year_Selection=$Q$278,Cultivar_2_Cohort_Year_Selection=$Q$278), ROUND(MAX(0,P$320 - 2),0),
IF(AND(OR(Q$279=123, Q$279=13), Cultivar_1_Cohort_Year_Selection=$Q$278,Cultivar_3_Cohort_Year_Selection=$Q$278), ROUND(MAX(0,P$320 - 2),0),
IF(AND(OR(Q$279=123, Q$279=23), Cultivar_2_Cohort_Year_Selection=$Q$278,Cultivar_3_Cohort_Year_Selection=$Q$278), ROUND(MAX(0,P$320 - 2),0),
IF(AND(OR(Q$279=123, Q$279=12, Q$279=13, Q$279=1), Cultivar_1_Cohort_Year_Selection=$Q$278), ROUND(MAX(0,P$320 - 1),0),
IF(AND(OR(Q$279=123, Q$279=12, Q$279=23, Q$279=2), Cultivar_2_Cohort_Year_Selection=$Q$278), ROUND(MAX(0,P$320 - 1),0),
IF(AND(OR(Q$279=123, Q$279=13, Q$279=23, Q$279=3), Cultivar_3_Cohort_Year_Selection=$Q$278), ROUND(MAX(0,P$320 - 1),0),
ROUND(MAX(0,P$320),0)))))))),""),""),"")</f>
        <v/>
      </c>
      <c r="R335" s="497" t="str">
        <f>IF(ISNUMBER($B$321),
IF($C335&lt;&gt;"",
IF(AND(ISNUMBER(Q$280), ISNUMBER(Q$317)),
IF(AND(R$279=123, Cultivar_1_Cohort_Year_Selection=$R$278,Cultivar_2_Cohort_Year_Selection=$R$278,Cultivar_3_Cohort_Year_Selection=$R$278), ROUND(MAX(0,Q$320 - 3),0),
IF(AND(OR(R$279=123, R$279=12), Cultivar_1_Cohort_Year_Selection=$R$278,Cultivar_2_Cohort_Year_Selection=$R$278), ROUND(MAX(0,Q$320 - 2),0),
IF(AND(OR(R$279=123, R$279=13), Cultivar_1_Cohort_Year_Selection=$R$278,Cultivar_3_Cohort_Year_Selection=$R$278), ROUND(MAX(0,Q$320 - 2),0),
IF(AND(OR(R$279=123, R$279=23), Cultivar_2_Cohort_Year_Selection=$R$278,Cultivar_3_Cohort_Year_Selection=$R$278), ROUND(MAX(0,Q$320 - 2),0),
IF(AND(OR(R$279=123, R$279=12, R$279=13, R$279=1), Cultivar_1_Cohort_Year_Selection=$R$278), ROUND(MAX(0,Q$320 - 1),0),
IF(AND(OR(R$279=123, R$279=12, R$279=23, R$279=2), Cultivar_2_Cohort_Year_Selection=$R$278), ROUND(MAX(0,Q$320 - 1),0),
IF(AND(OR(R$279=123, R$279=13, R$279=23, R$279=3), Cultivar_3_Cohort_Year_Selection=$R$278), ROUND(MAX(0,Q$320 - 1),0),
ROUND(MAX(0,Q$320),0)))))))),""),""),"")</f>
        <v/>
      </c>
      <c r="S335" s="497" t="str">
        <f>IF(ISNUMBER($B$321),
IF($C335&lt;&gt;"",
IF(AND(ISNUMBER(R$280), ISNUMBER(R$317)),
IF(AND(S$279=123, Cultivar_1_Cohort_Year_Selection=$S$278,Cultivar_2_Cohort_Year_Selection=$S$278,Cultivar_3_Cohort_Year_Selection=$S$278), ROUND(MAX(0,R$320 - 3),0),
IF(AND(OR(S$279=123, S$279=12), Cultivar_1_Cohort_Year_Selection=$S$278,Cultivar_2_Cohort_Year_Selection=$S$278), ROUND(MAX(0,R$320 - 2),0),
IF(AND(OR(S$279=123, S$279=13), Cultivar_1_Cohort_Year_Selection=$S$278,Cultivar_3_Cohort_Year_Selection=$S$278), ROUND(MAX(0,R$320 - 2),0),
IF(AND(OR(S$279=123, S$279=23), Cultivar_2_Cohort_Year_Selection=$S$278,Cultivar_3_Cohort_Year_Selection=$S$278), ROUND(MAX(0,R$320 - 2),0),
IF(AND(OR(S$279=123, S$279=12, S$279=13, S$279=1), Cultivar_1_Cohort_Year_Selection=$S$278), ROUND(MAX(0,R$320 - 1),0),
IF(AND(OR(S$279=123, S$279=12, S$279=23, S$279=2), Cultivar_2_Cohort_Year_Selection=$S$278), ROUND(MAX(0,R$320 - 1),0),
IF(AND(OR(S$279=123, S$279=13, S$279=23, S$279=3), Cultivar_3_Cohort_Year_Selection=$S$278), ROUND(MAX(0,R$320 - 1),0),
ROUND(MAX(0,R$320),0)))))))),""),""),"")</f>
        <v/>
      </c>
      <c r="T335" s="497" t="str">
        <f>IF(ISNUMBER($B$321),
IF($C335&lt;&gt;"",
IF(AND(ISNUMBER(S$280), ISNUMBER(S$317)),
IF(AND(T$279=123, Cultivar_1_Cohort_Year_Selection=$T$278,Cultivar_2_Cohort_Year_Selection=$T$278,Cultivar_3_Cohort_Year_Selection=$T$278), ROUND(MAX(0,S$320 - 3),0),
IF(AND(OR(T$279=123, T$279=12), Cultivar_1_Cohort_Year_Selection=$T$278,Cultivar_2_Cohort_Year_Selection=$T$278), ROUND(MAX(0,S$320 - 2),0),
IF(AND(OR(T$279=123, T$279=13), Cultivar_1_Cohort_Year_Selection=$T$278,Cultivar_3_Cohort_Year_Selection=$T$278), ROUND(MAX(0,S$320 - 2),0),
IF(AND(OR(T$279=123, T$279=23), Cultivar_2_Cohort_Year_Selection=$T$278,Cultivar_3_Cohort_Year_Selection=$T$278), ROUND(MAX(0,S$320 - 2),0),
IF(AND(OR(T$279=123, T$279=12, T$279=13, T$279=1), Cultivar_1_Cohort_Year_Selection=$T$278), ROUND(MAX(0,S$320 - 1),0),
IF(AND(OR(T$279=123, T$279=12, T$279=23, T$279=2), Cultivar_2_Cohort_Year_Selection=$T$278), ROUND(MAX(0,S$320 - 1),0),
IF(AND(OR(T$279=123, T$279=13, T$279=23, T$279=3), Cultivar_3_Cohort_Year_Selection=$T$278), ROUND(MAX(0,S$320 - 1),0),
ROUND(MAX(0,S$320),0)))))))),""),""),"")</f>
        <v/>
      </c>
      <c r="U335" s="497" t="str">
        <f>IF(ISNUMBER($B$321),
IF($C335&lt;&gt;"",
IF(AND(ISNUMBER(T$280), ISNUMBER(T$317)),
IF(AND(U$279=123, Cultivar_1_Cohort_Year_Selection=$U$278,Cultivar_2_Cohort_Year_Selection=$U$278,Cultivar_3_Cohort_Year_Selection=$U$278), ROUND(MAX(0,T$320 - 3),0),
IF(AND(OR(U$279=123, U$279=12), Cultivar_1_Cohort_Year_Selection=$U$278,Cultivar_2_Cohort_Year_Selection=$U$278), ROUND(MAX(0,T$320 - 2),0),
IF(AND(OR(U$279=123, U$279=13), Cultivar_1_Cohort_Year_Selection=$U$278,Cultivar_3_Cohort_Year_Selection=$U$278), ROUND(MAX(0,T$320 - 2),0),
IF(AND(OR(U$279=123, U$279=23), Cultivar_2_Cohort_Year_Selection=$U$278,Cultivar_3_Cohort_Year_Selection=$U$278), ROUND(MAX(0,T$320 - 2),0),
IF(AND(OR(U$279=123, U$279=12, U$279=13, U$279=1), Cultivar_1_Cohort_Year_Selection=$U$278), ROUND(MAX(0,T$320 - 1),0),
IF(AND(OR(U$279=123, U$279=12, U$279=23, U$279=2), Cultivar_2_Cohort_Year_Selection=$U$278), ROUND(MAX(0,T$320 - 1),0),
IF(AND(OR(U$279=123, U$279=13, U$279=23, U$279=3), Cultivar_3_Cohort_Year_Selection=$U$278), ROUND(MAX(0,T$320 - 1),0),
ROUND(MAX(0,T$320),0)))))))),""),""),"")</f>
        <v/>
      </c>
      <c r="V335" s="497" t="str">
        <f>IF(ISNUMBER($B$321),
IF($C335&lt;&gt;"",
IF(AND(ISNUMBER(U$280), ISNUMBER(U$317)),
IF(AND(V$279=123, Cultivar_1_Cohort_Year_Selection=$V$278,Cultivar_2_Cohort_Year_Selection=$V$278,Cultivar_3_Cohort_Year_Selection=$V$278), ROUND(MAX(0,U$320 - 3),0),
IF(AND(OR(V$279=123, V$279=12), Cultivar_1_Cohort_Year_Selection=$V$278,Cultivar_2_Cohort_Year_Selection=$V$278), ROUND(MAX(0,U$320 - 2),0),
IF(AND(OR(V$279=123, V$279=13), Cultivar_1_Cohort_Year_Selection=$V$278,Cultivar_3_Cohort_Year_Selection=$V$278), ROUND(MAX(0,U$320 - 2),0),
IF(AND(OR(V$279=123, V$279=23), Cultivar_2_Cohort_Year_Selection=$V$278,Cultivar_3_Cohort_Year_Selection=$V$278), ROUND(MAX(0,U$320 - 2),0),
IF(AND(OR(V$279=123, V$279=12, V$279=13, V$279=1), Cultivar_1_Cohort_Year_Selection=$V$278), ROUND(MAX(0,U$320 - 1),0),
IF(AND(OR(V$279=123, V$279=12, V$279=23, V$279=2), Cultivar_2_Cohort_Year_Selection=$V$278), ROUND(MAX(0,U$320 - 1),0),
IF(AND(OR(V$279=123, V$279=13, V$279=23, V$279=3), Cultivar_3_Cohort_Year_Selection=$V$278), ROUND(MAX(0,U$320 - 1),0),
ROUND(MAX(0,U$320),0)))))))),""),""),"")</f>
        <v/>
      </c>
      <c r="W335" s="497" t="str">
        <f>IF(ISNUMBER($B$321),
IF($C335&lt;&gt;"",
IF(AND(ISNUMBER(V$280), ISNUMBER(V$317)),
IF(AND(W$279=123, Cultivar_1_Cohort_Year_Selection=$W$278,Cultivar_2_Cohort_Year_Selection=$W$278,Cultivar_3_Cohort_Year_Selection=$W$278), ROUND(MAX(0,V$320 - 3),0),
IF(AND(OR(W$279=123, W$279=12), Cultivar_1_Cohort_Year_Selection=$W$278,Cultivar_2_Cohort_Year_Selection=$W$278), ROUND(MAX(0,V$320 - 2),0),
IF(AND(OR(W$279=123, W$279=13), Cultivar_1_Cohort_Year_Selection=$W$278,Cultivar_3_Cohort_Year_Selection=$W$278), ROUND(MAX(0,V$320 - 2),0),
IF(AND(OR(W$279=123, W$279=23), Cultivar_2_Cohort_Year_Selection=$W$278,Cultivar_3_Cohort_Year_Selection=$W$278), ROUND(MAX(0,V$320 - 2),0),
IF(AND(OR(W$279=123, W$279=12, W$279=13, W$279=1), Cultivar_1_Cohort_Year_Selection=$W$278), ROUND(MAX(0,V$320 - 1),0),
IF(AND(OR(W$279=123, W$279=12, W$279=23, W$279=2), Cultivar_2_Cohort_Year_Selection=$W$278), ROUND(MAX(0,V$320 - 1),0),
IF(AND(OR(W$279=123, W$279=13, W$279=23, W$279=3), Cultivar_3_Cohort_Year_Selection=$W$278), ROUND(MAX(0,V$320 - 1),0),
ROUND(MAX(0,V$320),0)))))))),""),""),"")</f>
        <v/>
      </c>
      <c r="X335" s="497" t="str">
        <f>IF(ISNUMBER($B$321),
IF($C335&lt;&gt;"",
IF(AND(ISNUMBER(W$280), ISNUMBER(W$317)),
IF(AND(X$279=123, Cultivar_1_Cohort_Year_Selection=$X$278,Cultivar_2_Cohort_Year_Selection=$X$278,Cultivar_3_Cohort_Year_Selection=$X$278), ROUND(MAX(0,W$320 - 3),0),
IF(AND(OR(X$279=123, X$279=12), Cultivar_1_Cohort_Year_Selection=$X$278,Cultivar_2_Cohort_Year_Selection=$X$278), ROUND(MAX(0,W$320 - 2),0),
IF(AND(OR(X$279=123, X$279=13), Cultivar_1_Cohort_Year_Selection=$X$278,Cultivar_3_Cohort_Year_Selection=$X$278), ROUND(MAX(0,W$320 - 2),0),
IF(AND(OR(X$279=123, X$279=23), Cultivar_2_Cohort_Year_Selection=$X$278,Cultivar_3_Cohort_Year_Selection=$X$278), ROUND(MAX(0,W$320 - 2),0),
IF(AND(OR(X$279=123, X$279=12, X$279=13, X$279=1), Cultivar_1_Cohort_Year_Selection=$X$278), ROUND(MAX(0,W$320 - 1),0),
IF(AND(OR(X$279=123, X$279=12, X$279=23, X$279=2), Cultivar_2_Cohort_Year_Selection=$X$278), ROUND(MAX(0,W$320 - 1),0),
IF(AND(OR(X$279=123, X$279=13, X$279=23, X$279=3), Cultivar_3_Cohort_Year_Selection=$X$278), ROUND(MAX(0,W$320 - 1),0),
ROUND(MAX(0,W$320),0)))))))),""),""),"")</f>
        <v/>
      </c>
      <c r="Y335" s="497" t="str">
        <f>IF(ISNUMBER($B$321),
IF($C335&lt;&gt;"",
IF(AND(ISNUMBER(X$280), ISNUMBER(X$317)),
IF(AND(Y$279=123, Cultivar_1_Cohort_Year_Selection=$Y$278,Cultivar_2_Cohort_Year_Selection=$Y$278,Cultivar_3_Cohort_Year_Selection=$Y$278), ROUND(MAX(0,X$320 - 3),0),
IF(AND(OR(Y$279=123, Y$279=12), Cultivar_1_Cohort_Year_Selection=$Y$278,Cultivar_2_Cohort_Year_Selection=$Y$278), ROUND(MAX(0,X$320 - 2),0),
IF(AND(OR(Y$279=123, Y$279=13), Cultivar_1_Cohort_Year_Selection=$Y$278,Cultivar_3_Cohort_Year_Selection=$Y$278), ROUND(MAX(0,X$320 - 2),0),
IF(AND(OR(Y$279=123, Y$279=23), Cultivar_2_Cohort_Year_Selection=$Y$278,Cultivar_3_Cohort_Year_Selection=$Y$278), ROUND(MAX(0,X$320 - 2),0),
IF(AND(OR(Y$279=123, Y$279=12, Y$279=13, Y$279=1), Cultivar_1_Cohort_Year_Selection=$Y$278), ROUND(MAX(0,X$320 - 1),0),
IF(AND(OR(Y$279=123, Y$279=12, Y$279=23, Y$279=2), Cultivar_2_Cohort_Year_Selection=$Y$278), ROUND(MAX(0,X$320 - 1),0),
IF(AND(OR(Y$279=123, Y$279=13, Y$279=23, Y$279=3), Cultivar_3_Cohort_Year_Selection=$Y$278), ROUND(MAX(0,X$320 - 1),0),
ROUND(MAX(0,X$320),0)))))))),""),""),"")</f>
        <v/>
      </c>
      <c r="Z335" s="497" t="str">
        <f>IF(ISNUMBER($B$321),
IF($C335&lt;&gt;"",
IF(AND(ISNUMBER(Y$280), ISNUMBER(Y$317)),
IF(AND(Z$279=123, Cultivar_1_Cohort_Year_Selection=$Z$278,Cultivar_2_Cohort_Year_Selection=$Z$278,Cultivar_3_Cohort_Year_Selection=$Z$278), ROUND(MAX(0,Y$320 - 3),0),
IF(AND(OR(Z$279=123, Z$279=12), Cultivar_1_Cohort_Year_Selection=$Z$278,Cultivar_2_Cohort_Year_Selection=$Z$278), ROUND(MAX(0,Y$320 - 2),0),
IF(AND(OR(Z$279=123, Z$279=13), Cultivar_1_Cohort_Year_Selection=$Z$278,Cultivar_3_Cohort_Year_Selection=$Z$278), ROUND(MAX(0,Y$320 - 2),0),
IF(AND(OR(Z$279=123, Z$279=23), Cultivar_2_Cohort_Year_Selection=$Z$278,Cultivar_3_Cohort_Year_Selection=$Z$278), ROUND(MAX(0,Y$320 - 2),0),
IF(AND(OR(Z$279=123, Z$279=12, Z$279=13, Z$279=1), Cultivar_1_Cohort_Year_Selection=$Z$278), ROUND(MAX(0,Y$320 - 1),0),
IF(AND(OR(Z$279=123, Z$279=12, Z$279=23, Z$279=2), Cultivar_2_Cohort_Year_Selection=$Z$278), ROUND(MAX(0,Y$320 - 1),0),
IF(AND(OR(Z$279=123, Z$279=13, Z$279=23, Z$279=3), Cultivar_3_Cohort_Year_Selection=$Z$278), ROUND(MAX(0,Y$320 - 1),0),
ROUND(MAX(0,Y$320),0)))))))),""),""),"")</f>
        <v/>
      </c>
      <c r="AA335" s="497" t="str">
        <f>IF(ISNUMBER($B$321),
IF($C335&lt;&gt;"",
IF(AND(ISNUMBER(Z$280), ISNUMBER(Z$317)),
IF(AND(AA$279=123, Cultivar_1_Cohort_Year_Selection=$AA$278,Cultivar_2_Cohort_Year_Selection=$AA$278,Cultivar_3_Cohort_Year_Selection=$AA$278), ROUND(MAX(0,Z$320 - 3),0),
IF(AND(OR(AA$279=123, AA$279=12), Cultivar_1_Cohort_Year_Selection=$AA$278,Cultivar_2_Cohort_Year_Selection=$AA$278), ROUND(MAX(0,Z$320 - 2),0),
IF(AND(OR(AA$279=123, AA$279=13), Cultivar_1_Cohort_Year_Selection=$AA$278,Cultivar_3_Cohort_Year_Selection=$AA$278), ROUND(MAX(0,Z$320 - 2),0),
IF(AND(OR(AA$279=123, AA$279=23), Cultivar_2_Cohort_Year_Selection=$AA$278,Cultivar_3_Cohort_Year_Selection=$AA$278), ROUND(MAX(0,Z$320 - 2),0),
IF(AND(OR(AA$279=123, AA$279=12, AA$279=13, AA$279=1), Cultivar_1_Cohort_Year_Selection=$AA$278), ROUND(MAX(0,Z$320 - 1),0),
IF(AND(OR(AA$279=123, AA$279=12, AA$279=23, AA$279=2), Cultivar_2_Cohort_Year_Selection=$AA$278), ROUND(MAX(0,Z$320 - 1),0),
IF(AND(OR(AA$279=123, AA$279=13, AA$279=23, AA$279=3), Cultivar_3_Cohort_Year_Selection=$AA$278), ROUND(MAX(0,Z$320 - 1),0),
ROUND(MAX(0,Z$320),0)))))))),""),""),"")</f>
        <v/>
      </c>
      <c r="AB335" s="497" t="str">
        <f>IF(ISNUMBER($B$321),
IF($C335&lt;&gt;"",
IF(AND(ISNUMBER(AA$280), ISNUMBER(AA$317)),
IF(AND(AB$279=123, Cultivar_1_Cohort_Year_Selection=$AB$278,Cultivar_2_Cohort_Year_Selection=$AB$278,Cultivar_3_Cohort_Year_Selection=$AB$278), ROUND(MAX(0,AA$320 - 3),0),
IF(AND(OR(AB$279=123, AB$279=12), Cultivar_1_Cohort_Year_Selection=$AB$278,Cultivar_2_Cohort_Year_Selection=$AB$278), ROUND(MAX(0,AA$320 - 2),0),
IF(AND(OR(AB$279=123, AB$279=13), Cultivar_1_Cohort_Year_Selection=$AB$278,Cultivar_3_Cohort_Year_Selection=$AB$278), ROUND(MAX(0,AA$320 - 2),0),
IF(AND(OR(AB$279=123, AB$279=23), Cultivar_2_Cohort_Year_Selection=$AB$278,Cultivar_3_Cohort_Year_Selection=$AB$278), ROUND(MAX(0,AA$320 - 2),0),
IF(AND(OR(AB$279=123, AB$279=12, AB$279=13, AB$279=1), Cultivar_1_Cohort_Year_Selection=$AB$278), ROUND(MAX(0,AA$320 - 1),0),
IF(AND(OR(AB$279=123, AB$279=12, AB$279=23, AB$279=2), Cultivar_2_Cohort_Year_Selection=$AB$278), ROUND(MAX(0,AA$320 - 1),0),
IF(AND(OR(AB$279=123, AB$279=13, AB$279=23, AB$279=3), Cultivar_3_Cohort_Year_Selection=$AB$278), ROUND(MAX(0,AA$320 - 1),0),
ROUND(MAX(0,AA$320),0)))))))),""),""),"")</f>
        <v/>
      </c>
      <c r="AC335" s="497" t="str">
        <f>IF(ISNUMBER($B$321),
IF($C335&lt;&gt;"",
IF(AND(ISNUMBER(AB$280), ISNUMBER(AB$317)),
IF(AND(AC$279=123, Cultivar_1_Cohort_Year_Selection=$AC$278,Cultivar_2_Cohort_Year_Selection=$AC$278,Cultivar_3_Cohort_Year_Selection=$AC$278), ROUND(MAX(0,AB$320 - 3),0),
IF(AND(OR(AC$279=123, AC$279=12), Cultivar_1_Cohort_Year_Selection=$AC$278,Cultivar_2_Cohort_Year_Selection=$AC$278), ROUND(MAX(0,AB$320 - 2),0),
IF(AND(OR(AC$279=123, AC$279=13), Cultivar_1_Cohort_Year_Selection=$AC$278,Cultivar_3_Cohort_Year_Selection=$AC$278), ROUND(MAX(0,AB$320 - 2),0),
IF(AND(OR(AC$279=123, AC$279=23), Cultivar_2_Cohort_Year_Selection=$AC$278,Cultivar_3_Cohort_Year_Selection=$AC$278), ROUND(MAX(0,AB$320 - 2),0),
IF(AND(OR(AC$279=123, AC$279=12, AC$279=13, AC$279=1), Cultivar_1_Cohort_Year_Selection=$AC$278), ROUND(MAX(0,AB$320 - 1),0),
IF(AND(OR(AC$279=123, AC$279=12, AC$279=23, AC$279=2), Cultivar_2_Cohort_Year_Selection=$AC$278), ROUND(MAX(0,AB$320 - 1),0),
IF(AND(OR(AC$279=123, AC$279=13, AC$279=23, AC$279=3), Cultivar_3_Cohort_Year_Selection=$AC$278), ROUND(MAX(0,AB$320 - 1),0),
ROUND(MAX(0,AB$320),0)))))))),""),""),"")</f>
        <v/>
      </c>
      <c r="AD335" s="497" t="str">
        <f>IF(ISNUMBER($B$321),
IF($C335&lt;&gt;"",
IF(AND(ISNUMBER(AC$280), ISNUMBER(AC$317)),
IF(AND(AD$279=123, Cultivar_1_Cohort_Year_Selection=$AD$278,Cultivar_2_Cohort_Year_Selection=$AD$278,Cultivar_3_Cohort_Year_Selection=$AD$278), ROUND(MAX(0,AC$320 - 3),0),
IF(AND(OR(AD$279=123, AD$279=12), Cultivar_1_Cohort_Year_Selection=$AD$278,Cultivar_2_Cohort_Year_Selection=$AD$278), ROUND(MAX(0,AC$320 - 2),0),
IF(AND(OR(AD$279=123, AD$279=13), Cultivar_1_Cohort_Year_Selection=$AD$278,Cultivar_3_Cohort_Year_Selection=$AD$278), ROUND(MAX(0,AC$320 - 2),0),
IF(AND(OR(AD$279=123, AD$279=23), Cultivar_2_Cohort_Year_Selection=$AD$278,Cultivar_3_Cohort_Year_Selection=$AD$278), ROUND(MAX(0,AC$320 - 2),0),
IF(AND(OR(AD$279=123, AD$279=12, AD$279=13, AD$279=1), Cultivar_1_Cohort_Year_Selection=$AD$278), ROUND(MAX(0,AC$320 - 1),0),
IF(AND(OR(AD$279=123, AD$279=12, AD$279=23, AD$279=2), Cultivar_2_Cohort_Year_Selection=$AD$278), ROUND(MAX(0,AC$320 - 1),0),
IF(AND(OR(AD$279=123, AD$279=13, AD$279=23, AD$279=3), Cultivar_3_Cohort_Year_Selection=$AD$278), ROUND(MAX(0,AC$320 - 1),0),
ROUND(MAX(0,AC$320),0)))))))),""),""),"")</f>
        <v/>
      </c>
      <c r="AE335" s="497" t="str">
        <f>IF(ISNUMBER($B$321),
IF($C335&lt;&gt;"",
IF(AND(ISNUMBER(AD$280), ISNUMBER(AD$317)),
IF(AND(AE$279=123, Cultivar_1_Cohort_Year_Selection=$AE$278,Cultivar_2_Cohort_Year_Selection=$AE$278,Cultivar_3_Cohort_Year_Selection=$AE$278), ROUND(MAX(0,AD$320 - 3),0),
IF(AND(OR(AE$279=123, AE$279=12), Cultivar_1_Cohort_Year_Selection=$AE$278,Cultivar_2_Cohort_Year_Selection=$AE$278), ROUND(MAX(0,AD$320 - 2),0),
IF(AND(OR(AE$279=123, AE$279=13), Cultivar_1_Cohort_Year_Selection=$AE$278,Cultivar_3_Cohort_Year_Selection=$AE$278), ROUND(MAX(0,AD$320 - 2),0),
IF(AND(OR(AE$279=123, AE$279=23), Cultivar_2_Cohort_Year_Selection=$AE$278,Cultivar_3_Cohort_Year_Selection=$AE$278), ROUND(MAX(0,AD$320 - 2),0),
IF(AND(OR(AE$279=123, AE$279=12, AE$279=13, AE$279=1), Cultivar_1_Cohort_Year_Selection=$AE$278), ROUND(MAX(0,AD$320 - 1),0),
IF(AND(OR(AE$279=123, AE$279=12, AE$279=23, AE$279=2), Cultivar_2_Cohort_Year_Selection=$AE$278), ROUND(MAX(0,AD$320 - 1),0),
IF(AND(OR(AE$279=123, AE$279=13, AE$279=23, AE$279=3), Cultivar_3_Cohort_Year_Selection=$AE$278), ROUND(MAX(0,AD$320 - 1),0),
ROUND(MAX(0,AD$320),0)))))))),""),""),"")</f>
        <v/>
      </c>
      <c r="AF335" s="497" t="str">
        <f>IF(ISNUMBER($B$321),
IF($C335&lt;&gt;"",
IF(AND(ISNUMBER(AE$280), ISNUMBER(AE$317)),
IF(AND(AF$279=123, Cultivar_1_Cohort_Year_Selection=$AF$278,Cultivar_2_Cohort_Year_Selection=$AF$278,Cultivar_3_Cohort_Year_Selection=$AF$278), ROUND(MAX(0,AE$320 - 3),0),
IF(AND(OR(AF$279=123, AF$279=12), Cultivar_1_Cohort_Year_Selection=$AF$278,Cultivar_2_Cohort_Year_Selection=$AF$278), ROUND(MAX(0,AE$320 - 2),0),
IF(AND(OR(AF$279=123, AF$279=13), Cultivar_1_Cohort_Year_Selection=$AF$278,Cultivar_3_Cohort_Year_Selection=$AF$278), ROUND(MAX(0,AE$320 - 2),0),
IF(AND(OR(AF$279=123, AF$279=23), Cultivar_2_Cohort_Year_Selection=$AF$278,Cultivar_3_Cohort_Year_Selection=$AF$278), ROUND(MAX(0,AE$320 - 2),0),
IF(AND(OR(AF$279=123, AF$279=12, AF$279=13, AF$279=1), Cultivar_1_Cohort_Year_Selection=$AF$278), ROUND(MAX(0,AE$320 - 1),0),
IF(AND(OR(AF$279=123, AF$279=12, AF$279=23, AF$279=2), Cultivar_2_Cohort_Year_Selection=$AF$278), ROUND(MAX(0,AE$320 - 1),0),
IF(AND(OR(AF$279=123, AF$279=13, AF$279=23, AF$279=3), Cultivar_3_Cohort_Year_Selection=$AF$278), ROUND(MAX(0,AE$320 - 1),0),
ROUND(MAX(0,AE$320),0)))))))),""),""),"")</f>
        <v/>
      </c>
      <c r="AG335" s="497" t="str">
        <f>IF(ISNUMBER($B$321),
IF($C335&lt;&gt;"",
IF(AND(ISNUMBER(AF$280), ISNUMBER(AF$317)),
IF(AND(AG$279=123, Cultivar_1_Cohort_Year_Selection=$AG$278,Cultivar_2_Cohort_Year_Selection=$AG$278,Cultivar_3_Cohort_Year_Selection=$AG$278), ROUND(MAX(0,AF$320 - 3),0),
IF(AND(OR(AG$279=123, AG$279=12), Cultivar_1_Cohort_Year_Selection=$AG$278,Cultivar_2_Cohort_Year_Selection=$AG$278), ROUND(MAX(0,AF$320 - 2),0),
IF(AND(OR(AG$279=123, AG$279=13), Cultivar_1_Cohort_Year_Selection=$AG$278,Cultivar_3_Cohort_Year_Selection=$AG$278), ROUND(MAX(0,AF$320 - 2),0),
IF(AND(OR(AG$279=123, AG$279=23), Cultivar_2_Cohort_Year_Selection=$AG$278,Cultivar_3_Cohort_Year_Selection=$AG$278), ROUND(MAX(0,AF$320 - 2),0),
IF(AND(OR(AG$279=123, AG$279=12, AG$279=13, AG$279=1), Cultivar_1_Cohort_Year_Selection=$AG$278), ROUND(MAX(0,AF$320 - 1),0),
IF(AND(OR(AG$279=123, AG$279=12, AG$279=23, AG$279=2), Cultivar_2_Cohort_Year_Selection=$AG$278), ROUND(MAX(0,AF$320 - 1),0),
IF(AND(OR(AG$279=123, AG$279=13, AG$279=23, AG$279=3), Cultivar_3_Cohort_Year_Selection=$AG$278), ROUND(MAX(0,AF$320 - 1),0),
ROUND(MAX(0,AF$320),0)))))))),""),""),"")</f>
        <v/>
      </c>
      <c r="AH335" s="497" t="str">
        <f>IF(ISNUMBER($B$321),
IF($C335&lt;&gt;"",
IF(AND(ISNUMBER(AG$280), ISNUMBER(AG$317)),
IF(AND(AH$279=123, Cultivar_1_Cohort_Year_Selection=$AH$278,Cultivar_2_Cohort_Year_Selection=$AH$278,Cultivar_3_Cohort_Year_Selection=$AH$278), ROUND(MAX(0,AG$320 - 3),0),
IF(AND(OR(AH$279=123, AH$279=12), Cultivar_1_Cohort_Year_Selection=$AH$278,Cultivar_2_Cohort_Year_Selection=$AH$278), ROUND(MAX(0,AG$320 - 2),0),
IF(AND(OR(AH$279=123, AH$279=13), Cultivar_1_Cohort_Year_Selection=$AH$278,Cultivar_3_Cohort_Year_Selection=$AH$278), ROUND(MAX(0,AG$320 - 2),0),
IF(AND(OR(AH$279=123, AH$279=23), Cultivar_2_Cohort_Year_Selection=$AH$278,Cultivar_3_Cohort_Year_Selection=$AH$278), ROUND(MAX(0,AG$320 - 2),0),
IF(AND(OR(AH$279=123, AH$279=12, AH$279=13, AH$279=1), Cultivar_1_Cohort_Year_Selection=$AH$278), ROUND(MAX(0,AG$320 - 1),0),
IF(AND(OR(AH$279=123, AH$279=12, AH$279=23, AH$279=2), Cultivar_2_Cohort_Year_Selection=$AH$278), ROUND(MAX(0,AG$320 - 1),0),
IF(AND(OR(AH$279=123, AH$279=13, AH$279=23, AH$279=3), Cultivar_3_Cohort_Year_Selection=$AH$278), ROUND(MAX(0,AG$320 - 1),0),
ROUND(MAX(0,AG$320),0)))))))),""),""),"")</f>
        <v/>
      </c>
      <c r="AI335" s="497" t="str">
        <f>IF(ISNUMBER($B$321),
IF($C335&lt;&gt;"",
IF(AND(ISNUMBER(AH$280), ISNUMBER(AH$317)),
IF(AND(AI$279=123, Cultivar_1_Cohort_Year_Selection=$AI$278,Cultivar_2_Cohort_Year_Selection=$AI$278,Cultivar_3_Cohort_Year_Selection=$AI$278), ROUND(MAX(0,AH$320 - 3),0),
IF(AND(OR(AI$279=123, AI$279=12), Cultivar_1_Cohort_Year_Selection=$AI$278,Cultivar_2_Cohort_Year_Selection=$AI$278), ROUND(MAX(0,AH$320 - 2),0),
IF(AND(OR(AI$279=123, AI$279=13), Cultivar_1_Cohort_Year_Selection=$AI$278,Cultivar_3_Cohort_Year_Selection=$AI$278), ROUND(MAX(0,AH$320 - 2),0),
IF(AND(OR(AI$279=123, AI$279=23), Cultivar_2_Cohort_Year_Selection=$AI$278,Cultivar_3_Cohort_Year_Selection=$AI$278), ROUND(MAX(0,AH$320 - 2),0),
IF(AND(OR(AI$279=123, AI$279=12, AI$279=13, AI$279=1), Cultivar_1_Cohort_Year_Selection=$AI$278), ROUND(MAX(0,AH$320 - 1),0),
IF(AND(OR(AI$279=123, AI$279=12, AI$279=23, AI$279=2), Cultivar_2_Cohort_Year_Selection=$AI$278), ROUND(MAX(0,AH$320 - 1),0),
IF(AND(OR(AI$279=123, AI$279=13, AI$279=23, AI$279=3), Cultivar_3_Cohort_Year_Selection=$AI$278), ROUND(MAX(0,AH$320 - 1),0),
ROUND(MAX(0,AH$320),0)))))))),""),""),"")</f>
        <v/>
      </c>
      <c r="AJ335" s="497" t="str">
        <f>IF(ISNUMBER($B$321),
IF($C335&lt;&gt;"",
IF(AND(ISNUMBER(AI$280), ISNUMBER(AI$317)),
IF(AND(AJ$279=123, Cultivar_1_Cohort_Year_Selection=$AJ$278,Cultivar_2_Cohort_Year_Selection=$AJ$278,Cultivar_3_Cohort_Year_Selection=$AJ$278), ROUND(MAX(0,AI$320 - 3),0),
IF(AND(OR(AJ$279=123, AJ$279=12), Cultivar_1_Cohort_Year_Selection=$AJ$278,Cultivar_2_Cohort_Year_Selection=$AJ$278), ROUND(MAX(0,AI$320 - 2),0),
IF(AND(OR(AJ$279=123, AJ$279=13), Cultivar_1_Cohort_Year_Selection=$AJ$278,Cultivar_3_Cohort_Year_Selection=$AJ$278), ROUND(MAX(0,AI$320 - 2),0),
IF(AND(OR(AJ$279=123, AJ$279=23), Cultivar_2_Cohort_Year_Selection=$AJ$278,Cultivar_3_Cohort_Year_Selection=$AJ$278), ROUND(MAX(0,AI$320 - 2),0),
IF(AND(OR(AJ$279=123, AJ$279=12, AJ$279=13, AJ$279=1), Cultivar_1_Cohort_Year_Selection=$AJ$278), ROUND(MAX(0,AI$320 - 1),0),
IF(AND(OR(AJ$279=123, AJ$279=12, AJ$279=23, AJ$279=2), Cultivar_2_Cohort_Year_Selection=$AJ$278), ROUND(MAX(0,AI$320 - 1),0),
IF(AND(OR(AJ$279=123, AJ$279=13, AJ$279=23, AJ$279=3), Cultivar_3_Cohort_Year_Selection=$AJ$278), ROUND(MAX(0,AI$320 - 1),0),
ROUND(MAX(0,AI$320),0)))))))),""),""),"")</f>
        <v/>
      </c>
      <c r="AK335" s="497" t="str">
        <f>IF(ISNUMBER($B$321),
IF($C335&lt;&gt;"",
IF(AND(ISNUMBER(AJ$280), ISNUMBER(AJ$317)),
IF(AND(AK$279=123, Cultivar_1_Cohort_Year_Selection=$AK$278,Cultivar_2_Cohort_Year_Selection=$AK$278,Cultivar_3_Cohort_Year_Selection=$AK$278), ROUND(MAX(0,AJ$320 - 3),0),
IF(AND(OR(AK$279=123, AK$279=12), Cultivar_1_Cohort_Year_Selection=$AK$278,Cultivar_2_Cohort_Year_Selection=$AK$278), ROUND(MAX(0,AJ$320 - 2),0),
IF(AND(OR(AK$279=123, AK$279=13), Cultivar_1_Cohort_Year_Selection=$AK$278,Cultivar_3_Cohort_Year_Selection=$AK$278), ROUND(MAX(0,AJ$320 - 2),0),
IF(AND(OR(AK$279=123, AK$279=23), Cultivar_2_Cohort_Year_Selection=$AK$278,Cultivar_3_Cohort_Year_Selection=$AK$278), ROUND(MAX(0,AJ$320 - 2),0),
IF(AND(OR(AK$279=123, AK$279=12, AK$279=13, AK$279=1), Cultivar_1_Cohort_Year_Selection=$AK$278), ROUND(MAX(0,AJ$320 - 1),0),
IF(AND(OR(AK$279=123, AK$279=12, AK$279=23, AK$279=2), Cultivar_2_Cohort_Year_Selection=$AK$278), ROUND(MAX(0,AJ$320 - 1),0),
IF(AND(OR(AK$279=123, AK$279=13, AK$279=23, AK$279=3), Cultivar_3_Cohort_Year_Selection=$AK$278), ROUND(MAX(0,AJ$320 - 1),0),
ROUND(MAX(0,AJ$320),0)))))))),""),""),"")</f>
        <v/>
      </c>
      <c r="AL335" s="497" t="str">
        <f>IF(ISNUMBER($B$321),
IF($C335&lt;&gt;"",
IF(AND(ISNUMBER(AK$280), ISNUMBER(AK$317)),
IF(AND(AL$279=123, Cultivar_1_Cohort_Year_Selection=$AL$278,Cultivar_2_Cohort_Year_Selection=$AL$278,Cultivar_3_Cohort_Year_Selection=$AL$278), ROUND(MAX(0,AK$320 - 3),0),
IF(AND(OR(AL$279=123, AL$279=12), Cultivar_1_Cohort_Year_Selection=$AL$278,Cultivar_2_Cohort_Year_Selection=$AL$278), ROUND(MAX(0,AK$320 - 2),0),
IF(AND(OR(AL$279=123, AL$279=13), Cultivar_1_Cohort_Year_Selection=$AL$278,Cultivar_3_Cohort_Year_Selection=$AL$278), ROUND(MAX(0,AK$320 - 2),0),
IF(AND(OR(AL$279=123, AL$279=23), Cultivar_2_Cohort_Year_Selection=$AL$278,Cultivar_3_Cohort_Year_Selection=$AL$278), ROUND(MAX(0,AK$320 - 2),0),
IF(AND(OR(AL$279=123, AL$279=12, AL$279=13, AL$279=1), Cultivar_1_Cohort_Year_Selection=$AL$278), ROUND(MAX(0,AK$320 - 1),0),
IF(AND(OR(AL$279=123, AL$279=12, AL$279=23, AL$279=2), Cultivar_2_Cohort_Year_Selection=$AL$278), ROUND(MAX(0,AK$320 - 1),0),
IF(AND(OR(AL$279=123, AL$279=13, AL$279=23, AL$279=3), Cultivar_3_Cohort_Year_Selection=$AL$278), ROUND(MAX(0,AK$320 - 1),0),
ROUND(MAX(0,AK$320),0)))))))),""),""),"")</f>
        <v/>
      </c>
      <c r="AM335" s="497" t="str">
        <f>IF(ISNUMBER($B$321),
IF($C335&lt;&gt;"",
IF(AND(ISNUMBER(AL$280), ISNUMBER(AL$317)),
IF(AND(AM$279=123, Cultivar_1_Cohort_Year_Selection=$AM$278,Cultivar_2_Cohort_Year_Selection=$AM$278,Cultivar_3_Cohort_Year_Selection=$AM$278), ROUND(MAX(0,AL$320 - 3),0),
IF(AND(OR(AM$279=123, AM$279=12), Cultivar_1_Cohort_Year_Selection=$AM$278,Cultivar_2_Cohort_Year_Selection=$AM$278), ROUND(MAX(0,AL$320 - 2),0),
IF(AND(OR(AM$279=123, AM$279=13), Cultivar_1_Cohort_Year_Selection=$AM$278,Cultivar_3_Cohort_Year_Selection=$AM$278), ROUND(MAX(0,AL$320 - 2),0),
IF(AND(OR(AM$279=123, AM$279=23), Cultivar_2_Cohort_Year_Selection=$AM$278,Cultivar_3_Cohort_Year_Selection=$AM$278), ROUND(MAX(0,AL$320 - 2),0),
IF(AND(OR(AM$279=123, AM$279=12, AM$279=13, AM$279=1), Cultivar_1_Cohort_Year_Selection=$AM$278), ROUND(MAX(0,AL$320 - 1),0),
IF(AND(OR(AM$279=123, AM$279=12, AM$279=23, AM$279=2), Cultivar_2_Cohort_Year_Selection=$AM$278), ROUND(MAX(0,AL$320 - 1),0),
IF(AND(OR(AM$279=123, AM$279=13, AM$279=23, AM$279=3), Cultivar_3_Cohort_Year_Selection=$AM$278), ROUND(MAX(0,AL$320 - 1),0),
ROUND(MAX(0,AL$320),0)))))))),""),""),"")</f>
        <v/>
      </c>
      <c r="AN335" s="497" t="str">
        <f>IF(ISNUMBER($B$321),
IF($C335&lt;&gt;"",
IF(AND(ISNUMBER(AM$280), ISNUMBER(AM$317)),
IF(AND(AN$279=123, Cultivar_1_Cohort_Year_Selection=$AN$278,Cultivar_2_Cohort_Year_Selection=$AN$278,Cultivar_3_Cohort_Year_Selection=$AN$278), ROUND(MAX(0,AM$320 - 3),0),
IF(AND(OR(AN$279=123, AN$279=12), Cultivar_1_Cohort_Year_Selection=$AN$278,Cultivar_2_Cohort_Year_Selection=$AN$278), ROUND(MAX(0,AM$320 - 2),0),
IF(AND(OR(AN$279=123, AN$279=13), Cultivar_1_Cohort_Year_Selection=$AN$278,Cultivar_3_Cohort_Year_Selection=$AN$278), ROUND(MAX(0,AM$320 - 2),0),
IF(AND(OR(AN$279=123, AN$279=23), Cultivar_2_Cohort_Year_Selection=$AN$278,Cultivar_3_Cohort_Year_Selection=$AN$278), ROUND(MAX(0,AM$320 - 2),0),
IF(AND(OR(AN$279=123, AN$279=12, AN$279=13, AN$279=1), Cultivar_1_Cohort_Year_Selection=$AN$278), ROUND(MAX(0,AM$320 - 1),0),
IF(AND(OR(AN$279=123, AN$279=12, AN$279=23, AN$279=2), Cultivar_2_Cohort_Year_Selection=$AN$278), ROUND(MAX(0,AM$320 - 1),0),
IF(AND(OR(AN$279=123, AN$279=13, AN$279=23, AN$279=3), Cultivar_3_Cohort_Year_Selection=$AN$278), ROUND(MAX(0,AM$320 - 1),0),
ROUND(MAX(0,AM$320),0)))))))),""),""),"")</f>
        <v/>
      </c>
      <c r="AO335" s="497" t="str">
        <f>IF(ISNUMBER($B$321),
IF($C335&lt;&gt;"",
IF(AND(ISNUMBER(AN$280), ISNUMBER(AN$317)),
IF(AND(AO$279=123, Cultivar_1_Cohort_Year_Selection=$AO$278,Cultivar_2_Cohort_Year_Selection=$AO$278,Cultivar_3_Cohort_Year_Selection=$AO$278), ROUND(MAX(0,AN$320 - 3),0),
IF(AND(OR(AO$279=123, AO$279=12), Cultivar_1_Cohort_Year_Selection=$AO$278,Cultivar_2_Cohort_Year_Selection=$AO$278), ROUND(MAX(0,AN$320 - 2),0),
IF(AND(OR(AO$279=123, AO$279=13), Cultivar_1_Cohort_Year_Selection=$AO$278,Cultivar_3_Cohort_Year_Selection=$AO$278), ROUND(MAX(0,AN$320 - 2),0),
IF(AND(OR(AO$279=123, AO$279=23), Cultivar_2_Cohort_Year_Selection=$AO$278,Cultivar_3_Cohort_Year_Selection=$AO$278), ROUND(MAX(0,AN$320 - 2),0),
IF(AND(OR(AO$279=123, AO$279=12, AO$279=13, AO$279=1), Cultivar_1_Cohort_Year_Selection=$AO$278), ROUND(MAX(0,AN$320 - 1),0),
IF(AND(OR(AO$279=123, AO$279=12, AO$279=23, AO$279=2), Cultivar_2_Cohort_Year_Selection=$AO$278), ROUND(MAX(0,AN$320 - 1),0),
IF(AND(OR(AO$279=123, AO$279=13, AO$279=23, AO$279=3), Cultivar_3_Cohort_Year_Selection=$AO$278), ROUND(MAX(0,AN$320 - 1),0),
ROUND(MAX(0,AN$320),0)))))))),""),""),"")</f>
        <v/>
      </c>
      <c r="AP335" s="497" t="str">
        <f>IF(ISNUMBER($B$321),
IF($C335&lt;&gt;"",
IF(AND(ISNUMBER(AO$280), ISNUMBER(AO$317)),
IF(AND(AP$279=123, Cultivar_1_Cohort_Year_Selection=$AP$278,Cultivar_2_Cohort_Year_Selection=$AP$278,Cultivar_3_Cohort_Year_Selection=$AP$278), ROUND(MAX(0,AO$320 - 3),0),
IF(AND(OR(AP$279=123, AP$279=12), Cultivar_1_Cohort_Year_Selection=$AP$278,Cultivar_2_Cohort_Year_Selection=$AP$278), ROUND(MAX(0,AO$320 - 2),0),
IF(AND(OR(AP$279=123, AP$279=13), Cultivar_1_Cohort_Year_Selection=$AP$278,Cultivar_3_Cohort_Year_Selection=$AP$278), ROUND(MAX(0,AO$320 - 2),0),
IF(AND(OR(AP$279=123, AP$279=23), Cultivar_2_Cohort_Year_Selection=$AP$278,Cultivar_3_Cohort_Year_Selection=$AP$278), ROUND(MAX(0,AO$320 - 2),0),
IF(AND(OR(AP$279=123, AP$279=12, AP$279=13, AP$279=1), Cultivar_1_Cohort_Year_Selection=$AP$278), ROUND(MAX(0,AO$320 - 1),0),
IF(AND(OR(AP$279=123, AP$279=12, AP$279=23, AP$279=2), Cultivar_2_Cohort_Year_Selection=$AP$278), ROUND(MAX(0,AO$320 - 1),0),
IF(AND(OR(AP$279=123, AP$279=13, AP$279=23, AP$279=3), Cultivar_3_Cohort_Year_Selection=$AP$278), ROUND(MAX(0,AO$320 - 1),0),
ROUND(MAX(0,AO$320),0)))))))),""),""),"")</f>
        <v/>
      </c>
      <c r="AQ335" s="497" t="str">
        <f>IF(ISNUMBER($B$321),
IF($C335&lt;&gt;"",
IF(AND(ISNUMBER(AP$280), ISNUMBER(AP$317)),
IF(AND(AQ$279=123, Cultivar_1_Cohort_Year_Selection=$AQ$278,Cultivar_2_Cohort_Year_Selection=$AQ$278,Cultivar_3_Cohort_Year_Selection=$AQ$278), ROUND(MAX(0,AP$320 - 3),0),
IF(AND(OR(AQ$279=123, AQ$279=12), Cultivar_1_Cohort_Year_Selection=$AQ$278,Cultivar_2_Cohort_Year_Selection=$AQ$278), ROUND(MAX(0,AP$320 - 2),0),
IF(AND(OR(AQ$279=123, AQ$279=13), Cultivar_1_Cohort_Year_Selection=$AQ$278,Cultivar_3_Cohort_Year_Selection=$AQ$278), ROUND(MAX(0,AP$320 - 2),0),
IF(AND(OR(AQ$279=123, AQ$279=23), Cultivar_2_Cohort_Year_Selection=$AQ$278,Cultivar_3_Cohort_Year_Selection=$AQ$278), ROUND(MAX(0,AP$320 - 2),0),
IF(AND(OR(AQ$279=123, AQ$279=12, AQ$279=13, AQ$279=1), Cultivar_1_Cohort_Year_Selection=$AQ$278), ROUND(MAX(0,AP$320 - 1),0),
IF(AND(OR(AQ$279=123, AQ$279=12, AQ$279=23, AQ$279=2), Cultivar_2_Cohort_Year_Selection=$AQ$278), ROUND(MAX(0,AP$320 - 1),0),
IF(AND(OR(AQ$279=123, AQ$279=13, AQ$279=23, AQ$279=3), Cultivar_3_Cohort_Year_Selection=$AQ$278), ROUND(MAX(0,AP$320 - 1),0),
ROUND(MAX(0,AP$320),0)))))))),""),""),"")</f>
        <v/>
      </c>
      <c r="AR335" s="497" t="str">
        <f>IF(ISNUMBER($B$321),
IF($C335&lt;&gt;"",
IF(AND(ISNUMBER(AQ$280), ISNUMBER(AQ$317)),
IF(AND(AR$279=123, Cultivar_1_Cohort_Year_Selection=$AR$278,Cultivar_2_Cohort_Year_Selection=$AR$278,Cultivar_3_Cohort_Year_Selection=$AR$278), ROUND(MAX(0,AQ$320 - 3),0),
IF(AND(OR(AR$279=123, AR$279=12), Cultivar_1_Cohort_Year_Selection=$AR$278,Cultivar_2_Cohort_Year_Selection=$AR$278), ROUND(MAX(0,AQ$320 - 2),0),
IF(AND(OR(AR$279=123, AR$279=13), Cultivar_1_Cohort_Year_Selection=$AR$278,Cultivar_3_Cohort_Year_Selection=$AR$278), ROUND(MAX(0,AQ$320 - 2),0),
IF(AND(OR(AR$279=123, AR$279=23), Cultivar_2_Cohort_Year_Selection=$AR$278,Cultivar_3_Cohort_Year_Selection=$AR$278), ROUND(MAX(0,AQ$320 - 2),0),
IF(AND(OR(AR$279=123, AR$279=12, AR$279=13, AR$279=1), Cultivar_1_Cohort_Year_Selection=$AR$278), ROUND(MAX(0,AQ$320 - 1),0),
IF(AND(OR(AR$279=123, AR$279=12, AR$279=23, AR$279=2), Cultivar_2_Cohort_Year_Selection=$AR$278), ROUND(MAX(0,AQ$320 - 1),0),
IF(AND(OR(AR$279=123, AR$279=13, AR$279=23, AR$279=3), Cultivar_3_Cohort_Year_Selection=$AR$278), ROUND(MAX(0,AQ$320 - 1),0),
ROUND(MAX(0,AQ$320),0)))))))),""),""),"")</f>
        <v/>
      </c>
    </row>
    <row r="336" spans="1:44" x14ac:dyDescent="0.25">
      <c r="A336" s="518"/>
      <c r="B336" s="504"/>
      <c r="C336" s="376" t="str">
        <f>IF(AND(ISNUMBER(B316), OR('Cost Inputs'!$H$85&lt;&gt;"", 'Cost Inputs'!$I$85&lt;&gt;"", 'Cost Inputs'!$J$85&lt;&gt;"")), _3_5_1, "")</f>
        <v/>
      </c>
      <c r="D336" s="17" t="str">
        <f>IF(AND(C335&lt;&gt;"", 'Cost Inputs'!$G$119&lt;&gt;""), 'Cost Inputs'!$G$119, "")</f>
        <v/>
      </c>
      <c r="E336" s="17" t="str">
        <f>IF(AND(C335&lt;&gt;"", 'Cost Inputs'!$H$119&lt;&gt;""), 'Cost Inputs'!$H$119, "")</f>
        <v/>
      </c>
      <c r="F336" s="493"/>
      <c r="G336" s="105" t="str">
        <f t="shared" si="16"/>
        <v/>
      </c>
      <c r="H336" s="493"/>
      <c r="I336" s="105" t="str">
        <f>IF($C335&lt;&gt;"", IF(AND($E336&lt;&gt;"", H335&lt;&gt;""), H335/($E335*$E336), 0), "")</f>
        <v/>
      </c>
      <c r="J336" s="493" t="str">
        <f>IF(AND(C336&lt;&gt;"",('Cost Inputs'!$I$86+'Cost Inputs'!$J$86+'Cost Inputs'!$K$86)&gt;0), 'Cost Inputs'!$I$86+'Cost Inputs'!$J$86+'Cost Inputs'!$K$86, "")</f>
        <v/>
      </c>
      <c r="K336" s="105" t="str">
        <f>IF($C335&lt;&gt;"", IF(AND($E336&lt;&gt;"", J335&lt;&gt;""), J335/($E335*$E336), 0), "")</f>
        <v/>
      </c>
      <c r="L336" s="525"/>
      <c r="M336" s="525"/>
      <c r="P336" s="497" t="str">
        <f>IF(ISNUMBER($B$280),
IF($C336&lt;&gt;"",
IF(AND(ISNUMBER(O$280), ISNUMBER(O$317)),
IF(AND(P$279=123, Cultivar_1_Cohort_Year_Selection=$P$278,Cultivar_2_Cohort_Year_Selection=$P$278,Cultivar_3_Cohort_Year_Selection=$P$278), ROUND(MAX(0,O$280-O$317 - 3),0),
IF(AND(OR(P$279=123, P$279=12), Cultivar_1_Cohort_Year_Selection=$P$278,Cultivar_2_Cohort_Year_Selection=$P$278), ROUND(MAX(0,O$280-O$317 - 2),0),
IF(AND(OR(P$279=123, P$279=13), Cultivar_1_Cohort_Year_Selection=$P$278,Cultivar_3_Cohort_Year_Selection=$P$278), ROUND(MAX(0,O$280-O$317 - 2),0),
IF(AND(OR(P$279=123, P$279=23), Cultivar_2_Cohort_Year_Selection=$P$278,Cultivar_3_Cohort_Year_Selection=$P$278), ROUND(MAX(0,O$280-O$317 - 2),0),
IF(AND(OR(P$279=123, P$279=12, P$279=13, P$279=1), Cultivar_1_Cohort_Year_Selection=$P$278), ROUND(MAX(0,O$280-O$317 - 1),0),
IF(AND(OR(P$279=123, P$279=12, P$279=23, P$279=2), Cultivar_2_Cohort_Year_Selection=$P$278), ROUND(MAX(0,O$280-O$317 - 1),0),
IF(AND(OR(P$279=123, P$279=13, P$279=23, P$279=3), Cultivar_3_Cohort_Year_Selection=$P$278), ROUND(MAX(0,O$280-O$317 - 1),0),
ROUND(MAX(0,O$280-O$317),0)))))))),""),""),"")</f>
        <v/>
      </c>
      <c r="Q336" s="497" t="str">
        <f>IF(ISNUMBER($B$280),
IF($C336&lt;&gt;"",
IF(AND(ISNUMBER(P$280), ISNUMBER(P$317)),
IF(AND(Q$279=123, Cultivar_1_Cohort_Year_Selection=$Q$278,Cultivar_2_Cohort_Year_Selection=$Q$278,Cultivar_3_Cohort_Year_Selection=$Q$278), ROUND(MAX(0,P$280-P$317 - 3),0),
IF(AND(OR(Q$279=123, Q$279=12), Cultivar_1_Cohort_Year_Selection=$Q$278,Cultivar_2_Cohort_Year_Selection=$Q$278), ROUND(MAX(0,P$280-P$317 - 2),0),
IF(AND(OR(Q$279=123, Q$279=13), Cultivar_1_Cohort_Year_Selection=$Q$278,Cultivar_3_Cohort_Year_Selection=$Q$278), ROUND(MAX(0,P$280-P$317 - 2),0),
IF(AND(OR(Q$279=123, Q$279=23), Cultivar_2_Cohort_Year_Selection=$Q$278,Cultivar_3_Cohort_Year_Selection=$Q$278), ROUND(MAX(0,P$280-P$317 - 2),0),
IF(AND(OR(Q$279=123, Q$279=12, Q$279=13, Q$279=1), Cultivar_1_Cohort_Year_Selection=$Q$278), ROUND(MAX(0,P$280-P$317 - 1),0),
IF(AND(OR(Q$279=123, Q$279=12, Q$279=23, Q$279=2), Cultivar_2_Cohort_Year_Selection=$Q$278), ROUND(MAX(0,P$280-P$317 - 1),0),
IF(AND(OR(Q$279=123, Q$279=13, Q$279=23, Q$279=3), Cultivar_3_Cohort_Year_Selection=$Q$278), ROUND(MAX(0,P$280-P$317 - 1),0),
ROUND(MAX(0,P$280-P$317),0)))))))),""),""),"")</f>
        <v/>
      </c>
      <c r="R336" s="497" t="str">
        <f>IF(ISNUMBER($B$280),
IF($C336&lt;&gt;"",
IF(AND(ISNUMBER(Q$280), ISNUMBER(Q$317)),
IF(AND(R$279=123, Cultivar_1_Cohort_Year_Selection=$R$278,Cultivar_2_Cohort_Year_Selection=$R$278,Cultivar_3_Cohort_Year_Selection=$R$278), ROUND(MAX(0,Q$280-Q$317 - 3),0),
IF(AND(OR(R$279=123, R$279=12), Cultivar_1_Cohort_Year_Selection=$R$278,Cultivar_2_Cohort_Year_Selection=$R$278), ROUND(MAX(0,Q$280-Q$317 - 2),0),
IF(AND(OR(R$279=123, R$279=13), Cultivar_1_Cohort_Year_Selection=$R$278,Cultivar_3_Cohort_Year_Selection=$R$278), ROUND(MAX(0,Q$280-Q$317 - 2),0),
IF(AND(OR(R$279=123, R$279=23), Cultivar_2_Cohort_Year_Selection=$R$278,Cultivar_3_Cohort_Year_Selection=$R$278), ROUND(MAX(0,Q$280-Q$317 - 2),0),
IF(AND(OR(R$279=123, R$279=12, R$279=13, R$279=1), Cultivar_1_Cohort_Year_Selection=$R$278), ROUND(MAX(0,Q$280-Q$317 - 1),0),
IF(AND(OR(R$279=123, R$279=12, R$279=23, R$279=2), Cultivar_2_Cohort_Year_Selection=$R$278), ROUND(MAX(0,Q$280-Q$317 - 1),0),
IF(AND(OR(R$279=123, R$279=13, R$279=23, R$279=3), Cultivar_3_Cohort_Year_Selection=$R$278), ROUND(MAX(0,Q$280-Q$317 - 1),0),
ROUND(MAX(0,Q$280-Q$317),0)))))))),""),""),"")</f>
        <v/>
      </c>
      <c r="S336" s="497" t="str">
        <f>IF(ISNUMBER($B$280),
IF($C336&lt;&gt;"",
IF(AND(ISNUMBER(R$280), ISNUMBER(R$317)),
IF(AND(S$279=123, Cultivar_1_Cohort_Year_Selection=$S$278,Cultivar_2_Cohort_Year_Selection=$S$278,Cultivar_3_Cohort_Year_Selection=$S$278), ROUND(MAX(0,R$280-R$317 - 3),0),
IF(AND(OR(S$279=123, S$279=12), Cultivar_1_Cohort_Year_Selection=$S$278,Cultivar_2_Cohort_Year_Selection=$S$278), ROUND(MAX(0,R$280-R$317 - 2),0),
IF(AND(OR(S$279=123, S$279=13), Cultivar_1_Cohort_Year_Selection=$S$278,Cultivar_3_Cohort_Year_Selection=$S$278), ROUND(MAX(0,R$280-R$317 - 2),0),
IF(AND(OR(S$279=123, S$279=23), Cultivar_2_Cohort_Year_Selection=$S$278,Cultivar_3_Cohort_Year_Selection=$S$278), ROUND(MAX(0,R$280-R$317 - 2),0),
IF(AND(OR(S$279=123, S$279=12, S$279=13, S$279=1), Cultivar_1_Cohort_Year_Selection=$S$278), ROUND(MAX(0,R$280-R$317 - 1),0),
IF(AND(OR(S$279=123, S$279=12, S$279=23, S$279=2), Cultivar_2_Cohort_Year_Selection=$S$278), ROUND(MAX(0,R$280-R$317 - 1),0),
IF(AND(OR(S$279=123, S$279=13, S$279=23, S$279=3), Cultivar_3_Cohort_Year_Selection=$S$278), ROUND(MAX(0,R$280-R$317 - 1),0),
ROUND(MAX(0,R$280-R$317),0)))))))),""),""),"")</f>
        <v/>
      </c>
      <c r="T336" s="497" t="str">
        <f>IF(ISNUMBER($B$280),
IF($C336&lt;&gt;"",
IF(AND(ISNUMBER(S$280), ISNUMBER(S$317)),
IF(AND(T$279=123, Cultivar_1_Cohort_Year_Selection=$T$278,Cultivar_2_Cohort_Year_Selection=$T$278,Cultivar_3_Cohort_Year_Selection=$T$278), ROUND(MAX(0,S$280-S$317 - 3),0),
IF(AND(OR(T$279=123, T$279=12), Cultivar_1_Cohort_Year_Selection=$T$278,Cultivar_2_Cohort_Year_Selection=$T$278), ROUND(MAX(0,S$280-S$317 - 2),0),
IF(AND(OR(T$279=123, T$279=13), Cultivar_1_Cohort_Year_Selection=$T$278,Cultivar_3_Cohort_Year_Selection=$T$278), ROUND(MAX(0,S$280-S$317 - 2),0),
IF(AND(OR(T$279=123, T$279=23), Cultivar_2_Cohort_Year_Selection=$T$278,Cultivar_3_Cohort_Year_Selection=$T$278), ROUND(MAX(0,S$280-S$317 - 2),0),
IF(AND(OR(T$279=123, T$279=12, T$279=13, T$279=1), Cultivar_1_Cohort_Year_Selection=$T$278), ROUND(MAX(0,S$280-S$317 - 1),0),
IF(AND(OR(T$279=123, T$279=12, T$279=23, T$279=2), Cultivar_2_Cohort_Year_Selection=$T$278), ROUND(MAX(0,S$280-S$317 - 1),0),
IF(AND(OR(T$279=123, T$279=13, T$279=23, T$279=3), Cultivar_3_Cohort_Year_Selection=$T$278), ROUND(MAX(0,S$280-S$317 - 1),0),
ROUND(MAX(0,S$280-S$317),0)))))))),""),""),"")</f>
        <v/>
      </c>
      <c r="U336" s="497" t="str">
        <f>IF(ISNUMBER($B$280),
IF($C336&lt;&gt;"",
IF(AND(ISNUMBER(T$280), ISNUMBER(T$317)),
IF(AND(U$279=123, Cultivar_1_Cohort_Year_Selection=$U$278,Cultivar_2_Cohort_Year_Selection=$U$278,Cultivar_3_Cohort_Year_Selection=$U$278), ROUND(MAX(0,T$280-T$317 - 3),0),
IF(AND(OR(U$279=123, U$279=12), Cultivar_1_Cohort_Year_Selection=$U$278,Cultivar_2_Cohort_Year_Selection=$U$278), ROUND(MAX(0,T$280-T$317 - 2),0),
IF(AND(OR(U$279=123, U$279=13), Cultivar_1_Cohort_Year_Selection=$U$278,Cultivar_3_Cohort_Year_Selection=$U$278), ROUND(MAX(0,T$280-T$317 - 2),0),
IF(AND(OR(U$279=123, U$279=23), Cultivar_2_Cohort_Year_Selection=$U$278,Cultivar_3_Cohort_Year_Selection=$U$278), ROUND(MAX(0,T$280-T$317 - 2),0),
IF(AND(OR(U$279=123, U$279=12, U$279=13, U$279=1), Cultivar_1_Cohort_Year_Selection=$U$278), ROUND(MAX(0,T$280-T$317 - 1),0),
IF(AND(OR(U$279=123, U$279=12, U$279=23, U$279=2), Cultivar_2_Cohort_Year_Selection=$U$278), ROUND(MAX(0,T$280-T$317 - 1),0),
IF(AND(OR(U$279=123, U$279=13, U$279=23, U$279=3), Cultivar_3_Cohort_Year_Selection=$U$278), ROUND(MAX(0,T$280-T$317 - 1),0),
ROUND(MAX(0,T$280-T$317),0)))))))),""),""),"")</f>
        <v/>
      </c>
      <c r="V336" s="497" t="str">
        <f>IF(ISNUMBER($B$280),
IF($C336&lt;&gt;"",
IF(AND(ISNUMBER(U$280), ISNUMBER(U$317)),
IF(AND(V$279=123, Cultivar_1_Cohort_Year_Selection=$V$278,Cultivar_2_Cohort_Year_Selection=$V$278,Cultivar_3_Cohort_Year_Selection=$V$278), ROUND(MAX(0,U$280-U$317 - 3),0),
IF(AND(OR(V$279=123, V$279=12), Cultivar_1_Cohort_Year_Selection=$V$278,Cultivar_2_Cohort_Year_Selection=$V$278), ROUND(MAX(0,U$280-U$317 - 2),0),
IF(AND(OR(V$279=123, V$279=13), Cultivar_1_Cohort_Year_Selection=$V$278,Cultivar_3_Cohort_Year_Selection=$V$278), ROUND(MAX(0,U$280-U$317 - 2),0),
IF(AND(OR(V$279=123, V$279=23), Cultivar_2_Cohort_Year_Selection=$V$278,Cultivar_3_Cohort_Year_Selection=$V$278), ROUND(MAX(0,U$280-U$317 - 2),0),
IF(AND(OR(V$279=123, V$279=12, V$279=13, V$279=1), Cultivar_1_Cohort_Year_Selection=$V$278), ROUND(MAX(0,U$280-U$317 - 1),0),
IF(AND(OR(V$279=123, V$279=12, V$279=23, V$279=2), Cultivar_2_Cohort_Year_Selection=$V$278), ROUND(MAX(0,U$280-U$317 - 1),0),
IF(AND(OR(V$279=123, V$279=13, V$279=23, V$279=3), Cultivar_3_Cohort_Year_Selection=$V$278), ROUND(MAX(0,U$280-U$317 - 1),0),
ROUND(MAX(0,U$280-U$317),0)))))))),""),""),"")</f>
        <v/>
      </c>
      <c r="W336" s="497" t="str">
        <f>IF(ISNUMBER($B$280),
IF($C336&lt;&gt;"",
IF(AND(ISNUMBER(V$280), ISNUMBER(V$317)),
IF(AND(W$279=123, Cultivar_1_Cohort_Year_Selection=$W$278,Cultivar_2_Cohort_Year_Selection=$W$278,Cultivar_3_Cohort_Year_Selection=$W$278), ROUND(MAX(0,V$280-V$317 - 3),0),
IF(AND(OR(W$279=123, W$279=12), Cultivar_1_Cohort_Year_Selection=$W$278,Cultivar_2_Cohort_Year_Selection=$W$278), ROUND(MAX(0,V$280-V$317 - 2),0),
IF(AND(OR(W$279=123, W$279=13), Cultivar_1_Cohort_Year_Selection=$W$278,Cultivar_3_Cohort_Year_Selection=$W$278), ROUND(MAX(0,V$280-V$317 - 2),0),
IF(AND(OR(W$279=123, W$279=23), Cultivar_2_Cohort_Year_Selection=$W$278,Cultivar_3_Cohort_Year_Selection=$W$278), ROUND(MAX(0,V$280-V$317 - 2),0),
IF(AND(OR(W$279=123, W$279=12, W$279=13, W$279=1), Cultivar_1_Cohort_Year_Selection=$W$278), ROUND(MAX(0,V$280-V$317 - 1),0),
IF(AND(OR(W$279=123, W$279=12, W$279=23, W$279=2), Cultivar_2_Cohort_Year_Selection=$W$278), ROUND(MAX(0,V$280-V$317 - 1),0),
IF(AND(OR(W$279=123, W$279=13, W$279=23, W$279=3), Cultivar_3_Cohort_Year_Selection=$W$278), ROUND(MAX(0,V$280-V$317 - 1),0),
ROUND(MAX(0,V$280-V$317),0)))))))),""),""),"")</f>
        <v/>
      </c>
      <c r="X336" s="497" t="str">
        <f>IF(ISNUMBER($B$280),
IF($C336&lt;&gt;"",
IF(AND(ISNUMBER(W$280), ISNUMBER(W$317)),
IF(AND(X$279=123, Cultivar_1_Cohort_Year_Selection=$X$278,Cultivar_2_Cohort_Year_Selection=$X$278,Cultivar_3_Cohort_Year_Selection=$X$278), ROUND(MAX(0,W$280-W$317 - 3),0),
IF(AND(OR(X$279=123, X$279=12), Cultivar_1_Cohort_Year_Selection=$X$278,Cultivar_2_Cohort_Year_Selection=$X$278), ROUND(MAX(0,W$280-W$317 - 2),0),
IF(AND(OR(X$279=123, X$279=13), Cultivar_1_Cohort_Year_Selection=$X$278,Cultivar_3_Cohort_Year_Selection=$X$278), ROUND(MAX(0,W$280-W$317 - 2),0),
IF(AND(OR(X$279=123, X$279=23), Cultivar_2_Cohort_Year_Selection=$X$278,Cultivar_3_Cohort_Year_Selection=$X$278), ROUND(MAX(0,W$280-W$317 - 2),0),
IF(AND(OR(X$279=123, X$279=12, X$279=13, X$279=1), Cultivar_1_Cohort_Year_Selection=$X$278), ROUND(MAX(0,W$280-W$317 - 1),0),
IF(AND(OR(X$279=123, X$279=12, X$279=23, X$279=2), Cultivar_2_Cohort_Year_Selection=$X$278), ROUND(MAX(0,W$280-W$317 - 1),0),
IF(AND(OR(X$279=123, X$279=13, X$279=23, X$279=3), Cultivar_3_Cohort_Year_Selection=$X$278), ROUND(MAX(0,W$280-W$317 - 1),0),
ROUND(MAX(0,W$280-W$317),0)))))))),""),""),"")</f>
        <v/>
      </c>
      <c r="Y336" s="497" t="str">
        <f>IF(ISNUMBER($B$280),
IF($C336&lt;&gt;"",
IF(AND(ISNUMBER(X$280), ISNUMBER(X$317)),
IF(AND(Y$279=123, Cultivar_1_Cohort_Year_Selection=$Y$278,Cultivar_2_Cohort_Year_Selection=$Y$278,Cultivar_3_Cohort_Year_Selection=$Y$278), ROUND(MAX(0,X$280-X$317 - 3),0),
IF(AND(OR(Y$279=123, Y$279=12), Cultivar_1_Cohort_Year_Selection=$Y$278,Cultivar_2_Cohort_Year_Selection=$Y$278), ROUND(MAX(0,X$280-X$317 - 2),0),
IF(AND(OR(Y$279=123, Y$279=13), Cultivar_1_Cohort_Year_Selection=$Y$278,Cultivar_3_Cohort_Year_Selection=$Y$278), ROUND(MAX(0,X$280-X$317 - 2),0),
IF(AND(OR(Y$279=123, Y$279=23), Cultivar_2_Cohort_Year_Selection=$Y$278,Cultivar_3_Cohort_Year_Selection=$Y$278), ROUND(MAX(0,X$280-X$317 - 2),0),
IF(AND(OR(Y$279=123, Y$279=12, Y$279=13, Y$279=1), Cultivar_1_Cohort_Year_Selection=$Y$278), ROUND(MAX(0,X$280-X$317 - 1),0),
IF(AND(OR(Y$279=123, Y$279=12, Y$279=23, Y$279=2), Cultivar_2_Cohort_Year_Selection=$Y$278), ROUND(MAX(0,X$280-X$317 - 1),0),
IF(AND(OR(Y$279=123, Y$279=13, Y$279=23, Y$279=3), Cultivar_3_Cohort_Year_Selection=$Y$278), ROUND(MAX(0,X$280-X$317 - 1),0),
ROUND(MAX(0,X$280-X$317),0)))))))),""),""),"")</f>
        <v/>
      </c>
      <c r="Z336" s="497" t="str">
        <f>IF(ISNUMBER($B$280),
IF($C336&lt;&gt;"",
IF(AND(ISNUMBER(Y$280), ISNUMBER(Y$317)),
IF(AND(Z$279=123, Cultivar_1_Cohort_Year_Selection=$Z$278,Cultivar_2_Cohort_Year_Selection=$Z$278,Cultivar_3_Cohort_Year_Selection=$Z$278), ROUND(MAX(0,Y$280-Y$317 - 3),0),
IF(AND(OR(Z$279=123, Z$279=12), Cultivar_1_Cohort_Year_Selection=$Z$278,Cultivar_2_Cohort_Year_Selection=$Z$278), ROUND(MAX(0,Y$280-Y$317 - 2),0),
IF(AND(OR(Z$279=123, Z$279=13), Cultivar_1_Cohort_Year_Selection=$Z$278,Cultivar_3_Cohort_Year_Selection=$Z$278), ROUND(MAX(0,Y$280-Y$317 - 2),0),
IF(AND(OR(Z$279=123, Z$279=23), Cultivar_2_Cohort_Year_Selection=$Z$278,Cultivar_3_Cohort_Year_Selection=$Z$278), ROUND(MAX(0,Y$280-Y$317 - 2),0),
IF(AND(OR(Z$279=123, Z$279=12, Z$279=13, Z$279=1), Cultivar_1_Cohort_Year_Selection=$Z$278), ROUND(MAX(0,Y$280-Y$317 - 1),0),
IF(AND(OR(Z$279=123, Z$279=12, Z$279=23, Z$279=2), Cultivar_2_Cohort_Year_Selection=$Z$278), ROUND(MAX(0,Y$280-Y$317 - 1),0),
IF(AND(OR(Z$279=123, Z$279=13, Z$279=23, Z$279=3), Cultivar_3_Cohort_Year_Selection=$Z$278), ROUND(MAX(0,Y$280-Y$317 - 1),0),
ROUND(MAX(0,Y$280-Y$317),0)))))))),""),""),"")</f>
        <v/>
      </c>
      <c r="AA336" s="497" t="str">
        <f>IF(ISNUMBER($B$280),
IF($C336&lt;&gt;"",
IF(AND(ISNUMBER(Z$280), ISNUMBER(Z$317)),
IF(AND(AA$279=123, Cultivar_1_Cohort_Year_Selection=$AA$278,Cultivar_2_Cohort_Year_Selection=$AA$278,Cultivar_3_Cohort_Year_Selection=$AA$278), ROUND(MAX(0,Z$280-Z$317 - 3),0),
IF(AND(OR(AA$279=123, AA$279=12), Cultivar_1_Cohort_Year_Selection=$AA$278,Cultivar_2_Cohort_Year_Selection=$AA$278), ROUND(MAX(0,Z$280-Z$317 - 2),0),
IF(AND(OR(AA$279=123, AA$279=13), Cultivar_1_Cohort_Year_Selection=$AA$278,Cultivar_3_Cohort_Year_Selection=$AA$278), ROUND(MAX(0,Z$280-Z$317 - 2),0),
IF(AND(OR(AA$279=123, AA$279=23), Cultivar_2_Cohort_Year_Selection=$AA$278,Cultivar_3_Cohort_Year_Selection=$AA$278), ROUND(MAX(0,Z$280-Z$317 - 2),0),
IF(AND(OR(AA$279=123, AA$279=12, AA$279=13, AA$279=1), Cultivar_1_Cohort_Year_Selection=$AA$278), ROUND(MAX(0,Z$280-Z$317 - 1),0),
IF(AND(OR(AA$279=123, AA$279=12, AA$279=23, AA$279=2), Cultivar_2_Cohort_Year_Selection=$AA$278), ROUND(MAX(0,Z$280-Z$317 - 1),0),
IF(AND(OR(AA$279=123, AA$279=13, AA$279=23, AA$279=3), Cultivar_3_Cohort_Year_Selection=$AA$278), ROUND(MAX(0,Z$280-Z$317 - 1),0),
ROUND(MAX(0,Z$280-Z$317),0)))))))),""),""),"")</f>
        <v/>
      </c>
      <c r="AB336" s="497" t="str">
        <f>IF(ISNUMBER($B$280),
IF($C336&lt;&gt;"",
IF(AND(ISNUMBER(AA$280), ISNUMBER(AA$317)),
IF(AND(AB$279=123, Cultivar_1_Cohort_Year_Selection=$AB$278,Cultivar_2_Cohort_Year_Selection=$AB$278,Cultivar_3_Cohort_Year_Selection=$AB$278), ROUND(MAX(0,AA$280-AA$317 - 3),0),
IF(AND(OR(AB$279=123, AB$279=12), Cultivar_1_Cohort_Year_Selection=$AB$278,Cultivar_2_Cohort_Year_Selection=$AB$278), ROUND(MAX(0,AA$280-AA$317 - 2),0),
IF(AND(OR(AB$279=123, AB$279=13), Cultivar_1_Cohort_Year_Selection=$AB$278,Cultivar_3_Cohort_Year_Selection=$AB$278), ROUND(MAX(0,AA$280-AA$317 - 2),0),
IF(AND(OR(AB$279=123, AB$279=23), Cultivar_2_Cohort_Year_Selection=$AB$278,Cultivar_3_Cohort_Year_Selection=$AB$278), ROUND(MAX(0,AA$280-AA$317 - 2),0),
IF(AND(OR(AB$279=123, AB$279=12, AB$279=13, AB$279=1), Cultivar_1_Cohort_Year_Selection=$AB$278), ROUND(MAX(0,AA$280-AA$317 - 1),0),
IF(AND(OR(AB$279=123, AB$279=12, AB$279=23, AB$279=2), Cultivar_2_Cohort_Year_Selection=$AB$278), ROUND(MAX(0,AA$280-AA$317 - 1),0),
IF(AND(OR(AB$279=123, AB$279=13, AB$279=23, AB$279=3), Cultivar_3_Cohort_Year_Selection=$AB$278), ROUND(MAX(0,AA$280-AA$317 - 1),0),
ROUND(MAX(0,AA$280-AA$317),0)))))))),""),""),"")</f>
        <v/>
      </c>
      <c r="AC336" s="497" t="str">
        <f>IF(ISNUMBER($B$280),
IF($C336&lt;&gt;"",
IF(AND(ISNUMBER(AB$280), ISNUMBER(AB$317)),
IF(AND(AC$279=123, Cultivar_1_Cohort_Year_Selection=$AC$278,Cultivar_2_Cohort_Year_Selection=$AC$278,Cultivar_3_Cohort_Year_Selection=$AC$278), ROUND(MAX(0,AB$280-AB$317 - 3),0),
IF(AND(OR(AC$279=123, AC$279=12), Cultivar_1_Cohort_Year_Selection=$AC$278,Cultivar_2_Cohort_Year_Selection=$AC$278), ROUND(MAX(0,AB$280-AB$317 - 2),0),
IF(AND(OR(AC$279=123, AC$279=13), Cultivar_1_Cohort_Year_Selection=$AC$278,Cultivar_3_Cohort_Year_Selection=$AC$278), ROUND(MAX(0,AB$280-AB$317 - 2),0),
IF(AND(OR(AC$279=123, AC$279=23), Cultivar_2_Cohort_Year_Selection=$AC$278,Cultivar_3_Cohort_Year_Selection=$AC$278), ROUND(MAX(0,AB$280-AB$317 - 2),0),
IF(AND(OR(AC$279=123, AC$279=12, AC$279=13, AC$279=1), Cultivar_1_Cohort_Year_Selection=$AC$278), ROUND(MAX(0,AB$280-AB$317 - 1),0),
IF(AND(OR(AC$279=123, AC$279=12, AC$279=23, AC$279=2), Cultivar_2_Cohort_Year_Selection=$AC$278), ROUND(MAX(0,AB$280-AB$317 - 1),0),
IF(AND(OR(AC$279=123, AC$279=13, AC$279=23, AC$279=3), Cultivar_3_Cohort_Year_Selection=$AC$278), ROUND(MAX(0,AB$280-AB$317 - 1),0),
ROUND(MAX(0,AB$280-AB$317),0)))))))),""),""),"")</f>
        <v/>
      </c>
      <c r="AD336" s="497" t="str">
        <f>IF(ISNUMBER($B$280),
IF($C336&lt;&gt;"",
IF(AND(ISNUMBER(AC$280), ISNUMBER(AC$317)),
IF(AND(AD$279=123, Cultivar_1_Cohort_Year_Selection=$AD$278,Cultivar_2_Cohort_Year_Selection=$AD$278,Cultivar_3_Cohort_Year_Selection=$AD$278), ROUND(MAX(0,AC$280-AC$317 - 3),0),
IF(AND(OR(AD$279=123, AD$279=12), Cultivar_1_Cohort_Year_Selection=$AD$278,Cultivar_2_Cohort_Year_Selection=$AD$278), ROUND(MAX(0,AC$280-AC$317 - 2),0),
IF(AND(OR(AD$279=123, AD$279=13), Cultivar_1_Cohort_Year_Selection=$AD$278,Cultivar_3_Cohort_Year_Selection=$AD$278), ROUND(MAX(0,AC$280-AC$317 - 2),0),
IF(AND(OR(AD$279=123, AD$279=23), Cultivar_2_Cohort_Year_Selection=$AD$278,Cultivar_3_Cohort_Year_Selection=$AD$278), ROUND(MAX(0,AC$280-AC$317 - 2),0),
IF(AND(OR(AD$279=123, AD$279=12, AD$279=13, AD$279=1), Cultivar_1_Cohort_Year_Selection=$AD$278), ROUND(MAX(0,AC$280-AC$317 - 1),0),
IF(AND(OR(AD$279=123, AD$279=12, AD$279=23, AD$279=2), Cultivar_2_Cohort_Year_Selection=$AD$278), ROUND(MAX(0,AC$280-AC$317 - 1),0),
IF(AND(OR(AD$279=123, AD$279=13, AD$279=23, AD$279=3), Cultivar_3_Cohort_Year_Selection=$AD$278), ROUND(MAX(0,AC$280-AC$317 - 1),0),
ROUND(MAX(0,AC$280-AC$317),0)))))))),""),""),"")</f>
        <v/>
      </c>
      <c r="AE336" s="497" t="str">
        <f>IF(ISNUMBER($B$280),
IF($C336&lt;&gt;"",
IF(AND(ISNUMBER(AD$280), ISNUMBER(AD$317)),
IF(AND(AE$279=123, Cultivar_1_Cohort_Year_Selection=$AE$278,Cultivar_2_Cohort_Year_Selection=$AE$278,Cultivar_3_Cohort_Year_Selection=$AE$278), ROUND(MAX(0,AD$280-AD$317 - 3),0),
IF(AND(OR(AE$279=123, AE$279=12), Cultivar_1_Cohort_Year_Selection=$AE$278,Cultivar_2_Cohort_Year_Selection=$AE$278), ROUND(MAX(0,AD$280-AD$317 - 2),0),
IF(AND(OR(AE$279=123, AE$279=13), Cultivar_1_Cohort_Year_Selection=$AE$278,Cultivar_3_Cohort_Year_Selection=$AE$278), ROUND(MAX(0,AD$280-AD$317 - 2),0),
IF(AND(OR(AE$279=123, AE$279=23), Cultivar_2_Cohort_Year_Selection=$AE$278,Cultivar_3_Cohort_Year_Selection=$AE$278), ROUND(MAX(0,AD$280-AD$317 - 2),0),
IF(AND(OR(AE$279=123, AE$279=12, AE$279=13, AE$279=1), Cultivar_1_Cohort_Year_Selection=$AE$278), ROUND(MAX(0,AD$280-AD$317 - 1),0),
IF(AND(OR(AE$279=123, AE$279=12, AE$279=23, AE$279=2), Cultivar_2_Cohort_Year_Selection=$AE$278), ROUND(MAX(0,AD$280-AD$317 - 1),0),
IF(AND(OR(AE$279=123, AE$279=13, AE$279=23, AE$279=3), Cultivar_3_Cohort_Year_Selection=$AE$278), ROUND(MAX(0,AD$280-AD$317 - 1),0),
ROUND(MAX(0,AD$280-AD$317),0)))))))),""),""),"")</f>
        <v/>
      </c>
      <c r="AF336" s="497" t="str">
        <f>IF(ISNUMBER($B$280),
IF($C336&lt;&gt;"",
IF(AND(ISNUMBER(AE$280), ISNUMBER(AE$317)),
IF(AND(AF$279=123, Cultivar_1_Cohort_Year_Selection=$AF$278,Cultivar_2_Cohort_Year_Selection=$AF$278,Cultivar_3_Cohort_Year_Selection=$AF$278), ROUND(MAX(0,AE$280-AE$317 - 3),0),
IF(AND(OR(AF$279=123, AF$279=12), Cultivar_1_Cohort_Year_Selection=$AF$278,Cultivar_2_Cohort_Year_Selection=$AF$278), ROUND(MAX(0,AE$280-AE$317 - 2),0),
IF(AND(OR(AF$279=123, AF$279=13), Cultivar_1_Cohort_Year_Selection=$AF$278,Cultivar_3_Cohort_Year_Selection=$AF$278), ROUND(MAX(0,AE$280-AE$317 - 2),0),
IF(AND(OR(AF$279=123, AF$279=23), Cultivar_2_Cohort_Year_Selection=$AF$278,Cultivar_3_Cohort_Year_Selection=$AF$278), ROUND(MAX(0,AE$280-AE$317 - 2),0),
IF(AND(OR(AF$279=123, AF$279=12, AF$279=13, AF$279=1), Cultivar_1_Cohort_Year_Selection=$AF$278), ROUND(MAX(0,AE$280-AE$317 - 1),0),
IF(AND(OR(AF$279=123, AF$279=12, AF$279=23, AF$279=2), Cultivar_2_Cohort_Year_Selection=$AF$278), ROUND(MAX(0,AE$280-AE$317 - 1),0),
IF(AND(OR(AF$279=123, AF$279=13, AF$279=23, AF$279=3), Cultivar_3_Cohort_Year_Selection=$AF$278), ROUND(MAX(0,AE$280-AE$317 - 1),0),
ROUND(MAX(0,AE$280-AE$317),0)))))))),""),""),"")</f>
        <v/>
      </c>
      <c r="AG336" s="497" t="str">
        <f>IF(ISNUMBER($B$280),
IF($C336&lt;&gt;"",
IF(AND(ISNUMBER(AF$280), ISNUMBER(AF$317)),
IF(AND(AG$279=123, Cultivar_1_Cohort_Year_Selection=$AG$278,Cultivar_2_Cohort_Year_Selection=$AG$278,Cultivar_3_Cohort_Year_Selection=$AG$278), ROUND(MAX(0,AF$280-AF$317 - 3),0),
IF(AND(OR(AG$279=123, AG$279=12), Cultivar_1_Cohort_Year_Selection=$AG$278,Cultivar_2_Cohort_Year_Selection=$AG$278), ROUND(MAX(0,AF$280-AF$317 - 2),0),
IF(AND(OR(AG$279=123, AG$279=13), Cultivar_1_Cohort_Year_Selection=$AG$278,Cultivar_3_Cohort_Year_Selection=$AG$278), ROUND(MAX(0,AF$280-AF$317 - 2),0),
IF(AND(OR(AG$279=123, AG$279=23), Cultivar_2_Cohort_Year_Selection=$AG$278,Cultivar_3_Cohort_Year_Selection=$AG$278), ROUND(MAX(0,AF$280-AF$317 - 2),0),
IF(AND(OR(AG$279=123, AG$279=12, AG$279=13, AG$279=1), Cultivar_1_Cohort_Year_Selection=$AG$278), ROUND(MAX(0,AF$280-AF$317 - 1),0),
IF(AND(OR(AG$279=123, AG$279=12, AG$279=23, AG$279=2), Cultivar_2_Cohort_Year_Selection=$AG$278), ROUND(MAX(0,AF$280-AF$317 - 1),0),
IF(AND(OR(AG$279=123, AG$279=13, AG$279=23, AG$279=3), Cultivar_3_Cohort_Year_Selection=$AG$278), ROUND(MAX(0,AF$280-AF$317 - 1),0),
ROUND(MAX(0,AF$280-AF$317),0)))))))),""),""),"")</f>
        <v/>
      </c>
      <c r="AH336" s="497" t="str">
        <f>IF(ISNUMBER($B$280),
IF($C336&lt;&gt;"",
IF(AND(ISNUMBER(AG$280), ISNUMBER(AG$317)),
IF(AND(AH$279=123, Cultivar_1_Cohort_Year_Selection=$AH$278,Cultivar_2_Cohort_Year_Selection=$AH$278,Cultivar_3_Cohort_Year_Selection=$AH$278), ROUND(MAX(0,AG$280-AG$317 - 3),0),
IF(AND(OR(AH$279=123, AH$279=12), Cultivar_1_Cohort_Year_Selection=$AH$278,Cultivar_2_Cohort_Year_Selection=$AH$278), ROUND(MAX(0,AG$280-AG$317 - 2),0),
IF(AND(OR(AH$279=123, AH$279=13), Cultivar_1_Cohort_Year_Selection=$AH$278,Cultivar_3_Cohort_Year_Selection=$AH$278), ROUND(MAX(0,AG$280-AG$317 - 2),0),
IF(AND(OR(AH$279=123, AH$279=23), Cultivar_2_Cohort_Year_Selection=$AH$278,Cultivar_3_Cohort_Year_Selection=$AH$278), ROUND(MAX(0,AG$280-AG$317 - 2),0),
IF(AND(OR(AH$279=123, AH$279=12, AH$279=13, AH$279=1), Cultivar_1_Cohort_Year_Selection=$AH$278), ROUND(MAX(0,AG$280-AG$317 - 1),0),
IF(AND(OR(AH$279=123, AH$279=12, AH$279=23, AH$279=2), Cultivar_2_Cohort_Year_Selection=$AH$278), ROUND(MAX(0,AG$280-AG$317 - 1),0),
IF(AND(OR(AH$279=123, AH$279=13, AH$279=23, AH$279=3), Cultivar_3_Cohort_Year_Selection=$AH$278), ROUND(MAX(0,AG$280-AG$317 - 1),0),
ROUND(MAX(0,AG$280-AG$317),0)))))))),""),""),"")</f>
        <v/>
      </c>
      <c r="AI336" s="497" t="str">
        <f>IF(ISNUMBER($B$280),
IF($C336&lt;&gt;"",
IF(AND(ISNUMBER(AH$280), ISNUMBER(AH$317)),
IF(AND(AI$279=123, Cultivar_1_Cohort_Year_Selection=$AI$278,Cultivar_2_Cohort_Year_Selection=$AI$278,Cultivar_3_Cohort_Year_Selection=$AI$278), ROUND(MAX(0,AH$280-AH$317 - 3),0),
IF(AND(OR(AI$279=123, AI$279=12), Cultivar_1_Cohort_Year_Selection=$AI$278,Cultivar_2_Cohort_Year_Selection=$AI$278), ROUND(MAX(0,AH$280-AH$317 - 2),0),
IF(AND(OR(AI$279=123, AI$279=13), Cultivar_1_Cohort_Year_Selection=$AI$278,Cultivar_3_Cohort_Year_Selection=$AI$278), ROUND(MAX(0,AH$280-AH$317 - 2),0),
IF(AND(OR(AI$279=123, AI$279=23), Cultivar_2_Cohort_Year_Selection=$AI$278,Cultivar_3_Cohort_Year_Selection=$AI$278), ROUND(MAX(0,AH$280-AH$317 - 2),0),
IF(AND(OR(AI$279=123, AI$279=12, AI$279=13, AI$279=1), Cultivar_1_Cohort_Year_Selection=$AI$278), ROUND(MAX(0,AH$280-AH$317 - 1),0),
IF(AND(OR(AI$279=123, AI$279=12, AI$279=23, AI$279=2), Cultivar_2_Cohort_Year_Selection=$AI$278), ROUND(MAX(0,AH$280-AH$317 - 1),0),
IF(AND(OR(AI$279=123, AI$279=13, AI$279=23, AI$279=3), Cultivar_3_Cohort_Year_Selection=$AI$278), ROUND(MAX(0,AH$280-AH$317 - 1),0),
ROUND(MAX(0,AH$280-AH$317),0)))))))),""),""),"")</f>
        <v/>
      </c>
      <c r="AJ336" s="497" t="str">
        <f>IF(ISNUMBER($B$280),
IF($C336&lt;&gt;"",
IF(AND(ISNUMBER(AI$280), ISNUMBER(AI$317)),
IF(AND(AJ$279=123, Cultivar_1_Cohort_Year_Selection=$AJ$278,Cultivar_2_Cohort_Year_Selection=$AJ$278,Cultivar_3_Cohort_Year_Selection=$AJ$278), ROUND(MAX(0,AI$280-AI$317 - 3),0),
IF(AND(OR(AJ$279=123, AJ$279=12), Cultivar_1_Cohort_Year_Selection=$AJ$278,Cultivar_2_Cohort_Year_Selection=$AJ$278), ROUND(MAX(0,AI$280-AI$317 - 2),0),
IF(AND(OR(AJ$279=123, AJ$279=13), Cultivar_1_Cohort_Year_Selection=$AJ$278,Cultivar_3_Cohort_Year_Selection=$AJ$278), ROUND(MAX(0,AI$280-AI$317 - 2),0),
IF(AND(OR(AJ$279=123, AJ$279=23), Cultivar_2_Cohort_Year_Selection=$AJ$278,Cultivar_3_Cohort_Year_Selection=$AJ$278), ROUND(MAX(0,AI$280-AI$317 - 2),0),
IF(AND(OR(AJ$279=123, AJ$279=12, AJ$279=13, AJ$279=1), Cultivar_1_Cohort_Year_Selection=$AJ$278), ROUND(MAX(0,AI$280-AI$317 - 1),0),
IF(AND(OR(AJ$279=123, AJ$279=12, AJ$279=23, AJ$279=2), Cultivar_2_Cohort_Year_Selection=$AJ$278), ROUND(MAX(0,AI$280-AI$317 - 1),0),
IF(AND(OR(AJ$279=123, AJ$279=13, AJ$279=23, AJ$279=3), Cultivar_3_Cohort_Year_Selection=$AJ$278), ROUND(MAX(0,AI$280-AI$317 - 1),0),
ROUND(MAX(0,AI$280-AI$317),0)))))))),""),""),"")</f>
        <v/>
      </c>
      <c r="AK336" s="497" t="str">
        <f>IF(ISNUMBER($B$280),
IF($C336&lt;&gt;"",
IF(AND(ISNUMBER(AJ$280), ISNUMBER(AJ$317)),
IF(AND(AK$279=123, Cultivar_1_Cohort_Year_Selection=$AK$278,Cultivar_2_Cohort_Year_Selection=$AK$278,Cultivar_3_Cohort_Year_Selection=$AK$278), ROUND(MAX(0,AJ$280-AJ$317 - 3),0),
IF(AND(OR(AK$279=123, AK$279=12), Cultivar_1_Cohort_Year_Selection=$AK$278,Cultivar_2_Cohort_Year_Selection=$AK$278), ROUND(MAX(0,AJ$280-AJ$317 - 2),0),
IF(AND(OR(AK$279=123, AK$279=13), Cultivar_1_Cohort_Year_Selection=$AK$278,Cultivar_3_Cohort_Year_Selection=$AK$278), ROUND(MAX(0,AJ$280-AJ$317 - 2),0),
IF(AND(OR(AK$279=123, AK$279=23), Cultivar_2_Cohort_Year_Selection=$AK$278,Cultivar_3_Cohort_Year_Selection=$AK$278), ROUND(MAX(0,AJ$280-AJ$317 - 2),0),
IF(AND(OR(AK$279=123, AK$279=12, AK$279=13, AK$279=1), Cultivar_1_Cohort_Year_Selection=$AK$278), ROUND(MAX(0,AJ$280-AJ$317 - 1),0),
IF(AND(OR(AK$279=123, AK$279=12, AK$279=23, AK$279=2), Cultivar_2_Cohort_Year_Selection=$AK$278), ROUND(MAX(0,AJ$280-AJ$317 - 1),0),
IF(AND(OR(AK$279=123, AK$279=13, AK$279=23, AK$279=3), Cultivar_3_Cohort_Year_Selection=$AK$278), ROUND(MAX(0,AJ$280-AJ$317 - 1),0),
ROUND(MAX(0,AJ$280-AJ$317),0)))))))),""),""),"")</f>
        <v/>
      </c>
      <c r="AL336" s="497" t="str">
        <f>IF(ISNUMBER($B$280),
IF($C336&lt;&gt;"",
IF(AND(ISNUMBER(AK$280), ISNUMBER(AK$317)),
IF(AND(AL$279=123, Cultivar_1_Cohort_Year_Selection=$AL$278,Cultivar_2_Cohort_Year_Selection=$AL$278,Cultivar_3_Cohort_Year_Selection=$AL$278), ROUND(MAX(0,AK$280-AK$317 - 3),0),
IF(AND(OR(AL$279=123, AL$279=12), Cultivar_1_Cohort_Year_Selection=$AL$278,Cultivar_2_Cohort_Year_Selection=$AL$278), ROUND(MAX(0,AK$280-AK$317 - 2),0),
IF(AND(OR(AL$279=123, AL$279=13), Cultivar_1_Cohort_Year_Selection=$AL$278,Cultivar_3_Cohort_Year_Selection=$AL$278), ROUND(MAX(0,AK$280-AK$317 - 2),0),
IF(AND(OR(AL$279=123, AL$279=23), Cultivar_2_Cohort_Year_Selection=$AL$278,Cultivar_3_Cohort_Year_Selection=$AL$278), ROUND(MAX(0,AK$280-AK$317 - 2),0),
IF(AND(OR(AL$279=123, AL$279=12, AL$279=13, AL$279=1), Cultivar_1_Cohort_Year_Selection=$AL$278), ROUND(MAX(0,AK$280-AK$317 - 1),0),
IF(AND(OR(AL$279=123, AL$279=12, AL$279=23, AL$279=2), Cultivar_2_Cohort_Year_Selection=$AL$278), ROUND(MAX(0,AK$280-AK$317 - 1),0),
IF(AND(OR(AL$279=123, AL$279=13, AL$279=23, AL$279=3), Cultivar_3_Cohort_Year_Selection=$AL$278), ROUND(MAX(0,AK$280-AK$317 - 1),0),
ROUND(MAX(0,AK$280-AK$317),0)))))))),""),""),"")</f>
        <v/>
      </c>
      <c r="AM336" s="497" t="str">
        <f>IF(ISNUMBER($B$280),
IF($C336&lt;&gt;"",
IF(AND(ISNUMBER(AL$280), ISNUMBER(AL$317)),
IF(AND(AM$279=123, Cultivar_1_Cohort_Year_Selection=$AM$278,Cultivar_2_Cohort_Year_Selection=$AM$278,Cultivar_3_Cohort_Year_Selection=$AM$278), ROUND(MAX(0,AL$280-AL$317 - 3),0),
IF(AND(OR(AM$279=123, AM$279=12), Cultivar_1_Cohort_Year_Selection=$AM$278,Cultivar_2_Cohort_Year_Selection=$AM$278), ROUND(MAX(0,AL$280-AL$317 - 2),0),
IF(AND(OR(AM$279=123, AM$279=13), Cultivar_1_Cohort_Year_Selection=$AM$278,Cultivar_3_Cohort_Year_Selection=$AM$278), ROUND(MAX(0,AL$280-AL$317 - 2),0),
IF(AND(OR(AM$279=123, AM$279=23), Cultivar_2_Cohort_Year_Selection=$AM$278,Cultivar_3_Cohort_Year_Selection=$AM$278), ROUND(MAX(0,AL$280-AL$317 - 2),0),
IF(AND(OR(AM$279=123, AM$279=12, AM$279=13, AM$279=1), Cultivar_1_Cohort_Year_Selection=$AM$278), ROUND(MAX(0,AL$280-AL$317 - 1),0),
IF(AND(OR(AM$279=123, AM$279=12, AM$279=23, AM$279=2), Cultivar_2_Cohort_Year_Selection=$AM$278), ROUND(MAX(0,AL$280-AL$317 - 1),0),
IF(AND(OR(AM$279=123, AM$279=13, AM$279=23, AM$279=3), Cultivar_3_Cohort_Year_Selection=$AM$278), ROUND(MAX(0,AL$280-AL$317 - 1),0),
ROUND(MAX(0,AL$280-AL$317),0)))))))),""),""),"")</f>
        <v/>
      </c>
      <c r="AN336" s="497" t="str">
        <f>IF(ISNUMBER($B$280),
IF($C336&lt;&gt;"",
IF(AND(ISNUMBER(AM$280), ISNUMBER(AM$317)),
IF(AND(AN$279=123, Cultivar_1_Cohort_Year_Selection=$AN$278,Cultivar_2_Cohort_Year_Selection=$AN$278,Cultivar_3_Cohort_Year_Selection=$AN$278), ROUND(MAX(0,AM$280-AM$317 - 3),0),
IF(AND(OR(AN$279=123, AN$279=12), Cultivar_1_Cohort_Year_Selection=$AN$278,Cultivar_2_Cohort_Year_Selection=$AN$278), ROUND(MAX(0,AM$280-AM$317 - 2),0),
IF(AND(OR(AN$279=123, AN$279=13), Cultivar_1_Cohort_Year_Selection=$AN$278,Cultivar_3_Cohort_Year_Selection=$AN$278), ROUND(MAX(0,AM$280-AM$317 - 2),0),
IF(AND(OR(AN$279=123, AN$279=23), Cultivar_2_Cohort_Year_Selection=$AN$278,Cultivar_3_Cohort_Year_Selection=$AN$278), ROUND(MAX(0,AM$280-AM$317 - 2),0),
IF(AND(OR(AN$279=123, AN$279=12, AN$279=13, AN$279=1), Cultivar_1_Cohort_Year_Selection=$AN$278), ROUND(MAX(0,AM$280-AM$317 - 1),0),
IF(AND(OR(AN$279=123, AN$279=12, AN$279=23, AN$279=2), Cultivar_2_Cohort_Year_Selection=$AN$278), ROUND(MAX(0,AM$280-AM$317 - 1),0),
IF(AND(OR(AN$279=123, AN$279=13, AN$279=23, AN$279=3), Cultivar_3_Cohort_Year_Selection=$AN$278), ROUND(MAX(0,AM$280-AM$317 - 1),0),
ROUND(MAX(0,AM$280-AM$317),0)))))))),""),""),"")</f>
        <v/>
      </c>
      <c r="AO336" s="497" t="str">
        <f>IF(ISNUMBER($B$280),
IF($C336&lt;&gt;"",
IF(AND(ISNUMBER(AN$280), ISNUMBER(AN$317)),
IF(AND(AO$279=123, Cultivar_1_Cohort_Year_Selection=$AO$278,Cultivar_2_Cohort_Year_Selection=$AO$278,Cultivar_3_Cohort_Year_Selection=$AO$278), ROUND(MAX(0,AN$280-AN$317 - 3),0),
IF(AND(OR(AO$279=123, AO$279=12), Cultivar_1_Cohort_Year_Selection=$AO$278,Cultivar_2_Cohort_Year_Selection=$AO$278), ROUND(MAX(0,AN$280-AN$317 - 2),0),
IF(AND(OR(AO$279=123, AO$279=13), Cultivar_1_Cohort_Year_Selection=$AO$278,Cultivar_3_Cohort_Year_Selection=$AO$278), ROUND(MAX(0,AN$280-AN$317 - 2),0),
IF(AND(OR(AO$279=123, AO$279=23), Cultivar_2_Cohort_Year_Selection=$AO$278,Cultivar_3_Cohort_Year_Selection=$AO$278), ROUND(MAX(0,AN$280-AN$317 - 2),0),
IF(AND(OR(AO$279=123, AO$279=12, AO$279=13, AO$279=1), Cultivar_1_Cohort_Year_Selection=$AO$278), ROUND(MAX(0,AN$280-AN$317 - 1),0),
IF(AND(OR(AO$279=123, AO$279=12, AO$279=23, AO$279=2), Cultivar_2_Cohort_Year_Selection=$AO$278), ROUND(MAX(0,AN$280-AN$317 - 1),0),
IF(AND(OR(AO$279=123, AO$279=13, AO$279=23, AO$279=3), Cultivar_3_Cohort_Year_Selection=$AO$278), ROUND(MAX(0,AN$280-AN$317 - 1),0),
ROUND(MAX(0,AN$280-AN$317),0)))))))),""),""),"")</f>
        <v/>
      </c>
      <c r="AP336" s="497" t="str">
        <f>IF(ISNUMBER($B$280),
IF($C336&lt;&gt;"",
IF(AND(ISNUMBER(AO$280), ISNUMBER(AO$317)),
IF(AND(AP$279=123, Cultivar_1_Cohort_Year_Selection=$AP$278,Cultivar_2_Cohort_Year_Selection=$AP$278,Cultivar_3_Cohort_Year_Selection=$AP$278), ROUND(MAX(0,AO$280-AO$317 - 3),0),
IF(AND(OR(AP$279=123, AP$279=12), Cultivar_1_Cohort_Year_Selection=$AP$278,Cultivar_2_Cohort_Year_Selection=$AP$278), ROUND(MAX(0,AO$280-AO$317 - 2),0),
IF(AND(OR(AP$279=123, AP$279=13), Cultivar_1_Cohort_Year_Selection=$AP$278,Cultivar_3_Cohort_Year_Selection=$AP$278), ROUND(MAX(0,AO$280-AO$317 - 2),0),
IF(AND(OR(AP$279=123, AP$279=23), Cultivar_2_Cohort_Year_Selection=$AP$278,Cultivar_3_Cohort_Year_Selection=$AP$278), ROUND(MAX(0,AO$280-AO$317 - 2),0),
IF(AND(OR(AP$279=123, AP$279=12, AP$279=13, AP$279=1), Cultivar_1_Cohort_Year_Selection=$AP$278), ROUND(MAX(0,AO$280-AO$317 - 1),0),
IF(AND(OR(AP$279=123, AP$279=12, AP$279=23, AP$279=2), Cultivar_2_Cohort_Year_Selection=$AP$278), ROUND(MAX(0,AO$280-AO$317 - 1),0),
IF(AND(OR(AP$279=123, AP$279=13, AP$279=23, AP$279=3), Cultivar_3_Cohort_Year_Selection=$AP$278), ROUND(MAX(0,AO$280-AO$317 - 1),0),
ROUND(MAX(0,AO$280-AO$317),0)))))))),""),""),"")</f>
        <v/>
      </c>
      <c r="AQ336" s="497" t="str">
        <f>IF(ISNUMBER($B$280),
IF($C336&lt;&gt;"",
IF(AND(ISNUMBER(AP$280), ISNUMBER(AP$317)),
IF(AND(AQ$279=123, Cultivar_1_Cohort_Year_Selection=$AQ$278,Cultivar_2_Cohort_Year_Selection=$AQ$278,Cultivar_3_Cohort_Year_Selection=$AQ$278), ROUND(MAX(0,AP$280-AP$317 - 3),0),
IF(AND(OR(AQ$279=123, AQ$279=12), Cultivar_1_Cohort_Year_Selection=$AQ$278,Cultivar_2_Cohort_Year_Selection=$AQ$278), ROUND(MAX(0,AP$280-AP$317 - 2),0),
IF(AND(OR(AQ$279=123, AQ$279=13), Cultivar_1_Cohort_Year_Selection=$AQ$278,Cultivar_3_Cohort_Year_Selection=$AQ$278), ROUND(MAX(0,AP$280-AP$317 - 2),0),
IF(AND(OR(AQ$279=123, AQ$279=23), Cultivar_2_Cohort_Year_Selection=$AQ$278,Cultivar_3_Cohort_Year_Selection=$AQ$278), ROUND(MAX(0,AP$280-AP$317 - 2),0),
IF(AND(OR(AQ$279=123, AQ$279=12, AQ$279=13, AQ$279=1), Cultivar_1_Cohort_Year_Selection=$AQ$278), ROUND(MAX(0,AP$280-AP$317 - 1),0),
IF(AND(OR(AQ$279=123, AQ$279=12, AQ$279=23, AQ$279=2), Cultivar_2_Cohort_Year_Selection=$AQ$278), ROUND(MAX(0,AP$280-AP$317 - 1),0),
IF(AND(OR(AQ$279=123, AQ$279=13, AQ$279=23, AQ$279=3), Cultivar_3_Cohort_Year_Selection=$AQ$278), ROUND(MAX(0,AP$280-AP$317 - 1),0),
ROUND(MAX(0,AP$280-AP$317),0)))))))),""),""),"")</f>
        <v/>
      </c>
      <c r="AR336" s="497" t="str">
        <f>IF(ISNUMBER($B$280),
IF($C336&lt;&gt;"",
IF(AND(ISNUMBER(AQ$280), ISNUMBER(AQ$317)),
IF(AND(AR$279=123, Cultivar_1_Cohort_Year_Selection=$AR$278,Cultivar_2_Cohort_Year_Selection=$AR$278,Cultivar_3_Cohort_Year_Selection=$AR$278), ROUND(MAX(0,AQ$280-AQ$317 - 3),0),
IF(AND(OR(AR$279=123, AR$279=12), Cultivar_1_Cohort_Year_Selection=$AR$278,Cultivar_2_Cohort_Year_Selection=$AR$278), ROUND(MAX(0,AQ$280-AQ$317 - 2),0),
IF(AND(OR(AR$279=123, AR$279=13), Cultivar_1_Cohort_Year_Selection=$AR$278,Cultivar_3_Cohort_Year_Selection=$AR$278), ROUND(MAX(0,AQ$280-AQ$317 - 2),0),
IF(AND(OR(AR$279=123, AR$279=23), Cultivar_2_Cohort_Year_Selection=$AR$278,Cultivar_3_Cohort_Year_Selection=$AR$278), ROUND(MAX(0,AQ$280-AQ$317 - 2),0),
IF(AND(OR(AR$279=123, AR$279=12, AR$279=13, AR$279=1), Cultivar_1_Cohort_Year_Selection=$AR$278), ROUND(MAX(0,AQ$280-AQ$317 - 1),0),
IF(AND(OR(AR$279=123, AR$279=12, AR$279=23, AR$279=2), Cultivar_2_Cohort_Year_Selection=$AR$278), ROUND(MAX(0,AQ$280-AQ$317 - 1),0),
IF(AND(OR(AR$279=123, AR$279=13, AR$279=23, AR$279=3), Cultivar_3_Cohort_Year_Selection=$AR$278), ROUND(MAX(0,AQ$280-AQ$317 - 1),0),
ROUND(MAX(0,AQ$280-AQ$317),0)))))))),""),""),"")</f>
        <v/>
      </c>
    </row>
    <row r="337" spans="1:45" x14ac:dyDescent="0.25">
      <c r="A337" s="518"/>
      <c r="B337" s="504"/>
      <c r="C337" s="107" t="str">
        <f>IF(AND(ISNUMBER(B321), C333&lt;&gt;"", OR('Cost Inputs'!$H$120&lt;&gt;"", 'Cost Inputs'!$I$120&lt;&gt;"", 'Cost Inputs'!$J$120&lt;&gt;"")), _4_5_2, "")</f>
        <v/>
      </c>
      <c r="D337" s="93" t="str">
        <f>IF(AND(C337&lt;&gt;"", 'Cost Inputs'!$G$120&lt;&gt;""), 'Cost Inputs'!$G$120, "")</f>
        <v/>
      </c>
      <c r="E337" s="93" t="str">
        <f>IF(AND(C337&lt;&gt;"", 'Cost Inputs'!$H$120&lt;&gt;""), 'Cost Inputs'!$H$120, "")</f>
        <v/>
      </c>
      <c r="F337" s="93" t="str">
        <f>IF(AND(C337&lt;&gt;"", 'Cost Inputs'!$I$120&lt;&gt;""), 'Cost Inputs'!$I$120, "")</f>
        <v/>
      </c>
      <c r="G337" s="108" t="str">
        <f t="shared" si="16"/>
        <v/>
      </c>
      <c r="H337" s="93" t="str">
        <f>IF(AND(C337&lt;&gt;"", 'Cost Inputs'!$J$120&lt;&gt;""), 'Cost Inputs'!$J$120, "")</f>
        <v/>
      </c>
      <c r="I337" s="93" t="str">
        <f>IF($C337&lt;&gt;"", IF(AND($E337&lt;&gt;"", H337&lt;&gt;""), H337/$E337, 0),"")</f>
        <v/>
      </c>
      <c r="J337" s="93" t="str">
        <f>IF(AND(C337&lt;&gt;"",('Cost Inputs'!$I$120+'Cost Inputs'!$J$120+'Cost Inputs'!$K$120)&gt;0), 'Cost Inputs'!$I$120+'Cost Inputs'!$J$120+'Cost Inputs'!$K$120, "")</f>
        <v/>
      </c>
      <c r="K337" s="93" t="str">
        <f>IF($C337&lt;&gt;"", IF(AND($E337&lt;&gt;"", J337&lt;&gt;""), J337/$E337, 0),"")</f>
        <v/>
      </c>
      <c r="L337" s="525"/>
      <c r="M337" s="525"/>
      <c r="P337" s="93" t="str">
        <f>IF(ISNUMBER($B$321),
IF($C337&lt;&gt;"",
IF(AND(ISNUMBER(O$280), ISNUMBER(O$317)),
IF(AND(P$279=123, Cultivar_1_Cohort_Year_Selection=$P$278,Cultivar_2_Cohort_Year_Selection=$P$278,Cultivar_3_Cohort_Year_Selection=$P$278), ROUND(MAX(0,O$320 - 3),0),
IF(AND(OR(P$279=123, P$279=12), Cultivar_1_Cohort_Year_Selection=$P$278,Cultivar_2_Cohort_Year_Selection=$P$278), ROUND(MAX(0,O$320 - 2),0),
IF(AND(OR(P$279=123, P$279=13), Cultivar_1_Cohort_Year_Selection=$P$278,Cultivar_3_Cohort_Year_Selection=$P$278), ROUND(MAX(0,O$320 - 2),0),
IF(AND(OR(P$279=123, P$279=23), Cultivar_2_Cohort_Year_Selection=$P$278,Cultivar_3_Cohort_Year_Selection=$P$278), ROUND(MAX(0,O$320 - 2),0),
IF(AND(OR(P$279=123, P$279=12, P$279=13, P$279=1), Cultivar_1_Cohort_Year_Selection=$P$278), ROUND(MAX(0,O$320 - 1),0),
IF(AND(OR(P$279=123, P$279=12, P$279=23, P$279=2), Cultivar_2_Cohort_Year_Selection=$P$278), ROUND(MAX(0,O$320 - 1),0),
IF(AND(OR(P$279=123, P$279=13, P$279=23, P$279=3), Cultivar_3_Cohort_Year_Selection=$P$278), ROUND(MAX(0,O$320 - 1),0),
ROUND(MAX(0,O$320),0)))))))),""),""),"")</f>
        <v/>
      </c>
      <c r="Q337" s="93" t="str">
        <f>IF(ISNUMBER($B$321),
IF($C337&lt;&gt;"",
IF(AND(ISNUMBER(P$280), ISNUMBER(P$317)),
IF(AND(Q$279=123, Cultivar_1_Cohort_Year_Selection=$Q$278,Cultivar_2_Cohort_Year_Selection=$Q$278,Cultivar_3_Cohort_Year_Selection=$Q$278), ROUND(MAX(0,P$320 - 3),0),
IF(AND(OR(Q$279=123, Q$279=12), Cultivar_1_Cohort_Year_Selection=$Q$278,Cultivar_2_Cohort_Year_Selection=$Q$278), ROUND(MAX(0,P$320 - 2),0),
IF(AND(OR(Q$279=123, Q$279=13), Cultivar_1_Cohort_Year_Selection=$Q$278,Cultivar_3_Cohort_Year_Selection=$Q$278), ROUND(MAX(0,P$320 - 2),0),
IF(AND(OR(Q$279=123, Q$279=23), Cultivar_2_Cohort_Year_Selection=$Q$278,Cultivar_3_Cohort_Year_Selection=$Q$278), ROUND(MAX(0,P$320 - 2),0),
IF(AND(OR(Q$279=123, Q$279=12, Q$279=13, Q$279=1), Cultivar_1_Cohort_Year_Selection=$Q$278), ROUND(MAX(0,P$320 - 1),0),
IF(AND(OR(Q$279=123, Q$279=12, Q$279=23, Q$279=2), Cultivar_2_Cohort_Year_Selection=$Q$278), ROUND(MAX(0,P$320 - 1),0),
IF(AND(OR(Q$279=123, Q$279=13, Q$279=23, Q$279=3), Cultivar_3_Cohort_Year_Selection=$Q$278), ROUND(MAX(0,P$320 - 1),0),
ROUND(MAX(0,P$320),0)))))))),""),""),"")</f>
        <v/>
      </c>
      <c r="R337" s="93" t="str">
        <f>IF(ISNUMBER($B$321),
IF($C337&lt;&gt;"",
IF(AND(ISNUMBER(Q$280), ISNUMBER(Q$317)),
IF(AND(R$279=123, Cultivar_1_Cohort_Year_Selection=$R$278,Cultivar_2_Cohort_Year_Selection=$R$278,Cultivar_3_Cohort_Year_Selection=$R$278), ROUND(MAX(0,Q$320 - 3),0),
IF(AND(OR(R$279=123, R$279=12), Cultivar_1_Cohort_Year_Selection=$R$278,Cultivar_2_Cohort_Year_Selection=$R$278), ROUND(MAX(0,Q$320 - 2),0),
IF(AND(OR(R$279=123, R$279=13), Cultivar_1_Cohort_Year_Selection=$R$278,Cultivar_3_Cohort_Year_Selection=$R$278), ROUND(MAX(0,Q$320 - 2),0),
IF(AND(OR(R$279=123, R$279=23), Cultivar_2_Cohort_Year_Selection=$R$278,Cultivar_3_Cohort_Year_Selection=$R$278), ROUND(MAX(0,Q$320 - 2),0),
IF(AND(OR(R$279=123, R$279=12, R$279=13, R$279=1), Cultivar_1_Cohort_Year_Selection=$R$278), ROUND(MAX(0,Q$320 - 1),0),
IF(AND(OR(R$279=123, R$279=12, R$279=23, R$279=2), Cultivar_2_Cohort_Year_Selection=$R$278), ROUND(MAX(0,Q$320 - 1),0),
IF(AND(OR(R$279=123, R$279=13, R$279=23, R$279=3), Cultivar_3_Cohort_Year_Selection=$R$278), ROUND(MAX(0,Q$320 - 1),0),
ROUND(MAX(0,Q$320),0)))))))),""),""),"")</f>
        <v/>
      </c>
      <c r="S337" s="93" t="str">
        <f>IF(ISNUMBER($B$321),
IF($C337&lt;&gt;"",
IF(AND(ISNUMBER(R$280), ISNUMBER(R$317)),
IF(AND(S$279=123, Cultivar_1_Cohort_Year_Selection=$S$278,Cultivar_2_Cohort_Year_Selection=$S$278,Cultivar_3_Cohort_Year_Selection=$S$278), ROUND(MAX(0,R$320 - 3),0),
IF(AND(OR(S$279=123, S$279=12), Cultivar_1_Cohort_Year_Selection=$S$278,Cultivar_2_Cohort_Year_Selection=$S$278), ROUND(MAX(0,R$320 - 2),0),
IF(AND(OR(S$279=123, S$279=13), Cultivar_1_Cohort_Year_Selection=$S$278,Cultivar_3_Cohort_Year_Selection=$S$278), ROUND(MAX(0,R$320 - 2),0),
IF(AND(OR(S$279=123, S$279=23), Cultivar_2_Cohort_Year_Selection=$S$278,Cultivar_3_Cohort_Year_Selection=$S$278), ROUND(MAX(0,R$320 - 2),0),
IF(AND(OR(S$279=123, S$279=12, S$279=13, S$279=1), Cultivar_1_Cohort_Year_Selection=$S$278), ROUND(MAX(0,R$320 - 1),0),
IF(AND(OR(S$279=123, S$279=12, S$279=23, S$279=2), Cultivar_2_Cohort_Year_Selection=$S$278), ROUND(MAX(0,R$320 - 1),0),
IF(AND(OR(S$279=123, S$279=13, S$279=23, S$279=3), Cultivar_3_Cohort_Year_Selection=$S$278), ROUND(MAX(0,R$320 - 1),0),
ROUND(MAX(0,R$320),0)))))))),""),""),"")</f>
        <v/>
      </c>
      <c r="T337" s="93" t="str">
        <f>IF(ISNUMBER($B$321),
IF($C337&lt;&gt;"",
IF(AND(ISNUMBER(S$280), ISNUMBER(S$317)),
IF(AND(T$279=123, Cultivar_1_Cohort_Year_Selection=$T$278,Cultivar_2_Cohort_Year_Selection=$T$278,Cultivar_3_Cohort_Year_Selection=$T$278), ROUND(MAX(0,S$320 - 3),0),
IF(AND(OR(T$279=123, T$279=12), Cultivar_1_Cohort_Year_Selection=$T$278,Cultivar_2_Cohort_Year_Selection=$T$278), ROUND(MAX(0,S$320 - 2),0),
IF(AND(OR(T$279=123, T$279=13), Cultivar_1_Cohort_Year_Selection=$T$278,Cultivar_3_Cohort_Year_Selection=$T$278), ROUND(MAX(0,S$320 - 2),0),
IF(AND(OR(T$279=123, T$279=23), Cultivar_2_Cohort_Year_Selection=$T$278,Cultivar_3_Cohort_Year_Selection=$T$278), ROUND(MAX(0,S$320 - 2),0),
IF(AND(OR(T$279=123, T$279=12, T$279=13, T$279=1), Cultivar_1_Cohort_Year_Selection=$T$278), ROUND(MAX(0,S$320 - 1),0),
IF(AND(OR(T$279=123, T$279=12, T$279=23, T$279=2), Cultivar_2_Cohort_Year_Selection=$T$278), ROUND(MAX(0,S$320 - 1),0),
IF(AND(OR(T$279=123, T$279=13, T$279=23, T$279=3), Cultivar_3_Cohort_Year_Selection=$T$278), ROUND(MAX(0,S$320 - 1),0),
ROUND(MAX(0,S$320),0)))))))),""),""),"")</f>
        <v/>
      </c>
      <c r="U337" s="93" t="str">
        <f>IF(ISNUMBER($B$321),
IF($C337&lt;&gt;"",
IF(AND(ISNUMBER(T$280), ISNUMBER(T$317)),
IF(AND(U$279=123, Cultivar_1_Cohort_Year_Selection=$U$278,Cultivar_2_Cohort_Year_Selection=$U$278,Cultivar_3_Cohort_Year_Selection=$U$278), ROUND(MAX(0,T$320 - 3),0),
IF(AND(OR(U$279=123, U$279=12), Cultivar_1_Cohort_Year_Selection=$U$278,Cultivar_2_Cohort_Year_Selection=$U$278), ROUND(MAX(0,T$320 - 2),0),
IF(AND(OR(U$279=123, U$279=13), Cultivar_1_Cohort_Year_Selection=$U$278,Cultivar_3_Cohort_Year_Selection=$U$278), ROUND(MAX(0,T$320 - 2),0),
IF(AND(OR(U$279=123, U$279=23), Cultivar_2_Cohort_Year_Selection=$U$278,Cultivar_3_Cohort_Year_Selection=$U$278), ROUND(MAX(0,T$320 - 2),0),
IF(AND(OR(U$279=123, U$279=12, U$279=13, U$279=1), Cultivar_1_Cohort_Year_Selection=$U$278), ROUND(MAX(0,T$320 - 1),0),
IF(AND(OR(U$279=123, U$279=12, U$279=23, U$279=2), Cultivar_2_Cohort_Year_Selection=$U$278), ROUND(MAX(0,T$320 - 1),0),
IF(AND(OR(U$279=123, U$279=13, U$279=23, U$279=3), Cultivar_3_Cohort_Year_Selection=$U$278), ROUND(MAX(0,T$320 - 1),0),
ROUND(MAX(0,T$320),0)))))))),""),""),"")</f>
        <v/>
      </c>
      <c r="V337" s="93" t="str">
        <f>IF(ISNUMBER($B$321),
IF($C337&lt;&gt;"",
IF(AND(ISNUMBER(U$280), ISNUMBER(U$317)),
IF(AND(V$279=123, Cultivar_1_Cohort_Year_Selection=$V$278,Cultivar_2_Cohort_Year_Selection=$V$278,Cultivar_3_Cohort_Year_Selection=$V$278), ROUND(MAX(0,U$320 - 3),0),
IF(AND(OR(V$279=123, V$279=12), Cultivar_1_Cohort_Year_Selection=$V$278,Cultivar_2_Cohort_Year_Selection=$V$278), ROUND(MAX(0,U$320 - 2),0),
IF(AND(OR(V$279=123, V$279=13), Cultivar_1_Cohort_Year_Selection=$V$278,Cultivar_3_Cohort_Year_Selection=$V$278), ROUND(MAX(0,U$320 - 2),0),
IF(AND(OR(V$279=123, V$279=23), Cultivar_2_Cohort_Year_Selection=$V$278,Cultivar_3_Cohort_Year_Selection=$V$278), ROUND(MAX(0,U$320 - 2),0),
IF(AND(OR(V$279=123, V$279=12, V$279=13, V$279=1), Cultivar_1_Cohort_Year_Selection=$V$278), ROUND(MAX(0,U$320 - 1),0),
IF(AND(OR(V$279=123, V$279=12, V$279=23, V$279=2), Cultivar_2_Cohort_Year_Selection=$V$278), ROUND(MAX(0,U$320 - 1),0),
IF(AND(OR(V$279=123, V$279=13, V$279=23, V$279=3), Cultivar_3_Cohort_Year_Selection=$V$278), ROUND(MAX(0,U$320 - 1),0),
ROUND(MAX(0,U$320),0)))))))),""),""),"")</f>
        <v/>
      </c>
      <c r="W337" s="93" t="str">
        <f>IF(ISNUMBER($B$321),
IF($C337&lt;&gt;"",
IF(AND(ISNUMBER(V$280), ISNUMBER(V$317)),
IF(AND(W$279=123, Cultivar_1_Cohort_Year_Selection=$W$278,Cultivar_2_Cohort_Year_Selection=$W$278,Cultivar_3_Cohort_Year_Selection=$W$278), ROUND(MAX(0,V$320 - 3),0),
IF(AND(OR(W$279=123, W$279=12), Cultivar_1_Cohort_Year_Selection=$W$278,Cultivar_2_Cohort_Year_Selection=$W$278), ROUND(MAX(0,V$320 - 2),0),
IF(AND(OR(W$279=123, W$279=13), Cultivar_1_Cohort_Year_Selection=$W$278,Cultivar_3_Cohort_Year_Selection=$W$278), ROUND(MAX(0,V$320 - 2),0),
IF(AND(OR(W$279=123, W$279=23), Cultivar_2_Cohort_Year_Selection=$W$278,Cultivar_3_Cohort_Year_Selection=$W$278), ROUND(MAX(0,V$320 - 2),0),
IF(AND(OR(W$279=123, W$279=12, W$279=13, W$279=1), Cultivar_1_Cohort_Year_Selection=$W$278), ROUND(MAX(0,V$320 - 1),0),
IF(AND(OR(W$279=123, W$279=12, W$279=23, W$279=2), Cultivar_2_Cohort_Year_Selection=$W$278), ROUND(MAX(0,V$320 - 1),0),
IF(AND(OR(W$279=123, W$279=13, W$279=23, W$279=3), Cultivar_3_Cohort_Year_Selection=$W$278), ROUND(MAX(0,V$320 - 1),0),
ROUND(MAX(0,V$320),0)))))))),""),""),"")</f>
        <v/>
      </c>
      <c r="X337" s="93" t="str">
        <f>IF(ISNUMBER($B$321),
IF($C337&lt;&gt;"",
IF(AND(ISNUMBER(W$280), ISNUMBER(W$317)),
IF(AND(X$279=123, Cultivar_1_Cohort_Year_Selection=$X$278,Cultivar_2_Cohort_Year_Selection=$X$278,Cultivar_3_Cohort_Year_Selection=$X$278), ROUND(MAX(0,W$320 - 3),0),
IF(AND(OR(X$279=123, X$279=12), Cultivar_1_Cohort_Year_Selection=$X$278,Cultivar_2_Cohort_Year_Selection=$X$278), ROUND(MAX(0,W$320 - 2),0),
IF(AND(OR(X$279=123, X$279=13), Cultivar_1_Cohort_Year_Selection=$X$278,Cultivar_3_Cohort_Year_Selection=$X$278), ROUND(MAX(0,W$320 - 2),0),
IF(AND(OR(X$279=123, X$279=23), Cultivar_2_Cohort_Year_Selection=$X$278,Cultivar_3_Cohort_Year_Selection=$X$278), ROUND(MAX(0,W$320 - 2),0),
IF(AND(OR(X$279=123, X$279=12, X$279=13, X$279=1), Cultivar_1_Cohort_Year_Selection=$X$278), ROUND(MAX(0,W$320 - 1),0),
IF(AND(OR(X$279=123, X$279=12, X$279=23, X$279=2), Cultivar_2_Cohort_Year_Selection=$X$278), ROUND(MAX(0,W$320 - 1),0),
IF(AND(OR(X$279=123, X$279=13, X$279=23, X$279=3), Cultivar_3_Cohort_Year_Selection=$X$278), ROUND(MAX(0,W$320 - 1),0),
ROUND(MAX(0,W$320),0)))))))),""),""),"")</f>
        <v/>
      </c>
      <c r="Y337" s="93" t="str">
        <f>IF(ISNUMBER($B$321),
IF($C337&lt;&gt;"",
IF(AND(ISNUMBER(X$280), ISNUMBER(X$317)),
IF(AND(Y$279=123, Cultivar_1_Cohort_Year_Selection=$Y$278,Cultivar_2_Cohort_Year_Selection=$Y$278,Cultivar_3_Cohort_Year_Selection=$Y$278), ROUND(MAX(0,X$320 - 3),0),
IF(AND(OR(Y$279=123, Y$279=12), Cultivar_1_Cohort_Year_Selection=$Y$278,Cultivar_2_Cohort_Year_Selection=$Y$278), ROUND(MAX(0,X$320 - 2),0),
IF(AND(OR(Y$279=123, Y$279=13), Cultivar_1_Cohort_Year_Selection=$Y$278,Cultivar_3_Cohort_Year_Selection=$Y$278), ROUND(MAX(0,X$320 - 2),0),
IF(AND(OR(Y$279=123, Y$279=23), Cultivar_2_Cohort_Year_Selection=$Y$278,Cultivar_3_Cohort_Year_Selection=$Y$278), ROUND(MAX(0,X$320 - 2),0),
IF(AND(OR(Y$279=123, Y$279=12, Y$279=13, Y$279=1), Cultivar_1_Cohort_Year_Selection=$Y$278), ROUND(MAX(0,X$320 - 1),0),
IF(AND(OR(Y$279=123, Y$279=12, Y$279=23, Y$279=2), Cultivar_2_Cohort_Year_Selection=$Y$278), ROUND(MAX(0,X$320 - 1),0),
IF(AND(OR(Y$279=123, Y$279=13, Y$279=23, Y$279=3), Cultivar_3_Cohort_Year_Selection=$Y$278), ROUND(MAX(0,X$320 - 1),0),
ROUND(MAX(0,X$320),0)))))))),""),""),"")</f>
        <v/>
      </c>
      <c r="Z337" s="93" t="str">
        <f>IF(ISNUMBER($B$321),
IF($C337&lt;&gt;"",
IF(AND(ISNUMBER(Y$280), ISNUMBER(Y$317)),
IF(AND(Z$279=123, Cultivar_1_Cohort_Year_Selection=$Z$278,Cultivar_2_Cohort_Year_Selection=$Z$278,Cultivar_3_Cohort_Year_Selection=$Z$278), ROUND(MAX(0,Y$320 - 3),0),
IF(AND(OR(Z$279=123, Z$279=12), Cultivar_1_Cohort_Year_Selection=$Z$278,Cultivar_2_Cohort_Year_Selection=$Z$278), ROUND(MAX(0,Y$320 - 2),0),
IF(AND(OR(Z$279=123, Z$279=13), Cultivar_1_Cohort_Year_Selection=$Z$278,Cultivar_3_Cohort_Year_Selection=$Z$278), ROUND(MAX(0,Y$320 - 2),0),
IF(AND(OR(Z$279=123, Z$279=23), Cultivar_2_Cohort_Year_Selection=$Z$278,Cultivar_3_Cohort_Year_Selection=$Z$278), ROUND(MAX(0,Y$320 - 2),0),
IF(AND(OR(Z$279=123, Z$279=12, Z$279=13, Z$279=1), Cultivar_1_Cohort_Year_Selection=$Z$278), ROUND(MAX(0,Y$320 - 1),0),
IF(AND(OR(Z$279=123, Z$279=12, Z$279=23, Z$279=2), Cultivar_2_Cohort_Year_Selection=$Z$278), ROUND(MAX(0,Y$320 - 1),0),
IF(AND(OR(Z$279=123, Z$279=13, Z$279=23, Z$279=3), Cultivar_3_Cohort_Year_Selection=$Z$278), ROUND(MAX(0,Y$320 - 1),0),
ROUND(MAX(0,Y$320),0)))))))),""),""),"")</f>
        <v/>
      </c>
      <c r="AA337" s="93" t="str">
        <f>IF(ISNUMBER($B$321),
IF($C337&lt;&gt;"",
IF(AND(ISNUMBER(Z$280), ISNUMBER(Z$317)),
IF(AND(AA$279=123, Cultivar_1_Cohort_Year_Selection=$AA$278,Cultivar_2_Cohort_Year_Selection=$AA$278,Cultivar_3_Cohort_Year_Selection=$AA$278), ROUND(MAX(0,Z$320 - 3),0),
IF(AND(OR(AA$279=123, AA$279=12), Cultivar_1_Cohort_Year_Selection=$AA$278,Cultivar_2_Cohort_Year_Selection=$AA$278), ROUND(MAX(0,Z$320 - 2),0),
IF(AND(OR(AA$279=123, AA$279=13), Cultivar_1_Cohort_Year_Selection=$AA$278,Cultivar_3_Cohort_Year_Selection=$AA$278), ROUND(MAX(0,Z$320 - 2),0),
IF(AND(OR(AA$279=123, AA$279=23), Cultivar_2_Cohort_Year_Selection=$AA$278,Cultivar_3_Cohort_Year_Selection=$AA$278), ROUND(MAX(0,Z$320 - 2),0),
IF(AND(OR(AA$279=123, AA$279=12, AA$279=13, AA$279=1), Cultivar_1_Cohort_Year_Selection=$AA$278), ROUND(MAX(0,Z$320 - 1),0),
IF(AND(OR(AA$279=123, AA$279=12, AA$279=23, AA$279=2), Cultivar_2_Cohort_Year_Selection=$AA$278), ROUND(MAX(0,Z$320 - 1),0),
IF(AND(OR(AA$279=123, AA$279=13, AA$279=23, AA$279=3), Cultivar_3_Cohort_Year_Selection=$AA$278), ROUND(MAX(0,Z$320 - 1),0),
ROUND(MAX(0,Z$320),0)))))))),""),""),"")</f>
        <v/>
      </c>
      <c r="AB337" s="93" t="str">
        <f>IF(ISNUMBER($B$321),
IF($C337&lt;&gt;"",
IF(AND(ISNUMBER(AA$280), ISNUMBER(AA$317)),
IF(AND(AB$279=123, Cultivar_1_Cohort_Year_Selection=$AB$278,Cultivar_2_Cohort_Year_Selection=$AB$278,Cultivar_3_Cohort_Year_Selection=$AB$278), ROUND(MAX(0,AA$320 - 3),0),
IF(AND(OR(AB$279=123, AB$279=12), Cultivar_1_Cohort_Year_Selection=$AB$278,Cultivar_2_Cohort_Year_Selection=$AB$278), ROUND(MAX(0,AA$320 - 2),0),
IF(AND(OR(AB$279=123, AB$279=13), Cultivar_1_Cohort_Year_Selection=$AB$278,Cultivar_3_Cohort_Year_Selection=$AB$278), ROUND(MAX(0,AA$320 - 2),0),
IF(AND(OR(AB$279=123, AB$279=23), Cultivar_2_Cohort_Year_Selection=$AB$278,Cultivar_3_Cohort_Year_Selection=$AB$278), ROUND(MAX(0,AA$320 - 2),0),
IF(AND(OR(AB$279=123, AB$279=12, AB$279=13, AB$279=1), Cultivar_1_Cohort_Year_Selection=$AB$278), ROUND(MAX(0,AA$320 - 1),0),
IF(AND(OR(AB$279=123, AB$279=12, AB$279=23, AB$279=2), Cultivar_2_Cohort_Year_Selection=$AB$278), ROUND(MAX(0,AA$320 - 1),0),
IF(AND(OR(AB$279=123, AB$279=13, AB$279=23, AB$279=3), Cultivar_3_Cohort_Year_Selection=$AB$278), ROUND(MAX(0,AA$320 - 1),0),
ROUND(MAX(0,AA$320),0)))))))),""),""),"")</f>
        <v/>
      </c>
      <c r="AC337" s="93" t="str">
        <f>IF(ISNUMBER($B$321),
IF($C337&lt;&gt;"",
IF(AND(ISNUMBER(AB$280), ISNUMBER(AB$317)),
IF(AND(AC$279=123, Cultivar_1_Cohort_Year_Selection=$AC$278,Cultivar_2_Cohort_Year_Selection=$AC$278,Cultivar_3_Cohort_Year_Selection=$AC$278), ROUND(MAX(0,AB$320 - 3),0),
IF(AND(OR(AC$279=123, AC$279=12), Cultivar_1_Cohort_Year_Selection=$AC$278,Cultivar_2_Cohort_Year_Selection=$AC$278), ROUND(MAX(0,AB$320 - 2),0),
IF(AND(OR(AC$279=123, AC$279=13), Cultivar_1_Cohort_Year_Selection=$AC$278,Cultivar_3_Cohort_Year_Selection=$AC$278), ROUND(MAX(0,AB$320 - 2),0),
IF(AND(OR(AC$279=123, AC$279=23), Cultivar_2_Cohort_Year_Selection=$AC$278,Cultivar_3_Cohort_Year_Selection=$AC$278), ROUND(MAX(0,AB$320 - 2),0),
IF(AND(OR(AC$279=123, AC$279=12, AC$279=13, AC$279=1), Cultivar_1_Cohort_Year_Selection=$AC$278), ROUND(MAX(0,AB$320 - 1),0),
IF(AND(OR(AC$279=123, AC$279=12, AC$279=23, AC$279=2), Cultivar_2_Cohort_Year_Selection=$AC$278), ROUND(MAX(0,AB$320 - 1),0),
IF(AND(OR(AC$279=123, AC$279=13, AC$279=23, AC$279=3), Cultivar_3_Cohort_Year_Selection=$AC$278), ROUND(MAX(0,AB$320 - 1),0),
ROUND(MAX(0,AB$320),0)))))))),""),""),"")</f>
        <v/>
      </c>
      <c r="AD337" s="93" t="str">
        <f>IF(ISNUMBER($B$321),
IF($C337&lt;&gt;"",
IF(AND(ISNUMBER(AC$280), ISNUMBER(AC$317)),
IF(AND(AD$279=123, Cultivar_1_Cohort_Year_Selection=$AD$278,Cultivar_2_Cohort_Year_Selection=$AD$278,Cultivar_3_Cohort_Year_Selection=$AD$278), ROUND(MAX(0,AC$320 - 3),0),
IF(AND(OR(AD$279=123, AD$279=12), Cultivar_1_Cohort_Year_Selection=$AD$278,Cultivar_2_Cohort_Year_Selection=$AD$278), ROUND(MAX(0,AC$320 - 2),0),
IF(AND(OR(AD$279=123, AD$279=13), Cultivar_1_Cohort_Year_Selection=$AD$278,Cultivar_3_Cohort_Year_Selection=$AD$278), ROUND(MAX(0,AC$320 - 2),0),
IF(AND(OR(AD$279=123, AD$279=23), Cultivar_2_Cohort_Year_Selection=$AD$278,Cultivar_3_Cohort_Year_Selection=$AD$278), ROUND(MAX(0,AC$320 - 2),0),
IF(AND(OR(AD$279=123, AD$279=12, AD$279=13, AD$279=1), Cultivar_1_Cohort_Year_Selection=$AD$278), ROUND(MAX(0,AC$320 - 1),0),
IF(AND(OR(AD$279=123, AD$279=12, AD$279=23, AD$279=2), Cultivar_2_Cohort_Year_Selection=$AD$278), ROUND(MAX(0,AC$320 - 1),0),
IF(AND(OR(AD$279=123, AD$279=13, AD$279=23, AD$279=3), Cultivar_3_Cohort_Year_Selection=$AD$278), ROUND(MAX(0,AC$320 - 1),0),
ROUND(MAX(0,AC$320),0)))))))),""),""),"")</f>
        <v/>
      </c>
      <c r="AE337" s="93" t="str">
        <f>IF(ISNUMBER($B$321),
IF($C337&lt;&gt;"",
IF(AND(ISNUMBER(AD$280), ISNUMBER(AD$317)),
IF(AND(AE$279=123, Cultivar_1_Cohort_Year_Selection=$AE$278,Cultivar_2_Cohort_Year_Selection=$AE$278,Cultivar_3_Cohort_Year_Selection=$AE$278), ROUND(MAX(0,AD$320 - 3),0),
IF(AND(OR(AE$279=123, AE$279=12), Cultivar_1_Cohort_Year_Selection=$AE$278,Cultivar_2_Cohort_Year_Selection=$AE$278), ROUND(MAX(0,AD$320 - 2),0),
IF(AND(OR(AE$279=123, AE$279=13), Cultivar_1_Cohort_Year_Selection=$AE$278,Cultivar_3_Cohort_Year_Selection=$AE$278), ROUND(MAX(0,AD$320 - 2),0),
IF(AND(OR(AE$279=123, AE$279=23), Cultivar_2_Cohort_Year_Selection=$AE$278,Cultivar_3_Cohort_Year_Selection=$AE$278), ROUND(MAX(0,AD$320 - 2),0),
IF(AND(OR(AE$279=123, AE$279=12, AE$279=13, AE$279=1), Cultivar_1_Cohort_Year_Selection=$AE$278), ROUND(MAX(0,AD$320 - 1),0),
IF(AND(OR(AE$279=123, AE$279=12, AE$279=23, AE$279=2), Cultivar_2_Cohort_Year_Selection=$AE$278), ROUND(MAX(0,AD$320 - 1),0),
IF(AND(OR(AE$279=123, AE$279=13, AE$279=23, AE$279=3), Cultivar_3_Cohort_Year_Selection=$AE$278), ROUND(MAX(0,AD$320 - 1),0),
ROUND(MAX(0,AD$320),0)))))))),""),""),"")</f>
        <v/>
      </c>
      <c r="AF337" s="93" t="str">
        <f>IF(ISNUMBER($B$321),
IF($C337&lt;&gt;"",
IF(AND(ISNUMBER(AE$280), ISNUMBER(AE$317)),
IF(AND(AF$279=123, Cultivar_1_Cohort_Year_Selection=$AF$278,Cultivar_2_Cohort_Year_Selection=$AF$278,Cultivar_3_Cohort_Year_Selection=$AF$278), ROUND(MAX(0,AE$320 - 3),0),
IF(AND(OR(AF$279=123, AF$279=12), Cultivar_1_Cohort_Year_Selection=$AF$278,Cultivar_2_Cohort_Year_Selection=$AF$278), ROUND(MAX(0,AE$320 - 2),0),
IF(AND(OR(AF$279=123, AF$279=13), Cultivar_1_Cohort_Year_Selection=$AF$278,Cultivar_3_Cohort_Year_Selection=$AF$278), ROUND(MAX(0,AE$320 - 2),0),
IF(AND(OR(AF$279=123, AF$279=23), Cultivar_2_Cohort_Year_Selection=$AF$278,Cultivar_3_Cohort_Year_Selection=$AF$278), ROUND(MAX(0,AE$320 - 2),0),
IF(AND(OR(AF$279=123, AF$279=12, AF$279=13, AF$279=1), Cultivar_1_Cohort_Year_Selection=$AF$278), ROUND(MAX(0,AE$320 - 1),0),
IF(AND(OR(AF$279=123, AF$279=12, AF$279=23, AF$279=2), Cultivar_2_Cohort_Year_Selection=$AF$278), ROUND(MAX(0,AE$320 - 1),0),
IF(AND(OR(AF$279=123, AF$279=13, AF$279=23, AF$279=3), Cultivar_3_Cohort_Year_Selection=$AF$278), ROUND(MAX(0,AE$320 - 1),0),
ROUND(MAX(0,AE$320),0)))))))),""),""),"")</f>
        <v/>
      </c>
      <c r="AG337" s="93" t="str">
        <f>IF(ISNUMBER($B$321),
IF($C337&lt;&gt;"",
IF(AND(ISNUMBER(AF$280), ISNUMBER(AF$317)),
IF(AND(AG$279=123, Cultivar_1_Cohort_Year_Selection=$AG$278,Cultivar_2_Cohort_Year_Selection=$AG$278,Cultivar_3_Cohort_Year_Selection=$AG$278), ROUND(MAX(0,AF$320 - 3),0),
IF(AND(OR(AG$279=123, AG$279=12), Cultivar_1_Cohort_Year_Selection=$AG$278,Cultivar_2_Cohort_Year_Selection=$AG$278), ROUND(MAX(0,AF$320 - 2),0),
IF(AND(OR(AG$279=123, AG$279=13), Cultivar_1_Cohort_Year_Selection=$AG$278,Cultivar_3_Cohort_Year_Selection=$AG$278), ROUND(MAX(0,AF$320 - 2),0),
IF(AND(OR(AG$279=123, AG$279=23), Cultivar_2_Cohort_Year_Selection=$AG$278,Cultivar_3_Cohort_Year_Selection=$AG$278), ROUND(MAX(0,AF$320 - 2),0),
IF(AND(OR(AG$279=123, AG$279=12, AG$279=13, AG$279=1), Cultivar_1_Cohort_Year_Selection=$AG$278), ROUND(MAX(0,AF$320 - 1),0),
IF(AND(OR(AG$279=123, AG$279=12, AG$279=23, AG$279=2), Cultivar_2_Cohort_Year_Selection=$AG$278), ROUND(MAX(0,AF$320 - 1),0),
IF(AND(OR(AG$279=123, AG$279=13, AG$279=23, AG$279=3), Cultivar_3_Cohort_Year_Selection=$AG$278), ROUND(MAX(0,AF$320 - 1),0),
ROUND(MAX(0,AF$320),0)))))))),""),""),"")</f>
        <v/>
      </c>
      <c r="AH337" s="93" t="str">
        <f>IF(ISNUMBER($B$321),
IF($C337&lt;&gt;"",
IF(AND(ISNUMBER(AG$280), ISNUMBER(AG$317)),
IF(AND(AH$279=123, Cultivar_1_Cohort_Year_Selection=$AH$278,Cultivar_2_Cohort_Year_Selection=$AH$278,Cultivar_3_Cohort_Year_Selection=$AH$278), ROUND(MAX(0,AG$320 - 3),0),
IF(AND(OR(AH$279=123, AH$279=12), Cultivar_1_Cohort_Year_Selection=$AH$278,Cultivar_2_Cohort_Year_Selection=$AH$278), ROUND(MAX(0,AG$320 - 2),0),
IF(AND(OR(AH$279=123, AH$279=13), Cultivar_1_Cohort_Year_Selection=$AH$278,Cultivar_3_Cohort_Year_Selection=$AH$278), ROUND(MAX(0,AG$320 - 2),0),
IF(AND(OR(AH$279=123, AH$279=23), Cultivar_2_Cohort_Year_Selection=$AH$278,Cultivar_3_Cohort_Year_Selection=$AH$278), ROUND(MAX(0,AG$320 - 2),0),
IF(AND(OR(AH$279=123, AH$279=12, AH$279=13, AH$279=1), Cultivar_1_Cohort_Year_Selection=$AH$278), ROUND(MAX(0,AG$320 - 1),0),
IF(AND(OR(AH$279=123, AH$279=12, AH$279=23, AH$279=2), Cultivar_2_Cohort_Year_Selection=$AH$278), ROUND(MAX(0,AG$320 - 1),0),
IF(AND(OR(AH$279=123, AH$279=13, AH$279=23, AH$279=3), Cultivar_3_Cohort_Year_Selection=$AH$278), ROUND(MAX(0,AG$320 - 1),0),
ROUND(MAX(0,AG$320),0)))))))),""),""),"")</f>
        <v/>
      </c>
      <c r="AI337" s="93" t="str">
        <f>IF(ISNUMBER($B$321),
IF($C337&lt;&gt;"",
IF(AND(ISNUMBER(AH$280), ISNUMBER(AH$317)),
IF(AND(AI$279=123, Cultivar_1_Cohort_Year_Selection=$AI$278,Cultivar_2_Cohort_Year_Selection=$AI$278,Cultivar_3_Cohort_Year_Selection=$AI$278), ROUND(MAX(0,AH$320 - 3),0),
IF(AND(OR(AI$279=123, AI$279=12), Cultivar_1_Cohort_Year_Selection=$AI$278,Cultivar_2_Cohort_Year_Selection=$AI$278), ROUND(MAX(0,AH$320 - 2),0),
IF(AND(OR(AI$279=123, AI$279=13), Cultivar_1_Cohort_Year_Selection=$AI$278,Cultivar_3_Cohort_Year_Selection=$AI$278), ROUND(MAX(0,AH$320 - 2),0),
IF(AND(OR(AI$279=123, AI$279=23), Cultivar_2_Cohort_Year_Selection=$AI$278,Cultivar_3_Cohort_Year_Selection=$AI$278), ROUND(MAX(0,AH$320 - 2),0),
IF(AND(OR(AI$279=123, AI$279=12, AI$279=13, AI$279=1), Cultivar_1_Cohort_Year_Selection=$AI$278), ROUND(MAX(0,AH$320 - 1),0),
IF(AND(OR(AI$279=123, AI$279=12, AI$279=23, AI$279=2), Cultivar_2_Cohort_Year_Selection=$AI$278), ROUND(MAX(0,AH$320 - 1),0),
IF(AND(OR(AI$279=123, AI$279=13, AI$279=23, AI$279=3), Cultivar_3_Cohort_Year_Selection=$AI$278), ROUND(MAX(0,AH$320 - 1),0),
ROUND(MAX(0,AH$320),0)))))))),""),""),"")</f>
        <v/>
      </c>
      <c r="AJ337" s="93" t="str">
        <f>IF(ISNUMBER($B$321),
IF($C337&lt;&gt;"",
IF(AND(ISNUMBER(AI$280), ISNUMBER(AI$317)),
IF(AND(AJ$279=123, Cultivar_1_Cohort_Year_Selection=$AJ$278,Cultivar_2_Cohort_Year_Selection=$AJ$278,Cultivar_3_Cohort_Year_Selection=$AJ$278), ROUND(MAX(0,AI$320 - 3),0),
IF(AND(OR(AJ$279=123, AJ$279=12), Cultivar_1_Cohort_Year_Selection=$AJ$278,Cultivar_2_Cohort_Year_Selection=$AJ$278), ROUND(MAX(0,AI$320 - 2),0),
IF(AND(OR(AJ$279=123, AJ$279=13), Cultivar_1_Cohort_Year_Selection=$AJ$278,Cultivar_3_Cohort_Year_Selection=$AJ$278), ROUND(MAX(0,AI$320 - 2),0),
IF(AND(OR(AJ$279=123, AJ$279=23), Cultivar_2_Cohort_Year_Selection=$AJ$278,Cultivar_3_Cohort_Year_Selection=$AJ$278), ROUND(MAX(0,AI$320 - 2),0),
IF(AND(OR(AJ$279=123, AJ$279=12, AJ$279=13, AJ$279=1), Cultivar_1_Cohort_Year_Selection=$AJ$278), ROUND(MAX(0,AI$320 - 1),0),
IF(AND(OR(AJ$279=123, AJ$279=12, AJ$279=23, AJ$279=2), Cultivar_2_Cohort_Year_Selection=$AJ$278), ROUND(MAX(0,AI$320 - 1),0),
IF(AND(OR(AJ$279=123, AJ$279=13, AJ$279=23, AJ$279=3), Cultivar_3_Cohort_Year_Selection=$AJ$278), ROUND(MAX(0,AI$320 - 1),0),
ROUND(MAX(0,AI$320),0)))))))),""),""),"")</f>
        <v/>
      </c>
      <c r="AK337" s="93" t="str">
        <f>IF(ISNUMBER($B$321),
IF($C337&lt;&gt;"",
IF(AND(ISNUMBER(AJ$280), ISNUMBER(AJ$317)),
IF(AND(AK$279=123, Cultivar_1_Cohort_Year_Selection=$AK$278,Cultivar_2_Cohort_Year_Selection=$AK$278,Cultivar_3_Cohort_Year_Selection=$AK$278), ROUND(MAX(0,AJ$320 - 3),0),
IF(AND(OR(AK$279=123, AK$279=12), Cultivar_1_Cohort_Year_Selection=$AK$278,Cultivar_2_Cohort_Year_Selection=$AK$278), ROUND(MAX(0,AJ$320 - 2),0),
IF(AND(OR(AK$279=123, AK$279=13), Cultivar_1_Cohort_Year_Selection=$AK$278,Cultivar_3_Cohort_Year_Selection=$AK$278), ROUND(MAX(0,AJ$320 - 2),0),
IF(AND(OR(AK$279=123, AK$279=23), Cultivar_2_Cohort_Year_Selection=$AK$278,Cultivar_3_Cohort_Year_Selection=$AK$278), ROUND(MAX(0,AJ$320 - 2),0),
IF(AND(OR(AK$279=123, AK$279=12, AK$279=13, AK$279=1), Cultivar_1_Cohort_Year_Selection=$AK$278), ROUND(MAX(0,AJ$320 - 1),0),
IF(AND(OR(AK$279=123, AK$279=12, AK$279=23, AK$279=2), Cultivar_2_Cohort_Year_Selection=$AK$278), ROUND(MAX(0,AJ$320 - 1),0),
IF(AND(OR(AK$279=123, AK$279=13, AK$279=23, AK$279=3), Cultivar_3_Cohort_Year_Selection=$AK$278), ROUND(MAX(0,AJ$320 - 1),0),
ROUND(MAX(0,AJ$320),0)))))))),""),""),"")</f>
        <v/>
      </c>
      <c r="AL337" s="93" t="str">
        <f>IF(ISNUMBER($B$321),
IF($C337&lt;&gt;"",
IF(AND(ISNUMBER(AK$280), ISNUMBER(AK$317)),
IF(AND(AL$279=123, Cultivar_1_Cohort_Year_Selection=$AL$278,Cultivar_2_Cohort_Year_Selection=$AL$278,Cultivar_3_Cohort_Year_Selection=$AL$278), ROUND(MAX(0,AK$320 - 3),0),
IF(AND(OR(AL$279=123, AL$279=12), Cultivar_1_Cohort_Year_Selection=$AL$278,Cultivar_2_Cohort_Year_Selection=$AL$278), ROUND(MAX(0,AK$320 - 2),0),
IF(AND(OR(AL$279=123, AL$279=13), Cultivar_1_Cohort_Year_Selection=$AL$278,Cultivar_3_Cohort_Year_Selection=$AL$278), ROUND(MAX(0,AK$320 - 2),0),
IF(AND(OR(AL$279=123, AL$279=23), Cultivar_2_Cohort_Year_Selection=$AL$278,Cultivar_3_Cohort_Year_Selection=$AL$278), ROUND(MAX(0,AK$320 - 2),0),
IF(AND(OR(AL$279=123, AL$279=12, AL$279=13, AL$279=1), Cultivar_1_Cohort_Year_Selection=$AL$278), ROUND(MAX(0,AK$320 - 1),0),
IF(AND(OR(AL$279=123, AL$279=12, AL$279=23, AL$279=2), Cultivar_2_Cohort_Year_Selection=$AL$278), ROUND(MAX(0,AK$320 - 1),0),
IF(AND(OR(AL$279=123, AL$279=13, AL$279=23, AL$279=3), Cultivar_3_Cohort_Year_Selection=$AL$278), ROUND(MAX(0,AK$320 - 1),0),
ROUND(MAX(0,AK$320),0)))))))),""),""),"")</f>
        <v/>
      </c>
      <c r="AM337" s="93" t="str">
        <f>IF(ISNUMBER($B$321),
IF($C337&lt;&gt;"",
IF(AND(ISNUMBER(AL$280), ISNUMBER(AL$317)),
IF(AND(AM$279=123, Cultivar_1_Cohort_Year_Selection=$AM$278,Cultivar_2_Cohort_Year_Selection=$AM$278,Cultivar_3_Cohort_Year_Selection=$AM$278), ROUND(MAX(0,AL$320 - 3),0),
IF(AND(OR(AM$279=123, AM$279=12), Cultivar_1_Cohort_Year_Selection=$AM$278,Cultivar_2_Cohort_Year_Selection=$AM$278), ROUND(MAX(0,AL$320 - 2),0),
IF(AND(OR(AM$279=123, AM$279=13), Cultivar_1_Cohort_Year_Selection=$AM$278,Cultivar_3_Cohort_Year_Selection=$AM$278), ROUND(MAX(0,AL$320 - 2),0),
IF(AND(OR(AM$279=123, AM$279=23), Cultivar_2_Cohort_Year_Selection=$AM$278,Cultivar_3_Cohort_Year_Selection=$AM$278), ROUND(MAX(0,AL$320 - 2),0),
IF(AND(OR(AM$279=123, AM$279=12, AM$279=13, AM$279=1), Cultivar_1_Cohort_Year_Selection=$AM$278), ROUND(MAX(0,AL$320 - 1),0),
IF(AND(OR(AM$279=123, AM$279=12, AM$279=23, AM$279=2), Cultivar_2_Cohort_Year_Selection=$AM$278), ROUND(MAX(0,AL$320 - 1),0),
IF(AND(OR(AM$279=123, AM$279=13, AM$279=23, AM$279=3), Cultivar_3_Cohort_Year_Selection=$AM$278), ROUND(MAX(0,AL$320 - 1),0),
ROUND(MAX(0,AL$320),0)))))))),""),""),"")</f>
        <v/>
      </c>
      <c r="AN337" s="93" t="str">
        <f>IF(ISNUMBER($B$321),
IF($C337&lt;&gt;"",
IF(AND(ISNUMBER(AM$280), ISNUMBER(AM$317)),
IF(AND(AN$279=123, Cultivar_1_Cohort_Year_Selection=$AN$278,Cultivar_2_Cohort_Year_Selection=$AN$278,Cultivar_3_Cohort_Year_Selection=$AN$278), ROUND(MAX(0,AM$320 - 3),0),
IF(AND(OR(AN$279=123, AN$279=12), Cultivar_1_Cohort_Year_Selection=$AN$278,Cultivar_2_Cohort_Year_Selection=$AN$278), ROUND(MAX(0,AM$320 - 2),0),
IF(AND(OR(AN$279=123, AN$279=13), Cultivar_1_Cohort_Year_Selection=$AN$278,Cultivar_3_Cohort_Year_Selection=$AN$278), ROUND(MAX(0,AM$320 - 2),0),
IF(AND(OR(AN$279=123, AN$279=23), Cultivar_2_Cohort_Year_Selection=$AN$278,Cultivar_3_Cohort_Year_Selection=$AN$278), ROUND(MAX(0,AM$320 - 2),0),
IF(AND(OR(AN$279=123, AN$279=12, AN$279=13, AN$279=1), Cultivar_1_Cohort_Year_Selection=$AN$278), ROUND(MAX(0,AM$320 - 1),0),
IF(AND(OR(AN$279=123, AN$279=12, AN$279=23, AN$279=2), Cultivar_2_Cohort_Year_Selection=$AN$278), ROUND(MAX(0,AM$320 - 1),0),
IF(AND(OR(AN$279=123, AN$279=13, AN$279=23, AN$279=3), Cultivar_3_Cohort_Year_Selection=$AN$278), ROUND(MAX(0,AM$320 - 1),0),
ROUND(MAX(0,AM$320),0)))))))),""),""),"")</f>
        <v/>
      </c>
      <c r="AO337" s="93" t="str">
        <f>IF(ISNUMBER($B$321),
IF($C337&lt;&gt;"",
IF(AND(ISNUMBER(AN$280), ISNUMBER(AN$317)),
IF(AND(AO$279=123, Cultivar_1_Cohort_Year_Selection=$AO$278,Cultivar_2_Cohort_Year_Selection=$AO$278,Cultivar_3_Cohort_Year_Selection=$AO$278), ROUND(MAX(0,AN$320 - 3),0),
IF(AND(OR(AO$279=123, AO$279=12), Cultivar_1_Cohort_Year_Selection=$AO$278,Cultivar_2_Cohort_Year_Selection=$AO$278), ROUND(MAX(0,AN$320 - 2),0),
IF(AND(OR(AO$279=123, AO$279=13), Cultivar_1_Cohort_Year_Selection=$AO$278,Cultivar_3_Cohort_Year_Selection=$AO$278), ROUND(MAX(0,AN$320 - 2),0),
IF(AND(OR(AO$279=123, AO$279=23), Cultivar_2_Cohort_Year_Selection=$AO$278,Cultivar_3_Cohort_Year_Selection=$AO$278), ROUND(MAX(0,AN$320 - 2),0),
IF(AND(OR(AO$279=123, AO$279=12, AO$279=13, AO$279=1), Cultivar_1_Cohort_Year_Selection=$AO$278), ROUND(MAX(0,AN$320 - 1),0),
IF(AND(OR(AO$279=123, AO$279=12, AO$279=23, AO$279=2), Cultivar_2_Cohort_Year_Selection=$AO$278), ROUND(MAX(0,AN$320 - 1),0),
IF(AND(OR(AO$279=123, AO$279=13, AO$279=23, AO$279=3), Cultivar_3_Cohort_Year_Selection=$AO$278), ROUND(MAX(0,AN$320 - 1),0),
ROUND(MAX(0,AN$320),0)))))))),""),""),"")</f>
        <v/>
      </c>
      <c r="AP337" s="93" t="str">
        <f>IF(ISNUMBER($B$321),
IF($C337&lt;&gt;"",
IF(AND(ISNUMBER(AO$280), ISNUMBER(AO$317)),
IF(AND(AP$279=123, Cultivar_1_Cohort_Year_Selection=$AP$278,Cultivar_2_Cohort_Year_Selection=$AP$278,Cultivar_3_Cohort_Year_Selection=$AP$278), ROUND(MAX(0,AO$320 - 3),0),
IF(AND(OR(AP$279=123, AP$279=12), Cultivar_1_Cohort_Year_Selection=$AP$278,Cultivar_2_Cohort_Year_Selection=$AP$278), ROUND(MAX(0,AO$320 - 2),0),
IF(AND(OR(AP$279=123, AP$279=13), Cultivar_1_Cohort_Year_Selection=$AP$278,Cultivar_3_Cohort_Year_Selection=$AP$278), ROUND(MAX(0,AO$320 - 2),0),
IF(AND(OR(AP$279=123, AP$279=23), Cultivar_2_Cohort_Year_Selection=$AP$278,Cultivar_3_Cohort_Year_Selection=$AP$278), ROUND(MAX(0,AO$320 - 2),0),
IF(AND(OR(AP$279=123, AP$279=12, AP$279=13, AP$279=1), Cultivar_1_Cohort_Year_Selection=$AP$278), ROUND(MAX(0,AO$320 - 1),0),
IF(AND(OR(AP$279=123, AP$279=12, AP$279=23, AP$279=2), Cultivar_2_Cohort_Year_Selection=$AP$278), ROUND(MAX(0,AO$320 - 1),0),
IF(AND(OR(AP$279=123, AP$279=13, AP$279=23, AP$279=3), Cultivar_3_Cohort_Year_Selection=$AP$278), ROUND(MAX(0,AO$320 - 1),0),
ROUND(MAX(0,AO$320),0)))))))),""),""),"")</f>
        <v/>
      </c>
      <c r="AQ337" s="93" t="str">
        <f>IF(ISNUMBER($B$321),
IF($C337&lt;&gt;"",
IF(AND(ISNUMBER(AP$280), ISNUMBER(AP$317)),
IF(AND(AQ$279=123, Cultivar_1_Cohort_Year_Selection=$AQ$278,Cultivar_2_Cohort_Year_Selection=$AQ$278,Cultivar_3_Cohort_Year_Selection=$AQ$278), ROUND(MAX(0,AP$320 - 3),0),
IF(AND(OR(AQ$279=123, AQ$279=12), Cultivar_1_Cohort_Year_Selection=$AQ$278,Cultivar_2_Cohort_Year_Selection=$AQ$278), ROUND(MAX(0,AP$320 - 2),0),
IF(AND(OR(AQ$279=123, AQ$279=13), Cultivar_1_Cohort_Year_Selection=$AQ$278,Cultivar_3_Cohort_Year_Selection=$AQ$278), ROUND(MAX(0,AP$320 - 2),0),
IF(AND(OR(AQ$279=123, AQ$279=23), Cultivar_2_Cohort_Year_Selection=$AQ$278,Cultivar_3_Cohort_Year_Selection=$AQ$278), ROUND(MAX(0,AP$320 - 2),0),
IF(AND(OR(AQ$279=123, AQ$279=12, AQ$279=13, AQ$279=1), Cultivar_1_Cohort_Year_Selection=$AQ$278), ROUND(MAX(0,AP$320 - 1),0),
IF(AND(OR(AQ$279=123, AQ$279=12, AQ$279=23, AQ$279=2), Cultivar_2_Cohort_Year_Selection=$AQ$278), ROUND(MAX(0,AP$320 - 1),0),
IF(AND(OR(AQ$279=123, AQ$279=13, AQ$279=23, AQ$279=3), Cultivar_3_Cohort_Year_Selection=$AQ$278), ROUND(MAX(0,AP$320 - 1),0),
ROUND(MAX(0,AP$320),0)))))))),""),""),"")</f>
        <v/>
      </c>
      <c r="AR337" s="93" t="str">
        <f>IF(ISNUMBER($B$321),
IF($C337&lt;&gt;"",
IF(AND(ISNUMBER(AQ$280), ISNUMBER(AQ$317)),
IF(AND(AR$279=123, Cultivar_1_Cohort_Year_Selection=$AR$278,Cultivar_2_Cohort_Year_Selection=$AR$278,Cultivar_3_Cohort_Year_Selection=$AR$278), ROUND(MAX(0,AQ$320 - 3),0),
IF(AND(OR(AR$279=123, AR$279=12), Cultivar_1_Cohort_Year_Selection=$AR$278,Cultivar_2_Cohort_Year_Selection=$AR$278), ROUND(MAX(0,AQ$320 - 2),0),
IF(AND(OR(AR$279=123, AR$279=13), Cultivar_1_Cohort_Year_Selection=$AR$278,Cultivar_3_Cohort_Year_Selection=$AR$278), ROUND(MAX(0,AQ$320 - 2),0),
IF(AND(OR(AR$279=123, AR$279=23), Cultivar_2_Cohort_Year_Selection=$AR$278,Cultivar_3_Cohort_Year_Selection=$AR$278), ROUND(MAX(0,AQ$320 - 2),0),
IF(AND(OR(AR$279=123, AR$279=12, AR$279=13, AR$279=1), Cultivar_1_Cohort_Year_Selection=$AR$278), ROUND(MAX(0,AQ$320 - 1),0),
IF(AND(OR(AR$279=123, AR$279=12, AR$279=23, AR$279=2), Cultivar_2_Cohort_Year_Selection=$AR$278), ROUND(MAX(0,AQ$320 - 1),0),
IF(AND(OR(AR$279=123, AR$279=13, AR$279=23, AR$279=3), Cultivar_3_Cohort_Year_Selection=$AR$278), ROUND(MAX(0,AQ$320 - 1),0),
ROUND(MAX(0,AQ$320),0)))))))),""),""),"")</f>
        <v/>
      </c>
    </row>
    <row r="338" spans="1:45" x14ac:dyDescent="0.25">
      <c r="A338" s="518"/>
      <c r="B338" s="504"/>
      <c r="C338" s="104" t="str">
        <f>IF(AND(ISNUMBER(B321), C333&lt;&gt;"", OR('Cost Inputs'!$H$121&lt;&gt;"", 'Cost Inputs'!$I$121&lt;&gt;"", 'Cost Inputs'!$J$121&lt;&gt;"")), _4_5_3, "")</f>
        <v/>
      </c>
      <c r="D338" s="17" t="str">
        <f>IF(AND(C338&lt;&gt;"", 'Cost Inputs'!$G$121&lt;&gt;""), 'Cost Inputs'!$G$121, "")</f>
        <v/>
      </c>
      <c r="E338" s="17" t="str">
        <f>IF(AND(C338&lt;&gt;"", 'Cost Inputs'!$H$121&lt;&gt;""), 'Cost Inputs'!$H$121, "")</f>
        <v/>
      </c>
      <c r="F338" s="17" t="str">
        <f>IF(AND(C338&lt;&gt;"", 'Cost Inputs'!$I$121&lt;&gt;""), 'Cost Inputs'!$I$121, "")</f>
        <v/>
      </c>
      <c r="G338" s="105" t="str">
        <f t="shared" si="16"/>
        <v/>
      </c>
      <c r="H338" s="17" t="str">
        <f>IF(AND(C338&lt;&gt;"", 'Cost Inputs'!$J$121&lt;&gt;""), 'Cost Inputs'!$J$121, "")</f>
        <v/>
      </c>
      <c r="I338" s="17" t="str">
        <f>IF($C338&lt;&gt;"", IF(AND($E338&lt;&gt;"", H338&lt;&gt;""), H338/$E338, 0),"")</f>
        <v/>
      </c>
      <c r="J338" s="17" t="str">
        <f>IF(AND(C338&lt;&gt;"",('Cost Inputs'!$I$121+'Cost Inputs'!$J$121+'Cost Inputs'!$K$121)&gt;0), 'Cost Inputs'!$I$121+'Cost Inputs'!$J$121+'Cost Inputs'!$K$121, "")</f>
        <v/>
      </c>
      <c r="K338" s="17" t="str">
        <f>IF($C338&lt;&gt;"", IF(AND($E338&lt;&gt;"", J338&lt;&gt;""), J338/$E338, 0),"")</f>
        <v/>
      </c>
      <c r="L338" s="525"/>
      <c r="M338" s="525"/>
      <c r="P338" s="17" t="str">
        <f>IF(ISNUMBER($B$321),
IF($C338&lt;&gt;"",
IF(AND(ISNUMBER(O$280), ISNUMBER(O$317)),
IF(AND(P$279=123, Cultivar_1_Cohort_Year_Selection=$P$278,Cultivar_2_Cohort_Year_Selection=$P$278,Cultivar_3_Cohort_Year_Selection=$P$278), ROUND(MAX(0,O$320 - 3),0),
IF(AND(OR(P$279=123, P$279=12), Cultivar_1_Cohort_Year_Selection=$P$278,Cultivar_2_Cohort_Year_Selection=$P$278), ROUND(MAX(0,O$320 - 2),0),
IF(AND(OR(P$279=123, P$279=13), Cultivar_1_Cohort_Year_Selection=$P$278,Cultivar_3_Cohort_Year_Selection=$P$278), ROUND(MAX(0,O$320 - 2),0),
IF(AND(OR(P$279=123, P$279=23), Cultivar_2_Cohort_Year_Selection=$P$278,Cultivar_3_Cohort_Year_Selection=$P$278), ROUND(MAX(0,O$320 - 2),0),
IF(AND(OR(P$279=123, P$279=12, P$279=13, P$279=1), Cultivar_1_Cohort_Year_Selection=$P$278), ROUND(MAX(0,O$320 - 1),0),
IF(AND(OR(P$279=123, P$279=12, P$279=23, P$279=2), Cultivar_2_Cohort_Year_Selection=$P$278), ROUND(MAX(0,O$320 - 1),0),
IF(AND(OR(P$279=123, P$279=13, P$279=23, P$279=3), Cultivar_3_Cohort_Year_Selection=$P$278), ROUND(MAX(0,O$320 - 1),0),
ROUND(MAX(0,O$320),0)))))))),""),""),"")</f>
        <v/>
      </c>
      <c r="Q338" s="17" t="str">
        <f>IF(ISNUMBER($B$321),
IF($C338&lt;&gt;"",
IF(AND(ISNUMBER(P$280), ISNUMBER(P$317)),
IF(AND(Q$279=123, Cultivar_1_Cohort_Year_Selection=$Q$278,Cultivar_2_Cohort_Year_Selection=$Q$278,Cultivar_3_Cohort_Year_Selection=$Q$278), ROUND(MAX(0,P$320 - 3),0),
IF(AND(OR(Q$279=123, Q$279=12), Cultivar_1_Cohort_Year_Selection=$Q$278,Cultivar_2_Cohort_Year_Selection=$Q$278), ROUND(MAX(0,P$320 - 2),0),
IF(AND(OR(Q$279=123, Q$279=13), Cultivar_1_Cohort_Year_Selection=$Q$278,Cultivar_3_Cohort_Year_Selection=$Q$278), ROUND(MAX(0,P$320 - 2),0),
IF(AND(OR(Q$279=123, Q$279=23), Cultivar_2_Cohort_Year_Selection=$Q$278,Cultivar_3_Cohort_Year_Selection=$Q$278), ROUND(MAX(0,P$320 - 2),0),
IF(AND(OR(Q$279=123, Q$279=12, Q$279=13, Q$279=1), Cultivar_1_Cohort_Year_Selection=$Q$278), ROUND(MAX(0,P$320 - 1),0),
IF(AND(OR(Q$279=123, Q$279=12, Q$279=23, Q$279=2), Cultivar_2_Cohort_Year_Selection=$Q$278), ROUND(MAX(0,P$320 - 1),0),
IF(AND(OR(Q$279=123, Q$279=13, Q$279=23, Q$279=3), Cultivar_3_Cohort_Year_Selection=$Q$278), ROUND(MAX(0,P$320 - 1),0),
ROUND(MAX(0,P$320),0)))))))),""),""),"")</f>
        <v/>
      </c>
      <c r="R338" s="17" t="str">
        <f>IF(ISNUMBER($B$321),
IF($C338&lt;&gt;"",
IF(AND(ISNUMBER(Q$280), ISNUMBER(Q$317)),
IF(AND(R$279=123, Cultivar_1_Cohort_Year_Selection=$R$278,Cultivar_2_Cohort_Year_Selection=$R$278,Cultivar_3_Cohort_Year_Selection=$R$278), ROUND(MAX(0,Q$320 - 3),0),
IF(AND(OR(R$279=123, R$279=12), Cultivar_1_Cohort_Year_Selection=$R$278,Cultivar_2_Cohort_Year_Selection=$R$278), ROUND(MAX(0,Q$320 - 2),0),
IF(AND(OR(R$279=123, R$279=13), Cultivar_1_Cohort_Year_Selection=$R$278,Cultivar_3_Cohort_Year_Selection=$R$278), ROUND(MAX(0,Q$320 - 2),0),
IF(AND(OR(R$279=123, R$279=23), Cultivar_2_Cohort_Year_Selection=$R$278,Cultivar_3_Cohort_Year_Selection=$R$278), ROUND(MAX(0,Q$320 - 2),0),
IF(AND(OR(R$279=123, R$279=12, R$279=13, R$279=1), Cultivar_1_Cohort_Year_Selection=$R$278), ROUND(MAX(0,Q$320 - 1),0),
IF(AND(OR(R$279=123, R$279=12, R$279=23, R$279=2), Cultivar_2_Cohort_Year_Selection=$R$278), ROUND(MAX(0,Q$320 - 1),0),
IF(AND(OR(R$279=123, R$279=13, R$279=23, R$279=3), Cultivar_3_Cohort_Year_Selection=$R$278), ROUND(MAX(0,Q$320 - 1),0),
ROUND(MAX(0,Q$320),0)))))))),""),""),"")</f>
        <v/>
      </c>
      <c r="S338" s="17" t="str">
        <f>IF(ISNUMBER($B$321),
IF($C338&lt;&gt;"",
IF(AND(ISNUMBER(R$280), ISNUMBER(R$317)),
IF(AND(S$279=123, Cultivar_1_Cohort_Year_Selection=$S$278,Cultivar_2_Cohort_Year_Selection=$S$278,Cultivar_3_Cohort_Year_Selection=$S$278), ROUND(MAX(0,R$320 - 3),0),
IF(AND(OR(S$279=123, S$279=12), Cultivar_1_Cohort_Year_Selection=$S$278,Cultivar_2_Cohort_Year_Selection=$S$278), ROUND(MAX(0,R$320 - 2),0),
IF(AND(OR(S$279=123, S$279=13), Cultivar_1_Cohort_Year_Selection=$S$278,Cultivar_3_Cohort_Year_Selection=$S$278), ROUND(MAX(0,R$320 - 2),0),
IF(AND(OR(S$279=123, S$279=23), Cultivar_2_Cohort_Year_Selection=$S$278,Cultivar_3_Cohort_Year_Selection=$S$278), ROUND(MAX(0,R$320 - 2),0),
IF(AND(OR(S$279=123, S$279=12, S$279=13, S$279=1), Cultivar_1_Cohort_Year_Selection=$S$278), ROUND(MAX(0,R$320 - 1),0),
IF(AND(OR(S$279=123, S$279=12, S$279=23, S$279=2), Cultivar_2_Cohort_Year_Selection=$S$278), ROUND(MAX(0,R$320 - 1),0),
IF(AND(OR(S$279=123, S$279=13, S$279=23, S$279=3), Cultivar_3_Cohort_Year_Selection=$S$278), ROUND(MAX(0,R$320 - 1),0),
ROUND(MAX(0,R$320),0)))))))),""),""),"")</f>
        <v/>
      </c>
      <c r="T338" s="17" t="str">
        <f>IF(ISNUMBER($B$321),
IF($C338&lt;&gt;"",
IF(AND(ISNUMBER(S$280), ISNUMBER(S$317)),
IF(AND(T$279=123, Cultivar_1_Cohort_Year_Selection=$T$278,Cultivar_2_Cohort_Year_Selection=$T$278,Cultivar_3_Cohort_Year_Selection=$T$278), ROUND(MAX(0,S$320 - 3),0),
IF(AND(OR(T$279=123, T$279=12), Cultivar_1_Cohort_Year_Selection=$T$278,Cultivar_2_Cohort_Year_Selection=$T$278), ROUND(MAX(0,S$320 - 2),0),
IF(AND(OR(T$279=123, T$279=13), Cultivar_1_Cohort_Year_Selection=$T$278,Cultivar_3_Cohort_Year_Selection=$T$278), ROUND(MAX(0,S$320 - 2),0),
IF(AND(OR(T$279=123, T$279=23), Cultivar_2_Cohort_Year_Selection=$T$278,Cultivar_3_Cohort_Year_Selection=$T$278), ROUND(MAX(0,S$320 - 2),0),
IF(AND(OR(T$279=123, T$279=12, T$279=13, T$279=1), Cultivar_1_Cohort_Year_Selection=$T$278), ROUND(MAX(0,S$320 - 1),0),
IF(AND(OR(T$279=123, T$279=12, T$279=23, T$279=2), Cultivar_2_Cohort_Year_Selection=$T$278), ROUND(MAX(0,S$320 - 1),0),
IF(AND(OR(T$279=123, T$279=13, T$279=23, T$279=3), Cultivar_3_Cohort_Year_Selection=$T$278), ROUND(MAX(0,S$320 - 1),0),
ROUND(MAX(0,S$320),0)))))))),""),""),"")</f>
        <v/>
      </c>
      <c r="U338" s="17" t="str">
        <f>IF(ISNUMBER($B$321),
IF($C338&lt;&gt;"",
IF(AND(ISNUMBER(T$280), ISNUMBER(T$317)),
IF(AND(U$279=123, Cultivar_1_Cohort_Year_Selection=$U$278,Cultivar_2_Cohort_Year_Selection=$U$278,Cultivar_3_Cohort_Year_Selection=$U$278), ROUND(MAX(0,T$320 - 3),0),
IF(AND(OR(U$279=123, U$279=12), Cultivar_1_Cohort_Year_Selection=$U$278,Cultivar_2_Cohort_Year_Selection=$U$278), ROUND(MAX(0,T$320 - 2),0),
IF(AND(OR(U$279=123, U$279=13), Cultivar_1_Cohort_Year_Selection=$U$278,Cultivar_3_Cohort_Year_Selection=$U$278), ROUND(MAX(0,T$320 - 2),0),
IF(AND(OR(U$279=123, U$279=23), Cultivar_2_Cohort_Year_Selection=$U$278,Cultivar_3_Cohort_Year_Selection=$U$278), ROUND(MAX(0,T$320 - 2),0),
IF(AND(OR(U$279=123, U$279=12, U$279=13, U$279=1), Cultivar_1_Cohort_Year_Selection=$U$278), ROUND(MAX(0,T$320 - 1),0),
IF(AND(OR(U$279=123, U$279=12, U$279=23, U$279=2), Cultivar_2_Cohort_Year_Selection=$U$278), ROUND(MAX(0,T$320 - 1),0),
IF(AND(OR(U$279=123, U$279=13, U$279=23, U$279=3), Cultivar_3_Cohort_Year_Selection=$U$278), ROUND(MAX(0,T$320 - 1),0),
ROUND(MAX(0,T$320),0)))))))),""),""),"")</f>
        <v/>
      </c>
      <c r="V338" s="17" t="str">
        <f>IF(ISNUMBER($B$321),
IF($C338&lt;&gt;"",
IF(AND(ISNUMBER(U$280), ISNUMBER(U$317)),
IF(AND(V$279=123, Cultivar_1_Cohort_Year_Selection=$V$278,Cultivar_2_Cohort_Year_Selection=$V$278,Cultivar_3_Cohort_Year_Selection=$V$278), ROUND(MAX(0,U$320 - 3),0),
IF(AND(OR(V$279=123, V$279=12), Cultivar_1_Cohort_Year_Selection=$V$278,Cultivar_2_Cohort_Year_Selection=$V$278), ROUND(MAX(0,U$320 - 2),0),
IF(AND(OR(V$279=123, V$279=13), Cultivar_1_Cohort_Year_Selection=$V$278,Cultivar_3_Cohort_Year_Selection=$V$278), ROUND(MAX(0,U$320 - 2),0),
IF(AND(OR(V$279=123, V$279=23), Cultivar_2_Cohort_Year_Selection=$V$278,Cultivar_3_Cohort_Year_Selection=$V$278), ROUND(MAX(0,U$320 - 2),0),
IF(AND(OR(V$279=123, V$279=12, V$279=13, V$279=1), Cultivar_1_Cohort_Year_Selection=$V$278), ROUND(MAX(0,U$320 - 1),0),
IF(AND(OR(V$279=123, V$279=12, V$279=23, V$279=2), Cultivar_2_Cohort_Year_Selection=$V$278), ROUND(MAX(0,U$320 - 1),0),
IF(AND(OR(V$279=123, V$279=13, V$279=23, V$279=3), Cultivar_3_Cohort_Year_Selection=$V$278), ROUND(MAX(0,U$320 - 1),0),
ROUND(MAX(0,U$320),0)))))))),""),""),"")</f>
        <v/>
      </c>
      <c r="W338" s="17" t="str">
        <f>IF(ISNUMBER($B$321),
IF($C338&lt;&gt;"",
IF(AND(ISNUMBER(V$280), ISNUMBER(V$317)),
IF(AND(W$279=123, Cultivar_1_Cohort_Year_Selection=$W$278,Cultivar_2_Cohort_Year_Selection=$W$278,Cultivar_3_Cohort_Year_Selection=$W$278), ROUND(MAX(0,V$320 - 3),0),
IF(AND(OR(W$279=123, W$279=12), Cultivar_1_Cohort_Year_Selection=$W$278,Cultivar_2_Cohort_Year_Selection=$W$278), ROUND(MAX(0,V$320 - 2),0),
IF(AND(OR(W$279=123, W$279=13), Cultivar_1_Cohort_Year_Selection=$W$278,Cultivar_3_Cohort_Year_Selection=$W$278), ROUND(MAX(0,V$320 - 2),0),
IF(AND(OR(W$279=123, W$279=23), Cultivar_2_Cohort_Year_Selection=$W$278,Cultivar_3_Cohort_Year_Selection=$W$278), ROUND(MAX(0,V$320 - 2),0),
IF(AND(OR(W$279=123, W$279=12, W$279=13, W$279=1), Cultivar_1_Cohort_Year_Selection=$W$278), ROUND(MAX(0,V$320 - 1),0),
IF(AND(OR(W$279=123, W$279=12, W$279=23, W$279=2), Cultivar_2_Cohort_Year_Selection=$W$278), ROUND(MAX(0,V$320 - 1),0),
IF(AND(OR(W$279=123, W$279=13, W$279=23, W$279=3), Cultivar_3_Cohort_Year_Selection=$W$278), ROUND(MAX(0,V$320 - 1),0),
ROUND(MAX(0,V$320),0)))))))),""),""),"")</f>
        <v/>
      </c>
      <c r="X338" s="17" t="str">
        <f>IF(ISNUMBER($B$321),
IF($C338&lt;&gt;"",
IF(AND(ISNUMBER(W$280), ISNUMBER(W$317)),
IF(AND(X$279=123, Cultivar_1_Cohort_Year_Selection=$X$278,Cultivar_2_Cohort_Year_Selection=$X$278,Cultivar_3_Cohort_Year_Selection=$X$278), ROUND(MAX(0,W$320 - 3),0),
IF(AND(OR(X$279=123, X$279=12), Cultivar_1_Cohort_Year_Selection=$X$278,Cultivar_2_Cohort_Year_Selection=$X$278), ROUND(MAX(0,W$320 - 2),0),
IF(AND(OR(X$279=123, X$279=13), Cultivar_1_Cohort_Year_Selection=$X$278,Cultivar_3_Cohort_Year_Selection=$X$278), ROUND(MAX(0,W$320 - 2),0),
IF(AND(OR(X$279=123, X$279=23), Cultivar_2_Cohort_Year_Selection=$X$278,Cultivar_3_Cohort_Year_Selection=$X$278), ROUND(MAX(0,W$320 - 2),0),
IF(AND(OR(X$279=123, X$279=12, X$279=13, X$279=1), Cultivar_1_Cohort_Year_Selection=$X$278), ROUND(MAX(0,W$320 - 1),0),
IF(AND(OR(X$279=123, X$279=12, X$279=23, X$279=2), Cultivar_2_Cohort_Year_Selection=$X$278), ROUND(MAX(0,W$320 - 1),0),
IF(AND(OR(X$279=123, X$279=13, X$279=23, X$279=3), Cultivar_3_Cohort_Year_Selection=$X$278), ROUND(MAX(0,W$320 - 1),0),
ROUND(MAX(0,W$320),0)))))))),""),""),"")</f>
        <v/>
      </c>
      <c r="Y338" s="17" t="str">
        <f>IF(ISNUMBER($B$321),
IF($C338&lt;&gt;"",
IF(AND(ISNUMBER(X$280), ISNUMBER(X$317)),
IF(AND(Y$279=123, Cultivar_1_Cohort_Year_Selection=$Y$278,Cultivar_2_Cohort_Year_Selection=$Y$278,Cultivar_3_Cohort_Year_Selection=$Y$278), ROUND(MAX(0,X$320 - 3),0),
IF(AND(OR(Y$279=123, Y$279=12), Cultivar_1_Cohort_Year_Selection=$Y$278,Cultivar_2_Cohort_Year_Selection=$Y$278), ROUND(MAX(0,X$320 - 2),0),
IF(AND(OR(Y$279=123, Y$279=13), Cultivar_1_Cohort_Year_Selection=$Y$278,Cultivar_3_Cohort_Year_Selection=$Y$278), ROUND(MAX(0,X$320 - 2),0),
IF(AND(OR(Y$279=123, Y$279=23), Cultivar_2_Cohort_Year_Selection=$Y$278,Cultivar_3_Cohort_Year_Selection=$Y$278), ROUND(MAX(0,X$320 - 2),0),
IF(AND(OR(Y$279=123, Y$279=12, Y$279=13, Y$279=1), Cultivar_1_Cohort_Year_Selection=$Y$278), ROUND(MAX(0,X$320 - 1),0),
IF(AND(OR(Y$279=123, Y$279=12, Y$279=23, Y$279=2), Cultivar_2_Cohort_Year_Selection=$Y$278), ROUND(MAX(0,X$320 - 1),0),
IF(AND(OR(Y$279=123, Y$279=13, Y$279=23, Y$279=3), Cultivar_3_Cohort_Year_Selection=$Y$278), ROUND(MAX(0,X$320 - 1),0),
ROUND(MAX(0,X$320),0)))))))),""),""),"")</f>
        <v/>
      </c>
      <c r="Z338" s="17" t="str">
        <f>IF(ISNUMBER($B$321),
IF($C338&lt;&gt;"",
IF(AND(ISNUMBER(Y$280), ISNUMBER(Y$317)),
IF(AND(Z$279=123, Cultivar_1_Cohort_Year_Selection=$Z$278,Cultivar_2_Cohort_Year_Selection=$Z$278,Cultivar_3_Cohort_Year_Selection=$Z$278), ROUND(MAX(0,Y$320 - 3),0),
IF(AND(OR(Z$279=123, Z$279=12), Cultivar_1_Cohort_Year_Selection=$Z$278,Cultivar_2_Cohort_Year_Selection=$Z$278), ROUND(MAX(0,Y$320 - 2),0),
IF(AND(OR(Z$279=123, Z$279=13), Cultivar_1_Cohort_Year_Selection=$Z$278,Cultivar_3_Cohort_Year_Selection=$Z$278), ROUND(MAX(0,Y$320 - 2),0),
IF(AND(OR(Z$279=123, Z$279=23), Cultivar_2_Cohort_Year_Selection=$Z$278,Cultivar_3_Cohort_Year_Selection=$Z$278), ROUND(MAX(0,Y$320 - 2),0),
IF(AND(OR(Z$279=123, Z$279=12, Z$279=13, Z$279=1), Cultivar_1_Cohort_Year_Selection=$Z$278), ROUND(MAX(0,Y$320 - 1),0),
IF(AND(OR(Z$279=123, Z$279=12, Z$279=23, Z$279=2), Cultivar_2_Cohort_Year_Selection=$Z$278), ROUND(MAX(0,Y$320 - 1),0),
IF(AND(OR(Z$279=123, Z$279=13, Z$279=23, Z$279=3), Cultivar_3_Cohort_Year_Selection=$Z$278), ROUND(MAX(0,Y$320 - 1),0),
ROUND(MAX(0,Y$320),0)))))))),""),""),"")</f>
        <v/>
      </c>
      <c r="AA338" s="17" t="str">
        <f>IF(ISNUMBER($B$321),
IF($C338&lt;&gt;"",
IF(AND(ISNUMBER(Z$280), ISNUMBER(Z$317)),
IF(AND(AA$279=123, Cultivar_1_Cohort_Year_Selection=$AA$278,Cultivar_2_Cohort_Year_Selection=$AA$278,Cultivar_3_Cohort_Year_Selection=$AA$278), ROUND(MAX(0,Z$320 - 3),0),
IF(AND(OR(AA$279=123, AA$279=12), Cultivar_1_Cohort_Year_Selection=$AA$278,Cultivar_2_Cohort_Year_Selection=$AA$278), ROUND(MAX(0,Z$320 - 2),0),
IF(AND(OR(AA$279=123, AA$279=13), Cultivar_1_Cohort_Year_Selection=$AA$278,Cultivar_3_Cohort_Year_Selection=$AA$278), ROUND(MAX(0,Z$320 - 2),0),
IF(AND(OR(AA$279=123, AA$279=23), Cultivar_2_Cohort_Year_Selection=$AA$278,Cultivar_3_Cohort_Year_Selection=$AA$278), ROUND(MAX(0,Z$320 - 2),0),
IF(AND(OR(AA$279=123, AA$279=12, AA$279=13, AA$279=1), Cultivar_1_Cohort_Year_Selection=$AA$278), ROUND(MAX(0,Z$320 - 1),0),
IF(AND(OR(AA$279=123, AA$279=12, AA$279=23, AA$279=2), Cultivar_2_Cohort_Year_Selection=$AA$278), ROUND(MAX(0,Z$320 - 1),0),
IF(AND(OR(AA$279=123, AA$279=13, AA$279=23, AA$279=3), Cultivar_3_Cohort_Year_Selection=$AA$278), ROUND(MAX(0,Z$320 - 1),0),
ROUND(MAX(0,Z$320),0)))))))),""),""),"")</f>
        <v/>
      </c>
      <c r="AB338" s="17" t="str">
        <f>IF(ISNUMBER($B$321),
IF($C338&lt;&gt;"",
IF(AND(ISNUMBER(AA$280), ISNUMBER(AA$317)),
IF(AND(AB$279=123, Cultivar_1_Cohort_Year_Selection=$AB$278,Cultivar_2_Cohort_Year_Selection=$AB$278,Cultivar_3_Cohort_Year_Selection=$AB$278), ROUND(MAX(0,AA$320 - 3),0),
IF(AND(OR(AB$279=123, AB$279=12), Cultivar_1_Cohort_Year_Selection=$AB$278,Cultivar_2_Cohort_Year_Selection=$AB$278), ROUND(MAX(0,AA$320 - 2),0),
IF(AND(OR(AB$279=123, AB$279=13), Cultivar_1_Cohort_Year_Selection=$AB$278,Cultivar_3_Cohort_Year_Selection=$AB$278), ROUND(MAX(0,AA$320 - 2),0),
IF(AND(OR(AB$279=123, AB$279=23), Cultivar_2_Cohort_Year_Selection=$AB$278,Cultivar_3_Cohort_Year_Selection=$AB$278), ROUND(MAX(0,AA$320 - 2),0),
IF(AND(OR(AB$279=123, AB$279=12, AB$279=13, AB$279=1), Cultivar_1_Cohort_Year_Selection=$AB$278), ROUND(MAX(0,AA$320 - 1),0),
IF(AND(OR(AB$279=123, AB$279=12, AB$279=23, AB$279=2), Cultivar_2_Cohort_Year_Selection=$AB$278), ROUND(MAX(0,AA$320 - 1),0),
IF(AND(OR(AB$279=123, AB$279=13, AB$279=23, AB$279=3), Cultivar_3_Cohort_Year_Selection=$AB$278), ROUND(MAX(0,AA$320 - 1),0),
ROUND(MAX(0,AA$320),0)))))))),""),""),"")</f>
        <v/>
      </c>
      <c r="AC338" s="17" t="str">
        <f>IF(ISNUMBER($B$321),
IF($C338&lt;&gt;"",
IF(AND(ISNUMBER(AB$280), ISNUMBER(AB$317)),
IF(AND(AC$279=123, Cultivar_1_Cohort_Year_Selection=$AC$278,Cultivar_2_Cohort_Year_Selection=$AC$278,Cultivar_3_Cohort_Year_Selection=$AC$278), ROUND(MAX(0,AB$320 - 3),0),
IF(AND(OR(AC$279=123, AC$279=12), Cultivar_1_Cohort_Year_Selection=$AC$278,Cultivar_2_Cohort_Year_Selection=$AC$278), ROUND(MAX(0,AB$320 - 2),0),
IF(AND(OR(AC$279=123, AC$279=13), Cultivar_1_Cohort_Year_Selection=$AC$278,Cultivar_3_Cohort_Year_Selection=$AC$278), ROUND(MAX(0,AB$320 - 2),0),
IF(AND(OR(AC$279=123, AC$279=23), Cultivar_2_Cohort_Year_Selection=$AC$278,Cultivar_3_Cohort_Year_Selection=$AC$278), ROUND(MAX(0,AB$320 - 2),0),
IF(AND(OR(AC$279=123, AC$279=12, AC$279=13, AC$279=1), Cultivar_1_Cohort_Year_Selection=$AC$278), ROUND(MAX(0,AB$320 - 1),0),
IF(AND(OR(AC$279=123, AC$279=12, AC$279=23, AC$279=2), Cultivar_2_Cohort_Year_Selection=$AC$278), ROUND(MAX(0,AB$320 - 1),0),
IF(AND(OR(AC$279=123, AC$279=13, AC$279=23, AC$279=3), Cultivar_3_Cohort_Year_Selection=$AC$278), ROUND(MAX(0,AB$320 - 1),0),
ROUND(MAX(0,AB$320),0)))))))),""),""),"")</f>
        <v/>
      </c>
      <c r="AD338" s="17" t="str">
        <f>IF(ISNUMBER($B$321),
IF($C338&lt;&gt;"",
IF(AND(ISNUMBER(AC$280), ISNUMBER(AC$317)),
IF(AND(AD$279=123, Cultivar_1_Cohort_Year_Selection=$AD$278,Cultivar_2_Cohort_Year_Selection=$AD$278,Cultivar_3_Cohort_Year_Selection=$AD$278), ROUND(MAX(0,AC$320 - 3),0),
IF(AND(OR(AD$279=123, AD$279=12), Cultivar_1_Cohort_Year_Selection=$AD$278,Cultivar_2_Cohort_Year_Selection=$AD$278), ROUND(MAX(0,AC$320 - 2),0),
IF(AND(OR(AD$279=123, AD$279=13), Cultivar_1_Cohort_Year_Selection=$AD$278,Cultivar_3_Cohort_Year_Selection=$AD$278), ROUND(MAX(0,AC$320 - 2),0),
IF(AND(OR(AD$279=123, AD$279=23), Cultivar_2_Cohort_Year_Selection=$AD$278,Cultivar_3_Cohort_Year_Selection=$AD$278), ROUND(MAX(0,AC$320 - 2),0),
IF(AND(OR(AD$279=123, AD$279=12, AD$279=13, AD$279=1), Cultivar_1_Cohort_Year_Selection=$AD$278), ROUND(MAX(0,AC$320 - 1),0),
IF(AND(OR(AD$279=123, AD$279=12, AD$279=23, AD$279=2), Cultivar_2_Cohort_Year_Selection=$AD$278), ROUND(MAX(0,AC$320 - 1),0),
IF(AND(OR(AD$279=123, AD$279=13, AD$279=23, AD$279=3), Cultivar_3_Cohort_Year_Selection=$AD$278), ROUND(MAX(0,AC$320 - 1),0),
ROUND(MAX(0,AC$320),0)))))))),""),""),"")</f>
        <v/>
      </c>
      <c r="AE338" s="17" t="str">
        <f>IF(ISNUMBER($B$321),
IF($C338&lt;&gt;"",
IF(AND(ISNUMBER(AD$280), ISNUMBER(AD$317)),
IF(AND(AE$279=123, Cultivar_1_Cohort_Year_Selection=$AE$278,Cultivar_2_Cohort_Year_Selection=$AE$278,Cultivar_3_Cohort_Year_Selection=$AE$278), ROUND(MAX(0,AD$320 - 3),0),
IF(AND(OR(AE$279=123, AE$279=12), Cultivar_1_Cohort_Year_Selection=$AE$278,Cultivar_2_Cohort_Year_Selection=$AE$278), ROUND(MAX(0,AD$320 - 2),0),
IF(AND(OR(AE$279=123, AE$279=13), Cultivar_1_Cohort_Year_Selection=$AE$278,Cultivar_3_Cohort_Year_Selection=$AE$278), ROUND(MAX(0,AD$320 - 2),0),
IF(AND(OR(AE$279=123, AE$279=23), Cultivar_2_Cohort_Year_Selection=$AE$278,Cultivar_3_Cohort_Year_Selection=$AE$278), ROUND(MAX(0,AD$320 - 2),0),
IF(AND(OR(AE$279=123, AE$279=12, AE$279=13, AE$279=1), Cultivar_1_Cohort_Year_Selection=$AE$278), ROUND(MAX(0,AD$320 - 1),0),
IF(AND(OR(AE$279=123, AE$279=12, AE$279=23, AE$279=2), Cultivar_2_Cohort_Year_Selection=$AE$278), ROUND(MAX(0,AD$320 - 1),0),
IF(AND(OR(AE$279=123, AE$279=13, AE$279=23, AE$279=3), Cultivar_3_Cohort_Year_Selection=$AE$278), ROUND(MAX(0,AD$320 - 1),0),
ROUND(MAX(0,AD$320),0)))))))),""),""),"")</f>
        <v/>
      </c>
      <c r="AF338" s="17" t="str">
        <f>IF(ISNUMBER($B$321),
IF($C338&lt;&gt;"",
IF(AND(ISNUMBER(AE$280), ISNUMBER(AE$317)),
IF(AND(AF$279=123, Cultivar_1_Cohort_Year_Selection=$AF$278,Cultivar_2_Cohort_Year_Selection=$AF$278,Cultivar_3_Cohort_Year_Selection=$AF$278), ROUND(MAX(0,AE$320 - 3),0),
IF(AND(OR(AF$279=123, AF$279=12), Cultivar_1_Cohort_Year_Selection=$AF$278,Cultivar_2_Cohort_Year_Selection=$AF$278), ROUND(MAX(0,AE$320 - 2),0),
IF(AND(OR(AF$279=123, AF$279=13), Cultivar_1_Cohort_Year_Selection=$AF$278,Cultivar_3_Cohort_Year_Selection=$AF$278), ROUND(MAX(0,AE$320 - 2),0),
IF(AND(OR(AF$279=123, AF$279=23), Cultivar_2_Cohort_Year_Selection=$AF$278,Cultivar_3_Cohort_Year_Selection=$AF$278), ROUND(MAX(0,AE$320 - 2),0),
IF(AND(OR(AF$279=123, AF$279=12, AF$279=13, AF$279=1), Cultivar_1_Cohort_Year_Selection=$AF$278), ROUND(MAX(0,AE$320 - 1),0),
IF(AND(OR(AF$279=123, AF$279=12, AF$279=23, AF$279=2), Cultivar_2_Cohort_Year_Selection=$AF$278), ROUND(MAX(0,AE$320 - 1),0),
IF(AND(OR(AF$279=123, AF$279=13, AF$279=23, AF$279=3), Cultivar_3_Cohort_Year_Selection=$AF$278), ROUND(MAX(0,AE$320 - 1),0),
ROUND(MAX(0,AE$320),0)))))))),""),""),"")</f>
        <v/>
      </c>
      <c r="AG338" s="17" t="str">
        <f>IF(ISNUMBER($B$321),
IF($C338&lt;&gt;"",
IF(AND(ISNUMBER(AF$280), ISNUMBER(AF$317)),
IF(AND(AG$279=123, Cultivar_1_Cohort_Year_Selection=$AG$278,Cultivar_2_Cohort_Year_Selection=$AG$278,Cultivar_3_Cohort_Year_Selection=$AG$278), ROUND(MAX(0,AF$320 - 3),0),
IF(AND(OR(AG$279=123, AG$279=12), Cultivar_1_Cohort_Year_Selection=$AG$278,Cultivar_2_Cohort_Year_Selection=$AG$278), ROUND(MAX(0,AF$320 - 2),0),
IF(AND(OR(AG$279=123, AG$279=13), Cultivar_1_Cohort_Year_Selection=$AG$278,Cultivar_3_Cohort_Year_Selection=$AG$278), ROUND(MAX(0,AF$320 - 2),0),
IF(AND(OR(AG$279=123, AG$279=23), Cultivar_2_Cohort_Year_Selection=$AG$278,Cultivar_3_Cohort_Year_Selection=$AG$278), ROUND(MAX(0,AF$320 - 2),0),
IF(AND(OR(AG$279=123, AG$279=12, AG$279=13, AG$279=1), Cultivar_1_Cohort_Year_Selection=$AG$278), ROUND(MAX(0,AF$320 - 1),0),
IF(AND(OR(AG$279=123, AG$279=12, AG$279=23, AG$279=2), Cultivar_2_Cohort_Year_Selection=$AG$278), ROUND(MAX(0,AF$320 - 1),0),
IF(AND(OR(AG$279=123, AG$279=13, AG$279=23, AG$279=3), Cultivar_3_Cohort_Year_Selection=$AG$278), ROUND(MAX(0,AF$320 - 1),0),
ROUND(MAX(0,AF$320),0)))))))),""),""),"")</f>
        <v/>
      </c>
      <c r="AH338" s="17" t="str">
        <f>IF(ISNUMBER($B$321),
IF($C338&lt;&gt;"",
IF(AND(ISNUMBER(AG$280), ISNUMBER(AG$317)),
IF(AND(AH$279=123, Cultivar_1_Cohort_Year_Selection=$AH$278,Cultivar_2_Cohort_Year_Selection=$AH$278,Cultivar_3_Cohort_Year_Selection=$AH$278), ROUND(MAX(0,AG$320 - 3),0),
IF(AND(OR(AH$279=123, AH$279=12), Cultivar_1_Cohort_Year_Selection=$AH$278,Cultivar_2_Cohort_Year_Selection=$AH$278), ROUND(MAX(0,AG$320 - 2),0),
IF(AND(OR(AH$279=123, AH$279=13), Cultivar_1_Cohort_Year_Selection=$AH$278,Cultivar_3_Cohort_Year_Selection=$AH$278), ROUND(MAX(0,AG$320 - 2),0),
IF(AND(OR(AH$279=123, AH$279=23), Cultivar_2_Cohort_Year_Selection=$AH$278,Cultivar_3_Cohort_Year_Selection=$AH$278), ROUND(MAX(0,AG$320 - 2),0),
IF(AND(OR(AH$279=123, AH$279=12, AH$279=13, AH$279=1), Cultivar_1_Cohort_Year_Selection=$AH$278), ROUND(MAX(0,AG$320 - 1),0),
IF(AND(OR(AH$279=123, AH$279=12, AH$279=23, AH$279=2), Cultivar_2_Cohort_Year_Selection=$AH$278), ROUND(MAX(0,AG$320 - 1),0),
IF(AND(OR(AH$279=123, AH$279=13, AH$279=23, AH$279=3), Cultivar_3_Cohort_Year_Selection=$AH$278), ROUND(MAX(0,AG$320 - 1),0),
ROUND(MAX(0,AG$320),0)))))))),""),""),"")</f>
        <v/>
      </c>
      <c r="AI338" s="17" t="str">
        <f>IF(ISNUMBER($B$321),
IF($C338&lt;&gt;"",
IF(AND(ISNUMBER(AH$280), ISNUMBER(AH$317)),
IF(AND(AI$279=123, Cultivar_1_Cohort_Year_Selection=$AI$278,Cultivar_2_Cohort_Year_Selection=$AI$278,Cultivar_3_Cohort_Year_Selection=$AI$278), ROUND(MAX(0,AH$320 - 3),0),
IF(AND(OR(AI$279=123, AI$279=12), Cultivar_1_Cohort_Year_Selection=$AI$278,Cultivar_2_Cohort_Year_Selection=$AI$278), ROUND(MAX(0,AH$320 - 2),0),
IF(AND(OR(AI$279=123, AI$279=13), Cultivar_1_Cohort_Year_Selection=$AI$278,Cultivar_3_Cohort_Year_Selection=$AI$278), ROUND(MAX(0,AH$320 - 2),0),
IF(AND(OR(AI$279=123, AI$279=23), Cultivar_2_Cohort_Year_Selection=$AI$278,Cultivar_3_Cohort_Year_Selection=$AI$278), ROUND(MAX(0,AH$320 - 2),0),
IF(AND(OR(AI$279=123, AI$279=12, AI$279=13, AI$279=1), Cultivar_1_Cohort_Year_Selection=$AI$278), ROUND(MAX(0,AH$320 - 1),0),
IF(AND(OR(AI$279=123, AI$279=12, AI$279=23, AI$279=2), Cultivar_2_Cohort_Year_Selection=$AI$278), ROUND(MAX(0,AH$320 - 1),0),
IF(AND(OR(AI$279=123, AI$279=13, AI$279=23, AI$279=3), Cultivar_3_Cohort_Year_Selection=$AI$278), ROUND(MAX(0,AH$320 - 1),0),
ROUND(MAX(0,AH$320),0)))))))),""),""),"")</f>
        <v/>
      </c>
      <c r="AJ338" s="17" t="str">
        <f>IF(ISNUMBER($B$321),
IF($C338&lt;&gt;"",
IF(AND(ISNUMBER(AI$280), ISNUMBER(AI$317)),
IF(AND(AJ$279=123, Cultivar_1_Cohort_Year_Selection=$AJ$278,Cultivar_2_Cohort_Year_Selection=$AJ$278,Cultivar_3_Cohort_Year_Selection=$AJ$278), ROUND(MAX(0,AI$320 - 3),0),
IF(AND(OR(AJ$279=123, AJ$279=12), Cultivar_1_Cohort_Year_Selection=$AJ$278,Cultivar_2_Cohort_Year_Selection=$AJ$278), ROUND(MAX(0,AI$320 - 2),0),
IF(AND(OR(AJ$279=123, AJ$279=13), Cultivar_1_Cohort_Year_Selection=$AJ$278,Cultivar_3_Cohort_Year_Selection=$AJ$278), ROUND(MAX(0,AI$320 - 2),0),
IF(AND(OR(AJ$279=123, AJ$279=23), Cultivar_2_Cohort_Year_Selection=$AJ$278,Cultivar_3_Cohort_Year_Selection=$AJ$278), ROUND(MAX(0,AI$320 - 2),0),
IF(AND(OR(AJ$279=123, AJ$279=12, AJ$279=13, AJ$279=1), Cultivar_1_Cohort_Year_Selection=$AJ$278), ROUND(MAX(0,AI$320 - 1),0),
IF(AND(OR(AJ$279=123, AJ$279=12, AJ$279=23, AJ$279=2), Cultivar_2_Cohort_Year_Selection=$AJ$278), ROUND(MAX(0,AI$320 - 1),0),
IF(AND(OR(AJ$279=123, AJ$279=13, AJ$279=23, AJ$279=3), Cultivar_3_Cohort_Year_Selection=$AJ$278), ROUND(MAX(0,AI$320 - 1),0),
ROUND(MAX(0,AI$320),0)))))))),""),""),"")</f>
        <v/>
      </c>
      <c r="AK338" s="17" t="str">
        <f>IF(ISNUMBER($B$321),
IF($C338&lt;&gt;"",
IF(AND(ISNUMBER(AJ$280), ISNUMBER(AJ$317)),
IF(AND(AK$279=123, Cultivar_1_Cohort_Year_Selection=$AK$278,Cultivar_2_Cohort_Year_Selection=$AK$278,Cultivar_3_Cohort_Year_Selection=$AK$278), ROUND(MAX(0,AJ$320 - 3),0),
IF(AND(OR(AK$279=123, AK$279=12), Cultivar_1_Cohort_Year_Selection=$AK$278,Cultivar_2_Cohort_Year_Selection=$AK$278), ROUND(MAX(0,AJ$320 - 2),0),
IF(AND(OR(AK$279=123, AK$279=13), Cultivar_1_Cohort_Year_Selection=$AK$278,Cultivar_3_Cohort_Year_Selection=$AK$278), ROUND(MAX(0,AJ$320 - 2),0),
IF(AND(OR(AK$279=123, AK$279=23), Cultivar_2_Cohort_Year_Selection=$AK$278,Cultivar_3_Cohort_Year_Selection=$AK$278), ROUND(MAX(0,AJ$320 - 2),0),
IF(AND(OR(AK$279=123, AK$279=12, AK$279=13, AK$279=1), Cultivar_1_Cohort_Year_Selection=$AK$278), ROUND(MAX(0,AJ$320 - 1),0),
IF(AND(OR(AK$279=123, AK$279=12, AK$279=23, AK$279=2), Cultivar_2_Cohort_Year_Selection=$AK$278), ROUND(MAX(0,AJ$320 - 1),0),
IF(AND(OR(AK$279=123, AK$279=13, AK$279=23, AK$279=3), Cultivar_3_Cohort_Year_Selection=$AK$278), ROUND(MAX(0,AJ$320 - 1),0),
ROUND(MAX(0,AJ$320),0)))))))),""),""),"")</f>
        <v/>
      </c>
      <c r="AL338" s="17" t="str">
        <f>IF(ISNUMBER($B$321),
IF($C338&lt;&gt;"",
IF(AND(ISNUMBER(AK$280), ISNUMBER(AK$317)),
IF(AND(AL$279=123, Cultivar_1_Cohort_Year_Selection=$AL$278,Cultivar_2_Cohort_Year_Selection=$AL$278,Cultivar_3_Cohort_Year_Selection=$AL$278), ROUND(MAX(0,AK$320 - 3),0),
IF(AND(OR(AL$279=123, AL$279=12), Cultivar_1_Cohort_Year_Selection=$AL$278,Cultivar_2_Cohort_Year_Selection=$AL$278), ROUND(MAX(0,AK$320 - 2),0),
IF(AND(OR(AL$279=123, AL$279=13), Cultivar_1_Cohort_Year_Selection=$AL$278,Cultivar_3_Cohort_Year_Selection=$AL$278), ROUND(MAX(0,AK$320 - 2),0),
IF(AND(OR(AL$279=123, AL$279=23), Cultivar_2_Cohort_Year_Selection=$AL$278,Cultivar_3_Cohort_Year_Selection=$AL$278), ROUND(MAX(0,AK$320 - 2),0),
IF(AND(OR(AL$279=123, AL$279=12, AL$279=13, AL$279=1), Cultivar_1_Cohort_Year_Selection=$AL$278), ROUND(MAX(0,AK$320 - 1),0),
IF(AND(OR(AL$279=123, AL$279=12, AL$279=23, AL$279=2), Cultivar_2_Cohort_Year_Selection=$AL$278), ROUND(MAX(0,AK$320 - 1),0),
IF(AND(OR(AL$279=123, AL$279=13, AL$279=23, AL$279=3), Cultivar_3_Cohort_Year_Selection=$AL$278), ROUND(MAX(0,AK$320 - 1),0),
ROUND(MAX(0,AK$320),0)))))))),""),""),"")</f>
        <v/>
      </c>
      <c r="AM338" s="17" t="str">
        <f>IF(ISNUMBER($B$321),
IF($C338&lt;&gt;"",
IF(AND(ISNUMBER(AL$280), ISNUMBER(AL$317)),
IF(AND(AM$279=123, Cultivar_1_Cohort_Year_Selection=$AM$278,Cultivar_2_Cohort_Year_Selection=$AM$278,Cultivar_3_Cohort_Year_Selection=$AM$278), ROUND(MAX(0,AL$320 - 3),0),
IF(AND(OR(AM$279=123, AM$279=12), Cultivar_1_Cohort_Year_Selection=$AM$278,Cultivar_2_Cohort_Year_Selection=$AM$278), ROUND(MAX(0,AL$320 - 2),0),
IF(AND(OR(AM$279=123, AM$279=13), Cultivar_1_Cohort_Year_Selection=$AM$278,Cultivar_3_Cohort_Year_Selection=$AM$278), ROUND(MAX(0,AL$320 - 2),0),
IF(AND(OR(AM$279=123, AM$279=23), Cultivar_2_Cohort_Year_Selection=$AM$278,Cultivar_3_Cohort_Year_Selection=$AM$278), ROUND(MAX(0,AL$320 - 2),0),
IF(AND(OR(AM$279=123, AM$279=12, AM$279=13, AM$279=1), Cultivar_1_Cohort_Year_Selection=$AM$278), ROUND(MAX(0,AL$320 - 1),0),
IF(AND(OR(AM$279=123, AM$279=12, AM$279=23, AM$279=2), Cultivar_2_Cohort_Year_Selection=$AM$278), ROUND(MAX(0,AL$320 - 1),0),
IF(AND(OR(AM$279=123, AM$279=13, AM$279=23, AM$279=3), Cultivar_3_Cohort_Year_Selection=$AM$278), ROUND(MAX(0,AL$320 - 1),0),
ROUND(MAX(0,AL$320),0)))))))),""),""),"")</f>
        <v/>
      </c>
      <c r="AN338" s="17" t="str">
        <f>IF(ISNUMBER($B$321),
IF($C338&lt;&gt;"",
IF(AND(ISNUMBER(AM$280), ISNUMBER(AM$317)),
IF(AND(AN$279=123, Cultivar_1_Cohort_Year_Selection=$AN$278,Cultivar_2_Cohort_Year_Selection=$AN$278,Cultivar_3_Cohort_Year_Selection=$AN$278), ROUND(MAX(0,AM$320 - 3),0),
IF(AND(OR(AN$279=123, AN$279=12), Cultivar_1_Cohort_Year_Selection=$AN$278,Cultivar_2_Cohort_Year_Selection=$AN$278), ROUND(MAX(0,AM$320 - 2),0),
IF(AND(OR(AN$279=123, AN$279=13), Cultivar_1_Cohort_Year_Selection=$AN$278,Cultivar_3_Cohort_Year_Selection=$AN$278), ROUND(MAX(0,AM$320 - 2),0),
IF(AND(OR(AN$279=123, AN$279=23), Cultivar_2_Cohort_Year_Selection=$AN$278,Cultivar_3_Cohort_Year_Selection=$AN$278), ROUND(MAX(0,AM$320 - 2),0),
IF(AND(OR(AN$279=123, AN$279=12, AN$279=13, AN$279=1), Cultivar_1_Cohort_Year_Selection=$AN$278), ROUND(MAX(0,AM$320 - 1),0),
IF(AND(OR(AN$279=123, AN$279=12, AN$279=23, AN$279=2), Cultivar_2_Cohort_Year_Selection=$AN$278), ROUND(MAX(0,AM$320 - 1),0),
IF(AND(OR(AN$279=123, AN$279=13, AN$279=23, AN$279=3), Cultivar_3_Cohort_Year_Selection=$AN$278), ROUND(MAX(0,AM$320 - 1),0),
ROUND(MAX(0,AM$320),0)))))))),""),""),"")</f>
        <v/>
      </c>
      <c r="AO338" s="17" t="str">
        <f>IF(ISNUMBER($B$321),
IF($C338&lt;&gt;"",
IF(AND(ISNUMBER(AN$280), ISNUMBER(AN$317)),
IF(AND(AO$279=123, Cultivar_1_Cohort_Year_Selection=$AO$278,Cultivar_2_Cohort_Year_Selection=$AO$278,Cultivar_3_Cohort_Year_Selection=$AO$278), ROUND(MAX(0,AN$320 - 3),0),
IF(AND(OR(AO$279=123, AO$279=12), Cultivar_1_Cohort_Year_Selection=$AO$278,Cultivar_2_Cohort_Year_Selection=$AO$278), ROUND(MAX(0,AN$320 - 2),0),
IF(AND(OR(AO$279=123, AO$279=13), Cultivar_1_Cohort_Year_Selection=$AO$278,Cultivar_3_Cohort_Year_Selection=$AO$278), ROUND(MAX(0,AN$320 - 2),0),
IF(AND(OR(AO$279=123, AO$279=23), Cultivar_2_Cohort_Year_Selection=$AO$278,Cultivar_3_Cohort_Year_Selection=$AO$278), ROUND(MAX(0,AN$320 - 2),0),
IF(AND(OR(AO$279=123, AO$279=12, AO$279=13, AO$279=1), Cultivar_1_Cohort_Year_Selection=$AO$278), ROUND(MAX(0,AN$320 - 1),0),
IF(AND(OR(AO$279=123, AO$279=12, AO$279=23, AO$279=2), Cultivar_2_Cohort_Year_Selection=$AO$278), ROUND(MAX(0,AN$320 - 1),0),
IF(AND(OR(AO$279=123, AO$279=13, AO$279=23, AO$279=3), Cultivar_3_Cohort_Year_Selection=$AO$278), ROUND(MAX(0,AN$320 - 1),0),
ROUND(MAX(0,AN$320),0)))))))),""),""),"")</f>
        <v/>
      </c>
      <c r="AP338" s="17" t="str">
        <f>IF(ISNUMBER($B$321),
IF($C338&lt;&gt;"",
IF(AND(ISNUMBER(AO$280), ISNUMBER(AO$317)),
IF(AND(AP$279=123, Cultivar_1_Cohort_Year_Selection=$AP$278,Cultivar_2_Cohort_Year_Selection=$AP$278,Cultivar_3_Cohort_Year_Selection=$AP$278), ROUND(MAX(0,AO$320 - 3),0),
IF(AND(OR(AP$279=123, AP$279=12), Cultivar_1_Cohort_Year_Selection=$AP$278,Cultivar_2_Cohort_Year_Selection=$AP$278), ROUND(MAX(0,AO$320 - 2),0),
IF(AND(OR(AP$279=123, AP$279=13), Cultivar_1_Cohort_Year_Selection=$AP$278,Cultivar_3_Cohort_Year_Selection=$AP$278), ROUND(MAX(0,AO$320 - 2),0),
IF(AND(OR(AP$279=123, AP$279=23), Cultivar_2_Cohort_Year_Selection=$AP$278,Cultivar_3_Cohort_Year_Selection=$AP$278), ROUND(MAX(0,AO$320 - 2),0),
IF(AND(OR(AP$279=123, AP$279=12, AP$279=13, AP$279=1), Cultivar_1_Cohort_Year_Selection=$AP$278), ROUND(MAX(0,AO$320 - 1),0),
IF(AND(OR(AP$279=123, AP$279=12, AP$279=23, AP$279=2), Cultivar_2_Cohort_Year_Selection=$AP$278), ROUND(MAX(0,AO$320 - 1),0),
IF(AND(OR(AP$279=123, AP$279=13, AP$279=23, AP$279=3), Cultivar_3_Cohort_Year_Selection=$AP$278), ROUND(MAX(0,AO$320 - 1),0),
ROUND(MAX(0,AO$320),0)))))))),""),""),"")</f>
        <v/>
      </c>
      <c r="AQ338" s="17" t="str">
        <f>IF(ISNUMBER($B$321),
IF($C338&lt;&gt;"",
IF(AND(ISNUMBER(AP$280), ISNUMBER(AP$317)),
IF(AND(AQ$279=123, Cultivar_1_Cohort_Year_Selection=$AQ$278,Cultivar_2_Cohort_Year_Selection=$AQ$278,Cultivar_3_Cohort_Year_Selection=$AQ$278), ROUND(MAX(0,AP$320 - 3),0),
IF(AND(OR(AQ$279=123, AQ$279=12), Cultivar_1_Cohort_Year_Selection=$AQ$278,Cultivar_2_Cohort_Year_Selection=$AQ$278), ROUND(MAX(0,AP$320 - 2),0),
IF(AND(OR(AQ$279=123, AQ$279=13), Cultivar_1_Cohort_Year_Selection=$AQ$278,Cultivar_3_Cohort_Year_Selection=$AQ$278), ROUND(MAX(0,AP$320 - 2),0),
IF(AND(OR(AQ$279=123, AQ$279=23), Cultivar_2_Cohort_Year_Selection=$AQ$278,Cultivar_3_Cohort_Year_Selection=$AQ$278), ROUND(MAX(0,AP$320 - 2),0),
IF(AND(OR(AQ$279=123, AQ$279=12, AQ$279=13, AQ$279=1), Cultivar_1_Cohort_Year_Selection=$AQ$278), ROUND(MAX(0,AP$320 - 1),0),
IF(AND(OR(AQ$279=123, AQ$279=12, AQ$279=23, AQ$279=2), Cultivar_2_Cohort_Year_Selection=$AQ$278), ROUND(MAX(0,AP$320 - 1),0),
IF(AND(OR(AQ$279=123, AQ$279=13, AQ$279=23, AQ$279=3), Cultivar_3_Cohort_Year_Selection=$AQ$278), ROUND(MAX(0,AP$320 - 1),0),
ROUND(MAX(0,AP$320),0)))))))),""),""),"")</f>
        <v/>
      </c>
      <c r="AR338" s="17" t="str">
        <f>IF(ISNUMBER($B$321),
IF($C338&lt;&gt;"",
IF(AND(ISNUMBER(AQ$280), ISNUMBER(AQ$317)),
IF(AND(AR$279=123, Cultivar_1_Cohort_Year_Selection=$AR$278,Cultivar_2_Cohort_Year_Selection=$AR$278,Cultivar_3_Cohort_Year_Selection=$AR$278), ROUND(MAX(0,AQ$320 - 3),0),
IF(AND(OR(AR$279=123, AR$279=12), Cultivar_1_Cohort_Year_Selection=$AR$278,Cultivar_2_Cohort_Year_Selection=$AR$278), ROUND(MAX(0,AQ$320 - 2),0),
IF(AND(OR(AR$279=123, AR$279=13), Cultivar_1_Cohort_Year_Selection=$AR$278,Cultivar_3_Cohort_Year_Selection=$AR$278), ROUND(MAX(0,AQ$320 - 2),0),
IF(AND(OR(AR$279=123, AR$279=23), Cultivar_2_Cohort_Year_Selection=$AR$278,Cultivar_3_Cohort_Year_Selection=$AR$278), ROUND(MAX(0,AQ$320 - 2),0),
IF(AND(OR(AR$279=123, AR$279=12, AR$279=13, AR$279=1), Cultivar_1_Cohort_Year_Selection=$AR$278), ROUND(MAX(0,AQ$320 - 1),0),
IF(AND(OR(AR$279=123, AR$279=12, AR$279=23, AR$279=2), Cultivar_2_Cohort_Year_Selection=$AR$278), ROUND(MAX(0,AQ$320 - 1),0),
IF(AND(OR(AR$279=123, AR$279=13, AR$279=23, AR$279=3), Cultivar_3_Cohort_Year_Selection=$AR$278), ROUND(MAX(0,AQ$320 - 1),0),
ROUND(MAX(0,AQ$320),0)))))))),""),""),"")</f>
        <v/>
      </c>
    </row>
    <row r="339" spans="1:45" x14ac:dyDescent="0.25">
      <c r="A339" s="518"/>
      <c r="B339" s="504"/>
      <c r="C339" s="107" t="str">
        <f>IF(AND(ISNUMBER(B321), C333&lt;&gt;"", OR('Cost Inputs'!$H$122&lt;&gt;"", 'Cost Inputs'!$I$122&lt;&gt;"", 'Cost Inputs'!$J$122&lt;&gt;"")), _4_5_2, "")</f>
        <v/>
      </c>
      <c r="D339" s="93" t="str">
        <f>IF(AND(C339&lt;&gt;"", 'Cost Inputs'!$G$122&lt;&gt;""), 'Cost Inputs'!$G$122, "")</f>
        <v/>
      </c>
      <c r="E339" s="93" t="str">
        <f>IF(AND(C339&lt;&gt;"", 'Cost Inputs'!$H$122&lt;&gt;""), 'Cost Inputs'!$H$122, "")</f>
        <v/>
      </c>
      <c r="F339" s="93" t="str">
        <f>IF(AND(C339&lt;&gt;"", 'Cost Inputs'!$I$122&lt;&gt;""), 'Cost Inputs'!$I$122, "")</f>
        <v/>
      </c>
      <c r="G339" s="108" t="str">
        <f t="shared" ref="G339:G408" si="63">IF(AND($E339&lt;&gt;"", $E339&gt;0, F339&lt;&gt;""), F339/$E339, "")</f>
        <v/>
      </c>
      <c r="H339" s="93" t="str">
        <f>IF(AND(C339&lt;&gt;"", 'Cost Inputs'!$J$122&lt;&gt;""), 'Cost Inputs'!$J$122, "")</f>
        <v/>
      </c>
      <c r="I339" s="93" t="str">
        <f>IF($C339&lt;&gt;"", IF(AND($E339&lt;&gt;"", H339&lt;&gt;""), H339/$E339, 0),"")</f>
        <v/>
      </c>
      <c r="J339" s="93" t="str">
        <f>IF(AND(C339&lt;&gt;"",('Cost Inputs'!$I$122+'Cost Inputs'!$J$122+'Cost Inputs'!$K$122)&gt;0), 'Cost Inputs'!$I$122+'Cost Inputs'!$J$122+'Cost Inputs'!$K$122, "")</f>
        <v/>
      </c>
      <c r="K339" s="93" t="str">
        <f>IF($C339&lt;&gt;"", IF(AND($E339&lt;&gt;"", J339&lt;&gt;""), J339/$E339, 0),"")</f>
        <v/>
      </c>
      <c r="L339" s="525"/>
      <c r="M339" s="525"/>
      <c r="P339" s="93" t="str">
        <f>IF(ISNUMBER($B$321),
IF($C339&lt;&gt;"",
IF(AND(ISNUMBER(O$280), ISNUMBER(O$317)),
IF(AND(P$279=123, Cultivar_1_Cohort_Year_Selection=$P$278,Cultivar_2_Cohort_Year_Selection=$P$278,Cultivar_3_Cohort_Year_Selection=$P$278), ROUND(MAX(0,O$320 - 3),0),
IF(AND(OR(P$279=123, P$279=12), Cultivar_1_Cohort_Year_Selection=$P$278,Cultivar_2_Cohort_Year_Selection=$P$278), ROUND(MAX(0,O$320 - 2),0),
IF(AND(OR(P$279=123, P$279=13), Cultivar_1_Cohort_Year_Selection=$P$278,Cultivar_3_Cohort_Year_Selection=$P$278), ROUND(MAX(0,O$320 - 2),0),
IF(AND(OR(P$279=123, P$279=23), Cultivar_2_Cohort_Year_Selection=$P$278,Cultivar_3_Cohort_Year_Selection=$P$278), ROUND(MAX(0,O$320 - 2),0),
IF(AND(OR(P$279=123, P$279=12, P$279=13, P$279=1), Cultivar_1_Cohort_Year_Selection=$P$278), ROUND(MAX(0,O$320 - 1),0),
IF(AND(OR(P$279=123, P$279=12, P$279=23, P$279=2), Cultivar_2_Cohort_Year_Selection=$P$278), ROUND(MAX(0,O$320 - 1),0),
IF(AND(OR(P$279=123, P$279=13, P$279=23, P$279=3), Cultivar_3_Cohort_Year_Selection=$P$278), ROUND(MAX(0,O$320 - 1),0),
ROUND(MAX(0,O$320),0)))))))),""),""),"")</f>
        <v/>
      </c>
      <c r="Q339" s="93" t="str">
        <f>IF(ISNUMBER($B$321),
IF($C339&lt;&gt;"",
IF(AND(ISNUMBER(P$280), ISNUMBER(P$317)),
IF(AND(Q$279=123, Cultivar_1_Cohort_Year_Selection=$Q$278,Cultivar_2_Cohort_Year_Selection=$Q$278,Cultivar_3_Cohort_Year_Selection=$Q$278), ROUND(MAX(0,P$320 - 3),0),
IF(AND(OR(Q$279=123, Q$279=12), Cultivar_1_Cohort_Year_Selection=$Q$278,Cultivar_2_Cohort_Year_Selection=$Q$278), ROUND(MAX(0,P$320 - 2),0),
IF(AND(OR(Q$279=123, Q$279=13), Cultivar_1_Cohort_Year_Selection=$Q$278,Cultivar_3_Cohort_Year_Selection=$Q$278), ROUND(MAX(0,P$320 - 2),0),
IF(AND(OR(Q$279=123, Q$279=23), Cultivar_2_Cohort_Year_Selection=$Q$278,Cultivar_3_Cohort_Year_Selection=$Q$278), ROUND(MAX(0,P$320 - 2),0),
IF(AND(OR(Q$279=123, Q$279=12, Q$279=13, Q$279=1), Cultivar_1_Cohort_Year_Selection=$Q$278), ROUND(MAX(0,P$320 - 1),0),
IF(AND(OR(Q$279=123, Q$279=12, Q$279=23, Q$279=2), Cultivar_2_Cohort_Year_Selection=$Q$278), ROUND(MAX(0,P$320 - 1),0),
IF(AND(OR(Q$279=123, Q$279=13, Q$279=23, Q$279=3), Cultivar_3_Cohort_Year_Selection=$Q$278), ROUND(MAX(0,P$320 - 1),0),
ROUND(MAX(0,P$320),0)))))))),""),""),"")</f>
        <v/>
      </c>
      <c r="R339" s="93" t="str">
        <f>IF(ISNUMBER($B$321),
IF($C339&lt;&gt;"",
IF(AND(ISNUMBER(Q$280), ISNUMBER(Q$317)),
IF(AND(R$279=123, Cultivar_1_Cohort_Year_Selection=$R$278,Cultivar_2_Cohort_Year_Selection=$R$278,Cultivar_3_Cohort_Year_Selection=$R$278), ROUND(MAX(0,Q$320 - 3),0),
IF(AND(OR(R$279=123, R$279=12), Cultivar_1_Cohort_Year_Selection=$R$278,Cultivar_2_Cohort_Year_Selection=$R$278), ROUND(MAX(0,Q$320 - 2),0),
IF(AND(OR(R$279=123, R$279=13), Cultivar_1_Cohort_Year_Selection=$R$278,Cultivar_3_Cohort_Year_Selection=$R$278), ROUND(MAX(0,Q$320 - 2),0),
IF(AND(OR(R$279=123, R$279=23), Cultivar_2_Cohort_Year_Selection=$R$278,Cultivar_3_Cohort_Year_Selection=$R$278), ROUND(MAX(0,Q$320 - 2),0),
IF(AND(OR(R$279=123, R$279=12, R$279=13, R$279=1), Cultivar_1_Cohort_Year_Selection=$R$278), ROUND(MAX(0,Q$320 - 1),0),
IF(AND(OR(R$279=123, R$279=12, R$279=23, R$279=2), Cultivar_2_Cohort_Year_Selection=$R$278), ROUND(MAX(0,Q$320 - 1),0),
IF(AND(OR(R$279=123, R$279=13, R$279=23, R$279=3), Cultivar_3_Cohort_Year_Selection=$R$278), ROUND(MAX(0,Q$320 - 1),0),
ROUND(MAX(0,Q$320),0)))))))),""),""),"")</f>
        <v/>
      </c>
      <c r="S339" s="93" t="str">
        <f>IF(ISNUMBER($B$321),
IF($C339&lt;&gt;"",
IF(AND(ISNUMBER(R$280), ISNUMBER(R$317)),
IF(AND(S$279=123, Cultivar_1_Cohort_Year_Selection=$S$278,Cultivar_2_Cohort_Year_Selection=$S$278,Cultivar_3_Cohort_Year_Selection=$S$278), ROUND(MAX(0,R$320 - 3),0),
IF(AND(OR(S$279=123, S$279=12), Cultivar_1_Cohort_Year_Selection=$S$278,Cultivar_2_Cohort_Year_Selection=$S$278), ROUND(MAX(0,R$320 - 2),0),
IF(AND(OR(S$279=123, S$279=13), Cultivar_1_Cohort_Year_Selection=$S$278,Cultivar_3_Cohort_Year_Selection=$S$278), ROUND(MAX(0,R$320 - 2),0),
IF(AND(OR(S$279=123, S$279=23), Cultivar_2_Cohort_Year_Selection=$S$278,Cultivar_3_Cohort_Year_Selection=$S$278), ROUND(MAX(0,R$320 - 2),0),
IF(AND(OR(S$279=123, S$279=12, S$279=13, S$279=1), Cultivar_1_Cohort_Year_Selection=$S$278), ROUND(MAX(0,R$320 - 1),0),
IF(AND(OR(S$279=123, S$279=12, S$279=23, S$279=2), Cultivar_2_Cohort_Year_Selection=$S$278), ROUND(MAX(0,R$320 - 1),0),
IF(AND(OR(S$279=123, S$279=13, S$279=23, S$279=3), Cultivar_3_Cohort_Year_Selection=$S$278), ROUND(MAX(0,R$320 - 1),0),
ROUND(MAX(0,R$320),0)))))))),""),""),"")</f>
        <v/>
      </c>
      <c r="T339" s="93" t="str">
        <f>IF(ISNUMBER($B$321),
IF($C339&lt;&gt;"",
IF(AND(ISNUMBER(S$280), ISNUMBER(S$317)),
IF(AND(T$279=123, Cultivar_1_Cohort_Year_Selection=$T$278,Cultivar_2_Cohort_Year_Selection=$T$278,Cultivar_3_Cohort_Year_Selection=$T$278), ROUND(MAX(0,S$320 - 3),0),
IF(AND(OR(T$279=123, T$279=12), Cultivar_1_Cohort_Year_Selection=$T$278,Cultivar_2_Cohort_Year_Selection=$T$278), ROUND(MAX(0,S$320 - 2),0),
IF(AND(OR(T$279=123, T$279=13), Cultivar_1_Cohort_Year_Selection=$T$278,Cultivar_3_Cohort_Year_Selection=$T$278), ROUND(MAX(0,S$320 - 2),0),
IF(AND(OR(T$279=123, T$279=23), Cultivar_2_Cohort_Year_Selection=$T$278,Cultivar_3_Cohort_Year_Selection=$T$278), ROUND(MAX(0,S$320 - 2),0),
IF(AND(OR(T$279=123, T$279=12, T$279=13, T$279=1), Cultivar_1_Cohort_Year_Selection=$T$278), ROUND(MAX(0,S$320 - 1),0),
IF(AND(OR(T$279=123, T$279=12, T$279=23, T$279=2), Cultivar_2_Cohort_Year_Selection=$T$278), ROUND(MAX(0,S$320 - 1),0),
IF(AND(OR(T$279=123, T$279=13, T$279=23, T$279=3), Cultivar_3_Cohort_Year_Selection=$T$278), ROUND(MAX(0,S$320 - 1),0),
ROUND(MAX(0,S$320),0)))))))),""),""),"")</f>
        <v/>
      </c>
      <c r="U339" s="93" t="str">
        <f>IF(ISNUMBER($B$321),
IF($C339&lt;&gt;"",
IF(AND(ISNUMBER(T$280), ISNUMBER(T$317)),
IF(AND(U$279=123, Cultivar_1_Cohort_Year_Selection=$U$278,Cultivar_2_Cohort_Year_Selection=$U$278,Cultivar_3_Cohort_Year_Selection=$U$278), ROUND(MAX(0,T$320 - 3),0),
IF(AND(OR(U$279=123, U$279=12), Cultivar_1_Cohort_Year_Selection=$U$278,Cultivar_2_Cohort_Year_Selection=$U$278), ROUND(MAX(0,T$320 - 2),0),
IF(AND(OR(U$279=123, U$279=13), Cultivar_1_Cohort_Year_Selection=$U$278,Cultivar_3_Cohort_Year_Selection=$U$278), ROUND(MAX(0,T$320 - 2),0),
IF(AND(OR(U$279=123, U$279=23), Cultivar_2_Cohort_Year_Selection=$U$278,Cultivar_3_Cohort_Year_Selection=$U$278), ROUND(MAX(0,T$320 - 2),0),
IF(AND(OR(U$279=123, U$279=12, U$279=13, U$279=1), Cultivar_1_Cohort_Year_Selection=$U$278), ROUND(MAX(0,T$320 - 1),0),
IF(AND(OR(U$279=123, U$279=12, U$279=23, U$279=2), Cultivar_2_Cohort_Year_Selection=$U$278), ROUND(MAX(0,T$320 - 1),0),
IF(AND(OR(U$279=123, U$279=13, U$279=23, U$279=3), Cultivar_3_Cohort_Year_Selection=$U$278), ROUND(MAX(0,T$320 - 1),0),
ROUND(MAX(0,T$320),0)))))))),""),""),"")</f>
        <v/>
      </c>
      <c r="V339" s="93" t="str">
        <f>IF(ISNUMBER($B$321),
IF($C339&lt;&gt;"",
IF(AND(ISNUMBER(U$280), ISNUMBER(U$317)),
IF(AND(V$279=123, Cultivar_1_Cohort_Year_Selection=$V$278,Cultivar_2_Cohort_Year_Selection=$V$278,Cultivar_3_Cohort_Year_Selection=$V$278), ROUND(MAX(0,U$320 - 3),0),
IF(AND(OR(V$279=123, V$279=12), Cultivar_1_Cohort_Year_Selection=$V$278,Cultivar_2_Cohort_Year_Selection=$V$278), ROUND(MAX(0,U$320 - 2),0),
IF(AND(OR(V$279=123, V$279=13), Cultivar_1_Cohort_Year_Selection=$V$278,Cultivar_3_Cohort_Year_Selection=$V$278), ROUND(MAX(0,U$320 - 2),0),
IF(AND(OR(V$279=123, V$279=23), Cultivar_2_Cohort_Year_Selection=$V$278,Cultivar_3_Cohort_Year_Selection=$V$278), ROUND(MAX(0,U$320 - 2),0),
IF(AND(OR(V$279=123, V$279=12, V$279=13, V$279=1), Cultivar_1_Cohort_Year_Selection=$V$278), ROUND(MAX(0,U$320 - 1),0),
IF(AND(OR(V$279=123, V$279=12, V$279=23, V$279=2), Cultivar_2_Cohort_Year_Selection=$V$278), ROUND(MAX(0,U$320 - 1),0),
IF(AND(OR(V$279=123, V$279=13, V$279=23, V$279=3), Cultivar_3_Cohort_Year_Selection=$V$278), ROUND(MAX(0,U$320 - 1),0),
ROUND(MAX(0,U$320),0)))))))),""),""),"")</f>
        <v/>
      </c>
      <c r="W339" s="93" t="str">
        <f>IF(ISNUMBER($B$321),
IF($C339&lt;&gt;"",
IF(AND(ISNUMBER(V$280), ISNUMBER(V$317)),
IF(AND(W$279=123, Cultivar_1_Cohort_Year_Selection=$W$278,Cultivar_2_Cohort_Year_Selection=$W$278,Cultivar_3_Cohort_Year_Selection=$W$278), ROUND(MAX(0,V$320 - 3),0),
IF(AND(OR(W$279=123, W$279=12), Cultivar_1_Cohort_Year_Selection=$W$278,Cultivar_2_Cohort_Year_Selection=$W$278), ROUND(MAX(0,V$320 - 2),0),
IF(AND(OR(W$279=123, W$279=13), Cultivar_1_Cohort_Year_Selection=$W$278,Cultivar_3_Cohort_Year_Selection=$W$278), ROUND(MAX(0,V$320 - 2),0),
IF(AND(OR(W$279=123, W$279=23), Cultivar_2_Cohort_Year_Selection=$W$278,Cultivar_3_Cohort_Year_Selection=$W$278), ROUND(MAX(0,V$320 - 2),0),
IF(AND(OR(W$279=123, W$279=12, W$279=13, W$279=1), Cultivar_1_Cohort_Year_Selection=$W$278), ROUND(MAX(0,V$320 - 1),0),
IF(AND(OR(W$279=123, W$279=12, W$279=23, W$279=2), Cultivar_2_Cohort_Year_Selection=$W$278), ROUND(MAX(0,V$320 - 1),0),
IF(AND(OR(W$279=123, W$279=13, W$279=23, W$279=3), Cultivar_3_Cohort_Year_Selection=$W$278), ROUND(MAX(0,V$320 - 1),0),
ROUND(MAX(0,V$320),0)))))))),""),""),"")</f>
        <v/>
      </c>
      <c r="X339" s="93" t="str">
        <f>IF(ISNUMBER($B$321),
IF($C339&lt;&gt;"",
IF(AND(ISNUMBER(W$280), ISNUMBER(W$317)),
IF(AND(X$279=123, Cultivar_1_Cohort_Year_Selection=$X$278,Cultivar_2_Cohort_Year_Selection=$X$278,Cultivar_3_Cohort_Year_Selection=$X$278), ROUND(MAX(0,W$320 - 3),0),
IF(AND(OR(X$279=123, X$279=12), Cultivar_1_Cohort_Year_Selection=$X$278,Cultivar_2_Cohort_Year_Selection=$X$278), ROUND(MAX(0,W$320 - 2),0),
IF(AND(OR(X$279=123, X$279=13), Cultivar_1_Cohort_Year_Selection=$X$278,Cultivar_3_Cohort_Year_Selection=$X$278), ROUND(MAX(0,W$320 - 2),0),
IF(AND(OR(X$279=123, X$279=23), Cultivar_2_Cohort_Year_Selection=$X$278,Cultivar_3_Cohort_Year_Selection=$X$278), ROUND(MAX(0,W$320 - 2),0),
IF(AND(OR(X$279=123, X$279=12, X$279=13, X$279=1), Cultivar_1_Cohort_Year_Selection=$X$278), ROUND(MAX(0,W$320 - 1),0),
IF(AND(OR(X$279=123, X$279=12, X$279=23, X$279=2), Cultivar_2_Cohort_Year_Selection=$X$278), ROUND(MAX(0,W$320 - 1),0),
IF(AND(OR(X$279=123, X$279=13, X$279=23, X$279=3), Cultivar_3_Cohort_Year_Selection=$X$278), ROUND(MAX(0,W$320 - 1),0),
ROUND(MAX(0,W$320),0)))))))),""),""),"")</f>
        <v/>
      </c>
      <c r="Y339" s="93" t="str">
        <f>IF(ISNUMBER($B$321),
IF($C339&lt;&gt;"",
IF(AND(ISNUMBER(X$280), ISNUMBER(X$317)),
IF(AND(Y$279=123, Cultivar_1_Cohort_Year_Selection=$Y$278,Cultivar_2_Cohort_Year_Selection=$Y$278,Cultivar_3_Cohort_Year_Selection=$Y$278), ROUND(MAX(0,X$320 - 3),0),
IF(AND(OR(Y$279=123, Y$279=12), Cultivar_1_Cohort_Year_Selection=$Y$278,Cultivar_2_Cohort_Year_Selection=$Y$278), ROUND(MAX(0,X$320 - 2),0),
IF(AND(OR(Y$279=123, Y$279=13), Cultivar_1_Cohort_Year_Selection=$Y$278,Cultivar_3_Cohort_Year_Selection=$Y$278), ROUND(MAX(0,X$320 - 2),0),
IF(AND(OR(Y$279=123, Y$279=23), Cultivar_2_Cohort_Year_Selection=$Y$278,Cultivar_3_Cohort_Year_Selection=$Y$278), ROUND(MAX(0,X$320 - 2),0),
IF(AND(OR(Y$279=123, Y$279=12, Y$279=13, Y$279=1), Cultivar_1_Cohort_Year_Selection=$Y$278), ROUND(MAX(0,X$320 - 1),0),
IF(AND(OR(Y$279=123, Y$279=12, Y$279=23, Y$279=2), Cultivar_2_Cohort_Year_Selection=$Y$278), ROUND(MAX(0,X$320 - 1),0),
IF(AND(OR(Y$279=123, Y$279=13, Y$279=23, Y$279=3), Cultivar_3_Cohort_Year_Selection=$Y$278), ROUND(MAX(0,X$320 - 1),0),
ROUND(MAX(0,X$320),0)))))))),""),""),"")</f>
        <v/>
      </c>
      <c r="Z339" s="93" t="str">
        <f>IF(ISNUMBER($B$321),
IF($C339&lt;&gt;"",
IF(AND(ISNUMBER(Y$280), ISNUMBER(Y$317)),
IF(AND(Z$279=123, Cultivar_1_Cohort_Year_Selection=$Z$278,Cultivar_2_Cohort_Year_Selection=$Z$278,Cultivar_3_Cohort_Year_Selection=$Z$278), ROUND(MAX(0,Y$320 - 3),0),
IF(AND(OR(Z$279=123, Z$279=12), Cultivar_1_Cohort_Year_Selection=$Z$278,Cultivar_2_Cohort_Year_Selection=$Z$278), ROUND(MAX(0,Y$320 - 2),0),
IF(AND(OR(Z$279=123, Z$279=13), Cultivar_1_Cohort_Year_Selection=$Z$278,Cultivar_3_Cohort_Year_Selection=$Z$278), ROUND(MAX(0,Y$320 - 2),0),
IF(AND(OR(Z$279=123, Z$279=23), Cultivar_2_Cohort_Year_Selection=$Z$278,Cultivar_3_Cohort_Year_Selection=$Z$278), ROUND(MAX(0,Y$320 - 2),0),
IF(AND(OR(Z$279=123, Z$279=12, Z$279=13, Z$279=1), Cultivar_1_Cohort_Year_Selection=$Z$278), ROUND(MAX(0,Y$320 - 1),0),
IF(AND(OR(Z$279=123, Z$279=12, Z$279=23, Z$279=2), Cultivar_2_Cohort_Year_Selection=$Z$278), ROUND(MAX(0,Y$320 - 1),0),
IF(AND(OR(Z$279=123, Z$279=13, Z$279=23, Z$279=3), Cultivar_3_Cohort_Year_Selection=$Z$278), ROUND(MAX(0,Y$320 - 1),0),
ROUND(MAX(0,Y$320),0)))))))),""),""),"")</f>
        <v/>
      </c>
      <c r="AA339" s="93" t="str">
        <f>IF(ISNUMBER($B$321),
IF($C339&lt;&gt;"",
IF(AND(ISNUMBER(Z$280), ISNUMBER(Z$317)),
IF(AND(AA$279=123, Cultivar_1_Cohort_Year_Selection=$AA$278,Cultivar_2_Cohort_Year_Selection=$AA$278,Cultivar_3_Cohort_Year_Selection=$AA$278), ROUND(MAX(0,Z$320 - 3),0),
IF(AND(OR(AA$279=123, AA$279=12), Cultivar_1_Cohort_Year_Selection=$AA$278,Cultivar_2_Cohort_Year_Selection=$AA$278), ROUND(MAX(0,Z$320 - 2),0),
IF(AND(OR(AA$279=123, AA$279=13), Cultivar_1_Cohort_Year_Selection=$AA$278,Cultivar_3_Cohort_Year_Selection=$AA$278), ROUND(MAX(0,Z$320 - 2),0),
IF(AND(OR(AA$279=123, AA$279=23), Cultivar_2_Cohort_Year_Selection=$AA$278,Cultivar_3_Cohort_Year_Selection=$AA$278), ROUND(MAX(0,Z$320 - 2),0),
IF(AND(OR(AA$279=123, AA$279=12, AA$279=13, AA$279=1), Cultivar_1_Cohort_Year_Selection=$AA$278), ROUND(MAX(0,Z$320 - 1),0),
IF(AND(OR(AA$279=123, AA$279=12, AA$279=23, AA$279=2), Cultivar_2_Cohort_Year_Selection=$AA$278), ROUND(MAX(0,Z$320 - 1),0),
IF(AND(OR(AA$279=123, AA$279=13, AA$279=23, AA$279=3), Cultivar_3_Cohort_Year_Selection=$AA$278), ROUND(MAX(0,Z$320 - 1),0),
ROUND(MAX(0,Z$320),0)))))))),""),""),"")</f>
        <v/>
      </c>
      <c r="AB339" s="93" t="str">
        <f>IF(ISNUMBER($B$321),
IF($C339&lt;&gt;"",
IF(AND(ISNUMBER(AA$280), ISNUMBER(AA$317)),
IF(AND(AB$279=123, Cultivar_1_Cohort_Year_Selection=$AB$278,Cultivar_2_Cohort_Year_Selection=$AB$278,Cultivar_3_Cohort_Year_Selection=$AB$278), ROUND(MAX(0,AA$320 - 3),0),
IF(AND(OR(AB$279=123, AB$279=12), Cultivar_1_Cohort_Year_Selection=$AB$278,Cultivar_2_Cohort_Year_Selection=$AB$278), ROUND(MAX(0,AA$320 - 2),0),
IF(AND(OR(AB$279=123, AB$279=13), Cultivar_1_Cohort_Year_Selection=$AB$278,Cultivar_3_Cohort_Year_Selection=$AB$278), ROUND(MAX(0,AA$320 - 2),0),
IF(AND(OR(AB$279=123, AB$279=23), Cultivar_2_Cohort_Year_Selection=$AB$278,Cultivar_3_Cohort_Year_Selection=$AB$278), ROUND(MAX(0,AA$320 - 2),0),
IF(AND(OR(AB$279=123, AB$279=12, AB$279=13, AB$279=1), Cultivar_1_Cohort_Year_Selection=$AB$278), ROUND(MAX(0,AA$320 - 1),0),
IF(AND(OR(AB$279=123, AB$279=12, AB$279=23, AB$279=2), Cultivar_2_Cohort_Year_Selection=$AB$278), ROUND(MAX(0,AA$320 - 1),0),
IF(AND(OR(AB$279=123, AB$279=13, AB$279=23, AB$279=3), Cultivar_3_Cohort_Year_Selection=$AB$278), ROUND(MAX(0,AA$320 - 1),0),
ROUND(MAX(0,AA$320),0)))))))),""),""),"")</f>
        <v/>
      </c>
      <c r="AC339" s="93" t="str">
        <f>IF(ISNUMBER($B$321),
IF($C339&lt;&gt;"",
IF(AND(ISNUMBER(AB$280), ISNUMBER(AB$317)),
IF(AND(AC$279=123, Cultivar_1_Cohort_Year_Selection=$AC$278,Cultivar_2_Cohort_Year_Selection=$AC$278,Cultivar_3_Cohort_Year_Selection=$AC$278), ROUND(MAX(0,AB$320 - 3),0),
IF(AND(OR(AC$279=123, AC$279=12), Cultivar_1_Cohort_Year_Selection=$AC$278,Cultivar_2_Cohort_Year_Selection=$AC$278), ROUND(MAX(0,AB$320 - 2),0),
IF(AND(OR(AC$279=123, AC$279=13), Cultivar_1_Cohort_Year_Selection=$AC$278,Cultivar_3_Cohort_Year_Selection=$AC$278), ROUND(MAX(0,AB$320 - 2),0),
IF(AND(OR(AC$279=123, AC$279=23), Cultivar_2_Cohort_Year_Selection=$AC$278,Cultivar_3_Cohort_Year_Selection=$AC$278), ROUND(MAX(0,AB$320 - 2),0),
IF(AND(OR(AC$279=123, AC$279=12, AC$279=13, AC$279=1), Cultivar_1_Cohort_Year_Selection=$AC$278), ROUND(MAX(0,AB$320 - 1),0),
IF(AND(OR(AC$279=123, AC$279=12, AC$279=23, AC$279=2), Cultivar_2_Cohort_Year_Selection=$AC$278), ROUND(MAX(0,AB$320 - 1),0),
IF(AND(OR(AC$279=123, AC$279=13, AC$279=23, AC$279=3), Cultivar_3_Cohort_Year_Selection=$AC$278), ROUND(MAX(0,AB$320 - 1),0),
ROUND(MAX(0,AB$320),0)))))))),""),""),"")</f>
        <v/>
      </c>
      <c r="AD339" s="93" t="str">
        <f>IF(ISNUMBER($B$321),
IF($C339&lt;&gt;"",
IF(AND(ISNUMBER(AC$280), ISNUMBER(AC$317)),
IF(AND(AD$279=123, Cultivar_1_Cohort_Year_Selection=$AD$278,Cultivar_2_Cohort_Year_Selection=$AD$278,Cultivar_3_Cohort_Year_Selection=$AD$278), ROUND(MAX(0,AC$320 - 3),0),
IF(AND(OR(AD$279=123, AD$279=12), Cultivar_1_Cohort_Year_Selection=$AD$278,Cultivar_2_Cohort_Year_Selection=$AD$278), ROUND(MAX(0,AC$320 - 2),0),
IF(AND(OR(AD$279=123, AD$279=13), Cultivar_1_Cohort_Year_Selection=$AD$278,Cultivar_3_Cohort_Year_Selection=$AD$278), ROUND(MAX(0,AC$320 - 2),0),
IF(AND(OR(AD$279=123, AD$279=23), Cultivar_2_Cohort_Year_Selection=$AD$278,Cultivar_3_Cohort_Year_Selection=$AD$278), ROUND(MAX(0,AC$320 - 2),0),
IF(AND(OR(AD$279=123, AD$279=12, AD$279=13, AD$279=1), Cultivar_1_Cohort_Year_Selection=$AD$278), ROUND(MAX(0,AC$320 - 1),0),
IF(AND(OR(AD$279=123, AD$279=12, AD$279=23, AD$279=2), Cultivar_2_Cohort_Year_Selection=$AD$278), ROUND(MAX(0,AC$320 - 1),0),
IF(AND(OR(AD$279=123, AD$279=13, AD$279=23, AD$279=3), Cultivar_3_Cohort_Year_Selection=$AD$278), ROUND(MAX(0,AC$320 - 1),0),
ROUND(MAX(0,AC$320),0)))))))),""),""),"")</f>
        <v/>
      </c>
      <c r="AE339" s="93" t="str">
        <f>IF(ISNUMBER($B$321),
IF($C339&lt;&gt;"",
IF(AND(ISNUMBER(AD$280), ISNUMBER(AD$317)),
IF(AND(AE$279=123, Cultivar_1_Cohort_Year_Selection=$AE$278,Cultivar_2_Cohort_Year_Selection=$AE$278,Cultivar_3_Cohort_Year_Selection=$AE$278), ROUND(MAX(0,AD$320 - 3),0),
IF(AND(OR(AE$279=123, AE$279=12), Cultivar_1_Cohort_Year_Selection=$AE$278,Cultivar_2_Cohort_Year_Selection=$AE$278), ROUND(MAX(0,AD$320 - 2),0),
IF(AND(OR(AE$279=123, AE$279=13), Cultivar_1_Cohort_Year_Selection=$AE$278,Cultivar_3_Cohort_Year_Selection=$AE$278), ROUND(MAX(0,AD$320 - 2),0),
IF(AND(OR(AE$279=123, AE$279=23), Cultivar_2_Cohort_Year_Selection=$AE$278,Cultivar_3_Cohort_Year_Selection=$AE$278), ROUND(MAX(0,AD$320 - 2),0),
IF(AND(OR(AE$279=123, AE$279=12, AE$279=13, AE$279=1), Cultivar_1_Cohort_Year_Selection=$AE$278), ROUND(MAX(0,AD$320 - 1),0),
IF(AND(OR(AE$279=123, AE$279=12, AE$279=23, AE$279=2), Cultivar_2_Cohort_Year_Selection=$AE$278), ROUND(MAX(0,AD$320 - 1),0),
IF(AND(OR(AE$279=123, AE$279=13, AE$279=23, AE$279=3), Cultivar_3_Cohort_Year_Selection=$AE$278), ROUND(MAX(0,AD$320 - 1),0),
ROUND(MAX(0,AD$320),0)))))))),""),""),"")</f>
        <v/>
      </c>
      <c r="AF339" s="93" t="str">
        <f>IF(ISNUMBER($B$321),
IF($C339&lt;&gt;"",
IF(AND(ISNUMBER(AE$280), ISNUMBER(AE$317)),
IF(AND(AF$279=123, Cultivar_1_Cohort_Year_Selection=$AF$278,Cultivar_2_Cohort_Year_Selection=$AF$278,Cultivar_3_Cohort_Year_Selection=$AF$278), ROUND(MAX(0,AE$320 - 3),0),
IF(AND(OR(AF$279=123, AF$279=12), Cultivar_1_Cohort_Year_Selection=$AF$278,Cultivar_2_Cohort_Year_Selection=$AF$278), ROUND(MAX(0,AE$320 - 2),0),
IF(AND(OR(AF$279=123, AF$279=13), Cultivar_1_Cohort_Year_Selection=$AF$278,Cultivar_3_Cohort_Year_Selection=$AF$278), ROUND(MAX(0,AE$320 - 2),0),
IF(AND(OR(AF$279=123, AF$279=23), Cultivar_2_Cohort_Year_Selection=$AF$278,Cultivar_3_Cohort_Year_Selection=$AF$278), ROUND(MAX(0,AE$320 - 2),0),
IF(AND(OR(AF$279=123, AF$279=12, AF$279=13, AF$279=1), Cultivar_1_Cohort_Year_Selection=$AF$278), ROUND(MAX(0,AE$320 - 1),0),
IF(AND(OR(AF$279=123, AF$279=12, AF$279=23, AF$279=2), Cultivar_2_Cohort_Year_Selection=$AF$278), ROUND(MAX(0,AE$320 - 1),0),
IF(AND(OR(AF$279=123, AF$279=13, AF$279=23, AF$279=3), Cultivar_3_Cohort_Year_Selection=$AF$278), ROUND(MAX(0,AE$320 - 1),0),
ROUND(MAX(0,AE$320),0)))))))),""),""),"")</f>
        <v/>
      </c>
      <c r="AG339" s="93" t="str">
        <f>IF(ISNUMBER($B$321),
IF($C339&lt;&gt;"",
IF(AND(ISNUMBER(AF$280), ISNUMBER(AF$317)),
IF(AND(AG$279=123, Cultivar_1_Cohort_Year_Selection=$AG$278,Cultivar_2_Cohort_Year_Selection=$AG$278,Cultivar_3_Cohort_Year_Selection=$AG$278), ROUND(MAX(0,AF$320 - 3),0),
IF(AND(OR(AG$279=123, AG$279=12), Cultivar_1_Cohort_Year_Selection=$AG$278,Cultivar_2_Cohort_Year_Selection=$AG$278), ROUND(MAX(0,AF$320 - 2),0),
IF(AND(OR(AG$279=123, AG$279=13), Cultivar_1_Cohort_Year_Selection=$AG$278,Cultivar_3_Cohort_Year_Selection=$AG$278), ROUND(MAX(0,AF$320 - 2),0),
IF(AND(OR(AG$279=123, AG$279=23), Cultivar_2_Cohort_Year_Selection=$AG$278,Cultivar_3_Cohort_Year_Selection=$AG$278), ROUND(MAX(0,AF$320 - 2),0),
IF(AND(OR(AG$279=123, AG$279=12, AG$279=13, AG$279=1), Cultivar_1_Cohort_Year_Selection=$AG$278), ROUND(MAX(0,AF$320 - 1),0),
IF(AND(OR(AG$279=123, AG$279=12, AG$279=23, AG$279=2), Cultivar_2_Cohort_Year_Selection=$AG$278), ROUND(MAX(0,AF$320 - 1),0),
IF(AND(OR(AG$279=123, AG$279=13, AG$279=23, AG$279=3), Cultivar_3_Cohort_Year_Selection=$AG$278), ROUND(MAX(0,AF$320 - 1),0),
ROUND(MAX(0,AF$320),0)))))))),""),""),"")</f>
        <v/>
      </c>
      <c r="AH339" s="93" t="str">
        <f>IF(ISNUMBER($B$321),
IF($C339&lt;&gt;"",
IF(AND(ISNUMBER(AG$280), ISNUMBER(AG$317)),
IF(AND(AH$279=123, Cultivar_1_Cohort_Year_Selection=$AH$278,Cultivar_2_Cohort_Year_Selection=$AH$278,Cultivar_3_Cohort_Year_Selection=$AH$278), ROUND(MAX(0,AG$320 - 3),0),
IF(AND(OR(AH$279=123, AH$279=12), Cultivar_1_Cohort_Year_Selection=$AH$278,Cultivar_2_Cohort_Year_Selection=$AH$278), ROUND(MAX(0,AG$320 - 2),0),
IF(AND(OR(AH$279=123, AH$279=13), Cultivar_1_Cohort_Year_Selection=$AH$278,Cultivar_3_Cohort_Year_Selection=$AH$278), ROUND(MAX(0,AG$320 - 2),0),
IF(AND(OR(AH$279=123, AH$279=23), Cultivar_2_Cohort_Year_Selection=$AH$278,Cultivar_3_Cohort_Year_Selection=$AH$278), ROUND(MAX(0,AG$320 - 2),0),
IF(AND(OR(AH$279=123, AH$279=12, AH$279=13, AH$279=1), Cultivar_1_Cohort_Year_Selection=$AH$278), ROUND(MAX(0,AG$320 - 1),0),
IF(AND(OR(AH$279=123, AH$279=12, AH$279=23, AH$279=2), Cultivar_2_Cohort_Year_Selection=$AH$278), ROUND(MAX(0,AG$320 - 1),0),
IF(AND(OR(AH$279=123, AH$279=13, AH$279=23, AH$279=3), Cultivar_3_Cohort_Year_Selection=$AH$278), ROUND(MAX(0,AG$320 - 1),0),
ROUND(MAX(0,AG$320),0)))))))),""),""),"")</f>
        <v/>
      </c>
      <c r="AI339" s="93" t="str">
        <f>IF(ISNUMBER($B$321),
IF($C339&lt;&gt;"",
IF(AND(ISNUMBER(AH$280), ISNUMBER(AH$317)),
IF(AND(AI$279=123, Cultivar_1_Cohort_Year_Selection=$AI$278,Cultivar_2_Cohort_Year_Selection=$AI$278,Cultivar_3_Cohort_Year_Selection=$AI$278), ROUND(MAX(0,AH$320 - 3),0),
IF(AND(OR(AI$279=123, AI$279=12), Cultivar_1_Cohort_Year_Selection=$AI$278,Cultivar_2_Cohort_Year_Selection=$AI$278), ROUND(MAX(0,AH$320 - 2),0),
IF(AND(OR(AI$279=123, AI$279=13), Cultivar_1_Cohort_Year_Selection=$AI$278,Cultivar_3_Cohort_Year_Selection=$AI$278), ROUND(MAX(0,AH$320 - 2),0),
IF(AND(OR(AI$279=123, AI$279=23), Cultivar_2_Cohort_Year_Selection=$AI$278,Cultivar_3_Cohort_Year_Selection=$AI$278), ROUND(MAX(0,AH$320 - 2),0),
IF(AND(OR(AI$279=123, AI$279=12, AI$279=13, AI$279=1), Cultivar_1_Cohort_Year_Selection=$AI$278), ROUND(MAX(0,AH$320 - 1),0),
IF(AND(OR(AI$279=123, AI$279=12, AI$279=23, AI$279=2), Cultivar_2_Cohort_Year_Selection=$AI$278), ROUND(MAX(0,AH$320 - 1),0),
IF(AND(OR(AI$279=123, AI$279=13, AI$279=23, AI$279=3), Cultivar_3_Cohort_Year_Selection=$AI$278), ROUND(MAX(0,AH$320 - 1),0),
ROUND(MAX(0,AH$320),0)))))))),""),""),"")</f>
        <v/>
      </c>
      <c r="AJ339" s="93" t="str">
        <f>IF(ISNUMBER($B$321),
IF($C339&lt;&gt;"",
IF(AND(ISNUMBER(AI$280), ISNUMBER(AI$317)),
IF(AND(AJ$279=123, Cultivar_1_Cohort_Year_Selection=$AJ$278,Cultivar_2_Cohort_Year_Selection=$AJ$278,Cultivar_3_Cohort_Year_Selection=$AJ$278), ROUND(MAX(0,AI$320 - 3),0),
IF(AND(OR(AJ$279=123, AJ$279=12), Cultivar_1_Cohort_Year_Selection=$AJ$278,Cultivar_2_Cohort_Year_Selection=$AJ$278), ROUND(MAX(0,AI$320 - 2),0),
IF(AND(OR(AJ$279=123, AJ$279=13), Cultivar_1_Cohort_Year_Selection=$AJ$278,Cultivar_3_Cohort_Year_Selection=$AJ$278), ROUND(MAX(0,AI$320 - 2),0),
IF(AND(OR(AJ$279=123, AJ$279=23), Cultivar_2_Cohort_Year_Selection=$AJ$278,Cultivar_3_Cohort_Year_Selection=$AJ$278), ROUND(MAX(0,AI$320 - 2),0),
IF(AND(OR(AJ$279=123, AJ$279=12, AJ$279=13, AJ$279=1), Cultivar_1_Cohort_Year_Selection=$AJ$278), ROUND(MAX(0,AI$320 - 1),0),
IF(AND(OR(AJ$279=123, AJ$279=12, AJ$279=23, AJ$279=2), Cultivar_2_Cohort_Year_Selection=$AJ$278), ROUND(MAX(0,AI$320 - 1),0),
IF(AND(OR(AJ$279=123, AJ$279=13, AJ$279=23, AJ$279=3), Cultivar_3_Cohort_Year_Selection=$AJ$278), ROUND(MAX(0,AI$320 - 1),0),
ROUND(MAX(0,AI$320),0)))))))),""),""),"")</f>
        <v/>
      </c>
      <c r="AK339" s="93" t="str">
        <f>IF(ISNUMBER($B$321),
IF($C339&lt;&gt;"",
IF(AND(ISNUMBER(AJ$280), ISNUMBER(AJ$317)),
IF(AND(AK$279=123, Cultivar_1_Cohort_Year_Selection=$AK$278,Cultivar_2_Cohort_Year_Selection=$AK$278,Cultivar_3_Cohort_Year_Selection=$AK$278), ROUND(MAX(0,AJ$320 - 3),0),
IF(AND(OR(AK$279=123, AK$279=12), Cultivar_1_Cohort_Year_Selection=$AK$278,Cultivar_2_Cohort_Year_Selection=$AK$278), ROUND(MAX(0,AJ$320 - 2),0),
IF(AND(OR(AK$279=123, AK$279=13), Cultivar_1_Cohort_Year_Selection=$AK$278,Cultivar_3_Cohort_Year_Selection=$AK$278), ROUND(MAX(0,AJ$320 - 2),0),
IF(AND(OR(AK$279=123, AK$279=23), Cultivar_2_Cohort_Year_Selection=$AK$278,Cultivar_3_Cohort_Year_Selection=$AK$278), ROUND(MAX(0,AJ$320 - 2),0),
IF(AND(OR(AK$279=123, AK$279=12, AK$279=13, AK$279=1), Cultivar_1_Cohort_Year_Selection=$AK$278), ROUND(MAX(0,AJ$320 - 1),0),
IF(AND(OR(AK$279=123, AK$279=12, AK$279=23, AK$279=2), Cultivar_2_Cohort_Year_Selection=$AK$278), ROUND(MAX(0,AJ$320 - 1),0),
IF(AND(OR(AK$279=123, AK$279=13, AK$279=23, AK$279=3), Cultivar_3_Cohort_Year_Selection=$AK$278), ROUND(MAX(0,AJ$320 - 1),0),
ROUND(MAX(0,AJ$320),0)))))))),""),""),"")</f>
        <v/>
      </c>
      <c r="AL339" s="93" t="str">
        <f>IF(ISNUMBER($B$321),
IF($C339&lt;&gt;"",
IF(AND(ISNUMBER(AK$280), ISNUMBER(AK$317)),
IF(AND(AL$279=123, Cultivar_1_Cohort_Year_Selection=$AL$278,Cultivar_2_Cohort_Year_Selection=$AL$278,Cultivar_3_Cohort_Year_Selection=$AL$278), ROUND(MAX(0,AK$320 - 3),0),
IF(AND(OR(AL$279=123, AL$279=12), Cultivar_1_Cohort_Year_Selection=$AL$278,Cultivar_2_Cohort_Year_Selection=$AL$278), ROUND(MAX(0,AK$320 - 2),0),
IF(AND(OR(AL$279=123, AL$279=13), Cultivar_1_Cohort_Year_Selection=$AL$278,Cultivar_3_Cohort_Year_Selection=$AL$278), ROUND(MAX(0,AK$320 - 2),0),
IF(AND(OR(AL$279=123, AL$279=23), Cultivar_2_Cohort_Year_Selection=$AL$278,Cultivar_3_Cohort_Year_Selection=$AL$278), ROUND(MAX(0,AK$320 - 2),0),
IF(AND(OR(AL$279=123, AL$279=12, AL$279=13, AL$279=1), Cultivar_1_Cohort_Year_Selection=$AL$278), ROUND(MAX(0,AK$320 - 1),0),
IF(AND(OR(AL$279=123, AL$279=12, AL$279=23, AL$279=2), Cultivar_2_Cohort_Year_Selection=$AL$278), ROUND(MAX(0,AK$320 - 1),0),
IF(AND(OR(AL$279=123, AL$279=13, AL$279=23, AL$279=3), Cultivar_3_Cohort_Year_Selection=$AL$278), ROUND(MAX(0,AK$320 - 1),0),
ROUND(MAX(0,AK$320),0)))))))),""),""),"")</f>
        <v/>
      </c>
      <c r="AM339" s="93" t="str">
        <f>IF(ISNUMBER($B$321),
IF($C339&lt;&gt;"",
IF(AND(ISNUMBER(AL$280), ISNUMBER(AL$317)),
IF(AND(AM$279=123, Cultivar_1_Cohort_Year_Selection=$AM$278,Cultivar_2_Cohort_Year_Selection=$AM$278,Cultivar_3_Cohort_Year_Selection=$AM$278), ROUND(MAX(0,AL$320 - 3),0),
IF(AND(OR(AM$279=123, AM$279=12), Cultivar_1_Cohort_Year_Selection=$AM$278,Cultivar_2_Cohort_Year_Selection=$AM$278), ROUND(MAX(0,AL$320 - 2),0),
IF(AND(OR(AM$279=123, AM$279=13), Cultivar_1_Cohort_Year_Selection=$AM$278,Cultivar_3_Cohort_Year_Selection=$AM$278), ROUND(MAX(0,AL$320 - 2),0),
IF(AND(OR(AM$279=123, AM$279=23), Cultivar_2_Cohort_Year_Selection=$AM$278,Cultivar_3_Cohort_Year_Selection=$AM$278), ROUND(MAX(0,AL$320 - 2),0),
IF(AND(OR(AM$279=123, AM$279=12, AM$279=13, AM$279=1), Cultivar_1_Cohort_Year_Selection=$AM$278), ROUND(MAX(0,AL$320 - 1),0),
IF(AND(OR(AM$279=123, AM$279=12, AM$279=23, AM$279=2), Cultivar_2_Cohort_Year_Selection=$AM$278), ROUND(MAX(0,AL$320 - 1),0),
IF(AND(OR(AM$279=123, AM$279=13, AM$279=23, AM$279=3), Cultivar_3_Cohort_Year_Selection=$AM$278), ROUND(MAX(0,AL$320 - 1),0),
ROUND(MAX(0,AL$320),0)))))))),""),""),"")</f>
        <v/>
      </c>
      <c r="AN339" s="93" t="str">
        <f>IF(ISNUMBER($B$321),
IF($C339&lt;&gt;"",
IF(AND(ISNUMBER(AM$280), ISNUMBER(AM$317)),
IF(AND(AN$279=123, Cultivar_1_Cohort_Year_Selection=$AN$278,Cultivar_2_Cohort_Year_Selection=$AN$278,Cultivar_3_Cohort_Year_Selection=$AN$278), ROUND(MAX(0,AM$320 - 3),0),
IF(AND(OR(AN$279=123, AN$279=12), Cultivar_1_Cohort_Year_Selection=$AN$278,Cultivar_2_Cohort_Year_Selection=$AN$278), ROUND(MAX(0,AM$320 - 2),0),
IF(AND(OR(AN$279=123, AN$279=13), Cultivar_1_Cohort_Year_Selection=$AN$278,Cultivar_3_Cohort_Year_Selection=$AN$278), ROUND(MAX(0,AM$320 - 2),0),
IF(AND(OR(AN$279=123, AN$279=23), Cultivar_2_Cohort_Year_Selection=$AN$278,Cultivar_3_Cohort_Year_Selection=$AN$278), ROUND(MAX(0,AM$320 - 2),0),
IF(AND(OR(AN$279=123, AN$279=12, AN$279=13, AN$279=1), Cultivar_1_Cohort_Year_Selection=$AN$278), ROUND(MAX(0,AM$320 - 1),0),
IF(AND(OR(AN$279=123, AN$279=12, AN$279=23, AN$279=2), Cultivar_2_Cohort_Year_Selection=$AN$278), ROUND(MAX(0,AM$320 - 1),0),
IF(AND(OR(AN$279=123, AN$279=13, AN$279=23, AN$279=3), Cultivar_3_Cohort_Year_Selection=$AN$278), ROUND(MAX(0,AM$320 - 1),0),
ROUND(MAX(0,AM$320),0)))))))),""),""),"")</f>
        <v/>
      </c>
      <c r="AO339" s="93" t="str">
        <f>IF(ISNUMBER($B$321),
IF($C339&lt;&gt;"",
IF(AND(ISNUMBER(AN$280), ISNUMBER(AN$317)),
IF(AND(AO$279=123, Cultivar_1_Cohort_Year_Selection=$AO$278,Cultivar_2_Cohort_Year_Selection=$AO$278,Cultivar_3_Cohort_Year_Selection=$AO$278), ROUND(MAX(0,AN$320 - 3),0),
IF(AND(OR(AO$279=123, AO$279=12), Cultivar_1_Cohort_Year_Selection=$AO$278,Cultivar_2_Cohort_Year_Selection=$AO$278), ROUND(MAX(0,AN$320 - 2),0),
IF(AND(OR(AO$279=123, AO$279=13), Cultivar_1_Cohort_Year_Selection=$AO$278,Cultivar_3_Cohort_Year_Selection=$AO$278), ROUND(MAX(0,AN$320 - 2),0),
IF(AND(OR(AO$279=123, AO$279=23), Cultivar_2_Cohort_Year_Selection=$AO$278,Cultivar_3_Cohort_Year_Selection=$AO$278), ROUND(MAX(0,AN$320 - 2),0),
IF(AND(OR(AO$279=123, AO$279=12, AO$279=13, AO$279=1), Cultivar_1_Cohort_Year_Selection=$AO$278), ROUND(MAX(0,AN$320 - 1),0),
IF(AND(OR(AO$279=123, AO$279=12, AO$279=23, AO$279=2), Cultivar_2_Cohort_Year_Selection=$AO$278), ROUND(MAX(0,AN$320 - 1),0),
IF(AND(OR(AO$279=123, AO$279=13, AO$279=23, AO$279=3), Cultivar_3_Cohort_Year_Selection=$AO$278), ROUND(MAX(0,AN$320 - 1),0),
ROUND(MAX(0,AN$320),0)))))))),""),""),"")</f>
        <v/>
      </c>
      <c r="AP339" s="93" t="str">
        <f>IF(ISNUMBER($B$321),
IF($C339&lt;&gt;"",
IF(AND(ISNUMBER(AO$280), ISNUMBER(AO$317)),
IF(AND(AP$279=123, Cultivar_1_Cohort_Year_Selection=$AP$278,Cultivar_2_Cohort_Year_Selection=$AP$278,Cultivar_3_Cohort_Year_Selection=$AP$278), ROUND(MAX(0,AO$320 - 3),0),
IF(AND(OR(AP$279=123, AP$279=12), Cultivar_1_Cohort_Year_Selection=$AP$278,Cultivar_2_Cohort_Year_Selection=$AP$278), ROUND(MAX(0,AO$320 - 2),0),
IF(AND(OR(AP$279=123, AP$279=13), Cultivar_1_Cohort_Year_Selection=$AP$278,Cultivar_3_Cohort_Year_Selection=$AP$278), ROUND(MAX(0,AO$320 - 2),0),
IF(AND(OR(AP$279=123, AP$279=23), Cultivar_2_Cohort_Year_Selection=$AP$278,Cultivar_3_Cohort_Year_Selection=$AP$278), ROUND(MAX(0,AO$320 - 2),0),
IF(AND(OR(AP$279=123, AP$279=12, AP$279=13, AP$279=1), Cultivar_1_Cohort_Year_Selection=$AP$278), ROUND(MAX(0,AO$320 - 1),0),
IF(AND(OR(AP$279=123, AP$279=12, AP$279=23, AP$279=2), Cultivar_2_Cohort_Year_Selection=$AP$278), ROUND(MAX(0,AO$320 - 1),0),
IF(AND(OR(AP$279=123, AP$279=13, AP$279=23, AP$279=3), Cultivar_3_Cohort_Year_Selection=$AP$278), ROUND(MAX(0,AO$320 - 1),0),
ROUND(MAX(0,AO$320),0)))))))),""),""),"")</f>
        <v/>
      </c>
      <c r="AQ339" s="93" t="str">
        <f>IF(ISNUMBER($B$321),
IF($C339&lt;&gt;"",
IF(AND(ISNUMBER(AP$280), ISNUMBER(AP$317)),
IF(AND(AQ$279=123, Cultivar_1_Cohort_Year_Selection=$AQ$278,Cultivar_2_Cohort_Year_Selection=$AQ$278,Cultivar_3_Cohort_Year_Selection=$AQ$278), ROUND(MAX(0,AP$320 - 3),0),
IF(AND(OR(AQ$279=123, AQ$279=12), Cultivar_1_Cohort_Year_Selection=$AQ$278,Cultivar_2_Cohort_Year_Selection=$AQ$278), ROUND(MAX(0,AP$320 - 2),0),
IF(AND(OR(AQ$279=123, AQ$279=13), Cultivar_1_Cohort_Year_Selection=$AQ$278,Cultivar_3_Cohort_Year_Selection=$AQ$278), ROUND(MAX(0,AP$320 - 2),0),
IF(AND(OR(AQ$279=123, AQ$279=23), Cultivar_2_Cohort_Year_Selection=$AQ$278,Cultivar_3_Cohort_Year_Selection=$AQ$278), ROUND(MAX(0,AP$320 - 2),0),
IF(AND(OR(AQ$279=123, AQ$279=12, AQ$279=13, AQ$279=1), Cultivar_1_Cohort_Year_Selection=$AQ$278), ROUND(MAX(0,AP$320 - 1),0),
IF(AND(OR(AQ$279=123, AQ$279=12, AQ$279=23, AQ$279=2), Cultivar_2_Cohort_Year_Selection=$AQ$278), ROUND(MAX(0,AP$320 - 1),0),
IF(AND(OR(AQ$279=123, AQ$279=13, AQ$279=23, AQ$279=3), Cultivar_3_Cohort_Year_Selection=$AQ$278), ROUND(MAX(0,AP$320 - 1),0),
ROUND(MAX(0,AP$320),0)))))))),""),""),"")</f>
        <v/>
      </c>
      <c r="AR339" s="93" t="str">
        <f>IF(ISNUMBER($B$321),
IF($C339&lt;&gt;"",
IF(AND(ISNUMBER(AQ$280), ISNUMBER(AQ$317)),
IF(AND(AR$279=123, Cultivar_1_Cohort_Year_Selection=$AR$278,Cultivar_2_Cohort_Year_Selection=$AR$278,Cultivar_3_Cohort_Year_Selection=$AR$278), ROUND(MAX(0,AQ$320 - 3),0),
IF(AND(OR(AR$279=123, AR$279=12), Cultivar_1_Cohort_Year_Selection=$AR$278,Cultivar_2_Cohort_Year_Selection=$AR$278), ROUND(MAX(0,AQ$320 - 2),0),
IF(AND(OR(AR$279=123, AR$279=13), Cultivar_1_Cohort_Year_Selection=$AR$278,Cultivar_3_Cohort_Year_Selection=$AR$278), ROUND(MAX(0,AQ$320 - 2),0),
IF(AND(OR(AR$279=123, AR$279=23), Cultivar_2_Cohort_Year_Selection=$AR$278,Cultivar_3_Cohort_Year_Selection=$AR$278), ROUND(MAX(0,AQ$320 - 2),0),
IF(AND(OR(AR$279=123, AR$279=12, AR$279=13, AR$279=1), Cultivar_1_Cohort_Year_Selection=$AR$278), ROUND(MAX(0,AQ$320 - 1),0),
IF(AND(OR(AR$279=123, AR$279=12, AR$279=23, AR$279=2), Cultivar_2_Cohort_Year_Selection=$AR$278), ROUND(MAX(0,AQ$320 - 1),0),
IF(AND(OR(AR$279=123, AR$279=13, AR$279=23, AR$279=3), Cultivar_3_Cohort_Year_Selection=$AR$278), ROUND(MAX(0,AQ$320 - 1),0),
ROUND(MAX(0,AQ$320),0)))))))),""),""),"")</f>
        <v/>
      </c>
    </row>
    <row r="340" spans="1:45" x14ac:dyDescent="0.25">
      <c r="A340" s="518"/>
      <c r="B340" s="504"/>
      <c r="C340" s="104" t="str">
        <f>IF(AND(ISNUMBER(B321), C333&lt;&gt;"", OR('Cost Inputs'!$H$123&lt;&gt;"", 'Cost Inputs'!$I$123&lt;&gt;"", 'Cost Inputs'!$J$123&lt;&gt;"")), _4_5_3, "")</f>
        <v/>
      </c>
      <c r="D340" s="17" t="str">
        <f>IF(AND(C340&lt;&gt;"", 'Cost Inputs'!$G$123&lt;&gt;""), 'Cost Inputs'!$G$123, "")</f>
        <v/>
      </c>
      <c r="E340" s="17" t="str">
        <f>IF(AND(C340&lt;&gt;"", 'Cost Inputs'!$H$123&lt;&gt;""), 'Cost Inputs'!$H$123, "")</f>
        <v/>
      </c>
      <c r="F340" s="17" t="str">
        <f>IF(AND(C340&lt;&gt;"", 'Cost Inputs'!$I$123&lt;&gt;""), 'Cost Inputs'!$I$123, "")</f>
        <v/>
      </c>
      <c r="G340" s="105" t="str">
        <f t="shared" si="63"/>
        <v/>
      </c>
      <c r="H340" s="17" t="str">
        <f>IF(AND(C340&lt;&gt;"", 'Cost Inputs'!$J$123&lt;&gt;""), 'Cost Inputs'!$J$123, "")</f>
        <v/>
      </c>
      <c r="I340" s="17" t="str">
        <f>IF($C340&lt;&gt;"", IF(AND($E340&lt;&gt;"", H340&lt;&gt;""), H340/$E340, 0),"")</f>
        <v/>
      </c>
      <c r="J340" s="17" t="str">
        <f>IF(AND(C340&lt;&gt;"",('Cost Inputs'!$I$123+'Cost Inputs'!$J$123+'Cost Inputs'!$K$123)&gt;0), 'Cost Inputs'!$I$123+'Cost Inputs'!$J$123+'Cost Inputs'!$K$123, "")</f>
        <v/>
      </c>
      <c r="K340" s="17" t="str">
        <f>IF($C340&lt;&gt;"", IF(AND($E340&lt;&gt;"", J340&lt;&gt;""), J340/$E340, 0),"")</f>
        <v/>
      </c>
      <c r="L340" s="525"/>
      <c r="M340" s="525"/>
      <c r="P340" s="17" t="str">
        <f>IF(ISNUMBER($B$321),
IF($C340&lt;&gt;"",
IF(AND(ISNUMBER(O$280), ISNUMBER(O$317)),
IF(AND(P$279=123, Cultivar_1_Cohort_Year_Selection=$P$278,Cultivar_2_Cohort_Year_Selection=$P$278,Cultivar_3_Cohort_Year_Selection=$P$278), ROUND(MAX(0,O$320 - 3),0),
IF(AND(OR(P$279=123, P$279=12), Cultivar_1_Cohort_Year_Selection=$P$278,Cultivar_2_Cohort_Year_Selection=$P$278), ROUND(MAX(0,O$320 - 2),0),
IF(AND(OR(P$279=123, P$279=13), Cultivar_1_Cohort_Year_Selection=$P$278,Cultivar_3_Cohort_Year_Selection=$P$278), ROUND(MAX(0,O$320 - 2),0),
IF(AND(OR(P$279=123, P$279=23), Cultivar_2_Cohort_Year_Selection=$P$278,Cultivar_3_Cohort_Year_Selection=$P$278), ROUND(MAX(0,O$320 - 2),0),
IF(AND(OR(P$279=123, P$279=12, P$279=13, P$279=1), Cultivar_1_Cohort_Year_Selection=$P$278), ROUND(MAX(0,O$320 - 1),0),
IF(AND(OR(P$279=123, P$279=12, P$279=23, P$279=2), Cultivar_2_Cohort_Year_Selection=$P$278), ROUND(MAX(0,O$320 - 1),0),
IF(AND(OR(P$279=123, P$279=13, P$279=23, P$279=3), Cultivar_3_Cohort_Year_Selection=$P$278), ROUND(MAX(0,O$320 - 1),0),
ROUND(MAX(0,O$320),0)))))))),""),""),"")</f>
        <v/>
      </c>
      <c r="Q340" s="17" t="str">
        <f>IF(ISNUMBER($B$321),
IF($C340&lt;&gt;"",
IF(AND(ISNUMBER(P$280), ISNUMBER(P$317)),
IF(AND(Q$279=123, Cultivar_1_Cohort_Year_Selection=$Q$278,Cultivar_2_Cohort_Year_Selection=$Q$278,Cultivar_3_Cohort_Year_Selection=$Q$278), ROUND(MAX(0,P$320 - 3),0),
IF(AND(OR(Q$279=123, Q$279=12), Cultivar_1_Cohort_Year_Selection=$Q$278,Cultivar_2_Cohort_Year_Selection=$Q$278), ROUND(MAX(0,P$320 - 2),0),
IF(AND(OR(Q$279=123, Q$279=13), Cultivar_1_Cohort_Year_Selection=$Q$278,Cultivar_3_Cohort_Year_Selection=$Q$278), ROUND(MAX(0,P$320 - 2),0),
IF(AND(OR(Q$279=123, Q$279=23), Cultivar_2_Cohort_Year_Selection=$Q$278,Cultivar_3_Cohort_Year_Selection=$Q$278), ROUND(MAX(0,P$320 - 2),0),
IF(AND(OR(Q$279=123, Q$279=12, Q$279=13, Q$279=1), Cultivar_1_Cohort_Year_Selection=$Q$278), ROUND(MAX(0,P$320 - 1),0),
IF(AND(OR(Q$279=123, Q$279=12, Q$279=23, Q$279=2), Cultivar_2_Cohort_Year_Selection=$Q$278), ROUND(MAX(0,P$320 - 1),0),
IF(AND(OR(Q$279=123, Q$279=13, Q$279=23, Q$279=3), Cultivar_3_Cohort_Year_Selection=$Q$278), ROUND(MAX(0,P$320 - 1),0),
ROUND(MAX(0,P$320),0)))))))),""),""),"")</f>
        <v/>
      </c>
      <c r="R340" s="17" t="str">
        <f>IF(ISNUMBER($B$321),
IF($C340&lt;&gt;"",
IF(AND(ISNUMBER(Q$280), ISNUMBER(Q$317)),
IF(AND(R$279=123, Cultivar_1_Cohort_Year_Selection=$R$278,Cultivar_2_Cohort_Year_Selection=$R$278,Cultivar_3_Cohort_Year_Selection=$R$278), ROUND(MAX(0,Q$320 - 3),0),
IF(AND(OR(R$279=123, R$279=12), Cultivar_1_Cohort_Year_Selection=$R$278,Cultivar_2_Cohort_Year_Selection=$R$278), ROUND(MAX(0,Q$320 - 2),0),
IF(AND(OR(R$279=123, R$279=13), Cultivar_1_Cohort_Year_Selection=$R$278,Cultivar_3_Cohort_Year_Selection=$R$278), ROUND(MAX(0,Q$320 - 2),0),
IF(AND(OR(R$279=123, R$279=23), Cultivar_2_Cohort_Year_Selection=$R$278,Cultivar_3_Cohort_Year_Selection=$R$278), ROUND(MAX(0,Q$320 - 2),0),
IF(AND(OR(R$279=123, R$279=12, R$279=13, R$279=1), Cultivar_1_Cohort_Year_Selection=$R$278), ROUND(MAX(0,Q$320 - 1),0),
IF(AND(OR(R$279=123, R$279=12, R$279=23, R$279=2), Cultivar_2_Cohort_Year_Selection=$R$278), ROUND(MAX(0,Q$320 - 1),0),
IF(AND(OR(R$279=123, R$279=13, R$279=23, R$279=3), Cultivar_3_Cohort_Year_Selection=$R$278), ROUND(MAX(0,Q$320 - 1),0),
ROUND(MAX(0,Q$320),0)))))))),""),""),"")</f>
        <v/>
      </c>
      <c r="S340" s="17" t="str">
        <f>IF(ISNUMBER($B$321),
IF($C340&lt;&gt;"",
IF(AND(ISNUMBER(R$280), ISNUMBER(R$317)),
IF(AND(S$279=123, Cultivar_1_Cohort_Year_Selection=$S$278,Cultivar_2_Cohort_Year_Selection=$S$278,Cultivar_3_Cohort_Year_Selection=$S$278), ROUND(MAX(0,R$320 - 3),0),
IF(AND(OR(S$279=123, S$279=12), Cultivar_1_Cohort_Year_Selection=$S$278,Cultivar_2_Cohort_Year_Selection=$S$278), ROUND(MAX(0,R$320 - 2),0),
IF(AND(OR(S$279=123, S$279=13), Cultivar_1_Cohort_Year_Selection=$S$278,Cultivar_3_Cohort_Year_Selection=$S$278), ROUND(MAX(0,R$320 - 2),0),
IF(AND(OR(S$279=123, S$279=23), Cultivar_2_Cohort_Year_Selection=$S$278,Cultivar_3_Cohort_Year_Selection=$S$278), ROUND(MAX(0,R$320 - 2),0),
IF(AND(OR(S$279=123, S$279=12, S$279=13, S$279=1), Cultivar_1_Cohort_Year_Selection=$S$278), ROUND(MAX(0,R$320 - 1),0),
IF(AND(OR(S$279=123, S$279=12, S$279=23, S$279=2), Cultivar_2_Cohort_Year_Selection=$S$278), ROUND(MAX(0,R$320 - 1),0),
IF(AND(OR(S$279=123, S$279=13, S$279=23, S$279=3), Cultivar_3_Cohort_Year_Selection=$S$278), ROUND(MAX(0,R$320 - 1),0),
ROUND(MAX(0,R$320),0)))))))),""),""),"")</f>
        <v/>
      </c>
      <c r="T340" s="17" t="str">
        <f>IF(ISNUMBER($B$321),
IF($C340&lt;&gt;"",
IF(AND(ISNUMBER(S$280), ISNUMBER(S$317)),
IF(AND(T$279=123, Cultivar_1_Cohort_Year_Selection=$T$278,Cultivar_2_Cohort_Year_Selection=$T$278,Cultivar_3_Cohort_Year_Selection=$T$278), ROUND(MAX(0,S$320 - 3),0),
IF(AND(OR(T$279=123, T$279=12), Cultivar_1_Cohort_Year_Selection=$T$278,Cultivar_2_Cohort_Year_Selection=$T$278), ROUND(MAX(0,S$320 - 2),0),
IF(AND(OR(T$279=123, T$279=13), Cultivar_1_Cohort_Year_Selection=$T$278,Cultivar_3_Cohort_Year_Selection=$T$278), ROUND(MAX(0,S$320 - 2),0),
IF(AND(OR(T$279=123, T$279=23), Cultivar_2_Cohort_Year_Selection=$T$278,Cultivar_3_Cohort_Year_Selection=$T$278), ROUND(MAX(0,S$320 - 2),0),
IF(AND(OR(T$279=123, T$279=12, T$279=13, T$279=1), Cultivar_1_Cohort_Year_Selection=$T$278), ROUND(MAX(0,S$320 - 1),0),
IF(AND(OR(T$279=123, T$279=12, T$279=23, T$279=2), Cultivar_2_Cohort_Year_Selection=$T$278), ROUND(MAX(0,S$320 - 1),0),
IF(AND(OR(T$279=123, T$279=13, T$279=23, T$279=3), Cultivar_3_Cohort_Year_Selection=$T$278), ROUND(MAX(0,S$320 - 1),0),
ROUND(MAX(0,S$320),0)))))))),""),""),"")</f>
        <v/>
      </c>
      <c r="U340" s="17" t="str">
        <f>IF(ISNUMBER($B$321),
IF($C340&lt;&gt;"",
IF(AND(ISNUMBER(T$280), ISNUMBER(T$317)),
IF(AND(U$279=123, Cultivar_1_Cohort_Year_Selection=$U$278,Cultivar_2_Cohort_Year_Selection=$U$278,Cultivar_3_Cohort_Year_Selection=$U$278), ROUND(MAX(0,T$320 - 3),0),
IF(AND(OR(U$279=123, U$279=12), Cultivar_1_Cohort_Year_Selection=$U$278,Cultivar_2_Cohort_Year_Selection=$U$278), ROUND(MAX(0,T$320 - 2),0),
IF(AND(OR(U$279=123, U$279=13), Cultivar_1_Cohort_Year_Selection=$U$278,Cultivar_3_Cohort_Year_Selection=$U$278), ROUND(MAX(0,T$320 - 2),0),
IF(AND(OR(U$279=123, U$279=23), Cultivar_2_Cohort_Year_Selection=$U$278,Cultivar_3_Cohort_Year_Selection=$U$278), ROUND(MAX(0,T$320 - 2),0),
IF(AND(OR(U$279=123, U$279=12, U$279=13, U$279=1), Cultivar_1_Cohort_Year_Selection=$U$278), ROUND(MAX(0,T$320 - 1),0),
IF(AND(OR(U$279=123, U$279=12, U$279=23, U$279=2), Cultivar_2_Cohort_Year_Selection=$U$278), ROUND(MAX(0,T$320 - 1),0),
IF(AND(OR(U$279=123, U$279=13, U$279=23, U$279=3), Cultivar_3_Cohort_Year_Selection=$U$278), ROUND(MAX(0,T$320 - 1),0),
ROUND(MAX(0,T$320),0)))))))),""),""),"")</f>
        <v/>
      </c>
      <c r="V340" s="17" t="str">
        <f>IF(ISNUMBER($B$321),
IF($C340&lt;&gt;"",
IF(AND(ISNUMBER(U$280), ISNUMBER(U$317)),
IF(AND(V$279=123, Cultivar_1_Cohort_Year_Selection=$V$278,Cultivar_2_Cohort_Year_Selection=$V$278,Cultivar_3_Cohort_Year_Selection=$V$278), ROUND(MAX(0,U$320 - 3),0),
IF(AND(OR(V$279=123, V$279=12), Cultivar_1_Cohort_Year_Selection=$V$278,Cultivar_2_Cohort_Year_Selection=$V$278), ROUND(MAX(0,U$320 - 2),0),
IF(AND(OR(V$279=123, V$279=13), Cultivar_1_Cohort_Year_Selection=$V$278,Cultivar_3_Cohort_Year_Selection=$V$278), ROUND(MAX(0,U$320 - 2),0),
IF(AND(OR(V$279=123, V$279=23), Cultivar_2_Cohort_Year_Selection=$V$278,Cultivar_3_Cohort_Year_Selection=$V$278), ROUND(MAX(0,U$320 - 2),0),
IF(AND(OR(V$279=123, V$279=12, V$279=13, V$279=1), Cultivar_1_Cohort_Year_Selection=$V$278), ROUND(MAX(0,U$320 - 1),0),
IF(AND(OR(V$279=123, V$279=12, V$279=23, V$279=2), Cultivar_2_Cohort_Year_Selection=$V$278), ROUND(MAX(0,U$320 - 1),0),
IF(AND(OR(V$279=123, V$279=13, V$279=23, V$279=3), Cultivar_3_Cohort_Year_Selection=$V$278), ROUND(MAX(0,U$320 - 1),0),
ROUND(MAX(0,U$320),0)))))))),""),""),"")</f>
        <v/>
      </c>
      <c r="W340" s="17" t="str">
        <f>IF(ISNUMBER($B$321),
IF($C340&lt;&gt;"",
IF(AND(ISNUMBER(V$280), ISNUMBER(V$317)),
IF(AND(W$279=123, Cultivar_1_Cohort_Year_Selection=$W$278,Cultivar_2_Cohort_Year_Selection=$W$278,Cultivar_3_Cohort_Year_Selection=$W$278), ROUND(MAX(0,V$320 - 3),0),
IF(AND(OR(W$279=123, W$279=12), Cultivar_1_Cohort_Year_Selection=$W$278,Cultivar_2_Cohort_Year_Selection=$W$278), ROUND(MAX(0,V$320 - 2),0),
IF(AND(OR(W$279=123, W$279=13), Cultivar_1_Cohort_Year_Selection=$W$278,Cultivar_3_Cohort_Year_Selection=$W$278), ROUND(MAX(0,V$320 - 2),0),
IF(AND(OR(W$279=123, W$279=23), Cultivar_2_Cohort_Year_Selection=$W$278,Cultivar_3_Cohort_Year_Selection=$W$278), ROUND(MAX(0,V$320 - 2),0),
IF(AND(OR(W$279=123, W$279=12, W$279=13, W$279=1), Cultivar_1_Cohort_Year_Selection=$W$278), ROUND(MAX(0,V$320 - 1),0),
IF(AND(OR(W$279=123, W$279=12, W$279=23, W$279=2), Cultivar_2_Cohort_Year_Selection=$W$278), ROUND(MAX(0,V$320 - 1),0),
IF(AND(OR(W$279=123, W$279=13, W$279=23, W$279=3), Cultivar_3_Cohort_Year_Selection=$W$278), ROUND(MAX(0,V$320 - 1),0),
ROUND(MAX(0,V$320),0)))))))),""),""),"")</f>
        <v/>
      </c>
      <c r="X340" s="17" t="str">
        <f>IF(ISNUMBER($B$321),
IF($C340&lt;&gt;"",
IF(AND(ISNUMBER(W$280), ISNUMBER(W$317)),
IF(AND(X$279=123, Cultivar_1_Cohort_Year_Selection=$X$278,Cultivar_2_Cohort_Year_Selection=$X$278,Cultivar_3_Cohort_Year_Selection=$X$278), ROUND(MAX(0,W$320 - 3),0),
IF(AND(OR(X$279=123, X$279=12), Cultivar_1_Cohort_Year_Selection=$X$278,Cultivar_2_Cohort_Year_Selection=$X$278), ROUND(MAX(0,W$320 - 2),0),
IF(AND(OR(X$279=123, X$279=13), Cultivar_1_Cohort_Year_Selection=$X$278,Cultivar_3_Cohort_Year_Selection=$X$278), ROUND(MAX(0,W$320 - 2),0),
IF(AND(OR(X$279=123, X$279=23), Cultivar_2_Cohort_Year_Selection=$X$278,Cultivar_3_Cohort_Year_Selection=$X$278), ROUND(MAX(0,W$320 - 2),0),
IF(AND(OR(X$279=123, X$279=12, X$279=13, X$279=1), Cultivar_1_Cohort_Year_Selection=$X$278), ROUND(MAX(0,W$320 - 1),0),
IF(AND(OR(X$279=123, X$279=12, X$279=23, X$279=2), Cultivar_2_Cohort_Year_Selection=$X$278), ROUND(MAX(0,W$320 - 1),0),
IF(AND(OR(X$279=123, X$279=13, X$279=23, X$279=3), Cultivar_3_Cohort_Year_Selection=$X$278), ROUND(MAX(0,W$320 - 1),0),
ROUND(MAX(0,W$320),0)))))))),""),""),"")</f>
        <v/>
      </c>
      <c r="Y340" s="17" t="str">
        <f>IF(ISNUMBER($B$321),
IF($C340&lt;&gt;"",
IF(AND(ISNUMBER(X$280), ISNUMBER(X$317)),
IF(AND(Y$279=123, Cultivar_1_Cohort_Year_Selection=$Y$278,Cultivar_2_Cohort_Year_Selection=$Y$278,Cultivar_3_Cohort_Year_Selection=$Y$278), ROUND(MAX(0,X$320 - 3),0),
IF(AND(OR(Y$279=123, Y$279=12), Cultivar_1_Cohort_Year_Selection=$Y$278,Cultivar_2_Cohort_Year_Selection=$Y$278), ROUND(MAX(0,X$320 - 2),0),
IF(AND(OR(Y$279=123, Y$279=13), Cultivar_1_Cohort_Year_Selection=$Y$278,Cultivar_3_Cohort_Year_Selection=$Y$278), ROUND(MAX(0,X$320 - 2),0),
IF(AND(OR(Y$279=123, Y$279=23), Cultivar_2_Cohort_Year_Selection=$Y$278,Cultivar_3_Cohort_Year_Selection=$Y$278), ROUND(MAX(0,X$320 - 2),0),
IF(AND(OR(Y$279=123, Y$279=12, Y$279=13, Y$279=1), Cultivar_1_Cohort_Year_Selection=$Y$278), ROUND(MAX(0,X$320 - 1),0),
IF(AND(OR(Y$279=123, Y$279=12, Y$279=23, Y$279=2), Cultivar_2_Cohort_Year_Selection=$Y$278), ROUND(MAX(0,X$320 - 1),0),
IF(AND(OR(Y$279=123, Y$279=13, Y$279=23, Y$279=3), Cultivar_3_Cohort_Year_Selection=$Y$278), ROUND(MAX(0,X$320 - 1),0),
ROUND(MAX(0,X$320),0)))))))),""),""),"")</f>
        <v/>
      </c>
      <c r="Z340" s="17" t="str">
        <f>IF(ISNUMBER($B$321),
IF($C340&lt;&gt;"",
IF(AND(ISNUMBER(Y$280), ISNUMBER(Y$317)),
IF(AND(Z$279=123, Cultivar_1_Cohort_Year_Selection=$Z$278,Cultivar_2_Cohort_Year_Selection=$Z$278,Cultivar_3_Cohort_Year_Selection=$Z$278), ROUND(MAX(0,Y$320 - 3),0),
IF(AND(OR(Z$279=123, Z$279=12), Cultivar_1_Cohort_Year_Selection=$Z$278,Cultivar_2_Cohort_Year_Selection=$Z$278), ROUND(MAX(0,Y$320 - 2),0),
IF(AND(OR(Z$279=123, Z$279=13), Cultivar_1_Cohort_Year_Selection=$Z$278,Cultivar_3_Cohort_Year_Selection=$Z$278), ROUND(MAX(0,Y$320 - 2),0),
IF(AND(OR(Z$279=123, Z$279=23), Cultivar_2_Cohort_Year_Selection=$Z$278,Cultivar_3_Cohort_Year_Selection=$Z$278), ROUND(MAX(0,Y$320 - 2),0),
IF(AND(OR(Z$279=123, Z$279=12, Z$279=13, Z$279=1), Cultivar_1_Cohort_Year_Selection=$Z$278), ROUND(MAX(0,Y$320 - 1),0),
IF(AND(OR(Z$279=123, Z$279=12, Z$279=23, Z$279=2), Cultivar_2_Cohort_Year_Selection=$Z$278), ROUND(MAX(0,Y$320 - 1),0),
IF(AND(OR(Z$279=123, Z$279=13, Z$279=23, Z$279=3), Cultivar_3_Cohort_Year_Selection=$Z$278), ROUND(MAX(0,Y$320 - 1),0),
ROUND(MAX(0,Y$320),0)))))))),""),""),"")</f>
        <v/>
      </c>
      <c r="AA340" s="17" t="str">
        <f>IF(ISNUMBER($B$321),
IF($C340&lt;&gt;"",
IF(AND(ISNUMBER(Z$280), ISNUMBER(Z$317)),
IF(AND(AA$279=123, Cultivar_1_Cohort_Year_Selection=$AA$278,Cultivar_2_Cohort_Year_Selection=$AA$278,Cultivar_3_Cohort_Year_Selection=$AA$278), ROUND(MAX(0,Z$320 - 3),0),
IF(AND(OR(AA$279=123, AA$279=12), Cultivar_1_Cohort_Year_Selection=$AA$278,Cultivar_2_Cohort_Year_Selection=$AA$278), ROUND(MAX(0,Z$320 - 2),0),
IF(AND(OR(AA$279=123, AA$279=13), Cultivar_1_Cohort_Year_Selection=$AA$278,Cultivar_3_Cohort_Year_Selection=$AA$278), ROUND(MAX(0,Z$320 - 2),0),
IF(AND(OR(AA$279=123, AA$279=23), Cultivar_2_Cohort_Year_Selection=$AA$278,Cultivar_3_Cohort_Year_Selection=$AA$278), ROUND(MAX(0,Z$320 - 2),0),
IF(AND(OR(AA$279=123, AA$279=12, AA$279=13, AA$279=1), Cultivar_1_Cohort_Year_Selection=$AA$278), ROUND(MAX(0,Z$320 - 1),0),
IF(AND(OR(AA$279=123, AA$279=12, AA$279=23, AA$279=2), Cultivar_2_Cohort_Year_Selection=$AA$278), ROUND(MAX(0,Z$320 - 1),0),
IF(AND(OR(AA$279=123, AA$279=13, AA$279=23, AA$279=3), Cultivar_3_Cohort_Year_Selection=$AA$278), ROUND(MAX(0,Z$320 - 1),0),
ROUND(MAX(0,Z$320),0)))))))),""),""),"")</f>
        <v/>
      </c>
      <c r="AB340" s="17" t="str">
        <f>IF(ISNUMBER($B$321),
IF($C340&lt;&gt;"",
IF(AND(ISNUMBER(AA$280), ISNUMBER(AA$317)),
IF(AND(AB$279=123, Cultivar_1_Cohort_Year_Selection=$AB$278,Cultivar_2_Cohort_Year_Selection=$AB$278,Cultivar_3_Cohort_Year_Selection=$AB$278), ROUND(MAX(0,AA$320 - 3),0),
IF(AND(OR(AB$279=123, AB$279=12), Cultivar_1_Cohort_Year_Selection=$AB$278,Cultivar_2_Cohort_Year_Selection=$AB$278), ROUND(MAX(0,AA$320 - 2),0),
IF(AND(OR(AB$279=123, AB$279=13), Cultivar_1_Cohort_Year_Selection=$AB$278,Cultivar_3_Cohort_Year_Selection=$AB$278), ROUND(MAX(0,AA$320 - 2),0),
IF(AND(OR(AB$279=123, AB$279=23), Cultivar_2_Cohort_Year_Selection=$AB$278,Cultivar_3_Cohort_Year_Selection=$AB$278), ROUND(MAX(0,AA$320 - 2),0),
IF(AND(OR(AB$279=123, AB$279=12, AB$279=13, AB$279=1), Cultivar_1_Cohort_Year_Selection=$AB$278), ROUND(MAX(0,AA$320 - 1),0),
IF(AND(OR(AB$279=123, AB$279=12, AB$279=23, AB$279=2), Cultivar_2_Cohort_Year_Selection=$AB$278), ROUND(MAX(0,AA$320 - 1),0),
IF(AND(OR(AB$279=123, AB$279=13, AB$279=23, AB$279=3), Cultivar_3_Cohort_Year_Selection=$AB$278), ROUND(MAX(0,AA$320 - 1),0),
ROUND(MAX(0,AA$320),0)))))))),""),""),"")</f>
        <v/>
      </c>
      <c r="AC340" s="17" t="str">
        <f>IF(ISNUMBER($B$321),
IF($C340&lt;&gt;"",
IF(AND(ISNUMBER(AB$280), ISNUMBER(AB$317)),
IF(AND(AC$279=123, Cultivar_1_Cohort_Year_Selection=$AC$278,Cultivar_2_Cohort_Year_Selection=$AC$278,Cultivar_3_Cohort_Year_Selection=$AC$278), ROUND(MAX(0,AB$320 - 3),0),
IF(AND(OR(AC$279=123, AC$279=12), Cultivar_1_Cohort_Year_Selection=$AC$278,Cultivar_2_Cohort_Year_Selection=$AC$278), ROUND(MAX(0,AB$320 - 2),0),
IF(AND(OR(AC$279=123, AC$279=13), Cultivar_1_Cohort_Year_Selection=$AC$278,Cultivar_3_Cohort_Year_Selection=$AC$278), ROUND(MAX(0,AB$320 - 2),0),
IF(AND(OR(AC$279=123, AC$279=23), Cultivar_2_Cohort_Year_Selection=$AC$278,Cultivar_3_Cohort_Year_Selection=$AC$278), ROUND(MAX(0,AB$320 - 2),0),
IF(AND(OR(AC$279=123, AC$279=12, AC$279=13, AC$279=1), Cultivar_1_Cohort_Year_Selection=$AC$278), ROUND(MAX(0,AB$320 - 1),0),
IF(AND(OR(AC$279=123, AC$279=12, AC$279=23, AC$279=2), Cultivar_2_Cohort_Year_Selection=$AC$278), ROUND(MAX(0,AB$320 - 1),0),
IF(AND(OR(AC$279=123, AC$279=13, AC$279=23, AC$279=3), Cultivar_3_Cohort_Year_Selection=$AC$278), ROUND(MAX(0,AB$320 - 1),0),
ROUND(MAX(0,AB$320),0)))))))),""),""),"")</f>
        <v/>
      </c>
      <c r="AD340" s="17" t="str">
        <f>IF(ISNUMBER($B$321),
IF($C340&lt;&gt;"",
IF(AND(ISNUMBER(AC$280), ISNUMBER(AC$317)),
IF(AND(AD$279=123, Cultivar_1_Cohort_Year_Selection=$AD$278,Cultivar_2_Cohort_Year_Selection=$AD$278,Cultivar_3_Cohort_Year_Selection=$AD$278), ROUND(MAX(0,AC$320 - 3),0),
IF(AND(OR(AD$279=123, AD$279=12), Cultivar_1_Cohort_Year_Selection=$AD$278,Cultivar_2_Cohort_Year_Selection=$AD$278), ROUND(MAX(0,AC$320 - 2),0),
IF(AND(OR(AD$279=123, AD$279=13), Cultivar_1_Cohort_Year_Selection=$AD$278,Cultivar_3_Cohort_Year_Selection=$AD$278), ROUND(MAX(0,AC$320 - 2),0),
IF(AND(OR(AD$279=123, AD$279=23), Cultivar_2_Cohort_Year_Selection=$AD$278,Cultivar_3_Cohort_Year_Selection=$AD$278), ROUND(MAX(0,AC$320 - 2),0),
IF(AND(OR(AD$279=123, AD$279=12, AD$279=13, AD$279=1), Cultivar_1_Cohort_Year_Selection=$AD$278), ROUND(MAX(0,AC$320 - 1),0),
IF(AND(OR(AD$279=123, AD$279=12, AD$279=23, AD$279=2), Cultivar_2_Cohort_Year_Selection=$AD$278), ROUND(MAX(0,AC$320 - 1),0),
IF(AND(OR(AD$279=123, AD$279=13, AD$279=23, AD$279=3), Cultivar_3_Cohort_Year_Selection=$AD$278), ROUND(MAX(0,AC$320 - 1),0),
ROUND(MAX(0,AC$320),0)))))))),""),""),"")</f>
        <v/>
      </c>
      <c r="AE340" s="17" t="str">
        <f>IF(ISNUMBER($B$321),
IF($C340&lt;&gt;"",
IF(AND(ISNUMBER(AD$280), ISNUMBER(AD$317)),
IF(AND(AE$279=123, Cultivar_1_Cohort_Year_Selection=$AE$278,Cultivar_2_Cohort_Year_Selection=$AE$278,Cultivar_3_Cohort_Year_Selection=$AE$278), ROUND(MAX(0,AD$320 - 3),0),
IF(AND(OR(AE$279=123, AE$279=12), Cultivar_1_Cohort_Year_Selection=$AE$278,Cultivar_2_Cohort_Year_Selection=$AE$278), ROUND(MAX(0,AD$320 - 2),0),
IF(AND(OR(AE$279=123, AE$279=13), Cultivar_1_Cohort_Year_Selection=$AE$278,Cultivar_3_Cohort_Year_Selection=$AE$278), ROUND(MAX(0,AD$320 - 2),0),
IF(AND(OR(AE$279=123, AE$279=23), Cultivar_2_Cohort_Year_Selection=$AE$278,Cultivar_3_Cohort_Year_Selection=$AE$278), ROUND(MAX(0,AD$320 - 2),0),
IF(AND(OR(AE$279=123, AE$279=12, AE$279=13, AE$279=1), Cultivar_1_Cohort_Year_Selection=$AE$278), ROUND(MAX(0,AD$320 - 1),0),
IF(AND(OR(AE$279=123, AE$279=12, AE$279=23, AE$279=2), Cultivar_2_Cohort_Year_Selection=$AE$278), ROUND(MAX(0,AD$320 - 1),0),
IF(AND(OR(AE$279=123, AE$279=13, AE$279=23, AE$279=3), Cultivar_3_Cohort_Year_Selection=$AE$278), ROUND(MAX(0,AD$320 - 1),0),
ROUND(MAX(0,AD$320),0)))))))),""),""),"")</f>
        <v/>
      </c>
      <c r="AF340" s="17" t="str">
        <f>IF(ISNUMBER($B$321),
IF($C340&lt;&gt;"",
IF(AND(ISNUMBER(AE$280), ISNUMBER(AE$317)),
IF(AND(AF$279=123, Cultivar_1_Cohort_Year_Selection=$AF$278,Cultivar_2_Cohort_Year_Selection=$AF$278,Cultivar_3_Cohort_Year_Selection=$AF$278), ROUND(MAX(0,AE$320 - 3),0),
IF(AND(OR(AF$279=123, AF$279=12), Cultivar_1_Cohort_Year_Selection=$AF$278,Cultivar_2_Cohort_Year_Selection=$AF$278), ROUND(MAX(0,AE$320 - 2),0),
IF(AND(OR(AF$279=123, AF$279=13), Cultivar_1_Cohort_Year_Selection=$AF$278,Cultivar_3_Cohort_Year_Selection=$AF$278), ROUND(MAX(0,AE$320 - 2),0),
IF(AND(OR(AF$279=123, AF$279=23), Cultivar_2_Cohort_Year_Selection=$AF$278,Cultivar_3_Cohort_Year_Selection=$AF$278), ROUND(MAX(0,AE$320 - 2),0),
IF(AND(OR(AF$279=123, AF$279=12, AF$279=13, AF$279=1), Cultivar_1_Cohort_Year_Selection=$AF$278), ROUND(MAX(0,AE$320 - 1),0),
IF(AND(OR(AF$279=123, AF$279=12, AF$279=23, AF$279=2), Cultivar_2_Cohort_Year_Selection=$AF$278), ROUND(MAX(0,AE$320 - 1),0),
IF(AND(OR(AF$279=123, AF$279=13, AF$279=23, AF$279=3), Cultivar_3_Cohort_Year_Selection=$AF$278), ROUND(MAX(0,AE$320 - 1),0),
ROUND(MAX(0,AE$320),0)))))))),""),""),"")</f>
        <v/>
      </c>
      <c r="AG340" s="17" t="str">
        <f>IF(ISNUMBER($B$321),
IF($C340&lt;&gt;"",
IF(AND(ISNUMBER(AF$280), ISNUMBER(AF$317)),
IF(AND(AG$279=123, Cultivar_1_Cohort_Year_Selection=$AG$278,Cultivar_2_Cohort_Year_Selection=$AG$278,Cultivar_3_Cohort_Year_Selection=$AG$278), ROUND(MAX(0,AF$320 - 3),0),
IF(AND(OR(AG$279=123, AG$279=12), Cultivar_1_Cohort_Year_Selection=$AG$278,Cultivar_2_Cohort_Year_Selection=$AG$278), ROUND(MAX(0,AF$320 - 2),0),
IF(AND(OR(AG$279=123, AG$279=13), Cultivar_1_Cohort_Year_Selection=$AG$278,Cultivar_3_Cohort_Year_Selection=$AG$278), ROUND(MAX(0,AF$320 - 2),0),
IF(AND(OR(AG$279=123, AG$279=23), Cultivar_2_Cohort_Year_Selection=$AG$278,Cultivar_3_Cohort_Year_Selection=$AG$278), ROUND(MAX(0,AF$320 - 2),0),
IF(AND(OR(AG$279=123, AG$279=12, AG$279=13, AG$279=1), Cultivar_1_Cohort_Year_Selection=$AG$278), ROUND(MAX(0,AF$320 - 1),0),
IF(AND(OR(AG$279=123, AG$279=12, AG$279=23, AG$279=2), Cultivar_2_Cohort_Year_Selection=$AG$278), ROUND(MAX(0,AF$320 - 1),0),
IF(AND(OR(AG$279=123, AG$279=13, AG$279=23, AG$279=3), Cultivar_3_Cohort_Year_Selection=$AG$278), ROUND(MAX(0,AF$320 - 1),0),
ROUND(MAX(0,AF$320),0)))))))),""),""),"")</f>
        <v/>
      </c>
      <c r="AH340" s="17" t="str">
        <f>IF(ISNUMBER($B$321),
IF($C340&lt;&gt;"",
IF(AND(ISNUMBER(AG$280), ISNUMBER(AG$317)),
IF(AND(AH$279=123, Cultivar_1_Cohort_Year_Selection=$AH$278,Cultivar_2_Cohort_Year_Selection=$AH$278,Cultivar_3_Cohort_Year_Selection=$AH$278), ROUND(MAX(0,AG$320 - 3),0),
IF(AND(OR(AH$279=123, AH$279=12), Cultivar_1_Cohort_Year_Selection=$AH$278,Cultivar_2_Cohort_Year_Selection=$AH$278), ROUND(MAX(0,AG$320 - 2),0),
IF(AND(OR(AH$279=123, AH$279=13), Cultivar_1_Cohort_Year_Selection=$AH$278,Cultivar_3_Cohort_Year_Selection=$AH$278), ROUND(MAX(0,AG$320 - 2),0),
IF(AND(OR(AH$279=123, AH$279=23), Cultivar_2_Cohort_Year_Selection=$AH$278,Cultivar_3_Cohort_Year_Selection=$AH$278), ROUND(MAX(0,AG$320 - 2),0),
IF(AND(OR(AH$279=123, AH$279=12, AH$279=13, AH$279=1), Cultivar_1_Cohort_Year_Selection=$AH$278), ROUND(MAX(0,AG$320 - 1),0),
IF(AND(OR(AH$279=123, AH$279=12, AH$279=23, AH$279=2), Cultivar_2_Cohort_Year_Selection=$AH$278), ROUND(MAX(0,AG$320 - 1),0),
IF(AND(OR(AH$279=123, AH$279=13, AH$279=23, AH$279=3), Cultivar_3_Cohort_Year_Selection=$AH$278), ROUND(MAX(0,AG$320 - 1),0),
ROUND(MAX(0,AG$320),0)))))))),""),""),"")</f>
        <v/>
      </c>
      <c r="AI340" s="17" t="str">
        <f>IF(ISNUMBER($B$321),
IF($C340&lt;&gt;"",
IF(AND(ISNUMBER(AH$280), ISNUMBER(AH$317)),
IF(AND(AI$279=123, Cultivar_1_Cohort_Year_Selection=$AI$278,Cultivar_2_Cohort_Year_Selection=$AI$278,Cultivar_3_Cohort_Year_Selection=$AI$278), ROUND(MAX(0,AH$320 - 3),0),
IF(AND(OR(AI$279=123, AI$279=12), Cultivar_1_Cohort_Year_Selection=$AI$278,Cultivar_2_Cohort_Year_Selection=$AI$278), ROUND(MAX(0,AH$320 - 2),0),
IF(AND(OR(AI$279=123, AI$279=13), Cultivar_1_Cohort_Year_Selection=$AI$278,Cultivar_3_Cohort_Year_Selection=$AI$278), ROUND(MAX(0,AH$320 - 2),0),
IF(AND(OR(AI$279=123, AI$279=23), Cultivar_2_Cohort_Year_Selection=$AI$278,Cultivar_3_Cohort_Year_Selection=$AI$278), ROUND(MAX(0,AH$320 - 2),0),
IF(AND(OR(AI$279=123, AI$279=12, AI$279=13, AI$279=1), Cultivar_1_Cohort_Year_Selection=$AI$278), ROUND(MAX(0,AH$320 - 1),0),
IF(AND(OR(AI$279=123, AI$279=12, AI$279=23, AI$279=2), Cultivar_2_Cohort_Year_Selection=$AI$278), ROUND(MAX(0,AH$320 - 1),0),
IF(AND(OR(AI$279=123, AI$279=13, AI$279=23, AI$279=3), Cultivar_3_Cohort_Year_Selection=$AI$278), ROUND(MAX(0,AH$320 - 1),0),
ROUND(MAX(0,AH$320),0)))))))),""),""),"")</f>
        <v/>
      </c>
      <c r="AJ340" s="17" t="str">
        <f>IF(ISNUMBER($B$321),
IF($C340&lt;&gt;"",
IF(AND(ISNUMBER(AI$280), ISNUMBER(AI$317)),
IF(AND(AJ$279=123, Cultivar_1_Cohort_Year_Selection=$AJ$278,Cultivar_2_Cohort_Year_Selection=$AJ$278,Cultivar_3_Cohort_Year_Selection=$AJ$278), ROUND(MAX(0,AI$320 - 3),0),
IF(AND(OR(AJ$279=123, AJ$279=12), Cultivar_1_Cohort_Year_Selection=$AJ$278,Cultivar_2_Cohort_Year_Selection=$AJ$278), ROUND(MAX(0,AI$320 - 2),0),
IF(AND(OR(AJ$279=123, AJ$279=13), Cultivar_1_Cohort_Year_Selection=$AJ$278,Cultivar_3_Cohort_Year_Selection=$AJ$278), ROUND(MAX(0,AI$320 - 2),0),
IF(AND(OR(AJ$279=123, AJ$279=23), Cultivar_2_Cohort_Year_Selection=$AJ$278,Cultivar_3_Cohort_Year_Selection=$AJ$278), ROUND(MAX(0,AI$320 - 2),0),
IF(AND(OR(AJ$279=123, AJ$279=12, AJ$279=13, AJ$279=1), Cultivar_1_Cohort_Year_Selection=$AJ$278), ROUND(MAX(0,AI$320 - 1),0),
IF(AND(OR(AJ$279=123, AJ$279=12, AJ$279=23, AJ$279=2), Cultivar_2_Cohort_Year_Selection=$AJ$278), ROUND(MAX(0,AI$320 - 1),0),
IF(AND(OR(AJ$279=123, AJ$279=13, AJ$279=23, AJ$279=3), Cultivar_3_Cohort_Year_Selection=$AJ$278), ROUND(MAX(0,AI$320 - 1),0),
ROUND(MAX(0,AI$320),0)))))))),""),""),"")</f>
        <v/>
      </c>
      <c r="AK340" s="17" t="str">
        <f>IF(ISNUMBER($B$321),
IF($C340&lt;&gt;"",
IF(AND(ISNUMBER(AJ$280), ISNUMBER(AJ$317)),
IF(AND(AK$279=123, Cultivar_1_Cohort_Year_Selection=$AK$278,Cultivar_2_Cohort_Year_Selection=$AK$278,Cultivar_3_Cohort_Year_Selection=$AK$278), ROUND(MAX(0,AJ$320 - 3),0),
IF(AND(OR(AK$279=123, AK$279=12), Cultivar_1_Cohort_Year_Selection=$AK$278,Cultivar_2_Cohort_Year_Selection=$AK$278), ROUND(MAX(0,AJ$320 - 2),0),
IF(AND(OR(AK$279=123, AK$279=13), Cultivar_1_Cohort_Year_Selection=$AK$278,Cultivar_3_Cohort_Year_Selection=$AK$278), ROUND(MAX(0,AJ$320 - 2),0),
IF(AND(OR(AK$279=123, AK$279=23), Cultivar_2_Cohort_Year_Selection=$AK$278,Cultivar_3_Cohort_Year_Selection=$AK$278), ROUND(MAX(0,AJ$320 - 2),0),
IF(AND(OR(AK$279=123, AK$279=12, AK$279=13, AK$279=1), Cultivar_1_Cohort_Year_Selection=$AK$278), ROUND(MAX(0,AJ$320 - 1),0),
IF(AND(OR(AK$279=123, AK$279=12, AK$279=23, AK$279=2), Cultivar_2_Cohort_Year_Selection=$AK$278), ROUND(MAX(0,AJ$320 - 1),0),
IF(AND(OR(AK$279=123, AK$279=13, AK$279=23, AK$279=3), Cultivar_3_Cohort_Year_Selection=$AK$278), ROUND(MAX(0,AJ$320 - 1),0),
ROUND(MAX(0,AJ$320),0)))))))),""),""),"")</f>
        <v/>
      </c>
      <c r="AL340" s="17" t="str">
        <f>IF(ISNUMBER($B$321),
IF($C340&lt;&gt;"",
IF(AND(ISNUMBER(AK$280), ISNUMBER(AK$317)),
IF(AND(AL$279=123, Cultivar_1_Cohort_Year_Selection=$AL$278,Cultivar_2_Cohort_Year_Selection=$AL$278,Cultivar_3_Cohort_Year_Selection=$AL$278), ROUND(MAX(0,AK$320 - 3),0),
IF(AND(OR(AL$279=123, AL$279=12), Cultivar_1_Cohort_Year_Selection=$AL$278,Cultivar_2_Cohort_Year_Selection=$AL$278), ROUND(MAX(0,AK$320 - 2),0),
IF(AND(OR(AL$279=123, AL$279=13), Cultivar_1_Cohort_Year_Selection=$AL$278,Cultivar_3_Cohort_Year_Selection=$AL$278), ROUND(MAX(0,AK$320 - 2),0),
IF(AND(OR(AL$279=123, AL$279=23), Cultivar_2_Cohort_Year_Selection=$AL$278,Cultivar_3_Cohort_Year_Selection=$AL$278), ROUND(MAX(0,AK$320 - 2),0),
IF(AND(OR(AL$279=123, AL$279=12, AL$279=13, AL$279=1), Cultivar_1_Cohort_Year_Selection=$AL$278), ROUND(MAX(0,AK$320 - 1),0),
IF(AND(OR(AL$279=123, AL$279=12, AL$279=23, AL$279=2), Cultivar_2_Cohort_Year_Selection=$AL$278), ROUND(MAX(0,AK$320 - 1),0),
IF(AND(OR(AL$279=123, AL$279=13, AL$279=23, AL$279=3), Cultivar_3_Cohort_Year_Selection=$AL$278), ROUND(MAX(0,AK$320 - 1),0),
ROUND(MAX(0,AK$320),0)))))))),""),""),"")</f>
        <v/>
      </c>
      <c r="AM340" s="17" t="str">
        <f>IF(ISNUMBER($B$321),
IF($C340&lt;&gt;"",
IF(AND(ISNUMBER(AL$280), ISNUMBER(AL$317)),
IF(AND(AM$279=123, Cultivar_1_Cohort_Year_Selection=$AM$278,Cultivar_2_Cohort_Year_Selection=$AM$278,Cultivar_3_Cohort_Year_Selection=$AM$278), ROUND(MAX(0,AL$320 - 3),0),
IF(AND(OR(AM$279=123, AM$279=12), Cultivar_1_Cohort_Year_Selection=$AM$278,Cultivar_2_Cohort_Year_Selection=$AM$278), ROUND(MAX(0,AL$320 - 2),0),
IF(AND(OR(AM$279=123, AM$279=13), Cultivar_1_Cohort_Year_Selection=$AM$278,Cultivar_3_Cohort_Year_Selection=$AM$278), ROUND(MAX(0,AL$320 - 2),0),
IF(AND(OR(AM$279=123, AM$279=23), Cultivar_2_Cohort_Year_Selection=$AM$278,Cultivar_3_Cohort_Year_Selection=$AM$278), ROUND(MAX(0,AL$320 - 2),0),
IF(AND(OR(AM$279=123, AM$279=12, AM$279=13, AM$279=1), Cultivar_1_Cohort_Year_Selection=$AM$278), ROUND(MAX(0,AL$320 - 1),0),
IF(AND(OR(AM$279=123, AM$279=12, AM$279=23, AM$279=2), Cultivar_2_Cohort_Year_Selection=$AM$278), ROUND(MAX(0,AL$320 - 1),0),
IF(AND(OR(AM$279=123, AM$279=13, AM$279=23, AM$279=3), Cultivar_3_Cohort_Year_Selection=$AM$278), ROUND(MAX(0,AL$320 - 1),0),
ROUND(MAX(0,AL$320),0)))))))),""),""),"")</f>
        <v/>
      </c>
      <c r="AN340" s="17" t="str">
        <f>IF(ISNUMBER($B$321),
IF($C340&lt;&gt;"",
IF(AND(ISNUMBER(AM$280), ISNUMBER(AM$317)),
IF(AND(AN$279=123, Cultivar_1_Cohort_Year_Selection=$AN$278,Cultivar_2_Cohort_Year_Selection=$AN$278,Cultivar_3_Cohort_Year_Selection=$AN$278), ROUND(MAX(0,AM$320 - 3),0),
IF(AND(OR(AN$279=123, AN$279=12), Cultivar_1_Cohort_Year_Selection=$AN$278,Cultivar_2_Cohort_Year_Selection=$AN$278), ROUND(MAX(0,AM$320 - 2),0),
IF(AND(OR(AN$279=123, AN$279=13), Cultivar_1_Cohort_Year_Selection=$AN$278,Cultivar_3_Cohort_Year_Selection=$AN$278), ROUND(MAX(0,AM$320 - 2),0),
IF(AND(OR(AN$279=123, AN$279=23), Cultivar_2_Cohort_Year_Selection=$AN$278,Cultivar_3_Cohort_Year_Selection=$AN$278), ROUND(MAX(0,AM$320 - 2),0),
IF(AND(OR(AN$279=123, AN$279=12, AN$279=13, AN$279=1), Cultivar_1_Cohort_Year_Selection=$AN$278), ROUND(MAX(0,AM$320 - 1),0),
IF(AND(OR(AN$279=123, AN$279=12, AN$279=23, AN$279=2), Cultivar_2_Cohort_Year_Selection=$AN$278), ROUND(MAX(0,AM$320 - 1),0),
IF(AND(OR(AN$279=123, AN$279=13, AN$279=23, AN$279=3), Cultivar_3_Cohort_Year_Selection=$AN$278), ROUND(MAX(0,AM$320 - 1),0),
ROUND(MAX(0,AM$320),0)))))))),""),""),"")</f>
        <v/>
      </c>
      <c r="AO340" s="17" t="str">
        <f>IF(ISNUMBER($B$321),
IF($C340&lt;&gt;"",
IF(AND(ISNUMBER(AN$280), ISNUMBER(AN$317)),
IF(AND(AO$279=123, Cultivar_1_Cohort_Year_Selection=$AO$278,Cultivar_2_Cohort_Year_Selection=$AO$278,Cultivar_3_Cohort_Year_Selection=$AO$278), ROUND(MAX(0,AN$320 - 3),0),
IF(AND(OR(AO$279=123, AO$279=12), Cultivar_1_Cohort_Year_Selection=$AO$278,Cultivar_2_Cohort_Year_Selection=$AO$278), ROUND(MAX(0,AN$320 - 2),0),
IF(AND(OR(AO$279=123, AO$279=13), Cultivar_1_Cohort_Year_Selection=$AO$278,Cultivar_3_Cohort_Year_Selection=$AO$278), ROUND(MAX(0,AN$320 - 2),0),
IF(AND(OR(AO$279=123, AO$279=23), Cultivar_2_Cohort_Year_Selection=$AO$278,Cultivar_3_Cohort_Year_Selection=$AO$278), ROUND(MAX(0,AN$320 - 2),0),
IF(AND(OR(AO$279=123, AO$279=12, AO$279=13, AO$279=1), Cultivar_1_Cohort_Year_Selection=$AO$278), ROUND(MAX(0,AN$320 - 1),0),
IF(AND(OR(AO$279=123, AO$279=12, AO$279=23, AO$279=2), Cultivar_2_Cohort_Year_Selection=$AO$278), ROUND(MAX(0,AN$320 - 1),0),
IF(AND(OR(AO$279=123, AO$279=13, AO$279=23, AO$279=3), Cultivar_3_Cohort_Year_Selection=$AO$278), ROUND(MAX(0,AN$320 - 1),0),
ROUND(MAX(0,AN$320),0)))))))),""),""),"")</f>
        <v/>
      </c>
      <c r="AP340" s="17" t="str">
        <f>IF(ISNUMBER($B$321),
IF($C340&lt;&gt;"",
IF(AND(ISNUMBER(AO$280), ISNUMBER(AO$317)),
IF(AND(AP$279=123, Cultivar_1_Cohort_Year_Selection=$AP$278,Cultivar_2_Cohort_Year_Selection=$AP$278,Cultivar_3_Cohort_Year_Selection=$AP$278), ROUND(MAX(0,AO$320 - 3),0),
IF(AND(OR(AP$279=123, AP$279=12), Cultivar_1_Cohort_Year_Selection=$AP$278,Cultivar_2_Cohort_Year_Selection=$AP$278), ROUND(MAX(0,AO$320 - 2),0),
IF(AND(OR(AP$279=123, AP$279=13), Cultivar_1_Cohort_Year_Selection=$AP$278,Cultivar_3_Cohort_Year_Selection=$AP$278), ROUND(MAX(0,AO$320 - 2),0),
IF(AND(OR(AP$279=123, AP$279=23), Cultivar_2_Cohort_Year_Selection=$AP$278,Cultivar_3_Cohort_Year_Selection=$AP$278), ROUND(MAX(0,AO$320 - 2),0),
IF(AND(OR(AP$279=123, AP$279=12, AP$279=13, AP$279=1), Cultivar_1_Cohort_Year_Selection=$AP$278), ROUND(MAX(0,AO$320 - 1),0),
IF(AND(OR(AP$279=123, AP$279=12, AP$279=23, AP$279=2), Cultivar_2_Cohort_Year_Selection=$AP$278), ROUND(MAX(0,AO$320 - 1),0),
IF(AND(OR(AP$279=123, AP$279=13, AP$279=23, AP$279=3), Cultivar_3_Cohort_Year_Selection=$AP$278), ROUND(MAX(0,AO$320 - 1),0),
ROUND(MAX(0,AO$320),0)))))))),""),""),"")</f>
        <v/>
      </c>
      <c r="AQ340" s="17" t="str">
        <f>IF(ISNUMBER($B$321),
IF($C340&lt;&gt;"",
IF(AND(ISNUMBER(AP$280), ISNUMBER(AP$317)),
IF(AND(AQ$279=123, Cultivar_1_Cohort_Year_Selection=$AQ$278,Cultivar_2_Cohort_Year_Selection=$AQ$278,Cultivar_3_Cohort_Year_Selection=$AQ$278), ROUND(MAX(0,AP$320 - 3),0),
IF(AND(OR(AQ$279=123, AQ$279=12), Cultivar_1_Cohort_Year_Selection=$AQ$278,Cultivar_2_Cohort_Year_Selection=$AQ$278), ROUND(MAX(0,AP$320 - 2),0),
IF(AND(OR(AQ$279=123, AQ$279=13), Cultivar_1_Cohort_Year_Selection=$AQ$278,Cultivar_3_Cohort_Year_Selection=$AQ$278), ROUND(MAX(0,AP$320 - 2),0),
IF(AND(OR(AQ$279=123, AQ$279=23), Cultivar_2_Cohort_Year_Selection=$AQ$278,Cultivar_3_Cohort_Year_Selection=$AQ$278), ROUND(MAX(0,AP$320 - 2),0),
IF(AND(OR(AQ$279=123, AQ$279=12, AQ$279=13, AQ$279=1), Cultivar_1_Cohort_Year_Selection=$AQ$278), ROUND(MAX(0,AP$320 - 1),0),
IF(AND(OR(AQ$279=123, AQ$279=12, AQ$279=23, AQ$279=2), Cultivar_2_Cohort_Year_Selection=$AQ$278), ROUND(MAX(0,AP$320 - 1),0),
IF(AND(OR(AQ$279=123, AQ$279=13, AQ$279=23, AQ$279=3), Cultivar_3_Cohort_Year_Selection=$AQ$278), ROUND(MAX(0,AP$320 - 1),0),
ROUND(MAX(0,AP$320),0)))))))),""),""),"")</f>
        <v/>
      </c>
      <c r="AR340" s="17" t="str">
        <f>IF(ISNUMBER($B$321),
IF($C340&lt;&gt;"",
IF(AND(ISNUMBER(AQ$280), ISNUMBER(AQ$317)),
IF(AND(AR$279=123, Cultivar_1_Cohort_Year_Selection=$AR$278,Cultivar_2_Cohort_Year_Selection=$AR$278,Cultivar_3_Cohort_Year_Selection=$AR$278), ROUND(MAX(0,AQ$320 - 3),0),
IF(AND(OR(AR$279=123, AR$279=12), Cultivar_1_Cohort_Year_Selection=$AR$278,Cultivar_2_Cohort_Year_Selection=$AR$278), ROUND(MAX(0,AQ$320 - 2),0),
IF(AND(OR(AR$279=123, AR$279=13), Cultivar_1_Cohort_Year_Selection=$AR$278,Cultivar_3_Cohort_Year_Selection=$AR$278), ROUND(MAX(0,AQ$320 - 2),0),
IF(AND(OR(AR$279=123, AR$279=23), Cultivar_2_Cohort_Year_Selection=$AR$278,Cultivar_3_Cohort_Year_Selection=$AR$278), ROUND(MAX(0,AQ$320 - 2),0),
IF(AND(OR(AR$279=123, AR$279=12, AR$279=13, AR$279=1), Cultivar_1_Cohort_Year_Selection=$AR$278), ROUND(MAX(0,AQ$320 - 1),0),
IF(AND(OR(AR$279=123, AR$279=12, AR$279=23, AR$279=2), Cultivar_2_Cohort_Year_Selection=$AR$278), ROUND(MAX(0,AQ$320 - 1),0),
IF(AND(OR(AR$279=123, AR$279=13, AR$279=23, AR$279=3), Cultivar_3_Cohort_Year_Selection=$AR$278), ROUND(MAX(0,AQ$320 - 1),0),
ROUND(MAX(0,AQ$320),0)))))))),""),""),"")</f>
        <v/>
      </c>
    </row>
    <row r="341" spans="1:45" x14ac:dyDescent="0.25">
      <c r="A341" s="518"/>
      <c r="B341" s="504"/>
      <c r="C341" s="110" t="str">
        <f>IF(ISNUMBER(B321), _4_6_0, "")</f>
        <v/>
      </c>
      <c r="D341" s="94" t="str">
        <f>IF(AND(C341&lt;&gt;"", 'Cost Inputs'!$G$124&lt;&gt;""), 'Cost Inputs'!$G$124, "")</f>
        <v/>
      </c>
      <c r="E341" s="94" t="str">
        <f>IF(AND(C341&lt;&gt;"", 'Cost Inputs'!$H$124&lt;&gt;""), 'Cost Inputs'!$H$124, "")</f>
        <v/>
      </c>
      <c r="F341" s="94" t="str">
        <f>IF(AND(C341&lt;&gt;"", 'Cost Inputs'!$I$124&lt;&gt;""), 'Cost Inputs'!$I$124, "")</f>
        <v/>
      </c>
      <c r="G341" s="102" t="str">
        <f t="shared" si="63"/>
        <v/>
      </c>
      <c r="H341" s="94" t="str">
        <f>IF(AND(C341&lt;&gt;"", 'Cost Inputs'!$J$124&lt;&gt;""), 'Cost Inputs'!$J$124, "")</f>
        <v/>
      </c>
      <c r="I341" s="102" t="str">
        <f>IF($C341&lt;&gt;"",IF(AND($E341&lt;&gt;"",H341&lt;&gt;""), H341/$E341, 0),"")</f>
        <v/>
      </c>
      <c r="J341" s="94" t="str">
        <f>IF(AND(C341&lt;&gt;"",('Cost Inputs'!$I$124+'Cost Inputs'!$J$124+'Cost Inputs'!$K$124)&gt;0), 'Cost Inputs'!$I$124+'Cost Inputs'!$J$124+'Cost Inputs'!$K$124, "")</f>
        <v/>
      </c>
      <c r="K341" s="102" t="str">
        <f>IF($C341&lt;&gt;"",IF(AND($E341&lt;&gt;"",J341&lt;&gt;""), J341/$E341, 0),"")</f>
        <v/>
      </c>
      <c r="L341" s="525"/>
      <c r="M341" s="525"/>
      <c r="P341" s="102" t="str">
        <f>IF(ISNUMBER($B$321), IF($C341&lt;&gt;"", IF(AND(ISNUMBER('Stage 2 Randomized Selection'!E$2),'Stage 2 Randomized Selection'!E$2&gt;0),'Stage 2 Randomized Selection'!E$2*$M321, ""),""),"")</f>
        <v/>
      </c>
      <c r="Q341" s="102" t="str">
        <f>IF(ISNUMBER($B$321), IF($C341&lt;&gt;"", IF(AND(ISNUMBER('Stage 2 Randomized Selection'!F$2),'Stage 2 Randomized Selection'!F$2&gt;0),'Stage 2 Randomized Selection'!F$2*$M321, ""),""),"")</f>
        <v/>
      </c>
      <c r="R341" s="102" t="str">
        <f>IF(ISNUMBER($B$321), IF($C341&lt;&gt;"", IF(AND(ISNUMBER('Stage 2 Randomized Selection'!G$2),'Stage 2 Randomized Selection'!G$2&gt;0),'Stage 2 Randomized Selection'!G$2*$M321, ""),""),"")</f>
        <v/>
      </c>
      <c r="S341" s="102" t="str">
        <f>IF(ISNUMBER($B$321), IF($C341&lt;&gt;"", IF(AND(ISNUMBER('Stage 2 Randomized Selection'!H$2),'Stage 2 Randomized Selection'!H$2&gt;0),'Stage 2 Randomized Selection'!H$2*$M321, ""),""),"")</f>
        <v/>
      </c>
      <c r="T341" s="102" t="str">
        <f>IF(ISNUMBER($B$321), IF($C341&lt;&gt;"", IF(AND(ISNUMBER('Stage 2 Randomized Selection'!I$2),'Stage 2 Randomized Selection'!I$2&gt;0),'Stage 2 Randomized Selection'!I$2*$M321, ""),""),"")</f>
        <v/>
      </c>
      <c r="U341" s="102" t="str">
        <f>IF(ISNUMBER($B$321), IF($C341&lt;&gt;"", IF(AND(ISNUMBER('Stage 2 Randomized Selection'!J$2),'Stage 2 Randomized Selection'!J$2&gt;0),'Stage 2 Randomized Selection'!J$2*$M321, ""),""),"")</f>
        <v/>
      </c>
      <c r="V341" s="102" t="str">
        <f>IF(ISNUMBER($B$321), IF($C341&lt;&gt;"", IF(AND(ISNUMBER('Stage 2 Randomized Selection'!K$2),'Stage 2 Randomized Selection'!K$2&gt;0),'Stage 2 Randomized Selection'!K$2*$M321, ""),""),"")</f>
        <v/>
      </c>
      <c r="W341" s="102" t="str">
        <f>IF(ISNUMBER($B$321), IF($C341&lt;&gt;"", IF(AND(ISNUMBER('Stage 2 Randomized Selection'!L$2),'Stage 2 Randomized Selection'!L$2&gt;0),'Stage 2 Randomized Selection'!L$2*$M321, ""),""),"")</f>
        <v/>
      </c>
      <c r="X341" s="102" t="str">
        <f>IF(ISNUMBER($B$321), IF($C341&lt;&gt;"", IF(AND(ISNUMBER('Stage 2 Randomized Selection'!M$2),'Stage 2 Randomized Selection'!M$2&gt;0),'Stage 2 Randomized Selection'!M$2*$M321, ""),""),"")</f>
        <v/>
      </c>
      <c r="Y341" s="102" t="str">
        <f>IF(ISNUMBER($B$321), IF($C341&lt;&gt;"", IF(AND(ISNUMBER('Stage 2 Randomized Selection'!N$2),'Stage 2 Randomized Selection'!N$2&gt;0),'Stage 2 Randomized Selection'!N$2*$M321, ""),""),"")</f>
        <v/>
      </c>
      <c r="Z341" s="102" t="str">
        <f>IF(ISNUMBER($B$321), IF($C341&lt;&gt;"", IF(AND(ISNUMBER('Stage 2 Randomized Selection'!O$2),'Stage 2 Randomized Selection'!O$2&gt;0),'Stage 2 Randomized Selection'!O$2*$M321, ""),""),"")</f>
        <v/>
      </c>
      <c r="AA341" s="102" t="str">
        <f>IF(ISNUMBER($B$321), IF($C341&lt;&gt;"", IF(AND(ISNUMBER('Stage 2 Randomized Selection'!P$2),'Stage 2 Randomized Selection'!P$2&gt;0),'Stage 2 Randomized Selection'!P$2*$M321, ""),""),"")</f>
        <v/>
      </c>
      <c r="AB341" s="102" t="str">
        <f>IF(ISNUMBER($B$321), IF($C341&lt;&gt;"", IF(AND(ISNUMBER('Stage 2 Randomized Selection'!Q$2),'Stage 2 Randomized Selection'!Q$2&gt;0),'Stage 2 Randomized Selection'!Q$2*$M321, ""),""),"")</f>
        <v/>
      </c>
      <c r="AC341" s="102" t="str">
        <f>IF(ISNUMBER($B$321), IF($C341&lt;&gt;"", IF(AND(ISNUMBER('Stage 2 Randomized Selection'!R$2),'Stage 2 Randomized Selection'!R$2&gt;0),'Stage 2 Randomized Selection'!R$2*$M321, ""),""),"")</f>
        <v/>
      </c>
      <c r="AD341" s="102" t="str">
        <f>IF(ISNUMBER($B$321), IF($C341&lt;&gt;"", IF(AND(ISNUMBER('Stage 2 Randomized Selection'!S$2),'Stage 2 Randomized Selection'!S$2&gt;0),'Stage 2 Randomized Selection'!S$2*$M321, ""),""),"")</f>
        <v/>
      </c>
      <c r="AE341" s="102" t="str">
        <f>IF(ISNUMBER($B$321), IF($C341&lt;&gt;"", IF(AND(ISNUMBER('Stage 2 Randomized Selection'!T$2),'Stage 2 Randomized Selection'!T$2&gt;0),'Stage 2 Randomized Selection'!T$2*$M321, ""),""),"")</f>
        <v/>
      </c>
      <c r="AF341" s="102" t="str">
        <f>IF(ISNUMBER($B$321), IF($C341&lt;&gt;"", IF(AND(ISNUMBER('Stage 2 Randomized Selection'!U$2),'Stage 2 Randomized Selection'!U$2&gt;0),'Stage 2 Randomized Selection'!U$2*$M321, ""),""),"")</f>
        <v/>
      </c>
      <c r="AG341" s="102" t="str">
        <f>IF(ISNUMBER($B$321), IF($C341&lt;&gt;"", IF(AND(ISNUMBER('Stage 2 Randomized Selection'!V$2),'Stage 2 Randomized Selection'!V$2&gt;0),'Stage 2 Randomized Selection'!V$2*$M321, ""),""),"")</f>
        <v/>
      </c>
      <c r="AH341" s="102" t="str">
        <f>IF(ISNUMBER($B$321), IF($C341&lt;&gt;"", IF(AND(ISNUMBER('Stage 2 Randomized Selection'!W$2),'Stage 2 Randomized Selection'!W$2&gt;0),'Stage 2 Randomized Selection'!W$2*$M321, ""),""),"")</f>
        <v/>
      </c>
      <c r="AI341" s="102" t="str">
        <f>IF(ISNUMBER($B$321), IF($C341&lt;&gt;"", IF(AND(ISNUMBER('Stage 2 Randomized Selection'!X$2),'Stage 2 Randomized Selection'!X$2&gt;0),'Stage 2 Randomized Selection'!X$2*$M321, ""),""),"")</f>
        <v/>
      </c>
      <c r="AJ341" s="102" t="str">
        <f>IF(ISNUMBER($B$321), IF($C341&lt;&gt;"", IF(AND(ISNUMBER('Stage 2 Randomized Selection'!Y$2),'Stage 2 Randomized Selection'!Y$2&gt;0),'Stage 2 Randomized Selection'!Y$2*$M321, ""),""),"")</f>
        <v/>
      </c>
      <c r="AK341" s="102" t="str">
        <f>IF(ISNUMBER($B$321), IF($C341&lt;&gt;"", IF(AND(ISNUMBER('Stage 2 Randomized Selection'!Z$2),'Stage 2 Randomized Selection'!Z$2&gt;0),'Stage 2 Randomized Selection'!Z$2*$M321, ""),""),"")</f>
        <v/>
      </c>
      <c r="AL341" s="102" t="str">
        <f>IF(ISNUMBER($B$321), IF($C341&lt;&gt;"", IF(AND(ISNUMBER('Stage 2 Randomized Selection'!AA$2),'Stage 2 Randomized Selection'!AA$2&gt;0),'Stage 2 Randomized Selection'!AA$2*$M321, ""),""),"")</f>
        <v/>
      </c>
      <c r="AM341" s="102" t="str">
        <f>IF(ISNUMBER($B$321), IF($C341&lt;&gt;"", IF(AND(ISNUMBER('Stage 2 Randomized Selection'!AB$2),'Stage 2 Randomized Selection'!AB$2&gt;0),'Stage 2 Randomized Selection'!AB$2*$M321, ""),""),"")</f>
        <v/>
      </c>
      <c r="AN341" s="102" t="str">
        <f>IF(ISNUMBER($B$321), IF($C341&lt;&gt;"", IF(AND(ISNUMBER('Stage 2 Randomized Selection'!AC$2),'Stage 2 Randomized Selection'!AC$2&gt;0),'Stage 2 Randomized Selection'!AC$2*$M321, ""),""),"")</f>
        <v/>
      </c>
      <c r="AO341" s="102" t="str">
        <f>IF(ISNUMBER($B$321), IF($C341&lt;&gt;"", IF(AND(ISNUMBER('Stage 2 Randomized Selection'!AD$2),'Stage 2 Randomized Selection'!AD$2&gt;0),'Stage 2 Randomized Selection'!AD$2*$M321, ""),""),"")</f>
        <v/>
      </c>
      <c r="AP341" s="102" t="str">
        <f>IF(ISNUMBER($B$321), IF($C341&lt;&gt;"", IF(AND(ISNUMBER('Stage 2 Randomized Selection'!AE$2),'Stage 2 Randomized Selection'!AE$2&gt;0),'Stage 2 Randomized Selection'!AE$2*$M321, ""),""),"")</f>
        <v/>
      </c>
      <c r="AQ341" s="102" t="str">
        <f>IF(ISNUMBER($B$321), IF($C341&lt;&gt;"", IF(AND(ISNUMBER('Stage 2 Randomized Selection'!AF$2),'Stage 2 Randomized Selection'!AF$2&gt;0),'Stage 2 Randomized Selection'!AF$2*$M321, ""),""),"")</f>
        <v/>
      </c>
      <c r="AR341" s="102" t="str">
        <f>IF(ISNUMBER($B$321), IF($C341&lt;&gt;"", IF(AND(ISNUMBER('Stage 2 Randomized Selection'!AG$2),'Stage 2 Randomized Selection'!AG$2&gt;0),'Stage 2 Randomized Selection'!AG$2*$M321, ""),""),"")</f>
        <v/>
      </c>
    </row>
    <row r="342" spans="1:45" x14ac:dyDescent="0.25">
      <c r="A342" s="518"/>
      <c r="B342" s="504"/>
      <c r="C342" s="104" t="str">
        <f>IF(AND(ISNUMBER(B321), OR('Cost Inputs'!$H$125&lt;&gt;"", 'Cost Inputs'!$I$125&lt;&gt;"", 'Cost Inputs'!$J$125&lt;&gt;"")), _4_5_3, "")</f>
        <v/>
      </c>
      <c r="D342" s="17" t="str">
        <f>IF(AND(C342&lt;&gt;"", 'Cost Inputs'!$G$125&lt;&gt;""), 'Cost Inputs'!$G$125, "")</f>
        <v/>
      </c>
      <c r="E342" s="17" t="str">
        <f>IF(AND(C342&lt;&gt;"", 'Cost Inputs'!$H$125&lt;&gt;""), 'Cost Inputs'!$H$125, "")</f>
        <v/>
      </c>
      <c r="F342" s="17" t="str">
        <f>IF(AND(C342&lt;&gt;"", 'Cost Inputs'!$I$125&lt;&gt;""), 'Cost Inputs'!$I$125, "")</f>
        <v/>
      </c>
      <c r="G342" s="105" t="str">
        <f t="shared" si="63"/>
        <v/>
      </c>
      <c r="H342" s="17" t="str">
        <f>IF(AND(C342&lt;&gt;"", 'Cost Inputs'!$J$125&lt;&gt;""), 'Cost Inputs'!$J$125, "")</f>
        <v/>
      </c>
      <c r="I342" s="17" t="str">
        <f>IF($C342&lt;&gt;"", IF(AND($E342&lt;&gt;"", H342&lt;&gt;""), H342/$E342, 0),"")</f>
        <v/>
      </c>
      <c r="J342" s="17" t="str">
        <f>IF(AND(C342&lt;&gt;"",('Cost Inputs'!$I$125+'Cost Inputs'!$J$125+'Cost Inputs'!$K$125)&gt;0), 'Cost Inputs'!$I$125+'Cost Inputs'!$J$125+'Cost Inputs'!$K$125, "")</f>
        <v/>
      </c>
      <c r="K342" s="17" t="str">
        <f>IF($C342&lt;&gt;"", IF(AND($E342&lt;&gt;"", J342&lt;&gt;""), J342/$E342, 0),"")</f>
        <v/>
      </c>
      <c r="L342" s="525"/>
      <c r="M342" s="525"/>
      <c r="P342" s="17" t="str">
        <f>IF(ISNUMBER($B$321),
IF($C342&lt;&gt;"",
IF(AND(ISNUMBER(O$280), ISNUMBER(O$317)),
IF(AND(P$279=123, Cultivar_1_Cohort_Year_Selection=$P$278,Cultivar_2_Cohort_Year_Selection=$P$278,Cultivar_3_Cohort_Year_Selection=$P$278), ROUND(MAX(0,O$320 - 3),0),
IF(AND(OR(P$279=123, P$279=12), Cultivar_1_Cohort_Year_Selection=$P$278,Cultivar_2_Cohort_Year_Selection=$P$278), ROUND(MAX(0,O$320 - 2),0),
IF(AND(OR(P$279=123, P$279=13), Cultivar_1_Cohort_Year_Selection=$P$278,Cultivar_3_Cohort_Year_Selection=$P$278), ROUND(MAX(0,O$320 - 2),0),
IF(AND(OR(P$279=123, P$279=23), Cultivar_2_Cohort_Year_Selection=$P$278,Cultivar_3_Cohort_Year_Selection=$P$278), ROUND(MAX(0,O$320 - 2),0),
IF(AND(OR(P$279=123, P$279=12, P$279=13, P$279=1), Cultivar_1_Cohort_Year_Selection=$P$278), ROUND(MAX(0,O$320 - 1),0),
IF(AND(OR(P$279=123, P$279=12, P$279=23, P$279=2), Cultivar_2_Cohort_Year_Selection=$P$278), ROUND(MAX(0,O$320 - 1),0),
IF(AND(OR(P$279=123, P$279=13, P$279=23, P$279=3), Cultivar_3_Cohort_Year_Selection=$P$278), ROUND(MAX(0,O$320 - 1),0),
ROUND(MAX(0,O$320),0)))))))),""),""),"")</f>
        <v/>
      </c>
      <c r="Q342" s="17" t="str">
        <f>IF(ISNUMBER($B$321),
IF($C342&lt;&gt;"",
IF(AND(ISNUMBER(P$280), ISNUMBER(P$317)),
IF(AND(Q$279=123, Cultivar_1_Cohort_Year_Selection=$Q$278,Cultivar_2_Cohort_Year_Selection=$Q$278,Cultivar_3_Cohort_Year_Selection=$Q$278), ROUND(MAX(0,P$320 - 3),0),
IF(AND(OR(Q$279=123, Q$279=12), Cultivar_1_Cohort_Year_Selection=$Q$278,Cultivar_2_Cohort_Year_Selection=$Q$278), ROUND(MAX(0,P$320 - 2),0),
IF(AND(OR(Q$279=123, Q$279=13), Cultivar_1_Cohort_Year_Selection=$Q$278,Cultivar_3_Cohort_Year_Selection=$Q$278), ROUND(MAX(0,P$320 - 2),0),
IF(AND(OR(Q$279=123, Q$279=23), Cultivar_2_Cohort_Year_Selection=$Q$278,Cultivar_3_Cohort_Year_Selection=$Q$278), ROUND(MAX(0,P$320 - 2),0),
IF(AND(OR(Q$279=123, Q$279=12, Q$279=13, Q$279=1), Cultivar_1_Cohort_Year_Selection=$Q$278), ROUND(MAX(0,P$320 - 1),0),
IF(AND(OR(Q$279=123, Q$279=12, Q$279=23, Q$279=2), Cultivar_2_Cohort_Year_Selection=$Q$278), ROUND(MAX(0,P$320 - 1),0),
IF(AND(OR(Q$279=123, Q$279=13, Q$279=23, Q$279=3), Cultivar_3_Cohort_Year_Selection=$Q$278), ROUND(MAX(0,P$320 - 1),0),
ROUND(MAX(0,P$320),0)))))))),""),""),"")</f>
        <v/>
      </c>
      <c r="R342" s="17" t="str">
        <f>IF(ISNUMBER($B$321),
IF($C342&lt;&gt;"",
IF(AND(ISNUMBER(Q$280), ISNUMBER(Q$317)),
IF(AND(R$279=123, Cultivar_1_Cohort_Year_Selection=$R$278,Cultivar_2_Cohort_Year_Selection=$R$278,Cultivar_3_Cohort_Year_Selection=$R$278), ROUND(MAX(0,Q$320 - 3),0),
IF(AND(OR(R$279=123, R$279=12), Cultivar_1_Cohort_Year_Selection=$R$278,Cultivar_2_Cohort_Year_Selection=$R$278), ROUND(MAX(0,Q$320 - 2),0),
IF(AND(OR(R$279=123, R$279=13), Cultivar_1_Cohort_Year_Selection=$R$278,Cultivar_3_Cohort_Year_Selection=$R$278), ROUND(MAX(0,Q$320 - 2),0),
IF(AND(OR(R$279=123, R$279=23), Cultivar_2_Cohort_Year_Selection=$R$278,Cultivar_3_Cohort_Year_Selection=$R$278), ROUND(MAX(0,Q$320 - 2),0),
IF(AND(OR(R$279=123, R$279=12, R$279=13, R$279=1), Cultivar_1_Cohort_Year_Selection=$R$278), ROUND(MAX(0,Q$320 - 1),0),
IF(AND(OR(R$279=123, R$279=12, R$279=23, R$279=2), Cultivar_2_Cohort_Year_Selection=$R$278), ROUND(MAX(0,Q$320 - 1),0),
IF(AND(OR(R$279=123, R$279=13, R$279=23, R$279=3), Cultivar_3_Cohort_Year_Selection=$R$278), ROUND(MAX(0,Q$320 - 1),0),
ROUND(MAX(0,Q$320),0)))))))),""),""),"")</f>
        <v/>
      </c>
      <c r="S342" s="17" t="str">
        <f>IF(ISNUMBER($B$321),
IF($C342&lt;&gt;"",
IF(AND(ISNUMBER(R$280), ISNUMBER(R$317)),
IF(AND(S$279=123, Cultivar_1_Cohort_Year_Selection=$S$278,Cultivar_2_Cohort_Year_Selection=$S$278,Cultivar_3_Cohort_Year_Selection=$S$278), ROUND(MAX(0,R$320 - 3),0),
IF(AND(OR(S$279=123, S$279=12), Cultivar_1_Cohort_Year_Selection=$S$278,Cultivar_2_Cohort_Year_Selection=$S$278), ROUND(MAX(0,R$320 - 2),0),
IF(AND(OR(S$279=123, S$279=13), Cultivar_1_Cohort_Year_Selection=$S$278,Cultivar_3_Cohort_Year_Selection=$S$278), ROUND(MAX(0,R$320 - 2),0),
IF(AND(OR(S$279=123, S$279=23), Cultivar_2_Cohort_Year_Selection=$S$278,Cultivar_3_Cohort_Year_Selection=$S$278), ROUND(MAX(0,R$320 - 2),0),
IF(AND(OR(S$279=123, S$279=12, S$279=13, S$279=1), Cultivar_1_Cohort_Year_Selection=$S$278), ROUND(MAX(0,R$320 - 1),0),
IF(AND(OR(S$279=123, S$279=12, S$279=23, S$279=2), Cultivar_2_Cohort_Year_Selection=$S$278), ROUND(MAX(0,R$320 - 1),0),
IF(AND(OR(S$279=123, S$279=13, S$279=23, S$279=3), Cultivar_3_Cohort_Year_Selection=$S$278), ROUND(MAX(0,R$320 - 1),0),
ROUND(MAX(0,R$320),0)))))))),""),""),"")</f>
        <v/>
      </c>
      <c r="T342" s="17" t="str">
        <f>IF(ISNUMBER($B$321),
IF($C342&lt;&gt;"",
IF(AND(ISNUMBER(S$280), ISNUMBER(S$317)),
IF(AND(T$279=123, Cultivar_1_Cohort_Year_Selection=$T$278,Cultivar_2_Cohort_Year_Selection=$T$278,Cultivar_3_Cohort_Year_Selection=$T$278), ROUND(MAX(0,S$320 - 3),0),
IF(AND(OR(T$279=123, T$279=12), Cultivar_1_Cohort_Year_Selection=$T$278,Cultivar_2_Cohort_Year_Selection=$T$278), ROUND(MAX(0,S$320 - 2),0),
IF(AND(OR(T$279=123, T$279=13), Cultivar_1_Cohort_Year_Selection=$T$278,Cultivar_3_Cohort_Year_Selection=$T$278), ROUND(MAX(0,S$320 - 2),0),
IF(AND(OR(T$279=123, T$279=23), Cultivar_2_Cohort_Year_Selection=$T$278,Cultivar_3_Cohort_Year_Selection=$T$278), ROUND(MAX(0,S$320 - 2),0),
IF(AND(OR(T$279=123, T$279=12, T$279=13, T$279=1), Cultivar_1_Cohort_Year_Selection=$T$278), ROUND(MAX(0,S$320 - 1),0),
IF(AND(OR(T$279=123, T$279=12, T$279=23, T$279=2), Cultivar_2_Cohort_Year_Selection=$T$278), ROUND(MAX(0,S$320 - 1),0),
IF(AND(OR(T$279=123, T$279=13, T$279=23, T$279=3), Cultivar_3_Cohort_Year_Selection=$T$278), ROUND(MAX(0,S$320 - 1),0),
ROUND(MAX(0,S$320),0)))))))),""),""),"")</f>
        <v/>
      </c>
      <c r="U342" s="17" t="str">
        <f>IF(ISNUMBER($B$321),
IF($C342&lt;&gt;"",
IF(AND(ISNUMBER(T$280), ISNUMBER(T$317)),
IF(AND(U$279=123, Cultivar_1_Cohort_Year_Selection=$U$278,Cultivar_2_Cohort_Year_Selection=$U$278,Cultivar_3_Cohort_Year_Selection=$U$278), ROUND(MAX(0,T$320 - 3),0),
IF(AND(OR(U$279=123, U$279=12), Cultivar_1_Cohort_Year_Selection=$U$278,Cultivar_2_Cohort_Year_Selection=$U$278), ROUND(MAX(0,T$320 - 2),0),
IF(AND(OR(U$279=123, U$279=13), Cultivar_1_Cohort_Year_Selection=$U$278,Cultivar_3_Cohort_Year_Selection=$U$278), ROUND(MAX(0,T$320 - 2),0),
IF(AND(OR(U$279=123, U$279=23), Cultivar_2_Cohort_Year_Selection=$U$278,Cultivar_3_Cohort_Year_Selection=$U$278), ROUND(MAX(0,T$320 - 2),0),
IF(AND(OR(U$279=123, U$279=12, U$279=13, U$279=1), Cultivar_1_Cohort_Year_Selection=$U$278), ROUND(MAX(0,T$320 - 1),0),
IF(AND(OR(U$279=123, U$279=12, U$279=23, U$279=2), Cultivar_2_Cohort_Year_Selection=$U$278), ROUND(MAX(0,T$320 - 1),0),
IF(AND(OR(U$279=123, U$279=13, U$279=23, U$279=3), Cultivar_3_Cohort_Year_Selection=$U$278), ROUND(MAX(0,T$320 - 1),0),
ROUND(MAX(0,T$320),0)))))))),""),""),"")</f>
        <v/>
      </c>
      <c r="V342" s="17" t="str">
        <f>IF(ISNUMBER($B$321),
IF($C342&lt;&gt;"",
IF(AND(ISNUMBER(U$280), ISNUMBER(U$317)),
IF(AND(V$279=123, Cultivar_1_Cohort_Year_Selection=$V$278,Cultivar_2_Cohort_Year_Selection=$V$278,Cultivar_3_Cohort_Year_Selection=$V$278), ROUND(MAX(0,U$320 - 3),0),
IF(AND(OR(V$279=123, V$279=12), Cultivar_1_Cohort_Year_Selection=$V$278,Cultivar_2_Cohort_Year_Selection=$V$278), ROUND(MAX(0,U$320 - 2),0),
IF(AND(OR(V$279=123, V$279=13), Cultivar_1_Cohort_Year_Selection=$V$278,Cultivar_3_Cohort_Year_Selection=$V$278), ROUND(MAX(0,U$320 - 2),0),
IF(AND(OR(V$279=123, V$279=23), Cultivar_2_Cohort_Year_Selection=$V$278,Cultivar_3_Cohort_Year_Selection=$V$278), ROUND(MAX(0,U$320 - 2),0),
IF(AND(OR(V$279=123, V$279=12, V$279=13, V$279=1), Cultivar_1_Cohort_Year_Selection=$V$278), ROUND(MAX(0,U$320 - 1),0),
IF(AND(OR(V$279=123, V$279=12, V$279=23, V$279=2), Cultivar_2_Cohort_Year_Selection=$V$278), ROUND(MAX(0,U$320 - 1),0),
IF(AND(OR(V$279=123, V$279=13, V$279=23, V$279=3), Cultivar_3_Cohort_Year_Selection=$V$278), ROUND(MAX(0,U$320 - 1),0),
ROUND(MAX(0,U$320),0)))))))),""),""),"")</f>
        <v/>
      </c>
      <c r="W342" s="17" t="str">
        <f>IF(ISNUMBER($B$321),
IF($C342&lt;&gt;"",
IF(AND(ISNUMBER(V$280), ISNUMBER(V$317)),
IF(AND(W$279=123, Cultivar_1_Cohort_Year_Selection=$W$278,Cultivar_2_Cohort_Year_Selection=$W$278,Cultivar_3_Cohort_Year_Selection=$W$278), ROUND(MAX(0,V$320 - 3),0),
IF(AND(OR(W$279=123, W$279=12), Cultivar_1_Cohort_Year_Selection=$W$278,Cultivar_2_Cohort_Year_Selection=$W$278), ROUND(MAX(0,V$320 - 2),0),
IF(AND(OR(W$279=123, W$279=13), Cultivar_1_Cohort_Year_Selection=$W$278,Cultivar_3_Cohort_Year_Selection=$W$278), ROUND(MAX(0,V$320 - 2),0),
IF(AND(OR(W$279=123, W$279=23), Cultivar_2_Cohort_Year_Selection=$W$278,Cultivar_3_Cohort_Year_Selection=$W$278), ROUND(MAX(0,V$320 - 2),0),
IF(AND(OR(W$279=123, W$279=12, W$279=13, W$279=1), Cultivar_1_Cohort_Year_Selection=$W$278), ROUND(MAX(0,V$320 - 1),0),
IF(AND(OR(W$279=123, W$279=12, W$279=23, W$279=2), Cultivar_2_Cohort_Year_Selection=$W$278), ROUND(MAX(0,V$320 - 1),0),
IF(AND(OR(W$279=123, W$279=13, W$279=23, W$279=3), Cultivar_3_Cohort_Year_Selection=$W$278), ROUND(MAX(0,V$320 - 1),0),
ROUND(MAX(0,V$320),0)))))))),""),""),"")</f>
        <v/>
      </c>
      <c r="X342" s="17" t="str">
        <f>IF(ISNUMBER($B$321),
IF($C342&lt;&gt;"",
IF(AND(ISNUMBER(W$280), ISNUMBER(W$317)),
IF(AND(X$279=123, Cultivar_1_Cohort_Year_Selection=$X$278,Cultivar_2_Cohort_Year_Selection=$X$278,Cultivar_3_Cohort_Year_Selection=$X$278), ROUND(MAX(0,W$320 - 3),0),
IF(AND(OR(X$279=123, X$279=12), Cultivar_1_Cohort_Year_Selection=$X$278,Cultivar_2_Cohort_Year_Selection=$X$278), ROUND(MAX(0,W$320 - 2),0),
IF(AND(OR(X$279=123, X$279=13), Cultivar_1_Cohort_Year_Selection=$X$278,Cultivar_3_Cohort_Year_Selection=$X$278), ROUND(MAX(0,W$320 - 2),0),
IF(AND(OR(X$279=123, X$279=23), Cultivar_2_Cohort_Year_Selection=$X$278,Cultivar_3_Cohort_Year_Selection=$X$278), ROUND(MAX(0,W$320 - 2),0),
IF(AND(OR(X$279=123, X$279=12, X$279=13, X$279=1), Cultivar_1_Cohort_Year_Selection=$X$278), ROUND(MAX(0,W$320 - 1),0),
IF(AND(OR(X$279=123, X$279=12, X$279=23, X$279=2), Cultivar_2_Cohort_Year_Selection=$X$278), ROUND(MAX(0,W$320 - 1),0),
IF(AND(OR(X$279=123, X$279=13, X$279=23, X$279=3), Cultivar_3_Cohort_Year_Selection=$X$278), ROUND(MAX(0,W$320 - 1),0),
ROUND(MAX(0,W$320),0)))))))),""),""),"")</f>
        <v/>
      </c>
      <c r="Y342" s="17" t="str">
        <f>IF(ISNUMBER($B$321),
IF($C342&lt;&gt;"",
IF(AND(ISNUMBER(X$280), ISNUMBER(X$317)),
IF(AND(Y$279=123, Cultivar_1_Cohort_Year_Selection=$Y$278,Cultivar_2_Cohort_Year_Selection=$Y$278,Cultivar_3_Cohort_Year_Selection=$Y$278), ROUND(MAX(0,X$320 - 3),0),
IF(AND(OR(Y$279=123, Y$279=12), Cultivar_1_Cohort_Year_Selection=$Y$278,Cultivar_2_Cohort_Year_Selection=$Y$278), ROUND(MAX(0,X$320 - 2),0),
IF(AND(OR(Y$279=123, Y$279=13), Cultivar_1_Cohort_Year_Selection=$Y$278,Cultivar_3_Cohort_Year_Selection=$Y$278), ROUND(MAX(0,X$320 - 2),0),
IF(AND(OR(Y$279=123, Y$279=23), Cultivar_2_Cohort_Year_Selection=$Y$278,Cultivar_3_Cohort_Year_Selection=$Y$278), ROUND(MAX(0,X$320 - 2),0),
IF(AND(OR(Y$279=123, Y$279=12, Y$279=13, Y$279=1), Cultivar_1_Cohort_Year_Selection=$Y$278), ROUND(MAX(0,X$320 - 1),0),
IF(AND(OR(Y$279=123, Y$279=12, Y$279=23, Y$279=2), Cultivar_2_Cohort_Year_Selection=$Y$278), ROUND(MAX(0,X$320 - 1),0),
IF(AND(OR(Y$279=123, Y$279=13, Y$279=23, Y$279=3), Cultivar_3_Cohort_Year_Selection=$Y$278), ROUND(MAX(0,X$320 - 1),0),
ROUND(MAX(0,X$320),0)))))))),""),""),"")</f>
        <v/>
      </c>
      <c r="Z342" s="17" t="str">
        <f>IF(ISNUMBER($B$321),
IF($C342&lt;&gt;"",
IF(AND(ISNUMBER(Y$280), ISNUMBER(Y$317)),
IF(AND(Z$279=123, Cultivar_1_Cohort_Year_Selection=$Z$278,Cultivar_2_Cohort_Year_Selection=$Z$278,Cultivar_3_Cohort_Year_Selection=$Z$278), ROUND(MAX(0,Y$320 - 3),0),
IF(AND(OR(Z$279=123, Z$279=12), Cultivar_1_Cohort_Year_Selection=$Z$278,Cultivar_2_Cohort_Year_Selection=$Z$278), ROUND(MAX(0,Y$320 - 2),0),
IF(AND(OR(Z$279=123, Z$279=13), Cultivar_1_Cohort_Year_Selection=$Z$278,Cultivar_3_Cohort_Year_Selection=$Z$278), ROUND(MAX(0,Y$320 - 2),0),
IF(AND(OR(Z$279=123, Z$279=23), Cultivar_2_Cohort_Year_Selection=$Z$278,Cultivar_3_Cohort_Year_Selection=$Z$278), ROUND(MAX(0,Y$320 - 2),0),
IF(AND(OR(Z$279=123, Z$279=12, Z$279=13, Z$279=1), Cultivar_1_Cohort_Year_Selection=$Z$278), ROUND(MAX(0,Y$320 - 1),0),
IF(AND(OR(Z$279=123, Z$279=12, Z$279=23, Z$279=2), Cultivar_2_Cohort_Year_Selection=$Z$278), ROUND(MAX(0,Y$320 - 1),0),
IF(AND(OR(Z$279=123, Z$279=13, Z$279=23, Z$279=3), Cultivar_3_Cohort_Year_Selection=$Z$278), ROUND(MAX(0,Y$320 - 1),0),
ROUND(MAX(0,Y$320),0)))))))),""),""),"")</f>
        <v/>
      </c>
      <c r="AA342" s="17" t="str">
        <f>IF(ISNUMBER($B$321),
IF($C342&lt;&gt;"",
IF(AND(ISNUMBER(Z$280), ISNUMBER(Z$317)),
IF(AND(AA$279=123, Cultivar_1_Cohort_Year_Selection=$AA$278,Cultivar_2_Cohort_Year_Selection=$AA$278,Cultivar_3_Cohort_Year_Selection=$AA$278), ROUND(MAX(0,Z$320 - 3),0),
IF(AND(OR(AA$279=123, AA$279=12), Cultivar_1_Cohort_Year_Selection=$AA$278,Cultivar_2_Cohort_Year_Selection=$AA$278), ROUND(MAX(0,Z$320 - 2),0),
IF(AND(OR(AA$279=123, AA$279=13), Cultivar_1_Cohort_Year_Selection=$AA$278,Cultivar_3_Cohort_Year_Selection=$AA$278), ROUND(MAX(0,Z$320 - 2),0),
IF(AND(OR(AA$279=123, AA$279=23), Cultivar_2_Cohort_Year_Selection=$AA$278,Cultivar_3_Cohort_Year_Selection=$AA$278), ROUND(MAX(0,Z$320 - 2),0),
IF(AND(OR(AA$279=123, AA$279=12, AA$279=13, AA$279=1), Cultivar_1_Cohort_Year_Selection=$AA$278), ROUND(MAX(0,Z$320 - 1),0),
IF(AND(OR(AA$279=123, AA$279=12, AA$279=23, AA$279=2), Cultivar_2_Cohort_Year_Selection=$AA$278), ROUND(MAX(0,Z$320 - 1),0),
IF(AND(OR(AA$279=123, AA$279=13, AA$279=23, AA$279=3), Cultivar_3_Cohort_Year_Selection=$AA$278), ROUND(MAX(0,Z$320 - 1),0),
ROUND(MAX(0,Z$320),0)))))))),""),""),"")</f>
        <v/>
      </c>
      <c r="AB342" s="17" t="str">
        <f>IF(ISNUMBER($B$321),
IF($C342&lt;&gt;"",
IF(AND(ISNUMBER(AA$280), ISNUMBER(AA$317)),
IF(AND(AB$279=123, Cultivar_1_Cohort_Year_Selection=$AB$278,Cultivar_2_Cohort_Year_Selection=$AB$278,Cultivar_3_Cohort_Year_Selection=$AB$278), ROUND(MAX(0,AA$320 - 3),0),
IF(AND(OR(AB$279=123, AB$279=12), Cultivar_1_Cohort_Year_Selection=$AB$278,Cultivar_2_Cohort_Year_Selection=$AB$278), ROUND(MAX(0,AA$320 - 2),0),
IF(AND(OR(AB$279=123, AB$279=13), Cultivar_1_Cohort_Year_Selection=$AB$278,Cultivar_3_Cohort_Year_Selection=$AB$278), ROUND(MAX(0,AA$320 - 2),0),
IF(AND(OR(AB$279=123, AB$279=23), Cultivar_2_Cohort_Year_Selection=$AB$278,Cultivar_3_Cohort_Year_Selection=$AB$278), ROUND(MAX(0,AA$320 - 2),0),
IF(AND(OR(AB$279=123, AB$279=12, AB$279=13, AB$279=1), Cultivar_1_Cohort_Year_Selection=$AB$278), ROUND(MAX(0,AA$320 - 1),0),
IF(AND(OR(AB$279=123, AB$279=12, AB$279=23, AB$279=2), Cultivar_2_Cohort_Year_Selection=$AB$278), ROUND(MAX(0,AA$320 - 1),0),
IF(AND(OR(AB$279=123, AB$279=13, AB$279=23, AB$279=3), Cultivar_3_Cohort_Year_Selection=$AB$278), ROUND(MAX(0,AA$320 - 1),0),
ROUND(MAX(0,AA$320),0)))))))),""),""),"")</f>
        <v/>
      </c>
      <c r="AC342" s="17" t="str">
        <f>IF(ISNUMBER($B$321),
IF($C342&lt;&gt;"",
IF(AND(ISNUMBER(AB$280), ISNUMBER(AB$317)),
IF(AND(AC$279=123, Cultivar_1_Cohort_Year_Selection=$AC$278,Cultivar_2_Cohort_Year_Selection=$AC$278,Cultivar_3_Cohort_Year_Selection=$AC$278), ROUND(MAX(0,AB$320 - 3),0),
IF(AND(OR(AC$279=123, AC$279=12), Cultivar_1_Cohort_Year_Selection=$AC$278,Cultivar_2_Cohort_Year_Selection=$AC$278), ROUND(MAX(0,AB$320 - 2),0),
IF(AND(OR(AC$279=123, AC$279=13), Cultivar_1_Cohort_Year_Selection=$AC$278,Cultivar_3_Cohort_Year_Selection=$AC$278), ROUND(MAX(0,AB$320 - 2),0),
IF(AND(OR(AC$279=123, AC$279=23), Cultivar_2_Cohort_Year_Selection=$AC$278,Cultivar_3_Cohort_Year_Selection=$AC$278), ROUND(MAX(0,AB$320 - 2),0),
IF(AND(OR(AC$279=123, AC$279=12, AC$279=13, AC$279=1), Cultivar_1_Cohort_Year_Selection=$AC$278), ROUND(MAX(0,AB$320 - 1),0),
IF(AND(OR(AC$279=123, AC$279=12, AC$279=23, AC$279=2), Cultivar_2_Cohort_Year_Selection=$AC$278), ROUND(MAX(0,AB$320 - 1),0),
IF(AND(OR(AC$279=123, AC$279=13, AC$279=23, AC$279=3), Cultivar_3_Cohort_Year_Selection=$AC$278), ROUND(MAX(0,AB$320 - 1),0),
ROUND(MAX(0,AB$320),0)))))))),""),""),"")</f>
        <v/>
      </c>
      <c r="AD342" s="17" t="str">
        <f>IF(ISNUMBER($B$321),
IF($C342&lt;&gt;"",
IF(AND(ISNUMBER(AC$280), ISNUMBER(AC$317)),
IF(AND(AD$279=123, Cultivar_1_Cohort_Year_Selection=$AD$278,Cultivar_2_Cohort_Year_Selection=$AD$278,Cultivar_3_Cohort_Year_Selection=$AD$278), ROUND(MAX(0,AC$320 - 3),0),
IF(AND(OR(AD$279=123, AD$279=12), Cultivar_1_Cohort_Year_Selection=$AD$278,Cultivar_2_Cohort_Year_Selection=$AD$278), ROUND(MAX(0,AC$320 - 2),0),
IF(AND(OR(AD$279=123, AD$279=13), Cultivar_1_Cohort_Year_Selection=$AD$278,Cultivar_3_Cohort_Year_Selection=$AD$278), ROUND(MAX(0,AC$320 - 2),0),
IF(AND(OR(AD$279=123, AD$279=23), Cultivar_2_Cohort_Year_Selection=$AD$278,Cultivar_3_Cohort_Year_Selection=$AD$278), ROUND(MAX(0,AC$320 - 2),0),
IF(AND(OR(AD$279=123, AD$279=12, AD$279=13, AD$279=1), Cultivar_1_Cohort_Year_Selection=$AD$278), ROUND(MAX(0,AC$320 - 1),0),
IF(AND(OR(AD$279=123, AD$279=12, AD$279=23, AD$279=2), Cultivar_2_Cohort_Year_Selection=$AD$278), ROUND(MAX(0,AC$320 - 1),0),
IF(AND(OR(AD$279=123, AD$279=13, AD$279=23, AD$279=3), Cultivar_3_Cohort_Year_Selection=$AD$278), ROUND(MAX(0,AC$320 - 1),0),
ROUND(MAX(0,AC$320),0)))))))),""),""),"")</f>
        <v/>
      </c>
      <c r="AE342" s="17" t="str">
        <f>IF(ISNUMBER($B$321),
IF($C342&lt;&gt;"",
IF(AND(ISNUMBER(AD$280), ISNUMBER(AD$317)),
IF(AND(AE$279=123, Cultivar_1_Cohort_Year_Selection=$AE$278,Cultivar_2_Cohort_Year_Selection=$AE$278,Cultivar_3_Cohort_Year_Selection=$AE$278), ROUND(MAX(0,AD$320 - 3),0),
IF(AND(OR(AE$279=123, AE$279=12), Cultivar_1_Cohort_Year_Selection=$AE$278,Cultivar_2_Cohort_Year_Selection=$AE$278), ROUND(MAX(0,AD$320 - 2),0),
IF(AND(OR(AE$279=123, AE$279=13), Cultivar_1_Cohort_Year_Selection=$AE$278,Cultivar_3_Cohort_Year_Selection=$AE$278), ROUND(MAX(0,AD$320 - 2),0),
IF(AND(OR(AE$279=123, AE$279=23), Cultivar_2_Cohort_Year_Selection=$AE$278,Cultivar_3_Cohort_Year_Selection=$AE$278), ROUND(MAX(0,AD$320 - 2),0),
IF(AND(OR(AE$279=123, AE$279=12, AE$279=13, AE$279=1), Cultivar_1_Cohort_Year_Selection=$AE$278), ROUND(MAX(0,AD$320 - 1),0),
IF(AND(OR(AE$279=123, AE$279=12, AE$279=23, AE$279=2), Cultivar_2_Cohort_Year_Selection=$AE$278), ROUND(MAX(0,AD$320 - 1),0),
IF(AND(OR(AE$279=123, AE$279=13, AE$279=23, AE$279=3), Cultivar_3_Cohort_Year_Selection=$AE$278), ROUND(MAX(0,AD$320 - 1),0),
ROUND(MAX(0,AD$320),0)))))))),""),""),"")</f>
        <v/>
      </c>
      <c r="AF342" s="17" t="str">
        <f>IF(ISNUMBER($B$321),
IF($C342&lt;&gt;"",
IF(AND(ISNUMBER(AE$280), ISNUMBER(AE$317)),
IF(AND(AF$279=123, Cultivar_1_Cohort_Year_Selection=$AF$278,Cultivar_2_Cohort_Year_Selection=$AF$278,Cultivar_3_Cohort_Year_Selection=$AF$278), ROUND(MAX(0,AE$320 - 3),0),
IF(AND(OR(AF$279=123, AF$279=12), Cultivar_1_Cohort_Year_Selection=$AF$278,Cultivar_2_Cohort_Year_Selection=$AF$278), ROUND(MAX(0,AE$320 - 2),0),
IF(AND(OR(AF$279=123, AF$279=13), Cultivar_1_Cohort_Year_Selection=$AF$278,Cultivar_3_Cohort_Year_Selection=$AF$278), ROUND(MAX(0,AE$320 - 2),0),
IF(AND(OR(AF$279=123, AF$279=23), Cultivar_2_Cohort_Year_Selection=$AF$278,Cultivar_3_Cohort_Year_Selection=$AF$278), ROUND(MAX(0,AE$320 - 2),0),
IF(AND(OR(AF$279=123, AF$279=12, AF$279=13, AF$279=1), Cultivar_1_Cohort_Year_Selection=$AF$278), ROUND(MAX(0,AE$320 - 1),0),
IF(AND(OR(AF$279=123, AF$279=12, AF$279=23, AF$279=2), Cultivar_2_Cohort_Year_Selection=$AF$278), ROUND(MAX(0,AE$320 - 1),0),
IF(AND(OR(AF$279=123, AF$279=13, AF$279=23, AF$279=3), Cultivar_3_Cohort_Year_Selection=$AF$278), ROUND(MAX(0,AE$320 - 1),0),
ROUND(MAX(0,AE$320),0)))))))),""),""),"")</f>
        <v/>
      </c>
      <c r="AG342" s="17" t="str">
        <f>IF(ISNUMBER($B$321),
IF($C342&lt;&gt;"",
IF(AND(ISNUMBER(AF$280), ISNUMBER(AF$317)),
IF(AND(AG$279=123, Cultivar_1_Cohort_Year_Selection=$AG$278,Cultivar_2_Cohort_Year_Selection=$AG$278,Cultivar_3_Cohort_Year_Selection=$AG$278), ROUND(MAX(0,AF$320 - 3),0),
IF(AND(OR(AG$279=123, AG$279=12), Cultivar_1_Cohort_Year_Selection=$AG$278,Cultivar_2_Cohort_Year_Selection=$AG$278), ROUND(MAX(0,AF$320 - 2),0),
IF(AND(OR(AG$279=123, AG$279=13), Cultivar_1_Cohort_Year_Selection=$AG$278,Cultivar_3_Cohort_Year_Selection=$AG$278), ROUND(MAX(0,AF$320 - 2),0),
IF(AND(OR(AG$279=123, AG$279=23), Cultivar_2_Cohort_Year_Selection=$AG$278,Cultivar_3_Cohort_Year_Selection=$AG$278), ROUND(MAX(0,AF$320 - 2),0),
IF(AND(OR(AG$279=123, AG$279=12, AG$279=13, AG$279=1), Cultivar_1_Cohort_Year_Selection=$AG$278), ROUND(MAX(0,AF$320 - 1),0),
IF(AND(OR(AG$279=123, AG$279=12, AG$279=23, AG$279=2), Cultivar_2_Cohort_Year_Selection=$AG$278), ROUND(MAX(0,AF$320 - 1),0),
IF(AND(OR(AG$279=123, AG$279=13, AG$279=23, AG$279=3), Cultivar_3_Cohort_Year_Selection=$AG$278), ROUND(MAX(0,AF$320 - 1),0),
ROUND(MAX(0,AF$320),0)))))))),""),""),"")</f>
        <v/>
      </c>
      <c r="AH342" s="17" t="str">
        <f>IF(ISNUMBER($B$321),
IF($C342&lt;&gt;"",
IF(AND(ISNUMBER(AG$280), ISNUMBER(AG$317)),
IF(AND(AH$279=123, Cultivar_1_Cohort_Year_Selection=$AH$278,Cultivar_2_Cohort_Year_Selection=$AH$278,Cultivar_3_Cohort_Year_Selection=$AH$278), ROUND(MAX(0,AG$320 - 3),0),
IF(AND(OR(AH$279=123, AH$279=12), Cultivar_1_Cohort_Year_Selection=$AH$278,Cultivar_2_Cohort_Year_Selection=$AH$278), ROUND(MAX(0,AG$320 - 2),0),
IF(AND(OR(AH$279=123, AH$279=13), Cultivar_1_Cohort_Year_Selection=$AH$278,Cultivar_3_Cohort_Year_Selection=$AH$278), ROUND(MAX(0,AG$320 - 2),0),
IF(AND(OR(AH$279=123, AH$279=23), Cultivar_2_Cohort_Year_Selection=$AH$278,Cultivar_3_Cohort_Year_Selection=$AH$278), ROUND(MAX(0,AG$320 - 2),0),
IF(AND(OR(AH$279=123, AH$279=12, AH$279=13, AH$279=1), Cultivar_1_Cohort_Year_Selection=$AH$278), ROUND(MAX(0,AG$320 - 1),0),
IF(AND(OR(AH$279=123, AH$279=12, AH$279=23, AH$279=2), Cultivar_2_Cohort_Year_Selection=$AH$278), ROUND(MAX(0,AG$320 - 1),0),
IF(AND(OR(AH$279=123, AH$279=13, AH$279=23, AH$279=3), Cultivar_3_Cohort_Year_Selection=$AH$278), ROUND(MAX(0,AG$320 - 1),0),
ROUND(MAX(0,AG$320),0)))))))),""),""),"")</f>
        <v/>
      </c>
      <c r="AI342" s="17" t="str">
        <f>IF(ISNUMBER($B$321),
IF($C342&lt;&gt;"",
IF(AND(ISNUMBER(AH$280), ISNUMBER(AH$317)),
IF(AND(AI$279=123, Cultivar_1_Cohort_Year_Selection=$AI$278,Cultivar_2_Cohort_Year_Selection=$AI$278,Cultivar_3_Cohort_Year_Selection=$AI$278), ROUND(MAX(0,AH$320 - 3),0),
IF(AND(OR(AI$279=123, AI$279=12), Cultivar_1_Cohort_Year_Selection=$AI$278,Cultivar_2_Cohort_Year_Selection=$AI$278), ROUND(MAX(0,AH$320 - 2),0),
IF(AND(OR(AI$279=123, AI$279=13), Cultivar_1_Cohort_Year_Selection=$AI$278,Cultivar_3_Cohort_Year_Selection=$AI$278), ROUND(MAX(0,AH$320 - 2),0),
IF(AND(OR(AI$279=123, AI$279=23), Cultivar_2_Cohort_Year_Selection=$AI$278,Cultivar_3_Cohort_Year_Selection=$AI$278), ROUND(MAX(0,AH$320 - 2),0),
IF(AND(OR(AI$279=123, AI$279=12, AI$279=13, AI$279=1), Cultivar_1_Cohort_Year_Selection=$AI$278), ROUND(MAX(0,AH$320 - 1),0),
IF(AND(OR(AI$279=123, AI$279=12, AI$279=23, AI$279=2), Cultivar_2_Cohort_Year_Selection=$AI$278), ROUND(MAX(0,AH$320 - 1),0),
IF(AND(OR(AI$279=123, AI$279=13, AI$279=23, AI$279=3), Cultivar_3_Cohort_Year_Selection=$AI$278), ROUND(MAX(0,AH$320 - 1),0),
ROUND(MAX(0,AH$320),0)))))))),""),""),"")</f>
        <v/>
      </c>
      <c r="AJ342" s="17" t="str">
        <f>IF(ISNUMBER($B$321),
IF($C342&lt;&gt;"",
IF(AND(ISNUMBER(AI$280), ISNUMBER(AI$317)),
IF(AND(AJ$279=123, Cultivar_1_Cohort_Year_Selection=$AJ$278,Cultivar_2_Cohort_Year_Selection=$AJ$278,Cultivar_3_Cohort_Year_Selection=$AJ$278), ROUND(MAX(0,AI$320 - 3),0),
IF(AND(OR(AJ$279=123, AJ$279=12), Cultivar_1_Cohort_Year_Selection=$AJ$278,Cultivar_2_Cohort_Year_Selection=$AJ$278), ROUND(MAX(0,AI$320 - 2),0),
IF(AND(OR(AJ$279=123, AJ$279=13), Cultivar_1_Cohort_Year_Selection=$AJ$278,Cultivar_3_Cohort_Year_Selection=$AJ$278), ROUND(MAX(0,AI$320 - 2),0),
IF(AND(OR(AJ$279=123, AJ$279=23), Cultivar_2_Cohort_Year_Selection=$AJ$278,Cultivar_3_Cohort_Year_Selection=$AJ$278), ROUND(MAX(0,AI$320 - 2),0),
IF(AND(OR(AJ$279=123, AJ$279=12, AJ$279=13, AJ$279=1), Cultivar_1_Cohort_Year_Selection=$AJ$278), ROUND(MAX(0,AI$320 - 1),0),
IF(AND(OR(AJ$279=123, AJ$279=12, AJ$279=23, AJ$279=2), Cultivar_2_Cohort_Year_Selection=$AJ$278), ROUND(MAX(0,AI$320 - 1),0),
IF(AND(OR(AJ$279=123, AJ$279=13, AJ$279=23, AJ$279=3), Cultivar_3_Cohort_Year_Selection=$AJ$278), ROUND(MAX(0,AI$320 - 1),0),
ROUND(MAX(0,AI$320),0)))))))),""),""),"")</f>
        <v/>
      </c>
      <c r="AK342" s="17" t="str">
        <f>IF(ISNUMBER($B$321),
IF($C342&lt;&gt;"",
IF(AND(ISNUMBER(AJ$280), ISNUMBER(AJ$317)),
IF(AND(AK$279=123, Cultivar_1_Cohort_Year_Selection=$AK$278,Cultivar_2_Cohort_Year_Selection=$AK$278,Cultivar_3_Cohort_Year_Selection=$AK$278), ROUND(MAX(0,AJ$320 - 3),0),
IF(AND(OR(AK$279=123, AK$279=12), Cultivar_1_Cohort_Year_Selection=$AK$278,Cultivar_2_Cohort_Year_Selection=$AK$278), ROUND(MAX(0,AJ$320 - 2),0),
IF(AND(OR(AK$279=123, AK$279=13), Cultivar_1_Cohort_Year_Selection=$AK$278,Cultivar_3_Cohort_Year_Selection=$AK$278), ROUND(MAX(0,AJ$320 - 2),0),
IF(AND(OR(AK$279=123, AK$279=23), Cultivar_2_Cohort_Year_Selection=$AK$278,Cultivar_3_Cohort_Year_Selection=$AK$278), ROUND(MAX(0,AJ$320 - 2),0),
IF(AND(OR(AK$279=123, AK$279=12, AK$279=13, AK$279=1), Cultivar_1_Cohort_Year_Selection=$AK$278), ROUND(MAX(0,AJ$320 - 1),0),
IF(AND(OR(AK$279=123, AK$279=12, AK$279=23, AK$279=2), Cultivar_2_Cohort_Year_Selection=$AK$278), ROUND(MAX(0,AJ$320 - 1),0),
IF(AND(OR(AK$279=123, AK$279=13, AK$279=23, AK$279=3), Cultivar_3_Cohort_Year_Selection=$AK$278), ROUND(MAX(0,AJ$320 - 1),0),
ROUND(MAX(0,AJ$320),0)))))))),""),""),"")</f>
        <v/>
      </c>
      <c r="AL342" s="17" t="str">
        <f>IF(ISNUMBER($B$321),
IF($C342&lt;&gt;"",
IF(AND(ISNUMBER(AK$280), ISNUMBER(AK$317)),
IF(AND(AL$279=123, Cultivar_1_Cohort_Year_Selection=$AL$278,Cultivar_2_Cohort_Year_Selection=$AL$278,Cultivar_3_Cohort_Year_Selection=$AL$278), ROUND(MAX(0,AK$320 - 3),0),
IF(AND(OR(AL$279=123, AL$279=12), Cultivar_1_Cohort_Year_Selection=$AL$278,Cultivar_2_Cohort_Year_Selection=$AL$278), ROUND(MAX(0,AK$320 - 2),0),
IF(AND(OR(AL$279=123, AL$279=13), Cultivar_1_Cohort_Year_Selection=$AL$278,Cultivar_3_Cohort_Year_Selection=$AL$278), ROUND(MAX(0,AK$320 - 2),0),
IF(AND(OR(AL$279=123, AL$279=23), Cultivar_2_Cohort_Year_Selection=$AL$278,Cultivar_3_Cohort_Year_Selection=$AL$278), ROUND(MAX(0,AK$320 - 2),0),
IF(AND(OR(AL$279=123, AL$279=12, AL$279=13, AL$279=1), Cultivar_1_Cohort_Year_Selection=$AL$278), ROUND(MAX(0,AK$320 - 1),0),
IF(AND(OR(AL$279=123, AL$279=12, AL$279=23, AL$279=2), Cultivar_2_Cohort_Year_Selection=$AL$278), ROUND(MAX(0,AK$320 - 1),0),
IF(AND(OR(AL$279=123, AL$279=13, AL$279=23, AL$279=3), Cultivar_3_Cohort_Year_Selection=$AL$278), ROUND(MAX(0,AK$320 - 1),0),
ROUND(MAX(0,AK$320),0)))))))),""),""),"")</f>
        <v/>
      </c>
      <c r="AM342" s="17" t="str">
        <f>IF(ISNUMBER($B$321),
IF($C342&lt;&gt;"",
IF(AND(ISNUMBER(AL$280), ISNUMBER(AL$317)),
IF(AND(AM$279=123, Cultivar_1_Cohort_Year_Selection=$AM$278,Cultivar_2_Cohort_Year_Selection=$AM$278,Cultivar_3_Cohort_Year_Selection=$AM$278), ROUND(MAX(0,AL$320 - 3),0),
IF(AND(OR(AM$279=123, AM$279=12), Cultivar_1_Cohort_Year_Selection=$AM$278,Cultivar_2_Cohort_Year_Selection=$AM$278), ROUND(MAX(0,AL$320 - 2),0),
IF(AND(OR(AM$279=123, AM$279=13), Cultivar_1_Cohort_Year_Selection=$AM$278,Cultivar_3_Cohort_Year_Selection=$AM$278), ROUND(MAX(0,AL$320 - 2),0),
IF(AND(OR(AM$279=123, AM$279=23), Cultivar_2_Cohort_Year_Selection=$AM$278,Cultivar_3_Cohort_Year_Selection=$AM$278), ROUND(MAX(0,AL$320 - 2),0),
IF(AND(OR(AM$279=123, AM$279=12, AM$279=13, AM$279=1), Cultivar_1_Cohort_Year_Selection=$AM$278), ROUND(MAX(0,AL$320 - 1),0),
IF(AND(OR(AM$279=123, AM$279=12, AM$279=23, AM$279=2), Cultivar_2_Cohort_Year_Selection=$AM$278), ROUND(MAX(0,AL$320 - 1),0),
IF(AND(OR(AM$279=123, AM$279=13, AM$279=23, AM$279=3), Cultivar_3_Cohort_Year_Selection=$AM$278), ROUND(MAX(0,AL$320 - 1),0),
ROUND(MAX(0,AL$320),0)))))))),""),""),"")</f>
        <v/>
      </c>
      <c r="AN342" s="17" t="str">
        <f>IF(ISNUMBER($B$321),
IF($C342&lt;&gt;"",
IF(AND(ISNUMBER(AM$280), ISNUMBER(AM$317)),
IF(AND(AN$279=123, Cultivar_1_Cohort_Year_Selection=$AN$278,Cultivar_2_Cohort_Year_Selection=$AN$278,Cultivar_3_Cohort_Year_Selection=$AN$278), ROUND(MAX(0,AM$320 - 3),0),
IF(AND(OR(AN$279=123, AN$279=12), Cultivar_1_Cohort_Year_Selection=$AN$278,Cultivar_2_Cohort_Year_Selection=$AN$278), ROUND(MAX(0,AM$320 - 2),0),
IF(AND(OR(AN$279=123, AN$279=13), Cultivar_1_Cohort_Year_Selection=$AN$278,Cultivar_3_Cohort_Year_Selection=$AN$278), ROUND(MAX(0,AM$320 - 2),0),
IF(AND(OR(AN$279=123, AN$279=23), Cultivar_2_Cohort_Year_Selection=$AN$278,Cultivar_3_Cohort_Year_Selection=$AN$278), ROUND(MAX(0,AM$320 - 2),0),
IF(AND(OR(AN$279=123, AN$279=12, AN$279=13, AN$279=1), Cultivar_1_Cohort_Year_Selection=$AN$278), ROUND(MAX(0,AM$320 - 1),0),
IF(AND(OR(AN$279=123, AN$279=12, AN$279=23, AN$279=2), Cultivar_2_Cohort_Year_Selection=$AN$278), ROUND(MAX(0,AM$320 - 1),0),
IF(AND(OR(AN$279=123, AN$279=13, AN$279=23, AN$279=3), Cultivar_3_Cohort_Year_Selection=$AN$278), ROUND(MAX(0,AM$320 - 1),0),
ROUND(MAX(0,AM$320),0)))))))),""),""),"")</f>
        <v/>
      </c>
      <c r="AO342" s="17" t="str">
        <f>IF(ISNUMBER($B$321),
IF($C342&lt;&gt;"",
IF(AND(ISNUMBER(AN$280), ISNUMBER(AN$317)),
IF(AND(AO$279=123, Cultivar_1_Cohort_Year_Selection=$AO$278,Cultivar_2_Cohort_Year_Selection=$AO$278,Cultivar_3_Cohort_Year_Selection=$AO$278), ROUND(MAX(0,AN$320 - 3),0),
IF(AND(OR(AO$279=123, AO$279=12), Cultivar_1_Cohort_Year_Selection=$AO$278,Cultivar_2_Cohort_Year_Selection=$AO$278), ROUND(MAX(0,AN$320 - 2),0),
IF(AND(OR(AO$279=123, AO$279=13), Cultivar_1_Cohort_Year_Selection=$AO$278,Cultivar_3_Cohort_Year_Selection=$AO$278), ROUND(MAX(0,AN$320 - 2),0),
IF(AND(OR(AO$279=123, AO$279=23), Cultivar_2_Cohort_Year_Selection=$AO$278,Cultivar_3_Cohort_Year_Selection=$AO$278), ROUND(MAX(0,AN$320 - 2),0),
IF(AND(OR(AO$279=123, AO$279=12, AO$279=13, AO$279=1), Cultivar_1_Cohort_Year_Selection=$AO$278), ROUND(MAX(0,AN$320 - 1),0),
IF(AND(OR(AO$279=123, AO$279=12, AO$279=23, AO$279=2), Cultivar_2_Cohort_Year_Selection=$AO$278), ROUND(MAX(0,AN$320 - 1),0),
IF(AND(OR(AO$279=123, AO$279=13, AO$279=23, AO$279=3), Cultivar_3_Cohort_Year_Selection=$AO$278), ROUND(MAX(0,AN$320 - 1),0),
ROUND(MAX(0,AN$320),0)))))))),""),""),"")</f>
        <v/>
      </c>
      <c r="AP342" s="17" t="str">
        <f>IF(ISNUMBER($B$321),
IF($C342&lt;&gt;"",
IF(AND(ISNUMBER(AO$280), ISNUMBER(AO$317)),
IF(AND(AP$279=123, Cultivar_1_Cohort_Year_Selection=$AP$278,Cultivar_2_Cohort_Year_Selection=$AP$278,Cultivar_3_Cohort_Year_Selection=$AP$278), ROUND(MAX(0,AO$320 - 3),0),
IF(AND(OR(AP$279=123, AP$279=12), Cultivar_1_Cohort_Year_Selection=$AP$278,Cultivar_2_Cohort_Year_Selection=$AP$278), ROUND(MAX(0,AO$320 - 2),0),
IF(AND(OR(AP$279=123, AP$279=13), Cultivar_1_Cohort_Year_Selection=$AP$278,Cultivar_3_Cohort_Year_Selection=$AP$278), ROUND(MAX(0,AO$320 - 2),0),
IF(AND(OR(AP$279=123, AP$279=23), Cultivar_2_Cohort_Year_Selection=$AP$278,Cultivar_3_Cohort_Year_Selection=$AP$278), ROUND(MAX(0,AO$320 - 2),0),
IF(AND(OR(AP$279=123, AP$279=12, AP$279=13, AP$279=1), Cultivar_1_Cohort_Year_Selection=$AP$278), ROUND(MAX(0,AO$320 - 1),0),
IF(AND(OR(AP$279=123, AP$279=12, AP$279=23, AP$279=2), Cultivar_2_Cohort_Year_Selection=$AP$278), ROUND(MAX(0,AO$320 - 1),0),
IF(AND(OR(AP$279=123, AP$279=13, AP$279=23, AP$279=3), Cultivar_3_Cohort_Year_Selection=$AP$278), ROUND(MAX(0,AO$320 - 1),0),
ROUND(MAX(0,AO$320),0)))))))),""),""),"")</f>
        <v/>
      </c>
      <c r="AQ342" s="17" t="str">
        <f>IF(ISNUMBER($B$321),
IF($C342&lt;&gt;"",
IF(AND(ISNUMBER(AP$280), ISNUMBER(AP$317)),
IF(AND(AQ$279=123, Cultivar_1_Cohort_Year_Selection=$AQ$278,Cultivar_2_Cohort_Year_Selection=$AQ$278,Cultivar_3_Cohort_Year_Selection=$AQ$278), ROUND(MAX(0,AP$320 - 3),0),
IF(AND(OR(AQ$279=123, AQ$279=12), Cultivar_1_Cohort_Year_Selection=$AQ$278,Cultivar_2_Cohort_Year_Selection=$AQ$278), ROUND(MAX(0,AP$320 - 2),0),
IF(AND(OR(AQ$279=123, AQ$279=13), Cultivar_1_Cohort_Year_Selection=$AQ$278,Cultivar_3_Cohort_Year_Selection=$AQ$278), ROUND(MAX(0,AP$320 - 2),0),
IF(AND(OR(AQ$279=123, AQ$279=23), Cultivar_2_Cohort_Year_Selection=$AQ$278,Cultivar_3_Cohort_Year_Selection=$AQ$278), ROUND(MAX(0,AP$320 - 2),0),
IF(AND(OR(AQ$279=123, AQ$279=12, AQ$279=13, AQ$279=1), Cultivar_1_Cohort_Year_Selection=$AQ$278), ROUND(MAX(0,AP$320 - 1),0),
IF(AND(OR(AQ$279=123, AQ$279=12, AQ$279=23, AQ$279=2), Cultivar_2_Cohort_Year_Selection=$AQ$278), ROUND(MAX(0,AP$320 - 1),0),
IF(AND(OR(AQ$279=123, AQ$279=13, AQ$279=23, AQ$279=3), Cultivar_3_Cohort_Year_Selection=$AQ$278), ROUND(MAX(0,AP$320 - 1),0),
ROUND(MAX(0,AP$320),0)))))))),""),""),"")</f>
        <v/>
      </c>
      <c r="AR342" s="17" t="str">
        <f>IF(ISNUMBER($B$321),
IF($C342&lt;&gt;"",
IF(AND(ISNUMBER(AQ$280), ISNUMBER(AQ$317)),
IF(AND(AR$279=123, Cultivar_1_Cohort_Year_Selection=$AR$278,Cultivar_2_Cohort_Year_Selection=$AR$278,Cultivar_3_Cohort_Year_Selection=$AR$278), ROUND(MAX(0,AQ$320 - 3),0),
IF(AND(OR(AR$279=123, AR$279=12), Cultivar_1_Cohort_Year_Selection=$AR$278,Cultivar_2_Cohort_Year_Selection=$AR$278), ROUND(MAX(0,AQ$320 - 2),0),
IF(AND(OR(AR$279=123, AR$279=13), Cultivar_1_Cohort_Year_Selection=$AR$278,Cultivar_3_Cohort_Year_Selection=$AR$278), ROUND(MAX(0,AQ$320 - 2),0),
IF(AND(OR(AR$279=123, AR$279=23), Cultivar_2_Cohort_Year_Selection=$AR$278,Cultivar_3_Cohort_Year_Selection=$AR$278), ROUND(MAX(0,AQ$320 - 2),0),
IF(AND(OR(AR$279=123, AR$279=12, AR$279=13, AR$279=1), Cultivar_1_Cohort_Year_Selection=$AR$278), ROUND(MAX(0,AQ$320 - 1),0),
IF(AND(OR(AR$279=123, AR$279=12, AR$279=23, AR$279=2), Cultivar_2_Cohort_Year_Selection=$AR$278), ROUND(MAX(0,AQ$320 - 1),0),
IF(AND(OR(AR$279=123, AR$279=13, AR$279=23, AR$279=3), Cultivar_3_Cohort_Year_Selection=$AR$278), ROUND(MAX(0,AQ$320 - 1),0),
ROUND(MAX(0,AQ$320),0)))))))),""),""),"")</f>
        <v/>
      </c>
    </row>
    <row r="343" spans="1:45" ht="15.75" thickBot="1" x14ac:dyDescent="0.3">
      <c r="A343" s="518"/>
      <c r="B343" s="504"/>
      <c r="C343" s="107" t="str">
        <f>IF(AND(ISNUMBER(B321), OR('Cost Inputs'!$H$126&lt;&gt;"", 'Cost Inputs'!$I$126&lt;&gt;"", 'Cost Inputs'!$J$126&lt;&gt;"")), _4_5_2, "")</f>
        <v/>
      </c>
      <c r="D343" s="93" t="str">
        <f>IF(AND(C343&lt;&gt;"", 'Cost Inputs'!$G$126&lt;&gt;""), 'Cost Inputs'!$G$126, "")</f>
        <v/>
      </c>
      <c r="E343" s="93" t="str">
        <f>IF(AND(C343&lt;&gt;"", 'Cost Inputs'!$H$126&lt;&gt;""), 'Cost Inputs'!$H$126, "")</f>
        <v/>
      </c>
      <c r="F343" s="93" t="str">
        <f>IF(AND(C343&lt;&gt;"", 'Cost Inputs'!$I$126&lt;&gt;""), 'Cost Inputs'!$I$126, "")</f>
        <v/>
      </c>
      <c r="G343" s="108" t="str">
        <f t="shared" si="63"/>
        <v/>
      </c>
      <c r="H343" s="93" t="str">
        <f>IF(AND(C343&lt;&gt;"", 'Cost Inputs'!$J$126&lt;&gt;""), 'Cost Inputs'!$J$126, "")</f>
        <v/>
      </c>
      <c r="I343" s="93" t="str">
        <f>IF($C343&lt;&gt;"", IF(AND($E343&lt;&gt;"", H343&lt;&gt;""), H343/$E343, 0),"")</f>
        <v/>
      </c>
      <c r="J343" s="93" t="str">
        <f>IF(AND(C343&lt;&gt;"",('Cost Inputs'!$I$126+'Cost Inputs'!$J$126+'Cost Inputs'!$K$126)&gt;0), 'Cost Inputs'!$I$126+'Cost Inputs'!$J$126+'Cost Inputs'!$K$126, "")</f>
        <v/>
      </c>
      <c r="K343" s="93" t="str">
        <f>IF($C343&lt;&gt;"", IF(AND($E343&lt;&gt;"", J343&lt;&gt;""), J343/$E343, 0),"")</f>
        <v/>
      </c>
      <c r="L343" s="525"/>
      <c r="M343" s="525"/>
      <c r="P343" s="95" t="str">
        <f>IF(ISNUMBER($B$321),
IF($C343&lt;&gt;"",
IF(AND(ISNUMBER(O$280), ISNUMBER(O$317)),
IF(AND(P$279=123, Cultivar_1_Cohort_Year_Selection=$P$278,Cultivar_2_Cohort_Year_Selection=$P$278,Cultivar_3_Cohort_Year_Selection=$P$278), ROUND(MAX(0,O$320 - 3),0),
IF(AND(OR(P$279=123, P$279=12), Cultivar_1_Cohort_Year_Selection=$P$278,Cultivar_2_Cohort_Year_Selection=$P$278), ROUND(MAX(0,O$320 - 2),0),
IF(AND(OR(P$279=123, P$279=13), Cultivar_1_Cohort_Year_Selection=$P$278,Cultivar_3_Cohort_Year_Selection=$P$278), ROUND(MAX(0,O$320 - 2),0),
IF(AND(OR(P$279=123, P$279=23), Cultivar_2_Cohort_Year_Selection=$P$278,Cultivar_3_Cohort_Year_Selection=$P$278), ROUND(MAX(0,O$320 - 2),0),
IF(AND(OR(P$279=123, P$279=12, P$279=13, P$279=1), Cultivar_1_Cohort_Year_Selection=$P$278), ROUND(MAX(0,O$320 - 1),0),
IF(AND(OR(P$279=123, P$279=12, P$279=23, P$279=2), Cultivar_2_Cohort_Year_Selection=$P$278), ROUND(MAX(0,O$320 - 1),0),
IF(AND(OR(P$279=123, P$279=13, P$279=23, P$279=3), Cultivar_3_Cohort_Year_Selection=$P$278), ROUND(MAX(0,O$320 - 1),0),
ROUND(MAX(0,O$320),0)))))))),""),""),"")</f>
        <v/>
      </c>
      <c r="Q343" s="95" t="str">
        <f>IF(ISNUMBER($B$321),
IF($C343&lt;&gt;"",
IF(AND(ISNUMBER(P$280), ISNUMBER(P$317)),
IF(AND(Q$279=123, Cultivar_1_Cohort_Year_Selection=$Q$278,Cultivar_2_Cohort_Year_Selection=$Q$278,Cultivar_3_Cohort_Year_Selection=$Q$278), ROUND(MAX(0,P$320 - 3),0),
IF(AND(OR(Q$279=123, Q$279=12), Cultivar_1_Cohort_Year_Selection=$Q$278,Cultivar_2_Cohort_Year_Selection=$Q$278), ROUND(MAX(0,P$320 - 2),0),
IF(AND(OR(Q$279=123, Q$279=13), Cultivar_1_Cohort_Year_Selection=$Q$278,Cultivar_3_Cohort_Year_Selection=$Q$278), ROUND(MAX(0,P$320 - 2),0),
IF(AND(OR(Q$279=123, Q$279=23), Cultivar_2_Cohort_Year_Selection=$Q$278,Cultivar_3_Cohort_Year_Selection=$Q$278), ROUND(MAX(0,P$320 - 2),0),
IF(AND(OR(Q$279=123, Q$279=12, Q$279=13, Q$279=1), Cultivar_1_Cohort_Year_Selection=$Q$278), ROUND(MAX(0,P$320 - 1),0),
IF(AND(OR(Q$279=123, Q$279=12, Q$279=23, Q$279=2), Cultivar_2_Cohort_Year_Selection=$Q$278), ROUND(MAX(0,P$320 - 1),0),
IF(AND(OR(Q$279=123, Q$279=13, Q$279=23, Q$279=3), Cultivar_3_Cohort_Year_Selection=$Q$278), ROUND(MAX(0,P$320 - 1),0),
ROUND(MAX(0,P$320),0)))))))),""),""),"")</f>
        <v/>
      </c>
      <c r="R343" s="95" t="str">
        <f>IF(ISNUMBER($B$321),
IF($C343&lt;&gt;"",
IF(AND(ISNUMBER(Q$280), ISNUMBER(Q$317)),
IF(AND(R$279=123, Cultivar_1_Cohort_Year_Selection=$R$278,Cultivar_2_Cohort_Year_Selection=$R$278,Cultivar_3_Cohort_Year_Selection=$R$278), ROUND(MAX(0,Q$320 - 3),0),
IF(AND(OR(R$279=123, R$279=12), Cultivar_1_Cohort_Year_Selection=$R$278,Cultivar_2_Cohort_Year_Selection=$R$278), ROUND(MAX(0,Q$320 - 2),0),
IF(AND(OR(R$279=123, R$279=13), Cultivar_1_Cohort_Year_Selection=$R$278,Cultivar_3_Cohort_Year_Selection=$R$278), ROUND(MAX(0,Q$320 - 2),0),
IF(AND(OR(R$279=123, R$279=23), Cultivar_2_Cohort_Year_Selection=$R$278,Cultivar_3_Cohort_Year_Selection=$R$278), ROUND(MAX(0,Q$320 - 2),0),
IF(AND(OR(R$279=123, R$279=12, R$279=13, R$279=1), Cultivar_1_Cohort_Year_Selection=$R$278), ROUND(MAX(0,Q$320 - 1),0),
IF(AND(OR(R$279=123, R$279=12, R$279=23, R$279=2), Cultivar_2_Cohort_Year_Selection=$R$278), ROUND(MAX(0,Q$320 - 1),0),
IF(AND(OR(R$279=123, R$279=13, R$279=23, R$279=3), Cultivar_3_Cohort_Year_Selection=$R$278), ROUND(MAX(0,Q$320 - 1),0),
ROUND(MAX(0,Q$320),0)))))))),""),""),"")</f>
        <v/>
      </c>
      <c r="S343" s="95" t="str">
        <f>IF(ISNUMBER($B$321),
IF($C343&lt;&gt;"",
IF(AND(ISNUMBER(R$280), ISNUMBER(R$317)),
IF(AND(S$279=123, Cultivar_1_Cohort_Year_Selection=$S$278,Cultivar_2_Cohort_Year_Selection=$S$278,Cultivar_3_Cohort_Year_Selection=$S$278), ROUND(MAX(0,R$320 - 3),0),
IF(AND(OR(S$279=123, S$279=12), Cultivar_1_Cohort_Year_Selection=$S$278,Cultivar_2_Cohort_Year_Selection=$S$278), ROUND(MAX(0,R$320 - 2),0),
IF(AND(OR(S$279=123, S$279=13), Cultivar_1_Cohort_Year_Selection=$S$278,Cultivar_3_Cohort_Year_Selection=$S$278), ROUND(MAX(0,R$320 - 2),0),
IF(AND(OR(S$279=123, S$279=23), Cultivar_2_Cohort_Year_Selection=$S$278,Cultivar_3_Cohort_Year_Selection=$S$278), ROUND(MAX(0,R$320 - 2),0),
IF(AND(OR(S$279=123, S$279=12, S$279=13, S$279=1), Cultivar_1_Cohort_Year_Selection=$S$278), ROUND(MAX(0,R$320 - 1),0),
IF(AND(OR(S$279=123, S$279=12, S$279=23, S$279=2), Cultivar_2_Cohort_Year_Selection=$S$278), ROUND(MAX(0,R$320 - 1),0),
IF(AND(OR(S$279=123, S$279=13, S$279=23, S$279=3), Cultivar_3_Cohort_Year_Selection=$S$278), ROUND(MAX(0,R$320 - 1),0),
ROUND(MAX(0,R$320),0)))))))),""),""),"")</f>
        <v/>
      </c>
      <c r="T343" s="95" t="str">
        <f>IF(ISNUMBER($B$321),
IF($C343&lt;&gt;"",
IF(AND(ISNUMBER(S$280), ISNUMBER(S$317)),
IF(AND(T$279=123, Cultivar_1_Cohort_Year_Selection=$T$278,Cultivar_2_Cohort_Year_Selection=$T$278,Cultivar_3_Cohort_Year_Selection=$T$278), ROUND(MAX(0,S$320 - 3),0),
IF(AND(OR(T$279=123, T$279=12), Cultivar_1_Cohort_Year_Selection=$T$278,Cultivar_2_Cohort_Year_Selection=$T$278), ROUND(MAX(0,S$320 - 2),0),
IF(AND(OR(T$279=123, T$279=13), Cultivar_1_Cohort_Year_Selection=$T$278,Cultivar_3_Cohort_Year_Selection=$T$278), ROUND(MAX(0,S$320 - 2),0),
IF(AND(OR(T$279=123, T$279=23), Cultivar_2_Cohort_Year_Selection=$T$278,Cultivar_3_Cohort_Year_Selection=$T$278), ROUND(MAX(0,S$320 - 2),0),
IF(AND(OR(T$279=123, T$279=12, T$279=13, T$279=1), Cultivar_1_Cohort_Year_Selection=$T$278), ROUND(MAX(0,S$320 - 1),0),
IF(AND(OR(T$279=123, T$279=12, T$279=23, T$279=2), Cultivar_2_Cohort_Year_Selection=$T$278), ROUND(MAX(0,S$320 - 1),0),
IF(AND(OR(T$279=123, T$279=13, T$279=23, T$279=3), Cultivar_3_Cohort_Year_Selection=$T$278), ROUND(MAX(0,S$320 - 1),0),
ROUND(MAX(0,S$320),0)))))))),""),""),"")</f>
        <v/>
      </c>
      <c r="U343" s="95" t="str">
        <f>IF(ISNUMBER($B$321),
IF($C343&lt;&gt;"",
IF(AND(ISNUMBER(T$280), ISNUMBER(T$317)),
IF(AND(U$279=123, Cultivar_1_Cohort_Year_Selection=$U$278,Cultivar_2_Cohort_Year_Selection=$U$278,Cultivar_3_Cohort_Year_Selection=$U$278), ROUND(MAX(0,T$320 - 3),0),
IF(AND(OR(U$279=123, U$279=12), Cultivar_1_Cohort_Year_Selection=$U$278,Cultivar_2_Cohort_Year_Selection=$U$278), ROUND(MAX(0,T$320 - 2),0),
IF(AND(OR(U$279=123, U$279=13), Cultivar_1_Cohort_Year_Selection=$U$278,Cultivar_3_Cohort_Year_Selection=$U$278), ROUND(MAX(0,T$320 - 2),0),
IF(AND(OR(U$279=123, U$279=23), Cultivar_2_Cohort_Year_Selection=$U$278,Cultivar_3_Cohort_Year_Selection=$U$278), ROUND(MAX(0,T$320 - 2),0),
IF(AND(OR(U$279=123, U$279=12, U$279=13, U$279=1), Cultivar_1_Cohort_Year_Selection=$U$278), ROUND(MAX(0,T$320 - 1),0),
IF(AND(OR(U$279=123, U$279=12, U$279=23, U$279=2), Cultivar_2_Cohort_Year_Selection=$U$278), ROUND(MAX(0,T$320 - 1),0),
IF(AND(OR(U$279=123, U$279=13, U$279=23, U$279=3), Cultivar_3_Cohort_Year_Selection=$U$278), ROUND(MAX(0,T$320 - 1),0),
ROUND(MAX(0,T$320),0)))))))),""),""),"")</f>
        <v/>
      </c>
      <c r="V343" s="95" t="str">
        <f>IF(ISNUMBER($B$321),
IF($C343&lt;&gt;"",
IF(AND(ISNUMBER(U$280), ISNUMBER(U$317)),
IF(AND(V$279=123, Cultivar_1_Cohort_Year_Selection=$V$278,Cultivar_2_Cohort_Year_Selection=$V$278,Cultivar_3_Cohort_Year_Selection=$V$278), ROUND(MAX(0,U$320 - 3),0),
IF(AND(OR(V$279=123, V$279=12), Cultivar_1_Cohort_Year_Selection=$V$278,Cultivar_2_Cohort_Year_Selection=$V$278), ROUND(MAX(0,U$320 - 2),0),
IF(AND(OR(V$279=123, V$279=13), Cultivar_1_Cohort_Year_Selection=$V$278,Cultivar_3_Cohort_Year_Selection=$V$278), ROUND(MAX(0,U$320 - 2),0),
IF(AND(OR(V$279=123, V$279=23), Cultivar_2_Cohort_Year_Selection=$V$278,Cultivar_3_Cohort_Year_Selection=$V$278), ROUND(MAX(0,U$320 - 2),0),
IF(AND(OR(V$279=123, V$279=12, V$279=13, V$279=1), Cultivar_1_Cohort_Year_Selection=$V$278), ROUND(MAX(0,U$320 - 1),0),
IF(AND(OR(V$279=123, V$279=12, V$279=23, V$279=2), Cultivar_2_Cohort_Year_Selection=$V$278), ROUND(MAX(0,U$320 - 1),0),
IF(AND(OR(V$279=123, V$279=13, V$279=23, V$279=3), Cultivar_3_Cohort_Year_Selection=$V$278), ROUND(MAX(0,U$320 - 1),0),
ROUND(MAX(0,U$320),0)))))))),""),""),"")</f>
        <v/>
      </c>
      <c r="W343" s="95" t="str">
        <f>IF(ISNUMBER($B$321),
IF($C343&lt;&gt;"",
IF(AND(ISNUMBER(V$280), ISNUMBER(V$317)),
IF(AND(W$279=123, Cultivar_1_Cohort_Year_Selection=$W$278,Cultivar_2_Cohort_Year_Selection=$W$278,Cultivar_3_Cohort_Year_Selection=$W$278), ROUND(MAX(0,V$320 - 3),0),
IF(AND(OR(W$279=123, W$279=12), Cultivar_1_Cohort_Year_Selection=$W$278,Cultivar_2_Cohort_Year_Selection=$W$278), ROUND(MAX(0,V$320 - 2),0),
IF(AND(OR(W$279=123, W$279=13), Cultivar_1_Cohort_Year_Selection=$W$278,Cultivar_3_Cohort_Year_Selection=$W$278), ROUND(MAX(0,V$320 - 2),0),
IF(AND(OR(W$279=123, W$279=23), Cultivar_2_Cohort_Year_Selection=$W$278,Cultivar_3_Cohort_Year_Selection=$W$278), ROUND(MAX(0,V$320 - 2),0),
IF(AND(OR(W$279=123, W$279=12, W$279=13, W$279=1), Cultivar_1_Cohort_Year_Selection=$W$278), ROUND(MAX(0,V$320 - 1),0),
IF(AND(OR(W$279=123, W$279=12, W$279=23, W$279=2), Cultivar_2_Cohort_Year_Selection=$W$278), ROUND(MAX(0,V$320 - 1),0),
IF(AND(OR(W$279=123, W$279=13, W$279=23, W$279=3), Cultivar_3_Cohort_Year_Selection=$W$278), ROUND(MAX(0,V$320 - 1),0),
ROUND(MAX(0,V$320),0)))))))),""),""),"")</f>
        <v/>
      </c>
      <c r="X343" s="95" t="str">
        <f>IF(ISNUMBER($B$321),
IF($C343&lt;&gt;"",
IF(AND(ISNUMBER(W$280), ISNUMBER(W$317)),
IF(AND(X$279=123, Cultivar_1_Cohort_Year_Selection=$X$278,Cultivar_2_Cohort_Year_Selection=$X$278,Cultivar_3_Cohort_Year_Selection=$X$278), ROUND(MAX(0,W$320 - 3),0),
IF(AND(OR(X$279=123, X$279=12), Cultivar_1_Cohort_Year_Selection=$X$278,Cultivar_2_Cohort_Year_Selection=$X$278), ROUND(MAX(0,W$320 - 2),0),
IF(AND(OR(X$279=123, X$279=13), Cultivar_1_Cohort_Year_Selection=$X$278,Cultivar_3_Cohort_Year_Selection=$X$278), ROUND(MAX(0,W$320 - 2),0),
IF(AND(OR(X$279=123, X$279=23), Cultivar_2_Cohort_Year_Selection=$X$278,Cultivar_3_Cohort_Year_Selection=$X$278), ROUND(MAX(0,W$320 - 2),0),
IF(AND(OR(X$279=123, X$279=12, X$279=13, X$279=1), Cultivar_1_Cohort_Year_Selection=$X$278), ROUND(MAX(0,W$320 - 1),0),
IF(AND(OR(X$279=123, X$279=12, X$279=23, X$279=2), Cultivar_2_Cohort_Year_Selection=$X$278), ROUND(MAX(0,W$320 - 1),0),
IF(AND(OR(X$279=123, X$279=13, X$279=23, X$279=3), Cultivar_3_Cohort_Year_Selection=$X$278), ROUND(MAX(0,W$320 - 1),0),
ROUND(MAX(0,W$320),0)))))))),""),""),"")</f>
        <v/>
      </c>
      <c r="Y343" s="95" t="str">
        <f>IF(ISNUMBER($B$321),
IF($C343&lt;&gt;"",
IF(AND(ISNUMBER(X$280), ISNUMBER(X$317)),
IF(AND(Y$279=123, Cultivar_1_Cohort_Year_Selection=$Y$278,Cultivar_2_Cohort_Year_Selection=$Y$278,Cultivar_3_Cohort_Year_Selection=$Y$278), ROUND(MAX(0,X$320 - 3),0),
IF(AND(OR(Y$279=123, Y$279=12), Cultivar_1_Cohort_Year_Selection=$Y$278,Cultivar_2_Cohort_Year_Selection=$Y$278), ROUND(MAX(0,X$320 - 2),0),
IF(AND(OR(Y$279=123, Y$279=13), Cultivar_1_Cohort_Year_Selection=$Y$278,Cultivar_3_Cohort_Year_Selection=$Y$278), ROUND(MAX(0,X$320 - 2),0),
IF(AND(OR(Y$279=123, Y$279=23), Cultivar_2_Cohort_Year_Selection=$Y$278,Cultivar_3_Cohort_Year_Selection=$Y$278), ROUND(MAX(0,X$320 - 2),0),
IF(AND(OR(Y$279=123, Y$279=12, Y$279=13, Y$279=1), Cultivar_1_Cohort_Year_Selection=$Y$278), ROUND(MAX(0,X$320 - 1),0),
IF(AND(OR(Y$279=123, Y$279=12, Y$279=23, Y$279=2), Cultivar_2_Cohort_Year_Selection=$Y$278), ROUND(MAX(0,X$320 - 1),0),
IF(AND(OR(Y$279=123, Y$279=13, Y$279=23, Y$279=3), Cultivar_3_Cohort_Year_Selection=$Y$278), ROUND(MAX(0,X$320 - 1),0),
ROUND(MAX(0,X$320),0)))))))),""),""),"")</f>
        <v/>
      </c>
      <c r="Z343" s="95" t="str">
        <f>IF(ISNUMBER($B$321),
IF($C343&lt;&gt;"",
IF(AND(ISNUMBER(Y$280), ISNUMBER(Y$317)),
IF(AND(Z$279=123, Cultivar_1_Cohort_Year_Selection=$Z$278,Cultivar_2_Cohort_Year_Selection=$Z$278,Cultivar_3_Cohort_Year_Selection=$Z$278), ROUND(MAX(0,Y$320 - 3),0),
IF(AND(OR(Z$279=123, Z$279=12), Cultivar_1_Cohort_Year_Selection=$Z$278,Cultivar_2_Cohort_Year_Selection=$Z$278), ROUND(MAX(0,Y$320 - 2),0),
IF(AND(OR(Z$279=123, Z$279=13), Cultivar_1_Cohort_Year_Selection=$Z$278,Cultivar_3_Cohort_Year_Selection=$Z$278), ROUND(MAX(0,Y$320 - 2),0),
IF(AND(OR(Z$279=123, Z$279=23), Cultivar_2_Cohort_Year_Selection=$Z$278,Cultivar_3_Cohort_Year_Selection=$Z$278), ROUND(MAX(0,Y$320 - 2),0),
IF(AND(OR(Z$279=123, Z$279=12, Z$279=13, Z$279=1), Cultivar_1_Cohort_Year_Selection=$Z$278), ROUND(MAX(0,Y$320 - 1),0),
IF(AND(OR(Z$279=123, Z$279=12, Z$279=23, Z$279=2), Cultivar_2_Cohort_Year_Selection=$Z$278), ROUND(MAX(0,Y$320 - 1),0),
IF(AND(OR(Z$279=123, Z$279=13, Z$279=23, Z$279=3), Cultivar_3_Cohort_Year_Selection=$Z$278), ROUND(MAX(0,Y$320 - 1),0),
ROUND(MAX(0,Y$320),0)))))))),""),""),"")</f>
        <v/>
      </c>
      <c r="AA343" s="95" t="str">
        <f>IF(ISNUMBER($B$321),
IF($C343&lt;&gt;"",
IF(AND(ISNUMBER(Z$280), ISNUMBER(Z$317)),
IF(AND(AA$279=123, Cultivar_1_Cohort_Year_Selection=$AA$278,Cultivar_2_Cohort_Year_Selection=$AA$278,Cultivar_3_Cohort_Year_Selection=$AA$278), ROUND(MAX(0,Z$320 - 3),0),
IF(AND(OR(AA$279=123, AA$279=12), Cultivar_1_Cohort_Year_Selection=$AA$278,Cultivar_2_Cohort_Year_Selection=$AA$278), ROUND(MAX(0,Z$320 - 2),0),
IF(AND(OR(AA$279=123, AA$279=13), Cultivar_1_Cohort_Year_Selection=$AA$278,Cultivar_3_Cohort_Year_Selection=$AA$278), ROUND(MAX(0,Z$320 - 2),0),
IF(AND(OR(AA$279=123, AA$279=23), Cultivar_2_Cohort_Year_Selection=$AA$278,Cultivar_3_Cohort_Year_Selection=$AA$278), ROUND(MAX(0,Z$320 - 2),0),
IF(AND(OR(AA$279=123, AA$279=12, AA$279=13, AA$279=1), Cultivar_1_Cohort_Year_Selection=$AA$278), ROUND(MAX(0,Z$320 - 1),0),
IF(AND(OR(AA$279=123, AA$279=12, AA$279=23, AA$279=2), Cultivar_2_Cohort_Year_Selection=$AA$278), ROUND(MAX(0,Z$320 - 1),0),
IF(AND(OR(AA$279=123, AA$279=13, AA$279=23, AA$279=3), Cultivar_3_Cohort_Year_Selection=$AA$278), ROUND(MAX(0,Z$320 - 1),0),
ROUND(MAX(0,Z$320),0)))))))),""),""),"")</f>
        <v/>
      </c>
      <c r="AB343" s="95" t="str">
        <f>IF(ISNUMBER($B$321),
IF($C343&lt;&gt;"",
IF(AND(ISNUMBER(AA$280), ISNUMBER(AA$317)),
IF(AND(AB$279=123, Cultivar_1_Cohort_Year_Selection=$AB$278,Cultivar_2_Cohort_Year_Selection=$AB$278,Cultivar_3_Cohort_Year_Selection=$AB$278), ROUND(MAX(0,AA$320 - 3),0),
IF(AND(OR(AB$279=123, AB$279=12), Cultivar_1_Cohort_Year_Selection=$AB$278,Cultivar_2_Cohort_Year_Selection=$AB$278), ROUND(MAX(0,AA$320 - 2),0),
IF(AND(OR(AB$279=123, AB$279=13), Cultivar_1_Cohort_Year_Selection=$AB$278,Cultivar_3_Cohort_Year_Selection=$AB$278), ROUND(MAX(0,AA$320 - 2),0),
IF(AND(OR(AB$279=123, AB$279=23), Cultivar_2_Cohort_Year_Selection=$AB$278,Cultivar_3_Cohort_Year_Selection=$AB$278), ROUND(MAX(0,AA$320 - 2),0),
IF(AND(OR(AB$279=123, AB$279=12, AB$279=13, AB$279=1), Cultivar_1_Cohort_Year_Selection=$AB$278), ROUND(MAX(0,AA$320 - 1),0),
IF(AND(OR(AB$279=123, AB$279=12, AB$279=23, AB$279=2), Cultivar_2_Cohort_Year_Selection=$AB$278), ROUND(MAX(0,AA$320 - 1),0),
IF(AND(OR(AB$279=123, AB$279=13, AB$279=23, AB$279=3), Cultivar_3_Cohort_Year_Selection=$AB$278), ROUND(MAX(0,AA$320 - 1),0),
ROUND(MAX(0,AA$320),0)))))))),""),""),"")</f>
        <v/>
      </c>
      <c r="AC343" s="95" t="str">
        <f>IF(ISNUMBER($B$321),
IF($C343&lt;&gt;"",
IF(AND(ISNUMBER(AB$280), ISNUMBER(AB$317)),
IF(AND(AC$279=123, Cultivar_1_Cohort_Year_Selection=$AC$278,Cultivar_2_Cohort_Year_Selection=$AC$278,Cultivar_3_Cohort_Year_Selection=$AC$278), ROUND(MAX(0,AB$320 - 3),0),
IF(AND(OR(AC$279=123, AC$279=12), Cultivar_1_Cohort_Year_Selection=$AC$278,Cultivar_2_Cohort_Year_Selection=$AC$278), ROUND(MAX(0,AB$320 - 2),0),
IF(AND(OR(AC$279=123, AC$279=13), Cultivar_1_Cohort_Year_Selection=$AC$278,Cultivar_3_Cohort_Year_Selection=$AC$278), ROUND(MAX(0,AB$320 - 2),0),
IF(AND(OR(AC$279=123, AC$279=23), Cultivar_2_Cohort_Year_Selection=$AC$278,Cultivar_3_Cohort_Year_Selection=$AC$278), ROUND(MAX(0,AB$320 - 2),0),
IF(AND(OR(AC$279=123, AC$279=12, AC$279=13, AC$279=1), Cultivar_1_Cohort_Year_Selection=$AC$278), ROUND(MAX(0,AB$320 - 1),0),
IF(AND(OR(AC$279=123, AC$279=12, AC$279=23, AC$279=2), Cultivar_2_Cohort_Year_Selection=$AC$278), ROUND(MAX(0,AB$320 - 1),0),
IF(AND(OR(AC$279=123, AC$279=13, AC$279=23, AC$279=3), Cultivar_3_Cohort_Year_Selection=$AC$278), ROUND(MAX(0,AB$320 - 1),0),
ROUND(MAX(0,AB$320),0)))))))),""),""),"")</f>
        <v/>
      </c>
      <c r="AD343" s="95" t="str">
        <f>IF(ISNUMBER($B$321),
IF($C343&lt;&gt;"",
IF(AND(ISNUMBER(AC$280), ISNUMBER(AC$317)),
IF(AND(AD$279=123, Cultivar_1_Cohort_Year_Selection=$AD$278,Cultivar_2_Cohort_Year_Selection=$AD$278,Cultivar_3_Cohort_Year_Selection=$AD$278), ROUND(MAX(0,AC$320 - 3),0),
IF(AND(OR(AD$279=123, AD$279=12), Cultivar_1_Cohort_Year_Selection=$AD$278,Cultivar_2_Cohort_Year_Selection=$AD$278), ROUND(MAX(0,AC$320 - 2),0),
IF(AND(OR(AD$279=123, AD$279=13), Cultivar_1_Cohort_Year_Selection=$AD$278,Cultivar_3_Cohort_Year_Selection=$AD$278), ROUND(MAX(0,AC$320 - 2),0),
IF(AND(OR(AD$279=123, AD$279=23), Cultivar_2_Cohort_Year_Selection=$AD$278,Cultivar_3_Cohort_Year_Selection=$AD$278), ROUND(MAX(0,AC$320 - 2),0),
IF(AND(OR(AD$279=123, AD$279=12, AD$279=13, AD$279=1), Cultivar_1_Cohort_Year_Selection=$AD$278), ROUND(MAX(0,AC$320 - 1),0),
IF(AND(OR(AD$279=123, AD$279=12, AD$279=23, AD$279=2), Cultivar_2_Cohort_Year_Selection=$AD$278), ROUND(MAX(0,AC$320 - 1),0),
IF(AND(OR(AD$279=123, AD$279=13, AD$279=23, AD$279=3), Cultivar_3_Cohort_Year_Selection=$AD$278), ROUND(MAX(0,AC$320 - 1),0),
ROUND(MAX(0,AC$320),0)))))))),""),""),"")</f>
        <v/>
      </c>
      <c r="AE343" s="95" t="str">
        <f>IF(ISNUMBER($B$321),
IF($C343&lt;&gt;"",
IF(AND(ISNUMBER(AD$280), ISNUMBER(AD$317)),
IF(AND(AE$279=123, Cultivar_1_Cohort_Year_Selection=$AE$278,Cultivar_2_Cohort_Year_Selection=$AE$278,Cultivar_3_Cohort_Year_Selection=$AE$278), ROUND(MAX(0,AD$320 - 3),0),
IF(AND(OR(AE$279=123, AE$279=12), Cultivar_1_Cohort_Year_Selection=$AE$278,Cultivar_2_Cohort_Year_Selection=$AE$278), ROUND(MAX(0,AD$320 - 2),0),
IF(AND(OR(AE$279=123, AE$279=13), Cultivar_1_Cohort_Year_Selection=$AE$278,Cultivar_3_Cohort_Year_Selection=$AE$278), ROUND(MAX(0,AD$320 - 2),0),
IF(AND(OR(AE$279=123, AE$279=23), Cultivar_2_Cohort_Year_Selection=$AE$278,Cultivar_3_Cohort_Year_Selection=$AE$278), ROUND(MAX(0,AD$320 - 2),0),
IF(AND(OR(AE$279=123, AE$279=12, AE$279=13, AE$279=1), Cultivar_1_Cohort_Year_Selection=$AE$278), ROUND(MAX(0,AD$320 - 1),0),
IF(AND(OR(AE$279=123, AE$279=12, AE$279=23, AE$279=2), Cultivar_2_Cohort_Year_Selection=$AE$278), ROUND(MAX(0,AD$320 - 1),0),
IF(AND(OR(AE$279=123, AE$279=13, AE$279=23, AE$279=3), Cultivar_3_Cohort_Year_Selection=$AE$278), ROUND(MAX(0,AD$320 - 1),0),
ROUND(MAX(0,AD$320),0)))))))),""),""),"")</f>
        <v/>
      </c>
      <c r="AF343" s="95" t="str">
        <f>IF(ISNUMBER($B$321),
IF($C343&lt;&gt;"",
IF(AND(ISNUMBER(AE$280), ISNUMBER(AE$317)),
IF(AND(AF$279=123, Cultivar_1_Cohort_Year_Selection=$AF$278,Cultivar_2_Cohort_Year_Selection=$AF$278,Cultivar_3_Cohort_Year_Selection=$AF$278), ROUND(MAX(0,AE$320 - 3),0),
IF(AND(OR(AF$279=123, AF$279=12), Cultivar_1_Cohort_Year_Selection=$AF$278,Cultivar_2_Cohort_Year_Selection=$AF$278), ROUND(MAX(0,AE$320 - 2),0),
IF(AND(OR(AF$279=123, AF$279=13), Cultivar_1_Cohort_Year_Selection=$AF$278,Cultivar_3_Cohort_Year_Selection=$AF$278), ROUND(MAX(0,AE$320 - 2),0),
IF(AND(OR(AF$279=123, AF$279=23), Cultivar_2_Cohort_Year_Selection=$AF$278,Cultivar_3_Cohort_Year_Selection=$AF$278), ROUND(MAX(0,AE$320 - 2),0),
IF(AND(OR(AF$279=123, AF$279=12, AF$279=13, AF$279=1), Cultivar_1_Cohort_Year_Selection=$AF$278), ROUND(MAX(0,AE$320 - 1),0),
IF(AND(OR(AF$279=123, AF$279=12, AF$279=23, AF$279=2), Cultivar_2_Cohort_Year_Selection=$AF$278), ROUND(MAX(0,AE$320 - 1),0),
IF(AND(OR(AF$279=123, AF$279=13, AF$279=23, AF$279=3), Cultivar_3_Cohort_Year_Selection=$AF$278), ROUND(MAX(0,AE$320 - 1),0),
ROUND(MAX(0,AE$320),0)))))))),""),""),"")</f>
        <v/>
      </c>
      <c r="AG343" s="95" t="str">
        <f>IF(ISNUMBER($B$321),
IF($C343&lt;&gt;"",
IF(AND(ISNUMBER(AF$280), ISNUMBER(AF$317)),
IF(AND(AG$279=123, Cultivar_1_Cohort_Year_Selection=$AG$278,Cultivar_2_Cohort_Year_Selection=$AG$278,Cultivar_3_Cohort_Year_Selection=$AG$278), ROUND(MAX(0,AF$320 - 3),0),
IF(AND(OR(AG$279=123, AG$279=12), Cultivar_1_Cohort_Year_Selection=$AG$278,Cultivar_2_Cohort_Year_Selection=$AG$278), ROUND(MAX(0,AF$320 - 2),0),
IF(AND(OR(AG$279=123, AG$279=13), Cultivar_1_Cohort_Year_Selection=$AG$278,Cultivar_3_Cohort_Year_Selection=$AG$278), ROUND(MAX(0,AF$320 - 2),0),
IF(AND(OR(AG$279=123, AG$279=23), Cultivar_2_Cohort_Year_Selection=$AG$278,Cultivar_3_Cohort_Year_Selection=$AG$278), ROUND(MAX(0,AF$320 - 2),0),
IF(AND(OR(AG$279=123, AG$279=12, AG$279=13, AG$279=1), Cultivar_1_Cohort_Year_Selection=$AG$278), ROUND(MAX(0,AF$320 - 1),0),
IF(AND(OR(AG$279=123, AG$279=12, AG$279=23, AG$279=2), Cultivar_2_Cohort_Year_Selection=$AG$278), ROUND(MAX(0,AF$320 - 1),0),
IF(AND(OR(AG$279=123, AG$279=13, AG$279=23, AG$279=3), Cultivar_3_Cohort_Year_Selection=$AG$278), ROUND(MAX(0,AF$320 - 1),0),
ROUND(MAX(0,AF$320),0)))))))),""),""),"")</f>
        <v/>
      </c>
      <c r="AH343" s="95" t="str">
        <f>IF(ISNUMBER($B$321),
IF($C343&lt;&gt;"",
IF(AND(ISNUMBER(AG$280), ISNUMBER(AG$317)),
IF(AND(AH$279=123, Cultivar_1_Cohort_Year_Selection=$AH$278,Cultivar_2_Cohort_Year_Selection=$AH$278,Cultivar_3_Cohort_Year_Selection=$AH$278), ROUND(MAX(0,AG$320 - 3),0),
IF(AND(OR(AH$279=123, AH$279=12), Cultivar_1_Cohort_Year_Selection=$AH$278,Cultivar_2_Cohort_Year_Selection=$AH$278), ROUND(MAX(0,AG$320 - 2),0),
IF(AND(OR(AH$279=123, AH$279=13), Cultivar_1_Cohort_Year_Selection=$AH$278,Cultivar_3_Cohort_Year_Selection=$AH$278), ROUND(MAX(0,AG$320 - 2),0),
IF(AND(OR(AH$279=123, AH$279=23), Cultivar_2_Cohort_Year_Selection=$AH$278,Cultivar_3_Cohort_Year_Selection=$AH$278), ROUND(MAX(0,AG$320 - 2),0),
IF(AND(OR(AH$279=123, AH$279=12, AH$279=13, AH$279=1), Cultivar_1_Cohort_Year_Selection=$AH$278), ROUND(MAX(0,AG$320 - 1),0),
IF(AND(OR(AH$279=123, AH$279=12, AH$279=23, AH$279=2), Cultivar_2_Cohort_Year_Selection=$AH$278), ROUND(MAX(0,AG$320 - 1),0),
IF(AND(OR(AH$279=123, AH$279=13, AH$279=23, AH$279=3), Cultivar_3_Cohort_Year_Selection=$AH$278), ROUND(MAX(0,AG$320 - 1),0),
ROUND(MAX(0,AG$320),0)))))))),""),""),"")</f>
        <v/>
      </c>
      <c r="AI343" s="95" t="str">
        <f>IF(ISNUMBER($B$321),
IF($C343&lt;&gt;"",
IF(AND(ISNUMBER(AH$280), ISNUMBER(AH$317)),
IF(AND(AI$279=123, Cultivar_1_Cohort_Year_Selection=$AI$278,Cultivar_2_Cohort_Year_Selection=$AI$278,Cultivar_3_Cohort_Year_Selection=$AI$278), ROUND(MAX(0,AH$320 - 3),0),
IF(AND(OR(AI$279=123, AI$279=12), Cultivar_1_Cohort_Year_Selection=$AI$278,Cultivar_2_Cohort_Year_Selection=$AI$278), ROUND(MAX(0,AH$320 - 2),0),
IF(AND(OR(AI$279=123, AI$279=13), Cultivar_1_Cohort_Year_Selection=$AI$278,Cultivar_3_Cohort_Year_Selection=$AI$278), ROUND(MAX(0,AH$320 - 2),0),
IF(AND(OR(AI$279=123, AI$279=23), Cultivar_2_Cohort_Year_Selection=$AI$278,Cultivar_3_Cohort_Year_Selection=$AI$278), ROUND(MAX(0,AH$320 - 2),0),
IF(AND(OR(AI$279=123, AI$279=12, AI$279=13, AI$279=1), Cultivar_1_Cohort_Year_Selection=$AI$278), ROUND(MAX(0,AH$320 - 1),0),
IF(AND(OR(AI$279=123, AI$279=12, AI$279=23, AI$279=2), Cultivar_2_Cohort_Year_Selection=$AI$278), ROUND(MAX(0,AH$320 - 1),0),
IF(AND(OR(AI$279=123, AI$279=13, AI$279=23, AI$279=3), Cultivar_3_Cohort_Year_Selection=$AI$278), ROUND(MAX(0,AH$320 - 1),0),
ROUND(MAX(0,AH$320),0)))))))),""),""),"")</f>
        <v/>
      </c>
      <c r="AJ343" s="95" t="str">
        <f>IF(ISNUMBER($B$321),
IF($C343&lt;&gt;"",
IF(AND(ISNUMBER(AI$280), ISNUMBER(AI$317)),
IF(AND(AJ$279=123, Cultivar_1_Cohort_Year_Selection=$AJ$278,Cultivar_2_Cohort_Year_Selection=$AJ$278,Cultivar_3_Cohort_Year_Selection=$AJ$278), ROUND(MAX(0,AI$320 - 3),0),
IF(AND(OR(AJ$279=123, AJ$279=12), Cultivar_1_Cohort_Year_Selection=$AJ$278,Cultivar_2_Cohort_Year_Selection=$AJ$278), ROUND(MAX(0,AI$320 - 2),0),
IF(AND(OR(AJ$279=123, AJ$279=13), Cultivar_1_Cohort_Year_Selection=$AJ$278,Cultivar_3_Cohort_Year_Selection=$AJ$278), ROUND(MAX(0,AI$320 - 2),0),
IF(AND(OR(AJ$279=123, AJ$279=23), Cultivar_2_Cohort_Year_Selection=$AJ$278,Cultivar_3_Cohort_Year_Selection=$AJ$278), ROUND(MAX(0,AI$320 - 2),0),
IF(AND(OR(AJ$279=123, AJ$279=12, AJ$279=13, AJ$279=1), Cultivar_1_Cohort_Year_Selection=$AJ$278), ROUND(MAX(0,AI$320 - 1),0),
IF(AND(OR(AJ$279=123, AJ$279=12, AJ$279=23, AJ$279=2), Cultivar_2_Cohort_Year_Selection=$AJ$278), ROUND(MAX(0,AI$320 - 1),0),
IF(AND(OR(AJ$279=123, AJ$279=13, AJ$279=23, AJ$279=3), Cultivar_3_Cohort_Year_Selection=$AJ$278), ROUND(MAX(0,AI$320 - 1),0),
ROUND(MAX(0,AI$320),0)))))))),""),""),"")</f>
        <v/>
      </c>
      <c r="AK343" s="95" t="str">
        <f>IF(ISNUMBER($B$321),
IF($C343&lt;&gt;"",
IF(AND(ISNUMBER(AJ$280), ISNUMBER(AJ$317)),
IF(AND(AK$279=123, Cultivar_1_Cohort_Year_Selection=$AK$278,Cultivar_2_Cohort_Year_Selection=$AK$278,Cultivar_3_Cohort_Year_Selection=$AK$278), ROUND(MAX(0,AJ$320 - 3),0),
IF(AND(OR(AK$279=123, AK$279=12), Cultivar_1_Cohort_Year_Selection=$AK$278,Cultivar_2_Cohort_Year_Selection=$AK$278), ROUND(MAX(0,AJ$320 - 2),0),
IF(AND(OR(AK$279=123, AK$279=13), Cultivar_1_Cohort_Year_Selection=$AK$278,Cultivar_3_Cohort_Year_Selection=$AK$278), ROUND(MAX(0,AJ$320 - 2),0),
IF(AND(OR(AK$279=123, AK$279=23), Cultivar_2_Cohort_Year_Selection=$AK$278,Cultivar_3_Cohort_Year_Selection=$AK$278), ROUND(MAX(0,AJ$320 - 2),0),
IF(AND(OR(AK$279=123, AK$279=12, AK$279=13, AK$279=1), Cultivar_1_Cohort_Year_Selection=$AK$278), ROUND(MAX(0,AJ$320 - 1),0),
IF(AND(OR(AK$279=123, AK$279=12, AK$279=23, AK$279=2), Cultivar_2_Cohort_Year_Selection=$AK$278), ROUND(MAX(0,AJ$320 - 1),0),
IF(AND(OR(AK$279=123, AK$279=13, AK$279=23, AK$279=3), Cultivar_3_Cohort_Year_Selection=$AK$278), ROUND(MAX(0,AJ$320 - 1),0),
ROUND(MAX(0,AJ$320),0)))))))),""),""),"")</f>
        <v/>
      </c>
      <c r="AL343" s="95" t="str">
        <f>IF(ISNUMBER($B$321),
IF($C343&lt;&gt;"",
IF(AND(ISNUMBER(AK$280), ISNUMBER(AK$317)),
IF(AND(AL$279=123, Cultivar_1_Cohort_Year_Selection=$AL$278,Cultivar_2_Cohort_Year_Selection=$AL$278,Cultivar_3_Cohort_Year_Selection=$AL$278), ROUND(MAX(0,AK$320 - 3),0),
IF(AND(OR(AL$279=123, AL$279=12), Cultivar_1_Cohort_Year_Selection=$AL$278,Cultivar_2_Cohort_Year_Selection=$AL$278), ROUND(MAX(0,AK$320 - 2),0),
IF(AND(OR(AL$279=123, AL$279=13), Cultivar_1_Cohort_Year_Selection=$AL$278,Cultivar_3_Cohort_Year_Selection=$AL$278), ROUND(MAX(0,AK$320 - 2),0),
IF(AND(OR(AL$279=123, AL$279=23), Cultivar_2_Cohort_Year_Selection=$AL$278,Cultivar_3_Cohort_Year_Selection=$AL$278), ROUND(MAX(0,AK$320 - 2),0),
IF(AND(OR(AL$279=123, AL$279=12, AL$279=13, AL$279=1), Cultivar_1_Cohort_Year_Selection=$AL$278), ROUND(MAX(0,AK$320 - 1),0),
IF(AND(OR(AL$279=123, AL$279=12, AL$279=23, AL$279=2), Cultivar_2_Cohort_Year_Selection=$AL$278), ROUND(MAX(0,AK$320 - 1),0),
IF(AND(OR(AL$279=123, AL$279=13, AL$279=23, AL$279=3), Cultivar_3_Cohort_Year_Selection=$AL$278), ROUND(MAX(0,AK$320 - 1),0),
ROUND(MAX(0,AK$320),0)))))))),""),""),"")</f>
        <v/>
      </c>
      <c r="AM343" s="95" t="str">
        <f>IF(ISNUMBER($B$321),
IF($C343&lt;&gt;"",
IF(AND(ISNUMBER(AL$280), ISNUMBER(AL$317)),
IF(AND(AM$279=123, Cultivar_1_Cohort_Year_Selection=$AM$278,Cultivar_2_Cohort_Year_Selection=$AM$278,Cultivar_3_Cohort_Year_Selection=$AM$278), ROUND(MAX(0,AL$320 - 3),0),
IF(AND(OR(AM$279=123, AM$279=12), Cultivar_1_Cohort_Year_Selection=$AM$278,Cultivar_2_Cohort_Year_Selection=$AM$278), ROUND(MAX(0,AL$320 - 2),0),
IF(AND(OR(AM$279=123, AM$279=13), Cultivar_1_Cohort_Year_Selection=$AM$278,Cultivar_3_Cohort_Year_Selection=$AM$278), ROUND(MAX(0,AL$320 - 2),0),
IF(AND(OR(AM$279=123, AM$279=23), Cultivar_2_Cohort_Year_Selection=$AM$278,Cultivar_3_Cohort_Year_Selection=$AM$278), ROUND(MAX(0,AL$320 - 2),0),
IF(AND(OR(AM$279=123, AM$279=12, AM$279=13, AM$279=1), Cultivar_1_Cohort_Year_Selection=$AM$278), ROUND(MAX(0,AL$320 - 1),0),
IF(AND(OR(AM$279=123, AM$279=12, AM$279=23, AM$279=2), Cultivar_2_Cohort_Year_Selection=$AM$278), ROUND(MAX(0,AL$320 - 1),0),
IF(AND(OR(AM$279=123, AM$279=13, AM$279=23, AM$279=3), Cultivar_3_Cohort_Year_Selection=$AM$278), ROUND(MAX(0,AL$320 - 1),0),
ROUND(MAX(0,AL$320),0)))))))),""),""),"")</f>
        <v/>
      </c>
      <c r="AN343" s="95" t="str">
        <f>IF(ISNUMBER($B$321),
IF($C343&lt;&gt;"",
IF(AND(ISNUMBER(AM$280), ISNUMBER(AM$317)),
IF(AND(AN$279=123, Cultivar_1_Cohort_Year_Selection=$AN$278,Cultivar_2_Cohort_Year_Selection=$AN$278,Cultivar_3_Cohort_Year_Selection=$AN$278), ROUND(MAX(0,AM$320 - 3),0),
IF(AND(OR(AN$279=123, AN$279=12), Cultivar_1_Cohort_Year_Selection=$AN$278,Cultivar_2_Cohort_Year_Selection=$AN$278), ROUND(MAX(0,AM$320 - 2),0),
IF(AND(OR(AN$279=123, AN$279=13), Cultivar_1_Cohort_Year_Selection=$AN$278,Cultivar_3_Cohort_Year_Selection=$AN$278), ROUND(MAX(0,AM$320 - 2),0),
IF(AND(OR(AN$279=123, AN$279=23), Cultivar_2_Cohort_Year_Selection=$AN$278,Cultivar_3_Cohort_Year_Selection=$AN$278), ROUND(MAX(0,AM$320 - 2),0),
IF(AND(OR(AN$279=123, AN$279=12, AN$279=13, AN$279=1), Cultivar_1_Cohort_Year_Selection=$AN$278), ROUND(MAX(0,AM$320 - 1),0),
IF(AND(OR(AN$279=123, AN$279=12, AN$279=23, AN$279=2), Cultivar_2_Cohort_Year_Selection=$AN$278), ROUND(MAX(0,AM$320 - 1),0),
IF(AND(OR(AN$279=123, AN$279=13, AN$279=23, AN$279=3), Cultivar_3_Cohort_Year_Selection=$AN$278), ROUND(MAX(0,AM$320 - 1),0),
ROUND(MAX(0,AM$320),0)))))))),""),""),"")</f>
        <v/>
      </c>
      <c r="AO343" s="95" t="str">
        <f>IF(ISNUMBER($B$321),
IF($C343&lt;&gt;"",
IF(AND(ISNUMBER(AN$280), ISNUMBER(AN$317)),
IF(AND(AO$279=123, Cultivar_1_Cohort_Year_Selection=$AO$278,Cultivar_2_Cohort_Year_Selection=$AO$278,Cultivar_3_Cohort_Year_Selection=$AO$278), ROUND(MAX(0,AN$320 - 3),0),
IF(AND(OR(AO$279=123, AO$279=12), Cultivar_1_Cohort_Year_Selection=$AO$278,Cultivar_2_Cohort_Year_Selection=$AO$278), ROUND(MAX(0,AN$320 - 2),0),
IF(AND(OR(AO$279=123, AO$279=13), Cultivar_1_Cohort_Year_Selection=$AO$278,Cultivar_3_Cohort_Year_Selection=$AO$278), ROUND(MAX(0,AN$320 - 2),0),
IF(AND(OR(AO$279=123, AO$279=23), Cultivar_2_Cohort_Year_Selection=$AO$278,Cultivar_3_Cohort_Year_Selection=$AO$278), ROUND(MAX(0,AN$320 - 2),0),
IF(AND(OR(AO$279=123, AO$279=12, AO$279=13, AO$279=1), Cultivar_1_Cohort_Year_Selection=$AO$278), ROUND(MAX(0,AN$320 - 1),0),
IF(AND(OR(AO$279=123, AO$279=12, AO$279=23, AO$279=2), Cultivar_2_Cohort_Year_Selection=$AO$278), ROUND(MAX(0,AN$320 - 1),0),
IF(AND(OR(AO$279=123, AO$279=13, AO$279=23, AO$279=3), Cultivar_3_Cohort_Year_Selection=$AO$278), ROUND(MAX(0,AN$320 - 1),0),
ROUND(MAX(0,AN$320),0)))))))),""),""),"")</f>
        <v/>
      </c>
      <c r="AP343" s="95" t="str">
        <f>IF(ISNUMBER($B$321),
IF($C343&lt;&gt;"",
IF(AND(ISNUMBER(AO$280), ISNUMBER(AO$317)),
IF(AND(AP$279=123, Cultivar_1_Cohort_Year_Selection=$AP$278,Cultivar_2_Cohort_Year_Selection=$AP$278,Cultivar_3_Cohort_Year_Selection=$AP$278), ROUND(MAX(0,AO$320 - 3),0),
IF(AND(OR(AP$279=123, AP$279=12), Cultivar_1_Cohort_Year_Selection=$AP$278,Cultivar_2_Cohort_Year_Selection=$AP$278), ROUND(MAX(0,AO$320 - 2),0),
IF(AND(OR(AP$279=123, AP$279=13), Cultivar_1_Cohort_Year_Selection=$AP$278,Cultivar_3_Cohort_Year_Selection=$AP$278), ROUND(MAX(0,AO$320 - 2),0),
IF(AND(OR(AP$279=123, AP$279=23), Cultivar_2_Cohort_Year_Selection=$AP$278,Cultivar_3_Cohort_Year_Selection=$AP$278), ROUND(MAX(0,AO$320 - 2),0),
IF(AND(OR(AP$279=123, AP$279=12, AP$279=13, AP$279=1), Cultivar_1_Cohort_Year_Selection=$AP$278), ROUND(MAX(0,AO$320 - 1),0),
IF(AND(OR(AP$279=123, AP$279=12, AP$279=23, AP$279=2), Cultivar_2_Cohort_Year_Selection=$AP$278), ROUND(MAX(0,AO$320 - 1),0),
IF(AND(OR(AP$279=123, AP$279=13, AP$279=23, AP$279=3), Cultivar_3_Cohort_Year_Selection=$AP$278), ROUND(MAX(0,AO$320 - 1),0),
ROUND(MAX(0,AO$320),0)))))))),""),""),"")</f>
        <v/>
      </c>
      <c r="AQ343" s="95" t="str">
        <f>IF(ISNUMBER($B$321),
IF($C343&lt;&gt;"",
IF(AND(ISNUMBER(AP$280), ISNUMBER(AP$317)),
IF(AND(AQ$279=123, Cultivar_1_Cohort_Year_Selection=$AQ$278,Cultivar_2_Cohort_Year_Selection=$AQ$278,Cultivar_3_Cohort_Year_Selection=$AQ$278), ROUND(MAX(0,AP$320 - 3),0),
IF(AND(OR(AQ$279=123, AQ$279=12), Cultivar_1_Cohort_Year_Selection=$AQ$278,Cultivar_2_Cohort_Year_Selection=$AQ$278), ROUND(MAX(0,AP$320 - 2),0),
IF(AND(OR(AQ$279=123, AQ$279=13), Cultivar_1_Cohort_Year_Selection=$AQ$278,Cultivar_3_Cohort_Year_Selection=$AQ$278), ROUND(MAX(0,AP$320 - 2),0),
IF(AND(OR(AQ$279=123, AQ$279=23), Cultivar_2_Cohort_Year_Selection=$AQ$278,Cultivar_3_Cohort_Year_Selection=$AQ$278), ROUND(MAX(0,AP$320 - 2),0),
IF(AND(OR(AQ$279=123, AQ$279=12, AQ$279=13, AQ$279=1), Cultivar_1_Cohort_Year_Selection=$AQ$278), ROUND(MAX(0,AP$320 - 1),0),
IF(AND(OR(AQ$279=123, AQ$279=12, AQ$279=23, AQ$279=2), Cultivar_2_Cohort_Year_Selection=$AQ$278), ROUND(MAX(0,AP$320 - 1),0),
IF(AND(OR(AQ$279=123, AQ$279=13, AQ$279=23, AQ$279=3), Cultivar_3_Cohort_Year_Selection=$AQ$278), ROUND(MAX(0,AP$320 - 1),0),
ROUND(MAX(0,AP$320),0)))))))),""),""),"")</f>
        <v/>
      </c>
      <c r="AR343" s="95" t="str">
        <f>IF(ISNUMBER($B$321),
IF($C343&lt;&gt;"",
IF(AND(ISNUMBER(AQ$280), ISNUMBER(AQ$317)),
IF(AND(AR$279=123, Cultivar_1_Cohort_Year_Selection=$AR$278,Cultivar_2_Cohort_Year_Selection=$AR$278,Cultivar_3_Cohort_Year_Selection=$AR$278), ROUND(MAX(0,AQ$320 - 3),0),
IF(AND(OR(AR$279=123, AR$279=12), Cultivar_1_Cohort_Year_Selection=$AR$278,Cultivar_2_Cohort_Year_Selection=$AR$278), ROUND(MAX(0,AQ$320 - 2),0),
IF(AND(OR(AR$279=123, AR$279=13), Cultivar_1_Cohort_Year_Selection=$AR$278,Cultivar_3_Cohort_Year_Selection=$AR$278), ROUND(MAX(0,AQ$320 - 2),0),
IF(AND(OR(AR$279=123, AR$279=23), Cultivar_2_Cohort_Year_Selection=$AR$278,Cultivar_3_Cohort_Year_Selection=$AR$278), ROUND(MAX(0,AQ$320 - 2),0),
IF(AND(OR(AR$279=123, AR$279=12, AR$279=13, AR$279=1), Cultivar_1_Cohort_Year_Selection=$AR$278), ROUND(MAX(0,AQ$320 - 1),0),
IF(AND(OR(AR$279=123, AR$279=12, AR$279=23, AR$279=2), Cultivar_2_Cohort_Year_Selection=$AR$278), ROUND(MAX(0,AQ$320 - 1),0),
IF(AND(OR(AR$279=123, AR$279=13, AR$279=23, AR$279=3), Cultivar_3_Cohort_Year_Selection=$AR$278), ROUND(MAX(0,AQ$320 - 1),0),
ROUND(MAX(0,AQ$320),0)))))))),""),""),"")</f>
        <v/>
      </c>
    </row>
    <row r="344" spans="1:45" ht="6.6" customHeight="1" thickBot="1" x14ac:dyDescent="0.3">
      <c r="A344" s="213"/>
      <c r="B344" s="277"/>
      <c r="C344" s="136"/>
      <c r="D344" s="270"/>
      <c r="E344" s="270"/>
      <c r="F344" s="270"/>
      <c r="G344" s="278"/>
      <c r="H344" s="270"/>
      <c r="I344" s="270"/>
      <c r="J344" s="270"/>
      <c r="K344" s="270"/>
      <c r="L344" s="279"/>
      <c r="M344" s="279"/>
      <c r="N344" s="280"/>
      <c r="O344" s="287"/>
      <c r="P344" s="136" t="str">
        <f>IF(ISNUMBER($B$280),
IF(AND(ISNUMBER(O$320), O$320&gt;0),
IF(AND(P$279=123, Cultivar_1_Cohort_Year_Selection=$O$278,Cultivar_2_Cohort_Year_Selection=$O$278,Cultivar_3_Cohort_Year_Selection=$O$278), ROUND(MAX(0,(O$320-('Stage 2 Randomized Selection'!E$2*$M321)) - 3),0),
IF(AND(OR(P$279=123, P$279=12), Cultivar_1_Cohort_Year_Selection=$O$278,Cultivar_2_Cohort_Year_Selection=$O$278),  ROUND(MAX(0,(O$320-('Stage 2 Randomized Selection'!E$2*$M321)) - 2),0),
IF(AND(OR(P$279=123, P$279=13), Cultivar_1_Cohort_Year_Selection=$O$278,Cultivar_3_Cohort_Year_Selection=$O$278), ROUND(MAX(0,(O$320-('Stage 2 Randomized Selection'!E$2*$M321)) - 2),0),
IF(AND(OR(P$279=123, P$279=23), Cultivar_2_Cohort_Year_Selection=$O$278,Cultivar_3_Cohort_Year_Selection=$O$278), ROUND(MAX(0,(O$320-('Stage 2 Randomized Selection'!E$2*$M321)) - 2),0),
IF(AND(OR(P$279=123, P$279=12, P$279=13, P$279=1), Cultivar_1_Cohort_Year_Selection=$O$278), ROUND(MAX(0,(O$320-('Stage 2 Randomized Selection'!E$2*$M321)) - 1),0),
IF(AND(OR(P$279=123, P$279=12, P$279=23, P$279=2), Cultivar_2_Cohort_Year_Selection=$O$278), ROUND(MAX(0,(O$320-('Stage 2 Randomized Selection'!E$2*$M321)) - 1),0),
IF(AND(OR(P$279=123, P$279=13, P$279=23, P$279=3), Cultivar_3_Cohort_Year_Selection=$O$278), ROUND(MAX(0,(O$320-('Stage 2 Randomized Selection'!E$2*$M321)) - 1),0),
ROUND(MAX(0,(O$320-('Stage 2 Randomized Selection'!E$2*$M321))),0)))))))),0),"")</f>
        <v/>
      </c>
      <c r="Q344" s="270" t="str">
        <f>IF(ISNUMBER($B$280),
IF(AND(ISNUMBER(P$320), P$320&gt;0),
IF(AND(Q$279=123, Cultivar_1_Cohort_Year_Selection=$P$278,Cultivar_2_Cohort_Year_Selection=$P$278,Cultivar_3_Cohort_Year_Selection=$P$278), ROUND(MAX(0,(P$320-('Stage 2 Randomized Selection'!F$2*$M321)) - 3),0),
IF(AND(OR(Q$279=123, Q$279=12), Cultivar_1_Cohort_Year_Selection=$P$278,Cultivar_2_Cohort_Year_Selection=$P$278),  ROUND(MAX(0,(P$320-('Stage 2 Randomized Selection'!F$2*$M321)) - 2),0),
IF(AND(OR(Q$279=123, Q$279=13), Cultivar_1_Cohort_Year_Selection=$P$278,Cultivar_3_Cohort_Year_Selection=$P$278), ROUND(MAX(0,(P$320-('Stage 2 Randomized Selection'!F$2*$M321)) - 2),0),
IF(AND(OR(Q$279=123, Q$279=23), Cultivar_2_Cohort_Year_Selection=$P$278,Cultivar_3_Cohort_Year_Selection=$P$278), ROUND(MAX(0,(P$320-('Stage 2 Randomized Selection'!F$2*$M321)) - 2),0),
IF(AND(OR(Q$279=123, Q$279=12, Q$279=13, Q$279=1), Cultivar_1_Cohort_Year_Selection=$P$278), ROUND(MAX(0,(P$320-('Stage 2 Randomized Selection'!F$2*$M321)) - 1),0),
IF(AND(OR(Q$279=123, Q$279=12, Q$279=23, Q$279=2), Cultivar_2_Cohort_Year_Selection=$P$278), ROUND(MAX(0,(P$320-('Stage 2 Randomized Selection'!F$2*$M321)) - 1),0),
IF(AND(OR(Q$279=123, Q$279=13, Q$279=23, Q$279=3), Cultivar_3_Cohort_Year_Selection=$P$278), ROUND(MAX(0,(P$320-('Stage 2 Randomized Selection'!F$2*$M321)) - 1),0),
ROUND(MAX(0,(P$320-('Stage 2 Randomized Selection'!F$2*$M321))),0)))))))),0),"")</f>
        <v/>
      </c>
      <c r="R344" s="270" t="str">
        <f>IF(ISNUMBER($B$280),
IF(AND(ISNUMBER(Q$320), Q$320&gt;0),
IF(AND(R$279=123, Cultivar_1_Cohort_Year_Selection=$Q$278,Cultivar_2_Cohort_Year_Selection=$Q$278,Cultivar_3_Cohort_Year_Selection=$Q$278), ROUND(MAX(0,(Q$320-('Stage 2 Randomized Selection'!G$2*$M321)) - 3),0),
IF(AND(OR(R$279=123, R$279=12), Cultivar_1_Cohort_Year_Selection=$Q$278,Cultivar_2_Cohort_Year_Selection=$Q$278),  ROUND(MAX(0,(Q$320-('Stage 2 Randomized Selection'!G$2*$M321)) - 2),0),
IF(AND(OR(R$279=123, R$279=13), Cultivar_1_Cohort_Year_Selection=$Q$278,Cultivar_3_Cohort_Year_Selection=$Q$278), ROUND(MAX(0,(Q$320-('Stage 2 Randomized Selection'!G$2*$M321)) - 2),0),
IF(AND(OR(R$279=123, R$279=23), Cultivar_2_Cohort_Year_Selection=$Q$278,Cultivar_3_Cohort_Year_Selection=$Q$278), ROUND(MAX(0,(Q$320-('Stage 2 Randomized Selection'!G$2*$M321)) - 2),0),
IF(AND(OR(R$279=123, R$279=12, R$279=13, R$279=1), Cultivar_1_Cohort_Year_Selection=$Q$278), ROUND(MAX(0,(Q$320-('Stage 2 Randomized Selection'!G$2*$M321)) - 1),0),
IF(AND(OR(R$279=123, R$279=12, R$279=23, R$279=2), Cultivar_2_Cohort_Year_Selection=$Q$278), ROUND(MAX(0,(Q$320-('Stage 2 Randomized Selection'!G$2*$M321)) - 1),0),
IF(AND(OR(R$279=123, R$279=13, R$279=23, R$279=3), Cultivar_3_Cohort_Year_Selection=$Q$278), ROUND(MAX(0,(Q$320-('Stage 2 Randomized Selection'!G$2*$M321)) - 1),0),
ROUND(MAX(0,(Q$320-('Stage 2 Randomized Selection'!G$2*$M321))),0)))))))),0),"")</f>
        <v/>
      </c>
      <c r="S344" s="270" t="str">
        <f>IF(ISNUMBER($B$280),
IF(AND(ISNUMBER(R$320), R$320&gt;0),
IF(AND(S$279=123, Cultivar_1_Cohort_Year_Selection=$R$278,Cultivar_2_Cohort_Year_Selection=$R$278,Cultivar_3_Cohort_Year_Selection=$R$278), ROUND(MAX(0,(R$320-('Stage 2 Randomized Selection'!H$2*$M321)) - 3),0),
IF(AND(OR(S$279=123, S$279=12), Cultivar_1_Cohort_Year_Selection=$R$278,Cultivar_2_Cohort_Year_Selection=$R$278),  ROUND(MAX(0,(R$320-('Stage 2 Randomized Selection'!H$2*$M321)) - 2),0),
IF(AND(OR(S$279=123, S$279=13), Cultivar_1_Cohort_Year_Selection=$R$278,Cultivar_3_Cohort_Year_Selection=$R$278), ROUND(MAX(0,(R$320-('Stage 2 Randomized Selection'!H$2*$M321)) - 2),0),
IF(AND(OR(S$279=123, S$279=23), Cultivar_2_Cohort_Year_Selection=$R$278,Cultivar_3_Cohort_Year_Selection=$R$278), ROUND(MAX(0,(R$320-('Stage 2 Randomized Selection'!H$2*$M321)) - 2),0),
IF(AND(OR(S$279=123, S$279=12, S$279=13, S$279=1), Cultivar_1_Cohort_Year_Selection=$R$278), ROUND(MAX(0,(R$320-('Stage 2 Randomized Selection'!H$2*$M321)) - 1),0),
IF(AND(OR(S$279=123, S$279=12, S$279=23, S$279=2), Cultivar_2_Cohort_Year_Selection=$R$278), ROUND(MAX(0,(R$320-('Stage 2 Randomized Selection'!H$2*$M321)) - 1),0),
IF(AND(OR(S$279=123, S$279=13, S$279=23, S$279=3), Cultivar_3_Cohort_Year_Selection=$R$278), ROUND(MAX(0,(R$320-('Stage 2 Randomized Selection'!H$2*$M321)) - 1),0),
ROUND(MAX(0,(R$320-('Stage 2 Randomized Selection'!H$2*$M321))),0)))))))),0),"")</f>
        <v/>
      </c>
      <c r="T344" s="270" t="str">
        <f>IF(ISNUMBER($B$280),
IF(AND(ISNUMBER(S$320), S$320&gt;0),
IF(AND(T$279=123, Cultivar_1_Cohort_Year_Selection=$S$278,Cultivar_2_Cohort_Year_Selection=$S$278,Cultivar_3_Cohort_Year_Selection=$S$278), ROUND(MAX(0,(S$320-('Stage 2 Randomized Selection'!I$2*$M321)) - 3),0),
IF(AND(OR(T$279=123, T$279=12), Cultivar_1_Cohort_Year_Selection=$S$278,Cultivar_2_Cohort_Year_Selection=$S$278),  ROUND(MAX(0,(S$320-('Stage 2 Randomized Selection'!I$2*$M321)) - 2),0),
IF(AND(OR(T$279=123, T$279=13), Cultivar_1_Cohort_Year_Selection=$S$278,Cultivar_3_Cohort_Year_Selection=$S$278), ROUND(MAX(0,(S$320-('Stage 2 Randomized Selection'!I$2*$M321)) - 2),0),
IF(AND(OR(T$279=123, T$279=23), Cultivar_2_Cohort_Year_Selection=$S$278,Cultivar_3_Cohort_Year_Selection=$S$278), ROUND(MAX(0,(S$320-('Stage 2 Randomized Selection'!I$2*$M321)) - 2),0),
IF(AND(OR(T$279=123, T$279=12, T$279=13, T$279=1), Cultivar_1_Cohort_Year_Selection=$S$278), ROUND(MAX(0,(S$320-('Stage 2 Randomized Selection'!I$2*$M321)) - 1),0),
IF(AND(OR(T$279=123, T$279=12, T$279=23, T$279=2), Cultivar_2_Cohort_Year_Selection=$S$278), ROUND(MAX(0,(S$320-('Stage 2 Randomized Selection'!I$2*$M321)) - 1),0),
IF(AND(OR(T$279=123, T$279=13, T$279=23, T$279=3), Cultivar_3_Cohort_Year_Selection=$S$278), ROUND(MAX(0,(S$320-('Stage 2 Randomized Selection'!I$2*$M321)) - 1),0),
ROUND(MAX(0,(S$320-('Stage 2 Randomized Selection'!I$2*$M321))),0)))))))),0),"")</f>
        <v/>
      </c>
      <c r="U344" s="270" t="str">
        <f>IF(ISNUMBER($B$280),
IF(AND(ISNUMBER(T$320), T$320&gt;0),
IF(AND(U$279=123, Cultivar_1_Cohort_Year_Selection=$T$278,Cultivar_2_Cohort_Year_Selection=$T$278,Cultivar_3_Cohort_Year_Selection=$T$278), ROUND(MAX(0,(T$320-('Stage 2 Randomized Selection'!J$2*$M321)) - 3),0),
IF(AND(OR(U$279=123, U$279=12), Cultivar_1_Cohort_Year_Selection=$T$278,Cultivar_2_Cohort_Year_Selection=$T$278),  ROUND(MAX(0,(T$320-('Stage 2 Randomized Selection'!J$2*$M321)) - 2),0),
IF(AND(OR(U$279=123, U$279=13), Cultivar_1_Cohort_Year_Selection=$T$278,Cultivar_3_Cohort_Year_Selection=$T$278), ROUND(MAX(0,(T$320-('Stage 2 Randomized Selection'!J$2*$M321)) - 2),0),
IF(AND(OR(U$279=123, U$279=23), Cultivar_2_Cohort_Year_Selection=$T$278,Cultivar_3_Cohort_Year_Selection=$T$278), ROUND(MAX(0,(T$320-('Stage 2 Randomized Selection'!J$2*$M321)) - 2),0),
IF(AND(OR(U$279=123, U$279=12, U$279=13, U$279=1), Cultivar_1_Cohort_Year_Selection=$T$278), ROUND(MAX(0,(T$320-('Stage 2 Randomized Selection'!J$2*$M321)) - 1),0),
IF(AND(OR(U$279=123, U$279=12, U$279=23, U$279=2), Cultivar_2_Cohort_Year_Selection=$T$278), ROUND(MAX(0,(T$320-('Stage 2 Randomized Selection'!J$2*$M321)) - 1),0),
IF(AND(OR(U$279=123, U$279=13, U$279=23, U$279=3), Cultivar_3_Cohort_Year_Selection=$T$278), ROUND(MAX(0,(T$320-('Stage 2 Randomized Selection'!J$2*$M321)) - 1),0),
ROUND(MAX(0,(T$320-('Stage 2 Randomized Selection'!J$2*$M321))),0)))))))),0),"")</f>
        <v/>
      </c>
      <c r="V344" s="270" t="str">
        <f>IF(ISNUMBER($B$280),
IF(AND(ISNUMBER(U$320), U$320&gt;0),
IF(AND(V$279=123, Cultivar_1_Cohort_Year_Selection=$U$278,Cultivar_2_Cohort_Year_Selection=$U$278,Cultivar_3_Cohort_Year_Selection=$U$278), ROUND(MAX(0,(U$320-('Stage 2 Randomized Selection'!K$2*$M321)) - 3),0),
IF(AND(OR(V$279=123, V$279=12), Cultivar_1_Cohort_Year_Selection=$U$278,Cultivar_2_Cohort_Year_Selection=$U$278),  ROUND(MAX(0,(U$320-('Stage 2 Randomized Selection'!K$2*$M321)) - 2),0),
IF(AND(OR(V$279=123, V$279=13), Cultivar_1_Cohort_Year_Selection=$U$278,Cultivar_3_Cohort_Year_Selection=$U$278), ROUND(MAX(0,(U$320-('Stage 2 Randomized Selection'!K$2*$M321)) - 2),0),
IF(AND(OR(V$279=123, V$279=23), Cultivar_2_Cohort_Year_Selection=$U$278,Cultivar_3_Cohort_Year_Selection=$U$278), ROUND(MAX(0,(U$320-('Stage 2 Randomized Selection'!K$2*$M321)) - 2),0),
IF(AND(OR(V$279=123, V$279=12, V$279=13, V$279=1), Cultivar_1_Cohort_Year_Selection=$U$278), ROUND(MAX(0,(U$320-('Stage 2 Randomized Selection'!K$2*$M321)) - 1),0),
IF(AND(OR(V$279=123, V$279=12, V$279=23, V$279=2), Cultivar_2_Cohort_Year_Selection=$U$278), ROUND(MAX(0,(U$320-('Stage 2 Randomized Selection'!K$2*$M321)) - 1),0),
IF(AND(OR(V$279=123, V$279=13, V$279=23, V$279=3), Cultivar_3_Cohort_Year_Selection=$U$278), ROUND(MAX(0,(U$320-('Stage 2 Randomized Selection'!K$2*$M321)) - 1),0),
ROUND(MAX(0,(U$320-('Stage 2 Randomized Selection'!K$2*$M321))),0)))))))),0),"")</f>
        <v/>
      </c>
      <c r="W344" s="270" t="str">
        <f>IF(ISNUMBER($B$280),
IF(AND(ISNUMBER(V$320), V$320&gt;0),
IF(AND(W$279=123, Cultivar_1_Cohort_Year_Selection=$V$278,Cultivar_2_Cohort_Year_Selection=$V$278,Cultivar_3_Cohort_Year_Selection=$V$278), ROUND(MAX(0,(V$320-('Stage 2 Randomized Selection'!L$2*$M321)) - 3),0),
IF(AND(OR(W$279=123, W$279=12), Cultivar_1_Cohort_Year_Selection=$V$278,Cultivar_2_Cohort_Year_Selection=$V$278),  ROUND(MAX(0,(V$320-('Stage 2 Randomized Selection'!L$2*$M321)) - 2),0),
IF(AND(OR(W$279=123, W$279=13), Cultivar_1_Cohort_Year_Selection=$V$278,Cultivar_3_Cohort_Year_Selection=$V$278), ROUND(MAX(0,(V$320-('Stage 2 Randomized Selection'!L$2*$M321)) - 2),0),
IF(AND(OR(W$279=123, W$279=23), Cultivar_2_Cohort_Year_Selection=$V$278,Cultivar_3_Cohort_Year_Selection=$V$278), ROUND(MAX(0,(V$320-('Stage 2 Randomized Selection'!L$2*$M321)) - 2),0),
IF(AND(OR(W$279=123, W$279=12, W$279=13, W$279=1), Cultivar_1_Cohort_Year_Selection=$V$278), ROUND(MAX(0,(V$320-('Stage 2 Randomized Selection'!L$2*$M321)) - 1),0),
IF(AND(OR(W$279=123, W$279=12, W$279=23, W$279=2), Cultivar_2_Cohort_Year_Selection=$V$278), ROUND(MAX(0,(V$320-('Stage 2 Randomized Selection'!L$2*$M321)) - 1),0),
IF(AND(OR(W$279=123, W$279=13, W$279=23, W$279=3), Cultivar_3_Cohort_Year_Selection=$V$278), ROUND(MAX(0,(V$320-('Stage 2 Randomized Selection'!L$2*$M321)) - 1),0),
ROUND(MAX(0,(V$320-('Stage 2 Randomized Selection'!L$2*$M321))),0)))))))),0),"")</f>
        <v/>
      </c>
      <c r="X344" s="270" t="str">
        <f>IF(ISNUMBER($B$280),
IF(AND(ISNUMBER(W$320), W$320&gt;0),
IF(AND(X$279=123, Cultivar_1_Cohort_Year_Selection=$W$278,Cultivar_2_Cohort_Year_Selection=$W$278,Cultivar_3_Cohort_Year_Selection=$W$278), ROUND(MAX(0,(W$320-('Stage 2 Randomized Selection'!M$2*$M321)) - 3),0),
IF(AND(OR(X$279=123, X$279=12), Cultivar_1_Cohort_Year_Selection=$W$278,Cultivar_2_Cohort_Year_Selection=$W$278),  ROUND(MAX(0,(W$320-('Stage 2 Randomized Selection'!M$2*$M321)) - 2),0),
IF(AND(OR(X$279=123, X$279=13), Cultivar_1_Cohort_Year_Selection=$W$278,Cultivar_3_Cohort_Year_Selection=$W$278), ROUND(MAX(0,(W$320-('Stage 2 Randomized Selection'!M$2*$M321)) - 2),0),
IF(AND(OR(X$279=123, X$279=23), Cultivar_2_Cohort_Year_Selection=$W$278,Cultivar_3_Cohort_Year_Selection=$W$278), ROUND(MAX(0,(W$320-('Stage 2 Randomized Selection'!M$2*$M321)) - 2),0),
IF(AND(OR(X$279=123, X$279=12, X$279=13, X$279=1), Cultivar_1_Cohort_Year_Selection=$W$278), ROUND(MAX(0,(W$320-('Stage 2 Randomized Selection'!M$2*$M321)) - 1),0),
IF(AND(OR(X$279=123, X$279=12, X$279=23, X$279=2), Cultivar_2_Cohort_Year_Selection=$W$278), ROUND(MAX(0,(W$320-('Stage 2 Randomized Selection'!M$2*$M321)) - 1),0),
IF(AND(OR(X$279=123, X$279=13, X$279=23, X$279=3), Cultivar_3_Cohort_Year_Selection=$W$278), ROUND(MAX(0,(W$320-('Stage 2 Randomized Selection'!M$2*$M321)) - 1),0),
ROUND(MAX(0,(W$320-('Stage 2 Randomized Selection'!M$2*$M321))),0)))))))),0),"")</f>
        <v/>
      </c>
      <c r="Y344" s="270" t="str">
        <f>IF(ISNUMBER($B$280),
IF(AND(ISNUMBER(X$320), X$320&gt;0),
IF(AND(Y$279=123, Cultivar_1_Cohort_Year_Selection=$X$278,Cultivar_2_Cohort_Year_Selection=$X$278,Cultivar_3_Cohort_Year_Selection=$X$278), ROUND(MAX(0,(X$320-('Stage 2 Randomized Selection'!N$2*$M321)) - 3),0),
IF(AND(OR(Y$279=123, Y$279=12), Cultivar_1_Cohort_Year_Selection=$X$278,Cultivar_2_Cohort_Year_Selection=$X$278),  ROUND(MAX(0,(X$320-('Stage 2 Randomized Selection'!N$2*$M321)) - 2),0),
IF(AND(OR(Y$279=123, Y$279=13), Cultivar_1_Cohort_Year_Selection=$X$278,Cultivar_3_Cohort_Year_Selection=$X$278), ROUND(MAX(0,(X$320-('Stage 2 Randomized Selection'!N$2*$M321)) - 2),0),
IF(AND(OR(Y$279=123, Y$279=23), Cultivar_2_Cohort_Year_Selection=$X$278,Cultivar_3_Cohort_Year_Selection=$X$278), ROUND(MAX(0,(X$320-('Stage 2 Randomized Selection'!N$2*$M321)) - 2),0),
IF(AND(OR(Y$279=123, Y$279=12, Y$279=13, Y$279=1), Cultivar_1_Cohort_Year_Selection=$X$278), ROUND(MAX(0,(X$320-('Stage 2 Randomized Selection'!N$2*$M321)) - 1),0),
IF(AND(OR(Y$279=123, Y$279=12, Y$279=23, Y$279=2), Cultivar_2_Cohort_Year_Selection=$X$278), ROUND(MAX(0,(X$320-('Stage 2 Randomized Selection'!N$2*$M321)) - 1),0),
IF(AND(OR(Y$279=123, Y$279=13, Y$279=23, Y$279=3), Cultivar_3_Cohort_Year_Selection=$X$278), ROUND(MAX(0,(X$320-('Stage 2 Randomized Selection'!N$2*$M321)) - 1),0),
ROUND(MAX(0,(X$320-('Stage 2 Randomized Selection'!N$2*$M321))),0)))))))),0),"")</f>
        <v/>
      </c>
      <c r="Z344" s="270" t="str">
        <f>IF(ISNUMBER($B$280),
IF(AND(ISNUMBER(Y$320), Y$320&gt;0),
IF(AND(Z$279=123, Cultivar_1_Cohort_Year_Selection=$Y$278,Cultivar_2_Cohort_Year_Selection=$Y$278,Cultivar_3_Cohort_Year_Selection=$Y$278), ROUND(MAX(0,(Y$320-('Stage 2 Randomized Selection'!O$2*$M321)) - 3),0),
IF(AND(OR(Z$279=123, Z$279=12), Cultivar_1_Cohort_Year_Selection=$Y$278,Cultivar_2_Cohort_Year_Selection=$Y$278),  ROUND(MAX(0,(Y$320-('Stage 2 Randomized Selection'!O$2*$M321)) - 2),0),
IF(AND(OR(Z$279=123, Z$279=13), Cultivar_1_Cohort_Year_Selection=$Y$278,Cultivar_3_Cohort_Year_Selection=$Y$278), ROUND(MAX(0,(Y$320-('Stage 2 Randomized Selection'!O$2*$M321)) - 2),0),
IF(AND(OR(Z$279=123, Z$279=23), Cultivar_2_Cohort_Year_Selection=$Y$278,Cultivar_3_Cohort_Year_Selection=$Y$278), ROUND(MAX(0,(Y$320-('Stage 2 Randomized Selection'!O$2*$M321)) - 2),0),
IF(AND(OR(Z$279=123, Z$279=12, Z$279=13, Z$279=1), Cultivar_1_Cohort_Year_Selection=$Y$278), ROUND(MAX(0,(Y$320-('Stage 2 Randomized Selection'!O$2*$M321)) - 1),0),
IF(AND(OR(Z$279=123, Z$279=12, Z$279=23, Z$279=2), Cultivar_2_Cohort_Year_Selection=$Y$278), ROUND(MAX(0,(Y$320-('Stage 2 Randomized Selection'!O$2*$M321)) - 1),0),
IF(AND(OR(Z$279=123, Z$279=13, Z$279=23, Z$279=3), Cultivar_3_Cohort_Year_Selection=$Y$278), ROUND(MAX(0,(Y$320-('Stage 2 Randomized Selection'!O$2*$M321)) - 1),0),
ROUND(MAX(0,(Y$320-('Stage 2 Randomized Selection'!O$2*$M321))),0)))))))),0),"")</f>
        <v/>
      </c>
      <c r="AA344" s="270" t="str">
        <f>IF(ISNUMBER($B$280),
IF(AND(ISNUMBER(Z$320), Z$320&gt;0),
IF(AND(AA$279=123, Cultivar_1_Cohort_Year_Selection=$Z$278,Cultivar_2_Cohort_Year_Selection=$Z$278,Cultivar_3_Cohort_Year_Selection=$Z$278), ROUND(MAX(0,(Z$320-('Stage 2 Randomized Selection'!P$2*$M321)) - 3),0),
IF(AND(OR(AA$279=123, AA$279=12), Cultivar_1_Cohort_Year_Selection=$Z$278,Cultivar_2_Cohort_Year_Selection=$Z$278),  ROUND(MAX(0,(Z$320-('Stage 2 Randomized Selection'!P$2*$M321)) - 2),0),
IF(AND(OR(AA$279=123, AA$279=13), Cultivar_1_Cohort_Year_Selection=$Z$278,Cultivar_3_Cohort_Year_Selection=$Z$278), ROUND(MAX(0,(Z$320-('Stage 2 Randomized Selection'!P$2*$M321)) - 2),0),
IF(AND(OR(AA$279=123, AA$279=23), Cultivar_2_Cohort_Year_Selection=$Z$278,Cultivar_3_Cohort_Year_Selection=$Z$278), ROUND(MAX(0,(Z$320-('Stage 2 Randomized Selection'!P$2*$M321)) - 2),0),
IF(AND(OR(AA$279=123, AA$279=12, AA$279=13, AA$279=1), Cultivar_1_Cohort_Year_Selection=$Z$278), ROUND(MAX(0,(Z$320-('Stage 2 Randomized Selection'!P$2*$M321)) - 1),0),
IF(AND(OR(AA$279=123, AA$279=12, AA$279=23, AA$279=2), Cultivar_2_Cohort_Year_Selection=$Z$278), ROUND(MAX(0,(Z$320-('Stage 2 Randomized Selection'!P$2*$M321)) - 1),0),
IF(AND(OR(AA$279=123, AA$279=13, AA$279=23, AA$279=3), Cultivar_3_Cohort_Year_Selection=$Z$278), ROUND(MAX(0,(Z$320-('Stage 2 Randomized Selection'!P$2*$M321)) - 1),0),
ROUND(MAX(0,(Z$320-('Stage 2 Randomized Selection'!P$2*$M321))),0)))))))),0),"")</f>
        <v/>
      </c>
      <c r="AB344" s="270" t="str">
        <f>IF(ISNUMBER($B$280),
IF(AND(ISNUMBER(AA$320), AA$320&gt;0),
IF(AND(AB$279=123, Cultivar_1_Cohort_Year_Selection=$AA$278,Cultivar_2_Cohort_Year_Selection=$AA$278,Cultivar_3_Cohort_Year_Selection=$AA$278), ROUND(MAX(0,(AA$320-('Stage 2 Randomized Selection'!Q$2*$M321)) - 3),0),
IF(AND(OR(AB$279=123, AB$279=12), Cultivar_1_Cohort_Year_Selection=$AA$278,Cultivar_2_Cohort_Year_Selection=$AA$278),  ROUND(MAX(0,(AA$320-('Stage 2 Randomized Selection'!Q$2*$M321)) - 2),0),
IF(AND(OR(AB$279=123, AB$279=13), Cultivar_1_Cohort_Year_Selection=$AA$278,Cultivar_3_Cohort_Year_Selection=$AA$278), ROUND(MAX(0,(AA$320-('Stage 2 Randomized Selection'!Q$2*$M321)) - 2),0),
IF(AND(OR(AB$279=123, AB$279=23), Cultivar_2_Cohort_Year_Selection=$AA$278,Cultivar_3_Cohort_Year_Selection=$AA$278), ROUND(MAX(0,(AA$320-('Stage 2 Randomized Selection'!Q$2*$M321)) - 2),0),
IF(AND(OR(AB$279=123, AB$279=12, AB$279=13, AB$279=1), Cultivar_1_Cohort_Year_Selection=$AA$278), ROUND(MAX(0,(AA$320-('Stage 2 Randomized Selection'!Q$2*$M321)) - 1),0),
IF(AND(OR(AB$279=123, AB$279=12, AB$279=23, AB$279=2), Cultivar_2_Cohort_Year_Selection=$AA$278), ROUND(MAX(0,(AA$320-('Stage 2 Randomized Selection'!Q$2*$M321)) - 1),0),
IF(AND(OR(AB$279=123, AB$279=13, AB$279=23, AB$279=3), Cultivar_3_Cohort_Year_Selection=$AA$278), ROUND(MAX(0,(AA$320-('Stage 2 Randomized Selection'!Q$2*$M321)) - 1),0),
ROUND(MAX(0,(AA$320-('Stage 2 Randomized Selection'!Q$2*$M321))),0)))))))),0),"")</f>
        <v/>
      </c>
      <c r="AC344" s="270" t="str">
        <f>IF(ISNUMBER($B$280),
IF(AND(ISNUMBER(AB$320), AB$320&gt;0),
IF(AND(AC$279=123, Cultivar_1_Cohort_Year_Selection=$AB$278,Cultivar_2_Cohort_Year_Selection=$AB$278,Cultivar_3_Cohort_Year_Selection=$AB$278), ROUND(MAX(0,(AB$320-('Stage 2 Randomized Selection'!R$2*$M321)) - 3),0),
IF(AND(OR(AC$279=123, AC$279=12), Cultivar_1_Cohort_Year_Selection=$AB$278,Cultivar_2_Cohort_Year_Selection=$AB$278),  ROUND(MAX(0,(AB$320-('Stage 2 Randomized Selection'!R$2*$M321)) - 2),0),
IF(AND(OR(AC$279=123, AC$279=13), Cultivar_1_Cohort_Year_Selection=$AB$278,Cultivar_3_Cohort_Year_Selection=$AB$278), ROUND(MAX(0,(AB$320-('Stage 2 Randomized Selection'!R$2*$M321)) - 2),0),
IF(AND(OR(AC$279=123, AC$279=23), Cultivar_2_Cohort_Year_Selection=$AB$278,Cultivar_3_Cohort_Year_Selection=$AB$278), ROUND(MAX(0,(AB$320-('Stage 2 Randomized Selection'!R$2*$M321)) - 2),0),
IF(AND(OR(AC$279=123, AC$279=12, AC$279=13, AC$279=1), Cultivar_1_Cohort_Year_Selection=$AB$278), ROUND(MAX(0,(AB$320-('Stage 2 Randomized Selection'!R$2*$M321)) - 1),0),
IF(AND(OR(AC$279=123, AC$279=12, AC$279=23, AC$279=2), Cultivar_2_Cohort_Year_Selection=$AB$278), ROUND(MAX(0,(AB$320-('Stage 2 Randomized Selection'!R$2*$M321)) - 1),0),
IF(AND(OR(AC$279=123, AC$279=13, AC$279=23, AC$279=3), Cultivar_3_Cohort_Year_Selection=$AB$278), ROUND(MAX(0,(AB$320-('Stage 2 Randomized Selection'!R$2*$M321)) - 1),0),
ROUND(MAX(0,(AB$320-('Stage 2 Randomized Selection'!R$2*$M321))),0)))))))),0),"")</f>
        <v/>
      </c>
      <c r="AD344" s="270" t="str">
        <f>IF(ISNUMBER($B$280),
IF(AND(ISNUMBER(AC$320), AC$320&gt;0),
IF(AND(AD$279=123, Cultivar_1_Cohort_Year_Selection=$AC$278,Cultivar_2_Cohort_Year_Selection=$AC$278,Cultivar_3_Cohort_Year_Selection=$AC$278), ROUND(MAX(0,(AC$320-('Stage 2 Randomized Selection'!S$2*$M321)) - 3),0),
IF(AND(OR(AD$279=123, AD$279=12), Cultivar_1_Cohort_Year_Selection=$AC$278,Cultivar_2_Cohort_Year_Selection=$AC$278),  ROUND(MAX(0,(AC$320-('Stage 2 Randomized Selection'!S$2*$M321)) - 2),0),
IF(AND(OR(AD$279=123, AD$279=13), Cultivar_1_Cohort_Year_Selection=$AC$278,Cultivar_3_Cohort_Year_Selection=$AC$278), ROUND(MAX(0,(AC$320-('Stage 2 Randomized Selection'!S$2*$M321)) - 2),0),
IF(AND(OR(AD$279=123, AD$279=23), Cultivar_2_Cohort_Year_Selection=$AC$278,Cultivar_3_Cohort_Year_Selection=$AC$278), ROUND(MAX(0,(AC$320-('Stage 2 Randomized Selection'!S$2*$M321)) - 2),0),
IF(AND(OR(AD$279=123, AD$279=12, AD$279=13, AD$279=1), Cultivar_1_Cohort_Year_Selection=$AC$278), ROUND(MAX(0,(AC$320-('Stage 2 Randomized Selection'!S$2*$M321)) - 1),0),
IF(AND(OR(AD$279=123, AD$279=12, AD$279=23, AD$279=2), Cultivar_2_Cohort_Year_Selection=$AC$278), ROUND(MAX(0,(AC$320-('Stage 2 Randomized Selection'!S$2*$M321)) - 1),0),
IF(AND(OR(AD$279=123, AD$279=13, AD$279=23, AD$279=3), Cultivar_3_Cohort_Year_Selection=$AC$278), ROUND(MAX(0,(AC$320-('Stage 2 Randomized Selection'!S$2*$M321)) - 1),0),
ROUND(MAX(0,(AC$320-('Stage 2 Randomized Selection'!S$2*$M321))),0)))))))),0),"")</f>
        <v/>
      </c>
      <c r="AE344" s="270" t="str">
        <f>IF(ISNUMBER($B$280),
IF(AND(ISNUMBER(AD$320), AD$320&gt;0),
IF(AND(AE$279=123, Cultivar_1_Cohort_Year_Selection=$AD$278,Cultivar_2_Cohort_Year_Selection=$AD$278,Cultivar_3_Cohort_Year_Selection=$AD$278), ROUND(MAX(0,(AD$320-('Stage 2 Randomized Selection'!T$2*$M321)) - 3),0),
IF(AND(OR(AE$279=123, AE$279=12), Cultivar_1_Cohort_Year_Selection=$AD$278,Cultivar_2_Cohort_Year_Selection=$AD$278),  ROUND(MAX(0,(AD$320-('Stage 2 Randomized Selection'!T$2*$M321)) - 2),0),
IF(AND(OR(AE$279=123, AE$279=13), Cultivar_1_Cohort_Year_Selection=$AD$278,Cultivar_3_Cohort_Year_Selection=$AD$278), ROUND(MAX(0,(AD$320-('Stage 2 Randomized Selection'!T$2*$M321)) - 2),0),
IF(AND(OR(AE$279=123, AE$279=23), Cultivar_2_Cohort_Year_Selection=$AD$278,Cultivar_3_Cohort_Year_Selection=$AD$278), ROUND(MAX(0,(AD$320-('Stage 2 Randomized Selection'!T$2*$M321)) - 2),0),
IF(AND(OR(AE$279=123, AE$279=12, AE$279=13, AE$279=1), Cultivar_1_Cohort_Year_Selection=$AD$278), ROUND(MAX(0,(AD$320-('Stage 2 Randomized Selection'!T$2*$M321)) - 1),0),
IF(AND(OR(AE$279=123, AE$279=12, AE$279=23, AE$279=2), Cultivar_2_Cohort_Year_Selection=$AD$278), ROUND(MAX(0,(AD$320-('Stage 2 Randomized Selection'!T$2*$M321)) - 1),0),
IF(AND(OR(AE$279=123, AE$279=13, AE$279=23, AE$279=3), Cultivar_3_Cohort_Year_Selection=$AD$278), ROUND(MAX(0,(AD$320-('Stage 2 Randomized Selection'!T$2*$M321)) - 1),0),
ROUND(MAX(0,(AD$320-('Stage 2 Randomized Selection'!T$2*$M321))),0)))))))),0),"")</f>
        <v/>
      </c>
      <c r="AF344" s="270" t="str">
        <f>IF(ISNUMBER($B$280),
IF(AND(ISNUMBER(AE$320), AE$320&gt;0),
IF(AND(AF$279=123, Cultivar_1_Cohort_Year_Selection=$AE$278,Cultivar_2_Cohort_Year_Selection=$AE$278,Cultivar_3_Cohort_Year_Selection=$AE$278), ROUND(MAX(0,(AE$320-('Stage 2 Randomized Selection'!U$2*$M321)) - 3),0),
IF(AND(OR(AF$279=123, AF$279=12), Cultivar_1_Cohort_Year_Selection=$AE$278,Cultivar_2_Cohort_Year_Selection=$AE$278),  ROUND(MAX(0,(AE$320-('Stage 2 Randomized Selection'!U$2*$M321)) - 2),0),
IF(AND(OR(AF$279=123, AF$279=13), Cultivar_1_Cohort_Year_Selection=$AE$278,Cultivar_3_Cohort_Year_Selection=$AE$278), ROUND(MAX(0,(AE$320-('Stage 2 Randomized Selection'!U$2*$M321)) - 2),0),
IF(AND(OR(AF$279=123, AF$279=23), Cultivar_2_Cohort_Year_Selection=$AE$278,Cultivar_3_Cohort_Year_Selection=$AE$278), ROUND(MAX(0,(AE$320-('Stage 2 Randomized Selection'!U$2*$M321)) - 2),0),
IF(AND(OR(AF$279=123, AF$279=12, AF$279=13, AF$279=1), Cultivar_1_Cohort_Year_Selection=$AE$278), ROUND(MAX(0,(AE$320-('Stage 2 Randomized Selection'!U$2*$M321)) - 1),0),
IF(AND(OR(AF$279=123, AF$279=12, AF$279=23, AF$279=2), Cultivar_2_Cohort_Year_Selection=$AE$278), ROUND(MAX(0,(AE$320-('Stage 2 Randomized Selection'!U$2*$M321)) - 1),0),
IF(AND(OR(AF$279=123, AF$279=13, AF$279=23, AF$279=3), Cultivar_3_Cohort_Year_Selection=$AE$278), ROUND(MAX(0,(AE$320-('Stage 2 Randomized Selection'!U$2*$M321)) - 1),0),
ROUND(MAX(0,(AE$320-('Stage 2 Randomized Selection'!U$2*$M321))),0)))))))),0),"")</f>
        <v/>
      </c>
      <c r="AG344" s="270" t="str">
        <f>IF(ISNUMBER($B$280),
IF(AND(ISNUMBER(AF$320), AF$320&gt;0),
IF(AND(AG$279=123, Cultivar_1_Cohort_Year_Selection=$AF$278,Cultivar_2_Cohort_Year_Selection=$AF$278,Cultivar_3_Cohort_Year_Selection=$AF$278), ROUND(MAX(0,(AF$320-('Stage 2 Randomized Selection'!V$2*$M321)) - 3),0),
IF(AND(OR(AG$279=123, AG$279=12), Cultivar_1_Cohort_Year_Selection=$AF$278,Cultivar_2_Cohort_Year_Selection=$AF$278),  ROUND(MAX(0,(AF$320-('Stage 2 Randomized Selection'!V$2*$M321)) - 2),0),
IF(AND(OR(AG$279=123, AG$279=13), Cultivar_1_Cohort_Year_Selection=$AF$278,Cultivar_3_Cohort_Year_Selection=$AF$278), ROUND(MAX(0,(AF$320-('Stage 2 Randomized Selection'!V$2*$M321)) - 2),0),
IF(AND(OR(AG$279=123, AG$279=23), Cultivar_2_Cohort_Year_Selection=$AF$278,Cultivar_3_Cohort_Year_Selection=$AF$278), ROUND(MAX(0,(AF$320-('Stage 2 Randomized Selection'!V$2*$M321)) - 2),0),
IF(AND(OR(AG$279=123, AG$279=12, AG$279=13, AG$279=1), Cultivar_1_Cohort_Year_Selection=$AF$278), ROUND(MAX(0,(AF$320-('Stage 2 Randomized Selection'!V$2*$M321)) - 1),0),
IF(AND(OR(AG$279=123, AG$279=12, AG$279=23, AG$279=2), Cultivar_2_Cohort_Year_Selection=$AF$278), ROUND(MAX(0,(AF$320-('Stage 2 Randomized Selection'!V$2*$M321)) - 1),0),
IF(AND(OR(AG$279=123, AG$279=13, AG$279=23, AG$279=3), Cultivar_3_Cohort_Year_Selection=$AF$278), ROUND(MAX(0,(AF$320-('Stage 2 Randomized Selection'!V$2*$M321)) - 1),0),
ROUND(MAX(0,(AF$320-('Stage 2 Randomized Selection'!V$2*$M321))),0)))))))),0),"")</f>
        <v/>
      </c>
      <c r="AH344" s="270" t="str">
        <f>IF(ISNUMBER($B$280),
IF(AND(ISNUMBER(AG$320), AG$320&gt;0),
IF(AND(AH$279=123, Cultivar_1_Cohort_Year_Selection=$AG$278,Cultivar_2_Cohort_Year_Selection=$AG$278,Cultivar_3_Cohort_Year_Selection=$AG$278), ROUND(MAX(0,(AG$320-('Stage 2 Randomized Selection'!W$2*$M321)) - 3),0),
IF(AND(OR(AH$279=123, AH$279=12), Cultivar_1_Cohort_Year_Selection=$AG$278,Cultivar_2_Cohort_Year_Selection=$AG$278),  ROUND(MAX(0,(AG$320-('Stage 2 Randomized Selection'!W$2*$M321)) - 2),0),
IF(AND(OR(AH$279=123, AH$279=13), Cultivar_1_Cohort_Year_Selection=$AG$278,Cultivar_3_Cohort_Year_Selection=$AG$278), ROUND(MAX(0,(AG$320-('Stage 2 Randomized Selection'!W$2*$M321)) - 2),0),
IF(AND(OR(AH$279=123, AH$279=23), Cultivar_2_Cohort_Year_Selection=$AG$278,Cultivar_3_Cohort_Year_Selection=$AG$278), ROUND(MAX(0,(AG$320-('Stage 2 Randomized Selection'!W$2*$M321)) - 2),0),
IF(AND(OR(AH$279=123, AH$279=12, AH$279=13, AH$279=1), Cultivar_1_Cohort_Year_Selection=$AG$278), ROUND(MAX(0,(AG$320-('Stage 2 Randomized Selection'!W$2*$M321)) - 1),0),
IF(AND(OR(AH$279=123, AH$279=12, AH$279=23, AH$279=2), Cultivar_2_Cohort_Year_Selection=$AG$278), ROUND(MAX(0,(AG$320-('Stage 2 Randomized Selection'!W$2*$M321)) - 1),0),
IF(AND(OR(AH$279=123, AH$279=13, AH$279=23, AH$279=3), Cultivar_3_Cohort_Year_Selection=$AG$278), ROUND(MAX(0,(AG$320-('Stage 2 Randomized Selection'!W$2*$M321)) - 1),0),
ROUND(MAX(0,(AG$320-('Stage 2 Randomized Selection'!W$2*$M321))),0)))))))),0),"")</f>
        <v/>
      </c>
      <c r="AI344" s="270" t="str">
        <f>IF(ISNUMBER($B$280),
IF(AND(ISNUMBER(AH$320), AH$320&gt;0),
IF(AND(AI$279=123, Cultivar_1_Cohort_Year_Selection=$AH$278,Cultivar_2_Cohort_Year_Selection=$AH$278,Cultivar_3_Cohort_Year_Selection=$AH$278), ROUND(MAX(0,(AH$320-('Stage 2 Randomized Selection'!X$2*$M321)) - 3),0),
IF(AND(OR(AI$279=123, AI$279=12), Cultivar_1_Cohort_Year_Selection=$AH$278,Cultivar_2_Cohort_Year_Selection=$AH$278),  ROUND(MAX(0,(AH$320-('Stage 2 Randomized Selection'!X$2*$M321)) - 2),0),
IF(AND(OR(AI$279=123, AI$279=13), Cultivar_1_Cohort_Year_Selection=$AH$278,Cultivar_3_Cohort_Year_Selection=$AH$278), ROUND(MAX(0,(AH$320-('Stage 2 Randomized Selection'!X$2*$M321)) - 2),0),
IF(AND(OR(AI$279=123, AI$279=23), Cultivar_2_Cohort_Year_Selection=$AH$278,Cultivar_3_Cohort_Year_Selection=$AH$278), ROUND(MAX(0,(AH$320-('Stage 2 Randomized Selection'!X$2*$M321)) - 2),0),
IF(AND(OR(AI$279=123, AI$279=12, AI$279=13, AI$279=1), Cultivar_1_Cohort_Year_Selection=$AH$278), ROUND(MAX(0,(AH$320-('Stage 2 Randomized Selection'!X$2*$M321)) - 1),0),
IF(AND(OR(AI$279=123, AI$279=12, AI$279=23, AI$279=2), Cultivar_2_Cohort_Year_Selection=$AH$278), ROUND(MAX(0,(AH$320-('Stage 2 Randomized Selection'!X$2*$M321)) - 1),0),
IF(AND(OR(AI$279=123, AI$279=13, AI$279=23, AI$279=3), Cultivar_3_Cohort_Year_Selection=$AH$278), ROUND(MAX(0,(AH$320-('Stage 2 Randomized Selection'!X$2*$M321)) - 1),0),
ROUND(MAX(0,(AH$320-('Stage 2 Randomized Selection'!X$2*$M321))),0)))))))),0),"")</f>
        <v/>
      </c>
      <c r="AJ344" s="270" t="str">
        <f>IF(ISNUMBER($B$280),
IF(AND(ISNUMBER(AI$320), AI$320&gt;0),
IF(AND(AJ$279=123, Cultivar_1_Cohort_Year_Selection=$AI$278,Cultivar_2_Cohort_Year_Selection=$AI$278,Cultivar_3_Cohort_Year_Selection=$AI$278), ROUND(MAX(0,(AI$320-('Stage 2 Randomized Selection'!Y$2*$M321)) - 3),0),
IF(AND(OR(AJ$279=123, AJ$279=12), Cultivar_1_Cohort_Year_Selection=$AI$278,Cultivar_2_Cohort_Year_Selection=$AI$278),  ROUND(MAX(0,(AI$320-('Stage 2 Randomized Selection'!Y$2*$M321)) - 2),0),
IF(AND(OR(AJ$279=123, AJ$279=13), Cultivar_1_Cohort_Year_Selection=$AI$278,Cultivar_3_Cohort_Year_Selection=$AI$278), ROUND(MAX(0,(AI$320-('Stage 2 Randomized Selection'!Y$2*$M321)) - 2),0),
IF(AND(OR(AJ$279=123, AJ$279=23), Cultivar_2_Cohort_Year_Selection=$AI$278,Cultivar_3_Cohort_Year_Selection=$AI$278), ROUND(MAX(0,(AI$320-('Stage 2 Randomized Selection'!Y$2*$M321)) - 2),0),
IF(AND(OR(AJ$279=123, AJ$279=12, AJ$279=13, AJ$279=1), Cultivar_1_Cohort_Year_Selection=$AI$278), ROUND(MAX(0,(AI$320-('Stage 2 Randomized Selection'!Y$2*$M321)) - 1),0),
IF(AND(OR(AJ$279=123, AJ$279=12, AJ$279=23, AJ$279=2), Cultivar_2_Cohort_Year_Selection=$AI$278), ROUND(MAX(0,(AI$320-('Stage 2 Randomized Selection'!Y$2*$M321)) - 1),0),
IF(AND(OR(AJ$279=123, AJ$279=13, AJ$279=23, AJ$279=3), Cultivar_3_Cohort_Year_Selection=$AI$278), ROUND(MAX(0,(AI$320-('Stage 2 Randomized Selection'!Y$2*$M321)) - 1),0),
ROUND(MAX(0,(AI$320-('Stage 2 Randomized Selection'!Y$2*$M321))),0)))))))),0),"")</f>
        <v/>
      </c>
      <c r="AK344" s="270" t="str">
        <f>IF(ISNUMBER($B$280),
IF(AND(ISNUMBER(AJ$320), AJ$320&gt;0),
IF(AND(AK$279=123, Cultivar_1_Cohort_Year_Selection=$AJ$278,Cultivar_2_Cohort_Year_Selection=$AJ$278,Cultivar_3_Cohort_Year_Selection=$AJ$278), ROUND(MAX(0,(AJ$320-('Stage 2 Randomized Selection'!Z$2*$M321)) - 3),0),
IF(AND(OR(AK$279=123, AK$279=12), Cultivar_1_Cohort_Year_Selection=$AJ$278,Cultivar_2_Cohort_Year_Selection=$AJ$278),  ROUND(MAX(0,(AJ$320-('Stage 2 Randomized Selection'!Z$2*$M321)) - 2),0),
IF(AND(OR(AK$279=123, AK$279=13), Cultivar_1_Cohort_Year_Selection=$AJ$278,Cultivar_3_Cohort_Year_Selection=$AJ$278), ROUND(MAX(0,(AJ$320-('Stage 2 Randomized Selection'!Z$2*$M321)) - 2),0),
IF(AND(OR(AK$279=123, AK$279=23), Cultivar_2_Cohort_Year_Selection=$AJ$278,Cultivar_3_Cohort_Year_Selection=$AJ$278), ROUND(MAX(0,(AJ$320-('Stage 2 Randomized Selection'!Z$2*$M321)) - 2),0),
IF(AND(OR(AK$279=123, AK$279=12, AK$279=13, AK$279=1), Cultivar_1_Cohort_Year_Selection=$AJ$278), ROUND(MAX(0,(AJ$320-('Stage 2 Randomized Selection'!Z$2*$M321)) - 1),0),
IF(AND(OR(AK$279=123, AK$279=12, AK$279=23, AK$279=2), Cultivar_2_Cohort_Year_Selection=$AJ$278), ROUND(MAX(0,(AJ$320-('Stage 2 Randomized Selection'!Z$2*$M321)) - 1),0),
IF(AND(OR(AK$279=123, AK$279=13, AK$279=23, AK$279=3), Cultivar_3_Cohort_Year_Selection=$AJ$278), ROUND(MAX(0,(AJ$320-('Stage 2 Randomized Selection'!Z$2*$M321)) - 1),0),
ROUND(MAX(0,(AJ$320-('Stage 2 Randomized Selection'!Z$2*$M321))),0)))))))),0),"")</f>
        <v/>
      </c>
      <c r="AL344" s="270" t="str">
        <f>IF(ISNUMBER($B$280),
IF(AND(ISNUMBER(AK$320), AK$320&gt;0),
IF(AND(AL$279=123, Cultivar_1_Cohort_Year_Selection=$AK$278,Cultivar_2_Cohort_Year_Selection=$AK$278,Cultivar_3_Cohort_Year_Selection=$AK$278), ROUND(MAX(0,(AK$320-('Stage 2 Randomized Selection'!AA$2*$M321)) - 3),0),
IF(AND(OR(AL$279=123, AL$279=12), Cultivar_1_Cohort_Year_Selection=$AK$278,Cultivar_2_Cohort_Year_Selection=$AK$278),  ROUND(MAX(0,(AK$320-('Stage 2 Randomized Selection'!AA$2*$M321)) - 2),0),
IF(AND(OR(AL$279=123, AL$279=13), Cultivar_1_Cohort_Year_Selection=$AK$278,Cultivar_3_Cohort_Year_Selection=$AK$278), ROUND(MAX(0,(AK$320-('Stage 2 Randomized Selection'!AA$2*$M321)) - 2),0),
IF(AND(OR(AL$279=123, AL$279=23), Cultivar_2_Cohort_Year_Selection=$AK$278,Cultivar_3_Cohort_Year_Selection=$AK$278), ROUND(MAX(0,(AK$320-('Stage 2 Randomized Selection'!AA$2*$M321)) - 2),0),
IF(AND(OR(AL$279=123, AL$279=12, AL$279=13, AL$279=1), Cultivar_1_Cohort_Year_Selection=$AK$278), ROUND(MAX(0,(AK$320-('Stage 2 Randomized Selection'!AA$2*$M321)) - 1),0),
IF(AND(OR(AL$279=123, AL$279=12, AL$279=23, AL$279=2), Cultivar_2_Cohort_Year_Selection=$AK$278), ROUND(MAX(0,(AK$320-('Stage 2 Randomized Selection'!AA$2*$M321)) - 1),0),
IF(AND(OR(AL$279=123, AL$279=13, AL$279=23, AL$279=3), Cultivar_3_Cohort_Year_Selection=$AK$278), ROUND(MAX(0,(AK$320-('Stage 2 Randomized Selection'!AA$2*$M321)) - 1),0),
ROUND(MAX(0,(AK$320-('Stage 2 Randomized Selection'!AA$2*$M321))),0)))))))),0),"")</f>
        <v/>
      </c>
      <c r="AM344" s="270" t="str">
        <f>IF(ISNUMBER($B$280),
IF(AND(ISNUMBER(AL$320), AL$320&gt;0),
IF(AND(AM$279=123, Cultivar_1_Cohort_Year_Selection=$O$278,Cultivar_2_Cohort_Year_Selection=$O$278,Cultivar_3_Cohort_Year_Selection=$O$278), ROUND(MAX(0,(AL$320-('Stage 2 Randomized Selection'!AB$2*$M321)) - 3),0),
IF(AND(OR(AM$279=123, AM$279=12), Cultivar_1_Cohort_Year_Selection=$O$278,Cultivar_2_Cohort_Year_Selection=$O$278),  ROUND(MAX(0,(AL$320-('Stage 2 Randomized Selection'!AB$2*$M321)) - 2),0),
IF(AND(OR(AM$279=123, AM$279=13), Cultivar_1_Cohort_Year_Selection=$O$278,Cultivar_3_Cohort_Year_Selection=$O$278), ROUND(MAX(0,(AL$320-('Stage 2 Randomized Selection'!AB$2*$M321)) - 2),0),
IF(AND(OR(AM$279=123, AM$279=23), Cultivar_2_Cohort_Year_Selection=$O$278,Cultivar_3_Cohort_Year_Selection=$O$278), ROUND(MAX(0,(AL$320-('Stage 2 Randomized Selection'!AB$2*$M321)) - 2),0),
IF(AND(OR(AM$279=123, AM$279=12, AM$279=13, AM$279=1), Cultivar_1_Cohort_Year_Selection=$O$278), ROUND(MAX(0,(AL$320-('Stage 2 Randomized Selection'!AB$2*$M321)) - 1),0),
IF(AND(OR(AM$279=123, AM$279=12, AM$279=23, AM$279=2), Cultivar_2_Cohort_Year_Selection=$O$278), ROUND(MAX(0,(AL$320-('Stage 2 Randomized Selection'!AB$2*$M321)) - 1),0),
IF(AND(OR(AM$279=123, AM$279=13, AM$279=23, AM$279=3), Cultivar_3_Cohort_Year_Selection=$O$278), ROUND(MAX(0,(AL$320-('Stage 2 Randomized Selection'!AB$2*$M321)) - 1),0),
ROUND(MAX(0,(AL$320-('Stage 2 Randomized Selection'!AB$2*$M321))),0)))))))),0),"")</f>
        <v/>
      </c>
      <c r="AN344" s="270" t="str">
        <f>IF(ISNUMBER($B$280),
IF(AND(ISNUMBER(AM$320), AM$320&gt;0),
IF(AND(AN$279=123, Cultivar_1_Cohort_Year_Selection=$O$278,Cultivar_2_Cohort_Year_Selection=$O$278,Cultivar_3_Cohort_Year_Selection=$O$278), ROUND(MAX(0,(AM$320-('Stage 2 Randomized Selection'!AC$2*$M321)) - 3),0),
IF(AND(OR(AN$279=123, AN$279=12), Cultivar_1_Cohort_Year_Selection=$O$278,Cultivar_2_Cohort_Year_Selection=$O$278),  ROUND(MAX(0,(AM$320-('Stage 2 Randomized Selection'!AC$2*$M321)) - 2),0),
IF(AND(OR(AN$279=123, AN$279=13), Cultivar_1_Cohort_Year_Selection=$O$278,Cultivar_3_Cohort_Year_Selection=$O$278), ROUND(MAX(0,(AM$320-('Stage 2 Randomized Selection'!AC$2*$M321)) - 2),0),
IF(AND(OR(AN$279=123, AN$279=23), Cultivar_2_Cohort_Year_Selection=$O$278,Cultivar_3_Cohort_Year_Selection=$O$278), ROUND(MAX(0,(AM$320-('Stage 2 Randomized Selection'!AC$2*$M321)) - 2),0),
IF(AND(OR(AN$279=123, AN$279=12, AN$279=13, AN$279=1), Cultivar_1_Cohort_Year_Selection=$O$278), ROUND(MAX(0,(AM$320-('Stage 2 Randomized Selection'!AC$2*$M321)) - 1),0),
IF(AND(OR(AN$279=123, AN$279=12, AN$279=23, AN$279=2), Cultivar_2_Cohort_Year_Selection=$O$278), ROUND(MAX(0,(AM$320-('Stage 2 Randomized Selection'!AC$2*$M321)) - 1),0),
IF(AND(OR(AN$279=123, AN$279=13, AN$279=23, AN$279=3), Cultivar_3_Cohort_Year_Selection=$O$278), ROUND(MAX(0,(AM$320-('Stage 2 Randomized Selection'!AC$2*$M321)) - 1),0),
ROUND(MAX(0,(AM$320-('Stage 2 Randomized Selection'!AC$2*$M321))),0)))))))),0),"")</f>
        <v/>
      </c>
      <c r="AO344" s="270" t="str">
        <f>IF(ISNUMBER($B$280),
IF(AND(ISNUMBER(AN$320), AN$320&gt;0),
IF(AND(AO$279=123, Cultivar_1_Cohort_Year_Selection=$O$278,Cultivar_2_Cohort_Year_Selection=$O$278,Cultivar_3_Cohort_Year_Selection=$O$278), ROUND(MAX(0,(AN$320-('Stage 2 Randomized Selection'!AD$2*$M321)) - 3),0),
IF(AND(OR(AO$279=123, AO$279=12), Cultivar_1_Cohort_Year_Selection=$O$278,Cultivar_2_Cohort_Year_Selection=$O$278),  ROUND(MAX(0,(AN$320-('Stage 2 Randomized Selection'!AD$2*$M321)) - 2),0),
IF(AND(OR(AO$279=123, AO$279=13), Cultivar_1_Cohort_Year_Selection=$O$278,Cultivar_3_Cohort_Year_Selection=$O$278), ROUND(MAX(0,(AN$320-('Stage 2 Randomized Selection'!AD$2*$M321)) - 2),0),
IF(AND(OR(AO$279=123, AO$279=23), Cultivar_2_Cohort_Year_Selection=$O$278,Cultivar_3_Cohort_Year_Selection=$O$278), ROUND(MAX(0,(AN$320-('Stage 2 Randomized Selection'!AD$2*$M321)) - 2),0),
IF(AND(OR(AO$279=123, AO$279=12, AO$279=13, AO$279=1), Cultivar_1_Cohort_Year_Selection=$O$278), ROUND(MAX(0,(AN$320-('Stage 2 Randomized Selection'!AD$2*$M321)) - 1),0),
IF(AND(OR(AO$279=123, AO$279=12, AO$279=23, AO$279=2), Cultivar_2_Cohort_Year_Selection=$O$278), ROUND(MAX(0,(AN$320-('Stage 2 Randomized Selection'!AD$2*$M321)) - 1),0),
IF(AND(OR(AO$279=123, AO$279=13, AO$279=23, AO$279=3), Cultivar_3_Cohort_Year_Selection=$O$278), ROUND(MAX(0,(AN$320-('Stage 2 Randomized Selection'!AD$2*$M321)) - 1),0),
ROUND(MAX(0,(AN$320-('Stage 2 Randomized Selection'!AD$2*$M321))),0)))))))),0),"")</f>
        <v/>
      </c>
      <c r="AP344" s="270" t="str">
        <f>IF(ISNUMBER($B$280),
IF(AND(ISNUMBER(AO$320), AO$320&gt;0),
IF(AND(AP$279=123, Cultivar_1_Cohort_Year_Selection=$O$278,Cultivar_2_Cohort_Year_Selection=$O$278,Cultivar_3_Cohort_Year_Selection=$O$278), ROUND(MAX(0,(AO$320-('Stage 2 Randomized Selection'!AE$2*$M321)) - 3),0),
IF(AND(OR(AP$279=123, AP$279=12), Cultivar_1_Cohort_Year_Selection=$O$278,Cultivar_2_Cohort_Year_Selection=$O$278),  ROUND(MAX(0,(AO$320-('Stage 2 Randomized Selection'!AE$2*$M321)) - 2),0),
IF(AND(OR(AP$279=123, AP$279=13), Cultivar_1_Cohort_Year_Selection=$O$278,Cultivar_3_Cohort_Year_Selection=$O$278), ROUND(MAX(0,(AO$320-('Stage 2 Randomized Selection'!AE$2*$M321)) - 2),0),
IF(AND(OR(AP$279=123, AP$279=23), Cultivar_2_Cohort_Year_Selection=$O$278,Cultivar_3_Cohort_Year_Selection=$O$278), ROUND(MAX(0,(AO$320-('Stage 2 Randomized Selection'!AE$2*$M321)) - 2),0),
IF(AND(OR(AP$279=123, AP$279=12, AP$279=13, AP$279=1), Cultivar_1_Cohort_Year_Selection=$O$278), ROUND(MAX(0,(AO$320-('Stage 2 Randomized Selection'!AE$2*$M321)) - 1),0),
IF(AND(OR(AP$279=123, AP$279=12, AP$279=23, AP$279=2), Cultivar_2_Cohort_Year_Selection=$O$278), ROUND(MAX(0,(AO$320-('Stage 2 Randomized Selection'!AE$2*$M321)) - 1),0),
IF(AND(OR(AP$279=123, AP$279=13, AP$279=23, AP$279=3), Cultivar_3_Cohort_Year_Selection=$O$278), ROUND(MAX(0,(AO$320-('Stage 2 Randomized Selection'!AE$2*$M321)) - 1),0),
ROUND(MAX(0,(AO$320-('Stage 2 Randomized Selection'!AE$2*$M321))),0)))))))),0),"")</f>
        <v/>
      </c>
      <c r="AQ344" s="270" t="str">
        <f>IF(ISNUMBER($B$280),
IF(AND(ISNUMBER(AP$320), AP$320&gt;0),
IF(AND(AQ$279=123, Cultivar_1_Cohort_Year_Selection=$O$278,Cultivar_2_Cohort_Year_Selection=$O$278,Cultivar_3_Cohort_Year_Selection=$O$278), ROUND(MAX(0,(AP$320-('Stage 2 Randomized Selection'!AF$2*$M321)) - 3),0),
IF(AND(OR(AQ$279=123, AQ$279=12), Cultivar_1_Cohort_Year_Selection=$O$278,Cultivar_2_Cohort_Year_Selection=$O$278),  ROUND(MAX(0,(AP$320-('Stage 2 Randomized Selection'!AF$2*$M321)) - 2),0),
IF(AND(OR(AQ$279=123, AQ$279=13), Cultivar_1_Cohort_Year_Selection=$O$278,Cultivar_3_Cohort_Year_Selection=$O$278), ROUND(MAX(0,(AP$320-('Stage 2 Randomized Selection'!AF$2*$M321)) - 2),0),
IF(AND(OR(AQ$279=123, AQ$279=23), Cultivar_2_Cohort_Year_Selection=$O$278,Cultivar_3_Cohort_Year_Selection=$O$278), ROUND(MAX(0,(AP$320-('Stage 2 Randomized Selection'!AF$2*$M321)) - 2),0),
IF(AND(OR(AQ$279=123, AQ$279=12, AQ$279=13, AQ$279=1), Cultivar_1_Cohort_Year_Selection=$O$278), ROUND(MAX(0,(AP$320-('Stage 2 Randomized Selection'!AF$2*$M321)) - 1),0),
IF(AND(OR(AQ$279=123, AQ$279=12, AQ$279=23, AQ$279=2), Cultivar_2_Cohort_Year_Selection=$O$278), ROUND(MAX(0,(AP$320-('Stage 2 Randomized Selection'!AF$2*$M321)) - 1),0),
IF(AND(OR(AQ$279=123, AQ$279=13, AQ$279=23, AQ$279=3), Cultivar_3_Cohort_Year_Selection=$O$278), ROUND(MAX(0,(AP$320-('Stage 2 Randomized Selection'!AF$2*$M321)) - 1),0),
ROUND(MAX(0,(AP$320-('Stage 2 Randomized Selection'!AF$2*$M321))),0)))))))),0),"")</f>
        <v/>
      </c>
      <c r="AR344" s="271" t="str">
        <f>IF(ISNUMBER($B$280),
IF(AND(ISNUMBER(AQ$320), AQ$320&gt;0),
IF(AND(AR$279=123, Cultivar_1_Cohort_Year_Selection=$O$278,Cultivar_2_Cohort_Year_Selection=$O$278,Cultivar_3_Cohort_Year_Selection=$O$278), ROUND(MAX(0,(AQ$320-('Stage 2 Randomized Selection'!AG$2*$M321)) - 3),0),
IF(AND(OR(AR$279=123, AR$279=12), Cultivar_1_Cohort_Year_Selection=$O$278,Cultivar_2_Cohort_Year_Selection=$O$278),  ROUND(MAX(0,(AQ$320-('Stage 2 Randomized Selection'!AG$2*$M321)) - 2),0),
IF(AND(OR(AR$279=123, AR$279=13), Cultivar_1_Cohort_Year_Selection=$O$278,Cultivar_3_Cohort_Year_Selection=$O$278), ROUND(MAX(0,(AQ$320-('Stage 2 Randomized Selection'!AG$2*$M321)) - 2),0),
IF(AND(OR(AR$279=123, AR$279=23), Cultivar_2_Cohort_Year_Selection=$O$278,Cultivar_3_Cohort_Year_Selection=$O$278), ROUND(MAX(0,(AQ$320-('Stage 2 Randomized Selection'!AG$2*$M321)) - 2),0),
IF(AND(OR(AR$279=123, AR$279=12, AR$279=13, AR$279=1), Cultivar_1_Cohort_Year_Selection=$O$278), ROUND(MAX(0,(AQ$320-('Stage 2 Randomized Selection'!AG$2*$M321)) - 1),0),
IF(AND(OR(AR$279=123, AR$279=12, AR$279=23, AR$279=2), Cultivar_2_Cohort_Year_Selection=$O$278), ROUND(MAX(0,(AQ$320-('Stage 2 Randomized Selection'!AG$2*$M321)) - 1),0),
IF(AND(OR(AR$279=123, AR$279=13, AR$279=23, AR$279=3), Cultivar_3_Cohort_Year_Selection=$O$278), ROUND(MAX(0,(AQ$320-('Stage 2 Randomized Selection'!AG$2*$M321)) - 1),0),
ROUND(MAX(0,(AQ$320-('Stage 2 Randomized Selection'!AG$2*$M321))),0)))))))),0),"")</f>
        <v/>
      </c>
    </row>
    <row r="345" spans="1:45" ht="14.45" customHeight="1" x14ac:dyDescent="0.25">
      <c r="A345" s="518" t="str">
        <f>Fourth_Stage</f>
        <v>Stage 2 Clonal Test Plots</v>
      </c>
      <c r="B345" s="504" t="str">
        <f>'Breeding Inputs'!B91</f>
        <v/>
      </c>
      <c r="C345" s="521" t="str">
        <f>IF(ISNUMBER(B345), _4_3_0, "")</f>
        <v/>
      </c>
      <c r="D345" s="94" t="str">
        <f>IF(AND(C345&lt;&gt;"", 'Cost Inputs'!$G$105&lt;&gt;""), 'Cost Inputs'!$G$105, "")</f>
        <v/>
      </c>
      <c r="E345" s="94" t="str">
        <f>IF(AND(C345&lt;&gt;"", 'Cost Inputs'!$H$105&lt;&gt;""), 'Cost Inputs'!$H$105, "")</f>
        <v/>
      </c>
      <c r="F345" s="492" t="str">
        <f>IF(AND(C345&lt;&gt;"", 'Cost Inputs'!$I$105&lt;&gt;""), 'Cost Inputs'!$I$105, "")</f>
        <v/>
      </c>
      <c r="G345" s="102" t="str">
        <f t="shared" si="63"/>
        <v/>
      </c>
      <c r="H345" s="492" t="str">
        <f>IF(AND(C345&lt;&gt;"", 'Cost Inputs'!$J$105&lt;&gt;""), 'Cost Inputs'!$J$105, "")</f>
        <v/>
      </c>
      <c r="I345" s="102" t="str">
        <f>IF($C345&lt;&gt;"",IF(AND($E345&lt;&gt;"",H345&lt;&gt;""), H345/$E345, 0),"")</f>
        <v/>
      </c>
      <c r="J345" s="492" t="str">
        <f>IF(AND(C345&lt;&gt;"",('Cost Inputs'!$I$105+'Cost Inputs'!$J$105+'Cost Inputs'!$K$105)&gt;0), 'Cost Inputs'!$I$105+'Cost Inputs'!$J$105+'Cost Inputs'!$K$105, "")</f>
        <v/>
      </c>
      <c r="K345" s="102" t="str">
        <f>IF($C345&lt;&gt;"",IF(AND($E345&lt;&gt;"",J345&lt;&gt;""), J345/$E345, 0),"")</f>
        <v/>
      </c>
      <c r="L345" s="525" t="str">
        <f>IF(AND($B345&lt;&gt;"", 'Breeding Inputs'!$C$89&lt;&gt;""), INDEX('Breeding Inputs'!$C$89:$C$98, MATCH($B345,'Breeding Inputs'!$B$89:$B$98,0)), IF($B345="", "", 0%))</f>
        <v/>
      </c>
      <c r="M345" s="525" t="str">
        <f>IF(AND($B345&lt;&gt;"", 'Breeding Inputs'!$D$89&lt;&gt;""), INDEX('Breeding Inputs'!$D$89:$D$98, MATCH($B345,'Breeding Inputs'!$B$89:$B$98,0))+INDEX('Breeding Inputs'!$E$89:$E$98, MATCH($B345,'Breeding Inputs'!$B$89:$B$98,0)), IF($B345="", "", 0%))</f>
        <v/>
      </c>
      <c r="Q345" s="496" t="str">
        <f>IF(ISNUMBER($B$345),
IF($C345&lt;&gt;"",
IF(AND(ISNUMBER(O$280), ISNUMBER(O$317)),
IF(AND(Q$279=123, Cultivar_1_Cohort_Year_Selection=$O$278,Cultivar_2_Cohort_Year_Selection=$O$278,Cultivar_3_Cohort_Year_Selection=$O$278), ROUND(MAX(0,P$344 - 3),0),
IF(AND(OR(Q$279=123, Q$279=12), Cultivar_1_Cohort_Year_Selection=$O$278,Cultivar_2_Cohort_Year_Selection=$O$278), ROUND(MAX(0,P$344 - 2),0),
IF(AND(OR(Q$279=123, Q$279=13), Cultivar_1_Cohort_Year_Selection=$O$278,Cultivar_3_Cohort_Year_Selection=$O$278), ROUND(MAX(0,P$344 - 2),0),
IF(AND(OR(Q$279=123, Q$279=23), Cultivar_2_Cohort_Year_Selection=$O$278,Cultivar_3_Cohort_Year_Selection=$O$278), ROUND(MAX(0,P$344 - 2),0),
IF(AND(OR(Q$279=123, Q$279=12, Q$279=13, Q$279=1), Cultivar_1_Cohort_Year_Selection=$O$278), ROUND(MAX(0,P$344 - 1),0),
IF(AND(OR(Q$279=123, Q$279=12, Q$279=23, Q$279=2), Cultivar_2_Cohort_Year_Selection=$O$278), ROUND(MAX(0,P$344 - 1),0),
IF(AND(OR(Q$279=123, Q$279=13, Q$279=23, Q$279=3), Cultivar_3_Cohort_Year_Selection=$O$278), ROUND(MAX(0,P$344 - 1),0),
ROUND(MAX(0,P$344),0)))))))),""),""),"")</f>
        <v/>
      </c>
      <c r="R345" s="496" t="str">
        <f>IF(ISNUMBER($B$345),
IF($C345&lt;&gt;"",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45" s="496" t="str">
        <f>IF(ISNUMBER($B$345),
IF($C345&lt;&gt;"",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45" s="496" t="str">
        <f>IF(ISNUMBER($B$345),
IF($C345&lt;&gt;"",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45" s="496" t="str">
        <f>IF(ISNUMBER($B$345),
IF($C345&lt;&gt;"",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45" s="496" t="str">
        <f>IF(ISNUMBER($B$345),
IF($C345&lt;&gt;"",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45" s="496" t="str">
        <f>IF(ISNUMBER($B$345),
IF($C345&lt;&gt;"",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45" s="496" t="str">
        <f>IF(ISNUMBER($B$345),
IF($C345&lt;&gt;"",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45" s="496" t="str">
        <f>IF(ISNUMBER($B$345),
IF($C345&lt;&gt;"",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45" s="496" t="str">
        <f>IF(ISNUMBER($B$345),
IF($C345&lt;&gt;"",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45" s="496" t="str">
        <f>IF(ISNUMBER($B$345),
IF($C345&lt;&gt;"",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45" s="496" t="str">
        <f>IF(ISNUMBER($B$345),
IF($C345&lt;&gt;"",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45" s="496" t="str">
        <f>IF(ISNUMBER($B$345),
IF($C345&lt;&gt;"",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45" s="496" t="str">
        <f>IF(ISNUMBER($B$345),
IF($C345&lt;&gt;"",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45" s="496" t="str">
        <f>IF(ISNUMBER($B$345),
IF($C345&lt;&gt;"",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45" s="496" t="str">
        <f>IF(ISNUMBER($B$345),
IF($C345&lt;&gt;"",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45" s="496" t="str">
        <f>IF(ISNUMBER($B$345),
IF($C345&lt;&gt;"",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45" s="496" t="str">
        <f>IF(ISNUMBER($B$345),
IF($C345&lt;&gt;"",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45" s="496" t="str">
        <f>IF(ISNUMBER($B$345),
IF($C345&lt;&gt;"",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45" s="496" t="str">
        <f>IF(ISNUMBER($B$345),
IF($C345&lt;&gt;"",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45" s="496" t="str">
        <f>IF(ISNUMBER($B$345),
IF($C345&lt;&gt;"",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45" s="496" t="str">
        <f>IF(ISNUMBER($B$345),
IF($C345&lt;&gt;"",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45" s="496" t="str">
        <f>IF(ISNUMBER($B$345),
IF($C345&lt;&gt;"",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45" s="496" t="str">
        <f>IF(ISNUMBER($B$345),
IF($C345&lt;&gt;"",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45" s="496" t="str">
        <f>IF(ISNUMBER($B$345),
IF($C345&lt;&gt;"",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45" s="496" t="str">
        <f>IF(ISNUMBER($B$345),
IF($C345&lt;&gt;"",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45" s="496" t="str">
        <f>IF(ISNUMBER($B$345),
IF($C345&lt;&gt;"",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45" s="496" t="str">
        <f>IF(ISNUMBER($B$345),
IF($C345&lt;&gt;"",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c r="AS345" s="528"/>
    </row>
    <row r="346" spans="1:45" x14ac:dyDescent="0.25">
      <c r="A346" s="518"/>
      <c r="B346" s="504"/>
      <c r="C346" s="521"/>
      <c r="D346" s="94" t="str">
        <f>IF(AND(C345&lt;&gt;"", 'Cost Inputs'!$G$106&lt;&gt;""), 'Cost Inputs'!$G$106, "")</f>
        <v/>
      </c>
      <c r="E346" s="94" t="str">
        <f>IF(AND(C345&lt;&gt;"", 'Cost Inputs'!H158&lt;&gt;""), 'Cost Inputs'!H158, "")</f>
        <v/>
      </c>
      <c r="F346" s="492"/>
      <c r="G346" s="102" t="str">
        <f t="shared" si="63"/>
        <v/>
      </c>
      <c r="H346" s="492"/>
      <c r="I346" s="102" t="str">
        <f>IF($C345&lt;&gt;"", IF(AND($E346&lt;&gt;"", H345&lt;&gt;""), H345/($E345*$E346), 0), "")</f>
        <v/>
      </c>
      <c r="J346" s="492" t="str">
        <f>IF(AND(C346&lt;&gt;"",('Cost Inputs'!$I$86+'Cost Inputs'!$J$86+'Cost Inputs'!$K$86)&gt;0), 'Cost Inputs'!$I$86+'Cost Inputs'!$J$86+'Cost Inputs'!$K$86, "")</f>
        <v/>
      </c>
      <c r="K346" s="102" t="str">
        <f>IF($C345&lt;&gt;"", IF(AND($E346&lt;&gt;"", J345&lt;&gt;""), J345/($E345*$E346), 0), "")</f>
        <v/>
      </c>
      <c r="L346" s="525"/>
      <c r="M346" s="525"/>
      <c r="Q346" s="496" t="str">
        <f>IF(ISNUMBER($B$280),
IF($C346&lt;&gt;"",
IF(AND(ISNUMBER('Stage 2 Randomized Selection'!G$2), 'Stage 2 Randomized Selection'!G$2&gt;0),
IF(AND(Q$279=123, Cultivar_1_Cohort_Year_Selection=$O$278,Cultivar_2_Cohort_Year_Selection=$O$278,Cultivar_3_Cohort_Year_Selection=$O$278), MAX(0,'Stage 2 Randomized Selection'!G$2 - 3),
IF(AND(OR(Q$279=123, Q$279=12), Cultivar_1_Cohort_Year_Selection=$O$278,Cultivar_2_Cohort_Year_Selection=$O$278),  MAX(0,'Stage 2 Randomized Selection'!G$2 - 2),
IF(AND(OR(Q$279=123, Q$279=13), Cultivar_1_Cohort_Year_Selection=$O$278,Cultivar_3_Cohort_Year_Selection=$O$278), MAX(0,'Stage 2 Randomized Selection'!G$2 - 2),
IF(AND(OR(Q$279=123, Q$279=23), Cultivar_2_Cohort_Year_Selection=$O$278,Cultivar_3_Cohort_Year_Selection=$O$278), MAX(0,'Stage 2 Randomized Selection'!G$2 - 2),
IF(AND(OR(Q$279=123, Q$279=12, Q$279=13, Q$279=1), Cultivar_1_Cohort_Year_Selection=$O$278), MAX(0,'Stage 2 Randomized Selection'!G$2 - 1),
IF(AND(OR(Q$279=123, Q$279=12, Q$279=23, Q$279=2), Cultivar_2_Cohort_Year_Selection=$O$278), MAX(0,'Stage 2 Randomized Selection'!G$2 - 1),
IF(AND(OR(Q$279=123, Q$279=13, Q$279=23, Q$279=3), Cultivar_3_Cohort_Year_Selection=$O$278), MAX(0,'Stage 2 Randomized Selection'!G$2 - 1), 'Stage 2 Randomized Selection'!G$2))))))),""),""),"")</f>
        <v/>
      </c>
      <c r="R346" s="496" t="str">
        <f>IF(ISNUMBER($B$280),
IF($C346&lt;&gt;"",
IF(AND(ISNUMBER('Stage 2 Randomized Selection'!H$2), 'Stage 2 Randomized Selection'!H$2&gt;0),
IF(AND(R$279=123, Cultivar_1_Cohort_Year_Selection=$O$278,Cultivar_2_Cohort_Year_Selection=$O$278,Cultivar_3_Cohort_Year_Selection=$O$278), MAX(0,'Stage 2 Randomized Selection'!H$2 - 3),
IF(AND(OR(R$279=123, R$279=12), Cultivar_1_Cohort_Year_Selection=$O$278,Cultivar_2_Cohort_Year_Selection=$O$278),  MAX(0,'Stage 2 Randomized Selection'!H$2 - 2),
IF(AND(OR(R$279=123, R$279=13), Cultivar_1_Cohort_Year_Selection=$O$278,Cultivar_3_Cohort_Year_Selection=$O$278), MAX(0,'Stage 2 Randomized Selection'!H$2 - 2),
IF(AND(OR(R$279=123, R$279=23), Cultivar_2_Cohort_Year_Selection=$O$278,Cultivar_3_Cohort_Year_Selection=$O$278), MAX(0,'Stage 2 Randomized Selection'!H$2 - 2),
IF(AND(OR(R$279=123, R$279=12, R$279=13, R$279=1), Cultivar_1_Cohort_Year_Selection=$O$278), MAX(0,'Stage 2 Randomized Selection'!H$2 - 1),
IF(AND(OR(R$279=123, R$279=12, R$279=23, R$279=2), Cultivar_2_Cohort_Year_Selection=$O$278), MAX(0,'Stage 2 Randomized Selection'!H$2 - 1),
IF(AND(OR(R$279=123, R$279=13, R$279=23, R$279=3), Cultivar_3_Cohort_Year_Selection=$O$278), MAX(0,'Stage 2 Randomized Selection'!H$2 - 1), 'Stage 2 Randomized Selection'!H$2))))))),""),""),"")</f>
        <v/>
      </c>
      <c r="S346" s="496" t="str">
        <f>IF(ISNUMBER($B$280),
IF($C346&lt;&gt;"",
IF(AND(ISNUMBER('Stage 2 Randomized Selection'!I$2), 'Stage 2 Randomized Selection'!I$2&gt;0),
IF(AND(S$279=123, Cultivar_1_Cohort_Year_Selection=$O$278,Cultivar_2_Cohort_Year_Selection=$O$278,Cultivar_3_Cohort_Year_Selection=$O$278), MAX(0,'Stage 2 Randomized Selection'!I$2 - 3),
IF(AND(OR(S$279=123, S$279=12), Cultivar_1_Cohort_Year_Selection=$O$278,Cultivar_2_Cohort_Year_Selection=$O$278),  MAX(0,'Stage 2 Randomized Selection'!I$2 - 2),
IF(AND(OR(S$279=123, S$279=13), Cultivar_1_Cohort_Year_Selection=$O$278,Cultivar_3_Cohort_Year_Selection=$O$278), MAX(0,'Stage 2 Randomized Selection'!I$2 - 2),
IF(AND(OR(S$279=123, S$279=23), Cultivar_2_Cohort_Year_Selection=$O$278,Cultivar_3_Cohort_Year_Selection=$O$278), MAX(0,'Stage 2 Randomized Selection'!I$2 - 2),
IF(AND(OR(S$279=123, S$279=12, S$279=13, S$279=1), Cultivar_1_Cohort_Year_Selection=$O$278), MAX(0,'Stage 2 Randomized Selection'!I$2 - 1),
IF(AND(OR(S$279=123, S$279=12, S$279=23, S$279=2), Cultivar_2_Cohort_Year_Selection=$O$278), MAX(0,'Stage 2 Randomized Selection'!I$2 - 1),
IF(AND(OR(S$279=123, S$279=13, S$279=23, S$279=3), Cultivar_3_Cohort_Year_Selection=$O$278), MAX(0,'Stage 2 Randomized Selection'!I$2 - 1), 'Stage 2 Randomized Selection'!I$2))))))),""),""),"")</f>
        <v/>
      </c>
      <c r="T346" s="496" t="str">
        <f>IF(ISNUMBER($B$280),
IF($C346&lt;&gt;"",
IF(AND(ISNUMBER('Stage 2 Randomized Selection'!J$2), 'Stage 2 Randomized Selection'!J$2&gt;0),
IF(AND(T$279=123, Cultivar_1_Cohort_Year_Selection=$O$278,Cultivar_2_Cohort_Year_Selection=$O$278,Cultivar_3_Cohort_Year_Selection=$O$278), MAX(0,'Stage 2 Randomized Selection'!J$2 - 3),
IF(AND(OR(T$279=123, T$279=12), Cultivar_1_Cohort_Year_Selection=$O$278,Cultivar_2_Cohort_Year_Selection=$O$278),  MAX(0,'Stage 2 Randomized Selection'!J$2 - 2),
IF(AND(OR(T$279=123, T$279=13), Cultivar_1_Cohort_Year_Selection=$O$278,Cultivar_3_Cohort_Year_Selection=$O$278), MAX(0,'Stage 2 Randomized Selection'!J$2 - 2),
IF(AND(OR(T$279=123, T$279=23), Cultivar_2_Cohort_Year_Selection=$O$278,Cultivar_3_Cohort_Year_Selection=$O$278), MAX(0,'Stage 2 Randomized Selection'!J$2 - 2),
IF(AND(OR(T$279=123, T$279=12, T$279=13, T$279=1), Cultivar_1_Cohort_Year_Selection=$O$278), MAX(0,'Stage 2 Randomized Selection'!J$2 - 1),
IF(AND(OR(T$279=123, T$279=12, T$279=23, T$279=2), Cultivar_2_Cohort_Year_Selection=$O$278), MAX(0,'Stage 2 Randomized Selection'!J$2 - 1),
IF(AND(OR(T$279=123, T$279=13, T$279=23, T$279=3), Cultivar_3_Cohort_Year_Selection=$O$278), MAX(0,'Stage 2 Randomized Selection'!J$2 - 1), 'Stage 2 Randomized Selection'!J$2))))))),""),""),"")</f>
        <v/>
      </c>
      <c r="U346" s="496" t="str">
        <f>IF(ISNUMBER($B$280),
IF($C346&lt;&gt;"",
IF(AND(ISNUMBER('Stage 2 Randomized Selection'!K$2), 'Stage 2 Randomized Selection'!K$2&gt;0),
IF(AND(U$279=123, Cultivar_1_Cohort_Year_Selection=$O$278,Cultivar_2_Cohort_Year_Selection=$O$278,Cultivar_3_Cohort_Year_Selection=$O$278), MAX(0,'Stage 2 Randomized Selection'!K$2 - 3),
IF(AND(OR(U$279=123, U$279=12), Cultivar_1_Cohort_Year_Selection=$O$278,Cultivar_2_Cohort_Year_Selection=$O$278),  MAX(0,'Stage 2 Randomized Selection'!K$2 - 2),
IF(AND(OR(U$279=123, U$279=13), Cultivar_1_Cohort_Year_Selection=$O$278,Cultivar_3_Cohort_Year_Selection=$O$278), MAX(0,'Stage 2 Randomized Selection'!K$2 - 2),
IF(AND(OR(U$279=123, U$279=23), Cultivar_2_Cohort_Year_Selection=$O$278,Cultivar_3_Cohort_Year_Selection=$O$278), MAX(0,'Stage 2 Randomized Selection'!K$2 - 2),
IF(AND(OR(U$279=123, U$279=12, U$279=13, U$279=1), Cultivar_1_Cohort_Year_Selection=$O$278), MAX(0,'Stage 2 Randomized Selection'!K$2 - 1),
IF(AND(OR(U$279=123, U$279=12, U$279=23, U$279=2), Cultivar_2_Cohort_Year_Selection=$O$278), MAX(0,'Stage 2 Randomized Selection'!K$2 - 1),
IF(AND(OR(U$279=123, U$279=13, U$279=23, U$279=3), Cultivar_3_Cohort_Year_Selection=$O$278), MAX(0,'Stage 2 Randomized Selection'!K$2 - 1), 'Stage 2 Randomized Selection'!K$2))))))),""),""),"")</f>
        <v/>
      </c>
      <c r="V346" s="496" t="str">
        <f>IF(ISNUMBER($B$280),
IF($C346&lt;&gt;"",
IF(AND(ISNUMBER('Stage 2 Randomized Selection'!L$2), 'Stage 2 Randomized Selection'!L$2&gt;0),
IF(AND(V$279=123, Cultivar_1_Cohort_Year_Selection=$O$278,Cultivar_2_Cohort_Year_Selection=$O$278,Cultivar_3_Cohort_Year_Selection=$O$278), MAX(0,'Stage 2 Randomized Selection'!L$2 - 3),
IF(AND(OR(V$279=123, V$279=12), Cultivar_1_Cohort_Year_Selection=$O$278,Cultivar_2_Cohort_Year_Selection=$O$278),  MAX(0,'Stage 2 Randomized Selection'!L$2 - 2),
IF(AND(OR(V$279=123, V$279=13), Cultivar_1_Cohort_Year_Selection=$O$278,Cultivar_3_Cohort_Year_Selection=$O$278), MAX(0,'Stage 2 Randomized Selection'!L$2 - 2),
IF(AND(OR(V$279=123, V$279=23), Cultivar_2_Cohort_Year_Selection=$O$278,Cultivar_3_Cohort_Year_Selection=$O$278), MAX(0,'Stage 2 Randomized Selection'!L$2 - 2),
IF(AND(OR(V$279=123, V$279=12, V$279=13, V$279=1), Cultivar_1_Cohort_Year_Selection=$O$278), MAX(0,'Stage 2 Randomized Selection'!L$2 - 1),
IF(AND(OR(V$279=123, V$279=12, V$279=23, V$279=2), Cultivar_2_Cohort_Year_Selection=$O$278), MAX(0,'Stage 2 Randomized Selection'!L$2 - 1),
IF(AND(OR(V$279=123, V$279=13, V$279=23, V$279=3), Cultivar_3_Cohort_Year_Selection=$O$278), MAX(0,'Stage 2 Randomized Selection'!L$2 - 1), 'Stage 2 Randomized Selection'!L$2))))))),""),""),"")</f>
        <v/>
      </c>
      <c r="W346" s="496" t="str">
        <f>IF(ISNUMBER($B$280),
IF($C346&lt;&gt;"",
IF(AND(ISNUMBER('Stage 2 Randomized Selection'!M$2), 'Stage 2 Randomized Selection'!M$2&gt;0),
IF(AND(W$279=123, Cultivar_1_Cohort_Year_Selection=$O$278,Cultivar_2_Cohort_Year_Selection=$O$278,Cultivar_3_Cohort_Year_Selection=$O$278), MAX(0,'Stage 2 Randomized Selection'!M$2 - 3),
IF(AND(OR(W$279=123, W$279=12), Cultivar_1_Cohort_Year_Selection=$O$278,Cultivar_2_Cohort_Year_Selection=$O$278),  MAX(0,'Stage 2 Randomized Selection'!M$2 - 2),
IF(AND(OR(W$279=123, W$279=13), Cultivar_1_Cohort_Year_Selection=$O$278,Cultivar_3_Cohort_Year_Selection=$O$278), MAX(0,'Stage 2 Randomized Selection'!M$2 - 2),
IF(AND(OR(W$279=123, W$279=23), Cultivar_2_Cohort_Year_Selection=$O$278,Cultivar_3_Cohort_Year_Selection=$O$278), MAX(0,'Stage 2 Randomized Selection'!M$2 - 2),
IF(AND(OR(W$279=123, W$279=12, W$279=13, W$279=1), Cultivar_1_Cohort_Year_Selection=$O$278), MAX(0,'Stage 2 Randomized Selection'!M$2 - 1),
IF(AND(OR(W$279=123, W$279=12, W$279=23, W$279=2), Cultivar_2_Cohort_Year_Selection=$O$278), MAX(0,'Stage 2 Randomized Selection'!M$2 - 1),
IF(AND(OR(W$279=123, W$279=13, W$279=23, W$279=3), Cultivar_3_Cohort_Year_Selection=$O$278), MAX(0,'Stage 2 Randomized Selection'!M$2 - 1), 'Stage 2 Randomized Selection'!M$2))))))),""),""),"")</f>
        <v/>
      </c>
      <c r="X346" s="496" t="str">
        <f>IF(ISNUMBER($B$280),
IF($C346&lt;&gt;"",
IF(AND(ISNUMBER('Stage 2 Randomized Selection'!N$2), 'Stage 2 Randomized Selection'!N$2&gt;0),
IF(AND(X$279=123, Cultivar_1_Cohort_Year_Selection=$O$278,Cultivar_2_Cohort_Year_Selection=$O$278,Cultivar_3_Cohort_Year_Selection=$O$278), MAX(0,'Stage 2 Randomized Selection'!N$2 - 3),
IF(AND(OR(X$279=123, X$279=12), Cultivar_1_Cohort_Year_Selection=$O$278,Cultivar_2_Cohort_Year_Selection=$O$278),  MAX(0,'Stage 2 Randomized Selection'!N$2 - 2),
IF(AND(OR(X$279=123, X$279=13), Cultivar_1_Cohort_Year_Selection=$O$278,Cultivar_3_Cohort_Year_Selection=$O$278), MAX(0,'Stage 2 Randomized Selection'!N$2 - 2),
IF(AND(OR(X$279=123, X$279=23), Cultivar_2_Cohort_Year_Selection=$O$278,Cultivar_3_Cohort_Year_Selection=$O$278), MAX(0,'Stage 2 Randomized Selection'!N$2 - 2),
IF(AND(OR(X$279=123, X$279=12, X$279=13, X$279=1), Cultivar_1_Cohort_Year_Selection=$O$278), MAX(0,'Stage 2 Randomized Selection'!N$2 - 1),
IF(AND(OR(X$279=123, X$279=12, X$279=23, X$279=2), Cultivar_2_Cohort_Year_Selection=$O$278), MAX(0,'Stage 2 Randomized Selection'!N$2 - 1),
IF(AND(OR(X$279=123, X$279=13, X$279=23, X$279=3), Cultivar_3_Cohort_Year_Selection=$O$278), MAX(0,'Stage 2 Randomized Selection'!N$2 - 1), 'Stage 2 Randomized Selection'!N$2))))))),""),""),"")</f>
        <v/>
      </c>
      <c r="Y346" s="496" t="str">
        <f>IF(ISNUMBER($B$280),
IF($C346&lt;&gt;"",
IF(AND(ISNUMBER('Stage 2 Randomized Selection'!O$2), 'Stage 2 Randomized Selection'!O$2&gt;0),
IF(AND(Y$279=123, Cultivar_1_Cohort_Year_Selection=$O$278,Cultivar_2_Cohort_Year_Selection=$O$278,Cultivar_3_Cohort_Year_Selection=$O$278), MAX(0,'Stage 2 Randomized Selection'!O$2 - 3),
IF(AND(OR(Y$279=123, Y$279=12), Cultivar_1_Cohort_Year_Selection=$O$278,Cultivar_2_Cohort_Year_Selection=$O$278),  MAX(0,'Stage 2 Randomized Selection'!O$2 - 2),
IF(AND(OR(Y$279=123, Y$279=13), Cultivar_1_Cohort_Year_Selection=$O$278,Cultivar_3_Cohort_Year_Selection=$O$278), MAX(0,'Stage 2 Randomized Selection'!O$2 - 2),
IF(AND(OR(Y$279=123, Y$279=23), Cultivar_2_Cohort_Year_Selection=$O$278,Cultivar_3_Cohort_Year_Selection=$O$278), MAX(0,'Stage 2 Randomized Selection'!O$2 - 2),
IF(AND(OR(Y$279=123, Y$279=12, Y$279=13, Y$279=1), Cultivar_1_Cohort_Year_Selection=$O$278), MAX(0,'Stage 2 Randomized Selection'!O$2 - 1),
IF(AND(OR(Y$279=123, Y$279=12, Y$279=23, Y$279=2), Cultivar_2_Cohort_Year_Selection=$O$278), MAX(0,'Stage 2 Randomized Selection'!O$2 - 1),
IF(AND(OR(Y$279=123, Y$279=13, Y$279=23, Y$279=3), Cultivar_3_Cohort_Year_Selection=$O$278), MAX(0,'Stage 2 Randomized Selection'!O$2 - 1), 'Stage 2 Randomized Selection'!O$2))))))),""),""),"")</f>
        <v/>
      </c>
      <c r="Z346" s="496" t="str">
        <f>IF(ISNUMBER($B$280),
IF($C346&lt;&gt;"",
IF(AND(ISNUMBER('Stage 2 Randomized Selection'!P$2), 'Stage 2 Randomized Selection'!P$2&gt;0),
IF(AND(Z$279=123, Cultivar_1_Cohort_Year_Selection=$O$278,Cultivar_2_Cohort_Year_Selection=$O$278,Cultivar_3_Cohort_Year_Selection=$O$278), MAX(0,'Stage 2 Randomized Selection'!P$2 - 3),
IF(AND(OR(Z$279=123, Z$279=12), Cultivar_1_Cohort_Year_Selection=$O$278,Cultivar_2_Cohort_Year_Selection=$O$278),  MAX(0,'Stage 2 Randomized Selection'!P$2 - 2),
IF(AND(OR(Z$279=123, Z$279=13), Cultivar_1_Cohort_Year_Selection=$O$278,Cultivar_3_Cohort_Year_Selection=$O$278), MAX(0,'Stage 2 Randomized Selection'!P$2 - 2),
IF(AND(OR(Z$279=123, Z$279=23), Cultivar_2_Cohort_Year_Selection=$O$278,Cultivar_3_Cohort_Year_Selection=$O$278), MAX(0,'Stage 2 Randomized Selection'!P$2 - 2),
IF(AND(OR(Z$279=123, Z$279=12, Z$279=13, Z$279=1), Cultivar_1_Cohort_Year_Selection=$O$278), MAX(0,'Stage 2 Randomized Selection'!P$2 - 1),
IF(AND(OR(Z$279=123, Z$279=12, Z$279=23, Z$279=2), Cultivar_2_Cohort_Year_Selection=$O$278), MAX(0,'Stage 2 Randomized Selection'!P$2 - 1),
IF(AND(OR(Z$279=123, Z$279=13, Z$279=23, Z$279=3), Cultivar_3_Cohort_Year_Selection=$O$278), MAX(0,'Stage 2 Randomized Selection'!P$2 - 1), 'Stage 2 Randomized Selection'!P$2))))))),""),""),"")</f>
        <v/>
      </c>
      <c r="AA346" s="496" t="str">
        <f>IF(ISNUMBER($B$280),
IF($C346&lt;&gt;"",
IF(AND(ISNUMBER('Stage 2 Randomized Selection'!Q$2), 'Stage 2 Randomized Selection'!Q$2&gt;0),
IF(AND(AA$279=123, Cultivar_1_Cohort_Year_Selection=$O$278,Cultivar_2_Cohort_Year_Selection=$O$278,Cultivar_3_Cohort_Year_Selection=$O$278), MAX(0,'Stage 2 Randomized Selection'!Q$2 - 3),
IF(AND(OR(AA$279=123, AA$279=12), Cultivar_1_Cohort_Year_Selection=$O$278,Cultivar_2_Cohort_Year_Selection=$O$278),  MAX(0,'Stage 2 Randomized Selection'!Q$2 - 2),
IF(AND(OR(AA$279=123, AA$279=13), Cultivar_1_Cohort_Year_Selection=$O$278,Cultivar_3_Cohort_Year_Selection=$O$278), MAX(0,'Stage 2 Randomized Selection'!Q$2 - 2),
IF(AND(OR(AA$279=123, AA$279=23), Cultivar_2_Cohort_Year_Selection=$O$278,Cultivar_3_Cohort_Year_Selection=$O$278), MAX(0,'Stage 2 Randomized Selection'!Q$2 - 2),
IF(AND(OR(AA$279=123, AA$279=12, AA$279=13, AA$279=1), Cultivar_1_Cohort_Year_Selection=$O$278), MAX(0,'Stage 2 Randomized Selection'!Q$2 - 1),
IF(AND(OR(AA$279=123, AA$279=12, AA$279=23, AA$279=2), Cultivar_2_Cohort_Year_Selection=$O$278), MAX(0,'Stage 2 Randomized Selection'!Q$2 - 1),
IF(AND(OR(AA$279=123, AA$279=13, AA$279=23, AA$279=3), Cultivar_3_Cohort_Year_Selection=$O$278), MAX(0,'Stage 2 Randomized Selection'!Q$2 - 1), 'Stage 2 Randomized Selection'!Q$2))))))),""),""),"")</f>
        <v/>
      </c>
      <c r="AB346" s="496" t="str">
        <f>IF(ISNUMBER($B$280),
IF($C346&lt;&gt;"",
IF(AND(ISNUMBER('Stage 2 Randomized Selection'!R$2), 'Stage 2 Randomized Selection'!R$2&gt;0),
IF(AND(AB$279=123, Cultivar_1_Cohort_Year_Selection=$O$278,Cultivar_2_Cohort_Year_Selection=$O$278,Cultivar_3_Cohort_Year_Selection=$O$278), MAX(0,'Stage 2 Randomized Selection'!R$2 - 3),
IF(AND(OR(AB$279=123, AB$279=12), Cultivar_1_Cohort_Year_Selection=$O$278,Cultivar_2_Cohort_Year_Selection=$O$278),  MAX(0,'Stage 2 Randomized Selection'!R$2 - 2),
IF(AND(OR(AB$279=123, AB$279=13), Cultivar_1_Cohort_Year_Selection=$O$278,Cultivar_3_Cohort_Year_Selection=$O$278), MAX(0,'Stage 2 Randomized Selection'!R$2 - 2),
IF(AND(OR(AB$279=123, AB$279=23), Cultivar_2_Cohort_Year_Selection=$O$278,Cultivar_3_Cohort_Year_Selection=$O$278), MAX(0,'Stage 2 Randomized Selection'!R$2 - 2),
IF(AND(OR(AB$279=123, AB$279=12, AB$279=13, AB$279=1), Cultivar_1_Cohort_Year_Selection=$O$278), MAX(0,'Stage 2 Randomized Selection'!R$2 - 1),
IF(AND(OR(AB$279=123, AB$279=12, AB$279=23, AB$279=2), Cultivar_2_Cohort_Year_Selection=$O$278), MAX(0,'Stage 2 Randomized Selection'!R$2 - 1),
IF(AND(OR(AB$279=123, AB$279=13, AB$279=23, AB$279=3), Cultivar_3_Cohort_Year_Selection=$O$278), MAX(0,'Stage 2 Randomized Selection'!R$2 - 1), 'Stage 2 Randomized Selection'!R$2))))))),""),""),"")</f>
        <v/>
      </c>
      <c r="AC346" s="496" t="str">
        <f>IF(ISNUMBER($B$280),
IF($C346&lt;&gt;"",
IF(AND(ISNUMBER('Stage 2 Randomized Selection'!S$2), 'Stage 2 Randomized Selection'!S$2&gt;0),
IF(AND(AC$279=123, Cultivar_1_Cohort_Year_Selection=$O$278,Cultivar_2_Cohort_Year_Selection=$O$278,Cultivar_3_Cohort_Year_Selection=$O$278), MAX(0,'Stage 2 Randomized Selection'!S$2 - 3),
IF(AND(OR(AC$279=123, AC$279=12), Cultivar_1_Cohort_Year_Selection=$O$278,Cultivar_2_Cohort_Year_Selection=$O$278),  MAX(0,'Stage 2 Randomized Selection'!S$2 - 2),
IF(AND(OR(AC$279=123, AC$279=13), Cultivar_1_Cohort_Year_Selection=$O$278,Cultivar_3_Cohort_Year_Selection=$O$278), MAX(0,'Stage 2 Randomized Selection'!S$2 - 2),
IF(AND(OR(AC$279=123, AC$279=23), Cultivar_2_Cohort_Year_Selection=$O$278,Cultivar_3_Cohort_Year_Selection=$O$278), MAX(0,'Stage 2 Randomized Selection'!S$2 - 2),
IF(AND(OR(AC$279=123, AC$279=12, AC$279=13, AC$279=1), Cultivar_1_Cohort_Year_Selection=$O$278), MAX(0,'Stage 2 Randomized Selection'!S$2 - 1),
IF(AND(OR(AC$279=123, AC$279=12, AC$279=23, AC$279=2), Cultivar_2_Cohort_Year_Selection=$O$278), MAX(0,'Stage 2 Randomized Selection'!S$2 - 1),
IF(AND(OR(AC$279=123, AC$279=13, AC$279=23, AC$279=3), Cultivar_3_Cohort_Year_Selection=$O$278), MAX(0,'Stage 2 Randomized Selection'!S$2 - 1), 'Stage 2 Randomized Selection'!S$2))))))),""),""),"")</f>
        <v/>
      </c>
      <c r="AD346" s="496" t="str">
        <f>IF(ISNUMBER($B$280),
IF($C346&lt;&gt;"",
IF(AND(ISNUMBER('Stage 2 Randomized Selection'!T$2), 'Stage 2 Randomized Selection'!T$2&gt;0),
IF(AND(AD$279=123, Cultivar_1_Cohort_Year_Selection=$O$278,Cultivar_2_Cohort_Year_Selection=$O$278,Cultivar_3_Cohort_Year_Selection=$O$278), MAX(0,'Stage 2 Randomized Selection'!T$2 - 3),
IF(AND(OR(AD$279=123, AD$279=12), Cultivar_1_Cohort_Year_Selection=$O$278,Cultivar_2_Cohort_Year_Selection=$O$278),  MAX(0,'Stage 2 Randomized Selection'!T$2 - 2),
IF(AND(OR(AD$279=123, AD$279=13), Cultivar_1_Cohort_Year_Selection=$O$278,Cultivar_3_Cohort_Year_Selection=$O$278), MAX(0,'Stage 2 Randomized Selection'!T$2 - 2),
IF(AND(OR(AD$279=123, AD$279=23), Cultivar_2_Cohort_Year_Selection=$O$278,Cultivar_3_Cohort_Year_Selection=$O$278), MAX(0,'Stage 2 Randomized Selection'!T$2 - 2),
IF(AND(OR(AD$279=123, AD$279=12, AD$279=13, AD$279=1), Cultivar_1_Cohort_Year_Selection=$O$278), MAX(0,'Stage 2 Randomized Selection'!T$2 - 1),
IF(AND(OR(AD$279=123, AD$279=12, AD$279=23, AD$279=2), Cultivar_2_Cohort_Year_Selection=$O$278), MAX(0,'Stage 2 Randomized Selection'!T$2 - 1),
IF(AND(OR(AD$279=123, AD$279=13, AD$279=23, AD$279=3), Cultivar_3_Cohort_Year_Selection=$O$278), MAX(0,'Stage 2 Randomized Selection'!T$2 - 1), 'Stage 2 Randomized Selection'!T$2))))))),""),""),"")</f>
        <v/>
      </c>
      <c r="AE346" s="496" t="str">
        <f>IF(ISNUMBER($B$280),
IF($C346&lt;&gt;"",
IF(AND(ISNUMBER('Stage 2 Randomized Selection'!U$2), 'Stage 2 Randomized Selection'!U$2&gt;0),
IF(AND(AE$279=123, Cultivar_1_Cohort_Year_Selection=$O$278,Cultivar_2_Cohort_Year_Selection=$O$278,Cultivar_3_Cohort_Year_Selection=$O$278), MAX(0,'Stage 2 Randomized Selection'!U$2 - 3),
IF(AND(OR(AE$279=123, AE$279=12), Cultivar_1_Cohort_Year_Selection=$O$278,Cultivar_2_Cohort_Year_Selection=$O$278),  MAX(0,'Stage 2 Randomized Selection'!U$2 - 2),
IF(AND(OR(AE$279=123, AE$279=13), Cultivar_1_Cohort_Year_Selection=$O$278,Cultivar_3_Cohort_Year_Selection=$O$278), MAX(0,'Stage 2 Randomized Selection'!U$2 - 2),
IF(AND(OR(AE$279=123, AE$279=23), Cultivar_2_Cohort_Year_Selection=$O$278,Cultivar_3_Cohort_Year_Selection=$O$278), MAX(0,'Stage 2 Randomized Selection'!U$2 - 2),
IF(AND(OR(AE$279=123, AE$279=12, AE$279=13, AE$279=1), Cultivar_1_Cohort_Year_Selection=$O$278), MAX(0,'Stage 2 Randomized Selection'!U$2 - 1),
IF(AND(OR(AE$279=123, AE$279=12, AE$279=23, AE$279=2), Cultivar_2_Cohort_Year_Selection=$O$278), MAX(0,'Stage 2 Randomized Selection'!U$2 - 1),
IF(AND(OR(AE$279=123, AE$279=13, AE$279=23, AE$279=3), Cultivar_3_Cohort_Year_Selection=$O$278), MAX(0,'Stage 2 Randomized Selection'!U$2 - 1), 'Stage 2 Randomized Selection'!U$2))))))),""),""),"")</f>
        <v/>
      </c>
      <c r="AF346" s="496" t="str">
        <f>IF(ISNUMBER($B$280),
IF($C346&lt;&gt;"",
IF(AND(ISNUMBER('Stage 2 Randomized Selection'!V$2), 'Stage 2 Randomized Selection'!V$2&gt;0),
IF(AND(AF$279=123, Cultivar_1_Cohort_Year_Selection=$O$278,Cultivar_2_Cohort_Year_Selection=$O$278,Cultivar_3_Cohort_Year_Selection=$O$278), MAX(0,'Stage 2 Randomized Selection'!V$2 - 3),
IF(AND(OR(AF$279=123, AF$279=12), Cultivar_1_Cohort_Year_Selection=$O$278,Cultivar_2_Cohort_Year_Selection=$O$278),  MAX(0,'Stage 2 Randomized Selection'!V$2 - 2),
IF(AND(OR(AF$279=123, AF$279=13), Cultivar_1_Cohort_Year_Selection=$O$278,Cultivar_3_Cohort_Year_Selection=$O$278), MAX(0,'Stage 2 Randomized Selection'!V$2 - 2),
IF(AND(OR(AF$279=123, AF$279=23), Cultivar_2_Cohort_Year_Selection=$O$278,Cultivar_3_Cohort_Year_Selection=$O$278), MAX(0,'Stage 2 Randomized Selection'!V$2 - 2),
IF(AND(OR(AF$279=123, AF$279=12, AF$279=13, AF$279=1), Cultivar_1_Cohort_Year_Selection=$O$278), MAX(0,'Stage 2 Randomized Selection'!V$2 - 1),
IF(AND(OR(AF$279=123, AF$279=12, AF$279=23, AF$279=2), Cultivar_2_Cohort_Year_Selection=$O$278), MAX(0,'Stage 2 Randomized Selection'!V$2 - 1),
IF(AND(OR(AF$279=123, AF$279=13, AF$279=23, AF$279=3), Cultivar_3_Cohort_Year_Selection=$O$278), MAX(0,'Stage 2 Randomized Selection'!V$2 - 1), 'Stage 2 Randomized Selection'!V$2))))))),""),""),"")</f>
        <v/>
      </c>
      <c r="AG346" s="496" t="str">
        <f>IF(ISNUMBER($B$280),
IF($C346&lt;&gt;"",
IF(AND(ISNUMBER('Stage 2 Randomized Selection'!W$2), 'Stage 2 Randomized Selection'!W$2&gt;0),
IF(AND(AG$279=123, Cultivar_1_Cohort_Year_Selection=$O$278,Cultivar_2_Cohort_Year_Selection=$O$278,Cultivar_3_Cohort_Year_Selection=$O$278), MAX(0,'Stage 2 Randomized Selection'!W$2 - 3),
IF(AND(OR(AG$279=123, AG$279=12), Cultivar_1_Cohort_Year_Selection=$O$278,Cultivar_2_Cohort_Year_Selection=$O$278),  MAX(0,'Stage 2 Randomized Selection'!W$2 - 2),
IF(AND(OR(AG$279=123, AG$279=13), Cultivar_1_Cohort_Year_Selection=$O$278,Cultivar_3_Cohort_Year_Selection=$O$278), MAX(0,'Stage 2 Randomized Selection'!W$2 - 2),
IF(AND(OR(AG$279=123, AG$279=23), Cultivar_2_Cohort_Year_Selection=$O$278,Cultivar_3_Cohort_Year_Selection=$O$278), MAX(0,'Stage 2 Randomized Selection'!W$2 - 2),
IF(AND(OR(AG$279=123, AG$279=12, AG$279=13, AG$279=1), Cultivar_1_Cohort_Year_Selection=$O$278), MAX(0,'Stage 2 Randomized Selection'!W$2 - 1),
IF(AND(OR(AG$279=123, AG$279=12, AG$279=23, AG$279=2), Cultivar_2_Cohort_Year_Selection=$O$278), MAX(0,'Stage 2 Randomized Selection'!W$2 - 1),
IF(AND(OR(AG$279=123, AG$279=13, AG$279=23, AG$279=3), Cultivar_3_Cohort_Year_Selection=$O$278), MAX(0,'Stage 2 Randomized Selection'!W$2 - 1), 'Stage 2 Randomized Selection'!W$2))))))),""),""),"")</f>
        <v/>
      </c>
      <c r="AH346" s="496" t="str">
        <f>IF(ISNUMBER($B$280),
IF($C346&lt;&gt;"",
IF(AND(ISNUMBER('Stage 2 Randomized Selection'!X$2), 'Stage 2 Randomized Selection'!X$2&gt;0),
IF(AND(AH$279=123, Cultivar_1_Cohort_Year_Selection=$O$278,Cultivar_2_Cohort_Year_Selection=$O$278,Cultivar_3_Cohort_Year_Selection=$O$278), MAX(0,'Stage 2 Randomized Selection'!X$2 - 3),
IF(AND(OR(AH$279=123, AH$279=12), Cultivar_1_Cohort_Year_Selection=$O$278,Cultivar_2_Cohort_Year_Selection=$O$278),  MAX(0,'Stage 2 Randomized Selection'!X$2 - 2),
IF(AND(OR(AH$279=123, AH$279=13), Cultivar_1_Cohort_Year_Selection=$O$278,Cultivar_3_Cohort_Year_Selection=$O$278), MAX(0,'Stage 2 Randomized Selection'!X$2 - 2),
IF(AND(OR(AH$279=123, AH$279=23), Cultivar_2_Cohort_Year_Selection=$O$278,Cultivar_3_Cohort_Year_Selection=$O$278), MAX(0,'Stage 2 Randomized Selection'!X$2 - 2),
IF(AND(OR(AH$279=123, AH$279=12, AH$279=13, AH$279=1), Cultivar_1_Cohort_Year_Selection=$O$278), MAX(0,'Stage 2 Randomized Selection'!X$2 - 1),
IF(AND(OR(AH$279=123, AH$279=12, AH$279=23, AH$279=2), Cultivar_2_Cohort_Year_Selection=$O$278), MAX(0,'Stage 2 Randomized Selection'!X$2 - 1),
IF(AND(OR(AH$279=123, AH$279=13, AH$279=23, AH$279=3), Cultivar_3_Cohort_Year_Selection=$O$278), MAX(0,'Stage 2 Randomized Selection'!X$2 - 1), 'Stage 2 Randomized Selection'!X$2))))))),""),""),"")</f>
        <v/>
      </c>
      <c r="AI346" s="496" t="str">
        <f>IF(ISNUMBER($B$280),
IF($C346&lt;&gt;"",
IF(AND(ISNUMBER('Stage 2 Randomized Selection'!Y$2), 'Stage 2 Randomized Selection'!Y$2&gt;0),
IF(AND(AI$279=123, Cultivar_1_Cohort_Year_Selection=$O$278,Cultivar_2_Cohort_Year_Selection=$O$278,Cultivar_3_Cohort_Year_Selection=$O$278), MAX(0,'Stage 2 Randomized Selection'!Y$2 - 3),
IF(AND(OR(AI$279=123, AI$279=12), Cultivar_1_Cohort_Year_Selection=$O$278,Cultivar_2_Cohort_Year_Selection=$O$278),  MAX(0,'Stage 2 Randomized Selection'!Y$2 - 2),
IF(AND(OR(AI$279=123, AI$279=13), Cultivar_1_Cohort_Year_Selection=$O$278,Cultivar_3_Cohort_Year_Selection=$O$278), MAX(0,'Stage 2 Randomized Selection'!Y$2 - 2),
IF(AND(OR(AI$279=123, AI$279=23), Cultivar_2_Cohort_Year_Selection=$O$278,Cultivar_3_Cohort_Year_Selection=$O$278), MAX(0,'Stage 2 Randomized Selection'!Y$2 - 2),
IF(AND(OR(AI$279=123, AI$279=12, AI$279=13, AI$279=1), Cultivar_1_Cohort_Year_Selection=$O$278), MAX(0,'Stage 2 Randomized Selection'!Y$2 - 1),
IF(AND(OR(AI$279=123, AI$279=12, AI$279=23, AI$279=2), Cultivar_2_Cohort_Year_Selection=$O$278), MAX(0,'Stage 2 Randomized Selection'!Y$2 - 1),
IF(AND(OR(AI$279=123, AI$279=13, AI$279=23, AI$279=3), Cultivar_3_Cohort_Year_Selection=$O$278), MAX(0,'Stage 2 Randomized Selection'!Y$2 - 1), 'Stage 2 Randomized Selection'!Y$2))))))),""),""),"")</f>
        <v/>
      </c>
      <c r="AJ346" s="496" t="str">
        <f>IF(ISNUMBER($B$280),
IF($C346&lt;&gt;"",
IF(AND(ISNUMBER('Stage 2 Randomized Selection'!Z$2), 'Stage 2 Randomized Selection'!Z$2&gt;0),
IF(AND(AJ$279=123, Cultivar_1_Cohort_Year_Selection=$O$278,Cultivar_2_Cohort_Year_Selection=$O$278,Cultivar_3_Cohort_Year_Selection=$O$278), MAX(0,'Stage 2 Randomized Selection'!Z$2 - 3),
IF(AND(OR(AJ$279=123, AJ$279=12), Cultivar_1_Cohort_Year_Selection=$O$278,Cultivar_2_Cohort_Year_Selection=$O$278),  MAX(0,'Stage 2 Randomized Selection'!Z$2 - 2),
IF(AND(OR(AJ$279=123, AJ$279=13), Cultivar_1_Cohort_Year_Selection=$O$278,Cultivar_3_Cohort_Year_Selection=$O$278), MAX(0,'Stage 2 Randomized Selection'!Z$2 - 2),
IF(AND(OR(AJ$279=123, AJ$279=23), Cultivar_2_Cohort_Year_Selection=$O$278,Cultivar_3_Cohort_Year_Selection=$O$278), MAX(0,'Stage 2 Randomized Selection'!Z$2 - 2),
IF(AND(OR(AJ$279=123, AJ$279=12, AJ$279=13, AJ$279=1), Cultivar_1_Cohort_Year_Selection=$O$278), MAX(0,'Stage 2 Randomized Selection'!Z$2 - 1),
IF(AND(OR(AJ$279=123, AJ$279=12, AJ$279=23, AJ$279=2), Cultivar_2_Cohort_Year_Selection=$O$278), MAX(0,'Stage 2 Randomized Selection'!Z$2 - 1),
IF(AND(OR(AJ$279=123, AJ$279=13, AJ$279=23, AJ$279=3), Cultivar_3_Cohort_Year_Selection=$O$278), MAX(0,'Stage 2 Randomized Selection'!Z$2 - 1), 'Stage 2 Randomized Selection'!Z$2))))))),""),""),"")</f>
        <v/>
      </c>
      <c r="AK346" s="496" t="str">
        <f>IF(ISNUMBER($B$280),
IF($C346&lt;&gt;"",
IF(AND(ISNUMBER('Stage 2 Randomized Selection'!AA$2), 'Stage 2 Randomized Selection'!AA$2&gt;0),
IF(AND(AK$279=123, Cultivar_1_Cohort_Year_Selection=$O$278,Cultivar_2_Cohort_Year_Selection=$O$278,Cultivar_3_Cohort_Year_Selection=$O$278), MAX(0,'Stage 2 Randomized Selection'!AA$2 - 3),
IF(AND(OR(AK$279=123, AK$279=12), Cultivar_1_Cohort_Year_Selection=$O$278,Cultivar_2_Cohort_Year_Selection=$O$278),  MAX(0,'Stage 2 Randomized Selection'!AA$2 - 2),
IF(AND(OR(AK$279=123, AK$279=13), Cultivar_1_Cohort_Year_Selection=$O$278,Cultivar_3_Cohort_Year_Selection=$O$278), MAX(0,'Stage 2 Randomized Selection'!AA$2 - 2),
IF(AND(OR(AK$279=123, AK$279=23), Cultivar_2_Cohort_Year_Selection=$O$278,Cultivar_3_Cohort_Year_Selection=$O$278), MAX(0,'Stage 2 Randomized Selection'!AA$2 - 2),
IF(AND(OR(AK$279=123, AK$279=12, AK$279=13, AK$279=1), Cultivar_1_Cohort_Year_Selection=$O$278), MAX(0,'Stage 2 Randomized Selection'!AA$2 - 1),
IF(AND(OR(AK$279=123, AK$279=12, AK$279=23, AK$279=2), Cultivar_2_Cohort_Year_Selection=$O$278), MAX(0,'Stage 2 Randomized Selection'!AA$2 - 1),
IF(AND(OR(AK$279=123, AK$279=13, AK$279=23, AK$279=3), Cultivar_3_Cohort_Year_Selection=$O$278), MAX(0,'Stage 2 Randomized Selection'!AA$2 - 1), 'Stage 2 Randomized Selection'!AA$2))))))),""),""),"")</f>
        <v/>
      </c>
      <c r="AL346" s="496" t="str">
        <f>IF(ISNUMBER($B$280),
IF($C346&lt;&gt;"",
IF(AND(ISNUMBER('Stage 2 Randomized Selection'!AB$2), 'Stage 2 Randomized Selection'!AB$2&gt;0),
IF(AND(AL$279=123, Cultivar_1_Cohort_Year_Selection=$O$278,Cultivar_2_Cohort_Year_Selection=$O$278,Cultivar_3_Cohort_Year_Selection=$O$278), MAX(0,'Stage 2 Randomized Selection'!AB$2 - 3),
IF(AND(OR(AL$279=123, AL$279=12), Cultivar_1_Cohort_Year_Selection=$O$278,Cultivar_2_Cohort_Year_Selection=$O$278),  MAX(0,'Stage 2 Randomized Selection'!AB$2 - 2),
IF(AND(OR(AL$279=123, AL$279=13), Cultivar_1_Cohort_Year_Selection=$O$278,Cultivar_3_Cohort_Year_Selection=$O$278), MAX(0,'Stage 2 Randomized Selection'!AB$2 - 2),
IF(AND(OR(AL$279=123, AL$279=23), Cultivar_2_Cohort_Year_Selection=$O$278,Cultivar_3_Cohort_Year_Selection=$O$278), MAX(0,'Stage 2 Randomized Selection'!AB$2 - 2),
IF(AND(OR(AL$279=123, AL$279=12, AL$279=13, AL$279=1), Cultivar_1_Cohort_Year_Selection=$O$278), MAX(0,'Stage 2 Randomized Selection'!AB$2 - 1),
IF(AND(OR(AL$279=123, AL$279=12, AL$279=23, AL$279=2), Cultivar_2_Cohort_Year_Selection=$O$278), MAX(0,'Stage 2 Randomized Selection'!AB$2 - 1),
IF(AND(OR(AL$279=123, AL$279=13, AL$279=23, AL$279=3), Cultivar_3_Cohort_Year_Selection=$O$278), MAX(0,'Stage 2 Randomized Selection'!AB$2 - 1), 'Stage 2 Randomized Selection'!AB$2))))))),""),""),"")</f>
        <v/>
      </c>
      <c r="AM346" s="496" t="str">
        <f>IF(ISNUMBER($B$280),
IF($C346&lt;&gt;"",
IF(AND(ISNUMBER('Stage 2 Randomized Selection'!AC$2), 'Stage 2 Randomized Selection'!AC$2&gt;0),
IF(AND(AM$279=123, Cultivar_1_Cohort_Year_Selection=$O$278,Cultivar_2_Cohort_Year_Selection=$O$278,Cultivar_3_Cohort_Year_Selection=$O$278), MAX(0,'Stage 2 Randomized Selection'!AC$2 - 3),
IF(AND(OR(AM$279=123, AM$279=12), Cultivar_1_Cohort_Year_Selection=$O$278,Cultivar_2_Cohort_Year_Selection=$O$278),  MAX(0,'Stage 2 Randomized Selection'!AC$2 - 2),
IF(AND(OR(AM$279=123, AM$279=13), Cultivar_1_Cohort_Year_Selection=$O$278,Cultivar_3_Cohort_Year_Selection=$O$278), MAX(0,'Stage 2 Randomized Selection'!AC$2 - 2),
IF(AND(OR(AM$279=123, AM$279=23), Cultivar_2_Cohort_Year_Selection=$O$278,Cultivar_3_Cohort_Year_Selection=$O$278), MAX(0,'Stage 2 Randomized Selection'!AC$2 - 2),
IF(AND(OR(AM$279=123, AM$279=12, AM$279=13, AM$279=1), Cultivar_1_Cohort_Year_Selection=$O$278), MAX(0,'Stage 2 Randomized Selection'!AC$2 - 1),
IF(AND(OR(AM$279=123, AM$279=12, AM$279=23, AM$279=2), Cultivar_2_Cohort_Year_Selection=$O$278), MAX(0,'Stage 2 Randomized Selection'!AC$2 - 1),
IF(AND(OR(AM$279=123, AM$279=13, AM$279=23, AM$279=3), Cultivar_3_Cohort_Year_Selection=$O$278), MAX(0,'Stage 2 Randomized Selection'!AC$2 - 1), 'Stage 2 Randomized Selection'!AC$2))))))),""),""),"")</f>
        <v/>
      </c>
      <c r="AN346" s="496" t="str">
        <f>IF(ISNUMBER($B$280),
IF($C346&lt;&gt;"",
IF(AND(ISNUMBER('Stage 2 Randomized Selection'!AD$2), 'Stage 2 Randomized Selection'!AD$2&gt;0),
IF(AND(AN$279=123, Cultivar_1_Cohort_Year_Selection=$O$278,Cultivar_2_Cohort_Year_Selection=$O$278,Cultivar_3_Cohort_Year_Selection=$O$278), MAX(0,'Stage 2 Randomized Selection'!AD$2 - 3),
IF(AND(OR(AN$279=123, AN$279=12), Cultivar_1_Cohort_Year_Selection=$O$278,Cultivar_2_Cohort_Year_Selection=$O$278),  MAX(0,'Stage 2 Randomized Selection'!AD$2 - 2),
IF(AND(OR(AN$279=123, AN$279=13), Cultivar_1_Cohort_Year_Selection=$O$278,Cultivar_3_Cohort_Year_Selection=$O$278), MAX(0,'Stage 2 Randomized Selection'!AD$2 - 2),
IF(AND(OR(AN$279=123, AN$279=23), Cultivar_2_Cohort_Year_Selection=$O$278,Cultivar_3_Cohort_Year_Selection=$O$278), MAX(0,'Stage 2 Randomized Selection'!AD$2 - 2),
IF(AND(OR(AN$279=123, AN$279=12, AN$279=13, AN$279=1), Cultivar_1_Cohort_Year_Selection=$O$278), MAX(0,'Stage 2 Randomized Selection'!AD$2 - 1),
IF(AND(OR(AN$279=123, AN$279=12, AN$279=23, AN$279=2), Cultivar_2_Cohort_Year_Selection=$O$278), MAX(0,'Stage 2 Randomized Selection'!AD$2 - 1),
IF(AND(OR(AN$279=123, AN$279=13, AN$279=23, AN$279=3), Cultivar_3_Cohort_Year_Selection=$O$278), MAX(0,'Stage 2 Randomized Selection'!AD$2 - 1), 'Stage 2 Randomized Selection'!AD$2))))))),""),""),"")</f>
        <v/>
      </c>
      <c r="AO346" s="496" t="str">
        <f>IF(ISNUMBER($B$280),
IF($C346&lt;&gt;"",
IF(AND(ISNUMBER('Stage 2 Randomized Selection'!AE$2), 'Stage 2 Randomized Selection'!AE$2&gt;0),
IF(AND(AO$279=123, Cultivar_1_Cohort_Year_Selection=$O$278,Cultivar_2_Cohort_Year_Selection=$O$278,Cultivar_3_Cohort_Year_Selection=$O$278), MAX(0,'Stage 2 Randomized Selection'!AE$2 - 3),
IF(AND(OR(AO$279=123, AO$279=12), Cultivar_1_Cohort_Year_Selection=$O$278,Cultivar_2_Cohort_Year_Selection=$O$278),  MAX(0,'Stage 2 Randomized Selection'!AE$2 - 2),
IF(AND(OR(AO$279=123, AO$279=13), Cultivar_1_Cohort_Year_Selection=$O$278,Cultivar_3_Cohort_Year_Selection=$O$278), MAX(0,'Stage 2 Randomized Selection'!AE$2 - 2),
IF(AND(OR(AO$279=123, AO$279=23), Cultivar_2_Cohort_Year_Selection=$O$278,Cultivar_3_Cohort_Year_Selection=$O$278), MAX(0,'Stage 2 Randomized Selection'!AE$2 - 2),
IF(AND(OR(AO$279=123, AO$279=12, AO$279=13, AO$279=1), Cultivar_1_Cohort_Year_Selection=$O$278), MAX(0,'Stage 2 Randomized Selection'!AE$2 - 1),
IF(AND(OR(AO$279=123, AO$279=12, AO$279=23, AO$279=2), Cultivar_2_Cohort_Year_Selection=$O$278), MAX(0,'Stage 2 Randomized Selection'!AE$2 - 1),
IF(AND(OR(AO$279=123, AO$279=13, AO$279=23, AO$279=3), Cultivar_3_Cohort_Year_Selection=$O$278), MAX(0,'Stage 2 Randomized Selection'!AE$2 - 1), 'Stage 2 Randomized Selection'!AE$2))))))),""),""),"")</f>
        <v/>
      </c>
      <c r="AP346" s="496" t="str">
        <f>IF(ISNUMBER($B$280),
IF($C346&lt;&gt;"",
IF(AND(ISNUMBER('Stage 2 Randomized Selection'!AF$2), 'Stage 2 Randomized Selection'!AF$2&gt;0),
IF(AND(AP$279=123, Cultivar_1_Cohort_Year_Selection=$O$278,Cultivar_2_Cohort_Year_Selection=$O$278,Cultivar_3_Cohort_Year_Selection=$O$278), MAX(0,'Stage 2 Randomized Selection'!AF$2 - 3),
IF(AND(OR(AP$279=123, AP$279=12), Cultivar_1_Cohort_Year_Selection=$O$278,Cultivar_2_Cohort_Year_Selection=$O$278),  MAX(0,'Stage 2 Randomized Selection'!AF$2 - 2),
IF(AND(OR(AP$279=123, AP$279=13), Cultivar_1_Cohort_Year_Selection=$O$278,Cultivar_3_Cohort_Year_Selection=$O$278), MAX(0,'Stage 2 Randomized Selection'!AF$2 - 2),
IF(AND(OR(AP$279=123, AP$279=23), Cultivar_2_Cohort_Year_Selection=$O$278,Cultivar_3_Cohort_Year_Selection=$O$278), MAX(0,'Stage 2 Randomized Selection'!AF$2 - 2),
IF(AND(OR(AP$279=123, AP$279=12, AP$279=13, AP$279=1), Cultivar_1_Cohort_Year_Selection=$O$278), MAX(0,'Stage 2 Randomized Selection'!AF$2 - 1),
IF(AND(OR(AP$279=123, AP$279=12, AP$279=23, AP$279=2), Cultivar_2_Cohort_Year_Selection=$O$278), MAX(0,'Stage 2 Randomized Selection'!AF$2 - 1),
IF(AND(OR(AP$279=123, AP$279=13, AP$279=23, AP$279=3), Cultivar_3_Cohort_Year_Selection=$O$278), MAX(0,'Stage 2 Randomized Selection'!AF$2 - 1), 'Stage 2 Randomized Selection'!AF$2))))))),""),""),"")</f>
        <v/>
      </c>
      <c r="AQ346" s="496" t="str">
        <f>IF(ISNUMBER($B$280),
IF($C346&lt;&gt;"",
IF(AND(ISNUMBER('Stage 2 Randomized Selection'!AG$2), 'Stage 2 Randomized Selection'!AG$2&gt;0),
IF(AND(AQ$279=123, Cultivar_1_Cohort_Year_Selection=$O$278,Cultivar_2_Cohort_Year_Selection=$O$278,Cultivar_3_Cohort_Year_Selection=$O$278), MAX(0,'Stage 2 Randomized Selection'!AG$2 - 3),
IF(AND(OR(AQ$279=123, AQ$279=12), Cultivar_1_Cohort_Year_Selection=$O$278,Cultivar_2_Cohort_Year_Selection=$O$278),  MAX(0,'Stage 2 Randomized Selection'!AG$2 - 2),
IF(AND(OR(AQ$279=123, AQ$279=13), Cultivar_1_Cohort_Year_Selection=$O$278,Cultivar_3_Cohort_Year_Selection=$O$278), MAX(0,'Stage 2 Randomized Selection'!AG$2 - 2),
IF(AND(OR(AQ$279=123, AQ$279=23), Cultivar_2_Cohort_Year_Selection=$O$278,Cultivar_3_Cohort_Year_Selection=$O$278), MAX(0,'Stage 2 Randomized Selection'!AG$2 - 2),
IF(AND(OR(AQ$279=123, AQ$279=12, AQ$279=13, AQ$279=1), Cultivar_1_Cohort_Year_Selection=$O$278), MAX(0,'Stage 2 Randomized Selection'!AG$2 - 1),
IF(AND(OR(AQ$279=123, AQ$279=12, AQ$279=23, AQ$279=2), Cultivar_2_Cohort_Year_Selection=$O$278), MAX(0,'Stage 2 Randomized Selection'!AG$2 - 1),
IF(AND(OR(AQ$279=123, AQ$279=13, AQ$279=23, AQ$279=3), Cultivar_3_Cohort_Year_Selection=$O$278), MAX(0,'Stage 2 Randomized Selection'!AG$2 - 1), 'Stage 2 Randomized Selection'!AG$2))))))),""),""),"")</f>
        <v/>
      </c>
      <c r="AR346" s="496" t="str">
        <f>IF(ISNUMBER($B$280),
IF($C346&lt;&gt;"",
IF(AND(ISNUMBER('Stage 2 Randomized Selection'!AH$2), 'Stage 2 Randomized Selection'!AH$2&gt;0),
IF(AND(AR$279=123, Cultivar_1_Cohort_Year_Selection=$O$278,Cultivar_2_Cohort_Year_Selection=$O$278,Cultivar_3_Cohort_Year_Selection=$O$278), MAX(0,'Stage 2 Randomized Selection'!AH$2 - 3),
IF(AND(OR(AR$279=123, AR$279=12), Cultivar_1_Cohort_Year_Selection=$O$278,Cultivar_2_Cohort_Year_Selection=$O$278),  MAX(0,'Stage 2 Randomized Selection'!AH$2 - 2),
IF(AND(OR(AR$279=123, AR$279=13), Cultivar_1_Cohort_Year_Selection=$O$278,Cultivar_3_Cohort_Year_Selection=$O$278), MAX(0,'Stage 2 Randomized Selection'!AH$2 - 2),
IF(AND(OR(AR$279=123, AR$279=23), Cultivar_2_Cohort_Year_Selection=$O$278,Cultivar_3_Cohort_Year_Selection=$O$278), MAX(0,'Stage 2 Randomized Selection'!AH$2 - 2),
IF(AND(OR(AR$279=123, AR$279=12, AR$279=13, AR$279=1), Cultivar_1_Cohort_Year_Selection=$O$278), MAX(0,'Stage 2 Randomized Selection'!AH$2 - 1),
IF(AND(OR(AR$279=123, AR$279=12, AR$279=23, AR$279=2), Cultivar_2_Cohort_Year_Selection=$O$278), MAX(0,'Stage 2 Randomized Selection'!AH$2 - 1),
IF(AND(OR(AR$279=123, AR$279=13, AR$279=23, AR$279=3), Cultivar_3_Cohort_Year_Selection=$O$278), MAX(0,'Stage 2 Randomized Selection'!AH$2 - 1), 'Stage 2 Randomized Selection'!AH$2))))))),""),""),"")</f>
        <v/>
      </c>
      <c r="AS346" s="528"/>
    </row>
    <row r="347" spans="1:45" x14ac:dyDescent="0.25">
      <c r="A347" s="518"/>
      <c r="B347" s="504"/>
      <c r="C347" s="104" t="str">
        <f>IF(AND(ISNUMBER(B345), OR('Cost Inputs'!$H$107&lt;&gt;"", 'Cost Inputs'!$I$107&lt;&gt;"", 'Cost Inputs'!$J$107&lt;&gt;"")), _4_3_1, "")</f>
        <v/>
      </c>
      <c r="D347" s="17" t="str">
        <f>IF(AND(C347&lt;&gt;"", 'Cost Inputs'!$G$107&lt;&gt;""), 'Cost Inputs'!$G$107, "")</f>
        <v/>
      </c>
      <c r="E347" s="17" t="str">
        <f>IF(AND(C347&lt;&gt;"", 'Cost Inputs'!$H$107&lt;&gt;""), 'Cost Inputs'!$H$107, "")</f>
        <v/>
      </c>
      <c r="F347" s="17" t="str">
        <f>IF(AND(C347&lt;&gt;"", 'Cost Inputs'!$I$107&lt;&gt;""), 'Cost Inputs'!$I$107, "")</f>
        <v/>
      </c>
      <c r="G347" s="105" t="str">
        <f t="shared" si="63"/>
        <v/>
      </c>
      <c r="H347" s="17" t="str">
        <f>IF(AND(C347&lt;&gt;"", 'Cost Inputs'!$J$107&lt;&gt;""), 'Cost Inputs'!$J$107, "")</f>
        <v/>
      </c>
      <c r="I347" s="17" t="str">
        <f t="shared" ref="I347:I355" si="64">IF($C347&lt;&gt;"", IF(AND($E347&lt;&gt;"", H347&lt;&gt;""), H347/$E347, 0),"")</f>
        <v/>
      </c>
      <c r="J347" s="17" t="str">
        <f>IF(AND(C347&lt;&gt;"",('Cost Inputs'!$I$107+'Cost Inputs'!$J$107+'Cost Inputs'!$K$107)&gt;0), 'Cost Inputs'!$I$107+'Cost Inputs'!$J$107+'Cost Inputs'!$K$107, "")</f>
        <v/>
      </c>
      <c r="K347" s="17" t="str">
        <f t="shared" ref="K347:K355" si="65">IF($C347&lt;&gt;"", IF(AND($E347&lt;&gt;"", J347&lt;&gt;""), J347/$E347, 0),"")</f>
        <v/>
      </c>
      <c r="L347" s="525"/>
      <c r="M347" s="525"/>
      <c r="Q347" s="17" t="str">
        <f t="shared" ref="Q347:Q355" si="66">IF(ISNUMBER($B$345),
IF($C347&lt;&gt;"",
IF(AND(ISNUMBER(O$280), ISNUMBER(O$317)),
IF(AND(Q$279=123, Cultivar_1_Cohort_Year_Selection=$O$278,Cultivar_2_Cohort_Year_Selection=$O$278,Cultivar_3_Cohort_Year_Selection=$O$278), ROUND(MAX(0,P$344 - 3),0),
IF(AND(OR(Q$279=123, Q$279=12), Cultivar_1_Cohort_Year_Selection=$O$278,Cultivar_2_Cohort_Year_Selection=$O$278), ROUND(MAX(0,P$344 - 2),0),
IF(AND(OR(Q$279=123, Q$279=13), Cultivar_1_Cohort_Year_Selection=$O$278,Cultivar_3_Cohort_Year_Selection=$O$278), ROUND(MAX(0,P$344 - 2),0),
IF(AND(OR(Q$279=123, Q$279=23), Cultivar_2_Cohort_Year_Selection=$O$278,Cultivar_3_Cohort_Year_Selection=$O$278), ROUND(MAX(0,P$344 - 2),0),
IF(AND(OR(Q$279=123, Q$279=12, Q$279=13, Q$279=1), Cultivar_1_Cohort_Year_Selection=$O$278), ROUND(MAX(0,P$344 - 1),0),
IF(AND(OR(Q$279=123, Q$279=12, Q$279=23, Q$279=2), Cultivar_2_Cohort_Year_Selection=$O$278), ROUND(MAX(0,P$344 - 1),0),
IF(AND(OR(Q$279=123, Q$279=13, Q$279=23, Q$279=3), Cultivar_3_Cohort_Year_Selection=$O$278), ROUND(MAX(0,P$344 - 1),0),
ROUND(MAX(0,P$344),0)))))))),""),""),"")</f>
        <v/>
      </c>
      <c r="R347" s="17" t="str">
        <f t="shared" ref="R347:R355" si="67">IF(ISNUMBER($B$345),
IF($C347&lt;&gt;"",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47" s="17" t="str">
        <f t="shared" ref="S347:S355" si="68">IF(ISNUMBER($B$345),
IF($C347&lt;&gt;"",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47" s="17" t="str">
        <f t="shared" ref="T347:T355" si="69">IF(ISNUMBER($B$345),
IF($C347&lt;&gt;"",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47" s="17" t="str">
        <f t="shared" ref="U347:U355" si="70">IF(ISNUMBER($B$345),
IF($C347&lt;&gt;"",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47" s="17" t="str">
        <f t="shared" ref="V347:V355" si="71">IF(ISNUMBER($B$345),
IF($C347&lt;&gt;"",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47" s="17" t="str">
        <f t="shared" ref="W347:W355" si="72">IF(ISNUMBER($B$345),
IF($C347&lt;&gt;"",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47" s="17" t="str">
        <f t="shared" ref="X347:X355" si="73">IF(ISNUMBER($B$345),
IF($C347&lt;&gt;"",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47" s="17" t="str">
        <f t="shared" ref="Y347:Y355" si="74">IF(ISNUMBER($B$345),
IF($C347&lt;&gt;"",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47" s="17" t="str">
        <f t="shared" ref="Z347:Z355" si="75">IF(ISNUMBER($B$345),
IF($C347&lt;&gt;"",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47" s="17" t="str">
        <f t="shared" ref="AA347:AA355" si="76">IF(ISNUMBER($B$345),
IF($C347&lt;&gt;"",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47" s="17" t="str">
        <f t="shared" ref="AB347:AB355" si="77">IF(ISNUMBER($B$345),
IF($C347&lt;&gt;"",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47" s="17" t="str">
        <f t="shared" ref="AC347:AC355" si="78">IF(ISNUMBER($B$345),
IF($C347&lt;&gt;"",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47" s="17" t="str">
        <f t="shared" ref="AD347:AD355" si="79">IF(ISNUMBER($B$345),
IF($C347&lt;&gt;"",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47" s="17" t="str">
        <f t="shared" ref="AE347:AE355" si="80">IF(ISNUMBER($B$345),
IF($C347&lt;&gt;"",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47" s="17" t="str">
        <f t="shared" ref="AF347:AF355" si="81">IF(ISNUMBER($B$345),
IF($C347&lt;&gt;"",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47" s="17" t="str">
        <f t="shared" ref="AG347:AG355" si="82">IF(ISNUMBER($B$345),
IF($C347&lt;&gt;"",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47" s="17" t="str">
        <f t="shared" ref="AH347:AH355" si="83">IF(ISNUMBER($B$345),
IF($C347&lt;&gt;"",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47" s="17" t="str">
        <f t="shared" ref="AI347:AI355" si="84">IF(ISNUMBER($B$345),
IF($C347&lt;&gt;"",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47" s="17" t="str">
        <f t="shared" ref="AJ347:AJ355" si="85">IF(ISNUMBER($B$345),
IF($C347&lt;&gt;"",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47" s="17" t="str">
        <f t="shared" ref="AK347:AK355" si="86">IF(ISNUMBER($B$345),
IF($C347&lt;&gt;"",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47" s="17" t="str">
        <f t="shared" ref="AL347:AL355" si="87">IF(ISNUMBER($B$345),
IF($C347&lt;&gt;"",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47" s="17" t="str">
        <f t="shared" ref="AM347:AM355" si="88">IF(ISNUMBER($B$345),
IF($C347&lt;&gt;"",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47" s="17" t="str">
        <f t="shared" ref="AN347:AN355" si="89">IF(ISNUMBER($B$345),
IF($C347&lt;&gt;"",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47" s="17" t="str">
        <f t="shared" ref="AO347:AO355" si="90">IF(ISNUMBER($B$345),
IF($C347&lt;&gt;"",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47" s="17" t="str">
        <f t="shared" ref="AP347:AP355" si="91">IF(ISNUMBER($B$345),
IF($C347&lt;&gt;"",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47" s="17" t="str">
        <f t="shared" ref="AQ347:AQ355" si="92">IF(ISNUMBER($B$345),
IF($C347&lt;&gt;"",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47" s="17" t="str">
        <f t="shared" ref="AR347:AR355" si="93">IF(ISNUMBER($B$345),
IF($C347&lt;&gt;"",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row>
    <row r="348" spans="1:45" x14ac:dyDescent="0.25">
      <c r="A348" s="518"/>
      <c r="B348" s="504"/>
      <c r="C348" s="107" t="str">
        <f>IF(AND(ISNUMBER(B345), OR('Cost Inputs'!$H$108&lt;&gt;"", 'Cost Inputs'!$I$108&lt;&gt;"", 'Cost Inputs'!$J$108&lt;&gt;"")), _4_3_2, "")</f>
        <v/>
      </c>
      <c r="D348" s="93" t="str">
        <f>IF(AND(C348&lt;&gt;"", 'Cost Inputs'!$G$108&lt;&gt;""), 'Cost Inputs'!$G$108, "")</f>
        <v/>
      </c>
      <c r="E348" s="93" t="str">
        <f>IF(AND(C348&lt;&gt;"", 'Cost Inputs'!$H$108&lt;&gt;""), 'Cost Inputs'!$H$108, "")</f>
        <v/>
      </c>
      <c r="F348" s="93" t="str">
        <f>IF(AND(C348&lt;&gt;"", 'Cost Inputs'!$I$108&lt;&gt;""), 'Cost Inputs'!$I$108, "")</f>
        <v/>
      </c>
      <c r="G348" s="108" t="str">
        <f t="shared" si="63"/>
        <v/>
      </c>
      <c r="H348" s="93" t="str">
        <f>IF(AND(C348&lt;&gt;"", 'Cost Inputs'!$J$108&lt;&gt;""), 'Cost Inputs'!$J$108, "")</f>
        <v/>
      </c>
      <c r="I348" s="93" t="str">
        <f t="shared" si="64"/>
        <v/>
      </c>
      <c r="J348" s="93" t="str">
        <f>IF(AND(C348&lt;&gt;"",('Cost Inputs'!$I$108+'Cost Inputs'!$J$108+'Cost Inputs'!$K$108)&gt;0), 'Cost Inputs'!$I$108+'Cost Inputs'!$J$108+'Cost Inputs'!$K$108, "")</f>
        <v/>
      </c>
      <c r="K348" s="93" t="str">
        <f t="shared" si="65"/>
        <v/>
      </c>
      <c r="L348" s="525"/>
      <c r="M348" s="525"/>
      <c r="Q348" s="93" t="str">
        <f t="shared" si="66"/>
        <v/>
      </c>
      <c r="R348" s="93" t="str">
        <f t="shared" si="67"/>
        <v/>
      </c>
      <c r="S348" s="93" t="str">
        <f t="shared" si="68"/>
        <v/>
      </c>
      <c r="T348" s="93" t="str">
        <f t="shared" si="69"/>
        <v/>
      </c>
      <c r="U348" s="93" t="str">
        <f t="shared" si="70"/>
        <v/>
      </c>
      <c r="V348" s="93" t="str">
        <f t="shared" si="71"/>
        <v/>
      </c>
      <c r="W348" s="93" t="str">
        <f t="shared" si="72"/>
        <v/>
      </c>
      <c r="X348" s="93" t="str">
        <f t="shared" si="73"/>
        <v/>
      </c>
      <c r="Y348" s="93" t="str">
        <f t="shared" si="74"/>
        <v/>
      </c>
      <c r="Z348" s="93" t="str">
        <f t="shared" si="75"/>
        <v/>
      </c>
      <c r="AA348" s="93" t="str">
        <f t="shared" si="76"/>
        <v/>
      </c>
      <c r="AB348" s="93" t="str">
        <f t="shared" si="77"/>
        <v/>
      </c>
      <c r="AC348" s="93" t="str">
        <f t="shared" si="78"/>
        <v/>
      </c>
      <c r="AD348" s="93" t="str">
        <f t="shared" si="79"/>
        <v/>
      </c>
      <c r="AE348" s="93" t="str">
        <f t="shared" si="80"/>
        <v/>
      </c>
      <c r="AF348" s="93" t="str">
        <f t="shared" si="81"/>
        <v/>
      </c>
      <c r="AG348" s="93" t="str">
        <f t="shared" si="82"/>
        <v/>
      </c>
      <c r="AH348" s="93" t="str">
        <f t="shared" si="83"/>
        <v/>
      </c>
      <c r="AI348" s="93" t="str">
        <f t="shared" si="84"/>
        <v/>
      </c>
      <c r="AJ348" s="93" t="str">
        <f t="shared" si="85"/>
        <v/>
      </c>
      <c r="AK348" s="93" t="str">
        <f t="shared" si="86"/>
        <v/>
      </c>
      <c r="AL348" s="93" t="str">
        <f t="shared" si="87"/>
        <v/>
      </c>
      <c r="AM348" s="93" t="str">
        <f t="shared" si="88"/>
        <v/>
      </c>
      <c r="AN348" s="93" t="str">
        <f t="shared" si="89"/>
        <v/>
      </c>
      <c r="AO348" s="93" t="str">
        <f t="shared" si="90"/>
        <v/>
      </c>
      <c r="AP348" s="93" t="str">
        <f t="shared" si="91"/>
        <v/>
      </c>
      <c r="AQ348" s="93" t="str">
        <f t="shared" si="92"/>
        <v/>
      </c>
      <c r="AR348" s="93" t="str">
        <f t="shared" si="93"/>
        <v/>
      </c>
    </row>
    <row r="349" spans="1:45" x14ac:dyDescent="0.25">
      <c r="A349" s="518"/>
      <c r="B349" s="504"/>
      <c r="C349" s="110" t="str">
        <f>IF(ISNUMBER(B345), _4_4_0, "")</f>
        <v/>
      </c>
      <c r="D349" s="94" t="str">
        <f>IF(AND(C349&lt;&gt;"", 'Cost Inputs'!$G$109&lt;&gt;""), 'Cost Inputs'!$G$109, "")</f>
        <v/>
      </c>
      <c r="E349" s="94" t="str">
        <f>IF(AND(C349&lt;&gt;"", 'Cost Inputs'!$H$109&lt;&gt;""), 'Cost Inputs'!$H$109, "")</f>
        <v/>
      </c>
      <c r="F349" s="94" t="str">
        <f>IF(AND(C349&lt;&gt;"", 'Cost Inputs'!$I$109&lt;&gt;""), 'Cost Inputs'!$I$109, "")</f>
        <v/>
      </c>
      <c r="G349" s="102" t="str">
        <f t="shared" si="63"/>
        <v/>
      </c>
      <c r="H349" s="102" t="str">
        <f>IF(AND(C349&lt;&gt;"", 'Cost Inputs'!$J$109&lt;&gt;""), 'Cost Inputs'!$J$109, "")</f>
        <v/>
      </c>
      <c r="I349" s="102" t="str">
        <f t="shared" si="64"/>
        <v/>
      </c>
      <c r="J349" s="102" t="str">
        <f>IF(AND(C349&lt;&gt;"",('Cost Inputs'!$I$109+'Cost Inputs'!$J$109+'Cost Inputs'!$K$109)&gt;0), 'Cost Inputs'!$I$109+'Cost Inputs'!$J$109+'Cost Inputs'!$K$109, "")</f>
        <v/>
      </c>
      <c r="K349" s="102" t="str">
        <f t="shared" si="65"/>
        <v/>
      </c>
      <c r="L349" s="525"/>
      <c r="M349" s="525"/>
      <c r="Q349" s="102" t="str">
        <f t="shared" si="66"/>
        <v/>
      </c>
      <c r="R349" s="102" t="str">
        <f t="shared" si="67"/>
        <v/>
      </c>
      <c r="S349" s="102" t="str">
        <f t="shared" si="68"/>
        <v/>
      </c>
      <c r="T349" s="102" t="str">
        <f t="shared" si="69"/>
        <v/>
      </c>
      <c r="U349" s="102" t="str">
        <f t="shared" si="70"/>
        <v/>
      </c>
      <c r="V349" s="102" t="str">
        <f t="shared" si="71"/>
        <v/>
      </c>
      <c r="W349" s="102" t="str">
        <f t="shared" si="72"/>
        <v/>
      </c>
      <c r="X349" s="102" t="str">
        <f t="shared" si="73"/>
        <v/>
      </c>
      <c r="Y349" s="102" t="str">
        <f t="shared" si="74"/>
        <v/>
      </c>
      <c r="Z349" s="102" t="str">
        <f t="shared" si="75"/>
        <v/>
      </c>
      <c r="AA349" s="102" t="str">
        <f t="shared" si="76"/>
        <v/>
      </c>
      <c r="AB349" s="102" t="str">
        <f t="shared" si="77"/>
        <v/>
      </c>
      <c r="AC349" s="102" t="str">
        <f t="shared" si="78"/>
        <v/>
      </c>
      <c r="AD349" s="102" t="str">
        <f t="shared" si="79"/>
        <v/>
      </c>
      <c r="AE349" s="102" t="str">
        <f t="shared" si="80"/>
        <v/>
      </c>
      <c r="AF349" s="102" t="str">
        <f t="shared" si="81"/>
        <v/>
      </c>
      <c r="AG349" s="102" t="str">
        <f t="shared" si="82"/>
        <v/>
      </c>
      <c r="AH349" s="102" t="str">
        <f t="shared" si="83"/>
        <v/>
      </c>
      <c r="AI349" s="102" t="str">
        <f t="shared" si="84"/>
        <v/>
      </c>
      <c r="AJ349" s="102" t="str">
        <f t="shared" si="85"/>
        <v/>
      </c>
      <c r="AK349" s="102" t="str">
        <f t="shared" si="86"/>
        <v/>
      </c>
      <c r="AL349" s="102" t="str">
        <f t="shared" si="87"/>
        <v/>
      </c>
      <c r="AM349" s="102" t="str">
        <f t="shared" si="88"/>
        <v/>
      </c>
      <c r="AN349" s="102" t="str">
        <f t="shared" si="89"/>
        <v/>
      </c>
      <c r="AO349" s="102" t="str">
        <f t="shared" si="90"/>
        <v/>
      </c>
      <c r="AP349" s="102" t="str">
        <f t="shared" si="91"/>
        <v/>
      </c>
      <c r="AQ349" s="102" t="str">
        <f t="shared" si="92"/>
        <v/>
      </c>
      <c r="AR349" s="102" t="str">
        <f t="shared" si="93"/>
        <v/>
      </c>
    </row>
    <row r="350" spans="1:45" x14ac:dyDescent="0.25">
      <c r="A350" s="518"/>
      <c r="B350" s="504"/>
      <c r="C350" s="104" t="str">
        <f>IF(AND(ISNUMBER(B345), OR('Cost Inputs'!$H$110&lt;&gt;"", 'Cost Inputs'!$I$110&lt;&gt;"", 'Cost Inputs'!$J$110&lt;&gt;"")), _4_4_1, "")</f>
        <v/>
      </c>
      <c r="D350" s="17" t="str">
        <f>IF(AND(C350&lt;&gt;"", 'Cost Inputs'!$G$110&lt;&gt;""), 'Cost Inputs'!$G$110, "")</f>
        <v/>
      </c>
      <c r="E350" s="17" t="str">
        <f>IF(AND(C350&lt;&gt;"", 'Cost Inputs'!$H$110&lt;&gt;""), 'Cost Inputs'!$H$110, "")</f>
        <v/>
      </c>
      <c r="F350" s="17" t="str">
        <f>IF(AND(C350&lt;&gt;"", 'Cost Inputs'!$I$110&lt;&gt;""), 'Cost Inputs'!$I$110, "")</f>
        <v/>
      </c>
      <c r="G350" s="105" t="str">
        <f t="shared" si="63"/>
        <v/>
      </c>
      <c r="H350" s="17" t="str">
        <f>IF(AND(C350&lt;&gt;"", 'Cost Inputs'!$J$110&lt;&gt;""), 'Cost Inputs'!$J$110, "")</f>
        <v/>
      </c>
      <c r="I350" s="17" t="str">
        <f t="shared" si="64"/>
        <v/>
      </c>
      <c r="J350" s="17" t="str">
        <f>IF(AND(C350&lt;&gt;"",('Cost Inputs'!$I$110+'Cost Inputs'!$J$110+'Cost Inputs'!$K$110)&gt;0), 'Cost Inputs'!$I$110+'Cost Inputs'!$J$110+'Cost Inputs'!$K$110, "")</f>
        <v/>
      </c>
      <c r="K350" s="17" t="str">
        <f t="shared" si="65"/>
        <v/>
      </c>
      <c r="L350" s="525"/>
      <c r="M350" s="525"/>
      <c r="Q350" s="17" t="str">
        <f t="shared" si="66"/>
        <v/>
      </c>
      <c r="R350" s="17" t="str">
        <f t="shared" si="67"/>
        <v/>
      </c>
      <c r="S350" s="17" t="str">
        <f t="shared" si="68"/>
        <v/>
      </c>
      <c r="T350" s="17" t="str">
        <f t="shared" si="69"/>
        <v/>
      </c>
      <c r="U350" s="17" t="str">
        <f t="shared" si="70"/>
        <v/>
      </c>
      <c r="V350" s="17" t="str">
        <f t="shared" si="71"/>
        <v/>
      </c>
      <c r="W350" s="17" t="str">
        <f t="shared" si="72"/>
        <v/>
      </c>
      <c r="X350" s="17" t="str">
        <f t="shared" si="73"/>
        <v/>
      </c>
      <c r="Y350" s="17" t="str">
        <f t="shared" si="74"/>
        <v/>
      </c>
      <c r="Z350" s="17" t="str">
        <f t="shared" si="75"/>
        <v/>
      </c>
      <c r="AA350" s="17" t="str">
        <f t="shared" si="76"/>
        <v/>
      </c>
      <c r="AB350" s="17" t="str">
        <f t="shared" si="77"/>
        <v/>
      </c>
      <c r="AC350" s="17" t="str">
        <f t="shared" si="78"/>
        <v/>
      </c>
      <c r="AD350" s="17" t="str">
        <f t="shared" si="79"/>
        <v/>
      </c>
      <c r="AE350" s="17" t="str">
        <f t="shared" si="80"/>
        <v/>
      </c>
      <c r="AF350" s="17" t="str">
        <f t="shared" si="81"/>
        <v/>
      </c>
      <c r="AG350" s="17" t="str">
        <f t="shared" si="82"/>
        <v/>
      </c>
      <c r="AH350" s="17" t="str">
        <f t="shared" si="83"/>
        <v/>
      </c>
      <c r="AI350" s="17" t="str">
        <f t="shared" si="84"/>
        <v/>
      </c>
      <c r="AJ350" s="17" t="str">
        <f t="shared" si="85"/>
        <v/>
      </c>
      <c r="AK350" s="17" t="str">
        <f t="shared" si="86"/>
        <v/>
      </c>
      <c r="AL350" s="17" t="str">
        <f t="shared" si="87"/>
        <v/>
      </c>
      <c r="AM350" s="17" t="str">
        <f t="shared" si="88"/>
        <v/>
      </c>
      <c r="AN350" s="17" t="str">
        <f t="shared" si="89"/>
        <v/>
      </c>
      <c r="AO350" s="17" t="str">
        <f t="shared" si="90"/>
        <v/>
      </c>
      <c r="AP350" s="17" t="str">
        <f t="shared" si="91"/>
        <v/>
      </c>
      <c r="AQ350" s="17" t="str">
        <f t="shared" si="92"/>
        <v/>
      </c>
      <c r="AR350" s="17" t="str">
        <f t="shared" si="93"/>
        <v/>
      </c>
    </row>
    <row r="351" spans="1:45" x14ac:dyDescent="0.25">
      <c r="A351" s="518"/>
      <c r="B351" s="504"/>
      <c r="C351" s="107" t="str">
        <f>IF(AND(ISNUMBER(B345), OR('Cost Inputs'!$H$111&lt;&gt;"", 'Cost Inputs'!$I$111&lt;&gt;"", 'Cost Inputs'!$J$111&lt;&gt;"")), _4_4_2, "")</f>
        <v/>
      </c>
      <c r="D351" s="93" t="str">
        <f>IF(AND(C351&lt;&gt;"", 'Cost Inputs'!$G$111&lt;&gt;""), 'Cost Inputs'!$G$111, "")</f>
        <v/>
      </c>
      <c r="E351" s="93" t="str">
        <f>IF(AND(C351&lt;&gt;"", 'Cost Inputs'!$H$111&lt;&gt;""), 'Cost Inputs'!$H$111, "")</f>
        <v/>
      </c>
      <c r="F351" s="93" t="str">
        <f>IF(AND(C351&lt;&gt;"", 'Cost Inputs'!$I$111&lt;&gt;""), 'Cost Inputs'!$I$111, "")</f>
        <v/>
      </c>
      <c r="G351" s="108" t="str">
        <f t="shared" si="63"/>
        <v/>
      </c>
      <c r="H351" s="93" t="str">
        <f>IF(AND(C351&lt;&gt;"", 'Cost Inputs'!$J$111&lt;&gt;""), 'Cost Inputs'!$J$111, "")</f>
        <v/>
      </c>
      <c r="I351" s="93" t="str">
        <f t="shared" si="64"/>
        <v/>
      </c>
      <c r="J351" s="93" t="str">
        <f>IF(AND(C351&lt;&gt;"",('Cost Inputs'!$I$111+'Cost Inputs'!$J$111+'Cost Inputs'!$K$111)&gt;0), 'Cost Inputs'!$I$111+'Cost Inputs'!$J$111+'Cost Inputs'!$K$111, "")</f>
        <v/>
      </c>
      <c r="K351" s="93" t="str">
        <f t="shared" si="65"/>
        <v/>
      </c>
      <c r="L351" s="525"/>
      <c r="M351" s="525"/>
      <c r="Q351" s="93" t="str">
        <f t="shared" si="66"/>
        <v/>
      </c>
      <c r="R351" s="93" t="str">
        <f t="shared" si="67"/>
        <v/>
      </c>
      <c r="S351" s="93" t="str">
        <f t="shared" si="68"/>
        <v/>
      </c>
      <c r="T351" s="93" t="str">
        <f t="shared" si="69"/>
        <v/>
      </c>
      <c r="U351" s="93" t="str">
        <f t="shared" si="70"/>
        <v/>
      </c>
      <c r="V351" s="93" t="str">
        <f t="shared" si="71"/>
        <v/>
      </c>
      <c r="W351" s="93" t="str">
        <f t="shared" si="72"/>
        <v/>
      </c>
      <c r="X351" s="93" t="str">
        <f t="shared" si="73"/>
        <v/>
      </c>
      <c r="Y351" s="93" t="str">
        <f t="shared" si="74"/>
        <v/>
      </c>
      <c r="Z351" s="93" t="str">
        <f t="shared" si="75"/>
        <v/>
      </c>
      <c r="AA351" s="93" t="str">
        <f t="shared" si="76"/>
        <v/>
      </c>
      <c r="AB351" s="93" t="str">
        <f t="shared" si="77"/>
        <v/>
      </c>
      <c r="AC351" s="93" t="str">
        <f t="shared" si="78"/>
        <v/>
      </c>
      <c r="AD351" s="93" t="str">
        <f t="shared" si="79"/>
        <v/>
      </c>
      <c r="AE351" s="93" t="str">
        <f t="shared" si="80"/>
        <v/>
      </c>
      <c r="AF351" s="93" t="str">
        <f t="shared" si="81"/>
        <v/>
      </c>
      <c r="AG351" s="93" t="str">
        <f t="shared" si="82"/>
        <v/>
      </c>
      <c r="AH351" s="93" t="str">
        <f t="shared" si="83"/>
        <v/>
      </c>
      <c r="AI351" s="93" t="str">
        <f t="shared" si="84"/>
        <v/>
      </c>
      <c r="AJ351" s="93" t="str">
        <f t="shared" si="85"/>
        <v/>
      </c>
      <c r="AK351" s="93" t="str">
        <f t="shared" si="86"/>
        <v/>
      </c>
      <c r="AL351" s="93" t="str">
        <f t="shared" si="87"/>
        <v/>
      </c>
      <c r="AM351" s="93" t="str">
        <f t="shared" si="88"/>
        <v/>
      </c>
      <c r="AN351" s="93" t="str">
        <f t="shared" si="89"/>
        <v/>
      </c>
      <c r="AO351" s="93" t="str">
        <f t="shared" si="90"/>
        <v/>
      </c>
      <c r="AP351" s="93" t="str">
        <f t="shared" si="91"/>
        <v/>
      </c>
      <c r="AQ351" s="93" t="str">
        <f t="shared" si="92"/>
        <v/>
      </c>
      <c r="AR351" s="93" t="str">
        <f t="shared" si="93"/>
        <v/>
      </c>
    </row>
    <row r="352" spans="1:45" x14ac:dyDescent="0.25">
      <c r="A352" s="518"/>
      <c r="B352" s="504"/>
      <c r="C352" s="104" t="str">
        <f>IF(AND(ISNUMBER(B345), OR('Cost Inputs'!$H$112&lt;&gt;"", 'Cost Inputs'!$I$112&lt;&gt;"", 'Cost Inputs'!$J$112&lt;&gt;"")), _4_4_3, "")</f>
        <v/>
      </c>
      <c r="D352" s="17" t="str">
        <f>IF(AND(C352&lt;&gt;"", 'Cost Inputs'!$G$112&lt;&gt;""), 'Cost Inputs'!$G$112, "")</f>
        <v/>
      </c>
      <c r="E352" s="17" t="str">
        <f>IF(AND(C352&lt;&gt;"", 'Cost Inputs'!$H$112&lt;&gt;""), 'Cost Inputs'!$H$112, "")</f>
        <v/>
      </c>
      <c r="F352" s="17" t="str">
        <f>IF(AND(C352&lt;&gt;"", 'Cost Inputs'!$I$112&lt;&gt;""), 'Cost Inputs'!$I$112, "")</f>
        <v/>
      </c>
      <c r="G352" s="105" t="str">
        <f t="shared" si="63"/>
        <v/>
      </c>
      <c r="H352" s="17" t="str">
        <f>IF(AND(C352&lt;&gt;"", 'Cost Inputs'!$J$112&lt;&gt;""), 'Cost Inputs'!$J$112, "")</f>
        <v/>
      </c>
      <c r="I352" s="17" t="str">
        <f t="shared" si="64"/>
        <v/>
      </c>
      <c r="J352" s="17" t="str">
        <f>IF(AND(C352&lt;&gt;"",('Cost Inputs'!$I$112+'Cost Inputs'!$J$112+'Cost Inputs'!$K$112)&gt;0), 'Cost Inputs'!$I$112+'Cost Inputs'!$J$112+'Cost Inputs'!$K$112, "")</f>
        <v/>
      </c>
      <c r="K352" s="17" t="str">
        <f t="shared" si="65"/>
        <v/>
      </c>
      <c r="L352" s="525"/>
      <c r="M352" s="525"/>
      <c r="Q352" s="17" t="str">
        <f t="shared" si="66"/>
        <v/>
      </c>
      <c r="R352" s="17" t="str">
        <f t="shared" si="67"/>
        <v/>
      </c>
      <c r="S352" s="17" t="str">
        <f t="shared" si="68"/>
        <v/>
      </c>
      <c r="T352" s="17" t="str">
        <f t="shared" si="69"/>
        <v/>
      </c>
      <c r="U352" s="17" t="str">
        <f t="shared" si="70"/>
        <v/>
      </c>
      <c r="V352" s="17" t="str">
        <f t="shared" si="71"/>
        <v/>
      </c>
      <c r="W352" s="17" t="str">
        <f t="shared" si="72"/>
        <v/>
      </c>
      <c r="X352" s="17" t="str">
        <f t="shared" si="73"/>
        <v/>
      </c>
      <c r="Y352" s="17" t="str">
        <f t="shared" si="74"/>
        <v/>
      </c>
      <c r="Z352" s="17" t="str">
        <f t="shared" si="75"/>
        <v/>
      </c>
      <c r="AA352" s="17" t="str">
        <f t="shared" si="76"/>
        <v/>
      </c>
      <c r="AB352" s="17" t="str">
        <f t="shared" si="77"/>
        <v/>
      </c>
      <c r="AC352" s="17" t="str">
        <f t="shared" si="78"/>
        <v/>
      </c>
      <c r="AD352" s="17" t="str">
        <f t="shared" si="79"/>
        <v/>
      </c>
      <c r="AE352" s="17" t="str">
        <f t="shared" si="80"/>
        <v/>
      </c>
      <c r="AF352" s="17" t="str">
        <f t="shared" si="81"/>
        <v/>
      </c>
      <c r="AG352" s="17" t="str">
        <f t="shared" si="82"/>
        <v/>
      </c>
      <c r="AH352" s="17" t="str">
        <f t="shared" si="83"/>
        <v/>
      </c>
      <c r="AI352" s="17" t="str">
        <f t="shared" si="84"/>
        <v/>
      </c>
      <c r="AJ352" s="17" t="str">
        <f t="shared" si="85"/>
        <v/>
      </c>
      <c r="AK352" s="17" t="str">
        <f t="shared" si="86"/>
        <v/>
      </c>
      <c r="AL352" s="17" t="str">
        <f t="shared" si="87"/>
        <v/>
      </c>
      <c r="AM352" s="17" t="str">
        <f t="shared" si="88"/>
        <v/>
      </c>
      <c r="AN352" s="17" t="str">
        <f t="shared" si="89"/>
        <v/>
      </c>
      <c r="AO352" s="17" t="str">
        <f t="shared" si="90"/>
        <v/>
      </c>
      <c r="AP352" s="17" t="str">
        <f t="shared" si="91"/>
        <v/>
      </c>
      <c r="AQ352" s="17" t="str">
        <f t="shared" si="92"/>
        <v/>
      </c>
      <c r="AR352" s="17" t="str">
        <f t="shared" si="93"/>
        <v/>
      </c>
    </row>
    <row r="353" spans="1:45" x14ac:dyDescent="0.25">
      <c r="A353" s="518"/>
      <c r="B353" s="504"/>
      <c r="C353" s="107" t="str">
        <f>IF(AND(ISNUMBER(B345), OR('Cost Inputs'!$H$113&lt;&gt;"", 'Cost Inputs'!$I$113&lt;&gt;"", 'Cost Inputs'!$J$113&lt;&gt;"")), _4_4_4, "")</f>
        <v/>
      </c>
      <c r="D353" s="93" t="str">
        <f>IF(AND(C353&lt;&gt;"", 'Cost Inputs'!$G$113&lt;&gt;""), 'Cost Inputs'!$G$113, "")</f>
        <v/>
      </c>
      <c r="E353" s="93" t="str">
        <f>IF(AND(C353&lt;&gt;"", 'Cost Inputs'!$H$113&lt;&gt;""), 'Cost Inputs'!$H$113, "")</f>
        <v/>
      </c>
      <c r="F353" s="93" t="str">
        <f>IF(AND(C353&lt;&gt;"", 'Cost Inputs'!$I$113&lt;&gt;""), 'Cost Inputs'!$I$113, "")</f>
        <v/>
      </c>
      <c r="G353" s="108" t="str">
        <f t="shared" si="63"/>
        <v/>
      </c>
      <c r="H353" s="93" t="str">
        <f>IF(AND(C353&lt;&gt;"", 'Cost Inputs'!$J$113&lt;&gt;""), 'Cost Inputs'!$J$113, "")</f>
        <v/>
      </c>
      <c r="I353" s="93" t="str">
        <f t="shared" si="64"/>
        <v/>
      </c>
      <c r="J353" s="93" t="str">
        <f>IF(AND(C353&lt;&gt;"",('Cost Inputs'!$I$113+'Cost Inputs'!$J$113+'Cost Inputs'!$K$113)&gt;0), 'Cost Inputs'!$I$113+'Cost Inputs'!$J$113+'Cost Inputs'!$K$113, "")</f>
        <v/>
      </c>
      <c r="K353" s="93" t="str">
        <f t="shared" si="65"/>
        <v/>
      </c>
      <c r="L353" s="525"/>
      <c r="M353" s="525"/>
      <c r="Q353" s="93" t="str">
        <f t="shared" si="66"/>
        <v/>
      </c>
      <c r="R353" s="93" t="str">
        <f t="shared" si="67"/>
        <v/>
      </c>
      <c r="S353" s="93" t="str">
        <f t="shared" si="68"/>
        <v/>
      </c>
      <c r="T353" s="93" t="str">
        <f t="shared" si="69"/>
        <v/>
      </c>
      <c r="U353" s="93" t="str">
        <f t="shared" si="70"/>
        <v/>
      </c>
      <c r="V353" s="93" t="str">
        <f t="shared" si="71"/>
        <v/>
      </c>
      <c r="W353" s="93" t="str">
        <f t="shared" si="72"/>
        <v/>
      </c>
      <c r="X353" s="93" t="str">
        <f t="shared" si="73"/>
        <v/>
      </c>
      <c r="Y353" s="93" t="str">
        <f t="shared" si="74"/>
        <v/>
      </c>
      <c r="Z353" s="93" t="str">
        <f t="shared" si="75"/>
        <v/>
      </c>
      <c r="AA353" s="93" t="str">
        <f t="shared" si="76"/>
        <v/>
      </c>
      <c r="AB353" s="93" t="str">
        <f t="shared" si="77"/>
        <v/>
      </c>
      <c r="AC353" s="93" t="str">
        <f t="shared" si="78"/>
        <v/>
      </c>
      <c r="AD353" s="93" t="str">
        <f t="shared" si="79"/>
        <v/>
      </c>
      <c r="AE353" s="93" t="str">
        <f t="shared" si="80"/>
        <v/>
      </c>
      <c r="AF353" s="93" t="str">
        <f t="shared" si="81"/>
        <v/>
      </c>
      <c r="AG353" s="93" t="str">
        <f t="shared" si="82"/>
        <v/>
      </c>
      <c r="AH353" s="93" t="str">
        <f t="shared" si="83"/>
        <v/>
      </c>
      <c r="AI353" s="93" t="str">
        <f t="shared" si="84"/>
        <v/>
      </c>
      <c r="AJ353" s="93" t="str">
        <f t="shared" si="85"/>
        <v/>
      </c>
      <c r="AK353" s="93" t="str">
        <f t="shared" si="86"/>
        <v/>
      </c>
      <c r="AL353" s="93" t="str">
        <f t="shared" si="87"/>
        <v/>
      </c>
      <c r="AM353" s="93" t="str">
        <f t="shared" si="88"/>
        <v/>
      </c>
      <c r="AN353" s="93" t="str">
        <f t="shared" si="89"/>
        <v/>
      </c>
      <c r="AO353" s="93" t="str">
        <f t="shared" si="90"/>
        <v/>
      </c>
      <c r="AP353" s="93" t="str">
        <f t="shared" si="91"/>
        <v/>
      </c>
      <c r="AQ353" s="93" t="str">
        <f t="shared" si="92"/>
        <v/>
      </c>
      <c r="AR353" s="93" t="str">
        <f t="shared" si="93"/>
        <v/>
      </c>
    </row>
    <row r="354" spans="1:45" x14ac:dyDescent="0.25">
      <c r="A354" s="518"/>
      <c r="B354" s="504"/>
      <c r="C354" s="104" t="str">
        <f>IF(AND(ISNUMBER(B345), OR('Cost Inputs'!$H$114&lt;&gt;"", 'Cost Inputs'!$I$114&lt;&gt;"", 'Cost Inputs'!$J$114&lt;&gt;"")), _4_4_5, "")</f>
        <v/>
      </c>
      <c r="D354" s="17" t="str">
        <f>IF(AND(C354&lt;&gt;"", 'Cost Inputs'!$G$114&lt;&gt;""), 'Cost Inputs'!$G$114, "")</f>
        <v/>
      </c>
      <c r="E354" s="17" t="str">
        <f>IF(AND(C354&lt;&gt;"", 'Cost Inputs'!$H$114&lt;&gt;""), 'Cost Inputs'!$H$114, "")</f>
        <v/>
      </c>
      <c r="F354" s="17" t="str">
        <f>IF(AND(C354&lt;&gt;"", 'Cost Inputs'!$I$114&lt;&gt;""), 'Cost Inputs'!$I$114, "")</f>
        <v/>
      </c>
      <c r="G354" s="105" t="str">
        <f t="shared" si="63"/>
        <v/>
      </c>
      <c r="H354" s="17" t="str">
        <f>IF(AND(C354&lt;&gt;"", 'Cost Inputs'!$J$114&lt;&gt;""), 'Cost Inputs'!$J$114, "")</f>
        <v/>
      </c>
      <c r="I354" s="17" t="str">
        <f t="shared" si="64"/>
        <v/>
      </c>
      <c r="J354" s="17" t="str">
        <f>IF(AND(C354&lt;&gt;"",('Cost Inputs'!$I$114+'Cost Inputs'!$J$114+'Cost Inputs'!$K$114)&gt;0), 'Cost Inputs'!$I$114+'Cost Inputs'!$J$114+'Cost Inputs'!$K$114, "")</f>
        <v/>
      </c>
      <c r="K354" s="17" t="str">
        <f t="shared" si="65"/>
        <v/>
      </c>
      <c r="L354" s="525"/>
      <c r="M354" s="525"/>
      <c r="Q354" s="17" t="str">
        <f t="shared" si="66"/>
        <v/>
      </c>
      <c r="R354" s="17" t="str">
        <f t="shared" si="67"/>
        <v/>
      </c>
      <c r="S354" s="17" t="str">
        <f t="shared" si="68"/>
        <v/>
      </c>
      <c r="T354" s="17" t="str">
        <f t="shared" si="69"/>
        <v/>
      </c>
      <c r="U354" s="17" t="str">
        <f t="shared" si="70"/>
        <v/>
      </c>
      <c r="V354" s="17" t="str">
        <f t="shared" si="71"/>
        <v/>
      </c>
      <c r="W354" s="17" t="str">
        <f t="shared" si="72"/>
        <v/>
      </c>
      <c r="X354" s="17" t="str">
        <f t="shared" si="73"/>
        <v/>
      </c>
      <c r="Y354" s="17" t="str">
        <f t="shared" si="74"/>
        <v/>
      </c>
      <c r="Z354" s="17" t="str">
        <f t="shared" si="75"/>
        <v/>
      </c>
      <c r="AA354" s="17" t="str">
        <f t="shared" si="76"/>
        <v/>
      </c>
      <c r="AB354" s="17" t="str">
        <f t="shared" si="77"/>
        <v/>
      </c>
      <c r="AC354" s="17" t="str">
        <f t="shared" si="78"/>
        <v/>
      </c>
      <c r="AD354" s="17" t="str">
        <f t="shared" si="79"/>
        <v/>
      </c>
      <c r="AE354" s="17" t="str">
        <f t="shared" si="80"/>
        <v/>
      </c>
      <c r="AF354" s="17" t="str">
        <f t="shared" si="81"/>
        <v/>
      </c>
      <c r="AG354" s="17" t="str">
        <f t="shared" si="82"/>
        <v/>
      </c>
      <c r="AH354" s="17" t="str">
        <f t="shared" si="83"/>
        <v/>
      </c>
      <c r="AI354" s="17" t="str">
        <f t="shared" si="84"/>
        <v/>
      </c>
      <c r="AJ354" s="17" t="str">
        <f t="shared" si="85"/>
        <v/>
      </c>
      <c r="AK354" s="17" t="str">
        <f t="shared" si="86"/>
        <v/>
      </c>
      <c r="AL354" s="17" t="str">
        <f t="shared" si="87"/>
        <v/>
      </c>
      <c r="AM354" s="17" t="str">
        <f t="shared" si="88"/>
        <v/>
      </c>
      <c r="AN354" s="17" t="str">
        <f t="shared" si="89"/>
        <v/>
      </c>
      <c r="AO354" s="17" t="str">
        <f t="shared" si="90"/>
        <v/>
      </c>
      <c r="AP354" s="17" t="str">
        <f t="shared" si="91"/>
        <v/>
      </c>
      <c r="AQ354" s="17" t="str">
        <f t="shared" si="92"/>
        <v/>
      </c>
      <c r="AR354" s="17" t="str">
        <f t="shared" si="93"/>
        <v/>
      </c>
    </row>
    <row r="355" spans="1:45" x14ac:dyDescent="0.25">
      <c r="A355" s="518"/>
      <c r="B355" s="504"/>
      <c r="C355" s="107" t="str">
        <f>IF(AND(ISNUMBER(B345), OR('Cost Inputs'!$H$115&lt;&gt;"", 'Cost Inputs'!$I$115&lt;&gt;"", 'Cost Inputs'!$J$115&lt;&gt;"")), _4_4_6, "")</f>
        <v/>
      </c>
      <c r="D355" s="93" t="str">
        <f>IF(AND(C355&lt;&gt;"", 'Cost Inputs'!$G$115&lt;&gt;""), 'Cost Inputs'!$G$115, "")</f>
        <v/>
      </c>
      <c r="E355" s="93" t="str">
        <f>IF(AND(C355&lt;&gt;"", 'Cost Inputs'!$H$115&lt;&gt;""), 'Cost Inputs'!$H$115, "")</f>
        <v/>
      </c>
      <c r="F355" s="93" t="str">
        <f>IF(AND(C355&lt;&gt;"", 'Cost Inputs'!$I$115&lt;&gt;""), 'Cost Inputs'!$I$115, "")</f>
        <v/>
      </c>
      <c r="G355" s="108" t="str">
        <f t="shared" si="63"/>
        <v/>
      </c>
      <c r="H355" s="93" t="str">
        <f>IF(AND(C355&lt;&gt;"", 'Cost Inputs'!$J$115&lt;&gt;""), 'Cost Inputs'!$J$115, "")</f>
        <v/>
      </c>
      <c r="I355" s="93" t="str">
        <f t="shared" si="64"/>
        <v/>
      </c>
      <c r="J355" s="93" t="str">
        <f>IF(AND(C355&lt;&gt;"",('Cost Inputs'!$I$115+'Cost Inputs'!$J$115+'Cost Inputs'!$K$115)&gt;0), 'Cost Inputs'!$I$115+'Cost Inputs'!$J$115+'Cost Inputs'!$K$115, "")</f>
        <v/>
      </c>
      <c r="K355" s="93" t="str">
        <f t="shared" si="65"/>
        <v/>
      </c>
      <c r="L355" s="525"/>
      <c r="M355" s="525"/>
      <c r="Q355" s="93" t="str">
        <f t="shared" si="66"/>
        <v/>
      </c>
      <c r="R355" s="93" t="str">
        <f t="shared" si="67"/>
        <v/>
      </c>
      <c r="S355" s="93" t="str">
        <f t="shared" si="68"/>
        <v/>
      </c>
      <c r="T355" s="93" t="str">
        <f t="shared" si="69"/>
        <v/>
      </c>
      <c r="U355" s="93" t="str">
        <f t="shared" si="70"/>
        <v/>
      </c>
      <c r="V355" s="93" t="str">
        <f t="shared" si="71"/>
        <v/>
      </c>
      <c r="W355" s="93" t="str">
        <f t="shared" si="72"/>
        <v/>
      </c>
      <c r="X355" s="93" t="str">
        <f t="shared" si="73"/>
        <v/>
      </c>
      <c r="Y355" s="93" t="str">
        <f t="shared" si="74"/>
        <v/>
      </c>
      <c r="Z355" s="93" t="str">
        <f t="shared" si="75"/>
        <v/>
      </c>
      <c r="AA355" s="93" t="str">
        <f t="shared" si="76"/>
        <v/>
      </c>
      <c r="AB355" s="93" t="str">
        <f t="shared" si="77"/>
        <v/>
      </c>
      <c r="AC355" s="93" t="str">
        <f t="shared" si="78"/>
        <v/>
      </c>
      <c r="AD355" s="93" t="str">
        <f t="shared" si="79"/>
        <v/>
      </c>
      <c r="AE355" s="93" t="str">
        <f t="shared" si="80"/>
        <v/>
      </c>
      <c r="AF355" s="93" t="str">
        <f t="shared" si="81"/>
        <v/>
      </c>
      <c r="AG355" s="93" t="str">
        <f t="shared" si="82"/>
        <v/>
      </c>
      <c r="AH355" s="93" t="str">
        <f t="shared" si="83"/>
        <v/>
      </c>
      <c r="AI355" s="93" t="str">
        <f t="shared" si="84"/>
        <v/>
      </c>
      <c r="AJ355" s="93" t="str">
        <f t="shared" si="85"/>
        <v/>
      </c>
      <c r="AK355" s="93" t="str">
        <f t="shared" si="86"/>
        <v/>
      </c>
      <c r="AL355" s="93" t="str">
        <f t="shared" si="87"/>
        <v/>
      </c>
      <c r="AM355" s="93" t="str">
        <f t="shared" si="88"/>
        <v/>
      </c>
      <c r="AN355" s="93" t="str">
        <f t="shared" si="89"/>
        <v/>
      </c>
      <c r="AO355" s="93" t="str">
        <f t="shared" si="90"/>
        <v/>
      </c>
      <c r="AP355" s="93" t="str">
        <f t="shared" si="91"/>
        <v/>
      </c>
      <c r="AQ355" s="93" t="str">
        <f t="shared" si="92"/>
        <v/>
      </c>
      <c r="AR355" s="93" t="str">
        <f t="shared" si="93"/>
        <v/>
      </c>
    </row>
    <row r="356" spans="1:45" x14ac:dyDescent="0.25">
      <c r="A356" s="518"/>
      <c r="B356" s="504"/>
      <c r="C356" s="489" t="str">
        <f>IF('Model_ of_individuals'!C349&lt;&gt;"", "Percentage decrease in marker culling","")</f>
        <v/>
      </c>
      <c r="D356" s="490"/>
      <c r="E356" s="490"/>
      <c r="F356" s="490"/>
      <c r="G356" s="490"/>
      <c r="H356" s="490"/>
      <c r="I356" s="490"/>
      <c r="J356" s="490"/>
      <c r="K356" s="491"/>
      <c r="L356" s="525"/>
      <c r="M356" s="525"/>
      <c r="Q356" s="17" t="str">
        <f>IF(OR('Breeding Inputs'!$I$17="Y",'Model_ of_individuals'!$C349&lt;&gt;""),
IF('Breeding Inputs'!$I$44="Y",
IF(OR('Breeding Inputs'!$I$45=1), 25%,
IF('Breeding Inputs'!$I$44="N",
IF('Breeding Inputs'!$I$45=1,
IF(ISNUMBER('Breeding Inputs'!$I$46),'Breeding Inputs'!$I$46,""),""),"")),""),"")</f>
        <v/>
      </c>
      <c r="R356" s="17" t="str">
        <f>IF(OR('Breeding Inputs'!$I$17="Y",'Model_ of_individuals'!$C349&lt;&gt;""),
IF('Breeding Inputs'!$I$44="Y",
IF(OR('Breeding Inputs'!$I$45=1), 25%,
IF(ISNUMBER(Q356), Q356,
IF('Breeding Inputs'!$I$44="N",
IF(OR('Breeding Inputs'!$I$45=1),
IF(ISNUMBER('Breeding Inputs'!$I$46),'Breeding Inputs'!$I$46,""),""),""))),""),"")</f>
        <v/>
      </c>
      <c r="S356" s="17" t="str">
        <f>IF(OR('Breeding Inputs'!$I$17="Y",'Model_ of_individuals'!$C349&lt;&gt;""),
IF('Breeding Inputs'!$I$44="Y",
IF(OR('Breeding Inputs'!$I$45=1, 'Breeding Inputs'!$I$45=2), 25%,
IF(ISNUMBER(R356), R356,
IF('Breeding Inputs'!$I$44="N",
IF(OR('Breeding Inputs'!$I$45=1, 'Breeding Inputs'!$I$45=2),
IF(ISNUMBER('Breeding Inputs'!$I$46),'Breeding Inputs'!$I$46,""),""),""))),""),"")</f>
        <v/>
      </c>
      <c r="T356" s="17" t="str">
        <f>IF(OR('Breeding Inputs'!$I$17="Y",'Model_ of_individuals'!$C349&lt;&gt;""),
IF('Breeding Inputs'!$I$44="Y",
IF(OR('Breeding Inputs'!$I$45=1, 'Breeding Inputs'!$I$45=3), 25%,
IF(ISNUMBER(S356), S356,
IF('Breeding Inputs'!$I$44="N",
IF(OR('Breeding Inputs'!$I$45=1, 'Breeding Inputs'!$I$45=3),
IF(ISNUMBER('Breeding Inputs'!$I$46),'Breeding Inputs'!$I$46,""),""),""))),""),"")</f>
        <v/>
      </c>
      <c r="U356" s="17" t="str">
        <f>IF(OR('Breeding Inputs'!$I$17="Y",'Model_ of_individuals'!$C349&lt;&gt;""),
IF('Breeding Inputs'!$I$44="Y",
IF(OR('Breeding Inputs'!$I$45=1, 'Breeding Inputs'!$I$45=2, 'Breeding Inputs'!$I$45=4), 25%,
IF(ISNUMBER(T356), T356,
IF('Breeding Inputs'!$I$44="N",
IF(OR('Breeding Inputs'!$I$45=1, 'Breeding Inputs'!$I$45=2, 'Breeding Inputs'!$I$45=4),
IF(ISNUMBER('Breeding Inputs'!$I$46),'Breeding Inputs'!$I$46,""),""),""))),""),"")</f>
        <v/>
      </c>
      <c r="V356" s="17" t="str">
        <f>IF(OR('Breeding Inputs'!$I$17="Y",'Model_ of_individuals'!$C349&lt;&gt;""),
IF('Breeding Inputs'!$I$44="Y",
IF(OR('Breeding Inputs'!$I$45=1, 'Breeding Inputs'!$I$45=5), 25%,
IF(ISNUMBER(U356), U356,
IF('Breeding Inputs'!$I$44="N",
IF(OR('Breeding Inputs'!$I$45=1, 'Breeding Inputs'!$I$45=5),
IF(ISNUMBER('Breeding Inputs'!$I$46),'Breeding Inputs'!$I$46,""),""),""))),""),"")</f>
        <v/>
      </c>
      <c r="W356" s="17" t="str">
        <f>IF(OR('Breeding Inputs'!$I$17="Y",'Model_ of_individuals'!$C349&lt;&gt;""),
IF('Breeding Inputs'!$I$44="Y",
IF(OR('Breeding Inputs'!$I$45=1, 'Breeding Inputs'!$I$45=2, 'Breeding Inputs'!$I$45=3, 'Breeding Inputs'!$I$45=6), 25%,
IF(ISNUMBER(V356), V356,
IF('Breeding Inputs'!$I$44="N",
IF(OR('Breeding Inputs'!$I$45=1, 'Breeding Inputs'!$I$45=2, 'Breeding Inputs'!$I$45=3, 'Breeding Inputs'!$I$45=6),
IF(ISNUMBER('Breeding Inputs'!$I$46),'Breeding Inputs'!$I$46,""),""),""))),""),"")</f>
        <v/>
      </c>
      <c r="X356" s="17" t="str">
        <f>IF(OR('Breeding Inputs'!$I$17="Y",'Model_ of_individuals'!$C349&lt;&gt;""),
IF('Breeding Inputs'!$I$44="Y",
IF(OR('Breeding Inputs'!$I$45=1, 'Breeding Inputs'!$I$45=7), 25%,
IF(ISNUMBER(W356), W356,
IF('Breeding Inputs'!$I$44="N",
IF(OR('Breeding Inputs'!$I$45=1, 'Breeding Inputs'!$I$45=7),
IF(ISNUMBER('Breeding Inputs'!$I$46),'Breeding Inputs'!$I$46,""),""),""))),""),"")</f>
        <v/>
      </c>
      <c r="Y356" s="17" t="str">
        <f>IF(OR('Breeding Inputs'!$I$17="Y",'Model_ of_individuals'!$C349&lt;&gt;""),
IF('Breeding Inputs'!$I$44="Y",
IF(OR('Breeding Inputs'!$I$45=1, 'Breeding Inputs'!$I$45=2, 'Breeding Inputs'!$I$45=4, 'Breeding Inputs'!$I$45=8), 25%,
IF(ISNUMBER(X356), X356,
IF('Breeding Inputs'!$I$44="N",
IF(OR('Breeding Inputs'!$I$45=1, 'Breeding Inputs'!$I$45=2, 'Breeding Inputs'!$I$45=4, 'Breeding Inputs'!$I$45=8),
IF(ISNUMBER('Breeding Inputs'!$I$46),'Breeding Inputs'!$I$46,""),""),""))),""),"")</f>
        <v/>
      </c>
      <c r="Z356" s="17" t="str">
        <f>IF(OR('Breeding Inputs'!$I$17="Y",'Model_ of_individuals'!$C349&lt;&gt;""),
IF('Breeding Inputs'!$I$44="Y",
IF(OR('Breeding Inputs'!$I$45=1, 'Breeding Inputs'!$I$45=3, 'Breeding Inputs'!$I$45=9), 25%,
IF(ISNUMBER(Y356), Y356,
IF('Breeding Inputs'!$I$44="N",
IF(OR('Breeding Inputs'!$I$45=1, 'Breeding Inputs'!$I$45=3, 'Breeding Inputs'!$I$45=9),
IF(ISNUMBER('Breeding Inputs'!$I$46),'Breeding Inputs'!$I$46,""),""),""))),""),"")</f>
        <v/>
      </c>
      <c r="AA356" s="17" t="str">
        <f>IF(OR('Breeding Inputs'!$I$17="Y",'Model_ of_individuals'!$C349&lt;&gt;""),
IF('Breeding Inputs'!$I$44="Y",
IF(OR('Breeding Inputs'!$I$45=1, 'Breeding Inputs'!$I$45=3, 'Breeding Inputs'!$I$45=9), 25%,
IF(ISNUMBER(Z356), Z356,
IF('Breeding Inputs'!$I$44="N",
IF(OR('Breeding Inputs'!$I$45=1, 'Breeding Inputs'!$I$45=3, 'Breeding Inputs'!$I$45=9),
IF(ISNUMBER('Breeding Inputs'!$I$46),'Breeding Inputs'!$I$46,""),""),""))),""),"")</f>
        <v/>
      </c>
      <c r="AB356" s="17" t="str">
        <f>IF(OR('Breeding Inputs'!$I$17="Y",'Model_ of_individuals'!$C349&lt;&gt;""),
IF('Breeding Inputs'!$I$44="Y",
IF(OR('Breeding Inputs'!$I$45=1, 'Breeding Inputs'!$I$45=3, 'Breeding Inputs'!$I$45=9), 25%,
IF(ISNUMBER(AA356), AA356,
IF('Breeding Inputs'!$I$44="N",
IF(OR('Breeding Inputs'!$I$45=1, 'Breeding Inputs'!$I$45=3, 'Breeding Inputs'!$I$45=9),
IF(ISNUMBER('Breeding Inputs'!$I$46),'Breeding Inputs'!$I$46,""),""),""))),""),"")</f>
        <v/>
      </c>
      <c r="AC356" s="17" t="str">
        <f>IF(OR('Breeding Inputs'!$I$17="Y",'Model_ of_individuals'!$C349&lt;&gt;""),
IF('Breeding Inputs'!$I$44="Y",
IF(OR('Breeding Inputs'!$I$45=1, 'Breeding Inputs'!$I$45=3, 'Breeding Inputs'!$I$45=9), 25%,
IF(ISNUMBER(AB356), AB356,
IF('Breeding Inputs'!$I$44="N",
IF(OR('Breeding Inputs'!$I$45=1, 'Breeding Inputs'!$I$45=3, 'Breeding Inputs'!$I$45=9),
IF(ISNUMBER('Breeding Inputs'!$I$46),'Breeding Inputs'!$I$46,""),""),""))),""),"")</f>
        <v/>
      </c>
      <c r="AD356" s="17" t="str">
        <f>IF(OR('Breeding Inputs'!$I$17="Y",'Model_ of_individuals'!$C349&lt;&gt;""),
IF('Breeding Inputs'!$I$44="Y",
IF(OR('Breeding Inputs'!$I$45=1, 'Breeding Inputs'!$I$45=3, 'Breeding Inputs'!$I$45=9), 25%,
IF(ISNUMBER(AC356), AC356,
IF('Breeding Inputs'!$I$44="N",
IF(OR('Breeding Inputs'!$I$45=1, 'Breeding Inputs'!$I$45=3, 'Breeding Inputs'!$I$45=9),
IF(ISNUMBER('Breeding Inputs'!$I$46),'Breeding Inputs'!$I$46,""),""),""))),""),"")</f>
        <v/>
      </c>
      <c r="AE356" s="17" t="str">
        <f>IF(OR('Breeding Inputs'!$I$17="Y",'Model_ of_individuals'!$C349&lt;&gt;""),
IF('Breeding Inputs'!$I$44="Y",
IF(OR('Breeding Inputs'!$I$45=1, 'Breeding Inputs'!$I$45=3, 'Breeding Inputs'!$I$45=9), 25%,
IF(ISNUMBER(AD356), AD356,
IF('Breeding Inputs'!$I$44="N",
IF(OR('Breeding Inputs'!$I$45=1, 'Breeding Inputs'!$I$45=3, 'Breeding Inputs'!$I$45=9),
IF(ISNUMBER('Breeding Inputs'!$I$46),'Breeding Inputs'!$I$46,""),""),""))),""),"")</f>
        <v/>
      </c>
      <c r="AF356" s="17" t="str">
        <f>IF(OR('Breeding Inputs'!$I$17="Y",'Model_ of_individuals'!$C349&lt;&gt;""),
IF('Breeding Inputs'!$I$44="Y",
IF(OR('Breeding Inputs'!$I$45=1, 'Breeding Inputs'!$I$45=3, 'Breeding Inputs'!$I$45=9), 25%,
IF(ISNUMBER(AE356), AE356,
IF('Breeding Inputs'!$I$44="N",
IF(OR('Breeding Inputs'!$I$45=1, 'Breeding Inputs'!$I$45=3, 'Breeding Inputs'!$I$45=9),
IF(ISNUMBER('Breeding Inputs'!$I$46),'Breeding Inputs'!$I$46,""),""),""))),""),"")</f>
        <v/>
      </c>
      <c r="AG356" s="17" t="str">
        <f>IF(OR('Breeding Inputs'!$I$17="Y",'Model_ of_individuals'!$C349&lt;&gt;""),
IF('Breeding Inputs'!$I$44="Y",
IF(OR('Breeding Inputs'!$I$45=1, 'Breeding Inputs'!$I$45=3, 'Breeding Inputs'!$I$45=9), 25%,
IF(ISNUMBER(AF356), AF356,
IF('Breeding Inputs'!$I$44="N",
IF(OR('Breeding Inputs'!$I$45=1, 'Breeding Inputs'!$I$45=3, 'Breeding Inputs'!$I$45=9),
IF(ISNUMBER('Breeding Inputs'!$I$46),'Breeding Inputs'!$I$46,""),""),""))),""),"")</f>
        <v/>
      </c>
      <c r="AH356" s="17" t="str">
        <f>IF(OR('Breeding Inputs'!$I$17="Y",'Model_ of_individuals'!$C349&lt;&gt;""),
IF('Breeding Inputs'!$I$44="Y",
IF(OR('Breeding Inputs'!$I$45=1, 'Breeding Inputs'!$I$45=3, 'Breeding Inputs'!$I$45=9), 25%,
IF(ISNUMBER(AG356), AG356,
IF('Breeding Inputs'!$I$44="N",
IF(OR('Breeding Inputs'!$I$45=1, 'Breeding Inputs'!$I$45=3, 'Breeding Inputs'!$I$45=9),
IF(ISNUMBER('Breeding Inputs'!$I$46),'Breeding Inputs'!$I$46,""),""),""))),""),"")</f>
        <v/>
      </c>
      <c r="AI356" s="17" t="str">
        <f>IF(OR('Breeding Inputs'!$I$17="Y",'Model_ of_individuals'!$C349&lt;&gt;""),
IF('Breeding Inputs'!$I$44="Y",
IF(OR('Breeding Inputs'!$I$45=1, 'Breeding Inputs'!$I$45=3, 'Breeding Inputs'!$I$45=9), 25%,
IF(ISNUMBER(AH356), AH356,
IF('Breeding Inputs'!$I$44="N",
IF(OR('Breeding Inputs'!$I$45=1, 'Breeding Inputs'!$I$45=3, 'Breeding Inputs'!$I$45=9),
IF(ISNUMBER('Breeding Inputs'!$I$46),'Breeding Inputs'!$I$46,""),""),""))),""),"")</f>
        <v/>
      </c>
      <c r="AJ356" s="17" t="str">
        <f>IF(OR('Breeding Inputs'!$I$17="Y",'Model_ of_individuals'!$C349&lt;&gt;""),
IF('Breeding Inputs'!$I$44="Y",
IF(OR('Breeding Inputs'!$I$45=1, 'Breeding Inputs'!$I$45=3, 'Breeding Inputs'!$I$45=9), 25%,
IF(ISNUMBER(AI356), AI356,
IF('Breeding Inputs'!$I$44="N",
IF(OR('Breeding Inputs'!$I$45=1, 'Breeding Inputs'!$I$45=3, 'Breeding Inputs'!$I$45=9),
IF(ISNUMBER('Breeding Inputs'!$I$46),'Breeding Inputs'!$I$46,""),""),""))),""),"")</f>
        <v/>
      </c>
      <c r="AK356" s="17" t="str">
        <f>IF(OR('Breeding Inputs'!$I$17="Y",'Model_ of_individuals'!$C349&lt;&gt;""),
IF('Breeding Inputs'!$I$44="Y",
IF(OR('Breeding Inputs'!$I$45=1, 'Breeding Inputs'!$I$45=3, 'Breeding Inputs'!$I$45=9), 25%,
IF(ISNUMBER(AJ356), AJ356,
IF('Breeding Inputs'!$I$44="N",
IF(OR('Breeding Inputs'!$I$45=1, 'Breeding Inputs'!$I$45=3, 'Breeding Inputs'!$I$45=9),
IF(ISNUMBER('Breeding Inputs'!$I$46),'Breeding Inputs'!$I$46,""),""),""))),""),"")</f>
        <v/>
      </c>
      <c r="AL356" s="17" t="str">
        <f>IF(OR('Breeding Inputs'!$I$17="Y",'Model_ of_individuals'!$C349&lt;&gt;""),
IF('Breeding Inputs'!$I$44="Y",
IF(OR('Breeding Inputs'!$I$45=1, 'Breeding Inputs'!$I$45=3, 'Breeding Inputs'!$I$45=9), 25%,
IF(ISNUMBER(AK356), AK356,
IF('Breeding Inputs'!$I$44="N",
IF(OR('Breeding Inputs'!$I$45=1, 'Breeding Inputs'!$I$45=3, 'Breeding Inputs'!$I$45=9),
IF(ISNUMBER('Breeding Inputs'!$I$46),'Breeding Inputs'!$I$46,""),""),""))),""),"")</f>
        <v/>
      </c>
      <c r="AM356" s="17" t="str">
        <f>IF(OR('Breeding Inputs'!$I$17="Y",'Model_ of_individuals'!$C349&lt;&gt;""),
IF('Breeding Inputs'!$I$44="Y",
IF(OR('Breeding Inputs'!$I$45=1, 'Breeding Inputs'!$I$45=3, 'Breeding Inputs'!$I$45=9), 25%,
IF(ISNUMBER(AL356), AL356,
IF('Breeding Inputs'!$I$44="N",
IF(OR('Breeding Inputs'!$I$45=1, 'Breeding Inputs'!$I$45=3, 'Breeding Inputs'!$I$45=9),
IF(ISNUMBER('Breeding Inputs'!$I$46),'Breeding Inputs'!$I$46,""),""),""))),""),"")</f>
        <v/>
      </c>
      <c r="AN356" s="17" t="str">
        <f>IF(OR('Breeding Inputs'!$I$17="Y",'Model_ of_individuals'!$C349&lt;&gt;""),
IF('Breeding Inputs'!$I$44="Y",
IF(OR('Breeding Inputs'!$I$45=1, 'Breeding Inputs'!$I$45=3, 'Breeding Inputs'!$I$45=9), 25%,
IF(ISNUMBER(AM356), AM356,
IF('Breeding Inputs'!$I$44="N",
IF(OR('Breeding Inputs'!$I$45=1, 'Breeding Inputs'!$I$45=3, 'Breeding Inputs'!$I$45=9),
IF(ISNUMBER('Breeding Inputs'!$I$46),'Breeding Inputs'!$I$46,""),""),""))),""),"")</f>
        <v/>
      </c>
      <c r="AO356" s="17" t="str">
        <f>IF(OR('Breeding Inputs'!$I$17="Y",'Model_ of_individuals'!$C349&lt;&gt;""),
IF('Breeding Inputs'!$I$44="Y",
IF(OR('Breeding Inputs'!$I$45=1, 'Breeding Inputs'!$I$45=3, 'Breeding Inputs'!$I$45=9), 25%,
IF(ISNUMBER(AN356), AN356,
IF('Breeding Inputs'!$I$44="N",
IF(OR('Breeding Inputs'!$I$45=1, 'Breeding Inputs'!$I$45=3, 'Breeding Inputs'!$I$45=9),
IF(ISNUMBER('Breeding Inputs'!$I$46),'Breeding Inputs'!$I$46,""),""),""))),""),"")</f>
        <v/>
      </c>
      <c r="AP356" s="17" t="str">
        <f>IF(OR('Breeding Inputs'!$I$17="Y",'Model_ of_individuals'!$C349&lt;&gt;""),
IF('Breeding Inputs'!$I$44="Y",
IF(OR('Breeding Inputs'!$I$45=1, 'Breeding Inputs'!$I$45=3, 'Breeding Inputs'!$I$45=9), 25%,
IF(ISNUMBER(AO356), AO356,
IF('Breeding Inputs'!$I$44="N",
IF(OR('Breeding Inputs'!$I$45=1, 'Breeding Inputs'!$I$45=3, 'Breeding Inputs'!$I$45=9),
IF(ISNUMBER('Breeding Inputs'!$I$46),'Breeding Inputs'!$I$46,""),""),""))),""),"")</f>
        <v/>
      </c>
      <c r="AQ356" s="17" t="str">
        <f>IF(OR('Breeding Inputs'!$I$17="Y",'Model_ of_individuals'!$C349&lt;&gt;""),
IF('Breeding Inputs'!$I$44="Y",
IF(OR('Breeding Inputs'!$I$45=1, 'Breeding Inputs'!$I$45=3, 'Breeding Inputs'!$I$45=9), 25%,
IF(ISNUMBER(AP356), AP356,
IF('Breeding Inputs'!$I$44="N",
IF(OR('Breeding Inputs'!$I$45=1, 'Breeding Inputs'!$I$45=3, 'Breeding Inputs'!$I$45=9),
IF(ISNUMBER('Breeding Inputs'!$I$46),'Breeding Inputs'!$I$46,""),""),""))),""),"")</f>
        <v/>
      </c>
      <c r="AR356" s="17" t="str">
        <f>IF(OR('Breeding Inputs'!$I$17="Y",'Model_ of_individuals'!$C349&lt;&gt;""),
IF('Breeding Inputs'!$I$44="Y",
IF(OR('Breeding Inputs'!$I$45=1, 'Breeding Inputs'!$I$45=3, 'Breeding Inputs'!$I$45=9), 25%,
IF(ISNUMBER(AQ356), AQ356,
IF('Breeding Inputs'!$I$44="N",
IF(OR('Breeding Inputs'!$I$45=1, 'Breeding Inputs'!$I$45=3, 'Breeding Inputs'!$I$45=9),
IF(ISNUMBER('Breeding Inputs'!$I$46),'Breeding Inputs'!$I$46,""),""),""))),""),"")</f>
        <v/>
      </c>
      <c r="AS356" s="17"/>
    </row>
    <row r="357" spans="1:45" x14ac:dyDescent="0.25">
      <c r="A357" s="518"/>
      <c r="B357" s="504"/>
      <c r="C357" s="521" t="str">
        <f>IF(AND(B345&lt;&gt;"", ISNUMBER(B345), ISNUMBER(Stage2EvaluationBegins)), IF((INDEX(ProgramYearStage2,MATCH(Stage2EvaluationBegins,Years_in_Stage2,0)))=B345, _4_5_0, IF(AND(B345&lt;&gt;"", C333&lt;&gt;""), _4_5_0, IF(AND(B345&lt;&gt;"", ISNUMBER(B345), OR(Stage2EvaluationBegins=0, Stage2EvaluationBegins="")),"", ""))),"")</f>
        <v/>
      </c>
      <c r="D357" s="94" t="str">
        <f>IF(AND(C357&lt;&gt;"", 'Cost Inputs'!$G$116&lt;&gt;""), 'Cost Inputs'!$G$116, "")</f>
        <v/>
      </c>
      <c r="E357" s="94" t="str">
        <f>IF(AND(C357&lt;&gt;"", 'Cost Inputs'!$H$116&lt;&gt;""), 'Cost Inputs'!$H$116, "")</f>
        <v/>
      </c>
      <c r="F357" s="492" t="str">
        <f>IF(AND(C357&lt;&gt;"", 'Cost Inputs'!$I$116&lt;&gt;""), 'Cost Inputs'!$I$116, "")</f>
        <v/>
      </c>
      <c r="G357" s="102" t="str">
        <f t="shared" si="63"/>
        <v/>
      </c>
      <c r="H357" s="492" t="str">
        <f>IF(AND(C357&lt;&gt;"", 'Cost Inputs'!$J$116&lt;&gt;""), 'Cost Inputs'!$J$116, "")</f>
        <v/>
      </c>
      <c r="I357" s="102" t="str">
        <f>IF($C357&lt;&gt;"",IF(AND($E357&lt;&gt;"",H357&lt;&gt;""), H357/$E357, 0),"")</f>
        <v/>
      </c>
      <c r="J357" s="492" t="str">
        <f>IF(AND(C357&lt;&gt;"",('Cost Inputs'!$I$116+'Cost Inputs'!$J$116+'Cost Inputs'!$K$116)&gt;0), 'Cost Inputs'!$I$116+'Cost Inputs'!$J$116+'Cost Inputs'!$K$116, "")</f>
        <v/>
      </c>
      <c r="K357" s="102" t="str">
        <f>IF($C357&lt;&gt;"",IF(AND($E357&lt;&gt;"",J357&lt;&gt;""), J357/$E357, 0),"")</f>
        <v/>
      </c>
      <c r="L357" s="525"/>
      <c r="M357" s="525"/>
      <c r="Q357" s="496" t="str">
        <f t="shared" ref="Q357:Q364" si="94">IF(ISNUMBER($B$345),
IF($C357&lt;&gt;"",
IF(AND(ISNUMBER(O$280), ISNUMBER(O$317)),
IF(AND(Q$279=123, Cultivar_1_Cohort_Year_Selection=$O$278,Cultivar_2_Cohort_Year_Selection=$O$278,Cultivar_3_Cohort_Year_Selection=$O$278), ROUND(MAX(0,P$344 - 3),0),
IF(AND(OR(Q$279=123, Q$279=12), Cultivar_1_Cohort_Year_Selection=$O$278,Cultivar_2_Cohort_Year_Selection=$O$278), ROUND(MAX(0,P$344 - 2),0),
IF(AND(OR(Q$279=123, Q$279=13), Cultivar_1_Cohort_Year_Selection=$O$278,Cultivar_3_Cohort_Year_Selection=$O$278), ROUND(MAX(0,P$344 - 2),0),
IF(AND(OR(Q$279=123, Q$279=23), Cultivar_2_Cohort_Year_Selection=$O$278,Cultivar_3_Cohort_Year_Selection=$O$278), ROUND(MAX(0,P$344 - 2),0),
IF(AND(OR(Q$279=123, Q$279=12, Q$279=13, Q$279=1), Cultivar_1_Cohort_Year_Selection=$O$278), ROUND(MAX(0,P$344 - 1),0),
IF(AND(OR(Q$279=123, Q$279=12, Q$279=23, Q$279=2), Cultivar_2_Cohort_Year_Selection=$O$278), ROUND(MAX(0,P$344 - 1),0),
IF(AND(OR(Q$279=123, Q$279=13, Q$279=23, Q$279=3), Cultivar_3_Cohort_Year_Selection=$O$278), ROUND(MAX(0,P$344 - 1),0),
ROUND(MAX(0,P$344),0)))))))),""),""),"")</f>
        <v/>
      </c>
      <c r="R357" s="496" t="str">
        <f>IF(ISNUMBER($B$345),
IF($C357&lt;&gt;"",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57" s="496" t="str">
        <f>IF(ISNUMBER($B$345),
IF($C357&lt;&gt;"",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57" s="496" t="str">
        <f>IF(ISNUMBER($B$345),
IF($C357&lt;&gt;"",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57" s="496" t="str">
        <f>IF(ISNUMBER($B$345),
IF($C357&lt;&gt;"",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57" s="496" t="str">
        <f>IF(ISNUMBER($B$345),
IF($C357&lt;&gt;"",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57" s="496" t="str">
        <f>IF(ISNUMBER($B$345),
IF($C357&lt;&gt;"",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57" s="496" t="str">
        <f>IF(ISNUMBER($B$345),
IF($C357&lt;&gt;"",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57" s="496" t="str">
        <f>IF(ISNUMBER($B$345),
IF($C357&lt;&gt;"",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57" s="496" t="str">
        <f>IF(ISNUMBER($B$345),
IF($C357&lt;&gt;"",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57" s="496" t="str">
        <f>IF(ISNUMBER($B$345),
IF($C357&lt;&gt;"",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57" s="496" t="str">
        <f>IF(ISNUMBER($B$345),
IF($C357&lt;&gt;"",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57" s="496" t="str">
        <f>IF(ISNUMBER($B$345),
IF($C357&lt;&gt;"",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57" s="496" t="str">
        <f>IF(ISNUMBER($B$345),
IF($C357&lt;&gt;"",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57" s="496" t="str">
        <f>IF(ISNUMBER($B$345),
IF($C357&lt;&gt;"",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57" s="496" t="str">
        <f>IF(ISNUMBER($B$345),
IF($C357&lt;&gt;"",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57" s="496" t="str">
        <f>IF(ISNUMBER($B$345),
IF($C357&lt;&gt;"",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57" s="496" t="str">
        <f>IF(ISNUMBER($B$345),
IF($C357&lt;&gt;"",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57" s="496" t="str">
        <f>IF(ISNUMBER($B$345),
IF($C357&lt;&gt;"",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57" s="496" t="str">
        <f>IF(ISNUMBER($B$345),
IF($C357&lt;&gt;"",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57" s="496" t="str">
        <f>IF(ISNUMBER($B$345),
IF($C357&lt;&gt;"",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57" s="496" t="str">
        <f>IF(ISNUMBER($B$345),
IF($C357&lt;&gt;"",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57" s="496" t="str">
        <f>IF(ISNUMBER($B$345),
IF($C357&lt;&gt;"",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57" s="496" t="str">
        <f>IF(ISNUMBER($B$345),
IF($C357&lt;&gt;"",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57" s="496" t="str">
        <f>IF(ISNUMBER($B$345),
IF($C357&lt;&gt;"",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57" s="496" t="str">
        <f>IF(ISNUMBER($B$345),
IF($C357&lt;&gt;"",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57" s="496" t="str">
        <f>IF(ISNUMBER($B$345),
IF($C357&lt;&gt;"",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57" s="496" t="str">
        <f>IF(ISNUMBER($B$345),
IF($C357&lt;&gt;"",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row>
    <row r="358" spans="1:45" x14ac:dyDescent="0.25">
      <c r="A358" s="518"/>
      <c r="B358" s="504"/>
      <c r="C358" s="521"/>
      <c r="D358" s="94" t="str">
        <f>IF(AND(C357&lt;&gt;"", 'Cost Inputs'!$G$117&lt;&gt;""), 'Cost Inputs'!$G$117, "")</f>
        <v/>
      </c>
      <c r="E358" s="94" t="str">
        <f>IF(AND(C357&lt;&gt;"", 'Cost Inputs'!$H$117&lt;&gt;""), 'Cost Inputs'!$H$117, "")</f>
        <v/>
      </c>
      <c r="F358" s="492"/>
      <c r="G358" s="102" t="str">
        <f t="shared" si="63"/>
        <v/>
      </c>
      <c r="H358" s="492"/>
      <c r="I358" s="102" t="str">
        <f>IF($C357&lt;&gt;"", IF(AND($E358&lt;&gt;"", H357&lt;&gt;""), H357/($E357*$E358), 0), "")</f>
        <v/>
      </c>
      <c r="J358" s="492" t="str">
        <f>IF(AND(C358&lt;&gt;"",('Cost Inputs'!$I$86+'Cost Inputs'!$J$86+'Cost Inputs'!$K$86)&gt;0), 'Cost Inputs'!$I$86+'Cost Inputs'!$J$86+'Cost Inputs'!$K$86, "")</f>
        <v/>
      </c>
      <c r="K358" s="102" t="str">
        <f>IF($C357&lt;&gt;"", IF(AND($E358&lt;&gt;"", J357&lt;&gt;""), J357/($E357*$E358), 0), "")</f>
        <v/>
      </c>
      <c r="L358" s="525"/>
      <c r="M358" s="525"/>
      <c r="Q358" s="496" t="str">
        <f t="shared" si="94"/>
        <v/>
      </c>
      <c r="R358" s="496" t="str">
        <f t="shared" ref="R358:AR358" si="95">IF(ISNUMBER($B$345),
IF($C358&lt;&gt;"",
IF(AND(ISNUMBER(P$280), ISNUMBER(P$317)),
IF(AND(R$279=123, Cultivar_1_Cohort_Year_Selection=$O$278,Cultivar_2_Cohort_Year_Selection=$O$278,Cultivar_3_Cohort_Year_Selection=$O$278), ROUND(MAX(0,Q$344 - 3),0),
IF(AND(OR(R$279=123, R$279=12), Cultivar_1_Cohort_Year_Selection=$O$278,Cultivar_2_Cohort_Year_Selection=$O$278), ROUND(MAX(0,Q$344 - 2),0),
IF(AND(OR(R$279=123, R$279=13), Cultivar_1_Cohort_Year_Selection=$O$278,Cultivar_3_Cohort_Year_Selection=$O$278), ROUND(MAX(0,Q$344 - 2),0),
IF(AND(OR(R$279=123, R$279=23), Cultivar_2_Cohort_Year_Selection=$O$278,Cultivar_3_Cohort_Year_Selection=$O$278), ROUND(MAX(0,Q$344 - 2),0),
IF(AND(OR(R$279=123, R$279=12, R$279=13, R$279=1), Cultivar_1_Cohort_Year_Selection=$O$278), ROUND(MAX(0,Q$344 - 1),0),
IF(AND(OR(R$279=123, R$279=12, R$279=23, R$279=2), Cultivar_2_Cohort_Year_Selection=$O$278), ROUND(MAX(0,Q$344 - 1),0),
IF(AND(OR(R$279=123, R$279=13, R$279=23, R$279=3), Cultivar_3_Cohort_Year_Selection=$O$278), ROUND(MAX(0,Q$344 - 1),0),
ROUND(MAX(0,Q$344),0)))))))),""),""),"")</f>
        <v/>
      </c>
      <c r="S358" s="496" t="str">
        <f t="shared" si="95"/>
        <v/>
      </c>
      <c r="T358" s="496" t="str">
        <f t="shared" si="95"/>
        <v/>
      </c>
      <c r="U358" s="496" t="str">
        <f t="shared" si="95"/>
        <v/>
      </c>
      <c r="V358" s="496" t="str">
        <f t="shared" si="95"/>
        <v/>
      </c>
      <c r="W358" s="496" t="str">
        <f t="shared" si="95"/>
        <v/>
      </c>
      <c r="X358" s="496" t="str">
        <f t="shared" si="95"/>
        <v/>
      </c>
      <c r="Y358" s="496" t="str">
        <f t="shared" si="95"/>
        <v/>
      </c>
      <c r="Z358" s="496" t="str">
        <f t="shared" si="95"/>
        <v/>
      </c>
      <c r="AA358" s="496" t="str">
        <f t="shared" si="95"/>
        <v/>
      </c>
      <c r="AB358" s="496" t="str">
        <f t="shared" si="95"/>
        <v/>
      </c>
      <c r="AC358" s="496" t="str">
        <f t="shared" si="95"/>
        <v/>
      </c>
      <c r="AD358" s="496" t="str">
        <f t="shared" si="95"/>
        <v/>
      </c>
      <c r="AE358" s="496" t="str">
        <f t="shared" si="95"/>
        <v/>
      </c>
      <c r="AF358" s="496" t="str">
        <f t="shared" si="95"/>
        <v/>
      </c>
      <c r="AG358" s="496" t="str">
        <f t="shared" si="95"/>
        <v/>
      </c>
      <c r="AH358" s="496" t="str">
        <f t="shared" si="95"/>
        <v/>
      </c>
      <c r="AI358" s="496" t="str">
        <f t="shared" si="95"/>
        <v/>
      </c>
      <c r="AJ358" s="496" t="str">
        <f t="shared" si="95"/>
        <v/>
      </c>
      <c r="AK358" s="496" t="str">
        <f t="shared" si="95"/>
        <v/>
      </c>
      <c r="AL358" s="496" t="str">
        <f t="shared" si="95"/>
        <v/>
      </c>
      <c r="AM358" s="496" t="str">
        <f t="shared" si="95"/>
        <v/>
      </c>
      <c r="AN358" s="496" t="str">
        <f t="shared" si="95"/>
        <v/>
      </c>
      <c r="AO358" s="496" t="str">
        <f t="shared" si="95"/>
        <v/>
      </c>
      <c r="AP358" s="496" t="str">
        <f t="shared" si="95"/>
        <v/>
      </c>
      <c r="AQ358" s="496" t="str">
        <f t="shared" si="95"/>
        <v/>
      </c>
      <c r="AR358" s="496" t="str">
        <f t="shared" si="95"/>
        <v/>
      </c>
    </row>
    <row r="359" spans="1:45" x14ac:dyDescent="0.25">
      <c r="A359" s="518"/>
      <c r="B359" s="504"/>
      <c r="C359" s="376" t="str">
        <f>IF(AND(ISNUMBER(B345), C357&lt;&gt;"", OR('Cost Inputs'!$H$118&lt;&gt;"", 'Cost Inputs'!$I$118&lt;&gt;"", 'Cost Inputs'!$J$118&lt;&gt;"")), _4_5_1, "")</f>
        <v/>
      </c>
      <c r="D359" s="17" t="str">
        <f>IF(AND(C359&lt;&gt;"", 'Cost Inputs'!$G$118&lt;&gt;""), 'Cost Inputs'!$G$118, "")</f>
        <v/>
      </c>
      <c r="E359" s="17" t="str">
        <f>IF(AND(C359&lt;&gt;"", 'Cost Inputs'!$H$118&lt;&gt;""), 'Cost Inputs'!$H$118, "")</f>
        <v/>
      </c>
      <c r="F359" s="493" t="str">
        <f>IF(AND(C359&lt;&gt;"", 'Cost Inputs'!$I$118&lt;&gt;""), 'Cost Inputs'!$I$118, "")</f>
        <v/>
      </c>
      <c r="G359" s="105" t="str">
        <f t="shared" si="63"/>
        <v/>
      </c>
      <c r="H359" s="493" t="str">
        <f>IF(AND(C359&lt;&gt;"", 'Cost Inputs'!$J$118&lt;&gt;""), 'Cost Inputs'!$J$118, "")</f>
        <v/>
      </c>
      <c r="I359" s="105" t="str">
        <f>IF($C359&lt;&gt;"",IF(AND($E359&lt;&gt;"",H359&lt;&gt;""), H359/$E359, 0),"")</f>
        <v/>
      </c>
      <c r="J359" s="493" t="str">
        <f>IF(AND(C359&lt;&gt;"",('Cost Inputs'!$I$118+'Cost Inputs'!$J$118+'Cost Inputs'!$K$118)&gt;0), 'Cost Inputs'!$I$118+'Cost Inputs'!$J$118+'Cost Inputs'!$K$118, "")</f>
        <v/>
      </c>
      <c r="K359" s="105" t="str">
        <f>IF($C359&lt;&gt;"",IF(AND($E359&lt;&gt;"",J359&lt;&gt;""), J359/$E359, 0),"")</f>
        <v/>
      </c>
      <c r="L359" s="525"/>
      <c r="M359" s="525"/>
      <c r="Q359" s="497" t="str">
        <f t="shared" si="94"/>
        <v/>
      </c>
      <c r="R359" s="497" t="str">
        <f>IF(ISNUMBER($B$345),
IF($C359&lt;&gt;"",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59" s="497" t="str">
        <f>IF(ISNUMBER($B$345),
IF($C359&lt;&gt;"",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59" s="497" t="str">
        <f>IF(ISNUMBER($B$345),
IF($C359&lt;&gt;"",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59" s="497" t="str">
        <f>IF(ISNUMBER($B$345),
IF($C359&lt;&gt;"",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59" s="497" t="str">
        <f>IF(ISNUMBER($B$345),
IF($C359&lt;&gt;"",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59" s="497" t="str">
        <f>IF(ISNUMBER($B$345),
IF($C359&lt;&gt;"",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59" s="497" t="str">
        <f>IF(ISNUMBER($B$345),
IF($C359&lt;&gt;"",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59" s="497" t="str">
        <f>IF(ISNUMBER($B$345),
IF($C359&lt;&gt;"",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59" s="497" t="str">
        <f>IF(ISNUMBER($B$345),
IF($C359&lt;&gt;"",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59" s="497" t="str">
        <f>IF(ISNUMBER($B$345),
IF($C359&lt;&gt;"",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59" s="497" t="str">
        <f>IF(ISNUMBER($B$345),
IF($C359&lt;&gt;"",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59" s="497" t="str">
        <f>IF(ISNUMBER($B$345),
IF($C359&lt;&gt;"",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59" s="497" t="str">
        <f>IF(ISNUMBER($B$345),
IF($C359&lt;&gt;"",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59" s="497" t="str">
        <f>IF(ISNUMBER($B$345),
IF($C359&lt;&gt;"",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59" s="497" t="str">
        <f>IF(ISNUMBER($B$345),
IF($C359&lt;&gt;"",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59" s="497" t="str">
        <f>IF(ISNUMBER($B$345),
IF($C359&lt;&gt;"",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59" s="497" t="str">
        <f>IF(ISNUMBER($B$345),
IF($C359&lt;&gt;"",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59" s="497" t="str">
        <f>IF(ISNUMBER($B$345),
IF($C359&lt;&gt;"",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59" s="497" t="str">
        <f>IF(ISNUMBER($B$345),
IF($C359&lt;&gt;"",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59" s="497" t="str">
        <f>IF(ISNUMBER($B$345),
IF($C359&lt;&gt;"",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59" s="497" t="str">
        <f>IF(ISNUMBER($B$345),
IF($C359&lt;&gt;"",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59" s="497" t="str">
        <f>IF(ISNUMBER($B$345),
IF($C359&lt;&gt;"",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59" s="497" t="str">
        <f>IF(ISNUMBER($B$345),
IF($C359&lt;&gt;"",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59" s="497" t="str">
        <f>IF(ISNUMBER($B$345),
IF($C359&lt;&gt;"",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59" s="497" t="str">
        <f>IF(ISNUMBER($B$345),
IF($C359&lt;&gt;"",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59" s="497" t="str">
        <f>IF(ISNUMBER($B$345),
IF($C359&lt;&gt;"",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59" s="497" t="str">
        <f>IF(ISNUMBER($B$345),
IF($C359&lt;&gt;"",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c r="AS359" s="528"/>
    </row>
    <row r="360" spans="1:45" x14ac:dyDescent="0.25">
      <c r="A360" s="518"/>
      <c r="B360" s="504"/>
      <c r="C360" s="376" t="str">
        <f>IF(AND(ISNUMBER(B340), OR('Cost Inputs'!$H$85&lt;&gt;"", 'Cost Inputs'!$I$85&lt;&gt;"", 'Cost Inputs'!$J$85&lt;&gt;"")), _3_5_1, "")</f>
        <v/>
      </c>
      <c r="D360" s="17" t="str">
        <f>IF(AND(C359&lt;&gt;"", 'Cost Inputs'!$G$119&lt;&gt;""), 'Cost Inputs'!$G$119, "")</f>
        <v/>
      </c>
      <c r="E360" s="17" t="str">
        <f>IF(AND(C359&lt;&gt;"", 'Cost Inputs'!$H$119&lt;&gt;""), 'Cost Inputs'!$H$119, "")</f>
        <v/>
      </c>
      <c r="F360" s="493"/>
      <c r="G360" s="105" t="str">
        <f t="shared" si="63"/>
        <v/>
      </c>
      <c r="H360" s="493"/>
      <c r="I360" s="105" t="str">
        <f>IF($C359&lt;&gt;"", IF(AND($E360&lt;&gt;"", H359&lt;&gt;""), H359/($E359*$E360), 0), "")</f>
        <v/>
      </c>
      <c r="J360" s="493" t="str">
        <f>IF(AND(C360&lt;&gt;"",('Cost Inputs'!$I$86+'Cost Inputs'!$J$86+'Cost Inputs'!$K$86)&gt;0), 'Cost Inputs'!$I$86+'Cost Inputs'!$J$86+'Cost Inputs'!$K$86, "")</f>
        <v/>
      </c>
      <c r="K360" s="105" t="str">
        <f>IF($C359&lt;&gt;"", IF(AND($E360&lt;&gt;"", J359&lt;&gt;""), J359/($E359*$E360), 0), "")</f>
        <v/>
      </c>
      <c r="L360" s="525"/>
      <c r="M360" s="525"/>
      <c r="Q360" s="497" t="str">
        <f t="shared" si="94"/>
        <v/>
      </c>
      <c r="R360" s="497" t="str">
        <f t="shared" ref="R360:AR360" si="96">IF(ISNUMBER($B$345),
IF($C360&lt;&gt;"",
IF(AND(ISNUMBER(P$280), ISNUMBER(P$317)),
IF(AND(R$279=123, Cultivar_1_Cohort_Year_Selection=$O$278,Cultivar_2_Cohort_Year_Selection=$O$278,Cultivar_3_Cohort_Year_Selection=$O$278), ROUND(MAX(0,Q$344 - 3),0),
IF(AND(OR(R$279=123, R$279=12), Cultivar_1_Cohort_Year_Selection=$O$278,Cultivar_2_Cohort_Year_Selection=$O$278), ROUND(MAX(0,Q$344 - 2),0),
IF(AND(OR(R$279=123, R$279=13), Cultivar_1_Cohort_Year_Selection=$O$278,Cultivar_3_Cohort_Year_Selection=$O$278), ROUND(MAX(0,Q$344 - 2),0),
IF(AND(OR(R$279=123, R$279=23), Cultivar_2_Cohort_Year_Selection=$O$278,Cultivar_3_Cohort_Year_Selection=$O$278), ROUND(MAX(0,Q$344 - 2),0),
IF(AND(OR(R$279=123, R$279=12, R$279=13, R$279=1), Cultivar_1_Cohort_Year_Selection=$O$278), ROUND(MAX(0,Q$344 - 1),0),
IF(AND(OR(R$279=123, R$279=12, R$279=23, R$279=2), Cultivar_2_Cohort_Year_Selection=$O$278), ROUND(MAX(0,Q$344 - 1),0),
IF(AND(OR(R$279=123, R$279=13, R$279=23, R$279=3), Cultivar_3_Cohort_Year_Selection=$O$278), ROUND(MAX(0,Q$344 - 1),0),
ROUND(MAX(0,Q$344),0)))))))),""),""),"")</f>
        <v/>
      </c>
      <c r="S360" s="497" t="str">
        <f t="shared" si="96"/>
        <v/>
      </c>
      <c r="T360" s="497" t="str">
        <f t="shared" si="96"/>
        <v/>
      </c>
      <c r="U360" s="497" t="str">
        <f t="shared" si="96"/>
        <v/>
      </c>
      <c r="V360" s="497" t="str">
        <f t="shared" si="96"/>
        <v/>
      </c>
      <c r="W360" s="497" t="str">
        <f t="shared" si="96"/>
        <v/>
      </c>
      <c r="X360" s="497" t="str">
        <f t="shared" si="96"/>
        <v/>
      </c>
      <c r="Y360" s="497" t="str">
        <f t="shared" si="96"/>
        <v/>
      </c>
      <c r="Z360" s="497" t="str">
        <f t="shared" si="96"/>
        <v/>
      </c>
      <c r="AA360" s="497" t="str">
        <f t="shared" si="96"/>
        <v/>
      </c>
      <c r="AB360" s="497" t="str">
        <f t="shared" si="96"/>
        <v/>
      </c>
      <c r="AC360" s="497" t="str">
        <f t="shared" si="96"/>
        <v/>
      </c>
      <c r="AD360" s="497" t="str">
        <f t="shared" si="96"/>
        <v/>
      </c>
      <c r="AE360" s="497" t="str">
        <f t="shared" si="96"/>
        <v/>
      </c>
      <c r="AF360" s="497" t="str">
        <f t="shared" si="96"/>
        <v/>
      </c>
      <c r="AG360" s="497" t="str">
        <f t="shared" si="96"/>
        <v/>
      </c>
      <c r="AH360" s="497" t="str">
        <f t="shared" si="96"/>
        <v/>
      </c>
      <c r="AI360" s="497" t="str">
        <f t="shared" si="96"/>
        <v/>
      </c>
      <c r="AJ360" s="497" t="str">
        <f t="shared" si="96"/>
        <v/>
      </c>
      <c r="AK360" s="497" t="str">
        <f t="shared" si="96"/>
        <v/>
      </c>
      <c r="AL360" s="497" t="str">
        <f t="shared" si="96"/>
        <v/>
      </c>
      <c r="AM360" s="497" t="str">
        <f t="shared" si="96"/>
        <v/>
      </c>
      <c r="AN360" s="497" t="str">
        <f t="shared" si="96"/>
        <v/>
      </c>
      <c r="AO360" s="497" t="str">
        <f t="shared" si="96"/>
        <v/>
      </c>
      <c r="AP360" s="497" t="str">
        <f t="shared" si="96"/>
        <v/>
      </c>
      <c r="AQ360" s="497" t="str">
        <f t="shared" si="96"/>
        <v/>
      </c>
      <c r="AR360" s="497" t="str">
        <f t="shared" si="96"/>
        <v/>
      </c>
      <c r="AS360" s="528"/>
    </row>
    <row r="361" spans="1:45" x14ac:dyDescent="0.25">
      <c r="A361" s="518"/>
      <c r="B361" s="504"/>
      <c r="C361" s="107" t="str">
        <f>IF(AND(ISNUMBER(B345), C357&lt;&gt;"", OR('Cost Inputs'!$H$120&lt;&gt;"", 'Cost Inputs'!$I$120&lt;&gt;"", 'Cost Inputs'!$J$120&lt;&gt;"")), _4_5_2, "")</f>
        <v/>
      </c>
      <c r="D361" s="93" t="str">
        <f>IF(AND(C361&lt;&gt;"", 'Cost Inputs'!$G$120&lt;&gt;""), 'Cost Inputs'!$G$120, "")</f>
        <v/>
      </c>
      <c r="E361" s="93" t="str">
        <f>IF(AND(C361&lt;&gt;"", 'Cost Inputs'!$H$120&lt;&gt;""), 'Cost Inputs'!$H$120, "")</f>
        <v/>
      </c>
      <c r="F361" s="93" t="str">
        <f>IF(AND(C361&lt;&gt;"", 'Cost Inputs'!$I$120&lt;&gt;""), 'Cost Inputs'!$I$120, "")</f>
        <v/>
      </c>
      <c r="G361" s="108" t="str">
        <f t="shared" si="63"/>
        <v/>
      </c>
      <c r="H361" s="93" t="str">
        <f>IF(AND(C361&lt;&gt;"", 'Cost Inputs'!$J$120&lt;&gt;""), 'Cost Inputs'!$J$120, "")</f>
        <v/>
      </c>
      <c r="I361" s="93" t="str">
        <f>IF($C361&lt;&gt;"", IF(AND($E361&lt;&gt;"", H361&lt;&gt;""), H361/$E361, 0),"")</f>
        <v/>
      </c>
      <c r="J361" s="93" t="str">
        <f>IF(AND(C361&lt;&gt;"",('Cost Inputs'!$I$120+'Cost Inputs'!$J$120+'Cost Inputs'!$K$120)&gt;0), 'Cost Inputs'!$I$120+'Cost Inputs'!$J$120+'Cost Inputs'!$K$120, "")</f>
        <v/>
      </c>
      <c r="K361" s="93" t="str">
        <f>IF($C361&lt;&gt;"", IF(AND($E361&lt;&gt;"", J361&lt;&gt;""), J361/$E361, 0),"")</f>
        <v/>
      </c>
      <c r="L361" s="525"/>
      <c r="M361" s="525"/>
      <c r="Q361" s="93" t="str">
        <f t="shared" si="94"/>
        <v/>
      </c>
      <c r="R361" s="93" t="str">
        <f>IF(ISNUMBER($B$345),
IF($C361&lt;&gt;"",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61" s="93" t="str">
        <f>IF(ISNUMBER($B$345),
IF($C361&lt;&gt;"",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61" s="93" t="str">
        <f>IF(ISNUMBER($B$345),
IF($C361&lt;&gt;"",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61" s="93" t="str">
        <f>IF(ISNUMBER($B$345),
IF($C361&lt;&gt;"",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61" s="93" t="str">
        <f>IF(ISNUMBER($B$345),
IF($C361&lt;&gt;"",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61" s="93" t="str">
        <f>IF(ISNUMBER($B$345),
IF($C361&lt;&gt;"",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61" s="93" t="str">
        <f>IF(ISNUMBER($B$345),
IF($C361&lt;&gt;"",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61" s="93" t="str">
        <f>IF(ISNUMBER($B$345),
IF($C361&lt;&gt;"",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61" s="93" t="str">
        <f>IF(ISNUMBER($B$345),
IF($C361&lt;&gt;"",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61" s="93" t="str">
        <f>IF(ISNUMBER($B$345),
IF($C361&lt;&gt;"",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61" s="93" t="str">
        <f>IF(ISNUMBER($B$345),
IF($C361&lt;&gt;"",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61" s="93" t="str">
        <f>IF(ISNUMBER($B$345),
IF($C361&lt;&gt;"",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61" s="93" t="str">
        <f>IF(ISNUMBER($B$345),
IF($C361&lt;&gt;"",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61" s="93" t="str">
        <f>IF(ISNUMBER($B$345),
IF($C361&lt;&gt;"",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61" s="93" t="str">
        <f>IF(ISNUMBER($B$345),
IF($C361&lt;&gt;"",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61" s="93" t="str">
        <f>IF(ISNUMBER($B$345),
IF($C361&lt;&gt;"",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61" s="93" t="str">
        <f>IF(ISNUMBER($B$345),
IF($C361&lt;&gt;"",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61" s="93" t="str">
        <f>IF(ISNUMBER($B$345),
IF($C361&lt;&gt;"",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61" s="93" t="str">
        <f>IF(ISNUMBER($B$345),
IF($C361&lt;&gt;"",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61" s="93" t="str">
        <f>IF(ISNUMBER($B$345),
IF($C361&lt;&gt;"",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61" s="93" t="str">
        <f>IF(ISNUMBER($B$345),
IF($C361&lt;&gt;"",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61" s="93" t="str">
        <f>IF(ISNUMBER($B$345),
IF($C361&lt;&gt;"",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61" s="93" t="str">
        <f>IF(ISNUMBER($B$345),
IF($C361&lt;&gt;"",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61" s="93" t="str">
        <f>IF(ISNUMBER($B$345),
IF($C361&lt;&gt;"",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61" s="93" t="str">
        <f>IF(ISNUMBER($B$345),
IF($C361&lt;&gt;"",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61" s="93" t="str">
        <f>IF(ISNUMBER($B$345),
IF($C361&lt;&gt;"",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61" s="93" t="str">
        <f>IF(ISNUMBER($B$345),
IF($C361&lt;&gt;"",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row>
    <row r="362" spans="1:45" x14ac:dyDescent="0.25">
      <c r="A362" s="518"/>
      <c r="B362" s="504"/>
      <c r="C362" s="104" t="str">
        <f>IF(AND(ISNUMBER(B345), C357&lt;&gt;"", OR('Cost Inputs'!$H$121&lt;&gt;"", 'Cost Inputs'!$I$121&lt;&gt;"", 'Cost Inputs'!$J$121&lt;&gt;"")), _4_5_3, "")</f>
        <v/>
      </c>
      <c r="D362" s="17" t="str">
        <f>IF(AND(C362&lt;&gt;"", 'Cost Inputs'!$G$121&lt;&gt;""), 'Cost Inputs'!$G$121, "")</f>
        <v/>
      </c>
      <c r="E362" s="17" t="str">
        <f>IF(AND(C362&lt;&gt;"", 'Cost Inputs'!$H$121&lt;&gt;""), 'Cost Inputs'!$H$121, "")</f>
        <v/>
      </c>
      <c r="F362" s="17" t="str">
        <f>IF(AND(C362&lt;&gt;"", 'Cost Inputs'!$I$121&lt;&gt;""), 'Cost Inputs'!$I$121, "")</f>
        <v/>
      </c>
      <c r="G362" s="105" t="str">
        <f t="shared" si="63"/>
        <v/>
      </c>
      <c r="H362" s="17" t="str">
        <f>IF(AND(C362&lt;&gt;"", 'Cost Inputs'!$J$121&lt;&gt;""), 'Cost Inputs'!$J$121, "")</f>
        <v/>
      </c>
      <c r="I362" s="17" t="str">
        <f>IF($C362&lt;&gt;"", IF(AND($E362&lt;&gt;"", H362&lt;&gt;""), H362/$E362, 0),"")</f>
        <v/>
      </c>
      <c r="J362" s="17" t="str">
        <f>IF(AND(C362&lt;&gt;"",('Cost Inputs'!$I$121+'Cost Inputs'!$J$121+'Cost Inputs'!$K$121)&gt;0), 'Cost Inputs'!$I$121+'Cost Inputs'!$J$121+'Cost Inputs'!$K$121, "")</f>
        <v/>
      </c>
      <c r="K362" s="17" t="str">
        <f>IF($C362&lt;&gt;"", IF(AND($E362&lt;&gt;"", J362&lt;&gt;""), J362/$E362, 0),"")</f>
        <v/>
      </c>
      <c r="L362" s="525"/>
      <c r="M362" s="525"/>
      <c r="Q362" s="17" t="str">
        <f t="shared" si="94"/>
        <v/>
      </c>
      <c r="R362" s="17" t="str">
        <f>IF(ISNUMBER($B$345),
IF($C362&lt;&gt;"",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62" s="17" t="str">
        <f>IF(ISNUMBER($B$345),
IF($C362&lt;&gt;"",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62" s="17" t="str">
        <f>IF(ISNUMBER($B$345),
IF($C362&lt;&gt;"",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62" s="17" t="str">
        <f>IF(ISNUMBER($B$345),
IF($C362&lt;&gt;"",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62" s="17" t="str">
        <f>IF(ISNUMBER($B$345),
IF($C362&lt;&gt;"",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62" s="17" t="str">
        <f>IF(ISNUMBER($B$345),
IF($C362&lt;&gt;"",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62" s="17" t="str">
        <f>IF(ISNUMBER($B$345),
IF($C362&lt;&gt;"",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62" s="17" t="str">
        <f>IF(ISNUMBER($B$345),
IF($C362&lt;&gt;"",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62" s="17" t="str">
        <f>IF(ISNUMBER($B$345),
IF($C362&lt;&gt;"",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62" s="17" t="str">
        <f>IF(ISNUMBER($B$345),
IF($C362&lt;&gt;"",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62" s="17" t="str">
        <f>IF(ISNUMBER($B$345),
IF($C362&lt;&gt;"",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62" s="17" t="str">
        <f>IF(ISNUMBER($B$345),
IF($C362&lt;&gt;"",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62" s="17" t="str">
        <f>IF(ISNUMBER($B$345),
IF($C362&lt;&gt;"",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62" s="17" t="str">
        <f>IF(ISNUMBER($B$345),
IF($C362&lt;&gt;"",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62" s="17" t="str">
        <f>IF(ISNUMBER($B$345),
IF($C362&lt;&gt;"",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62" s="17" t="str">
        <f>IF(ISNUMBER($B$345),
IF($C362&lt;&gt;"",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62" s="17" t="str">
        <f>IF(ISNUMBER($B$345),
IF($C362&lt;&gt;"",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62" s="17" t="str">
        <f>IF(ISNUMBER($B$345),
IF($C362&lt;&gt;"",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62" s="17" t="str">
        <f>IF(ISNUMBER($B$345),
IF($C362&lt;&gt;"",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62" s="17" t="str">
        <f>IF(ISNUMBER($B$345),
IF($C362&lt;&gt;"",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62" s="17" t="str">
        <f>IF(ISNUMBER($B$345),
IF($C362&lt;&gt;"",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62" s="17" t="str">
        <f>IF(ISNUMBER($B$345),
IF($C362&lt;&gt;"",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62" s="17" t="str">
        <f>IF(ISNUMBER($B$345),
IF($C362&lt;&gt;"",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62" s="17" t="str">
        <f>IF(ISNUMBER($B$345),
IF($C362&lt;&gt;"",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62" s="17" t="str">
        <f>IF(ISNUMBER($B$345),
IF($C362&lt;&gt;"",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62" s="17" t="str">
        <f>IF(ISNUMBER($B$345),
IF($C362&lt;&gt;"",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62" s="17" t="str">
        <f>IF(ISNUMBER($B$345),
IF($C362&lt;&gt;"",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row>
    <row r="363" spans="1:45" x14ac:dyDescent="0.25">
      <c r="A363" s="518"/>
      <c r="B363" s="504"/>
      <c r="C363" s="107" t="str">
        <f>IF(AND(ISNUMBER(B345), C357&lt;&gt;"", OR('Cost Inputs'!$H$122&lt;&gt;"", 'Cost Inputs'!$I$122&lt;&gt;"", 'Cost Inputs'!$J$122&lt;&gt;"")), _4_5_2, "")</f>
        <v/>
      </c>
      <c r="D363" s="93" t="str">
        <f>IF(AND(C363&lt;&gt;"", 'Cost Inputs'!$G$122&lt;&gt;""), 'Cost Inputs'!$G$122, "")</f>
        <v/>
      </c>
      <c r="E363" s="93" t="str">
        <f>IF(AND(C363&lt;&gt;"", 'Cost Inputs'!$H$122&lt;&gt;""), 'Cost Inputs'!$H$122, "")</f>
        <v/>
      </c>
      <c r="F363" s="93" t="str">
        <f>IF(AND(C363&lt;&gt;"", 'Cost Inputs'!$I$122&lt;&gt;""), 'Cost Inputs'!$I$122, "")</f>
        <v/>
      </c>
      <c r="G363" s="108" t="str">
        <f t="shared" si="63"/>
        <v/>
      </c>
      <c r="H363" s="93" t="str">
        <f>IF(AND(C363&lt;&gt;"", 'Cost Inputs'!$J$122&lt;&gt;""), 'Cost Inputs'!$J$122, "")</f>
        <v/>
      </c>
      <c r="I363" s="93" t="str">
        <f>IF($C363&lt;&gt;"", IF(AND($E363&lt;&gt;"", H363&lt;&gt;""), H363/$E363, 0),"")</f>
        <v/>
      </c>
      <c r="J363" s="93" t="str">
        <f>IF(AND(C363&lt;&gt;"",('Cost Inputs'!$I$122+'Cost Inputs'!$J$122+'Cost Inputs'!$K$122)&gt;0), 'Cost Inputs'!$I$122+'Cost Inputs'!$J$122+'Cost Inputs'!$K$122, "")</f>
        <v/>
      </c>
      <c r="K363" s="93" t="str">
        <f>IF($C363&lt;&gt;"", IF(AND($E363&lt;&gt;"", J363&lt;&gt;""), J363/$E363, 0),"")</f>
        <v/>
      </c>
      <c r="L363" s="525"/>
      <c r="M363" s="525"/>
      <c r="Q363" s="93" t="str">
        <f t="shared" si="94"/>
        <v/>
      </c>
      <c r="R363" s="93" t="str">
        <f>IF(ISNUMBER($B$345),
IF($C363&lt;&gt;"",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63" s="93" t="str">
        <f>IF(ISNUMBER($B$345),
IF($C363&lt;&gt;"",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63" s="93" t="str">
        <f>IF(ISNUMBER($B$345),
IF($C363&lt;&gt;"",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63" s="93" t="str">
        <f>IF(ISNUMBER($B$345),
IF($C363&lt;&gt;"",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63" s="93" t="str">
        <f>IF(ISNUMBER($B$345),
IF($C363&lt;&gt;"",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63" s="93" t="str">
        <f>IF(ISNUMBER($B$345),
IF($C363&lt;&gt;"",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63" s="93" t="str">
        <f>IF(ISNUMBER($B$345),
IF($C363&lt;&gt;"",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63" s="93" t="str">
        <f>IF(ISNUMBER($B$345),
IF($C363&lt;&gt;"",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63" s="93" t="str">
        <f>IF(ISNUMBER($B$345),
IF($C363&lt;&gt;"",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63" s="93" t="str">
        <f>IF(ISNUMBER($B$345),
IF($C363&lt;&gt;"",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63" s="93" t="str">
        <f>IF(ISNUMBER($B$345),
IF($C363&lt;&gt;"",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63" s="93" t="str">
        <f>IF(ISNUMBER($B$345),
IF($C363&lt;&gt;"",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63" s="93" t="str">
        <f>IF(ISNUMBER($B$345),
IF($C363&lt;&gt;"",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63" s="93" t="str">
        <f>IF(ISNUMBER($B$345),
IF($C363&lt;&gt;"",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63" s="93" t="str">
        <f>IF(ISNUMBER($B$345),
IF($C363&lt;&gt;"",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63" s="93" t="str">
        <f>IF(ISNUMBER($B$345),
IF($C363&lt;&gt;"",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63" s="93" t="str">
        <f>IF(ISNUMBER($B$345),
IF($C363&lt;&gt;"",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63" s="93" t="str">
        <f>IF(ISNUMBER($B$345),
IF($C363&lt;&gt;"",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63" s="93" t="str">
        <f>IF(ISNUMBER($B$345),
IF($C363&lt;&gt;"",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63" s="93" t="str">
        <f>IF(ISNUMBER($B$345),
IF($C363&lt;&gt;"",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63" s="93" t="str">
        <f>IF(ISNUMBER($B$345),
IF($C363&lt;&gt;"",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63" s="93" t="str">
        <f>IF(ISNUMBER($B$345),
IF($C363&lt;&gt;"",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63" s="93" t="str">
        <f>IF(ISNUMBER($B$345),
IF($C363&lt;&gt;"",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63" s="93" t="str">
        <f>IF(ISNUMBER($B$345),
IF($C363&lt;&gt;"",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63" s="93" t="str">
        <f>IF(ISNUMBER($B$345),
IF($C363&lt;&gt;"",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63" s="93" t="str">
        <f>IF(ISNUMBER($B$345),
IF($C363&lt;&gt;"",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63" s="93" t="str">
        <f>IF(ISNUMBER($B$345),
IF($C363&lt;&gt;"",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row>
    <row r="364" spans="1:45" x14ac:dyDescent="0.25">
      <c r="A364" s="518"/>
      <c r="B364" s="504"/>
      <c r="C364" s="104" t="str">
        <f>IF(AND(ISNUMBER(B345), C357&lt;&gt;"", OR('Cost Inputs'!$H$123&lt;&gt;"", 'Cost Inputs'!$I$123&lt;&gt;"", 'Cost Inputs'!$J$123&lt;&gt;"")), _4_5_3, "")</f>
        <v/>
      </c>
      <c r="D364" s="17" t="str">
        <f>IF(AND(C364&lt;&gt;"", 'Cost Inputs'!$G$123&lt;&gt;""), 'Cost Inputs'!$G$123, "")</f>
        <v/>
      </c>
      <c r="E364" s="17" t="str">
        <f>IF(AND(C364&lt;&gt;"", 'Cost Inputs'!$H$123&lt;&gt;""), 'Cost Inputs'!$H$123, "")</f>
        <v/>
      </c>
      <c r="F364" s="17" t="str">
        <f>IF(AND(C364&lt;&gt;"", 'Cost Inputs'!$I$123&lt;&gt;""), 'Cost Inputs'!$I$123, "")</f>
        <v/>
      </c>
      <c r="G364" s="105" t="str">
        <f t="shared" si="63"/>
        <v/>
      </c>
      <c r="H364" s="17" t="str">
        <f>IF(AND(C364&lt;&gt;"", 'Cost Inputs'!$J$123&lt;&gt;""), 'Cost Inputs'!$J$123, "")</f>
        <v/>
      </c>
      <c r="I364" s="17" t="str">
        <f>IF($C364&lt;&gt;"", IF(AND($E364&lt;&gt;"", H364&lt;&gt;""), H364/$E364, 0),"")</f>
        <v/>
      </c>
      <c r="J364" s="17" t="str">
        <f>IF(AND(C364&lt;&gt;"",('Cost Inputs'!$I$123+'Cost Inputs'!$J$123+'Cost Inputs'!$K$123)&gt;0), 'Cost Inputs'!$I$123+'Cost Inputs'!$J$123+'Cost Inputs'!$K$123, "")</f>
        <v/>
      </c>
      <c r="K364" s="17" t="str">
        <f>IF($C364&lt;&gt;"", IF(AND($E364&lt;&gt;"", J364&lt;&gt;""), J364/$E364, 0),"")</f>
        <v/>
      </c>
      <c r="L364" s="525"/>
      <c r="M364" s="525"/>
      <c r="Q364" s="17" t="str">
        <f t="shared" si="94"/>
        <v/>
      </c>
      <c r="R364" s="17" t="str">
        <f>IF(ISNUMBER($B$345),
IF($C364&lt;&gt;"",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64" s="17" t="str">
        <f>IF(ISNUMBER($B$345),
IF($C364&lt;&gt;"",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64" s="17" t="str">
        <f>IF(ISNUMBER($B$345),
IF($C364&lt;&gt;"",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64" s="17" t="str">
        <f>IF(ISNUMBER($B$345),
IF($C364&lt;&gt;"",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64" s="17" t="str">
        <f>IF(ISNUMBER($B$345),
IF($C364&lt;&gt;"",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64" s="17" t="str">
        <f>IF(ISNUMBER($B$345),
IF($C364&lt;&gt;"",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64" s="17" t="str">
        <f>IF(ISNUMBER($B$345),
IF($C364&lt;&gt;"",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64" s="17" t="str">
        <f>IF(ISNUMBER($B$345),
IF($C364&lt;&gt;"",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64" s="17" t="str">
        <f>IF(ISNUMBER($B$345),
IF($C364&lt;&gt;"",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64" s="17" t="str">
        <f>IF(ISNUMBER($B$345),
IF($C364&lt;&gt;"",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64" s="17" t="str">
        <f>IF(ISNUMBER($B$345),
IF($C364&lt;&gt;"",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64" s="17" t="str">
        <f>IF(ISNUMBER($B$345),
IF($C364&lt;&gt;"",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64" s="17" t="str">
        <f>IF(ISNUMBER($B$345),
IF($C364&lt;&gt;"",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64" s="17" t="str">
        <f>IF(ISNUMBER($B$345),
IF($C364&lt;&gt;"",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64" s="17" t="str">
        <f>IF(ISNUMBER($B$345),
IF($C364&lt;&gt;"",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64" s="17" t="str">
        <f>IF(ISNUMBER($B$345),
IF($C364&lt;&gt;"",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64" s="17" t="str">
        <f>IF(ISNUMBER($B$345),
IF($C364&lt;&gt;"",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64" s="17" t="str">
        <f>IF(ISNUMBER($B$345),
IF($C364&lt;&gt;"",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64" s="17" t="str">
        <f>IF(ISNUMBER($B$345),
IF($C364&lt;&gt;"",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64" s="17" t="str">
        <f>IF(ISNUMBER($B$345),
IF($C364&lt;&gt;"",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64" s="17" t="str">
        <f>IF(ISNUMBER($B$345),
IF($C364&lt;&gt;"",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64" s="17" t="str">
        <f>IF(ISNUMBER($B$345),
IF($C364&lt;&gt;"",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64" s="17" t="str">
        <f>IF(ISNUMBER($B$345),
IF($C364&lt;&gt;"",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64" s="17" t="str">
        <f>IF(ISNUMBER($B$345),
IF($C364&lt;&gt;"",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64" s="17" t="str">
        <f>IF(ISNUMBER($B$345),
IF($C364&lt;&gt;"",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64" s="17" t="str">
        <f>IF(ISNUMBER($B$345),
IF($C364&lt;&gt;"",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64" s="17" t="str">
        <f>IF(ISNUMBER($B$345),
IF($C364&lt;&gt;"",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row>
    <row r="365" spans="1:45" x14ac:dyDescent="0.25">
      <c r="A365" s="518"/>
      <c r="B365" s="504"/>
      <c r="C365" s="110" t="str">
        <f>IF(ISNUMBER(B345), _4_6_0, "")</f>
        <v/>
      </c>
      <c r="D365" s="94" t="str">
        <f>IF(AND(C365&lt;&gt;"", 'Cost Inputs'!$G$124&lt;&gt;""), 'Cost Inputs'!$G$124, "")</f>
        <v/>
      </c>
      <c r="E365" s="94" t="str">
        <f>IF(AND(C365&lt;&gt;"", 'Cost Inputs'!$H$124&lt;&gt;""), 'Cost Inputs'!$H$124, "")</f>
        <v/>
      </c>
      <c r="F365" s="94" t="str">
        <f>IF(AND(C365&lt;&gt;"", 'Cost Inputs'!$I$124&lt;&gt;""), 'Cost Inputs'!$I$124, "")</f>
        <v/>
      </c>
      <c r="G365" s="102" t="str">
        <f t="shared" si="63"/>
        <v/>
      </c>
      <c r="H365" s="94" t="str">
        <f>IF(AND(C365&lt;&gt;"", 'Cost Inputs'!$J$124&lt;&gt;""), 'Cost Inputs'!$J$124, "")</f>
        <v/>
      </c>
      <c r="I365" s="102" t="str">
        <f>IF($C365&lt;&gt;"",IF(AND($E365&lt;&gt;"",H365&lt;&gt;""), H365/$E365, 0),"")</f>
        <v/>
      </c>
      <c r="J365" s="94" t="str">
        <f>IF(AND(C365&lt;&gt;"",('Cost Inputs'!$I$124+'Cost Inputs'!$J$124+'Cost Inputs'!$K$124)&gt;0), 'Cost Inputs'!$I$124+'Cost Inputs'!$J$124+'Cost Inputs'!$K$124, "")</f>
        <v/>
      </c>
      <c r="K365" s="102" t="str">
        <f>IF($C365&lt;&gt;"",IF(AND($E365&lt;&gt;"",J365&lt;&gt;""), J365/$E365, 0),"")</f>
        <v/>
      </c>
      <c r="L365" s="525"/>
      <c r="M365" s="525"/>
      <c r="Q365" s="102" t="str">
        <f>IF(ISNUMBER($B$345), IF($C365&lt;&gt;"", IF(AND(ISNUMBER('Stage 2 Randomized Selection'!E$2),'Stage 2 Randomized Selection'!E$2&gt;0),'Stage 2 Randomized Selection'!E$2*$M345, ""),""),"")</f>
        <v/>
      </c>
      <c r="R365" s="102" t="str">
        <f>IF(ISNUMBER($B$345), IF($C365&lt;&gt;"", IF(AND(ISNUMBER('Stage 2 Randomized Selection'!F$2),'Stage 2 Randomized Selection'!F$2&gt;0),'Stage 2 Randomized Selection'!F$2*$M345, ""),""),"")</f>
        <v/>
      </c>
      <c r="S365" s="102" t="str">
        <f>IF(ISNUMBER($B$345), IF($C365&lt;&gt;"", IF(AND(ISNUMBER('Stage 2 Randomized Selection'!G$2),'Stage 2 Randomized Selection'!G$2&gt;0),'Stage 2 Randomized Selection'!G$2*$M345, ""),""),"")</f>
        <v/>
      </c>
      <c r="T365" s="102" t="str">
        <f>IF(ISNUMBER($B$345), IF($C365&lt;&gt;"", IF(AND(ISNUMBER('Stage 2 Randomized Selection'!H$2),'Stage 2 Randomized Selection'!H$2&gt;0),'Stage 2 Randomized Selection'!H$2*$M345, ""),""),"")</f>
        <v/>
      </c>
      <c r="U365" s="102" t="str">
        <f>IF(ISNUMBER($B$345), IF($C365&lt;&gt;"", IF(AND(ISNUMBER('Stage 2 Randomized Selection'!I$2),'Stage 2 Randomized Selection'!I$2&gt;0),'Stage 2 Randomized Selection'!I$2*$M345, ""),""),"")</f>
        <v/>
      </c>
      <c r="V365" s="102" t="str">
        <f>IF(ISNUMBER($B$345), IF($C365&lt;&gt;"", IF(AND(ISNUMBER('Stage 2 Randomized Selection'!J$2),'Stage 2 Randomized Selection'!J$2&gt;0),'Stage 2 Randomized Selection'!J$2*$M345, ""),""),"")</f>
        <v/>
      </c>
      <c r="W365" s="102" t="str">
        <f>IF(ISNUMBER($B$345), IF($C365&lt;&gt;"", IF(AND(ISNUMBER('Stage 2 Randomized Selection'!K$2),'Stage 2 Randomized Selection'!K$2&gt;0),'Stage 2 Randomized Selection'!K$2*$M345, ""),""),"")</f>
        <v/>
      </c>
      <c r="X365" s="102" t="str">
        <f>IF(ISNUMBER($B$345), IF($C365&lt;&gt;"", IF(AND(ISNUMBER('Stage 2 Randomized Selection'!L$2),'Stage 2 Randomized Selection'!L$2&gt;0),'Stage 2 Randomized Selection'!L$2*$M345, ""),""),"")</f>
        <v/>
      </c>
      <c r="Y365" s="102" t="str">
        <f>IF(ISNUMBER($B$345), IF($C365&lt;&gt;"", IF(AND(ISNUMBER('Stage 2 Randomized Selection'!M$2),'Stage 2 Randomized Selection'!M$2&gt;0),'Stage 2 Randomized Selection'!M$2*$M345, ""),""),"")</f>
        <v/>
      </c>
      <c r="Z365" s="102" t="str">
        <f>IF(ISNUMBER($B$345), IF($C365&lt;&gt;"", IF(AND(ISNUMBER('Stage 2 Randomized Selection'!N$2),'Stage 2 Randomized Selection'!N$2&gt;0),'Stage 2 Randomized Selection'!N$2*$M345, ""),""),"")</f>
        <v/>
      </c>
      <c r="AA365" s="102" t="str">
        <f>IF(ISNUMBER($B$345), IF($C365&lt;&gt;"", IF(AND(ISNUMBER('Stage 2 Randomized Selection'!O$2),'Stage 2 Randomized Selection'!O$2&gt;0),'Stage 2 Randomized Selection'!O$2*$M345, ""),""),"")</f>
        <v/>
      </c>
      <c r="AB365" s="102" t="str">
        <f>IF(ISNUMBER($B$345), IF($C365&lt;&gt;"", IF(AND(ISNUMBER('Stage 2 Randomized Selection'!P$2),'Stage 2 Randomized Selection'!P$2&gt;0),'Stage 2 Randomized Selection'!P$2*$M345, ""),""),"")</f>
        <v/>
      </c>
      <c r="AC365" s="102" t="str">
        <f>IF(ISNUMBER($B$345), IF($C365&lt;&gt;"", IF(AND(ISNUMBER('Stage 2 Randomized Selection'!Q$2),'Stage 2 Randomized Selection'!Q$2&gt;0),'Stage 2 Randomized Selection'!Q$2*$M345, ""),""),"")</f>
        <v/>
      </c>
      <c r="AD365" s="102" t="str">
        <f>IF(ISNUMBER($B$345), IF($C365&lt;&gt;"", IF(AND(ISNUMBER('Stage 2 Randomized Selection'!R$2),'Stage 2 Randomized Selection'!R$2&gt;0),'Stage 2 Randomized Selection'!R$2*$M345, ""),""),"")</f>
        <v/>
      </c>
      <c r="AE365" s="102" t="str">
        <f>IF(ISNUMBER($B$345), IF($C365&lt;&gt;"", IF(AND(ISNUMBER('Stage 2 Randomized Selection'!S$2),'Stage 2 Randomized Selection'!S$2&gt;0),'Stage 2 Randomized Selection'!S$2*$M345, ""),""),"")</f>
        <v/>
      </c>
      <c r="AF365" s="102" t="str">
        <f>IF(ISNUMBER($B$345), IF($C365&lt;&gt;"", IF(AND(ISNUMBER('Stage 2 Randomized Selection'!T$2),'Stage 2 Randomized Selection'!T$2&gt;0),'Stage 2 Randomized Selection'!T$2*$M345, ""),""),"")</f>
        <v/>
      </c>
      <c r="AG365" s="102" t="str">
        <f>IF(ISNUMBER($B$345), IF($C365&lt;&gt;"", IF(AND(ISNUMBER('Stage 2 Randomized Selection'!U$2),'Stage 2 Randomized Selection'!U$2&gt;0),'Stage 2 Randomized Selection'!U$2*$M345, ""),""),"")</f>
        <v/>
      </c>
      <c r="AH365" s="102" t="str">
        <f>IF(ISNUMBER($B$345), IF($C365&lt;&gt;"", IF(AND(ISNUMBER('Stage 2 Randomized Selection'!V$2),'Stage 2 Randomized Selection'!V$2&gt;0),'Stage 2 Randomized Selection'!V$2*$M345, ""),""),"")</f>
        <v/>
      </c>
      <c r="AI365" s="102" t="str">
        <f>IF(ISNUMBER($B$345), IF($C365&lt;&gt;"", IF(AND(ISNUMBER('Stage 2 Randomized Selection'!W$2),'Stage 2 Randomized Selection'!W$2&gt;0),'Stage 2 Randomized Selection'!W$2*$M345, ""),""),"")</f>
        <v/>
      </c>
      <c r="AJ365" s="102" t="str">
        <f>IF(ISNUMBER($B$345), IF($C365&lt;&gt;"", IF(AND(ISNUMBER('Stage 2 Randomized Selection'!X$2),'Stage 2 Randomized Selection'!X$2&gt;0),'Stage 2 Randomized Selection'!X$2*$M345, ""),""),"")</f>
        <v/>
      </c>
      <c r="AK365" s="102" t="str">
        <f>IF(ISNUMBER($B$345), IF($C365&lt;&gt;"", IF(AND(ISNUMBER('Stage 2 Randomized Selection'!Y$2),'Stage 2 Randomized Selection'!Y$2&gt;0),'Stage 2 Randomized Selection'!Y$2*$M345, ""),""),"")</f>
        <v/>
      </c>
      <c r="AL365" s="102" t="str">
        <f>IF(ISNUMBER($B$345), IF($C365&lt;&gt;"", IF(AND(ISNUMBER('Stage 2 Randomized Selection'!Z$2),'Stage 2 Randomized Selection'!Z$2&gt;0),'Stage 2 Randomized Selection'!Z$2*$M345, ""),""),"")</f>
        <v/>
      </c>
      <c r="AM365" s="102" t="str">
        <f>IF(ISNUMBER($B$345), IF($C365&lt;&gt;"", IF(AND(ISNUMBER('Stage 2 Randomized Selection'!AA$2),'Stage 2 Randomized Selection'!AA$2&gt;0),'Stage 2 Randomized Selection'!AA$2*$M345, ""),""),"")</f>
        <v/>
      </c>
      <c r="AN365" s="102" t="str">
        <f>IF(ISNUMBER($B$345), IF($C365&lt;&gt;"", IF(AND(ISNUMBER('Stage 2 Randomized Selection'!AB$2),'Stage 2 Randomized Selection'!AB$2&gt;0),'Stage 2 Randomized Selection'!AB$2*$M345, ""),""),"")</f>
        <v/>
      </c>
      <c r="AO365" s="102" t="str">
        <f>IF(ISNUMBER($B$345), IF($C365&lt;&gt;"", IF(AND(ISNUMBER('Stage 2 Randomized Selection'!AC$2),'Stage 2 Randomized Selection'!AC$2&gt;0),'Stage 2 Randomized Selection'!AC$2*$M345, ""),""),"")</f>
        <v/>
      </c>
      <c r="AP365" s="102" t="str">
        <f>IF(ISNUMBER($B$345), IF($C365&lt;&gt;"", IF(AND(ISNUMBER('Stage 2 Randomized Selection'!AD$2),'Stage 2 Randomized Selection'!AD$2&gt;0),'Stage 2 Randomized Selection'!AD$2*$M345, ""),""),"")</f>
        <v/>
      </c>
      <c r="AQ365" s="102" t="str">
        <f>IF(ISNUMBER($B$345), IF($C365&lt;&gt;"", IF(AND(ISNUMBER('Stage 2 Randomized Selection'!AE$2),'Stage 2 Randomized Selection'!AE$2&gt;0),'Stage 2 Randomized Selection'!AE$2*$M345, ""),""),"")</f>
        <v/>
      </c>
      <c r="AR365" s="102" t="str">
        <f>IF(ISNUMBER($B$345), IF($C365&lt;&gt;"", IF(AND(ISNUMBER('Stage 2 Randomized Selection'!AF$2),'Stage 2 Randomized Selection'!AF$2&gt;0),'Stage 2 Randomized Selection'!AF$2*$M345, ""),""),"")</f>
        <v/>
      </c>
    </row>
    <row r="366" spans="1:45" x14ac:dyDescent="0.25">
      <c r="A366" s="518"/>
      <c r="B366" s="504"/>
      <c r="C366" s="104" t="str">
        <f>IF(AND(ISNUMBER(B345), OR('Cost Inputs'!$H$125&lt;&gt;"", 'Cost Inputs'!$I$125&lt;&gt;"", 'Cost Inputs'!$J$125&lt;&gt;"")), _4_5_3, "")</f>
        <v/>
      </c>
      <c r="D366" s="17" t="str">
        <f>IF(AND(C366&lt;&gt;"", 'Cost Inputs'!$G$125&lt;&gt;""), 'Cost Inputs'!$G$125, "")</f>
        <v/>
      </c>
      <c r="E366" s="17" t="str">
        <f>IF(AND(C366&lt;&gt;"", 'Cost Inputs'!$H$125&lt;&gt;""), 'Cost Inputs'!$H$125, "")</f>
        <v/>
      </c>
      <c r="F366" s="17" t="str">
        <f>IF(AND(C366&lt;&gt;"", 'Cost Inputs'!$I$125&lt;&gt;""), 'Cost Inputs'!$I$125, "")</f>
        <v/>
      </c>
      <c r="G366" s="105" t="str">
        <f t="shared" si="63"/>
        <v/>
      </c>
      <c r="H366" s="17" t="str">
        <f>IF(AND(C366&lt;&gt;"", 'Cost Inputs'!$J$125&lt;&gt;""), 'Cost Inputs'!$J$125, "")</f>
        <v/>
      </c>
      <c r="I366" s="17" t="str">
        <f>IF($C366&lt;&gt;"", IF(AND($E366&lt;&gt;"", H366&lt;&gt;""), H366/$E366, 0),"")</f>
        <v/>
      </c>
      <c r="J366" s="17" t="str">
        <f>IF(AND(C366&lt;&gt;"",('Cost Inputs'!$I$125+'Cost Inputs'!$J$125+'Cost Inputs'!$K$125)&gt;0), 'Cost Inputs'!$I$125+'Cost Inputs'!$J$125+'Cost Inputs'!$K$125, "")</f>
        <v/>
      </c>
      <c r="K366" s="17" t="str">
        <f>IF($C366&lt;&gt;"", IF(AND($E366&lt;&gt;"", J366&lt;&gt;""), J366/$E366, 0),"")</f>
        <v/>
      </c>
      <c r="L366" s="525"/>
      <c r="M366" s="525"/>
      <c r="Q366" s="17" t="str">
        <f>IF(ISNUMBER($B$345),
IF($C366&lt;&gt;"",
IF(AND(ISNUMBER(O$280), ISNUMBER(O$317)),
IF(AND(Q$279=123, Cultivar_1_Cohort_Year_Selection=$O$278,Cultivar_2_Cohort_Year_Selection=$O$278,Cultivar_3_Cohort_Year_Selection=$O$278), ROUND(MAX(0,P$344 - 3),0),
IF(AND(OR(Q$279=123, Q$279=12), Cultivar_1_Cohort_Year_Selection=$O$278,Cultivar_2_Cohort_Year_Selection=$O$278), ROUND(MAX(0,P$344 - 2),0),
IF(AND(OR(Q$279=123, Q$279=13), Cultivar_1_Cohort_Year_Selection=$O$278,Cultivar_3_Cohort_Year_Selection=$O$278), ROUND(MAX(0,P$344 - 2),0),
IF(AND(OR(Q$279=123, Q$279=23), Cultivar_2_Cohort_Year_Selection=$O$278,Cultivar_3_Cohort_Year_Selection=$O$278), ROUND(MAX(0,P$344 - 2),0),
IF(AND(OR(Q$279=123, Q$279=12, Q$279=13, Q$279=1), Cultivar_1_Cohort_Year_Selection=$O$278), ROUND(MAX(0,P$344 - 1),0),
IF(AND(OR(Q$279=123, Q$279=12, Q$279=23, Q$279=2), Cultivar_2_Cohort_Year_Selection=$O$278), ROUND(MAX(0,P$344 - 1),0),
IF(AND(OR(Q$279=123, Q$279=13, Q$279=23, Q$279=3), Cultivar_3_Cohort_Year_Selection=$O$278), ROUND(MAX(0,P$344 - 1),0),
ROUND(MAX(0,P$344),0)))))))),""),""),"")</f>
        <v/>
      </c>
      <c r="R366" s="17" t="str">
        <f>IF(ISNUMBER($B$345),
IF($C366&lt;&gt;"",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66" s="17" t="str">
        <f>IF(ISNUMBER($B$345),
IF($C366&lt;&gt;"",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66" s="17" t="str">
        <f>IF(ISNUMBER($B$345),
IF($C366&lt;&gt;"",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66" s="17" t="str">
        <f>IF(ISNUMBER($B$345),
IF($C366&lt;&gt;"",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66" s="17" t="str">
        <f>IF(ISNUMBER($B$345),
IF($C366&lt;&gt;"",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66" s="17" t="str">
        <f>IF(ISNUMBER($B$345),
IF($C366&lt;&gt;"",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66" s="17" t="str">
        <f>IF(ISNUMBER($B$345),
IF($C366&lt;&gt;"",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66" s="17" t="str">
        <f>IF(ISNUMBER($B$345),
IF($C366&lt;&gt;"",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66" s="17" t="str">
        <f>IF(ISNUMBER($B$345),
IF($C366&lt;&gt;"",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66" s="17" t="str">
        <f>IF(ISNUMBER($B$345),
IF($C366&lt;&gt;"",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66" s="17" t="str">
        <f>IF(ISNUMBER($B$345),
IF($C366&lt;&gt;"",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66" s="17" t="str">
        <f>IF(ISNUMBER($B$345),
IF($C366&lt;&gt;"",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66" s="17" t="str">
        <f>IF(ISNUMBER($B$345),
IF($C366&lt;&gt;"",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66" s="17" t="str">
        <f>IF(ISNUMBER($B$345),
IF($C366&lt;&gt;"",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66" s="17" t="str">
        <f>IF(ISNUMBER($B$345),
IF($C366&lt;&gt;"",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66" s="17" t="str">
        <f>IF(ISNUMBER($B$345),
IF($C366&lt;&gt;"",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66" s="17" t="str">
        <f>IF(ISNUMBER($B$345),
IF($C366&lt;&gt;"",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66" s="17" t="str">
        <f>IF(ISNUMBER($B$345),
IF($C366&lt;&gt;"",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66" s="17" t="str">
        <f>IF(ISNUMBER($B$345),
IF($C366&lt;&gt;"",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66" s="17" t="str">
        <f>IF(ISNUMBER($B$345),
IF($C366&lt;&gt;"",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66" s="17" t="str">
        <f>IF(ISNUMBER($B$345),
IF($C366&lt;&gt;"",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66" s="17" t="str">
        <f>IF(ISNUMBER($B$345),
IF($C366&lt;&gt;"",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66" s="17" t="str">
        <f>IF(ISNUMBER($B$345),
IF($C366&lt;&gt;"",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66" s="17" t="str">
        <f>IF(ISNUMBER($B$345),
IF($C366&lt;&gt;"",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66" s="17" t="str">
        <f>IF(ISNUMBER($B$345),
IF($C366&lt;&gt;"",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66" s="17" t="str">
        <f>IF(ISNUMBER($B$345),
IF($C366&lt;&gt;"",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66" s="17" t="str">
        <f>IF(ISNUMBER($B$345),
IF($C366&lt;&gt;"",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row>
    <row r="367" spans="1:45" ht="15.75" thickBot="1" x14ac:dyDescent="0.3">
      <c r="A367" s="518"/>
      <c r="B367" s="504"/>
      <c r="C367" s="107" t="str">
        <f>IF(AND(ISNUMBER(B345), OR('Cost Inputs'!$H$126&lt;&gt;"", 'Cost Inputs'!$I$126&lt;&gt;"", 'Cost Inputs'!$J$126&lt;&gt;"")), _4_5_2, "")</f>
        <v/>
      </c>
      <c r="D367" s="93" t="str">
        <f>IF(AND(C367&lt;&gt;"", 'Cost Inputs'!$G$126&lt;&gt;""), 'Cost Inputs'!$G$126, "")</f>
        <v/>
      </c>
      <c r="E367" s="93" t="str">
        <f>IF(AND(C367&lt;&gt;"", 'Cost Inputs'!$H$126&lt;&gt;""), 'Cost Inputs'!$H$126, "")</f>
        <v/>
      </c>
      <c r="F367" s="93" t="str">
        <f>IF(AND(C367&lt;&gt;"", 'Cost Inputs'!$I$126&lt;&gt;""), 'Cost Inputs'!$I$126, "")</f>
        <v/>
      </c>
      <c r="G367" s="108" t="str">
        <f t="shared" si="63"/>
        <v/>
      </c>
      <c r="H367" s="93" t="str">
        <f>IF(AND(C367&lt;&gt;"", 'Cost Inputs'!$J$126&lt;&gt;""), 'Cost Inputs'!$J$126, "")</f>
        <v/>
      </c>
      <c r="I367" s="93" t="str">
        <f>IF($C367&lt;&gt;"", IF(AND($E367&lt;&gt;"", H367&lt;&gt;""), H367/$E367, 0),"")</f>
        <v/>
      </c>
      <c r="J367" s="93" t="str">
        <f>IF(AND(C367&lt;&gt;"",('Cost Inputs'!$I$126+'Cost Inputs'!$J$126+'Cost Inputs'!$K$126)&gt;0), 'Cost Inputs'!$I$126+'Cost Inputs'!$J$126+'Cost Inputs'!$K$126, "")</f>
        <v/>
      </c>
      <c r="K367" s="93" t="str">
        <f>IF($C367&lt;&gt;"", IF(AND($E367&lt;&gt;"", J367&lt;&gt;""), J367/$E367, 0),"")</f>
        <v/>
      </c>
      <c r="L367" s="525"/>
      <c r="M367" s="525"/>
      <c r="Q367" s="93" t="str">
        <f>IF(ISNUMBER($B$345),
IF($C367&lt;&gt;"",
IF(AND(ISNUMBER(O$280), ISNUMBER(O$317)),
IF(AND(Q$279=123, Cultivar_1_Cohort_Year_Selection=$O$278,Cultivar_2_Cohort_Year_Selection=$O$278,Cultivar_3_Cohort_Year_Selection=$O$278), ROUND(MAX(0,P$344 - 3),0),
IF(AND(OR(Q$279=123, Q$279=12), Cultivar_1_Cohort_Year_Selection=$O$278,Cultivar_2_Cohort_Year_Selection=$O$278), ROUND(MAX(0,P$344 - 2),0),
IF(AND(OR(Q$279=123, Q$279=13), Cultivar_1_Cohort_Year_Selection=$O$278,Cultivar_3_Cohort_Year_Selection=$O$278), ROUND(MAX(0,P$344 - 2),0),
IF(AND(OR(Q$279=123, Q$279=23), Cultivar_2_Cohort_Year_Selection=$O$278,Cultivar_3_Cohort_Year_Selection=$O$278), ROUND(MAX(0,P$344 - 2),0),
IF(AND(OR(Q$279=123, Q$279=12, Q$279=13, Q$279=1), Cultivar_1_Cohort_Year_Selection=$O$278), ROUND(MAX(0,P$344 - 1),0),
IF(AND(OR(Q$279=123, Q$279=12, Q$279=23, Q$279=2), Cultivar_2_Cohort_Year_Selection=$O$278), ROUND(MAX(0,P$344 - 1),0),
IF(AND(OR(Q$279=123, Q$279=13, Q$279=23, Q$279=3), Cultivar_3_Cohort_Year_Selection=$O$278), ROUND(MAX(0,P$344 - 1),0),
ROUND(MAX(0,P$344),0)))))))),""),""),"")</f>
        <v/>
      </c>
      <c r="R367" s="93" t="str">
        <f>IF(ISNUMBER($B$345),
IF($C367&lt;&gt;"",
IF(AND(ISNUMBER(P$280), ISNUMBER(P$317)),
IF(AND(R$279=123, Cultivar_1_Cohort_Year_Selection=$P$278,Cultivar_2_Cohort_Year_Selection=$P$278,Cultivar_3_Cohort_Year_Selection=$P$278), ROUND(MAX(0,Q$344 - 3),0),
IF(AND(OR(R$279=123, R$279=12), Cultivar_1_Cohort_Year_Selection=$P$278,Cultivar_2_Cohort_Year_Selection=$P$278), ROUND(MAX(0,Q$344 - 2),0),
IF(AND(OR(R$279=123, R$279=13), Cultivar_1_Cohort_Year_Selection=$P$278,Cultivar_3_Cohort_Year_Selection=$P$278), ROUND(MAX(0,Q$344 - 2),0),
IF(AND(OR(R$279=123, R$279=23), Cultivar_2_Cohort_Year_Selection=$P$278,Cultivar_3_Cohort_Year_Selection=$P$278), ROUND(MAX(0,Q$344 - 2),0),
IF(AND(OR(R$279=123, R$279=12, R$279=13, R$279=1), Cultivar_1_Cohort_Year_Selection=$P$278), ROUND(MAX(0,Q$344 - 1),0),
IF(AND(OR(R$279=123, R$279=12, R$279=23, R$279=2), Cultivar_2_Cohort_Year_Selection=$P$278), ROUND(MAX(0,Q$344 - 1),0),
IF(AND(OR(R$279=123, R$279=13, R$279=23, R$279=3), Cultivar_3_Cohort_Year_Selection=$P$278), ROUND(MAX(0,Q$344 - 1),0),
ROUND(MAX(0,Q$344),0)))))))),""),""),"")</f>
        <v/>
      </c>
      <c r="S367" s="93" t="str">
        <f>IF(ISNUMBER($B$345),
IF($C367&lt;&gt;"",
IF(AND(ISNUMBER(Q$280), ISNUMBER(Q$317)),
IF(AND(S$279=123, Cultivar_1_Cohort_Year_Selection=$Q$278,Cultivar_2_Cohort_Year_Selection=$Q$278,Cultivar_3_Cohort_Year_Selection=$Q$278), ROUND(MAX(0,R$344 - 3),0),
IF(AND(OR(S$279=123, S$279=12), Cultivar_1_Cohort_Year_Selection=$Q$278,Cultivar_2_Cohort_Year_Selection=$Q$278), ROUND(MAX(0,R$344 - 2),0),
IF(AND(OR(S$279=123, S$279=13), Cultivar_1_Cohort_Year_Selection=$Q$278,Cultivar_3_Cohort_Year_Selection=$Q$278), ROUND(MAX(0,R$344 - 2),0),
IF(AND(OR(S$279=123, S$279=23), Cultivar_2_Cohort_Year_Selection=$Q$278,Cultivar_3_Cohort_Year_Selection=$Q$278), ROUND(MAX(0,R$344 - 2),0),
IF(AND(OR(S$279=123, S$279=12, S$279=13, S$279=1), Cultivar_1_Cohort_Year_Selection=$Q$278), ROUND(MAX(0,R$344 - 1),0),
IF(AND(OR(S$279=123, S$279=12, S$279=23, S$279=2), Cultivar_2_Cohort_Year_Selection=$Q$278), ROUND(MAX(0,R$344 - 1),0),
IF(AND(OR(S$279=123, S$279=13, S$279=23, S$279=3), Cultivar_3_Cohort_Year_Selection=$Q$278), ROUND(MAX(0,R$344 - 1),0),
ROUND(MAX(0,R$344),0)))))))),""),""),"")</f>
        <v/>
      </c>
      <c r="T367" s="93" t="str">
        <f>IF(ISNUMBER($B$345),
IF($C367&lt;&gt;"",
IF(AND(ISNUMBER(R$280), ISNUMBER(R$317)),
IF(AND(T$279=123, Cultivar_1_Cohort_Year_Selection=$R$278,Cultivar_2_Cohort_Year_Selection=$R$278,Cultivar_3_Cohort_Year_Selection=$R$278), ROUND(MAX(0,S$344 - 3),0),
IF(AND(OR(T$279=123, T$279=12), Cultivar_1_Cohort_Year_Selection=$R$278,Cultivar_2_Cohort_Year_Selection=$R$278), ROUND(MAX(0,S$344 - 2),0),
IF(AND(OR(T$279=123, T$279=13), Cultivar_1_Cohort_Year_Selection=$R$278,Cultivar_3_Cohort_Year_Selection=$R$278), ROUND(MAX(0,S$344 - 2),0),
IF(AND(OR(T$279=123, T$279=23), Cultivar_2_Cohort_Year_Selection=$R$278,Cultivar_3_Cohort_Year_Selection=$R$278), ROUND(MAX(0,S$344 - 2),0),
IF(AND(OR(T$279=123, T$279=12, T$279=13, T$279=1), Cultivar_1_Cohort_Year_Selection=$R$278), ROUND(MAX(0,S$344 - 1),0),
IF(AND(OR(T$279=123, T$279=12, T$279=23, T$279=2), Cultivar_2_Cohort_Year_Selection=$R$278), ROUND(MAX(0,S$344 - 1),0),
IF(AND(OR(T$279=123, T$279=13, T$279=23, T$279=3), Cultivar_3_Cohort_Year_Selection=$R$278), ROUND(MAX(0,S$344 - 1),0),
ROUND(MAX(0,S$344),0)))))))),""),""),"")</f>
        <v/>
      </c>
      <c r="U367" s="93" t="str">
        <f>IF(ISNUMBER($B$345),
IF($C367&lt;&gt;"",
IF(AND(ISNUMBER(S$280), ISNUMBER(S$317)),
IF(AND(U$279=123, Cultivar_1_Cohort_Year_Selection=$S$278,Cultivar_2_Cohort_Year_Selection=$S$278,Cultivar_3_Cohort_Year_Selection=$S$278), ROUND(MAX(0,T$344 - 3),0),
IF(AND(OR(U$279=123, U$279=12), Cultivar_1_Cohort_Year_Selection=$S$278,Cultivar_2_Cohort_Year_Selection=$S$278), ROUND(MAX(0,T$344 - 2),0),
IF(AND(OR(U$279=123, U$279=13), Cultivar_1_Cohort_Year_Selection=$S$278,Cultivar_3_Cohort_Year_Selection=$S$278), ROUND(MAX(0,T$344 - 2),0),
IF(AND(OR(U$279=123, U$279=23), Cultivar_2_Cohort_Year_Selection=$S$278,Cultivar_3_Cohort_Year_Selection=$S$278), ROUND(MAX(0,T$344 - 2),0),
IF(AND(OR(U$279=123, U$279=12, U$279=13, U$279=1), Cultivar_1_Cohort_Year_Selection=$S$278), ROUND(MAX(0,T$344 - 1),0),
IF(AND(OR(U$279=123, U$279=12, U$279=23, U$279=2), Cultivar_2_Cohort_Year_Selection=$S$278), ROUND(MAX(0,T$344 - 1),0),
IF(AND(OR(U$279=123, U$279=13, U$279=23, U$279=3), Cultivar_3_Cohort_Year_Selection=$S$278), ROUND(MAX(0,T$344 - 1),0),
ROUND(MAX(0,T$344),0)))))))),""),""),"")</f>
        <v/>
      </c>
      <c r="V367" s="93" t="str">
        <f>IF(ISNUMBER($B$345),
IF($C367&lt;&gt;"",
IF(AND(ISNUMBER(T$280), ISNUMBER(T$317)),
IF(AND(V$279=123, Cultivar_1_Cohort_Year_Selection=$T$278,Cultivar_2_Cohort_Year_Selection=$T$278,Cultivar_3_Cohort_Year_Selection=$T$278), ROUND(MAX(0,U$344 - 3),0),
IF(AND(OR(V$279=123, V$279=12), Cultivar_1_Cohort_Year_Selection=$T$278,Cultivar_2_Cohort_Year_Selection=$T$278), ROUND(MAX(0,U$344 - 2),0),
IF(AND(OR(V$279=123, V$279=13), Cultivar_1_Cohort_Year_Selection=$T$278,Cultivar_3_Cohort_Year_Selection=$T$278), ROUND(MAX(0,U$344 - 2),0),
IF(AND(OR(V$279=123, V$279=23), Cultivar_2_Cohort_Year_Selection=$T$278,Cultivar_3_Cohort_Year_Selection=$T$278), ROUND(MAX(0,U$344 - 2),0),
IF(AND(OR(V$279=123, V$279=12, V$279=13, V$279=1), Cultivar_1_Cohort_Year_Selection=$T$278), ROUND(MAX(0,U$344 - 1),0),
IF(AND(OR(V$279=123, V$279=12, V$279=23, V$279=2), Cultivar_2_Cohort_Year_Selection=$T$278), ROUND(MAX(0,U$344 - 1),0),
IF(AND(OR(V$279=123, V$279=13, V$279=23, V$279=3), Cultivar_3_Cohort_Year_Selection=$T$278), ROUND(MAX(0,U$344 - 1),0),
ROUND(MAX(0,U$344),0)))))))),""),""),"")</f>
        <v/>
      </c>
      <c r="W367" s="93" t="str">
        <f>IF(ISNUMBER($B$345),
IF($C367&lt;&gt;"",
IF(AND(ISNUMBER(U$280), ISNUMBER(U$317)),
IF(AND(W$279=123, Cultivar_1_Cohort_Year_Selection=$U$278,Cultivar_2_Cohort_Year_Selection=$U$278,Cultivar_3_Cohort_Year_Selection=$U$278), ROUND(MAX(0,V$344 - 3),0),
IF(AND(OR(W$279=123, W$279=12), Cultivar_1_Cohort_Year_Selection=$U$278,Cultivar_2_Cohort_Year_Selection=$U$278), ROUND(MAX(0,V$344 - 2),0),
IF(AND(OR(W$279=123, W$279=13), Cultivar_1_Cohort_Year_Selection=$U$278,Cultivar_3_Cohort_Year_Selection=$U$278), ROUND(MAX(0,V$344 - 2),0),
IF(AND(OR(W$279=123, W$279=23), Cultivar_2_Cohort_Year_Selection=$U$278,Cultivar_3_Cohort_Year_Selection=$U$278), ROUND(MAX(0,V$344 - 2),0),
IF(AND(OR(W$279=123, W$279=12, W$279=13, W$279=1), Cultivar_1_Cohort_Year_Selection=$U$278), ROUND(MAX(0,V$344 - 1),0),
IF(AND(OR(W$279=123, W$279=12, W$279=23, W$279=2), Cultivar_2_Cohort_Year_Selection=$U$278), ROUND(MAX(0,V$344 - 1),0),
IF(AND(OR(W$279=123, W$279=13, W$279=23, W$279=3), Cultivar_3_Cohort_Year_Selection=$U$278), ROUND(MAX(0,V$344 - 1),0),
ROUND(MAX(0,V$344),0)))))))),""),""),"")</f>
        <v/>
      </c>
      <c r="X367" s="93" t="str">
        <f>IF(ISNUMBER($B$345),
IF($C367&lt;&gt;"",
IF(AND(ISNUMBER(V$280), ISNUMBER(V$317)),
IF(AND(X$279=123, Cultivar_1_Cohort_Year_Selection=$V$278,Cultivar_2_Cohort_Year_Selection=$V$278,Cultivar_3_Cohort_Year_Selection=$V$278), ROUND(MAX(0,W$344 - 3),0),
IF(AND(OR(X$279=123, X$279=12), Cultivar_1_Cohort_Year_Selection=$V$278,Cultivar_2_Cohort_Year_Selection=$V$278), ROUND(MAX(0,W$344 - 2),0),
IF(AND(OR(X$279=123, X$279=13), Cultivar_1_Cohort_Year_Selection=$V$278,Cultivar_3_Cohort_Year_Selection=$V$278), ROUND(MAX(0,W$344 - 2),0),
IF(AND(OR(X$279=123, X$279=23), Cultivar_2_Cohort_Year_Selection=$V$278,Cultivar_3_Cohort_Year_Selection=$V$278), ROUND(MAX(0,W$344 - 2),0),
IF(AND(OR(X$279=123, X$279=12, X$279=13, X$279=1), Cultivar_1_Cohort_Year_Selection=$V$278), ROUND(MAX(0,W$344 - 1),0),
IF(AND(OR(X$279=123, X$279=12, X$279=23, X$279=2), Cultivar_2_Cohort_Year_Selection=$V$278), ROUND(MAX(0,W$344 - 1),0),
IF(AND(OR(X$279=123, X$279=13, X$279=23, X$279=3), Cultivar_3_Cohort_Year_Selection=$V$278), ROUND(MAX(0,W$344 - 1),0),
ROUND(MAX(0,W$344),0)))))))),""),""),"")</f>
        <v/>
      </c>
      <c r="Y367" s="93" t="str">
        <f>IF(ISNUMBER($B$345),
IF($C367&lt;&gt;"",
IF(AND(ISNUMBER(W$280), ISNUMBER(W$317)),
IF(AND(Y$279=123, Cultivar_1_Cohort_Year_Selection=$W$278,Cultivar_2_Cohort_Year_Selection=$W$278,Cultivar_3_Cohort_Year_Selection=$W$278), ROUND(MAX(0,X$344 - 3),0),
IF(AND(OR(Y$279=123, Y$279=12), Cultivar_1_Cohort_Year_Selection=$W$278,Cultivar_2_Cohort_Year_Selection=$W$278), ROUND(MAX(0,X$344 - 2),0),
IF(AND(OR(Y$279=123, Y$279=13), Cultivar_1_Cohort_Year_Selection=$W$278,Cultivar_3_Cohort_Year_Selection=$W$278), ROUND(MAX(0,X$344 - 2),0),
IF(AND(OR(Y$279=123, Y$279=23), Cultivar_2_Cohort_Year_Selection=$W$278,Cultivar_3_Cohort_Year_Selection=$W$278), ROUND(MAX(0,X$344 - 2),0),
IF(AND(OR(Y$279=123, Y$279=12, Y$279=13, Y$279=1), Cultivar_1_Cohort_Year_Selection=$W$278), ROUND(MAX(0,X$344 - 1),0),
IF(AND(OR(Y$279=123, Y$279=12, Y$279=23, Y$279=2), Cultivar_2_Cohort_Year_Selection=$W$278), ROUND(MAX(0,X$344 - 1),0),
IF(AND(OR(Y$279=123, Y$279=13, Y$279=23, Y$279=3), Cultivar_3_Cohort_Year_Selection=$W$278), ROUND(MAX(0,X$344 - 1),0),
ROUND(MAX(0,X$344),0)))))))),""),""),"")</f>
        <v/>
      </c>
      <c r="Z367" s="93" t="str">
        <f>IF(ISNUMBER($B$345),
IF($C367&lt;&gt;"",
IF(AND(ISNUMBER(X$280), ISNUMBER(X$317)),
IF(AND(Z$279=123, Cultivar_1_Cohort_Year_Selection=$X$278,Cultivar_2_Cohort_Year_Selection=$X$278,Cultivar_3_Cohort_Year_Selection=$X$278), ROUND(MAX(0,Y$344 - 3),0),
IF(AND(OR(Z$279=123, Z$279=12), Cultivar_1_Cohort_Year_Selection=$X$278,Cultivar_2_Cohort_Year_Selection=$X$278), ROUND(MAX(0,Y$344 - 2),0),
IF(AND(OR(Z$279=123, Z$279=13), Cultivar_1_Cohort_Year_Selection=$X$278,Cultivar_3_Cohort_Year_Selection=$X$278), ROUND(MAX(0,Y$344 - 2),0),
IF(AND(OR(Z$279=123, Z$279=23), Cultivar_2_Cohort_Year_Selection=$X$278,Cultivar_3_Cohort_Year_Selection=$X$278), ROUND(MAX(0,Y$344 - 2),0),
IF(AND(OR(Z$279=123, Z$279=12, Z$279=13, Z$279=1), Cultivar_1_Cohort_Year_Selection=$X$278), ROUND(MAX(0,Y$344 - 1),0),
IF(AND(OR(Z$279=123, Z$279=12, Z$279=23, Z$279=2), Cultivar_2_Cohort_Year_Selection=$X$278), ROUND(MAX(0,Y$344 - 1),0),
IF(AND(OR(Z$279=123, Z$279=13, Z$279=23, Z$279=3), Cultivar_3_Cohort_Year_Selection=$X$278), ROUND(MAX(0,Y$344 - 1),0),
ROUND(MAX(0,Y$344),0)))))))),""),""),"")</f>
        <v/>
      </c>
      <c r="AA367" s="93" t="str">
        <f>IF(ISNUMBER($B$345),
IF($C367&lt;&gt;"",
IF(AND(ISNUMBER(Y$280), ISNUMBER(Y$317)),
IF(AND(AA$279=123, Cultivar_1_Cohort_Year_Selection=$Y$278,Cultivar_2_Cohort_Year_Selection=$Y$278,Cultivar_3_Cohort_Year_Selection=$Y$278), ROUND(MAX(0,Z$344 - 3),0),
IF(AND(OR(AA$279=123, AA$279=12), Cultivar_1_Cohort_Year_Selection=$Y$278,Cultivar_2_Cohort_Year_Selection=$Y$278), ROUND(MAX(0,Z$344 - 2),0),
IF(AND(OR(AA$279=123, AA$279=13), Cultivar_1_Cohort_Year_Selection=$Y$278,Cultivar_3_Cohort_Year_Selection=$Y$278), ROUND(MAX(0,Z$344 - 2),0),
IF(AND(OR(AA$279=123, AA$279=23), Cultivar_2_Cohort_Year_Selection=$Y$278,Cultivar_3_Cohort_Year_Selection=$Y$278), ROUND(MAX(0,Z$344 - 2),0),
IF(AND(OR(AA$279=123, AA$279=12, AA$279=13, AA$279=1), Cultivar_1_Cohort_Year_Selection=$Y$278), ROUND(MAX(0,Z$344 - 1),0),
IF(AND(OR(AA$279=123, AA$279=12, AA$279=23, AA$279=2), Cultivar_2_Cohort_Year_Selection=$Y$278), ROUND(MAX(0,Z$344 - 1),0),
IF(AND(OR(AA$279=123, AA$279=13, AA$279=23, AA$279=3), Cultivar_3_Cohort_Year_Selection=$Y$278), ROUND(MAX(0,Z$344 - 1),0),
ROUND(MAX(0,Z$344),0)))))))),""),""),"")</f>
        <v/>
      </c>
      <c r="AB367" s="93" t="str">
        <f>IF(ISNUMBER($B$345),
IF($C367&lt;&gt;"",
IF(AND(ISNUMBER(Z$280), ISNUMBER(Z$317)),
IF(AND(AB$279=123, Cultivar_1_Cohort_Year_Selection=$Z$278,Cultivar_2_Cohort_Year_Selection=$Z$278,Cultivar_3_Cohort_Year_Selection=$Z$278), ROUND(MAX(0,AA$344 - 3),0),
IF(AND(OR(AB$279=123, AB$279=12), Cultivar_1_Cohort_Year_Selection=$Z$278,Cultivar_2_Cohort_Year_Selection=$Z$278), ROUND(MAX(0,AA$344 - 2),0),
IF(AND(OR(AB$279=123, AB$279=13), Cultivar_1_Cohort_Year_Selection=$Z$278,Cultivar_3_Cohort_Year_Selection=$Z$278), ROUND(MAX(0,AA$344 - 2),0),
IF(AND(OR(AB$279=123, AB$279=23), Cultivar_2_Cohort_Year_Selection=$Z$278,Cultivar_3_Cohort_Year_Selection=$Z$278), ROUND(MAX(0,AA$344 - 2),0),
IF(AND(OR(AB$279=123, AB$279=12, AB$279=13, AB$279=1), Cultivar_1_Cohort_Year_Selection=$Z$278), ROUND(MAX(0,AA$344 - 1),0),
IF(AND(OR(AB$279=123, AB$279=12, AB$279=23, AB$279=2), Cultivar_2_Cohort_Year_Selection=$Z$278), ROUND(MAX(0,AA$344 - 1),0),
IF(AND(OR(AB$279=123, AB$279=13, AB$279=23, AB$279=3), Cultivar_3_Cohort_Year_Selection=$Z$278), ROUND(MAX(0,AA$344 - 1),0),
ROUND(MAX(0,AA$344),0)))))))),""),""),"")</f>
        <v/>
      </c>
      <c r="AC367" s="93" t="str">
        <f>IF(ISNUMBER($B$345),
IF($C367&lt;&gt;"",
IF(AND(ISNUMBER(AA$280), ISNUMBER(AA$317)),
IF(AND(AC$279=123, Cultivar_1_Cohort_Year_Selection=$AA$278,Cultivar_2_Cohort_Year_Selection=$AA$278,Cultivar_3_Cohort_Year_Selection=$AA$278), ROUND(MAX(0,AB$344 - 3),0),
IF(AND(OR(AC$279=123, AC$279=12), Cultivar_1_Cohort_Year_Selection=$AA$278,Cultivar_2_Cohort_Year_Selection=$AA$278), ROUND(MAX(0,AB$344 - 2),0),
IF(AND(OR(AC$279=123, AC$279=13), Cultivar_1_Cohort_Year_Selection=$AA$278,Cultivar_3_Cohort_Year_Selection=$AA$278), ROUND(MAX(0,AB$344 - 2),0),
IF(AND(OR(AC$279=123, AC$279=23), Cultivar_2_Cohort_Year_Selection=$AA$278,Cultivar_3_Cohort_Year_Selection=$AA$278), ROUND(MAX(0,AB$344 - 2),0),
IF(AND(OR(AC$279=123, AC$279=12, AC$279=13, AC$279=1), Cultivar_1_Cohort_Year_Selection=$AA$278), ROUND(MAX(0,AB$344 - 1),0),
IF(AND(OR(AC$279=123, AC$279=12, AC$279=23, AC$279=2), Cultivar_2_Cohort_Year_Selection=$AA$278), ROUND(MAX(0,AB$344 - 1),0),
IF(AND(OR(AC$279=123, AC$279=13, AC$279=23, AC$279=3), Cultivar_3_Cohort_Year_Selection=$AA$278), ROUND(MAX(0,AB$344 - 1),0),
ROUND(MAX(0,AB$344),0)))))))),""),""),"")</f>
        <v/>
      </c>
      <c r="AD367" s="93" t="str">
        <f>IF(ISNUMBER($B$345),
IF($C367&lt;&gt;"",
IF(AND(ISNUMBER(AB$280), ISNUMBER(AB$317)),
IF(AND(AD$279=123, Cultivar_1_Cohort_Year_Selection=$AB$278,Cultivar_2_Cohort_Year_Selection=$AB$278,Cultivar_3_Cohort_Year_Selection=$AB$278), ROUND(MAX(0,AC$344 - 3),0),
IF(AND(OR(AD$279=123, AD$279=12), Cultivar_1_Cohort_Year_Selection=$AB$278,Cultivar_2_Cohort_Year_Selection=$AB$278), ROUND(MAX(0,AC$344 - 2),0),
IF(AND(OR(AD$279=123, AD$279=13), Cultivar_1_Cohort_Year_Selection=$AB$278,Cultivar_3_Cohort_Year_Selection=$AB$278), ROUND(MAX(0,AC$344 - 2),0),
IF(AND(OR(AD$279=123, AD$279=23), Cultivar_2_Cohort_Year_Selection=$AB$278,Cultivar_3_Cohort_Year_Selection=$AB$278), ROUND(MAX(0,AC$344 - 2),0),
IF(AND(OR(AD$279=123, AD$279=12, AD$279=13, AD$279=1), Cultivar_1_Cohort_Year_Selection=$AB$278), ROUND(MAX(0,AC$344 - 1),0),
IF(AND(OR(AD$279=123, AD$279=12, AD$279=23, AD$279=2), Cultivar_2_Cohort_Year_Selection=$AB$278), ROUND(MAX(0,AC$344 - 1),0),
IF(AND(OR(AD$279=123, AD$279=13, AD$279=23, AD$279=3), Cultivar_3_Cohort_Year_Selection=$AB$278), ROUND(MAX(0,AC$344 - 1),0),
ROUND(MAX(0,AC$344),0)))))))),""),""),"")</f>
        <v/>
      </c>
      <c r="AE367" s="93" t="str">
        <f>IF(ISNUMBER($B$345),
IF($C367&lt;&gt;"",
IF(AND(ISNUMBER(AC$280), ISNUMBER(AC$317)),
IF(AND(AE$279=123, Cultivar_1_Cohort_Year_Selection=$AC$278,Cultivar_2_Cohort_Year_Selection=$AC$278,Cultivar_3_Cohort_Year_Selection=$AC$278), ROUND(MAX(0,AD$344 - 3),0),
IF(AND(OR(AE$279=123, AE$279=12), Cultivar_1_Cohort_Year_Selection=$AC$278,Cultivar_2_Cohort_Year_Selection=$AC$278), ROUND(MAX(0,AD$344 - 2),0),
IF(AND(OR(AE$279=123, AE$279=13), Cultivar_1_Cohort_Year_Selection=$AC$278,Cultivar_3_Cohort_Year_Selection=$AC$278), ROUND(MAX(0,AD$344 - 2),0),
IF(AND(OR(AE$279=123, AE$279=23), Cultivar_2_Cohort_Year_Selection=$AC$278,Cultivar_3_Cohort_Year_Selection=$AC$278), ROUND(MAX(0,AD$344 - 2),0),
IF(AND(OR(AE$279=123, AE$279=12, AE$279=13, AE$279=1), Cultivar_1_Cohort_Year_Selection=$AC$278), ROUND(MAX(0,AD$344 - 1),0),
IF(AND(OR(AE$279=123, AE$279=12, AE$279=23, AE$279=2), Cultivar_2_Cohort_Year_Selection=$AC$278), ROUND(MAX(0,AD$344 - 1),0),
IF(AND(OR(AE$279=123, AE$279=13, AE$279=23, AE$279=3), Cultivar_3_Cohort_Year_Selection=$AC$278), ROUND(MAX(0,AD$344 - 1),0),
ROUND(MAX(0,AD$344),0)))))))),""),""),"")</f>
        <v/>
      </c>
      <c r="AF367" s="93" t="str">
        <f>IF(ISNUMBER($B$345),
IF($C367&lt;&gt;"",
IF(AND(ISNUMBER(AD$280), ISNUMBER(AD$317)),
IF(AND(AF$279=123, Cultivar_1_Cohort_Year_Selection=$AD$278,Cultivar_2_Cohort_Year_Selection=$AD$278,Cultivar_3_Cohort_Year_Selection=$AD$278), ROUND(MAX(0,AE$344 - 3),0),
IF(AND(OR(AF$279=123, AF$279=12), Cultivar_1_Cohort_Year_Selection=$AD$278,Cultivar_2_Cohort_Year_Selection=$AD$278), ROUND(MAX(0,AE$344 - 2),0),
IF(AND(OR(AF$279=123, AF$279=13), Cultivar_1_Cohort_Year_Selection=$AD$278,Cultivar_3_Cohort_Year_Selection=$AD$278), ROUND(MAX(0,AE$344 - 2),0),
IF(AND(OR(AF$279=123, AF$279=23), Cultivar_2_Cohort_Year_Selection=$AD$278,Cultivar_3_Cohort_Year_Selection=$AD$278), ROUND(MAX(0,AE$344 - 2),0),
IF(AND(OR(AF$279=123, AF$279=12, AF$279=13, AF$279=1), Cultivar_1_Cohort_Year_Selection=$AD$278), ROUND(MAX(0,AE$344 - 1),0),
IF(AND(OR(AF$279=123, AF$279=12, AF$279=23, AF$279=2), Cultivar_2_Cohort_Year_Selection=$AD$278), ROUND(MAX(0,AE$344 - 1),0),
IF(AND(OR(AF$279=123, AF$279=13, AF$279=23, AF$279=3), Cultivar_3_Cohort_Year_Selection=$AD$278), ROUND(MAX(0,AE$344 - 1),0),
ROUND(MAX(0,AE$344),0)))))))),""),""),"")</f>
        <v/>
      </c>
      <c r="AG367" s="93" t="str">
        <f>IF(ISNUMBER($B$345),
IF($C367&lt;&gt;"",
IF(AND(ISNUMBER(AE$280), ISNUMBER(AE$317)),
IF(AND(AG$279=123, Cultivar_1_Cohort_Year_Selection=$AE$278,Cultivar_2_Cohort_Year_Selection=$AE$278,Cultivar_3_Cohort_Year_Selection=$AE$278), ROUND(MAX(0,AF$344 - 3),0),
IF(AND(OR(AG$279=123, AG$279=12), Cultivar_1_Cohort_Year_Selection=$AE$278,Cultivar_2_Cohort_Year_Selection=$AE$278), ROUND(MAX(0,AF$344 - 2),0),
IF(AND(OR(AG$279=123, AG$279=13), Cultivar_1_Cohort_Year_Selection=$AE$278,Cultivar_3_Cohort_Year_Selection=$AE$278), ROUND(MAX(0,AF$344 - 2),0),
IF(AND(OR(AG$279=123, AG$279=23), Cultivar_2_Cohort_Year_Selection=$AE$278,Cultivar_3_Cohort_Year_Selection=$AE$278), ROUND(MAX(0,AF$344 - 2),0),
IF(AND(OR(AG$279=123, AG$279=12, AG$279=13, AG$279=1), Cultivar_1_Cohort_Year_Selection=$AE$278), ROUND(MAX(0,AF$344 - 1),0),
IF(AND(OR(AG$279=123, AG$279=12, AG$279=23, AG$279=2), Cultivar_2_Cohort_Year_Selection=$AE$278), ROUND(MAX(0,AF$344 - 1),0),
IF(AND(OR(AG$279=123, AG$279=13, AG$279=23, AG$279=3), Cultivar_3_Cohort_Year_Selection=$AE$278), ROUND(MAX(0,AF$344 - 1),0),
ROUND(MAX(0,AF$344),0)))))))),""),""),"")</f>
        <v/>
      </c>
      <c r="AH367" s="93" t="str">
        <f>IF(ISNUMBER($B$345),
IF($C367&lt;&gt;"",
IF(AND(ISNUMBER(AF$280), ISNUMBER(AF$317)),
IF(AND(AH$279=123, Cultivar_1_Cohort_Year_Selection=$AF$278,Cultivar_2_Cohort_Year_Selection=$AF$278,Cultivar_3_Cohort_Year_Selection=$AF$278), ROUND(MAX(0,AG$344 - 3),0),
IF(AND(OR(AH$279=123, AH$279=12), Cultivar_1_Cohort_Year_Selection=$AF$278,Cultivar_2_Cohort_Year_Selection=$AF$278), ROUND(MAX(0,AG$344 - 2),0),
IF(AND(OR(AH$279=123, AH$279=13), Cultivar_1_Cohort_Year_Selection=$AF$278,Cultivar_3_Cohort_Year_Selection=$AF$278), ROUND(MAX(0,AG$344 - 2),0),
IF(AND(OR(AH$279=123, AH$279=23), Cultivar_2_Cohort_Year_Selection=$AF$278,Cultivar_3_Cohort_Year_Selection=$AF$278), ROUND(MAX(0,AG$344 - 2),0),
IF(AND(OR(AH$279=123, AH$279=12, AH$279=13, AH$279=1), Cultivar_1_Cohort_Year_Selection=$AF$278), ROUND(MAX(0,AG$344 - 1),0),
IF(AND(OR(AH$279=123, AH$279=12, AH$279=23, AH$279=2), Cultivar_2_Cohort_Year_Selection=$AF$278), ROUND(MAX(0,AG$344 - 1),0),
IF(AND(OR(AH$279=123, AH$279=13, AH$279=23, AH$279=3), Cultivar_3_Cohort_Year_Selection=$AF$278), ROUND(MAX(0,AG$344 - 1),0),
ROUND(MAX(0,AG$344),0)))))))),""),""),"")</f>
        <v/>
      </c>
      <c r="AI367" s="93" t="str">
        <f>IF(ISNUMBER($B$345),
IF($C367&lt;&gt;"",
IF(AND(ISNUMBER(AG$280), ISNUMBER(AG$317)),
IF(AND(AI$279=123, Cultivar_1_Cohort_Year_Selection=$AG$278,Cultivar_2_Cohort_Year_Selection=$AG$278,Cultivar_3_Cohort_Year_Selection=$AG$278), ROUND(MAX(0,AH$344 - 3),0),
IF(AND(OR(AI$279=123, AI$279=12), Cultivar_1_Cohort_Year_Selection=$AG$278,Cultivar_2_Cohort_Year_Selection=$AG$278), ROUND(MAX(0,AH$344 - 2),0),
IF(AND(OR(AI$279=123, AI$279=13), Cultivar_1_Cohort_Year_Selection=$AG$278,Cultivar_3_Cohort_Year_Selection=$AG$278), ROUND(MAX(0,AH$344 - 2),0),
IF(AND(OR(AI$279=123, AI$279=23), Cultivar_2_Cohort_Year_Selection=$AG$278,Cultivar_3_Cohort_Year_Selection=$AG$278), ROUND(MAX(0,AH$344 - 2),0),
IF(AND(OR(AI$279=123, AI$279=12, AI$279=13, AI$279=1), Cultivar_1_Cohort_Year_Selection=$AG$278), ROUND(MAX(0,AH$344 - 1),0),
IF(AND(OR(AI$279=123, AI$279=12, AI$279=23, AI$279=2), Cultivar_2_Cohort_Year_Selection=$AG$278), ROUND(MAX(0,AH$344 - 1),0),
IF(AND(OR(AI$279=123, AI$279=13, AI$279=23, AI$279=3), Cultivar_3_Cohort_Year_Selection=$AG$278), ROUND(MAX(0,AH$344 - 1),0),
ROUND(MAX(0,AH$344),0)))))))),""),""),"")</f>
        <v/>
      </c>
      <c r="AJ367" s="93" t="str">
        <f>IF(ISNUMBER($B$345),
IF($C367&lt;&gt;"",
IF(AND(ISNUMBER(AH$280), ISNUMBER(AH$317)),
IF(AND(AJ$279=123, Cultivar_1_Cohort_Year_Selection=$AH$278,Cultivar_2_Cohort_Year_Selection=$AH$278,Cultivar_3_Cohort_Year_Selection=$AH$278), ROUND(MAX(0,AI$344 - 3),0),
IF(AND(OR(AJ$279=123, AJ$279=12), Cultivar_1_Cohort_Year_Selection=$AH$278,Cultivar_2_Cohort_Year_Selection=$AH$278), ROUND(MAX(0,AI$344 - 2),0),
IF(AND(OR(AJ$279=123, AJ$279=13), Cultivar_1_Cohort_Year_Selection=$AH$278,Cultivar_3_Cohort_Year_Selection=$AH$278), ROUND(MAX(0,AI$344 - 2),0),
IF(AND(OR(AJ$279=123, AJ$279=23), Cultivar_2_Cohort_Year_Selection=$AH$278,Cultivar_3_Cohort_Year_Selection=$AH$278), ROUND(MAX(0,AI$344 - 2),0),
IF(AND(OR(AJ$279=123, AJ$279=12, AJ$279=13, AJ$279=1), Cultivar_1_Cohort_Year_Selection=$AH$278), ROUND(MAX(0,AI$344 - 1),0),
IF(AND(OR(AJ$279=123, AJ$279=12, AJ$279=23, AJ$279=2), Cultivar_2_Cohort_Year_Selection=$AH$278), ROUND(MAX(0,AI$344 - 1),0),
IF(AND(OR(AJ$279=123, AJ$279=13, AJ$279=23, AJ$279=3), Cultivar_3_Cohort_Year_Selection=$AH$278), ROUND(MAX(0,AI$344 - 1),0),
ROUND(MAX(0,AI$344),0)))))))),""),""),"")</f>
        <v/>
      </c>
      <c r="AK367" s="93" t="str">
        <f>IF(ISNUMBER($B$345),
IF($C367&lt;&gt;"",
IF(AND(ISNUMBER(AI$280), ISNUMBER(AI$317)),
IF(AND(AK$279=123, Cultivar_1_Cohort_Year_Selection=$AI$278,Cultivar_2_Cohort_Year_Selection=$AI$278,Cultivar_3_Cohort_Year_Selection=$AI$278), ROUND(MAX(0,AJ$344 - 3),0),
IF(AND(OR(AK$279=123, AK$279=12), Cultivar_1_Cohort_Year_Selection=$AI$278,Cultivar_2_Cohort_Year_Selection=$AI$278), ROUND(MAX(0,AJ$344 - 2),0),
IF(AND(OR(AK$279=123, AK$279=13), Cultivar_1_Cohort_Year_Selection=$AI$278,Cultivar_3_Cohort_Year_Selection=$AI$278), ROUND(MAX(0,AJ$344 - 2),0),
IF(AND(OR(AK$279=123, AK$279=23), Cultivar_2_Cohort_Year_Selection=$AI$278,Cultivar_3_Cohort_Year_Selection=$AI$278), ROUND(MAX(0,AJ$344 - 2),0),
IF(AND(OR(AK$279=123, AK$279=12, AK$279=13, AK$279=1), Cultivar_1_Cohort_Year_Selection=$AI$278), ROUND(MAX(0,AJ$344 - 1),0),
IF(AND(OR(AK$279=123, AK$279=12, AK$279=23, AK$279=2), Cultivar_2_Cohort_Year_Selection=$AI$278), ROUND(MAX(0,AJ$344 - 1),0),
IF(AND(OR(AK$279=123, AK$279=13, AK$279=23, AK$279=3), Cultivar_3_Cohort_Year_Selection=$AI$278), ROUND(MAX(0,AJ$344 - 1),0),
ROUND(MAX(0,AJ$344),0)))))))),""),""),"")</f>
        <v/>
      </c>
      <c r="AL367" s="93" t="str">
        <f>IF(ISNUMBER($B$345),
IF($C367&lt;&gt;"",
IF(AND(ISNUMBER(AJ$280), ISNUMBER(AJ$317)),
IF(AND(AL$279=123, Cultivar_1_Cohort_Year_Selection=$AJ$278,Cultivar_2_Cohort_Year_Selection=$AJ$278,Cultivar_3_Cohort_Year_Selection=$AJ$278), ROUND(MAX(0,AK$344 - 3),0),
IF(AND(OR(AL$279=123, AL$279=12), Cultivar_1_Cohort_Year_Selection=$AJ$278,Cultivar_2_Cohort_Year_Selection=$AJ$278), ROUND(MAX(0,AK$344 - 2),0),
IF(AND(OR(AL$279=123, AL$279=13), Cultivar_1_Cohort_Year_Selection=$AJ$278,Cultivar_3_Cohort_Year_Selection=$AJ$278), ROUND(MAX(0,AK$344 - 2),0),
IF(AND(OR(AL$279=123, AL$279=23), Cultivar_2_Cohort_Year_Selection=$AJ$278,Cultivar_3_Cohort_Year_Selection=$AJ$278), ROUND(MAX(0,AK$344 - 2),0),
IF(AND(OR(AL$279=123, AL$279=12, AL$279=13, AL$279=1), Cultivar_1_Cohort_Year_Selection=$AJ$278), ROUND(MAX(0,AK$344 - 1),0),
IF(AND(OR(AL$279=123, AL$279=12, AL$279=23, AL$279=2), Cultivar_2_Cohort_Year_Selection=$AJ$278), ROUND(MAX(0,AK$344 - 1),0),
IF(AND(OR(AL$279=123, AL$279=13, AL$279=23, AL$279=3), Cultivar_3_Cohort_Year_Selection=$AJ$278), ROUND(MAX(0,AK$344 - 1),0),
ROUND(MAX(0,AK$344),0)))))))),""),""),"")</f>
        <v/>
      </c>
      <c r="AM367" s="93" t="str">
        <f>IF(ISNUMBER($B$345),
IF($C367&lt;&gt;"",
IF(AND(ISNUMBER(AK$280), ISNUMBER(AK$317)),
IF(AND(AM$279=123, Cultivar_1_Cohort_Year_Selection=$AK$278,Cultivar_2_Cohort_Year_Selection=$AK$278,Cultivar_3_Cohort_Year_Selection=$AK$278), ROUND(MAX(0,AL$344 - 3),0),
IF(AND(OR(AM$279=123, AM$279=12), Cultivar_1_Cohort_Year_Selection=$AK$278,Cultivar_2_Cohort_Year_Selection=$AK$278), ROUND(MAX(0,AL$344 - 2),0),
IF(AND(OR(AM$279=123, AM$279=13), Cultivar_1_Cohort_Year_Selection=$AK$278,Cultivar_3_Cohort_Year_Selection=$AK$278), ROUND(MAX(0,AL$344 - 2),0),
IF(AND(OR(AM$279=123, AM$279=23), Cultivar_2_Cohort_Year_Selection=$AK$278,Cultivar_3_Cohort_Year_Selection=$AK$278), ROUND(MAX(0,AL$344 - 2),0),
IF(AND(OR(AM$279=123, AM$279=12, AM$279=13, AM$279=1), Cultivar_1_Cohort_Year_Selection=$AK$278), ROUND(MAX(0,AL$344 - 1),0),
IF(AND(OR(AM$279=123, AM$279=12, AM$279=23, AM$279=2), Cultivar_2_Cohort_Year_Selection=$AK$278), ROUND(MAX(0,AL$344 - 1),0),
IF(AND(OR(AM$279=123, AM$279=13, AM$279=23, AM$279=3), Cultivar_3_Cohort_Year_Selection=$AK$278), ROUND(MAX(0,AL$344 - 1),0),
ROUND(MAX(0,AL$344),0)))))))),""),""),"")</f>
        <v/>
      </c>
      <c r="AN367" s="93" t="str">
        <f>IF(ISNUMBER($B$345),
IF($C367&lt;&gt;"",
IF(AND(ISNUMBER(AL$280), ISNUMBER(AL$317)),
IF(AND(AN$279=123, Cultivar_1_Cohort_Year_Selection=$AL$278,Cultivar_2_Cohort_Year_Selection=$AL$278,Cultivar_3_Cohort_Year_Selection=$AL$278), ROUND(MAX(0,AM$344 - 3),0),
IF(AND(OR(AN$279=123, AN$279=12), Cultivar_1_Cohort_Year_Selection=$AL$278,Cultivar_2_Cohort_Year_Selection=$AL$278), ROUND(MAX(0,AM$344 - 2),0),
IF(AND(OR(AN$279=123, AN$279=13), Cultivar_1_Cohort_Year_Selection=$AL$278,Cultivar_3_Cohort_Year_Selection=$AL$278), ROUND(MAX(0,AM$344 - 2),0),
IF(AND(OR(AN$279=123, AN$279=23), Cultivar_2_Cohort_Year_Selection=$AL$278,Cultivar_3_Cohort_Year_Selection=$AL$278), ROUND(MAX(0,AM$344 - 2),0),
IF(AND(OR(AN$279=123, AN$279=12, AN$279=13, AN$279=1), Cultivar_1_Cohort_Year_Selection=$AL$278), ROUND(MAX(0,AM$344 - 1),0),
IF(AND(OR(AN$279=123, AN$279=12, AN$279=23, AN$279=2), Cultivar_2_Cohort_Year_Selection=$AL$278), ROUND(MAX(0,AM$344 - 1),0),
IF(AND(OR(AN$279=123, AN$279=13, AN$279=23, AN$279=3), Cultivar_3_Cohort_Year_Selection=$AL$278), ROUND(MAX(0,AM$344 - 1),0),
ROUND(MAX(0,AM$344),0)))))))),""),""),"")</f>
        <v/>
      </c>
      <c r="AO367" s="93" t="str">
        <f>IF(ISNUMBER($B$345),
IF($C367&lt;&gt;"",
IF(AND(ISNUMBER(AM$280), ISNUMBER(AM$317)),
IF(AND(AO$279=123, Cultivar_1_Cohort_Year_Selection=$AM$278,Cultivar_2_Cohort_Year_Selection=$AM$278,Cultivar_3_Cohort_Year_Selection=$AM$278), ROUND(MAX(0,AN$344 - 3),0),
IF(AND(OR(AO$279=123, AO$279=12), Cultivar_1_Cohort_Year_Selection=$AM$278,Cultivar_2_Cohort_Year_Selection=$AM$278), ROUND(MAX(0,AN$344 - 2),0),
IF(AND(OR(AO$279=123, AO$279=13), Cultivar_1_Cohort_Year_Selection=$AM$278,Cultivar_3_Cohort_Year_Selection=$AM$278), ROUND(MAX(0,AN$344 - 2),0),
IF(AND(OR(AO$279=123, AO$279=23), Cultivar_2_Cohort_Year_Selection=$AM$278,Cultivar_3_Cohort_Year_Selection=$AM$278), ROUND(MAX(0,AN$344 - 2),0),
IF(AND(OR(AO$279=123, AO$279=12, AO$279=13, AO$279=1), Cultivar_1_Cohort_Year_Selection=$AM$278), ROUND(MAX(0,AN$344 - 1),0),
IF(AND(OR(AO$279=123, AO$279=12, AO$279=23, AO$279=2), Cultivar_2_Cohort_Year_Selection=$AM$278), ROUND(MAX(0,AN$344 - 1),0),
IF(AND(OR(AO$279=123, AO$279=13, AO$279=23, AO$279=3), Cultivar_3_Cohort_Year_Selection=$AM$278), ROUND(MAX(0,AN$344 - 1),0),
ROUND(MAX(0,AN$344),0)))))))),""),""),"")</f>
        <v/>
      </c>
      <c r="AP367" s="93" t="str">
        <f>IF(ISNUMBER($B$345),
IF($C367&lt;&gt;"",
IF(AND(ISNUMBER(AN$280), ISNUMBER(AN$317)),
IF(AND(AP$279=123, Cultivar_1_Cohort_Year_Selection=$AN$278,Cultivar_2_Cohort_Year_Selection=$AN$278,Cultivar_3_Cohort_Year_Selection=$AN$278), ROUND(MAX(0,AO$344 - 3),0),
IF(AND(OR(AP$279=123, AP$279=12), Cultivar_1_Cohort_Year_Selection=$AN$278,Cultivar_2_Cohort_Year_Selection=$AN$278), ROUND(MAX(0,AO$344 - 2),0),
IF(AND(OR(AP$279=123, AP$279=13), Cultivar_1_Cohort_Year_Selection=$AN$278,Cultivar_3_Cohort_Year_Selection=$AN$278), ROUND(MAX(0,AO$344 - 2),0),
IF(AND(OR(AP$279=123, AP$279=23), Cultivar_2_Cohort_Year_Selection=$AN$278,Cultivar_3_Cohort_Year_Selection=$AN$278), ROUND(MAX(0,AO$344 - 2),0),
IF(AND(OR(AP$279=123, AP$279=12, AP$279=13, AP$279=1), Cultivar_1_Cohort_Year_Selection=$AN$278), ROUND(MAX(0,AO$344 - 1),0),
IF(AND(OR(AP$279=123, AP$279=12, AP$279=23, AP$279=2), Cultivar_2_Cohort_Year_Selection=$AN$278), ROUND(MAX(0,AO$344 - 1),0),
IF(AND(OR(AP$279=123, AP$279=13, AP$279=23, AP$279=3), Cultivar_3_Cohort_Year_Selection=$AN$278), ROUND(MAX(0,AO$344 - 1),0),
ROUND(MAX(0,AO$344),0)))))))),""),""),"")</f>
        <v/>
      </c>
      <c r="AQ367" s="93" t="str">
        <f>IF(ISNUMBER($B$345),
IF($C367&lt;&gt;"",
IF(AND(ISNUMBER(AO$280), ISNUMBER(AO$317)),
IF(AND(AQ$279=123, Cultivar_1_Cohort_Year_Selection=$AO$278,Cultivar_2_Cohort_Year_Selection=$AO$278,Cultivar_3_Cohort_Year_Selection=$AO$278), ROUND(MAX(0,AP$344 - 3),0),
IF(AND(OR(AQ$279=123, AQ$279=12), Cultivar_1_Cohort_Year_Selection=$AO$278,Cultivar_2_Cohort_Year_Selection=$AO$278), ROUND(MAX(0,AP$344 - 2),0),
IF(AND(OR(AQ$279=123, AQ$279=13), Cultivar_1_Cohort_Year_Selection=$AO$278,Cultivar_3_Cohort_Year_Selection=$AO$278), ROUND(MAX(0,AP$344 - 2),0),
IF(AND(OR(AQ$279=123, AQ$279=23), Cultivar_2_Cohort_Year_Selection=$AO$278,Cultivar_3_Cohort_Year_Selection=$AO$278), ROUND(MAX(0,AP$344 - 2),0),
IF(AND(OR(AQ$279=123, AQ$279=12, AQ$279=13, AQ$279=1), Cultivar_1_Cohort_Year_Selection=$AO$278), ROUND(MAX(0,AP$344 - 1),0),
IF(AND(OR(AQ$279=123, AQ$279=12, AQ$279=23, AQ$279=2), Cultivar_2_Cohort_Year_Selection=$AO$278), ROUND(MAX(0,AP$344 - 1),0),
IF(AND(OR(AQ$279=123, AQ$279=13, AQ$279=23, AQ$279=3), Cultivar_3_Cohort_Year_Selection=$AO$278), ROUND(MAX(0,AP$344 - 1),0),
ROUND(MAX(0,AP$344),0)))))))),""),""),"")</f>
        <v/>
      </c>
      <c r="AR367" s="93" t="str">
        <f>IF(ISNUMBER($B$345),
IF($C367&lt;&gt;"",
IF(AND(ISNUMBER(AP$280), ISNUMBER(AP$317)),
IF(AND(AR$279=123, Cultivar_1_Cohort_Year_Selection=$AP$278,Cultivar_2_Cohort_Year_Selection=$AP$278,Cultivar_3_Cohort_Year_Selection=$AP$278), ROUND(MAX(0,AQ$344 - 3),0),
IF(AND(OR(AR$279=123, AR$279=12), Cultivar_1_Cohort_Year_Selection=$AP$278,Cultivar_2_Cohort_Year_Selection=$AP$278), ROUND(MAX(0,AQ$344 - 2),0),
IF(AND(OR(AR$279=123, AR$279=13), Cultivar_1_Cohort_Year_Selection=$AP$278,Cultivar_3_Cohort_Year_Selection=$AP$278), ROUND(MAX(0,AQ$344 - 2),0),
IF(AND(OR(AR$279=123, AR$279=23), Cultivar_2_Cohort_Year_Selection=$AP$278,Cultivar_3_Cohort_Year_Selection=$AP$278), ROUND(MAX(0,AQ$344 - 2),0),
IF(AND(OR(AR$279=123, AR$279=12, AR$279=13, AR$279=1), Cultivar_1_Cohort_Year_Selection=$AP$278), ROUND(MAX(0,AQ$344 - 1),0),
IF(AND(OR(AR$279=123, AR$279=12, AR$279=23, AR$279=2), Cultivar_2_Cohort_Year_Selection=$AP$278), ROUND(MAX(0,AQ$344 - 1),0),
IF(AND(OR(AR$279=123, AR$279=13, AR$279=23, AR$279=3), Cultivar_3_Cohort_Year_Selection=$AP$278), ROUND(MAX(0,AQ$344 - 1),0),
ROUND(MAX(0,AQ$344),0)))))))),""),""),"")</f>
        <v/>
      </c>
    </row>
    <row r="368" spans="1:45" ht="6.6" customHeight="1" thickBot="1" x14ac:dyDescent="0.3">
      <c r="A368" s="213"/>
      <c r="B368" s="277"/>
      <c r="C368" s="136"/>
      <c r="D368" s="270"/>
      <c r="E368" s="270"/>
      <c r="F368" s="270"/>
      <c r="G368" s="278"/>
      <c r="H368" s="270"/>
      <c r="I368" s="270"/>
      <c r="J368" s="270"/>
      <c r="K368" s="270"/>
      <c r="L368" s="279"/>
      <c r="M368" s="279"/>
      <c r="N368" s="280"/>
      <c r="O368" s="280"/>
      <c r="P368" s="280"/>
      <c r="Q368" s="270" t="str">
        <f>IF(ISNUMBER($B$345),
IF(AND(ISNUMBER(P$344), P$344&gt;0),
IF(AND(Q$279=123, Cultivar_1_Cohort_Year_Selection=$O$278,Cultivar_2_Cohort_Year_Selection=$O$278,Cultivar_3_Cohort_Year_Selection=$O$278), ROUND(MAX(0,(P$344-('Stage 2 Randomized Selection'!F$2*$M345)) - 3),0),
IF(AND(OR(Q$279=123, Q$279=12), Cultivar_1_Cohort_Year_Selection=$O$278,Cultivar_2_Cohort_Year_Selection=$O$278),  ROUND(MAX(0,(P$344-('Stage 2 Randomized Selection'!E$2*$M345)) - 2),0),
IF(AND(OR(Q$279=123, Q$279=13), Cultivar_1_Cohort_Year_Selection=$O$278,Cultivar_3_Cohort_Year_Selection=$O$278), ROUND(MAX(0,(P$344-('Stage 2 Randomized Selection'!E$2*$M345)) - 2),0),
IF(AND(OR(Q$279=123, Q$279=23), Cultivar_2_Cohort_Year_Selection=$O$278,Cultivar_3_Cohort_Year_Selection=$O$278), ROUND(MAX(0,(P$344-('Stage 2 Randomized Selection'!E$2*$M345)) - 2),0),
IF(AND(OR(Q$279=123, Q$279=12, Q$279=13, Q$279=1), Cultivar_1_Cohort_Year_Selection=$O$278), ROUND(MAX(0,(P$344-('Stage 2 Randomized Selection'!E$2*$M345)) - 1),0),
IF(AND(OR(Q$279=123, Q$279=12, Q$279=23, Q$279=2), Cultivar_2_Cohort_Year_Selection=$O$278), ROUND(MAX(0,(P$344-('Stage 2 Randomized Selection'!E$2*$M345)) - 1),0),
IF(AND(OR(Q$279=123, Q$279=13, Q$279=23, Q$279=3), Cultivar_3_Cohort_Year_Selection=$O$278), ROUND(MAX(0,(P$344-('Stage 2 Randomized Selection'!E$2*$M345)) - 1),0),
ROUND(MAX(0,(P$344-('Stage 2 Randomized Selection'!E$2*$M345))),0)))))))),0),"")</f>
        <v/>
      </c>
      <c r="R368" s="270" t="str">
        <f>IF(ISNUMBER($B$345),
IF(AND(ISNUMBER(Q$344), Q$344&gt;0),
IF(AND(R$279=123, Cultivar_1_Cohort_Year_Selection=$P$278,Cultivar_2_Cohort_Year_Selection=$P$278,Cultivar_3_Cohort_Year_Selection=$P$278), ROUND(MAX(0,(Q$344-('Stage 2 Randomized Selection'!G$2*$M345)) - 3),0),
IF(AND(OR(R$279=123, R$279=12), Cultivar_1_Cohort_Year_Selection=$P$278,Cultivar_2_Cohort_Year_Selection=$P$278),  ROUND(MAX(0,(Q$344-('Stage 2 Randomized Selection'!F$2*$M345)) - 2),0),
IF(AND(OR(R$279=123, R$279=13), Cultivar_1_Cohort_Year_Selection=$P$278,Cultivar_3_Cohort_Year_Selection=$P$278), ROUND(MAX(0,(Q$344-('Stage 2 Randomized Selection'!F$2*$M345)) - 2),0),
IF(AND(OR(R$279=123, R$279=23), Cultivar_2_Cohort_Year_Selection=$P$278,Cultivar_3_Cohort_Year_Selection=$P$278), ROUND(MAX(0,(Q$344-('Stage 2 Randomized Selection'!F$2*$M345)) - 2),0),
IF(AND(OR(R$279=123, R$279=12, R$279=13, R$279=1), Cultivar_1_Cohort_Year_Selection=$P$278), ROUND(MAX(0,(Q$344-('Stage 2 Randomized Selection'!F$2*$M345)) - 1),0),
IF(AND(OR(R$279=123, R$279=12, R$279=23, R$279=2), Cultivar_2_Cohort_Year_Selection=$P$278), ROUND(MAX(0,(Q$344-('Stage 2 Randomized Selection'!F$2*$M345)) - 1),0),
IF(AND(OR(R$279=123, R$279=13, R$279=23, R$279=3), Cultivar_3_Cohort_Year_Selection=$P$278), ROUND(MAX(0,(Q$344-('Stage 2 Randomized Selection'!F$2*$M345)) - 1),0),
ROUND(MAX(0,(Q$344-('Stage 2 Randomized Selection'!F$2*$M345))),0)))))))),0),"")</f>
        <v/>
      </c>
      <c r="S368" s="270" t="str">
        <f>IF(ISNUMBER($B$345),
IF(AND(ISNUMBER(R$344), R$344&gt;0),
IF(AND(S$279=123, Cultivar_1_Cohort_Year_Selection=$Q$278,Cultivar_2_Cohort_Year_Selection=$Q$278,Cultivar_3_Cohort_Year_Selection=$Q$278), ROUND(MAX(0,(R$344-('Stage 2 Randomized Selection'!H$2*$M345)) - 3),0),
IF(AND(OR(S$279=123, S$279=12), Cultivar_1_Cohort_Year_Selection=$Q$278,Cultivar_2_Cohort_Year_Selection=$Q$278),  ROUND(MAX(0,(R$344-('Stage 2 Randomized Selection'!G$2*$M345)) - 2),0),
IF(AND(OR(S$279=123, S$279=13), Cultivar_1_Cohort_Year_Selection=$Q$278,Cultivar_3_Cohort_Year_Selection=$Q$278), ROUND(MAX(0,(R$344-('Stage 2 Randomized Selection'!G$2*$M345)) - 2),0),
IF(AND(OR(S$279=123, S$279=23), Cultivar_2_Cohort_Year_Selection=$Q$278,Cultivar_3_Cohort_Year_Selection=$Q$278), ROUND(MAX(0,(R$344-('Stage 2 Randomized Selection'!G$2*$M345)) - 2),0),
IF(AND(OR(S$279=123, S$279=12, S$279=13, S$279=1), Cultivar_1_Cohort_Year_Selection=$Q$278), ROUND(MAX(0,(R$344-('Stage 2 Randomized Selection'!G$2*$M345)) - 1),0),
IF(AND(OR(S$279=123, S$279=12, S$279=23, S$279=2), Cultivar_2_Cohort_Year_Selection=$Q$278), ROUND(MAX(0,(R$344-('Stage 2 Randomized Selection'!G$2*$M345)) - 1),0),
IF(AND(OR(S$279=123, S$279=13, S$279=23, S$279=3), Cultivar_3_Cohort_Year_Selection=$Q$278), ROUND(MAX(0,(R$344-('Stage 2 Randomized Selection'!G$2*$M345)) - 1),0),
ROUND(MAX(0,(R$344-('Stage 2 Randomized Selection'!G$2*$M345))),0)))))))),0),"")</f>
        <v/>
      </c>
      <c r="T368" s="270" t="str">
        <f>IF(ISNUMBER($B$345),
IF(AND(ISNUMBER(S$344), S$344&gt;0),
IF(AND(T$279=123, Cultivar_1_Cohort_Year_Selection=$R$278,Cultivar_2_Cohort_Year_Selection=$R$278,Cultivar_3_Cohort_Year_Selection=$R$278), ROUND(MAX(0,(S$344-('Stage 2 Randomized Selection'!I$2*$M345)) - 3),0),
IF(AND(OR(T$279=123, T$279=12), Cultivar_1_Cohort_Year_Selection=$R$278,Cultivar_2_Cohort_Year_Selection=$R$278),  ROUND(MAX(0,(S$344-('Stage 2 Randomized Selection'!H$2*$M345)) - 2),0),
IF(AND(OR(T$279=123, T$279=13), Cultivar_1_Cohort_Year_Selection=$R$278,Cultivar_3_Cohort_Year_Selection=$R$278), ROUND(MAX(0,(S$344-('Stage 2 Randomized Selection'!H$2*$M345)) - 2),0),
IF(AND(OR(T$279=123, T$279=23), Cultivar_2_Cohort_Year_Selection=$R$278,Cultivar_3_Cohort_Year_Selection=$R$278), ROUND(MAX(0,(S$344-('Stage 2 Randomized Selection'!H$2*$M345)) - 2),0),
IF(AND(OR(T$279=123, T$279=12, T$279=13, T$279=1), Cultivar_1_Cohort_Year_Selection=$R$278), ROUND(MAX(0,(S$344-('Stage 2 Randomized Selection'!H$2*$M345)) - 1),0),
IF(AND(OR(T$279=123, T$279=12, T$279=23, T$279=2), Cultivar_2_Cohort_Year_Selection=$R$278), ROUND(MAX(0,(S$344-('Stage 2 Randomized Selection'!H$2*$M345)) - 1),0),
IF(AND(OR(T$279=123, T$279=13, T$279=23, T$279=3), Cultivar_3_Cohort_Year_Selection=$R$278), ROUND(MAX(0,(S$344-('Stage 2 Randomized Selection'!H$2*$M345)) - 1),0),
ROUND(MAX(0,(S$344-('Stage 2 Randomized Selection'!H$2*$M345))),0)))))))),0),"")</f>
        <v/>
      </c>
      <c r="U368" s="270" t="str">
        <f>IF(ISNUMBER($B$345),
IF(AND(ISNUMBER(T$344), T$344&gt;0),
IF(AND(U$279=123, Cultivar_1_Cohort_Year_Selection=$S$278,Cultivar_2_Cohort_Year_Selection=$S$278,Cultivar_3_Cohort_Year_Selection=$S$278), ROUND(MAX(0,(T$344-('Stage 2 Randomized Selection'!J$2*$M345)) - 3),0),
IF(AND(OR(U$279=123, U$279=12), Cultivar_1_Cohort_Year_Selection=$S$278,Cultivar_2_Cohort_Year_Selection=$S$278),  ROUND(MAX(0,(T$344-('Stage 2 Randomized Selection'!I$2*$M345)) - 2),0),
IF(AND(OR(U$279=123, U$279=13), Cultivar_1_Cohort_Year_Selection=$S$278,Cultivar_3_Cohort_Year_Selection=$S$278), ROUND(MAX(0,(T$344-('Stage 2 Randomized Selection'!I$2*$M345)) - 2),0),
IF(AND(OR(U$279=123, U$279=23), Cultivar_2_Cohort_Year_Selection=$S$278,Cultivar_3_Cohort_Year_Selection=$S$278), ROUND(MAX(0,(T$344-('Stage 2 Randomized Selection'!I$2*$M345)) - 2),0),
IF(AND(OR(U$279=123, U$279=12, U$279=13, U$279=1), Cultivar_1_Cohort_Year_Selection=$S$278), ROUND(MAX(0,(T$344-('Stage 2 Randomized Selection'!I$2*$M345)) - 1),0),
IF(AND(OR(U$279=123, U$279=12, U$279=23, U$279=2), Cultivar_2_Cohort_Year_Selection=$S$278), ROUND(MAX(0,(T$344-('Stage 2 Randomized Selection'!I$2*$M345)) - 1),0),
IF(AND(OR(U$279=123, U$279=13, U$279=23, U$279=3), Cultivar_3_Cohort_Year_Selection=$S$278), ROUND(MAX(0,(T$344-('Stage 2 Randomized Selection'!I$2*$M345)) - 1),0),
ROUND(MAX(0,(T$344-('Stage 2 Randomized Selection'!I$2*$M345))),0)))))))),0),"")</f>
        <v/>
      </c>
      <c r="V368" s="270" t="str">
        <f>IF(ISNUMBER($B$345),
IF(AND(ISNUMBER(U$344), U$344&gt;0),
IF(AND(V$279=123, Cultivar_1_Cohort_Year_Selection=$T$278,Cultivar_2_Cohort_Year_Selection=$T$278,Cultivar_3_Cohort_Year_Selection=$T$278), ROUND(MAX(0,(U$344-('Stage 2 Randomized Selection'!K$2*$M345)) - 3),0),
IF(AND(OR(V$279=123, V$279=12), Cultivar_1_Cohort_Year_Selection=$T$278,Cultivar_2_Cohort_Year_Selection=$T$278),  ROUND(MAX(0,(U$344-('Stage 2 Randomized Selection'!J$2*$M345)) - 2),0),
IF(AND(OR(V$279=123, V$279=13), Cultivar_1_Cohort_Year_Selection=$T$278,Cultivar_3_Cohort_Year_Selection=$T$278), ROUND(MAX(0,(U$344-('Stage 2 Randomized Selection'!J$2*$M345)) - 2),0),
IF(AND(OR(V$279=123, V$279=23), Cultivar_2_Cohort_Year_Selection=$T$278,Cultivar_3_Cohort_Year_Selection=$T$278), ROUND(MAX(0,(U$344-('Stage 2 Randomized Selection'!J$2*$M345)) - 2),0),
IF(AND(OR(V$279=123, V$279=12, V$279=13, V$279=1), Cultivar_1_Cohort_Year_Selection=$T$278), ROUND(MAX(0,(U$344-('Stage 2 Randomized Selection'!J$2*$M345)) - 1),0),
IF(AND(OR(V$279=123, V$279=12, V$279=23, V$279=2), Cultivar_2_Cohort_Year_Selection=$T$278), ROUND(MAX(0,(U$344-('Stage 2 Randomized Selection'!J$2*$M345)) - 1),0),
IF(AND(OR(V$279=123, V$279=13, V$279=23, V$279=3), Cultivar_3_Cohort_Year_Selection=$T$278), ROUND(MAX(0,(U$344-('Stage 2 Randomized Selection'!J$2*$M345)) - 1),0),
ROUND(MAX(0,(U$344-('Stage 2 Randomized Selection'!J$2*$M345))),0)))))))),0),"")</f>
        <v/>
      </c>
      <c r="W368" s="270" t="str">
        <f>IF(ISNUMBER($B$345),
IF(AND(ISNUMBER(V$344), V$344&gt;0),
IF(AND(W$279=123, Cultivar_1_Cohort_Year_Selection=$U$278,Cultivar_2_Cohort_Year_Selection=$U$278,Cultivar_3_Cohort_Year_Selection=$U$278), ROUND(MAX(0,(V$344-('Stage 2 Randomized Selection'!L$2*$M345)) - 3),0),
IF(AND(OR(W$279=123, W$279=12), Cultivar_1_Cohort_Year_Selection=$U$278,Cultivar_2_Cohort_Year_Selection=$U$278),  ROUND(MAX(0,(V$344-('Stage 2 Randomized Selection'!K$2*$M345)) - 2),0),
IF(AND(OR(W$279=123, W$279=13), Cultivar_1_Cohort_Year_Selection=$U$278,Cultivar_3_Cohort_Year_Selection=$U$278), ROUND(MAX(0,(V$344-('Stage 2 Randomized Selection'!K$2*$M345)) - 2),0),
IF(AND(OR(W$279=123, W$279=23), Cultivar_2_Cohort_Year_Selection=$U$278,Cultivar_3_Cohort_Year_Selection=$U$278), ROUND(MAX(0,(V$344-('Stage 2 Randomized Selection'!K$2*$M345)) - 2),0),
IF(AND(OR(W$279=123, W$279=12, W$279=13, W$279=1), Cultivar_1_Cohort_Year_Selection=$U$278), ROUND(MAX(0,(V$344-('Stage 2 Randomized Selection'!K$2*$M345)) - 1),0),
IF(AND(OR(W$279=123, W$279=12, W$279=23, W$279=2), Cultivar_2_Cohort_Year_Selection=$U$278), ROUND(MAX(0,(V$344-('Stage 2 Randomized Selection'!K$2*$M345)) - 1),0),
IF(AND(OR(W$279=123, W$279=13, W$279=23, W$279=3), Cultivar_3_Cohort_Year_Selection=$U$278), ROUND(MAX(0,(V$344-('Stage 2 Randomized Selection'!K$2*$M345)) - 1),0),
ROUND(MAX(0,(V$344-('Stage 2 Randomized Selection'!K$2*$M345))),0)))))))),0),"")</f>
        <v/>
      </c>
      <c r="X368" s="270" t="str">
        <f>IF(ISNUMBER($B$345),
IF(AND(ISNUMBER(W$344), W$344&gt;0),
IF(AND(X$279=123, Cultivar_1_Cohort_Year_Selection=$V$278,Cultivar_2_Cohort_Year_Selection=$V$278,Cultivar_3_Cohort_Year_Selection=$V$278), ROUND(MAX(0,(W$344-('Stage 2 Randomized Selection'!M$2*$M345)) - 3),0),
IF(AND(OR(X$279=123, X$279=12), Cultivar_1_Cohort_Year_Selection=$V$278,Cultivar_2_Cohort_Year_Selection=$V$278),  ROUND(MAX(0,(W$344-('Stage 2 Randomized Selection'!L$2*$M345)) - 2),0),
IF(AND(OR(X$279=123, X$279=13), Cultivar_1_Cohort_Year_Selection=$V$278,Cultivar_3_Cohort_Year_Selection=$V$278), ROUND(MAX(0,(W$344-('Stage 2 Randomized Selection'!L$2*$M345)) - 2),0),
IF(AND(OR(X$279=123, X$279=23), Cultivar_2_Cohort_Year_Selection=$V$278,Cultivar_3_Cohort_Year_Selection=$V$278), ROUND(MAX(0,(W$344-('Stage 2 Randomized Selection'!L$2*$M345)) - 2),0),
IF(AND(OR(X$279=123, X$279=12, X$279=13, X$279=1), Cultivar_1_Cohort_Year_Selection=$V$278), ROUND(MAX(0,(W$344-('Stage 2 Randomized Selection'!L$2*$M345)) - 1),0),
IF(AND(OR(X$279=123, X$279=12, X$279=23, X$279=2), Cultivar_2_Cohort_Year_Selection=$V$278), ROUND(MAX(0,(W$344-('Stage 2 Randomized Selection'!L$2*$M345)) - 1),0),
IF(AND(OR(X$279=123, X$279=13, X$279=23, X$279=3), Cultivar_3_Cohort_Year_Selection=$V$278), ROUND(MAX(0,(W$344-('Stage 2 Randomized Selection'!L$2*$M345)) - 1),0),
ROUND(MAX(0,(W$344-('Stage 2 Randomized Selection'!L$2*$M345))),0)))))))),0),"")</f>
        <v/>
      </c>
      <c r="Y368" s="270" t="str">
        <f>IF(ISNUMBER($B$345),
IF(AND(ISNUMBER(X$344), X$344&gt;0),
IF(AND(Y$279=123, Cultivar_1_Cohort_Year_Selection=$W$278,Cultivar_2_Cohort_Year_Selection=$W$278,Cultivar_3_Cohort_Year_Selection=$W$278), ROUND(MAX(0,(X$344-('Stage 2 Randomized Selection'!N$2*$M345)) - 3),0),
IF(AND(OR(Y$279=123, Y$279=12), Cultivar_1_Cohort_Year_Selection=$W$278,Cultivar_2_Cohort_Year_Selection=$W$278),  ROUND(MAX(0,(X$344-('Stage 2 Randomized Selection'!M$2*$M345)) - 2),0),
IF(AND(OR(Y$279=123, Y$279=13), Cultivar_1_Cohort_Year_Selection=$W$278,Cultivar_3_Cohort_Year_Selection=$W$278), ROUND(MAX(0,(X$344-('Stage 2 Randomized Selection'!M$2*$M345)) - 2),0),
IF(AND(OR(Y$279=123, Y$279=23), Cultivar_2_Cohort_Year_Selection=$W$278,Cultivar_3_Cohort_Year_Selection=$W$278), ROUND(MAX(0,(X$344-('Stage 2 Randomized Selection'!M$2*$M345)) - 2),0),
IF(AND(OR(Y$279=123, Y$279=12, Y$279=13, Y$279=1), Cultivar_1_Cohort_Year_Selection=$W$278), ROUND(MAX(0,(X$344-('Stage 2 Randomized Selection'!M$2*$M345)) - 1),0),
IF(AND(OR(Y$279=123, Y$279=12, Y$279=23, Y$279=2), Cultivar_2_Cohort_Year_Selection=$W$278), ROUND(MAX(0,(X$344-('Stage 2 Randomized Selection'!M$2*$M345)) - 1),0),
IF(AND(OR(Y$279=123, Y$279=13, Y$279=23, Y$279=3), Cultivar_3_Cohort_Year_Selection=$W$278), ROUND(MAX(0,(X$344-('Stage 2 Randomized Selection'!M$2*$M345)) - 1),0),
ROUND(MAX(0,(X$344-('Stage 2 Randomized Selection'!M$2*$M345))),0)))))))),0),"")</f>
        <v/>
      </c>
      <c r="Z368" s="270" t="str">
        <f>IF(ISNUMBER($B$345),
IF(AND(ISNUMBER(Y$344), Y$344&gt;0),
IF(AND(Z$279=123, Cultivar_1_Cohort_Year_Selection=$X$278,Cultivar_2_Cohort_Year_Selection=$X$278,Cultivar_3_Cohort_Year_Selection=$X$278), ROUND(MAX(0,(Y$344-('Stage 2 Randomized Selection'!O$2*$M345)) - 3),0),
IF(AND(OR(Z$279=123, Z$279=12), Cultivar_1_Cohort_Year_Selection=$X$278,Cultivar_2_Cohort_Year_Selection=$X$278),  ROUND(MAX(0,(Y$344-('Stage 2 Randomized Selection'!N$2*$M345)) - 2),0),
IF(AND(OR(Z$279=123, Z$279=13), Cultivar_1_Cohort_Year_Selection=$X$278,Cultivar_3_Cohort_Year_Selection=$X$278), ROUND(MAX(0,(Y$344-('Stage 2 Randomized Selection'!N$2*$M345)) - 2),0),
IF(AND(OR(Z$279=123, Z$279=23), Cultivar_2_Cohort_Year_Selection=$X$278,Cultivar_3_Cohort_Year_Selection=$X$278), ROUND(MAX(0,(Y$344-('Stage 2 Randomized Selection'!N$2*$M345)) - 2),0),
IF(AND(OR(Z$279=123, Z$279=12, Z$279=13, Z$279=1), Cultivar_1_Cohort_Year_Selection=$X$278), ROUND(MAX(0,(Y$344-('Stage 2 Randomized Selection'!N$2*$M345)) - 1),0),
IF(AND(OR(Z$279=123, Z$279=12, Z$279=23, Z$279=2), Cultivar_2_Cohort_Year_Selection=$X$278), ROUND(MAX(0,(Y$344-('Stage 2 Randomized Selection'!N$2*$M345)) - 1),0),
IF(AND(OR(Z$279=123, Z$279=13, Z$279=23, Z$279=3), Cultivar_3_Cohort_Year_Selection=$X$278), ROUND(MAX(0,(Y$344-('Stage 2 Randomized Selection'!N$2*$M345)) - 1),0),
ROUND(MAX(0,(Y$344-('Stage 2 Randomized Selection'!N$2*$M345))),0)))))))),0),"")</f>
        <v/>
      </c>
      <c r="AA368" s="270" t="str">
        <f>IF(ISNUMBER($B$345),
IF(AND(ISNUMBER(Z$344), Z$344&gt;0),
IF(AND(AA$279=123, Cultivar_1_Cohort_Year_Selection=$Y$278,Cultivar_2_Cohort_Year_Selection=$Y$278,Cultivar_3_Cohort_Year_Selection=$Y$278), ROUND(MAX(0,(Z$344-('Stage 2 Randomized Selection'!P$2*$M345)) - 3),0),
IF(AND(OR(AA$279=123, AA$279=12), Cultivar_1_Cohort_Year_Selection=$Y$278,Cultivar_2_Cohort_Year_Selection=$Y$278),  ROUND(MAX(0,(Z$344-('Stage 2 Randomized Selection'!O$2*$M345)) - 2),0),
IF(AND(OR(AA$279=123, AA$279=13), Cultivar_1_Cohort_Year_Selection=$Y$278,Cultivar_3_Cohort_Year_Selection=$Y$278), ROUND(MAX(0,(Z$344-('Stage 2 Randomized Selection'!O$2*$M345)) - 2),0),
IF(AND(OR(AA$279=123, AA$279=23), Cultivar_2_Cohort_Year_Selection=$Y$278,Cultivar_3_Cohort_Year_Selection=$Y$278), ROUND(MAX(0,(Z$344-('Stage 2 Randomized Selection'!O$2*$M345)) - 2),0),
IF(AND(OR(AA$279=123, AA$279=12, AA$279=13, AA$279=1), Cultivar_1_Cohort_Year_Selection=$Y$278), ROUND(MAX(0,(Z$344-('Stage 2 Randomized Selection'!O$2*$M345)) - 1),0),
IF(AND(OR(AA$279=123, AA$279=12, AA$279=23, AA$279=2), Cultivar_2_Cohort_Year_Selection=$Y$278), ROUND(MAX(0,(Z$344-('Stage 2 Randomized Selection'!O$2*$M345)) - 1),0),
IF(AND(OR(AA$279=123, AA$279=13, AA$279=23, AA$279=3), Cultivar_3_Cohort_Year_Selection=$Y$278), ROUND(MAX(0,(Z$344-('Stage 2 Randomized Selection'!O$2*$M345)) - 1),0),
ROUND(MAX(0,(Z$344-('Stage 2 Randomized Selection'!O$2*$M345))),0)))))))),0),"")</f>
        <v/>
      </c>
      <c r="AB368" s="270" t="str">
        <f>IF(ISNUMBER($B$345),
IF(AND(ISNUMBER(AA$344), AA$344&gt;0),
IF(AND(AB$279=123, Cultivar_1_Cohort_Year_Selection=$Z$278,Cultivar_2_Cohort_Year_Selection=$Z$278,Cultivar_3_Cohort_Year_Selection=$Z$278), ROUND(MAX(0,(AA$344-('Stage 2 Randomized Selection'!Q$2*$M345)) - 3),0),
IF(AND(OR(AB$279=123, AB$279=12), Cultivar_1_Cohort_Year_Selection=$Z$278,Cultivar_2_Cohort_Year_Selection=$Z$278),  ROUND(MAX(0,(AA$344-('Stage 2 Randomized Selection'!P$2*$M345)) - 2),0),
IF(AND(OR(AB$279=123, AB$279=13), Cultivar_1_Cohort_Year_Selection=$Z$278,Cultivar_3_Cohort_Year_Selection=$Z$278), ROUND(MAX(0,(AA$344-('Stage 2 Randomized Selection'!P$2*$M345)) - 2),0),
IF(AND(OR(AB$279=123, AB$279=23), Cultivar_2_Cohort_Year_Selection=$Z$278,Cultivar_3_Cohort_Year_Selection=$Z$278), ROUND(MAX(0,(AA$344-('Stage 2 Randomized Selection'!P$2*$M345)) - 2),0),
IF(AND(OR(AB$279=123, AB$279=12, AB$279=13, AB$279=1), Cultivar_1_Cohort_Year_Selection=$Z$278), ROUND(MAX(0,(AA$344-('Stage 2 Randomized Selection'!P$2*$M345)) - 1),0),
IF(AND(OR(AB$279=123, AB$279=12, AB$279=23, AB$279=2), Cultivar_2_Cohort_Year_Selection=$Z$278), ROUND(MAX(0,(AA$344-('Stage 2 Randomized Selection'!P$2*$M345)) - 1),0),
IF(AND(OR(AB$279=123, AB$279=13, AB$279=23, AB$279=3), Cultivar_3_Cohort_Year_Selection=$Z$278), ROUND(MAX(0,(AA$344-('Stage 2 Randomized Selection'!P$2*$M345)) - 1),0),
ROUND(MAX(0,(AA$344-('Stage 2 Randomized Selection'!P$2*$M345))),0)))))))),0),"")</f>
        <v/>
      </c>
      <c r="AC368" s="270" t="str">
        <f>IF(ISNUMBER($B$345),
IF(AND(ISNUMBER(AB$344), AB$344&gt;0),
IF(AND(AC$279=123, Cultivar_1_Cohort_Year_Selection=$AA$278,Cultivar_2_Cohort_Year_Selection=$AA$278,Cultivar_3_Cohort_Year_Selection=$AA$278), ROUND(MAX(0,(AB$344-('Stage 2 Randomized Selection'!R$2*$M345)) - 3),0),
IF(AND(OR(AC$279=123, AC$279=12), Cultivar_1_Cohort_Year_Selection=$AA$278,Cultivar_2_Cohort_Year_Selection=$AA$278),  ROUND(MAX(0,(AB$344-('Stage 2 Randomized Selection'!Q$2*$M345)) - 2),0),
IF(AND(OR(AC$279=123, AC$279=13), Cultivar_1_Cohort_Year_Selection=$AA$278,Cultivar_3_Cohort_Year_Selection=$AA$278), ROUND(MAX(0,(AB$344-('Stage 2 Randomized Selection'!Q$2*$M345)) - 2),0),
IF(AND(OR(AC$279=123, AC$279=23), Cultivar_2_Cohort_Year_Selection=$AA$278,Cultivar_3_Cohort_Year_Selection=$AA$278), ROUND(MAX(0,(AB$344-('Stage 2 Randomized Selection'!Q$2*$M345)) - 2),0),
IF(AND(OR(AC$279=123, AC$279=12, AC$279=13, AC$279=1), Cultivar_1_Cohort_Year_Selection=$AA$278), ROUND(MAX(0,(AB$344-('Stage 2 Randomized Selection'!Q$2*$M345)) - 1),0),
IF(AND(OR(AC$279=123, AC$279=12, AC$279=23, AC$279=2), Cultivar_2_Cohort_Year_Selection=$AA$278), ROUND(MAX(0,(AB$344-('Stage 2 Randomized Selection'!Q$2*$M345)) - 1),0),
IF(AND(OR(AC$279=123, AC$279=13, AC$279=23, AC$279=3), Cultivar_3_Cohort_Year_Selection=$AA$278), ROUND(MAX(0,(AB$344-('Stage 2 Randomized Selection'!Q$2*$M345)) - 1),0),
ROUND(MAX(0,(AB$344-('Stage 2 Randomized Selection'!Q$2*$M345))),0)))))))),0),"")</f>
        <v/>
      </c>
      <c r="AD368" s="270" t="str">
        <f>IF(ISNUMBER($B$345),
IF(AND(ISNUMBER(AC$344), AC$344&gt;0),
IF(AND(AD$279=123, Cultivar_1_Cohort_Year_Selection=$AB$278,Cultivar_2_Cohort_Year_Selection=$AB$278,Cultivar_3_Cohort_Year_Selection=$AB$278), ROUND(MAX(0,(AC$344-('Stage 2 Randomized Selection'!S$2*$M345)) - 3),0),
IF(AND(OR(AD$279=123, AD$279=12), Cultivar_1_Cohort_Year_Selection=$AB$278,Cultivar_2_Cohort_Year_Selection=$AB$278),  ROUND(MAX(0,(AC$344-('Stage 2 Randomized Selection'!R$2*$M345)) - 2),0),
IF(AND(OR(AD$279=123, AD$279=13), Cultivar_1_Cohort_Year_Selection=$AB$278,Cultivar_3_Cohort_Year_Selection=$AB$278), ROUND(MAX(0,(AC$344-('Stage 2 Randomized Selection'!R$2*$M345)) - 2),0),
IF(AND(OR(AD$279=123, AD$279=23), Cultivar_2_Cohort_Year_Selection=$AB$278,Cultivar_3_Cohort_Year_Selection=$AB$278), ROUND(MAX(0,(AC$344-('Stage 2 Randomized Selection'!R$2*$M345)) - 2),0),
IF(AND(OR(AD$279=123, AD$279=12, AD$279=13, AD$279=1), Cultivar_1_Cohort_Year_Selection=$AB$278), ROUND(MAX(0,(AC$344-('Stage 2 Randomized Selection'!R$2*$M345)) - 1),0),
IF(AND(OR(AD$279=123, AD$279=12, AD$279=23, AD$279=2), Cultivar_2_Cohort_Year_Selection=$AB$278), ROUND(MAX(0,(AC$344-('Stage 2 Randomized Selection'!R$2*$M345)) - 1),0),
IF(AND(OR(AD$279=123, AD$279=13, AD$279=23, AD$279=3), Cultivar_3_Cohort_Year_Selection=$AB$278), ROUND(MAX(0,(AC$344-('Stage 2 Randomized Selection'!R$2*$M345)) - 1),0),
ROUND(MAX(0,(AC$344-('Stage 2 Randomized Selection'!R$2*$M345))),0)))))))),0),"")</f>
        <v/>
      </c>
      <c r="AE368" s="270" t="str">
        <f>IF(ISNUMBER($B$345),
IF(AND(ISNUMBER(AD$344), AD$344&gt;0),
IF(AND(AE$279=123, Cultivar_1_Cohort_Year_Selection=$AC$278,Cultivar_2_Cohort_Year_Selection=$AC$278,Cultivar_3_Cohort_Year_Selection=$AC$278), ROUND(MAX(0,(AD$344-('Stage 2 Randomized Selection'!T$2*$M345)) - 3),0),
IF(AND(OR(AE$279=123, AE$279=12), Cultivar_1_Cohort_Year_Selection=$AC$278,Cultivar_2_Cohort_Year_Selection=$AC$278),  ROUND(MAX(0,(AD$344-('Stage 2 Randomized Selection'!S$2*$M345)) - 2),0),
IF(AND(OR(AE$279=123, AE$279=13), Cultivar_1_Cohort_Year_Selection=$AC$278,Cultivar_3_Cohort_Year_Selection=$AC$278), ROUND(MAX(0,(AD$344-('Stage 2 Randomized Selection'!S$2*$M345)) - 2),0),
IF(AND(OR(AE$279=123, AE$279=23), Cultivar_2_Cohort_Year_Selection=$AC$278,Cultivar_3_Cohort_Year_Selection=$AC$278), ROUND(MAX(0,(AD$344-('Stage 2 Randomized Selection'!S$2*$M345)) - 2),0),
IF(AND(OR(AE$279=123, AE$279=12, AE$279=13, AE$279=1), Cultivar_1_Cohort_Year_Selection=$AC$278), ROUND(MAX(0,(AD$344-('Stage 2 Randomized Selection'!S$2*$M345)) - 1),0),
IF(AND(OR(AE$279=123, AE$279=12, AE$279=23, AE$279=2), Cultivar_2_Cohort_Year_Selection=$AC$278), ROUND(MAX(0,(AD$344-('Stage 2 Randomized Selection'!S$2*$M345)) - 1),0),
IF(AND(OR(AE$279=123, AE$279=13, AE$279=23, AE$279=3), Cultivar_3_Cohort_Year_Selection=$AC$278), ROUND(MAX(0,(AD$344-('Stage 2 Randomized Selection'!S$2*$M345)) - 1),0),
ROUND(MAX(0,(AD$344-('Stage 2 Randomized Selection'!S$2*$M345))),0)))))))),0),"")</f>
        <v/>
      </c>
      <c r="AF368" s="270" t="str">
        <f>IF(ISNUMBER($B$345),
IF(AND(ISNUMBER(AE$344), AE$344&gt;0),
IF(AND(AF$279=123, Cultivar_1_Cohort_Year_Selection=$AD$278,Cultivar_2_Cohort_Year_Selection=$AD$278,Cultivar_3_Cohort_Year_Selection=$AD$278), ROUND(MAX(0,(AE$344-('Stage 2 Randomized Selection'!U$2*$M345)) - 3),0),
IF(AND(OR(AF$279=123, AF$279=12), Cultivar_1_Cohort_Year_Selection=$AD$278,Cultivar_2_Cohort_Year_Selection=$AD$278),  ROUND(MAX(0,(AE$344-('Stage 2 Randomized Selection'!T$2*$M345)) - 2),0),
IF(AND(OR(AF$279=123, AF$279=13), Cultivar_1_Cohort_Year_Selection=$AD$278,Cultivar_3_Cohort_Year_Selection=$AD$278), ROUND(MAX(0,(AE$344-('Stage 2 Randomized Selection'!T$2*$M345)) - 2),0),
IF(AND(OR(AF$279=123, AF$279=23), Cultivar_2_Cohort_Year_Selection=$AD$278,Cultivar_3_Cohort_Year_Selection=$AD$278), ROUND(MAX(0,(AE$344-('Stage 2 Randomized Selection'!T$2*$M345)) - 2),0),
IF(AND(OR(AF$279=123, AF$279=12, AF$279=13, AF$279=1), Cultivar_1_Cohort_Year_Selection=$AD$278), ROUND(MAX(0,(AE$344-('Stage 2 Randomized Selection'!T$2*$M345)) - 1),0),
IF(AND(OR(AF$279=123, AF$279=12, AF$279=23, AF$279=2), Cultivar_2_Cohort_Year_Selection=$AD$278), ROUND(MAX(0,(AE$344-('Stage 2 Randomized Selection'!T$2*$M345)) - 1),0),
IF(AND(OR(AF$279=123, AF$279=13, AF$279=23, AF$279=3), Cultivar_3_Cohort_Year_Selection=$AD$278), ROUND(MAX(0,(AE$344-('Stage 2 Randomized Selection'!T$2*$M345)) - 1),0),
ROUND(MAX(0,(AE$344-('Stage 2 Randomized Selection'!T$2*$M345))),0)))))))),0),"")</f>
        <v/>
      </c>
      <c r="AG368" s="270" t="str">
        <f>IF(ISNUMBER($B$345),
IF(AND(ISNUMBER(AF$344), AF$344&gt;0),
IF(AND(AG$279=123, Cultivar_1_Cohort_Year_Selection=$AE$278,Cultivar_2_Cohort_Year_Selection=$AE$278,Cultivar_3_Cohort_Year_Selection=$AE$278), ROUND(MAX(0,(AF$344-('Stage 2 Randomized Selection'!V$2*$M345)) - 3),0),
IF(AND(OR(AG$279=123, AG$279=12), Cultivar_1_Cohort_Year_Selection=$AE$278,Cultivar_2_Cohort_Year_Selection=$AE$278),  ROUND(MAX(0,(AF$344-('Stage 2 Randomized Selection'!U$2*$M345)) - 2),0),
IF(AND(OR(AG$279=123, AG$279=13), Cultivar_1_Cohort_Year_Selection=$AE$278,Cultivar_3_Cohort_Year_Selection=$AE$278), ROUND(MAX(0,(AF$344-('Stage 2 Randomized Selection'!U$2*$M345)) - 2),0),
IF(AND(OR(AG$279=123, AG$279=23), Cultivar_2_Cohort_Year_Selection=$AE$278,Cultivar_3_Cohort_Year_Selection=$AE$278), ROUND(MAX(0,(AF$344-('Stage 2 Randomized Selection'!U$2*$M345)) - 2),0),
IF(AND(OR(AG$279=123, AG$279=12, AG$279=13, AG$279=1), Cultivar_1_Cohort_Year_Selection=$AE$278), ROUND(MAX(0,(AF$344-('Stage 2 Randomized Selection'!U$2*$M345)) - 1),0),
IF(AND(OR(AG$279=123, AG$279=12, AG$279=23, AG$279=2), Cultivar_2_Cohort_Year_Selection=$AE$278), ROUND(MAX(0,(AF$344-('Stage 2 Randomized Selection'!U$2*$M345)) - 1),0),
IF(AND(OR(AG$279=123, AG$279=13, AG$279=23, AG$279=3), Cultivar_3_Cohort_Year_Selection=$AE$278), ROUND(MAX(0,(AF$344-('Stage 2 Randomized Selection'!U$2*$M345)) - 1),0),
ROUND(MAX(0,(AF$344-('Stage 2 Randomized Selection'!U$2*$M345))),0)))))))),0),"")</f>
        <v/>
      </c>
      <c r="AH368" s="270" t="str">
        <f>IF(ISNUMBER($B$345),
IF(AND(ISNUMBER(AG$344), AG$344&gt;0),
IF(AND(AH$279=123, Cultivar_1_Cohort_Year_Selection=$AF$278,Cultivar_2_Cohort_Year_Selection=$AF$278,Cultivar_3_Cohort_Year_Selection=$AF$278), ROUND(MAX(0,(AG$344-('Stage 2 Randomized Selection'!W$2*$M345)) - 3),0),
IF(AND(OR(AH$279=123, AH$279=12), Cultivar_1_Cohort_Year_Selection=$AF$278,Cultivar_2_Cohort_Year_Selection=$AF$278),  ROUND(MAX(0,(AG$344-('Stage 2 Randomized Selection'!V$2*$M345)) - 2),0),
IF(AND(OR(AH$279=123, AH$279=13), Cultivar_1_Cohort_Year_Selection=$AF$278,Cultivar_3_Cohort_Year_Selection=$AF$278), ROUND(MAX(0,(AG$344-('Stage 2 Randomized Selection'!V$2*$M345)) - 2),0),
IF(AND(OR(AH$279=123, AH$279=23), Cultivar_2_Cohort_Year_Selection=$AF$278,Cultivar_3_Cohort_Year_Selection=$AF$278), ROUND(MAX(0,(AG$344-('Stage 2 Randomized Selection'!V$2*$M345)) - 2),0),
IF(AND(OR(AH$279=123, AH$279=12, AH$279=13, AH$279=1), Cultivar_1_Cohort_Year_Selection=$AF$278), ROUND(MAX(0,(AG$344-('Stage 2 Randomized Selection'!V$2*$M345)) - 1),0),
IF(AND(OR(AH$279=123, AH$279=12, AH$279=23, AH$279=2), Cultivar_2_Cohort_Year_Selection=$AF$278), ROUND(MAX(0,(AG$344-('Stage 2 Randomized Selection'!V$2*$M345)) - 1),0),
IF(AND(OR(AH$279=123, AH$279=13, AH$279=23, AH$279=3), Cultivar_3_Cohort_Year_Selection=$AF$278), ROUND(MAX(0,(AG$344-('Stage 2 Randomized Selection'!V$2*$M345)) - 1),0),
ROUND(MAX(0,(AG$344-('Stage 2 Randomized Selection'!V$2*$M345))),0)))))))),0),"")</f>
        <v/>
      </c>
      <c r="AI368" s="270" t="str">
        <f>IF(ISNUMBER($B$345),
IF(AND(ISNUMBER(AH$344), AH$344&gt;0),
IF(AND(AI$279=123, Cultivar_1_Cohort_Year_Selection=$AG$278,Cultivar_2_Cohort_Year_Selection=$AG$278,Cultivar_3_Cohort_Year_Selection=$AG$278), ROUND(MAX(0,(AH$344-('Stage 2 Randomized Selection'!X$2*$M345)) - 3),0),
IF(AND(OR(AI$279=123, AI$279=12), Cultivar_1_Cohort_Year_Selection=$AG$278,Cultivar_2_Cohort_Year_Selection=$AG$278),  ROUND(MAX(0,(AH$344-('Stage 2 Randomized Selection'!W$2*$M345)) - 2),0),
IF(AND(OR(AI$279=123, AI$279=13), Cultivar_1_Cohort_Year_Selection=$AG$278,Cultivar_3_Cohort_Year_Selection=$AG$278), ROUND(MAX(0,(AH$344-('Stage 2 Randomized Selection'!W$2*$M345)) - 2),0),
IF(AND(OR(AI$279=123, AI$279=23), Cultivar_2_Cohort_Year_Selection=$AG$278,Cultivar_3_Cohort_Year_Selection=$AG$278), ROUND(MAX(0,(AH$344-('Stage 2 Randomized Selection'!W$2*$M345)) - 2),0),
IF(AND(OR(AI$279=123, AI$279=12, AI$279=13, AI$279=1), Cultivar_1_Cohort_Year_Selection=$AG$278), ROUND(MAX(0,(AH$344-('Stage 2 Randomized Selection'!W$2*$M345)) - 1),0),
IF(AND(OR(AI$279=123, AI$279=12, AI$279=23, AI$279=2), Cultivar_2_Cohort_Year_Selection=$AG$278), ROUND(MAX(0,(AH$344-('Stage 2 Randomized Selection'!W$2*$M345)) - 1),0),
IF(AND(OR(AI$279=123, AI$279=13, AI$279=23, AI$279=3), Cultivar_3_Cohort_Year_Selection=$AG$278), ROUND(MAX(0,(AH$344-('Stage 2 Randomized Selection'!W$2*$M345)) - 1),0),
ROUND(MAX(0,(AH$344-('Stage 2 Randomized Selection'!W$2*$M345))),0)))))))),0),"")</f>
        <v/>
      </c>
      <c r="AJ368" s="270" t="str">
        <f>IF(ISNUMBER($B$345),
IF(AND(ISNUMBER(AI$344), AI$344&gt;0),
IF(AND(AJ$279=123, Cultivar_1_Cohort_Year_Selection=$AH$278,Cultivar_2_Cohort_Year_Selection=$AH$278,Cultivar_3_Cohort_Year_Selection=$AH$278), ROUND(MAX(0,(AI$344-('Stage 2 Randomized Selection'!Y$2*$M345)) - 3),0),
IF(AND(OR(AJ$279=123, AJ$279=12), Cultivar_1_Cohort_Year_Selection=$AH$278,Cultivar_2_Cohort_Year_Selection=$AH$278),  ROUND(MAX(0,(AI$344-('Stage 2 Randomized Selection'!X$2*$M345)) - 2),0),
IF(AND(OR(AJ$279=123, AJ$279=13), Cultivar_1_Cohort_Year_Selection=$AH$278,Cultivar_3_Cohort_Year_Selection=$AH$278), ROUND(MAX(0,(AI$344-('Stage 2 Randomized Selection'!X$2*$M345)) - 2),0),
IF(AND(OR(AJ$279=123, AJ$279=23), Cultivar_2_Cohort_Year_Selection=$AH$278,Cultivar_3_Cohort_Year_Selection=$AH$278), ROUND(MAX(0,(AI$344-('Stage 2 Randomized Selection'!X$2*$M345)) - 2),0),
IF(AND(OR(AJ$279=123, AJ$279=12, AJ$279=13, AJ$279=1), Cultivar_1_Cohort_Year_Selection=$AH$278), ROUND(MAX(0,(AI$344-('Stage 2 Randomized Selection'!X$2*$M345)) - 1),0),
IF(AND(OR(AJ$279=123, AJ$279=12, AJ$279=23, AJ$279=2), Cultivar_2_Cohort_Year_Selection=$AH$278), ROUND(MAX(0,(AI$344-('Stage 2 Randomized Selection'!X$2*$M345)) - 1),0),
IF(AND(OR(AJ$279=123, AJ$279=13, AJ$279=23, AJ$279=3), Cultivar_3_Cohort_Year_Selection=$AH$278), ROUND(MAX(0,(AI$344-('Stage 2 Randomized Selection'!X$2*$M345)) - 1),0),
ROUND(MAX(0,(AI$344-('Stage 2 Randomized Selection'!X$2*$M345))),0)))))))),0),"")</f>
        <v/>
      </c>
      <c r="AK368" s="270" t="str">
        <f>IF(ISNUMBER($B$345),
IF(AND(ISNUMBER(AJ$344), AJ$344&gt;0),
IF(AND(AK$279=123, Cultivar_1_Cohort_Year_Selection=$AI$278,Cultivar_2_Cohort_Year_Selection=$AI$278,Cultivar_3_Cohort_Year_Selection=$AI$278), ROUND(MAX(0,(AJ$344-('Stage 2 Randomized Selection'!Z$2*$M345)) - 3),0),
IF(AND(OR(AK$279=123, AK$279=12), Cultivar_1_Cohort_Year_Selection=$AI$278,Cultivar_2_Cohort_Year_Selection=$AI$278),  ROUND(MAX(0,(AJ$344-('Stage 2 Randomized Selection'!Y$2*$M345)) - 2),0),
IF(AND(OR(AK$279=123, AK$279=13), Cultivar_1_Cohort_Year_Selection=$AI$278,Cultivar_3_Cohort_Year_Selection=$AI$278), ROUND(MAX(0,(AJ$344-('Stage 2 Randomized Selection'!Y$2*$M345)) - 2),0),
IF(AND(OR(AK$279=123, AK$279=23), Cultivar_2_Cohort_Year_Selection=$AI$278,Cultivar_3_Cohort_Year_Selection=$AI$278), ROUND(MAX(0,(AJ$344-('Stage 2 Randomized Selection'!Y$2*$M345)) - 2),0),
IF(AND(OR(AK$279=123, AK$279=12, AK$279=13, AK$279=1), Cultivar_1_Cohort_Year_Selection=$AI$278), ROUND(MAX(0,(AJ$344-('Stage 2 Randomized Selection'!Y$2*$M345)) - 1),0),
IF(AND(OR(AK$279=123, AK$279=12, AK$279=23, AK$279=2), Cultivar_2_Cohort_Year_Selection=$AI$278), ROUND(MAX(0,(AJ$344-('Stage 2 Randomized Selection'!Y$2*$M345)) - 1),0),
IF(AND(OR(AK$279=123, AK$279=13, AK$279=23, AK$279=3), Cultivar_3_Cohort_Year_Selection=$AI$278), ROUND(MAX(0,(AJ$344-('Stage 2 Randomized Selection'!Y$2*$M345)) - 1),0),
ROUND(MAX(0,(AJ$344-('Stage 2 Randomized Selection'!Y$2*$M345))),0)))))))),0),"")</f>
        <v/>
      </c>
      <c r="AL368" s="270" t="str">
        <f>IF(ISNUMBER($B$345),
IF(AND(ISNUMBER(AK$344), AK$344&gt;0),
IF(AND(AL$279=123, Cultivar_1_Cohort_Year_Selection=$AJ$278,Cultivar_2_Cohort_Year_Selection=$AJ$278,Cultivar_3_Cohort_Year_Selection=$AJ$278), ROUND(MAX(0,(AK$344-('Stage 2 Randomized Selection'!AA$2*$M345)) - 3),0),
IF(AND(OR(AL$279=123, AL$279=12), Cultivar_1_Cohort_Year_Selection=$AJ$278,Cultivar_2_Cohort_Year_Selection=$AJ$278),  ROUND(MAX(0,(AK$344-('Stage 2 Randomized Selection'!Z$2*$M345)) - 2),0),
IF(AND(OR(AL$279=123, AL$279=13), Cultivar_1_Cohort_Year_Selection=$AJ$278,Cultivar_3_Cohort_Year_Selection=$AJ$278), ROUND(MAX(0,(AK$344-('Stage 2 Randomized Selection'!Z$2*$M345)) - 2),0),
IF(AND(OR(AL$279=123, AL$279=23), Cultivar_2_Cohort_Year_Selection=$AJ$278,Cultivar_3_Cohort_Year_Selection=$AJ$278), ROUND(MAX(0,(AK$344-('Stage 2 Randomized Selection'!Z$2*$M345)) - 2),0),
IF(AND(OR(AL$279=123, AL$279=12, AL$279=13, AL$279=1), Cultivar_1_Cohort_Year_Selection=$AJ$278), ROUND(MAX(0,(AK$344-('Stage 2 Randomized Selection'!Z$2*$M345)) - 1),0),
IF(AND(OR(AL$279=123, AL$279=12, AL$279=23, AL$279=2), Cultivar_2_Cohort_Year_Selection=$AJ$278), ROUND(MAX(0,(AK$344-('Stage 2 Randomized Selection'!Z$2*$M345)) - 1),0),
IF(AND(OR(AL$279=123, AL$279=13, AL$279=23, AL$279=3), Cultivar_3_Cohort_Year_Selection=$AJ$278), ROUND(MAX(0,(AK$344-('Stage 2 Randomized Selection'!Z$2*$M345)) - 1),0),
ROUND(MAX(0,(AK$344-('Stage 2 Randomized Selection'!Z$2*$M345))),0)))))))),0),"")</f>
        <v/>
      </c>
      <c r="AM368" s="270" t="str">
        <f>IF(ISNUMBER($B$345),
IF(AND(ISNUMBER(AL$344), AL$344&gt;0),
IF(AND(AM$279=123, Cultivar_1_Cohort_Year_Selection=$AK$278,Cultivar_2_Cohort_Year_Selection=$AK$278,Cultivar_3_Cohort_Year_Selection=$AK$278), ROUND(MAX(0,(AL$344-('Stage 2 Randomized Selection'!AB$2*$M345)) - 3),0),
IF(AND(OR(AM$279=123, AM$279=12), Cultivar_1_Cohort_Year_Selection=$AK$278,Cultivar_2_Cohort_Year_Selection=$AK$278),  ROUND(MAX(0,(AL$344-('Stage 2 Randomized Selection'!AA$2*$M345)) - 2),0),
IF(AND(OR(AM$279=123, AM$279=13), Cultivar_1_Cohort_Year_Selection=$AK$278,Cultivar_3_Cohort_Year_Selection=$AK$278), ROUND(MAX(0,(AL$344-('Stage 2 Randomized Selection'!AA$2*$M345)) - 2),0),
IF(AND(OR(AM$279=123, AM$279=23), Cultivar_2_Cohort_Year_Selection=$AK$278,Cultivar_3_Cohort_Year_Selection=$AK$278), ROUND(MAX(0,(AL$344-('Stage 2 Randomized Selection'!AA$2*$M345)) - 2),0),
IF(AND(OR(AM$279=123, AM$279=12, AM$279=13, AM$279=1), Cultivar_1_Cohort_Year_Selection=$AK$278), ROUND(MAX(0,(AL$344-('Stage 2 Randomized Selection'!AA$2*$M345)) - 1),0),
IF(AND(OR(AM$279=123, AM$279=12, AM$279=23, AM$279=2), Cultivar_2_Cohort_Year_Selection=$AK$278), ROUND(MAX(0,(AL$344-('Stage 2 Randomized Selection'!AA$2*$M345)) - 1),0),
IF(AND(OR(AM$279=123, AM$279=13, AM$279=23, AM$279=3), Cultivar_3_Cohort_Year_Selection=$AK$278), ROUND(MAX(0,(AL$344-('Stage 2 Randomized Selection'!AA$2*$M345)) - 1),0),
ROUND(MAX(0,(AL$344-('Stage 2 Randomized Selection'!AA$2*$M345))),0)))))))),0),"")</f>
        <v/>
      </c>
      <c r="AN368" s="270" t="str">
        <f>IF(ISNUMBER($B$345),
IF(AND(ISNUMBER(AM$344), AM$344&gt;0),
IF(AND(AN$279=123, Cultivar_1_Cohort_Year_Selection=$AL$278,Cultivar_2_Cohort_Year_Selection=$AL$278,Cultivar_3_Cohort_Year_Selection=$AL$278), ROUND(MAX(0,(AM$344-('Stage 2 Randomized Selection'!AC$2*$M345)) - 3),0),
IF(AND(OR(AN$279=123, AN$279=12), Cultivar_1_Cohort_Year_Selection=$AL$278,Cultivar_2_Cohort_Year_Selection=$AL$278),  ROUND(MAX(0,(AM$344-('Stage 2 Randomized Selection'!AB$2*$M345)) - 2),0),
IF(AND(OR(AN$279=123, AN$279=13), Cultivar_1_Cohort_Year_Selection=$AL$278,Cultivar_3_Cohort_Year_Selection=$AL$278), ROUND(MAX(0,(AM$344-('Stage 2 Randomized Selection'!AB$2*$M345)) - 2),0),
IF(AND(OR(AN$279=123, AN$279=23), Cultivar_2_Cohort_Year_Selection=$AL$278,Cultivar_3_Cohort_Year_Selection=$AL$278), ROUND(MAX(0,(AM$344-('Stage 2 Randomized Selection'!AB$2*$M345)) - 2),0),
IF(AND(OR(AN$279=123, AN$279=12, AN$279=13, AN$279=1), Cultivar_1_Cohort_Year_Selection=$AL$278), ROUND(MAX(0,(AM$344-('Stage 2 Randomized Selection'!AB$2*$M345)) - 1),0),
IF(AND(OR(AN$279=123, AN$279=12, AN$279=23, AN$279=2), Cultivar_2_Cohort_Year_Selection=$AL$278), ROUND(MAX(0,(AM$344-('Stage 2 Randomized Selection'!AB$2*$M345)) - 1),0),
IF(AND(OR(AN$279=123, AN$279=13, AN$279=23, AN$279=3), Cultivar_3_Cohort_Year_Selection=$AL$278), ROUND(MAX(0,(AM$344-('Stage 2 Randomized Selection'!AB$2*$M345)) - 1),0),
ROUND(MAX(0,(AM$344-('Stage 2 Randomized Selection'!AB$2*$M345))),0)))))))),0),"")</f>
        <v/>
      </c>
      <c r="AO368" s="270" t="str">
        <f>IF(ISNUMBER($B$345),
IF(AND(ISNUMBER(AN$344), AN$344&gt;0),
IF(AND(AO$279=123, Cultivar_1_Cohort_Year_Selection=$AM$278,Cultivar_2_Cohort_Year_Selection=$AM$278,Cultivar_3_Cohort_Year_Selection=$AM$278), ROUND(MAX(0,(AN$344-('Stage 2 Randomized Selection'!AD$2*$M345)) - 3),0),
IF(AND(OR(AO$279=123, AO$279=12), Cultivar_1_Cohort_Year_Selection=$AM$278,Cultivar_2_Cohort_Year_Selection=$AM$278),  ROUND(MAX(0,(AN$344-('Stage 2 Randomized Selection'!AC$2*$M345)) - 2),0),
IF(AND(OR(AO$279=123, AO$279=13), Cultivar_1_Cohort_Year_Selection=$AM$278,Cultivar_3_Cohort_Year_Selection=$AM$278), ROUND(MAX(0,(AN$344-('Stage 2 Randomized Selection'!AC$2*$M345)) - 2),0),
IF(AND(OR(AO$279=123, AO$279=23), Cultivar_2_Cohort_Year_Selection=$AM$278,Cultivar_3_Cohort_Year_Selection=$AM$278), ROUND(MAX(0,(AN$344-('Stage 2 Randomized Selection'!AC$2*$M345)) - 2),0),
IF(AND(OR(AO$279=123, AO$279=12, AO$279=13, AO$279=1), Cultivar_1_Cohort_Year_Selection=$AM$278), ROUND(MAX(0,(AN$344-('Stage 2 Randomized Selection'!AC$2*$M345)) - 1),0),
IF(AND(OR(AO$279=123, AO$279=12, AO$279=23, AO$279=2), Cultivar_2_Cohort_Year_Selection=$AM$278), ROUND(MAX(0,(AN$344-('Stage 2 Randomized Selection'!AC$2*$M345)) - 1),0),
IF(AND(OR(AO$279=123, AO$279=13, AO$279=23, AO$279=3), Cultivar_3_Cohort_Year_Selection=$AM$278), ROUND(MAX(0,(AN$344-('Stage 2 Randomized Selection'!AC$2*$M345)) - 1),0),
ROUND(MAX(0,(AN$344-('Stage 2 Randomized Selection'!AC$2*$M345))),0)))))))),0),"")</f>
        <v/>
      </c>
      <c r="AP368" s="270" t="str">
        <f>IF(ISNUMBER($B$345),
IF(AND(ISNUMBER(AO$344), AO$344&gt;0),
IF(AND(AP$279=123, Cultivar_1_Cohort_Year_Selection=$AN$278,Cultivar_2_Cohort_Year_Selection=$AN$278,Cultivar_3_Cohort_Year_Selection=$AN$278), ROUND(MAX(0,(AO$344-('Stage 2 Randomized Selection'!AE$2*$M345)) - 3),0),
IF(AND(OR(AP$279=123, AP$279=12), Cultivar_1_Cohort_Year_Selection=$AN$278,Cultivar_2_Cohort_Year_Selection=$AN$278),  ROUND(MAX(0,(AO$344-('Stage 2 Randomized Selection'!AD$2*$M345)) - 2),0),
IF(AND(OR(AP$279=123, AP$279=13), Cultivar_1_Cohort_Year_Selection=$AN$278,Cultivar_3_Cohort_Year_Selection=$AN$278), ROUND(MAX(0,(AO$344-('Stage 2 Randomized Selection'!AD$2*$M345)) - 2),0),
IF(AND(OR(AP$279=123, AP$279=23), Cultivar_2_Cohort_Year_Selection=$AN$278,Cultivar_3_Cohort_Year_Selection=$AN$278), ROUND(MAX(0,(AO$344-('Stage 2 Randomized Selection'!AD$2*$M345)) - 2),0),
IF(AND(OR(AP$279=123, AP$279=12, AP$279=13, AP$279=1), Cultivar_1_Cohort_Year_Selection=$AN$278), ROUND(MAX(0,(AO$344-('Stage 2 Randomized Selection'!AD$2*$M345)) - 1),0),
IF(AND(OR(AP$279=123, AP$279=12, AP$279=23, AP$279=2), Cultivar_2_Cohort_Year_Selection=$AN$278), ROUND(MAX(0,(AO$344-('Stage 2 Randomized Selection'!AD$2*$M345)) - 1),0),
IF(AND(OR(AP$279=123, AP$279=13, AP$279=23, AP$279=3), Cultivar_3_Cohort_Year_Selection=$AN$278), ROUND(MAX(0,(AO$344-('Stage 2 Randomized Selection'!AD$2*$M345)) - 1),0),
ROUND(MAX(0,(AO$344-('Stage 2 Randomized Selection'!AD$2*$M345))),0)))))))),0),"")</f>
        <v/>
      </c>
      <c r="AQ368" s="270" t="str">
        <f>IF(ISNUMBER($B$345),
IF(AND(ISNUMBER(AP$344), AP$344&gt;0),
IF(AND(AQ$279=123, Cultivar_1_Cohort_Year_Selection=$AO$278,Cultivar_2_Cohort_Year_Selection=$AO$278,Cultivar_3_Cohort_Year_Selection=$AO$278), ROUND(MAX(0,(AP$344-('Stage 2 Randomized Selection'!AF$2*$M345)) - 3),0),
IF(AND(OR(AQ$279=123, AQ$279=12), Cultivar_1_Cohort_Year_Selection=$AO$278,Cultivar_2_Cohort_Year_Selection=$AO$278),  ROUND(MAX(0,(AP$344-('Stage 2 Randomized Selection'!AE$2*$M345)) - 2),0),
IF(AND(OR(AQ$279=123, AQ$279=13), Cultivar_1_Cohort_Year_Selection=$AO$278,Cultivar_3_Cohort_Year_Selection=$AO$278), ROUND(MAX(0,(AP$344-('Stage 2 Randomized Selection'!AE$2*$M345)) - 2),0),
IF(AND(OR(AQ$279=123, AQ$279=23), Cultivar_2_Cohort_Year_Selection=$AO$278,Cultivar_3_Cohort_Year_Selection=$AO$278), ROUND(MAX(0,(AP$344-('Stage 2 Randomized Selection'!AE$2*$M345)) - 2),0),
IF(AND(OR(AQ$279=123, AQ$279=12, AQ$279=13, AQ$279=1), Cultivar_1_Cohort_Year_Selection=$AO$278), ROUND(MAX(0,(AP$344-('Stage 2 Randomized Selection'!AE$2*$M345)) - 1),0),
IF(AND(OR(AQ$279=123, AQ$279=12, AQ$279=23, AQ$279=2), Cultivar_2_Cohort_Year_Selection=$AO$278), ROUND(MAX(0,(AP$344-('Stage 2 Randomized Selection'!AE$2*$M345)) - 1),0),
IF(AND(OR(AQ$279=123, AQ$279=13, AQ$279=23, AQ$279=3), Cultivar_3_Cohort_Year_Selection=$AO$278), ROUND(MAX(0,(AP$344-('Stage 2 Randomized Selection'!AE$2*$M345)) - 1),0),
ROUND(MAX(0,(AP$344-('Stage 2 Randomized Selection'!AE$2*$M345))),0)))))))),0),"")</f>
        <v/>
      </c>
      <c r="AR368" s="271" t="str">
        <f>IF(ISNUMBER($B$345),
IF(AND(ISNUMBER(AQ$344), AQ$344&gt;0),
IF(AND(AR$279=123, Cultivar_1_Cohort_Year_Selection=$AP$278,Cultivar_2_Cohort_Year_Selection=$AP$278,Cultivar_3_Cohort_Year_Selection=$AP$278), ROUND(MAX(0,(AQ$344-('Stage 2 Randomized Selection'!AG$2*$M345)) - 3),0),
IF(AND(OR(AR$279=123, AR$279=12), Cultivar_1_Cohort_Year_Selection=$AP$278,Cultivar_2_Cohort_Year_Selection=$AP$278),  ROUND(MAX(0,(AQ$344-('Stage 2 Randomized Selection'!AF$2*$M345)) - 2),0),
IF(AND(OR(AR$279=123, AR$279=13), Cultivar_1_Cohort_Year_Selection=$AP$278,Cultivar_3_Cohort_Year_Selection=$AP$278), ROUND(MAX(0,(AQ$344-('Stage 2 Randomized Selection'!AF$2*$M345)) - 2),0),
IF(AND(OR(AR$279=123, AR$279=23), Cultivar_2_Cohort_Year_Selection=$AP$278,Cultivar_3_Cohort_Year_Selection=$AP$278), ROUND(MAX(0,(AQ$344-('Stage 2 Randomized Selection'!AF$2*$M345)) - 2),0),
IF(AND(OR(AR$279=123, AR$279=12, AR$279=13, AR$279=1), Cultivar_1_Cohort_Year_Selection=$AP$278), ROUND(MAX(0,(AQ$344-('Stage 2 Randomized Selection'!AF$2*$M345)) - 1),0),
IF(AND(OR(AR$279=123, AR$279=12, AR$279=23, AR$279=2), Cultivar_2_Cohort_Year_Selection=$AP$278), ROUND(MAX(0,(AQ$344-('Stage 2 Randomized Selection'!AF$2*$M345)) - 1),0),
IF(AND(OR(AR$279=123, AR$279=13, AR$279=23, AR$279=3), Cultivar_3_Cohort_Year_Selection=$AP$278), ROUND(MAX(0,(AQ$344-('Stage 2 Randomized Selection'!AF$2*$M345)) - 1),0),
ROUND(MAX(0,(AQ$344-('Stage 2 Randomized Selection'!AF$2*$M345))),0)))))))),0),"")</f>
        <v/>
      </c>
    </row>
    <row r="369" spans="1:45" ht="14.45" customHeight="1" x14ac:dyDescent="0.25">
      <c r="A369" s="518" t="str">
        <f>Fourth_Stage</f>
        <v>Stage 2 Clonal Test Plots</v>
      </c>
      <c r="B369" s="504" t="str">
        <f>'Breeding Inputs'!B92</f>
        <v/>
      </c>
      <c r="C369" s="521" t="str">
        <f>IF(ISNUMBER(B369), _4_3_0, "")</f>
        <v/>
      </c>
      <c r="D369" s="94" t="str">
        <f>IF(AND(C369&lt;&gt;"", 'Cost Inputs'!$G$105&lt;&gt;""), 'Cost Inputs'!$G$105, "")</f>
        <v/>
      </c>
      <c r="E369" s="94" t="str">
        <f>IF(AND(C369&lt;&gt;"", 'Cost Inputs'!$H$105&lt;&gt;""), 'Cost Inputs'!$H$105, "")</f>
        <v/>
      </c>
      <c r="F369" s="492" t="str">
        <f>IF(AND(C369&lt;&gt;"", 'Cost Inputs'!$I$105&lt;&gt;""), 'Cost Inputs'!$I$105, "")</f>
        <v/>
      </c>
      <c r="G369" s="102" t="str">
        <f t="shared" si="63"/>
        <v/>
      </c>
      <c r="H369" s="492" t="str">
        <f>IF(AND(C369&lt;&gt;"", 'Cost Inputs'!$J$105&lt;&gt;""), 'Cost Inputs'!$J$105, "")</f>
        <v/>
      </c>
      <c r="I369" s="102" t="str">
        <f>IF($C369&lt;&gt;"",IF(AND($E369&lt;&gt;"",H369&lt;&gt;""), H369/$E369, 0),"")</f>
        <v/>
      </c>
      <c r="J369" s="492" t="str">
        <f>IF(AND(C369&lt;&gt;"",('Cost Inputs'!$I$105+'Cost Inputs'!$J$105+'Cost Inputs'!$K$105)&gt;0), 'Cost Inputs'!$I$105+'Cost Inputs'!$J$105+'Cost Inputs'!$K$105, "")</f>
        <v/>
      </c>
      <c r="K369" s="102" t="str">
        <f>IF($C369&lt;&gt;"",IF(AND($E369&lt;&gt;"",J369&lt;&gt;""), J369/$E369, 0),"")</f>
        <v/>
      </c>
      <c r="L369" s="525" t="str">
        <f>IF(AND($B369&lt;&gt;"", 'Breeding Inputs'!$C$89&lt;&gt;""), INDEX('Breeding Inputs'!$C$89:$C$98, MATCH($B369,'Breeding Inputs'!$B$89:$B$98,0)), IF($B369="", "", 0%))</f>
        <v/>
      </c>
      <c r="M369" s="525" t="str">
        <f>IF(AND($B369&lt;&gt;"", 'Breeding Inputs'!$D$89&lt;&gt;""), INDEX('Breeding Inputs'!$D$89:$D$98, MATCH($B369,'Breeding Inputs'!$B$89:$B$98,0))+INDEX('Breeding Inputs'!$E$89:$E$98, MATCH($B369,'Breeding Inputs'!$B$89:$B$98,0)), IF($B369="", "", 0%))</f>
        <v/>
      </c>
      <c r="R369" s="496" t="str">
        <f t="shared" ref="R369:AS369" si="97">IF(ISNUMBER($B$369),
IF($C369&lt;&gt;"",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69" s="496" t="str">
        <f t="shared" si="97"/>
        <v/>
      </c>
      <c r="T369" s="496" t="str">
        <f t="shared" si="97"/>
        <v/>
      </c>
      <c r="U369" s="496" t="str">
        <f t="shared" si="97"/>
        <v/>
      </c>
      <c r="V369" s="496" t="str">
        <f t="shared" si="97"/>
        <v/>
      </c>
      <c r="W369" s="496" t="str">
        <f t="shared" si="97"/>
        <v/>
      </c>
      <c r="X369" s="496" t="str">
        <f t="shared" si="97"/>
        <v/>
      </c>
      <c r="Y369" s="496" t="str">
        <f t="shared" si="97"/>
        <v/>
      </c>
      <c r="Z369" s="496" t="str">
        <f t="shared" si="97"/>
        <v/>
      </c>
      <c r="AA369" s="496" t="str">
        <f t="shared" si="97"/>
        <v/>
      </c>
      <c r="AB369" s="496" t="str">
        <f t="shared" si="97"/>
        <v/>
      </c>
      <c r="AC369" s="496" t="str">
        <f t="shared" si="97"/>
        <v/>
      </c>
      <c r="AD369" s="496" t="str">
        <f t="shared" si="97"/>
        <v/>
      </c>
      <c r="AE369" s="496" t="str">
        <f t="shared" si="97"/>
        <v/>
      </c>
      <c r="AF369" s="496" t="str">
        <f t="shared" si="97"/>
        <v/>
      </c>
      <c r="AG369" s="496" t="str">
        <f t="shared" si="97"/>
        <v/>
      </c>
      <c r="AH369" s="496" t="str">
        <f t="shared" si="97"/>
        <v/>
      </c>
      <c r="AI369" s="496" t="str">
        <f t="shared" si="97"/>
        <v/>
      </c>
      <c r="AJ369" s="496" t="str">
        <f t="shared" si="97"/>
        <v/>
      </c>
      <c r="AK369" s="496" t="str">
        <f t="shared" si="97"/>
        <v/>
      </c>
      <c r="AL369" s="496" t="str">
        <f t="shared" si="97"/>
        <v/>
      </c>
      <c r="AM369" s="496" t="str">
        <f t="shared" si="97"/>
        <v/>
      </c>
      <c r="AN369" s="496" t="str">
        <f t="shared" si="97"/>
        <v/>
      </c>
      <c r="AO369" s="496" t="str">
        <f t="shared" si="97"/>
        <v/>
      </c>
      <c r="AP369" s="496" t="str">
        <f t="shared" si="97"/>
        <v/>
      </c>
      <c r="AQ369" s="496" t="str">
        <f t="shared" si="97"/>
        <v/>
      </c>
      <c r="AR369" s="496" t="str">
        <f t="shared" si="97"/>
        <v/>
      </c>
      <c r="AS369" s="496" t="str">
        <f t="shared" si="97"/>
        <v/>
      </c>
    </row>
    <row r="370" spans="1:45" x14ac:dyDescent="0.25">
      <c r="A370" s="518"/>
      <c r="B370" s="504"/>
      <c r="C370" s="521"/>
      <c r="D370" s="94" t="str">
        <f>IF(AND(C369&lt;&gt;"", 'Cost Inputs'!$G$106&lt;&gt;""), 'Cost Inputs'!$G$106, "")</f>
        <v/>
      </c>
      <c r="E370" s="94" t="str">
        <f>IF(AND(C369&lt;&gt;"", 'Cost Inputs'!H183&lt;&gt;""), 'Cost Inputs'!H183, "")</f>
        <v/>
      </c>
      <c r="F370" s="492"/>
      <c r="G370" s="102" t="str">
        <f t="shared" si="63"/>
        <v/>
      </c>
      <c r="H370" s="492"/>
      <c r="I370" s="102" t="str">
        <f>IF($C369&lt;&gt;"", IF(AND($E370&lt;&gt;"", H369&lt;&gt;""), H369/($E369*$E370), 0), "")</f>
        <v/>
      </c>
      <c r="J370" s="492" t="str">
        <f>IF(AND(C370&lt;&gt;"",('Cost Inputs'!$I$86+'Cost Inputs'!$J$86+'Cost Inputs'!$K$86)&gt;0), 'Cost Inputs'!$I$86+'Cost Inputs'!$J$86+'Cost Inputs'!$K$86, "")</f>
        <v/>
      </c>
      <c r="K370" s="102" t="str">
        <f>IF($C369&lt;&gt;"", IF(AND($E370&lt;&gt;"", J369&lt;&gt;""), J369/($E369*$E370), 0), "")</f>
        <v/>
      </c>
      <c r="L370" s="525"/>
      <c r="M370" s="525"/>
      <c r="R370" s="496" t="str">
        <f>IF(ISNUMBER($B$280),
IF($C370&lt;&gt;"",
IF(AND(ISNUMBER('Stage 2 Randomized Selection'!H$2), 'Stage 2 Randomized Selection'!H$2&gt;0),
IF(AND(R$279=123, Cultivar_1_Cohort_Year_Selection=$O$278,Cultivar_2_Cohort_Year_Selection=$O$278,Cultivar_3_Cohort_Year_Selection=$O$278), MAX(0,'Stage 2 Randomized Selection'!H$2 - 3),
IF(AND(OR(R$279=123, R$279=12), Cultivar_1_Cohort_Year_Selection=$O$278,Cultivar_2_Cohort_Year_Selection=$O$278),  MAX(0,'Stage 2 Randomized Selection'!H$2 - 2),
IF(AND(OR(R$279=123, R$279=13), Cultivar_1_Cohort_Year_Selection=$O$278,Cultivar_3_Cohort_Year_Selection=$O$278), MAX(0,'Stage 2 Randomized Selection'!H$2 - 2),
IF(AND(OR(R$279=123, R$279=23), Cultivar_2_Cohort_Year_Selection=$O$278,Cultivar_3_Cohort_Year_Selection=$O$278), MAX(0,'Stage 2 Randomized Selection'!H$2 - 2),
IF(AND(OR(R$279=123, R$279=12, R$279=13, R$279=1), Cultivar_1_Cohort_Year_Selection=$O$278), MAX(0,'Stage 2 Randomized Selection'!H$2 - 1),
IF(AND(OR(R$279=123, R$279=12, R$279=23, R$279=2), Cultivar_2_Cohort_Year_Selection=$O$278), MAX(0,'Stage 2 Randomized Selection'!H$2 - 1),
IF(AND(OR(R$279=123, R$279=13, R$279=23, R$279=3), Cultivar_3_Cohort_Year_Selection=$O$278), MAX(0,'Stage 2 Randomized Selection'!H$2 - 1), 'Stage 2 Randomized Selection'!H$2))))))),""),""),"")</f>
        <v/>
      </c>
      <c r="S370" s="496" t="str">
        <f>IF(ISNUMBER($B$280),
IF($C370&lt;&gt;"",
IF(AND(ISNUMBER('Stage 2 Randomized Selection'!I$2), 'Stage 2 Randomized Selection'!I$2&gt;0),
IF(AND(S$279=123, Cultivar_1_Cohort_Year_Selection=$O$278,Cultivar_2_Cohort_Year_Selection=$O$278,Cultivar_3_Cohort_Year_Selection=$O$278), MAX(0,'Stage 2 Randomized Selection'!I$2 - 3),
IF(AND(OR(S$279=123, S$279=12), Cultivar_1_Cohort_Year_Selection=$O$278,Cultivar_2_Cohort_Year_Selection=$O$278),  MAX(0,'Stage 2 Randomized Selection'!I$2 - 2),
IF(AND(OR(S$279=123, S$279=13), Cultivar_1_Cohort_Year_Selection=$O$278,Cultivar_3_Cohort_Year_Selection=$O$278), MAX(0,'Stage 2 Randomized Selection'!I$2 - 2),
IF(AND(OR(S$279=123, S$279=23), Cultivar_2_Cohort_Year_Selection=$O$278,Cultivar_3_Cohort_Year_Selection=$O$278), MAX(0,'Stage 2 Randomized Selection'!I$2 - 2),
IF(AND(OR(S$279=123, S$279=12, S$279=13, S$279=1), Cultivar_1_Cohort_Year_Selection=$O$278), MAX(0,'Stage 2 Randomized Selection'!I$2 - 1),
IF(AND(OR(S$279=123, S$279=12, S$279=23, S$279=2), Cultivar_2_Cohort_Year_Selection=$O$278), MAX(0,'Stage 2 Randomized Selection'!I$2 - 1),
IF(AND(OR(S$279=123, S$279=13, S$279=23, S$279=3), Cultivar_3_Cohort_Year_Selection=$O$278), MAX(0,'Stage 2 Randomized Selection'!I$2 - 1), 'Stage 2 Randomized Selection'!I$2))))))),""),""),"")</f>
        <v/>
      </c>
      <c r="T370" s="496" t="str">
        <f>IF(ISNUMBER($B$280),
IF($C370&lt;&gt;"",
IF(AND(ISNUMBER('Stage 2 Randomized Selection'!J$2), 'Stage 2 Randomized Selection'!J$2&gt;0),
IF(AND(T$279=123, Cultivar_1_Cohort_Year_Selection=$O$278,Cultivar_2_Cohort_Year_Selection=$O$278,Cultivar_3_Cohort_Year_Selection=$O$278), MAX(0,'Stage 2 Randomized Selection'!J$2 - 3),
IF(AND(OR(T$279=123, T$279=12), Cultivar_1_Cohort_Year_Selection=$O$278,Cultivar_2_Cohort_Year_Selection=$O$278),  MAX(0,'Stage 2 Randomized Selection'!J$2 - 2),
IF(AND(OR(T$279=123, T$279=13), Cultivar_1_Cohort_Year_Selection=$O$278,Cultivar_3_Cohort_Year_Selection=$O$278), MAX(0,'Stage 2 Randomized Selection'!J$2 - 2),
IF(AND(OR(T$279=123, T$279=23), Cultivar_2_Cohort_Year_Selection=$O$278,Cultivar_3_Cohort_Year_Selection=$O$278), MAX(0,'Stage 2 Randomized Selection'!J$2 - 2),
IF(AND(OR(T$279=123, T$279=12, T$279=13, T$279=1), Cultivar_1_Cohort_Year_Selection=$O$278), MAX(0,'Stage 2 Randomized Selection'!J$2 - 1),
IF(AND(OR(T$279=123, T$279=12, T$279=23, T$279=2), Cultivar_2_Cohort_Year_Selection=$O$278), MAX(0,'Stage 2 Randomized Selection'!J$2 - 1),
IF(AND(OR(T$279=123, T$279=13, T$279=23, T$279=3), Cultivar_3_Cohort_Year_Selection=$O$278), MAX(0,'Stage 2 Randomized Selection'!J$2 - 1), 'Stage 2 Randomized Selection'!J$2))))))),""),""),"")</f>
        <v/>
      </c>
      <c r="U370" s="496" t="str">
        <f>IF(ISNUMBER($B$280),
IF($C370&lt;&gt;"",
IF(AND(ISNUMBER('Stage 2 Randomized Selection'!K$2), 'Stage 2 Randomized Selection'!K$2&gt;0),
IF(AND(U$279=123, Cultivar_1_Cohort_Year_Selection=$O$278,Cultivar_2_Cohort_Year_Selection=$O$278,Cultivar_3_Cohort_Year_Selection=$O$278), MAX(0,'Stage 2 Randomized Selection'!K$2 - 3),
IF(AND(OR(U$279=123, U$279=12), Cultivar_1_Cohort_Year_Selection=$O$278,Cultivar_2_Cohort_Year_Selection=$O$278),  MAX(0,'Stage 2 Randomized Selection'!K$2 - 2),
IF(AND(OR(U$279=123, U$279=13), Cultivar_1_Cohort_Year_Selection=$O$278,Cultivar_3_Cohort_Year_Selection=$O$278), MAX(0,'Stage 2 Randomized Selection'!K$2 - 2),
IF(AND(OR(U$279=123, U$279=23), Cultivar_2_Cohort_Year_Selection=$O$278,Cultivar_3_Cohort_Year_Selection=$O$278), MAX(0,'Stage 2 Randomized Selection'!K$2 - 2),
IF(AND(OR(U$279=123, U$279=12, U$279=13, U$279=1), Cultivar_1_Cohort_Year_Selection=$O$278), MAX(0,'Stage 2 Randomized Selection'!K$2 - 1),
IF(AND(OR(U$279=123, U$279=12, U$279=23, U$279=2), Cultivar_2_Cohort_Year_Selection=$O$278), MAX(0,'Stage 2 Randomized Selection'!K$2 - 1),
IF(AND(OR(U$279=123, U$279=13, U$279=23, U$279=3), Cultivar_3_Cohort_Year_Selection=$O$278), MAX(0,'Stage 2 Randomized Selection'!K$2 - 1), 'Stage 2 Randomized Selection'!K$2))))))),""),""),"")</f>
        <v/>
      </c>
      <c r="V370" s="496" t="str">
        <f>IF(ISNUMBER($B$280),
IF($C370&lt;&gt;"",
IF(AND(ISNUMBER('Stage 2 Randomized Selection'!L$2), 'Stage 2 Randomized Selection'!L$2&gt;0),
IF(AND(V$279=123, Cultivar_1_Cohort_Year_Selection=$O$278,Cultivar_2_Cohort_Year_Selection=$O$278,Cultivar_3_Cohort_Year_Selection=$O$278), MAX(0,'Stage 2 Randomized Selection'!L$2 - 3),
IF(AND(OR(V$279=123, V$279=12), Cultivar_1_Cohort_Year_Selection=$O$278,Cultivar_2_Cohort_Year_Selection=$O$278),  MAX(0,'Stage 2 Randomized Selection'!L$2 - 2),
IF(AND(OR(V$279=123, V$279=13), Cultivar_1_Cohort_Year_Selection=$O$278,Cultivar_3_Cohort_Year_Selection=$O$278), MAX(0,'Stage 2 Randomized Selection'!L$2 - 2),
IF(AND(OR(V$279=123, V$279=23), Cultivar_2_Cohort_Year_Selection=$O$278,Cultivar_3_Cohort_Year_Selection=$O$278), MAX(0,'Stage 2 Randomized Selection'!L$2 - 2),
IF(AND(OR(V$279=123, V$279=12, V$279=13, V$279=1), Cultivar_1_Cohort_Year_Selection=$O$278), MAX(0,'Stage 2 Randomized Selection'!L$2 - 1),
IF(AND(OR(V$279=123, V$279=12, V$279=23, V$279=2), Cultivar_2_Cohort_Year_Selection=$O$278), MAX(0,'Stage 2 Randomized Selection'!L$2 - 1),
IF(AND(OR(V$279=123, V$279=13, V$279=23, V$279=3), Cultivar_3_Cohort_Year_Selection=$O$278), MAX(0,'Stage 2 Randomized Selection'!L$2 - 1), 'Stage 2 Randomized Selection'!L$2))))))),""),""),"")</f>
        <v/>
      </c>
      <c r="W370" s="496" t="str">
        <f>IF(ISNUMBER($B$280),
IF($C370&lt;&gt;"",
IF(AND(ISNUMBER('Stage 2 Randomized Selection'!M$2), 'Stage 2 Randomized Selection'!M$2&gt;0),
IF(AND(W$279=123, Cultivar_1_Cohort_Year_Selection=$O$278,Cultivar_2_Cohort_Year_Selection=$O$278,Cultivar_3_Cohort_Year_Selection=$O$278), MAX(0,'Stage 2 Randomized Selection'!M$2 - 3),
IF(AND(OR(W$279=123, W$279=12), Cultivar_1_Cohort_Year_Selection=$O$278,Cultivar_2_Cohort_Year_Selection=$O$278),  MAX(0,'Stage 2 Randomized Selection'!M$2 - 2),
IF(AND(OR(W$279=123, W$279=13), Cultivar_1_Cohort_Year_Selection=$O$278,Cultivar_3_Cohort_Year_Selection=$O$278), MAX(0,'Stage 2 Randomized Selection'!M$2 - 2),
IF(AND(OR(W$279=123, W$279=23), Cultivar_2_Cohort_Year_Selection=$O$278,Cultivar_3_Cohort_Year_Selection=$O$278), MAX(0,'Stage 2 Randomized Selection'!M$2 - 2),
IF(AND(OR(W$279=123, W$279=12, W$279=13, W$279=1), Cultivar_1_Cohort_Year_Selection=$O$278), MAX(0,'Stage 2 Randomized Selection'!M$2 - 1),
IF(AND(OR(W$279=123, W$279=12, W$279=23, W$279=2), Cultivar_2_Cohort_Year_Selection=$O$278), MAX(0,'Stage 2 Randomized Selection'!M$2 - 1),
IF(AND(OR(W$279=123, W$279=13, W$279=23, W$279=3), Cultivar_3_Cohort_Year_Selection=$O$278), MAX(0,'Stage 2 Randomized Selection'!M$2 - 1), 'Stage 2 Randomized Selection'!M$2))))))),""),""),"")</f>
        <v/>
      </c>
      <c r="X370" s="496" t="str">
        <f>IF(ISNUMBER($B$280),
IF($C370&lt;&gt;"",
IF(AND(ISNUMBER('Stage 2 Randomized Selection'!N$2), 'Stage 2 Randomized Selection'!N$2&gt;0),
IF(AND(X$279=123, Cultivar_1_Cohort_Year_Selection=$O$278,Cultivar_2_Cohort_Year_Selection=$O$278,Cultivar_3_Cohort_Year_Selection=$O$278), MAX(0,'Stage 2 Randomized Selection'!N$2 - 3),
IF(AND(OR(X$279=123, X$279=12), Cultivar_1_Cohort_Year_Selection=$O$278,Cultivar_2_Cohort_Year_Selection=$O$278),  MAX(0,'Stage 2 Randomized Selection'!N$2 - 2),
IF(AND(OR(X$279=123, X$279=13), Cultivar_1_Cohort_Year_Selection=$O$278,Cultivar_3_Cohort_Year_Selection=$O$278), MAX(0,'Stage 2 Randomized Selection'!N$2 - 2),
IF(AND(OR(X$279=123, X$279=23), Cultivar_2_Cohort_Year_Selection=$O$278,Cultivar_3_Cohort_Year_Selection=$O$278), MAX(0,'Stage 2 Randomized Selection'!N$2 - 2),
IF(AND(OR(X$279=123, X$279=12, X$279=13, X$279=1), Cultivar_1_Cohort_Year_Selection=$O$278), MAX(0,'Stage 2 Randomized Selection'!N$2 - 1),
IF(AND(OR(X$279=123, X$279=12, X$279=23, X$279=2), Cultivar_2_Cohort_Year_Selection=$O$278), MAX(0,'Stage 2 Randomized Selection'!N$2 - 1),
IF(AND(OR(X$279=123, X$279=13, X$279=23, X$279=3), Cultivar_3_Cohort_Year_Selection=$O$278), MAX(0,'Stage 2 Randomized Selection'!N$2 - 1), 'Stage 2 Randomized Selection'!N$2))))))),""),""),"")</f>
        <v/>
      </c>
      <c r="Y370" s="496" t="str">
        <f>IF(ISNUMBER($B$280),
IF($C370&lt;&gt;"",
IF(AND(ISNUMBER('Stage 2 Randomized Selection'!O$2), 'Stage 2 Randomized Selection'!O$2&gt;0),
IF(AND(Y$279=123, Cultivar_1_Cohort_Year_Selection=$O$278,Cultivar_2_Cohort_Year_Selection=$O$278,Cultivar_3_Cohort_Year_Selection=$O$278), MAX(0,'Stage 2 Randomized Selection'!O$2 - 3),
IF(AND(OR(Y$279=123, Y$279=12), Cultivar_1_Cohort_Year_Selection=$O$278,Cultivar_2_Cohort_Year_Selection=$O$278),  MAX(0,'Stage 2 Randomized Selection'!O$2 - 2),
IF(AND(OR(Y$279=123, Y$279=13), Cultivar_1_Cohort_Year_Selection=$O$278,Cultivar_3_Cohort_Year_Selection=$O$278), MAX(0,'Stage 2 Randomized Selection'!O$2 - 2),
IF(AND(OR(Y$279=123, Y$279=23), Cultivar_2_Cohort_Year_Selection=$O$278,Cultivar_3_Cohort_Year_Selection=$O$278), MAX(0,'Stage 2 Randomized Selection'!O$2 - 2),
IF(AND(OR(Y$279=123, Y$279=12, Y$279=13, Y$279=1), Cultivar_1_Cohort_Year_Selection=$O$278), MAX(0,'Stage 2 Randomized Selection'!O$2 - 1),
IF(AND(OR(Y$279=123, Y$279=12, Y$279=23, Y$279=2), Cultivar_2_Cohort_Year_Selection=$O$278), MAX(0,'Stage 2 Randomized Selection'!O$2 - 1),
IF(AND(OR(Y$279=123, Y$279=13, Y$279=23, Y$279=3), Cultivar_3_Cohort_Year_Selection=$O$278), MAX(0,'Stage 2 Randomized Selection'!O$2 - 1), 'Stage 2 Randomized Selection'!O$2))))))),""),""),"")</f>
        <v/>
      </c>
      <c r="Z370" s="496" t="str">
        <f>IF(ISNUMBER($B$280),
IF($C370&lt;&gt;"",
IF(AND(ISNUMBER('Stage 2 Randomized Selection'!P$2), 'Stage 2 Randomized Selection'!P$2&gt;0),
IF(AND(Z$279=123, Cultivar_1_Cohort_Year_Selection=$O$278,Cultivar_2_Cohort_Year_Selection=$O$278,Cultivar_3_Cohort_Year_Selection=$O$278), MAX(0,'Stage 2 Randomized Selection'!P$2 - 3),
IF(AND(OR(Z$279=123, Z$279=12), Cultivar_1_Cohort_Year_Selection=$O$278,Cultivar_2_Cohort_Year_Selection=$O$278),  MAX(0,'Stage 2 Randomized Selection'!P$2 - 2),
IF(AND(OR(Z$279=123, Z$279=13), Cultivar_1_Cohort_Year_Selection=$O$278,Cultivar_3_Cohort_Year_Selection=$O$278), MAX(0,'Stage 2 Randomized Selection'!P$2 - 2),
IF(AND(OR(Z$279=123, Z$279=23), Cultivar_2_Cohort_Year_Selection=$O$278,Cultivar_3_Cohort_Year_Selection=$O$278), MAX(0,'Stage 2 Randomized Selection'!P$2 - 2),
IF(AND(OR(Z$279=123, Z$279=12, Z$279=13, Z$279=1), Cultivar_1_Cohort_Year_Selection=$O$278), MAX(0,'Stage 2 Randomized Selection'!P$2 - 1),
IF(AND(OR(Z$279=123, Z$279=12, Z$279=23, Z$279=2), Cultivar_2_Cohort_Year_Selection=$O$278), MAX(0,'Stage 2 Randomized Selection'!P$2 - 1),
IF(AND(OR(Z$279=123, Z$279=13, Z$279=23, Z$279=3), Cultivar_3_Cohort_Year_Selection=$O$278), MAX(0,'Stage 2 Randomized Selection'!P$2 - 1), 'Stage 2 Randomized Selection'!P$2))))))),""),""),"")</f>
        <v/>
      </c>
      <c r="AA370" s="496" t="str">
        <f>IF(ISNUMBER($B$280),
IF($C370&lt;&gt;"",
IF(AND(ISNUMBER('Stage 2 Randomized Selection'!Q$2), 'Stage 2 Randomized Selection'!Q$2&gt;0),
IF(AND(AA$279=123, Cultivar_1_Cohort_Year_Selection=$O$278,Cultivar_2_Cohort_Year_Selection=$O$278,Cultivar_3_Cohort_Year_Selection=$O$278), MAX(0,'Stage 2 Randomized Selection'!Q$2 - 3),
IF(AND(OR(AA$279=123, AA$279=12), Cultivar_1_Cohort_Year_Selection=$O$278,Cultivar_2_Cohort_Year_Selection=$O$278),  MAX(0,'Stage 2 Randomized Selection'!Q$2 - 2),
IF(AND(OR(AA$279=123, AA$279=13), Cultivar_1_Cohort_Year_Selection=$O$278,Cultivar_3_Cohort_Year_Selection=$O$278), MAX(0,'Stage 2 Randomized Selection'!Q$2 - 2),
IF(AND(OR(AA$279=123, AA$279=23), Cultivar_2_Cohort_Year_Selection=$O$278,Cultivar_3_Cohort_Year_Selection=$O$278), MAX(0,'Stage 2 Randomized Selection'!Q$2 - 2),
IF(AND(OR(AA$279=123, AA$279=12, AA$279=13, AA$279=1), Cultivar_1_Cohort_Year_Selection=$O$278), MAX(0,'Stage 2 Randomized Selection'!Q$2 - 1),
IF(AND(OR(AA$279=123, AA$279=12, AA$279=23, AA$279=2), Cultivar_2_Cohort_Year_Selection=$O$278), MAX(0,'Stage 2 Randomized Selection'!Q$2 - 1),
IF(AND(OR(AA$279=123, AA$279=13, AA$279=23, AA$279=3), Cultivar_3_Cohort_Year_Selection=$O$278), MAX(0,'Stage 2 Randomized Selection'!Q$2 - 1), 'Stage 2 Randomized Selection'!Q$2))))))),""),""),"")</f>
        <v/>
      </c>
      <c r="AB370" s="496" t="str">
        <f>IF(ISNUMBER($B$280),
IF($C370&lt;&gt;"",
IF(AND(ISNUMBER('Stage 2 Randomized Selection'!R$2), 'Stage 2 Randomized Selection'!R$2&gt;0),
IF(AND(AB$279=123, Cultivar_1_Cohort_Year_Selection=$O$278,Cultivar_2_Cohort_Year_Selection=$O$278,Cultivar_3_Cohort_Year_Selection=$O$278), MAX(0,'Stage 2 Randomized Selection'!R$2 - 3),
IF(AND(OR(AB$279=123, AB$279=12), Cultivar_1_Cohort_Year_Selection=$O$278,Cultivar_2_Cohort_Year_Selection=$O$278),  MAX(0,'Stage 2 Randomized Selection'!R$2 - 2),
IF(AND(OR(AB$279=123, AB$279=13), Cultivar_1_Cohort_Year_Selection=$O$278,Cultivar_3_Cohort_Year_Selection=$O$278), MAX(0,'Stage 2 Randomized Selection'!R$2 - 2),
IF(AND(OR(AB$279=123, AB$279=23), Cultivar_2_Cohort_Year_Selection=$O$278,Cultivar_3_Cohort_Year_Selection=$O$278), MAX(0,'Stage 2 Randomized Selection'!R$2 - 2),
IF(AND(OR(AB$279=123, AB$279=12, AB$279=13, AB$279=1), Cultivar_1_Cohort_Year_Selection=$O$278), MAX(0,'Stage 2 Randomized Selection'!R$2 - 1),
IF(AND(OR(AB$279=123, AB$279=12, AB$279=23, AB$279=2), Cultivar_2_Cohort_Year_Selection=$O$278), MAX(0,'Stage 2 Randomized Selection'!R$2 - 1),
IF(AND(OR(AB$279=123, AB$279=13, AB$279=23, AB$279=3), Cultivar_3_Cohort_Year_Selection=$O$278), MAX(0,'Stage 2 Randomized Selection'!R$2 - 1), 'Stage 2 Randomized Selection'!R$2))))))),""),""),"")</f>
        <v/>
      </c>
      <c r="AC370" s="496" t="str">
        <f>IF(ISNUMBER($B$280),
IF($C370&lt;&gt;"",
IF(AND(ISNUMBER('Stage 2 Randomized Selection'!S$2), 'Stage 2 Randomized Selection'!S$2&gt;0),
IF(AND(AC$279=123, Cultivar_1_Cohort_Year_Selection=$O$278,Cultivar_2_Cohort_Year_Selection=$O$278,Cultivar_3_Cohort_Year_Selection=$O$278), MAX(0,'Stage 2 Randomized Selection'!S$2 - 3),
IF(AND(OR(AC$279=123, AC$279=12), Cultivar_1_Cohort_Year_Selection=$O$278,Cultivar_2_Cohort_Year_Selection=$O$278),  MAX(0,'Stage 2 Randomized Selection'!S$2 - 2),
IF(AND(OR(AC$279=123, AC$279=13), Cultivar_1_Cohort_Year_Selection=$O$278,Cultivar_3_Cohort_Year_Selection=$O$278), MAX(0,'Stage 2 Randomized Selection'!S$2 - 2),
IF(AND(OR(AC$279=123, AC$279=23), Cultivar_2_Cohort_Year_Selection=$O$278,Cultivar_3_Cohort_Year_Selection=$O$278), MAX(0,'Stage 2 Randomized Selection'!S$2 - 2),
IF(AND(OR(AC$279=123, AC$279=12, AC$279=13, AC$279=1), Cultivar_1_Cohort_Year_Selection=$O$278), MAX(0,'Stage 2 Randomized Selection'!S$2 - 1),
IF(AND(OR(AC$279=123, AC$279=12, AC$279=23, AC$279=2), Cultivar_2_Cohort_Year_Selection=$O$278), MAX(0,'Stage 2 Randomized Selection'!S$2 - 1),
IF(AND(OR(AC$279=123, AC$279=13, AC$279=23, AC$279=3), Cultivar_3_Cohort_Year_Selection=$O$278), MAX(0,'Stage 2 Randomized Selection'!S$2 - 1), 'Stage 2 Randomized Selection'!S$2))))))),""),""),"")</f>
        <v/>
      </c>
      <c r="AD370" s="496" t="str">
        <f>IF(ISNUMBER($B$280),
IF($C370&lt;&gt;"",
IF(AND(ISNUMBER('Stage 2 Randomized Selection'!T$2), 'Stage 2 Randomized Selection'!T$2&gt;0),
IF(AND(AD$279=123, Cultivar_1_Cohort_Year_Selection=$O$278,Cultivar_2_Cohort_Year_Selection=$O$278,Cultivar_3_Cohort_Year_Selection=$O$278), MAX(0,'Stage 2 Randomized Selection'!T$2 - 3),
IF(AND(OR(AD$279=123, AD$279=12), Cultivar_1_Cohort_Year_Selection=$O$278,Cultivar_2_Cohort_Year_Selection=$O$278),  MAX(0,'Stage 2 Randomized Selection'!T$2 - 2),
IF(AND(OR(AD$279=123, AD$279=13), Cultivar_1_Cohort_Year_Selection=$O$278,Cultivar_3_Cohort_Year_Selection=$O$278), MAX(0,'Stage 2 Randomized Selection'!T$2 - 2),
IF(AND(OR(AD$279=123, AD$279=23), Cultivar_2_Cohort_Year_Selection=$O$278,Cultivar_3_Cohort_Year_Selection=$O$278), MAX(0,'Stage 2 Randomized Selection'!T$2 - 2),
IF(AND(OR(AD$279=123, AD$279=12, AD$279=13, AD$279=1), Cultivar_1_Cohort_Year_Selection=$O$278), MAX(0,'Stage 2 Randomized Selection'!T$2 - 1),
IF(AND(OR(AD$279=123, AD$279=12, AD$279=23, AD$279=2), Cultivar_2_Cohort_Year_Selection=$O$278), MAX(0,'Stage 2 Randomized Selection'!T$2 - 1),
IF(AND(OR(AD$279=123, AD$279=13, AD$279=23, AD$279=3), Cultivar_3_Cohort_Year_Selection=$O$278), MAX(0,'Stage 2 Randomized Selection'!T$2 - 1), 'Stage 2 Randomized Selection'!T$2))))))),""),""),"")</f>
        <v/>
      </c>
      <c r="AE370" s="496" t="str">
        <f>IF(ISNUMBER($B$280),
IF($C370&lt;&gt;"",
IF(AND(ISNUMBER('Stage 2 Randomized Selection'!U$2), 'Stage 2 Randomized Selection'!U$2&gt;0),
IF(AND(AE$279=123, Cultivar_1_Cohort_Year_Selection=$O$278,Cultivar_2_Cohort_Year_Selection=$O$278,Cultivar_3_Cohort_Year_Selection=$O$278), MAX(0,'Stage 2 Randomized Selection'!U$2 - 3),
IF(AND(OR(AE$279=123, AE$279=12), Cultivar_1_Cohort_Year_Selection=$O$278,Cultivar_2_Cohort_Year_Selection=$O$278),  MAX(0,'Stage 2 Randomized Selection'!U$2 - 2),
IF(AND(OR(AE$279=123, AE$279=13), Cultivar_1_Cohort_Year_Selection=$O$278,Cultivar_3_Cohort_Year_Selection=$O$278), MAX(0,'Stage 2 Randomized Selection'!U$2 - 2),
IF(AND(OR(AE$279=123, AE$279=23), Cultivar_2_Cohort_Year_Selection=$O$278,Cultivar_3_Cohort_Year_Selection=$O$278), MAX(0,'Stage 2 Randomized Selection'!U$2 - 2),
IF(AND(OR(AE$279=123, AE$279=12, AE$279=13, AE$279=1), Cultivar_1_Cohort_Year_Selection=$O$278), MAX(0,'Stage 2 Randomized Selection'!U$2 - 1),
IF(AND(OR(AE$279=123, AE$279=12, AE$279=23, AE$279=2), Cultivar_2_Cohort_Year_Selection=$O$278), MAX(0,'Stage 2 Randomized Selection'!U$2 - 1),
IF(AND(OR(AE$279=123, AE$279=13, AE$279=23, AE$279=3), Cultivar_3_Cohort_Year_Selection=$O$278), MAX(0,'Stage 2 Randomized Selection'!U$2 - 1), 'Stage 2 Randomized Selection'!U$2))))))),""),""),"")</f>
        <v/>
      </c>
      <c r="AF370" s="496" t="str">
        <f>IF(ISNUMBER($B$280),
IF($C370&lt;&gt;"",
IF(AND(ISNUMBER('Stage 2 Randomized Selection'!V$2), 'Stage 2 Randomized Selection'!V$2&gt;0),
IF(AND(AF$279=123, Cultivar_1_Cohort_Year_Selection=$O$278,Cultivar_2_Cohort_Year_Selection=$O$278,Cultivar_3_Cohort_Year_Selection=$O$278), MAX(0,'Stage 2 Randomized Selection'!V$2 - 3),
IF(AND(OR(AF$279=123, AF$279=12), Cultivar_1_Cohort_Year_Selection=$O$278,Cultivar_2_Cohort_Year_Selection=$O$278),  MAX(0,'Stage 2 Randomized Selection'!V$2 - 2),
IF(AND(OR(AF$279=123, AF$279=13), Cultivar_1_Cohort_Year_Selection=$O$278,Cultivar_3_Cohort_Year_Selection=$O$278), MAX(0,'Stage 2 Randomized Selection'!V$2 - 2),
IF(AND(OR(AF$279=123, AF$279=23), Cultivar_2_Cohort_Year_Selection=$O$278,Cultivar_3_Cohort_Year_Selection=$O$278), MAX(0,'Stage 2 Randomized Selection'!V$2 - 2),
IF(AND(OR(AF$279=123, AF$279=12, AF$279=13, AF$279=1), Cultivar_1_Cohort_Year_Selection=$O$278), MAX(0,'Stage 2 Randomized Selection'!V$2 - 1),
IF(AND(OR(AF$279=123, AF$279=12, AF$279=23, AF$279=2), Cultivar_2_Cohort_Year_Selection=$O$278), MAX(0,'Stage 2 Randomized Selection'!V$2 - 1),
IF(AND(OR(AF$279=123, AF$279=13, AF$279=23, AF$279=3), Cultivar_3_Cohort_Year_Selection=$O$278), MAX(0,'Stage 2 Randomized Selection'!V$2 - 1), 'Stage 2 Randomized Selection'!V$2))))))),""),""),"")</f>
        <v/>
      </c>
      <c r="AG370" s="496" t="str">
        <f>IF(ISNUMBER($B$280),
IF($C370&lt;&gt;"",
IF(AND(ISNUMBER('Stage 2 Randomized Selection'!W$2), 'Stage 2 Randomized Selection'!W$2&gt;0),
IF(AND(AG$279=123, Cultivar_1_Cohort_Year_Selection=$O$278,Cultivar_2_Cohort_Year_Selection=$O$278,Cultivar_3_Cohort_Year_Selection=$O$278), MAX(0,'Stage 2 Randomized Selection'!W$2 - 3),
IF(AND(OR(AG$279=123, AG$279=12), Cultivar_1_Cohort_Year_Selection=$O$278,Cultivar_2_Cohort_Year_Selection=$O$278),  MAX(0,'Stage 2 Randomized Selection'!W$2 - 2),
IF(AND(OR(AG$279=123, AG$279=13), Cultivar_1_Cohort_Year_Selection=$O$278,Cultivar_3_Cohort_Year_Selection=$O$278), MAX(0,'Stage 2 Randomized Selection'!W$2 - 2),
IF(AND(OR(AG$279=123, AG$279=23), Cultivar_2_Cohort_Year_Selection=$O$278,Cultivar_3_Cohort_Year_Selection=$O$278), MAX(0,'Stage 2 Randomized Selection'!W$2 - 2),
IF(AND(OR(AG$279=123, AG$279=12, AG$279=13, AG$279=1), Cultivar_1_Cohort_Year_Selection=$O$278), MAX(0,'Stage 2 Randomized Selection'!W$2 - 1),
IF(AND(OR(AG$279=123, AG$279=12, AG$279=23, AG$279=2), Cultivar_2_Cohort_Year_Selection=$O$278), MAX(0,'Stage 2 Randomized Selection'!W$2 - 1),
IF(AND(OR(AG$279=123, AG$279=13, AG$279=23, AG$279=3), Cultivar_3_Cohort_Year_Selection=$O$278), MAX(0,'Stage 2 Randomized Selection'!W$2 - 1), 'Stage 2 Randomized Selection'!W$2))))))),""),""),"")</f>
        <v/>
      </c>
      <c r="AH370" s="496" t="str">
        <f>IF(ISNUMBER($B$280),
IF($C370&lt;&gt;"",
IF(AND(ISNUMBER('Stage 2 Randomized Selection'!X$2), 'Stage 2 Randomized Selection'!X$2&gt;0),
IF(AND(AH$279=123, Cultivar_1_Cohort_Year_Selection=$O$278,Cultivar_2_Cohort_Year_Selection=$O$278,Cultivar_3_Cohort_Year_Selection=$O$278), MAX(0,'Stage 2 Randomized Selection'!X$2 - 3),
IF(AND(OR(AH$279=123, AH$279=12), Cultivar_1_Cohort_Year_Selection=$O$278,Cultivar_2_Cohort_Year_Selection=$O$278),  MAX(0,'Stage 2 Randomized Selection'!X$2 - 2),
IF(AND(OR(AH$279=123, AH$279=13), Cultivar_1_Cohort_Year_Selection=$O$278,Cultivar_3_Cohort_Year_Selection=$O$278), MAX(0,'Stage 2 Randomized Selection'!X$2 - 2),
IF(AND(OR(AH$279=123, AH$279=23), Cultivar_2_Cohort_Year_Selection=$O$278,Cultivar_3_Cohort_Year_Selection=$O$278), MAX(0,'Stage 2 Randomized Selection'!X$2 - 2),
IF(AND(OR(AH$279=123, AH$279=12, AH$279=13, AH$279=1), Cultivar_1_Cohort_Year_Selection=$O$278), MAX(0,'Stage 2 Randomized Selection'!X$2 - 1),
IF(AND(OR(AH$279=123, AH$279=12, AH$279=23, AH$279=2), Cultivar_2_Cohort_Year_Selection=$O$278), MAX(0,'Stage 2 Randomized Selection'!X$2 - 1),
IF(AND(OR(AH$279=123, AH$279=13, AH$279=23, AH$279=3), Cultivar_3_Cohort_Year_Selection=$O$278), MAX(0,'Stage 2 Randomized Selection'!X$2 - 1), 'Stage 2 Randomized Selection'!X$2))))))),""),""),"")</f>
        <v/>
      </c>
      <c r="AI370" s="496" t="str">
        <f>IF(ISNUMBER($B$280),
IF($C370&lt;&gt;"",
IF(AND(ISNUMBER('Stage 2 Randomized Selection'!Y$2), 'Stage 2 Randomized Selection'!Y$2&gt;0),
IF(AND(AI$279=123, Cultivar_1_Cohort_Year_Selection=$O$278,Cultivar_2_Cohort_Year_Selection=$O$278,Cultivar_3_Cohort_Year_Selection=$O$278), MAX(0,'Stage 2 Randomized Selection'!Y$2 - 3),
IF(AND(OR(AI$279=123, AI$279=12), Cultivar_1_Cohort_Year_Selection=$O$278,Cultivar_2_Cohort_Year_Selection=$O$278),  MAX(0,'Stage 2 Randomized Selection'!Y$2 - 2),
IF(AND(OR(AI$279=123, AI$279=13), Cultivar_1_Cohort_Year_Selection=$O$278,Cultivar_3_Cohort_Year_Selection=$O$278), MAX(0,'Stage 2 Randomized Selection'!Y$2 - 2),
IF(AND(OR(AI$279=123, AI$279=23), Cultivar_2_Cohort_Year_Selection=$O$278,Cultivar_3_Cohort_Year_Selection=$O$278), MAX(0,'Stage 2 Randomized Selection'!Y$2 - 2),
IF(AND(OR(AI$279=123, AI$279=12, AI$279=13, AI$279=1), Cultivar_1_Cohort_Year_Selection=$O$278), MAX(0,'Stage 2 Randomized Selection'!Y$2 - 1),
IF(AND(OR(AI$279=123, AI$279=12, AI$279=23, AI$279=2), Cultivar_2_Cohort_Year_Selection=$O$278), MAX(0,'Stage 2 Randomized Selection'!Y$2 - 1),
IF(AND(OR(AI$279=123, AI$279=13, AI$279=23, AI$279=3), Cultivar_3_Cohort_Year_Selection=$O$278), MAX(0,'Stage 2 Randomized Selection'!Y$2 - 1), 'Stage 2 Randomized Selection'!Y$2))))))),""),""),"")</f>
        <v/>
      </c>
      <c r="AJ370" s="496" t="str">
        <f>IF(ISNUMBER($B$280),
IF($C370&lt;&gt;"",
IF(AND(ISNUMBER('Stage 2 Randomized Selection'!Z$2), 'Stage 2 Randomized Selection'!Z$2&gt;0),
IF(AND(AJ$279=123, Cultivar_1_Cohort_Year_Selection=$O$278,Cultivar_2_Cohort_Year_Selection=$O$278,Cultivar_3_Cohort_Year_Selection=$O$278), MAX(0,'Stage 2 Randomized Selection'!Z$2 - 3),
IF(AND(OR(AJ$279=123, AJ$279=12), Cultivar_1_Cohort_Year_Selection=$O$278,Cultivar_2_Cohort_Year_Selection=$O$278),  MAX(0,'Stage 2 Randomized Selection'!Z$2 - 2),
IF(AND(OR(AJ$279=123, AJ$279=13), Cultivar_1_Cohort_Year_Selection=$O$278,Cultivar_3_Cohort_Year_Selection=$O$278), MAX(0,'Stage 2 Randomized Selection'!Z$2 - 2),
IF(AND(OR(AJ$279=123, AJ$279=23), Cultivar_2_Cohort_Year_Selection=$O$278,Cultivar_3_Cohort_Year_Selection=$O$278), MAX(0,'Stage 2 Randomized Selection'!Z$2 - 2),
IF(AND(OR(AJ$279=123, AJ$279=12, AJ$279=13, AJ$279=1), Cultivar_1_Cohort_Year_Selection=$O$278), MAX(0,'Stage 2 Randomized Selection'!Z$2 - 1),
IF(AND(OR(AJ$279=123, AJ$279=12, AJ$279=23, AJ$279=2), Cultivar_2_Cohort_Year_Selection=$O$278), MAX(0,'Stage 2 Randomized Selection'!Z$2 - 1),
IF(AND(OR(AJ$279=123, AJ$279=13, AJ$279=23, AJ$279=3), Cultivar_3_Cohort_Year_Selection=$O$278), MAX(0,'Stage 2 Randomized Selection'!Z$2 - 1), 'Stage 2 Randomized Selection'!Z$2))))))),""),""),"")</f>
        <v/>
      </c>
      <c r="AK370" s="496" t="str">
        <f>IF(ISNUMBER($B$280),
IF($C370&lt;&gt;"",
IF(AND(ISNUMBER('Stage 2 Randomized Selection'!AA$2), 'Stage 2 Randomized Selection'!AA$2&gt;0),
IF(AND(AK$279=123, Cultivar_1_Cohort_Year_Selection=$O$278,Cultivar_2_Cohort_Year_Selection=$O$278,Cultivar_3_Cohort_Year_Selection=$O$278), MAX(0,'Stage 2 Randomized Selection'!AA$2 - 3),
IF(AND(OR(AK$279=123, AK$279=12), Cultivar_1_Cohort_Year_Selection=$O$278,Cultivar_2_Cohort_Year_Selection=$O$278),  MAX(0,'Stage 2 Randomized Selection'!AA$2 - 2),
IF(AND(OR(AK$279=123, AK$279=13), Cultivar_1_Cohort_Year_Selection=$O$278,Cultivar_3_Cohort_Year_Selection=$O$278), MAX(0,'Stage 2 Randomized Selection'!AA$2 - 2),
IF(AND(OR(AK$279=123, AK$279=23), Cultivar_2_Cohort_Year_Selection=$O$278,Cultivar_3_Cohort_Year_Selection=$O$278), MAX(0,'Stage 2 Randomized Selection'!AA$2 - 2),
IF(AND(OR(AK$279=123, AK$279=12, AK$279=13, AK$279=1), Cultivar_1_Cohort_Year_Selection=$O$278), MAX(0,'Stage 2 Randomized Selection'!AA$2 - 1),
IF(AND(OR(AK$279=123, AK$279=12, AK$279=23, AK$279=2), Cultivar_2_Cohort_Year_Selection=$O$278), MAX(0,'Stage 2 Randomized Selection'!AA$2 - 1),
IF(AND(OR(AK$279=123, AK$279=13, AK$279=23, AK$279=3), Cultivar_3_Cohort_Year_Selection=$O$278), MAX(0,'Stage 2 Randomized Selection'!AA$2 - 1), 'Stage 2 Randomized Selection'!AA$2))))))),""),""),"")</f>
        <v/>
      </c>
      <c r="AL370" s="496" t="str">
        <f>IF(ISNUMBER($B$280),
IF($C370&lt;&gt;"",
IF(AND(ISNUMBER('Stage 2 Randomized Selection'!AB$2), 'Stage 2 Randomized Selection'!AB$2&gt;0),
IF(AND(AL$279=123, Cultivar_1_Cohort_Year_Selection=$O$278,Cultivar_2_Cohort_Year_Selection=$O$278,Cultivar_3_Cohort_Year_Selection=$O$278), MAX(0,'Stage 2 Randomized Selection'!AB$2 - 3),
IF(AND(OR(AL$279=123, AL$279=12), Cultivar_1_Cohort_Year_Selection=$O$278,Cultivar_2_Cohort_Year_Selection=$O$278),  MAX(0,'Stage 2 Randomized Selection'!AB$2 - 2),
IF(AND(OR(AL$279=123, AL$279=13), Cultivar_1_Cohort_Year_Selection=$O$278,Cultivar_3_Cohort_Year_Selection=$O$278), MAX(0,'Stage 2 Randomized Selection'!AB$2 - 2),
IF(AND(OR(AL$279=123, AL$279=23), Cultivar_2_Cohort_Year_Selection=$O$278,Cultivar_3_Cohort_Year_Selection=$O$278), MAX(0,'Stage 2 Randomized Selection'!AB$2 - 2),
IF(AND(OR(AL$279=123, AL$279=12, AL$279=13, AL$279=1), Cultivar_1_Cohort_Year_Selection=$O$278), MAX(0,'Stage 2 Randomized Selection'!AB$2 - 1),
IF(AND(OR(AL$279=123, AL$279=12, AL$279=23, AL$279=2), Cultivar_2_Cohort_Year_Selection=$O$278), MAX(0,'Stage 2 Randomized Selection'!AB$2 - 1),
IF(AND(OR(AL$279=123, AL$279=13, AL$279=23, AL$279=3), Cultivar_3_Cohort_Year_Selection=$O$278), MAX(0,'Stage 2 Randomized Selection'!AB$2 - 1), 'Stage 2 Randomized Selection'!AB$2))))))),""),""),"")</f>
        <v/>
      </c>
      <c r="AM370" s="496" t="str">
        <f>IF(ISNUMBER($B$280),
IF($C370&lt;&gt;"",
IF(AND(ISNUMBER('Stage 2 Randomized Selection'!AC$2), 'Stage 2 Randomized Selection'!AC$2&gt;0),
IF(AND(AM$279=123, Cultivar_1_Cohort_Year_Selection=$O$278,Cultivar_2_Cohort_Year_Selection=$O$278,Cultivar_3_Cohort_Year_Selection=$O$278), MAX(0,'Stage 2 Randomized Selection'!AC$2 - 3),
IF(AND(OR(AM$279=123, AM$279=12), Cultivar_1_Cohort_Year_Selection=$O$278,Cultivar_2_Cohort_Year_Selection=$O$278),  MAX(0,'Stage 2 Randomized Selection'!AC$2 - 2),
IF(AND(OR(AM$279=123, AM$279=13), Cultivar_1_Cohort_Year_Selection=$O$278,Cultivar_3_Cohort_Year_Selection=$O$278), MAX(0,'Stage 2 Randomized Selection'!AC$2 - 2),
IF(AND(OR(AM$279=123, AM$279=23), Cultivar_2_Cohort_Year_Selection=$O$278,Cultivar_3_Cohort_Year_Selection=$O$278), MAX(0,'Stage 2 Randomized Selection'!AC$2 - 2),
IF(AND(OR(AM$279=123, AM$279=12, AM$279=13, AM$279=1), Cultivar_1_Cohort_Year_Selection=$O$278), MAX(0,'Stage 2 Randomized Selection'!AC$2 - 1),
IF(AND(OR(AM$279=123, AM$279=12, AM$279=23, AM$279=2), Cultivar_2_Cohort_Year_Selection=$O$278), MAX(0,'Stage 2 Randomized Selection'!AC$2 - 1),
IF(AND(OR(AM$279=123, AM$279=13, AM$279=23, AM$279=3), Cultivar_3_Cohort_Year_Selection=$O$278), MAX(0,'Stage 2 Randomized Selection'!AC$2 - 1), 'Stage 2 Randomized Selection'!AC$2))))))),""),""),"")</f>
        <v/>
      </c>
      <c r="AN370" s="496" t="str">
        <f>IF(ISNUMBER($B$280),
IF($C370&lt;&gt;"",
IF(AND(ISNUMBER('Stage 2 Randomized Selection'!AD$2), 'Stage 2 Randomized Selection'!AD$2&gt;0),
IF(AND(AN$279=123, Cultivar_1_Cohort_Year_Selection=$O$278,Cultivar_2_Cohort_Year_Selection=$O$278,Cultivar_3_Cohort_Year_Selection=$O$278), MAX(0,'Stage 2 Randomized Selection'!AD$2 - 3),
IF(AND(OR(AN$279=123, AN$279=12), Cultivar_1_Cohort_Year_Selection=$O$278,Cultivar_2_Cohort_Year_Selection=$O$278),  MAX(0,'Stage 2 Randomized Selection'!AD$2 - 2),
IF(AND(OR(AN$279=123, AN$279=13), Cultivar_1_Cohort_Year_Selection=$O$278,Cultivar_3_Cohort_Year_Selection=$O$278), MAX(0,'Stage 2 Randomized Selection'!AD$2 - 2),
IF(AND(OR(AN$279=123, AN$279=23), Cultivar_2_Cohort_Year_Selection=$O$278,Cultivar_3_Cohort_Year_Selection=$O$278), MAX(0,'Stage 2 Randomized Selection'!AD$2 - 2),
IF(AND(OR(AN$279=123, AN$279=12, AN$279=13, AN$279=1), Cultivar_1_Cohort_Year_Selection=$O$278), MAX(0,'Stage 2 Randomized Selection'!AD$2 - 1),
IF(AND(OR(AN$279=123, AN$279=12, AN$279=23, AN$279=2), Cultivar_2_Cohort_Year_Selection=$O$278), MAX(0,'Stage 2 Randomized Selection'!AD$2 - 1),
IF(AND(OR(AN$279=123, AN$279=13, AN$279=23, AN$279=3), Cultivar_3_Cohort_Year_Selection=$O$278), MAX(0,'Stage 2 Randomized Selection'!AD$2 - 1), 'Stage 2 Randomized Selection'!AD$2))))))),""),""),"")</f>
        <v/>
      </c>
      <c r="AO370" s="496" t="str">
        <f>IF(ISNUMBER($B$280),
IF($C370&lt;&gt;"",
IF(AND(ISNUMBER('Stage 2 Randomized Selection'!AE$2), 'Stage 2 Randomized Selection'!AE$2&gt;0),
IF(AND(AO$279=123, Cultivar_1_Cohort_Year_Selection=$O$278,Cultivar_2_Cohort_Year_Selection=$O$278,Cultivar_3_Cohort_Year_Selection=$O$278), MAX(0,'Stage 2 Randomized Selection'!AE$2 - 3),
IF(AND(OR(AO$279=123, AO$279=12), Cultivar_1_Cohort_Year_Selection=$O$278,Cultivar_2_Cohort_Year_Selection=$O$278),  MAX(0,'Stage 2 Randomized Selection'!AE$2 - 2),
IF(AND(OR(AO$279=123, AO$279=13), Cultivar_1_Cohort_Year_Selection=$O$278,Cultivar_3_Cohort_Year_Selection=$O$278), MAX(0,'Stage 2 Randomized Selection'!AE$2 - 2),
IF(AND(OR(AO$279=123, AO$279=23), Cultivar_2_Cohort_Year_Selection=$O$278,Cultivar_3_Cohort_Year_Selection=$O$278), MAX(0,'Stage 2 Randomized Selection'!AE$2 - 2),
IF(AND(OR(AO$279=123, AO$279=12, AO$279=13, AO$279=1), Cultivar_1_Cohort_Year_Selection=$O$278), MAX(0,'Stage 2 Randomized Selection'!AE$2 - 1),
IF(AND(OR(AO$279=123, AO$279=12, AO$279=23, AO$279=2), Cultivar_2_Cohort_Year_Selection=$O$278), MAX(0,'Stage 2 Randomized Selection'!AE$2 - 1),
IF(AND(OR(AO$279=123, AO$279=13, AO$279=23, AO$279=3), Cultivar_3_Cohort_Year_Selection=$O$278), MAX(0,'Stage 2 Randomized Selection'!AE$2 - 1), 'Stage 2 Randomized Selection'!AE$2))))))),""),""),"")</f>
        <v/>
      </c>
      <c r="AP370" s="496" t="str">
        <f>IF(ISNUMBER($B$280),
IF($C370&lt;&gt;"",
IF(AND(ISNUMBER('Stage 2 Randomized Selection'!AF$2), 'Stage 2 Randomized Selection'!AF$2&gt;0),
IF(AND(AP$279=123, Cultivar_1_Cohort_Year_Selection=$O$278,Cultivar_2_Cohort_Year_Selection=$O$278,Cultivar_3_Cohort_Year_Selection=$O$278), MAX(0,'Stage 2 Randomized Selection'!AF$2 - 3),
IF(AND(OR(AP$279=123, AP$279=12), Cultivar_1_Cohort_Year_Selection=$O$278,Cultivar_2_Cohort_Year_Selection=$O$278),  MAX(0,'Stage 2 Randomized Selection'!AF$2 - 2),
IF(AND(OR(AP$279=123, AP$279=13), Cultivar_1_Cohort_Year_Selection=$O$278,Cultivar_3_Cohort_Year_Selection=$O$278), MAX(0,'Stage 2 Randomized Selection'!AF$2 - 2),
IF(AND(OR(AP$279=123, AP$279=23), Cultivar_2_Cohort_Year_Selection=$O$278,Cultivar_3_Cohort_Year_Selection=$O$278), MAX(0,'Stage 2 Randomized Selection'!AF$2 - 2),
IF(AND(OR(AP$279=123, AP$279=12, AP$279=13, AP$279=1), Cultivar_1_Cohort_Year_Selection=$O$278), MAX(0,'Stage 2 Randomized Selection'!AF$2 - 1),
IF(AND(OR(AP$279=123, AP$279=12, AP$279=23, AP$279=2), Cultivar_2_Cohort_Year_Selection=$O$278), MAX(0,'Stage 2 Randomized Selection'!AF$2 - 1),
IF(AND(OR(AP$279=123, AP$279=13, AP$279=23, AP$279=3), Cultivar_3_Cohort_Year_Selection=$O$278), MAX(0,'Stage 2 Randomized Selection'!AF$2 - 1), 'Stage 2 Randomized Selection'!AF$2))))))),""),""),"")</f>
        <v/>
      </c>
      <c r="AQ370" s="496" t="str">
        <f>IF(ISNUMBER($B$280),
IF($C370&lt;&gt;"",
IF(AND(ISNUMBER('Stage 2 Randomized Selection'!AG$2), 'Stage 2 Randomized Selection'!AG$2&gt;0),
IF(AND(AQ$279=123, Cultivar_1_Cohort_Year_Selection=$O$278,Cultivar_2_Cohort_Year_Selection=$O$278,Cultivar_3_Cohort_Year_Selection=$O$278), MAX(0,'Stage 2 Randomized Selection'!AG$2 - 3),
IF(AND(OR(AQ$279=123, AQ$279=12), Cultivar_1_Cohort_Year_Selection=$O$278,Cultivar_2_Cohort_Year_Selection=$O$278),  MAX(0,'Stage 2 Randomized Selection'!AG$2 - 2),
IF(AND(OR(AQ$279=123, AQ$279=13), Cultivar_1_Cohort_Year_Selection=$O$278,Cultivar_3_Cohort_Year_Selection=$O$278), MAX(0,'Stage 2 Randomized Selection'!AG$2 - 2),
IF(AND(OR(AQ$279=123, AQ$279=23), Cultivar_2_Cohort_Year_Selection=$O$278,Cultivar_3_Cohort_Year_Selection=$O$278), MAX(0,'Stage 2 Randomized Selection'!AG$2 - 2),
IF(AND(OR(AQ$279=123, AQ$279=12, AQ$279=13, AQ$279=1), Cultivar_1_Cohort_Year_Selection=$O$278), MAX(0,'Stage 2 Randomized Selection'!AG$2 - 1),
IF(AND(OR(AQ$279=123, AQ$279=12, AQ$279=23, AQ$279=2), Cultivar_2_Cohort_Year_Selection=$O$278), MAX(0,'Stage 2 Randomized Selection'!AG$2 - 1),
IF(AND(OR(AQ$279=123, AQ$279=13, AQ$279=23, AQ$279=3), Cultivar_3_Cohort_Year_Selection=$O$278), MAX(0,'Stage 2 Randomized Selection'!AG$2 - 1), 'Stage 2 Randomized Selection'!AG$2))))))),""),""),"")</f>
        <v/>
      </c>
      <c r="AR370" s="496" t="str">
        <f>IF(ISNUMBER($B$280),
IF($C370&lt;&gt;"",
IF(AND(ISNUMBER('Stage 2 Randomized Selection'!AH$2), 'Stage 2 Randomized Selection'!AH$2&gt;0),
IF(AND(AR$279=123, Cultivar_1_Cohort_Year_Selection=$O$278,Cultivar_2_Cohort_Year_Selection=$O$278,Cultivar_3_Cohort_Year_Selection=$O$278), MAX(0,'Stage 2 Randomized Selection'!AH$2 - 3),
IF(AND(OR(AR$279=123, AR$279=12), Cultivar_1_Cohort_Year_Selection=$O$278,Cultivar_2_Cohort_Year_Selection=$O$278),  MAX(0,'Stage 2 Randomized Selection'!AH$2 - 2),
IF(AND(OR(AR$279=123, AR$279=13), Cultivar_1_Cohort_Year_Selection=$O$278,Cultivar_3_Cohort_Year_Selection=$O$278), MAX(0,'Stage 2 Randomized Selection'!AH$2 - 2),
IF(AND(OR(AR$279=123, AR$279=23), Cultivar_2_Cohort_Year_Selection=$O$278,Cultivar_3_Cohort_Year_Selection=$O$278), MAX(0,'Stage 2 Randomized Selection'!AH$2 - 2),
IF(AND(OR(AR$279=123, AR$279=12, AR$279=13, AR$279=1), Cultivar_1_Cohort_Year_Selection=$O$278), MAX(0,'Stage 2 Randomized Selection'!AH$2 - 1),
IF(AND(OR(AR$279=123, AR$279=12, AR$279=23, AR$279=2), Cultivar_2_Cohort_Year_Selection=$O$278), MAX(0,'Stage 2 Randomized Selection'!AH$2 - 1),
IF(AND(OR(AR$279=123, AR$279=13, AR$279=23, AR$279=3), Cultivar_3_Cohort_Year_Selection=$O$278), MAX(0,'Stage 2 Randomized Selection'!AH$2 - 1), 'Stage 2 Randomized Selection'!AH$2))))))),""),""),"")</f>
        <v/>
      </c>
      <c r="AS370" s="496" t="str">
        <f>IF(ISNUMBER($B$280),
IF($C370&lt;&gt;"",
IF(AND(ISNUMBER('Stage 2 Randomized Selection'!AI$2), 'Stage 2 Randomized Selection'!AI$2&gt;0),
IF(AND(AS$279=123, Cultivar_1_Cohort_Year_Selection=$O$278,Cultivar_2_Cohort_Year_Selection=$O$278,Cultivar_3_Cohort_Year_Selection=$O$278), MAX(0,'Stage 2 Randomized Selection'!AI$2 - 3),
IF(AND(OR(AS$279=123, AS$279=12), Cultivar_1_Cohort_Year_Selection=$O$278,Cultivar_2_Cohort_Year_Selection=$O$278),  MAX(0,'Stage 2 Randomized Selection'!AI$2 - 2),
IF(AND(OR(AS$279=123, AS$279=13), Cultivar_1_Cohort_Year_Selection=$O$278,Cultivar_3_Cohort_Year_Selection=$O$278), MAX(0,'Stage 2 Randomized Selection'!AI$2 - 2),
IF(AND(OR(AS$279=123, AS$279=23), Cultivar_2_Cohort_Year_Selection=$O$278,Cultivar_3_Cohort_Year_Selection=$O$278), MAX(0,'Stage 2 Randomized Selection'!AI$2 - 2),
IF(AND(OR(AS$279=123, AS$279=12, AS$279=13, AS$279=1), Cultivar_1_Cohort_Year_Selection=$O$278), MAX(0,'Stage 2 Randomized Selection'!AI$2 - 1),
IF(AND(OR(AS$279=123, AS$279=12, AS$279=23, AS$279=2), Cultivar_2_Cohort_Year_Selection=$O$278), MAX(0,'Stage 2 Randomized Selection'!AI$2 - 1),
IF(AND(OR(AS$279=123, AS$279=13, AS$279=23, AS$279=3), Cultivar_3_Cohort_Year_Selection=$O$278), MAX(0,'Stage 2 Randomized Selection'!AI$2 - 1), 'Stage 2 Randomized Selection'!AI$2))))))),""),""),"")</f>
        <v/>
      </c>
    </row>
    <row r="371" spans="1:45" x14ac:dyDescent="0.25">
      <c r="A371" s="518"/>
      <c r="B371" s="504"/>
      <c r="C371" s="104" t="str">
        <f>IF(AND(ISNUMBER(B369), OR('Cost Inputs'!$H$107&lt;&gt;"", 'Cost Inputs'!$I$107&lt;&gt;"", 'Cost Inputs'!$J$107&lt;&gt;"")), _4_3_1, "")</f>
        <v/>
      </c>
      <c r="D371" s="17" t="str">
        <f>IF(AND(C371&lt;&gt;"", 'Cost Inputs'!$G$107&lt;&gt;""), 'Cost Inputs'!$G$107, "")</f>
        <v/>
      </c>
      <c r="E371" s="17" t="str">
        <f>IF(AND(C371&lt;&gt;"", 'Cost Inputs'!$H$107&lt;&gt;""), 'Cost Inputs'!$H$107, "")</f>
        <v/>
      </c>
      <c r="F371" s="17" t="str">
        <f>IF(AND(C371&lt;&gt;"", 'Cost Inputs'!$I$107&lt;&gt;""), 'Cost Inputs'!$I$107, "")</f>
        <v/>
      </c>
      <c r="G371" s="105" t="str">
        <f t="shared" si="63"/>
        <v/>
      </c>
      <c r="H371" s="17" t="str">
        <f>IF(AND(C371&lt;&gt;"", 'Cost Inputs'!$J$107&lt;&gt;""), 'Cost Inputs'!$J$107, "")</f>
        <v/>
      </c>
      <c r="I371" s="17" t="str">
        <f t="shared" ref="I371:I379" si="98">IF($C371&lt;&gt;"", IF(AND($E371&lt;&gt;"", H371&lt;&gt;""), H371/$E371, 0),"")</f>
        <v/>
      </c>
      <c r="J371" s="17" t="str">
        <f>IF(AND(C371&lt;&gt;"",('Cost Inputs'!$I$107+'Cost Inputs'!$J$107+'Cost Inputs'!$K$107)&gt;0), 'Cost Inputs'!$I$107+'Cost Inputs'!$J$107+'Cost Inputs'!$K$107, "")</f>
        <v/>
      </c>
      <c r="K371" s="17" t="str">
        <f t="shared" ref="K371:K379" si="99">IF($C371&lt;&gt;"", IF(AND($E371&lt;&gt;"", J371&lt;&gt;""), J371/$E371, 0),"")</f>
        <v/>
      </c>
      <c r="L371" s="525"/>
      <c r="M371" s="525"/>
      <c r="R371" s="17" t="str">
        <f t="shared" ref="R371:AS371" si="100">IF(ISNUMBER($B$369),
IF($C371&lt;&gt;"",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71" s="17" t="str">
        <f t="shared" si="100"/>
        <v/>
      </c>
      <c r="T371" s="17" t="str">
        <f t="shared" si="100"/>
        <v/>
      </c>
      <c r="U371" s="17" t="str">
        <f t="shared" si="100"/>
        <v/>
      </c>
      <c r="V371" s="17" t="str">
        <f t="shared" si="100"/>
        <v/>
      </c>
      <c r="W371" s="17" t="str">
        <f t="shared" si="100"/>
        <v/>
      </c>
      <c r="X371" s="17" t="str">
        <f t="shared" si="100"/>
        <v/>
      </c>
      <c r="Y371" s="17" t="str">
        <f t="shared" si="100"/>
        <v/>
      </c>
      <c r="Z371" s="17" t="str">
        <f t="shared" si="100"/>
        <v/>
      </c>
      <c r="AA371" s="17" t="str">
        <f t="shared" si="100"/>
        <v/>
      </c>
      <c r="AB371" s="17" t="str">
        <f t="shared" si="100"/>
        <v/>
      </c>
      <c r="AC371" s="17" t="str">
        <f t="shared" si="100"/>
        <v/>
      </c>
      <c r="AD371" s="17" t="str">
        <f t="shared" si="100"/>
        <v/>
      </c>
      <c r="AE371" s="17" t="str">
        <f t="shared" si="100"/>
        <v/>
      </c>
      <c r="AF371" s="17" t="str">
        <f t="shared" si="100"/>
        <v/>
      </c>
      <c r="AG371" s="17" t="str">
        <f t="shared" si="100"/>
        <v/>
      </c>
      <c r="AH371" s="17" t="str">
        <f t="shared" si="100"/>
        <v/>
      </c>
      <c r="AI371" s="17" t="str">
        <f t="shared" si="100"/>
        <v/>
      </c>
      <c r="AJ371" s="17" t="str">
        <f t="shared" si="100"/>
        <v/>
      </c>
      <c r="AK371" s="17" t="str">
        <f t="shared" si="100"/>
        <v/>
      </c>
      <c r="AL371" s="17" t="str">
        <f t="shared" si="100"/>
        <v/>
      </c>
      <c r="AM371" s="17" t="str">
        <f t="shared" si="100"/>
        <v/>
      </c>
      <c r="AN371" s="17" t="str">
        <f t="shared" si="100"/>
        <v/>
      </c>
      <c r="AO371" s="17" t="str">
        <f t="shared" si="100"/>
        <v/>
      </c>
      <c r="AP371" s="17" t="str">
        <f t="shared" si="100"/>
        <v/>
      </c>
      <c r="AQ371" s="17" t="str">
        <f t="shared" si="100"/>
        <v/>
      </c>
      <c r="AR371" s="17" t="str">
        <f t="shared" si="100"/>
        <v/>
      </c>
      <c r="AS371" s="17" t="str">
        <f t="shared" si="100"/>
        <v/>
      </c>
    </row>
    <row r="372" spans="1:45" x14ac:dyDescent="0.25">
      <c r="A372" s="518"/>
      <c r="B372" s="504"/>
      <c r="C372" s="107" t="str">
        <f>IF(AND(ISNUMBER(B369), OR('Cost Inputs'!$H$108&lt;&gt;"", 'Cost Inputs'!$I$108&lt;&gt;"", 'Cost Inputs'!$J$108&lt;&gt;"")), _4_3_2, "")</f>
        <v/>
      </c>
      <c r="D372" s="93" t="str">
        <f>IF(AND(C372&lt;&gt;"", 'Cost Inputs'!$G$108&lt;&gt;""), 'Cost Inputs'!$G$108, "")</f>
        <v/>
      </c>
      <c r="E372" s="93" t="str">
        <f>IF(AND(C372&lt;&gt;"", 'Cost Inputs'!$H$108&lt;&gt;""), 'Cost Inputs'!$H$108, "")</f>
        <v/>
      </c>
      <c r="F372" s="93" t="str">
        <f>IF(AND(C372&lt;&gt;"", 'Cost Inputs'!$I$108&lt;&gt;""), 'Cost Inputs'!$I$108, "")</f>
        <v/>
      </c>
      <c r="G372" s="108" t="str">
        <f t="shared" si="63"/>
        <v/>
      </c>
      <c r="H372" s="93" t="str">
        <f>IF(AND(C372&lt;&gt;"", 'Cost Inputs'!$J$108&lt;&gt;""), 'Cost Inputs'!$J$108, "")</f>
        <v/>
      </c>
      <c r="I372" s="93" t="str">
        <f t="shared" si="98"/>
        <v/>
      </c>
      <c r="J372" s="93" t="str">
        <f>IF(AND(C372&lt;&gt;"",('Cost Inputs'!$I$108+'Cost Inputs'!$J$108+'Cost Inputs'!$K$108)&gt;0), 'Cost Inputs'!$I$108+'Cost Inputs'!$J$108+'Cost Inputs'!$K$108, "")</f>
        <v/>
      </c>
      <c r="K372" s="93" t="str">
        <f t="shared" si="99"/>
        <v/>
      </c>
      <c r="L372" s="525"/>
      <c r="M372" s="525"/>
      <c r="R372" s="93" t="str">
        <f t="shared" ref="R372:AS372" si="101">IF(ISNUMBER($B$369),
IF($C372&lt;&gt;"",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72" s="93" t="str">
        <f t="shared" si="101"/>
        <v/>
      </c>
      <c r="T372" s="93" t="str">
        <f t="shared" si="101"/>
        <v/>
      </c>
      <c r="U372" s="93" t="str">
        <f t="shared" si="101"/>
        <v/>
      </c>
      <c r="V372" s="93" t="str">
        <f t="shared" si="101"/>
        <v/>
      </c>
      <c r="W372" s="93" t="str">
        <f t="shared" si="101"/>
        <v/>
      </c>
      <c r="X372" s="93" t="str">
        <f t="shared" si="101"/>
        <v/>
      </c>
      <c r="Y372" s="93" t="str">
        <f t="shared" si="101"/>
        <v/>
      </c>
      <c r="Z372" s="93" t="str">
        <f t="shared" si="101"/>
        <v/>
      </c>
      <c r="AA372" s="93" t="str">
        <f t="shared" si="101"/>
        <v/>
      </c>
      <c r="AB372" s="93" t="str">
        <f t="shared" si="101"/>
        <v/>
      </c>
      <c r="AC372" s="93" t="str">
        <f t="shared" si="101"/>
        <v/>
      </c>
      <c r="AD372" s="93" t="str">
        <f t="shared" si="101"/>
        <v/>
      </c>
      <c r="AE372" s="93" t="str">
        <f t="shared" si="101"/>
        <v/>
      </c>
      <c r="AF372" s="93" t="str">
        <f t="shared" si="101"/>
        <v/>
      </c>
      <c r="AG372" s="93" t="str">
        <f t="shared" si="101"/>
        <v/>
      </c>
      <c r="AH372" s="93" t="str">
        <f t="shared" si="101"/>
        <v/>
      </c>
      <c r="AI372" s="93" t="str">
        <f t="shared" si="101"/>
        <v/>
      </c>
      <c r="AJ372" s="93" t="str">
        <f t="shared" si="101"/>
        <v/>
      </c>
      <c r="AK372" s="93" t="str">
        <f t="shared" si="101"/>
        <v/>
      </c>
      <c r="AL372" s="93" t="str">
        <f t="shared" si="101"/>
        <v/>
      </c>
      <c r="AM372" s="93" t="str">
        <f t="shared" si="101"/>
        <v/>
      </c>
      <c r="AN372" s="93" t="str">
        <f t="shared" si="101"/>
        <v/>
      </c>
      <c r="AO372" s="93" t="str">
        <f t="shared" si="101"/>
        <v/>
      </c>
      <c r="AP372" s="93" t="str">
        <f t="shared" si="101"/>
        <v/>
      </c>
      <c r="AQ372" s="93" t="str">
        <f t="shared" si="101"/>
        <v/>
      </c>
      <c r="AR372" s="93" t="str">
        <f t="shared" si="101"/>
        <v/>
      </c>
      <c r="AS372" s="93" t="str">
        <f t="shared" si="101"/>
        <v/>
      </c>
    </row>
    <row r="373" spans="1:45" x14ac:dyDescent="0.25">
      <c r="A373" s="518"/>
      <c r="B373" s="504"/>
      <c r="C373" s="110" t="str">
        <f>IF(ISNUMBER(B369), _4_4_0, "")</f>
        <v/>
      </c>
      <c r="D373" s="94" t="str">
        <f>IF(AND(C373&lt;&gt;"", 'Cost Inputs'!$G$109&lt;&gt;""), 'Cost Inputs'!$G$109, "")</f>
        <v/>
      </c>
      <c r="E373" s="94" t="str">
        <f>IF(AND(C373&lt;&gt;"", 'Cost Inputs'!$H$109&lt;&gt;""), 'Cost Inputs'!$H$109, "")</f>
        <v/>
      </c>
      <c r="F373" s="94" t="str">
        <f>IF(AND(C373&lt;&gt;"", 'Cost Inputs'!$I$109&lt;&gt;""), 'Cost Inputs'!$I$109, "")</f>
        <v/>
      </c>
      <c r="G373" s="102" t="str">
        <f t="shared" si="63"/>
        <v/>
      </c>
      <c r="H373" s="102" t="str">
        <f>IF(AND(C373&lt;&gt;"", 'Cost Inputs'!$J$109&lt;&gt;""), 'Cost Inputs'!$J$109, "")</f>
        <v/>
      </c>
      <c r="I373" s="102" t="str">
        <f t="shared" si="98"/>
        <v/>
      </c>
      <c r="J373" s="102" t="str">
        <f>IF(AND(C373&lt;&gt;"",('Cost Inputs'!$I$109+'Cost Inputs'!$J$109+'Cost Inputs'!$K$109)&gt;0), 'Cost Inputs'!$I$109+'Cost Inputs'!$J$109+'Cost Inputs'!$K$109, "")</f>
        <v/>
      </c>
      <c r="K373" s="102" t="str">
        <f t="shared" si="99"/>
        <v/>
      </c>
      <c r="L373" s="525"/>
      <c r="M373" s="525"/>
      <c r="R373" s="102" t="str">
        <f t="shared" ref="R373:AS373" si="102">IF(ISNUMBER($B$369),
IF($C373&lt;&gt;"",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73" s="102" t="str">
        <f t="shared" si="102"/>
        <v/>
      </c>
      <c r="T373" s="102" t="str">
        <f t="shared" si="102"/>
        <v/>
      </c>
      <c r="U373" s="102" t="str">
        <f t="shared" si="102"/>
        <v/>
      </c>
      <c r="V373" s="102" t="str">
        <f t="shared" si="102"/>
        <v/>
      </c>
      <c r="W373" s="102" t="str">
        <f t="shared" si="102"/>
        <v/>
      </c>
      <c r="X373" s="102" t="str">
        <f t="shared" si="102"/>
        <v/>
      </c>
      <c r="Y373" s="102" t="str">
        <f t="shared" si="102"/>
        <v/>
      </c>
      <c r="Z373" s="102" t="str">
        <f t="shared" si="102"/>
        <v/>
      </c>
      <c r="AA373" s="102" t="str">
        <f t="shared" si="102"/>
        <v/>
      </c>
      <c r="AB373" s="102" t="str">
        <f t="shared" si="102"/>
        <v/>
      </c>
      <c r="AC373" s="102" t="str">
        <f t="shared" si="102"/>
        <v/>
      </c>
      <c r="AD373" s="102" t="str">
        <f t="shared" si="102"/>
        <v/>
      </c>
      <c r="AE373" s="102" t="str">
        <f t="shared" si="102"/>
        <v/>
      </c>
      <c r="AF373" s="102" t="str">
        <f t="shared" si="102"/>
        <v/>
      </c>
      <c r="AG373" s="102" t="str">
        <f t="shared" si="102"/>
        <v/>
      </c>
      <c r="AH373" s="102" t="str">
        <f t="shared" si="102"/>
        <v/>
      </c>
      <c r="AI373" s="102" t="str">
        <f t="shared" si="102"/>
        <v/>
      </c>
      <c r="AJ373" s="102" t="str">
        <f t="shared" si="102"/>
        <v/>
      </c>
      <c r="AK373" s="102" t="str">
        <f t="shared" si="102"/>
        <v/>
      </c>
      <c r="AL373" s="102" t="str">
        <f t="shared" si="102"/>
        <v/>
      </c>
      <c r="AM373" s="102" t="str">
        <f t="shared" si="102"/>
        <v/>
      </c>
      <c r="AN373" s="102" t="str">
        <f t="shared" si="102"/>
        <v/>
      </c>
      <c r="AO373" s="102" t="str">
        <f t="shared" si="102"/>
        <v/>
      </c>
      <c r="AP373" s="102" t="str">
        <f t="shared" si="102"/>
        <v/>
      </c>
      <c r="AQ373" s="102" t="str">
        <f t="shared" si="102"/>
        <v/>
      </c>
      <c r="AR373" s="102" t="str">
        <f t="shared" si="102"/>
        <v/>
      </c>
      <c r="AS373" s="102" t="str">
        <f t="shared" si="102"/>
        <v/>
      </c>
    </row>
    <row r="374" spans="1:45" x14ac:dyDescent="0.25">
      <c r="A374" s="518"/>
      <c r="B374" s="504"/>
      <c r="C374" s="104" t="str">
        <f>IF(AND(ISNUMBER(B369), OR('Cost Inputs'!$H$110&lt;&gt;"", 'Cost Inputs'!$I$110&lt;&gt;"", 'Cost Inputs'!$J$110&lt;&gt;"")), _4_4_1, "")</f>
        <v/>
      </c>
      <c r="D374" s="17" t="str">
        <f>IF(AND(C374&lt;&gt;"", 'Cost Inputs'!$G$110&lt;&gt;""), 'Cost Inputs'!$G$110, "")</f>
        <v/>
      </c>
      <c r="E374" s="17" t="str">
        <f>IF(AND(C374&lt;&gt;"", 'Cost Inputs'!$H$110&lt;&gt;""), 'Cost Inputs'!$H$110, "")</f>
        <v/>
      </c>
      <c r="F374" s="17" t="str">
        <f>IF(AND(C374&lt;&gt;"", 'Cost Inputs'!$I$110&lt;&gt;""), 'Cost Inputs'!$I$110, "")</f>
        <v/>
      </c>
      <c r="G374" s="105" t="str">
        <f t="shared" si="63"/>
        <v/>
      </c>
      <c r="H374" s="17" t="str">
        <f>IF(AND(C374&lt;&gt;"", 'Cost Inputs'!$J$110&lt;&gt;""), 'Cost Inputs'!$J$110, "")</f>
        <v/>
      </c>
      <c r="I374" s="17" t="str">
        <f t="shared" si="98"/>
        <v/>
      </c>
      <c r="J374" s="17" t="str">
        <f>IF(AND(C374&lt;&gt;"",('Cost Inputs'!$I$110+'Cost Inputs'!$J$110+'Cost Inputs'!$K$110)&gt;0), 'Cost Inputs'!$I$110+'Cost Inputs'!$J$110+'Cost Inputs'!$K$110, "")</f>
        <v/>
      </c>
      <c r="K374" s="17" t="str">
        <f t="shared" si="99"/>
        <v/>
      </c>
      <c r="L374" s="525"/>
      <c r="M374" s="525"/>
      <c r="R374" s="17" t="str">
        <f t="shared" ref="R374:AS374" si="103">IF(ISNUMBER($B$369),
IF($C374&lt;&gt;"",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74" s="17" t="str">
        <f t="shared" si="103"/>
        <v/>
      </c>
      <c r="T374" s="17" t="str">
        <f t="shared" si="103"/>
        <v/>
      </c>
      <c r="U374" s="17" t="str">
        <f t="shared" si="103"/>
        <v/>
      </c>
      <c r="V374" s="17" t="str">
        <f t="shared" si="103"/>
        <v/>
      </c>
      <c r="W374" s="17" t="str">
        <f t="shared" si="103"/>
        <v/>
      </c>
      <c r="X374" s="17" t="str">
        <f t="shared" si="103"/>
        <v/>
      </c>
      <c r="Y374" s="17" t="str">
        <f t="shared" si="103"/>
        <v/>
      </c>
      <c r="Z374" s="17" t="str">
        <f t="shared" si="103"/>
        <v/>
      </c>
      <c r="AA374" s="17" t="str">
        <f t="shared" si="103"/>
        <v/>
      </c>
      <c r="AB374" s="17" t="str">
        <f t="shared" si="103"/>
        <v/>
      </c>
      <c r="AC374" s="17" t="str">
        <f t="shared" si="103"/>
        <v/>
      </c>
      <c r="AD374" s="17" t="str">
        <f t="shared" si="103"/>
        <v/>
      </c>
      <c r="AE374" s="17" t="str">
        <f t="shared" si="103"/>
        <v/>
      </c>
      <c r="AF374" s="17" t="str">
        <f t="shared" si="103"/>
        <v/>
      </c>
      <c r="AG374" s="17" t="str">
        <f t="shared" si="103"/>
        <v/>
      </c>
      <c r="AH374" s="17" t="str">
        <f t="shared" si="103"/>
        <v/>
      </c>
      <c r="AI374" s="17" t="str">
        <f t="shared" si="103"/>
        <v/>
      </c>
      <c r="AJ374" s="17" t="str">
        <f t="shared" si="103"/>
        <v/>
      </c>
      <c r="AK374" s="17" t="str">
        <f t="shared" si="103"/>
        <v/>
      </c>
      <c r="AL374" s="17" t="str">
        <f t="shared" si="103"/>
        <v/>
      </c>
      <c r="AM374" s="17" t="str">
        <f t="shared" si="103"/>
        <v/>
      </c>
      <c r="AN374" s="17" t="str">
        <f t="shared" si="103"/>
        <v/>
      </c>
      <c r="AO374" s="17" t="str">
        <f t="shared" si="103"/>
        <v/>
      </c>
      <c r="AP374" s="17" t="str">
        <f t="shared" si="103"/>
        <v/>
      </c>
      <c r="AQ374" s="17" t="str">
        <f t="shared" si="103"/>
        <v/>
      </c>
      <c r="AR374" s="17" t="str">
        <f t="shared" si="103"/>
        <v/>
      </c>
      <c r="AS374" s="17" t="str">
        <f t="shared" si="103"/>
        <v/>
      </c>
    </row>
    <row r="375" spans="1:45" x14ac:dyDescent="0.25">
      <c r="A375" s="518"/>
      <c r="B375" s="504"/>
      <c r="C375" s="107" t="str">
        <f>IF(AND(ISNUMBER(B369), OR('Cost Inputs'!$H$111&lt;&gt;"", 'Cost Inputs'!$I$111&lt;&gt;"", 'Cost Inputs'!$J$111&lt;&gt;"")), _4_4_2, "")</f>
        <v/>
      </c>
      <c r="D375" s="93" t="str">
        <f>IF(AND(C375&lt;&gt;"", 'Cost Inputs'!$G$111&lt;&gt;""), 'Cost Inputs'!$G$111, "")</f>
        <v/>
      </c>
      <c r="E375" s="93" t="str">
        <f>IF(AND(C375&lt;&gt;"", 'Cost Inputs'!$H$111&lt;&gt;""), 'Cost Inputs'!$H$111, "")</f>
        <v/>
      </c>
      <c r="F375" s="93" t="str">
        <f>IF(AND(C375&lt;&gt;"", 'Cost Inputs'!$I$111&lt;&gt;""), 'Cost Inputs'!$I$111, "")</f>
        <v/>
      </c>
      <c r="G375" s="108" t="str">
        <f t="shared" si="63"/>
        <v/>
      </c>
      <c r="H375" s="93" t="str">
        <f>IF(AND(C375&lt;&gt;"", 'Cost Inputs'!$J$111&lt;&gt;""), 'Cost Inputs'!$J$111, "")</f>
        <v/>
      </c>
      <c r="I375" s="93" t="str">
        <f t="shared" si="98"/>
        <v/>
      </c>
      <c r="J375" s="93" t="str">
        <f>IF(AND(C375&lt;&gt;"",('Cost Inputs'!$I$111+'Cost Inputs'!$J$111+'Cost Inputs'!$K$111)&gt;0), 'Cost Inputs'!$I$111+'Cost Inputs'!$J$111+'Cost Inputs'!$K$111, "")</f>
        <v/>
      </c>
      <c r="K375" s="93" t="str">
        <f t="shared" si="99"/>
        <v/>
      </c>
      <c r="L375" s="525"/>
      <c r="M375" s="525"/>
      <c r="R375" s="93" t="str">
        <f t="shared" ref="R375:AS375" si="104">IF(ISNUMBER($B$369),
IF($C375&lt;&gt;"",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75" s="93" t="str">
        <f t="shared" si="104"/>
        <v/>
      </c>
      <c r="T375" s="93" t="str">
        <f t="shared" si="104"/>
        <v/>
      </c>
      <c r="U375" s="93" t="str">
        <f t="shared" si="104"/>
        <v/>
      </c>
      <c r="V375" s="93" t="str">
        <f t="shared" si="104"/>
        <v/>
      </c>
      <c r="W375" s="93" t="str">
        <f t="shared" si="104"/>
        <v/>
      </c>
      <c r="X375" s="93" t="str">
        <f t="shared" si="104"/>
        <v/>
      </c>
      <c r="Y375" s="93" t="str">
        <f t="shared" si="104"/>
        <v/>
      </c>
      <c r="Z375" s="93" t="str">
        <f t="shared" si="104"/>
        <v/>
      </c>
      <c r="AA375" s="93" t="str">
        <f t="shared" si="104"/>
        <v/>
      </c>
      <c r="AB375" s="93" t="str">
        <f t="shared" si="104"/>
        <v/>
      </c>
      <c r="AC375" s="93" t="str">
        <f t="shared" si="104"/>
        <v/>
      </c>
      <c r="AD375" s="93" t="str">
        <f t="shared" si="104"/>
        <v/>
      </c>
      <c r="AE375" s="93" t="str">
        <f t="shared" si="104"/>
        <v/>
      </c>
      <c r="AF375" s="93" t="str">
        <f t="shared" si="104"/>
        <v/>
      </c>
      <c r="AG375" s="93" t="str">
        <f t="shared" si="104"/>
        <v/>
      </c>
      <c r="AH375" s="93" t="str">
        <f t="shared" si="104"/>
        <v/>
      </c>
      <c r="AI375" s="93" t="str">
        <f t="shared" si="104"/>
        <v/>
      </c>
      <c r="AJ375" s="93" t="str">
        <f t="shared" si="104"/>
        <v/>
      </c>
      <c r="AK375" s="93" t="str">
        <f t="shared" si="104"/>
        <v/>
      </c>
      <c r="AL375" s="93" t="str">
        <f t="shared" si="104"/>
        <v/>
      </c>
      <c r="AM375" s="93" t="str">
        <f t="shared" si="104"/>
        <v/>
      </c>
      <c r="AN375" s="93" t="str">
        <f t="shared" si="104"/>
        <v/>
      </c>
      <c r="AO375" s="93" t="str">
        <f t="shared" si="104"/>
        <v/>
      </c>
      <c r="AP375" s="93" t="str">
        <f t="shared" si="104"/>
        <v/>
      </c>
      <c r="AQ375" s="93" t="str">
        <f t="shared" si="104"/>
        <v/>
      </c>
      <c r="AR375" s="93" t="str">
        <f t="shared" si="104"/>
        <v/>
      </c>
      <c r="AS375" s="93" t="str">
        <f t="shared" si="104"/>
        <v/>
      </c>
    </row>
    <row r="376" spans="1:45" x14ac:dyDescent="0.25">
      <c r="A376" s="518"/>
      <c r="B376" s="504"/>
      <c r="C376" s="104" t="str">
        <f>IF(AND(ISNUMBER(B369), OR('Cost Inputs'!$H$112&lt;&gt;"", 'Cost Inputs'!$I$112&lt;&gt;"", 'Cost Inputs'!$J$112&lt;&gt;"")), _4_4_3, "")</f>
        <v/>
      </c>
      <c r="D376" s="17" t="str">
        <f>IF(AND(C376&lt;&gt;"", 'Cost Inputs'!$G$112&lt;&gt;""), 'Cost Inputs'!$G$112, "")</f>
        <v/>
      </c>
      <c r="E376" s="17" t="str">
        <f>IF(AND(C376&lt;&gt;"", 'Cost Inputs'!$H$112&lt;&gt;""), 'Cost Inputs'!$H$112, "")</f>
        <v/>
      </c>
      <c r="F376" s="17" t="str">
        <f>IF(AND(C376&lt;&gt;"", 'Cost Inputs'!$I$112&lt;&gt;""), 'Cost Inputs'!$I$112, "")</f>
        <v/>
      </c>
      <c r="G376" s="105" t="str">
        <f t="shared" si="63"/>
        <v/>
      </c>
      <c r="H376" s="17" t="str">
        <f>IF(AND(C376&lt;&gt;"", 'Cost Inputs'!$J$112&lt;&gt;""), 'Cost Inputs'!$J$112, "")</f>
        <v/>
      </c>
      <c r="I376" s="17" t="str">
        <f t="shared" si="98"/>
        <v/>
      </c>
      <c r="J376" s="17" t="str">
        <f>IF(AND(C376&lt;&gt;"",('Cost Inputs'!$I$112+'Cost Inputs'!$J$112+'Cost Inputs'!$K$112)&gt;0), 'Cost Inputs'!$I$112+'Cost Inputs'!$J$112+'Cost Inputs'!$K$112, "")</f>
        <v/>
      </c>
      <c r="K376" s="17" t="str">
        <f t="shared" si="99"/>
        <v/>
      </c>
      <c r="L376" s="525"/>
      <c r="M376" s="525"/>
      <c r="R376" s="17" t="str">
        <f t="shared" ref="R376:AS376" si="105">IF(ISNUMBER($B$369),
IF($C376&lt;&gt;"",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76" s="17" t="str">
        <f t="shared" si="105"/>
        <v/>
      </c>
      <c r="T376" s="17" t="str">
        <f t="shared" si="105"/>
        <v/>
      </c>
      <c r="U376" s="17" t="str">
        <f t="shared" si="105"/>
        <v/>
      </c>
      <c r="V376" s="17" t="str">
        <f t="shared" si="105"/>
        <v/>
      </c>
      <c r="W376" s="17" t="str">
        <f t="shared" si="105"/>
        <v/>
      </c>
      <c r="X376" s="17" t="str">
        <f t="shared" si="105"/>
        <v/>
      </c>
      <c r="Y376" s="17" t="str">
        <f t="shared" si="105"/>
        <v/>
      </c>
      <c r="Z376" s="17" t="str">
        <f t="shared" si="105"/>
        <v/>
      </c>
      <c r="AA376" s="17" t="str">
        <f t="shared" si="105"/>
        <v/>
      </c>
      <c r="AB376" s="17" t="str">
        <f t="shared" si="105"/>
        <v/>
      </c>
      <c r="AC376" s="17" t="str">
        <f t="shared" si="105"/>
        <v/>
      </c>
      <c r="AD376" s="17" t="str">
        <f t="shared" si="105"/>
        <v/>
      </c>
      <c r="AE376" s="17" t="str">
        <f t="shared" si="105"/>
        <v/>
      </c>
      <c r="AF376" s="17" t="str">
        <f t="shared" si="105"/>
        <v/>
      </c>
      <c r="AG376" s="17" t="str">
        <f t="shared" si="105"/>
        <v/>
      </c>
      <c r="AH376" s="17" t="str">
        <f t="shared" si="105"/>
        <v/>
      </c>
      <c r="AI376" s="17" t="str">
        <f t="shared" si="105"/>
        <v/>
      </c>
      <c r="AJ376" s="17" t="str">
        <f t="shared" si="105"/>
        <v/>
      </c>
      <c r="AK376" s="17" t="str">
        <f t="shared" si="105"/>
        <v/>
      </c>
      <c r="AL376" s="17" t="str">
        <f t="shared" si="105"/>
        <v/>
      </c>
      <c r="AM376" s="17" t="str">
        <f t="shared" si="105"/>
        <v/>
      </c>
      <c r="AN376" s="17" t="str">
        <f t="shared" si="105"/>
        <v/>
      </c>
      <c r="AO376" s="17" t="str">
        <f t="shared" si="105"/>
        <v/>
      </c>
      <c r="AP376" s="17" t="str">
        <f t="shared" si="105"/>
        <v/>
      </c>
      <c r="AQ376" s="17" t="str">
        <f t="shared" si="105"/>
        <v/>
      </c>
      <c r="AR376" s="17" t="str">
        <f t="shared" si="105"/>
        <v/>
      </c>
      <c r="AS376" s="17" t="str">
        <f t="shared" si="105"/>
        <v/>
      </c>
    </row>
    <row r="377" spans="1:45" x14ac:dyDescent="0.25">
      <c r="A377" s="518"/>
      <c r="B377" s="504"/>
      <c r="C377" s="107" t="str">
        <f>IF(AND(ISNUMBER(B369), OR('Cost Inputs'!$H$113&lt;&gt;"", 'Cost Inputs'!$I$113&lt;&gt;"", 'Cost Inputs'!$J$113&lt;&gt;"")), _4_4_4, "")</f>
        <v/>
      </c>
      <c r="D377" s="93" t="str">
        <f>IF(AND(C377&lt;&gt;"", 'Cost Inputs'!$G$113&lt;&gt;""), 'Cost Inputs'!$G$113, "")</f>
        <v/>
      </c>
      <c r="E377" s="93" t="str">
        <f>IF(AND(C377&lt;&gt;"", 'Cost Inputs'!$H$113&lt;&gt;""), 'Cost Inputs'!$H$113, "")</f>
        <v/>
      </c>
      <c r="F377" s="93" t="str">
        <f>IF(AND(C377&lt;&gt;"", 'Cost Inputs'!$I$113&lt;&gt;""), 'Cost Inputs'!$I$113, "")</f>
        <v/>
      </c>
      <c r="G377" s="108" t="str">
        <f t="shared" si="63"/>
        <v/>
      </c>
      <c r="H377" s="93" t="str">
        <f>IF(AND(C377&lt;&gt;"", 'Cost Inputs'!$J$113&lt;&gt;""), 'Cost Inputs'!$J$113, "")</f>
        <v/>
      </c>
      <c r="I377" s="93" t="str">
        <f t="shared" si="98"/>
        <v/>
      </c>
      <c r="J377" s="93" t="str">
        <f>IF(AND(C377&lt;&gt;"",('Cost Inputs'!$I$113+'Cost Inputs'!$J$113+'Cost Inputs'!$K$113)&gt;0), 'Cost Inputs'!$I$113+'Cost Inputs'!$J$113+'Cost Inputs'!$K$113, "")</f>
        <v/>
      </c>
      <c r="K377" s="93" t="str">
        <f t="shared" si="99"/>
        <v/>
      </c>
      <c r="L377" s="525"/>
      <c r="M377" s="525"/>
      <c r="R377" s="93" t="str">
        <f t="shared" ref="R377:AS377" si="106">IF(ISNUMBER($B$369),
IF($C377&lt;&gt;"",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77" s="93" t="str">
        <f t="shared" si="106"/>
        <v/>
      </c>
      <c r="T377" s="93" t="str">
        <f t="shared" si="106"/>
        <v/>
      </c>
      <c r="U377" s="93" t="str">
        <f t="shared" si="106"/>
        <v/>
      </c>
      <c r="V377" s="93" t="str">
        <f t="shared" si="106"/>
        <v/>
      </c>
      <c r="W377" s="93" t="str">
        <f t="shared" si="106"/>
        <v/>
      </c>
      <c r="X377" s="93" t="str">
        <f t="shared" si="106"/>
        <v/>
      </c>
      <c r="Y377" s="93" t="str">
        <f t="shared" si="106"/>
        <v/>
      </c>
      <c r="Z377" s="93" t="str">
        <f t="shared" si="106"/>
        <v/>
      </c>
      <c r="AA377" s="93" t="str">
        <f t="shared" si="106"/>
        <v/>
      </c>
      <c r="AB377" s="93" t="str">
        <f t="shared" si="106"/>
        <v/>
      </c>
      <c r="AC377" s="93" t="str">
        <f t="shared" si="106"/>
        <v/>
      </c>
      <c r="AD377" s="93" t="str">
        <f t="shared" si="106"/>
        <v/>
      </c>
      <c r="AE377" s="93" t="str">
        <f t="shared" si="106"/>
        <v/>
      </c>
      <c r="AF377" s="93" t="str">
        <f t="shared" si="106"/>
        <v/>
      </c>
      <c r="AG377" s="93" t="str">
        <f t="shared" si="106"/>
        <v/>
      </c>
      <c r="AH377" s="93" t="str">
        <f t="shared" si="106"/>
        <v/>
      </c>
      <c r="AI377" s="93" t="str">
        <f t="shared" si="106"/>
        <v/>
      </c>
      <c r="AJ377" s="93" t="str">
        <f t="shared" si="106"/>
        <v/>
      </c>
      <c r="AK377" s="93" t="str">
        <f t="shared" si="106"/>
        <v/>
      </c>
      <c r="AL377" s="93" t="str">
        <f t="shared" si="106"/>
        <v/>
      </c>
      <c r="AM377" s="93" t="str">
        <f t="shared" si="106"/>
        <v/>
      </c>
      <c r="AN377" s="93" t="str">
        <f t="shared" si="106"/>
        <v/>
      </c>
      <c r="AO377" s="93" t="str">
        <f t="shared" si="106"/>
        <v/>
      </c>
      <c r="AP377" s="93" t="str">
        <f t="shared" si="106"/>
        <v/>
      </c>
      <c r="AQ377" s="93" t="str">
        <f t="shared" si="106"/>
        <v/>
      </c>
      <c r="AR377" s="93" t="str">
        <f t="shared" si="106"/>
        <v/>
      </c>
      <c r="AS377" s="93" t="str">
        <f t="shared" si="106"/>
        <v/>
      </c>
    </row>
    <row r="378" spans="1:45" x14ac:dyDescent="0.25">
      <c r="A378" s="518"/>
      <c r="B378" s="504"/>
      <c r="C378" s="104" t="str">
        <f>IF(AND(ISNUMBER(B369), OR('Cost Inputs'!$H$114&lt;&gt;"", 'Cost Inputs'!$I$114&lt;&gt;"", 'Cost Inputs'!$J$114&lt;&gt;"")), _4_4_5, "")</f>
        <v/>
      </c>
      <c r="D378" s="17" t="str">
        <f>IF(AND(C378&lt;&gt;"", 'Cost Inputs'!$G$114&lt;&gt;""), 'Cost Inputs'!$G$114, "")</f>
        <v/>
      </c>
      <c r="E378" s="17" t="str">
        <f>IF(AND(C378&lt;&gt;"", 'Cost Inputs'!$H$114&lt;&gt;""), 'Cost Inputs'!$H$114, "")</f>
        <v/>
      </c>
      <c r="F378" s="17" t="str">
        <f>IF(AND(C378&lt;&gt;"", 'Cost Inputs'!$I$114&lt;&gt;""), 'Cost Inputs'!$I$114, "")</f>
        <v/>
      </c>
      <c r="G378" s="105" t="str">
        <f t="shared" si="63"/>
        <v/>
      </c>
      <c r="H378" s="17" t="str">
        <f>IF(AND(C378&lt;&gt;"", 'Cost Inputs'!$J$114&lt;&gt;""), 'Cost Inputs'!$J$114, "")</f>
        <v/>
      </c>
      <c r="I378" s="17" t="str">
        <f t="shared" si="98"/>
        <v/>
      </c>
      <c r="J378" s="17" t="str">
        <f>IF(AND(C378&lt;&gt;"",('Cost Inputs'!$I$114+'Cost Inputs'!$J$114+'Cost Inputs'!$K$114)&gt;0), 'Cost Inputs'!$I$114+'Cost Inputs'!$J$114+'Cost Inputs'!$K$114, "")</f>
        <v/>
      </c>
      <c r="K378" s="17" t="str">
        <f t="shared" si="99"/>
        <v/>
      </c>
      <c r="L378" s="525"/>
      <c r="M378" s="525"/>
      <c r="R378" s="17" t="str">
        <f t="shared" ref="R378:AS378" si="107">IF(ISNUMBER($B$369),
IF($C378&lt;&gt;"",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78" s="17" t="str">
        <f t="shared" si="107"/>
        <v/>
      </c>
      <c r="T378" s="17" t="str">
        <f t="shared" si="107"/>
        <v/>
      </c>
      <c r="U378" s="17" t="str">
        <f t="shared" si="107"/>
        <v/>
      </c>
      <c r="V378" s="17" t="str">
        <f t="shared" si="107"/>
        <v/>
      </c>
      <c r="W378" s="17" t="str">
        <f t="shared" si="107"/>
        <v/>
      </c>
      <c r="X378" s="17" t="str">
        <f t="shared" si="107"/>
        <v/>
      </c>
      <c r="Y378" s="17" t="str">
        <f t="shared" si="107"/>
        <v/>
      </c>
      <c r="Z378" s="17" t="str">
        <f t="shared" si="107"/>
        <v/>
      </c>
      <c r="AA378" s="17" t="str">
        <f t="shared" si="107"/>
        <v/>
      </c>
      <c r="AB378" s="17" t="str">
        <f t="shared" si="107"/>
        <v/>
      </c>
      <c r="AC378" s="17" t="str">
        <f t="shared" si="107"/>
        <v/>
      </c>
      <c r="AD378" s="17" t="str">
        <f t="shared" si="107"/>
        <v/>
      </c>
      <c r="AE378" s="17" t="str">
        <f t="shared" si="107"/>
        <v/>
      </c>
      <c r="AF378" s="17" t="str">
        <f t="shared" si="107"/>
        <v/>
      </c>
      <c r="AG378" s="17" t="str">
        <f t="shared" si="107"/>
        <v/>
      </c>
      <c r="AH378" s="17" t="str">
        <f t="shared" si="107"/>
        <v/>
      </c>
      <c r="AI378" s="17" t="str">
        <f t="shared" si="107"/>
        <v/>
      </c>
      <c r="AJ378" s="17" t="str">
        <f t="shared" si="107"/>
        <v/>
      </c>
      <c r="AK378" s="17" t="str">
        <f t="shared" si="107"/>
        <v/>
      </c>
      <c r="AL378" s="17" t="str">
        <f t="shared" si="107"/>
        <v/>
      </c>
      <c r="AM378" s="17" t="str">
        <f t="shared" si="107"/>
        <v/>
      </c>
      <c r="AN378" s="17" t="str">
        <f t="shared" si="107"/>
        <v/>
      </c>
      <c r="AO378" s="17" t="str">
        <f t="shared" si="107"/>
        <v/>
      </c>
      <c r="AP378" s="17" t="str">
        <f t="shared" si="107"/>
        <v/>
      </c>
      <c r="AQ378" s="17" t="str">
        <f t="shared" si="107"/>
        <v/>
      </c>
      <c r="AR378" s="17" t="str">
        <f t="shared" si="107"/>
        <v/>
      </c>
      <c r="AS378" s="17" t="str">
        <f t="shared" si="107"/>
        <v/>
      </c>
    </row>
    <row r="379" spans="1:45" x14ac:dyDescent="0.25">
      <c r="A379" s="518"/>
      <c r="B379" s="504"/>
      <c r="C379" s="107" t="str">
        <f>IF(AND(ISNUMBER(B369), OR('Cost Inputs'!$H$115&lt;&gt;"", 'Cost Inputs'!$I$115&lt;&gt;"", 'Cost Inputs'!$J$115&lt;&gt;"")), _4_4_6, "")</f>
        <v/>
      </c>
      <c r="D379" s="93" t="str">
        <f>IF(AND(C379&lt;&gt;"", 'Cost Inputs'!$G$115&lt;&gt;""), 'Cost Inputs'!$G$115, "")</f>
        <v/>
      </c>
      <c r="E379" s="93" t="str">
        <f>IF(AND(C379&lt;&gt;"", 'Cost Inputs'!$H$115&lt;&gt;""), 'Cost Inputs'!$H$115, "")</f>
        <v/>
      </c>
      <c r="F379" s="93" t="str">
        <f>IF(AND(C379&lt;&gt;"", 'Cost Inputs'!$I$115&lt;&gt;""), 'Cost Inputs'!$I$115, "")</f>
        <v/>
      </c>
      <c r="G379" s="108" t="str">
        <f t="shared" si="63"/>
        <v/>
      </c>
      <c r="H379" s="93" t="str">
        <f>IF(AND(C379&lt;&gt;"", 'Cost Inputs'!$J$115&lt;&gt;""), 'Cost Inputs'!$J$115, "")</f>
        <v/>
      </c>
      <c r="I379" s="93" t="str">
        <f t="shared" si="98"/>
        <v/>
      </c>
      <c r="J379" s="93" t="str">
        <f>IF(AND(C379&lt;&gt;"",('Cost Inputs'!$I$115+'Cost Inputs'!$J$115+'Cost Inputs'!$K$115)&gt;0), 'Cost Inputs'!$I$115+'Cost Inputs'!$J$115+'Cost Inputs'!$K$115, "")</f>
        <v/>
      </c>
      <c r="K379" s="93" t="str">
        <f t="shared" si="99"/>
        <v/>
      </c>
      <c r="L379" s="525"/>
      <c r="M379" s="525"/>
      <c r="R379" s="93" t="str">
        <f t="shared" ref="R379:AS379" si="108">IF(ISNUMBER($B$369),
IF($C379&lt;&gt;"",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79" s="93" t="str">
        <f t="shared" si="108"/>
        <v/>
      </c>
      <c r="T379" s="93" t="str">
        <f t="shared" si="108"/>
        <v/>
      </c>
      <c r="U379" s="93" t="str">
        <f t="shared" si="108"/>
        <v/>
      </c>
      <c r="V379" s="93" t="str">
        <f t="shared" si="108"/>
        <v/>
      </c>
      <c r="W379" s="93" t="str">
        <f t="shared" si="108"/>
        <v/>
      </c>
      <c r="X379" s="93" t="str">
        <f t="shared" si="108"/>
        <v/>
      </c>
      <c r="Y379" s="93" t="str">
        <f t="shared" si="108"/>
        <v/>
      </c>
      <c r="Z379" s="93" t="str">
        <f t="shared" si="108"/>
        <v/>
      </c>
      <c r="AA379" s="93" t="str">
        <f t="shared" si="108"/>
        <v/>
      </c>
      <c r="AB379" s="93" t="str">
        <f t="shared" si="108"/>
        <v/>
      </c>
      <c r="AC379" s="93" t="str">
        <f t="shared" si="108"/>
        <v/>
      </c>
      <c r="AD379" s="93" t="str">
        <f t="shared" si="108"/>
        <v/>
      </c>
      <c r="AE379" s="93" t="str">
        <f t="shared" si="108"/>
        <v/>
      </c>
      <c r="AF379" s="93" t="str">
        <f t="shared" si="108"/>
        <v/>
      </c>
      <c r="AG379" s="93" t="str">
        <f t="shared" si="108"/>
        <v/>
      </c>
      <c r="AH379" s="93" t="str">
        <f t="shared" si="108"/>
        <v/>
      </c>
      <c r="AI379" s="93" t="str">
        <f t="shared" si="108"/>
        <v/>
      </c>
      <c r="AJ379" s="93" t="str">
        <f t="shared" si="108"/>
        <v/>
      </c>
      <c r="AK379" s="93" t="str">
        <f t="shared" si="108"/>
        <v/>
      </c>
      <c r="AL379" s="93" t="str">
        <f t="shared" si="108"/>
        <v/>
      </c>
      <c r="AM379" s="93" t="str">
        <f t="shared" si="108"/>
        <v/>
      </c>
      <c r="AN379" s="93" t="str">
        <f t="shared" si="108"/>
        <v/>
      </c>
      <c r="AO379" s="93" t="str">
        <f t="shared" si="108"/>
        <v/>
      </c>
      <c r="AP379" s="93" t="str">
        <f t="shared" si="108"/>
        <v/>
      </c>
      <c r="AQ379" s="93" t="str">
        <f t="shared" si="108"/>
        <v/>
      </c>
      <c r="AR379" s="93" t="str">
        <f t="shared" si="108"/>
        <v/>
      </c>
      <c r="AS379" s="93" t="str">
        <f t="shared" si="108"/>
        <v/>
      </c>
    </row>
    <row r="380" spans="1:45" x14ac:dyDescent="0.25">
      <c r="A380" s="518"/>
      <c r="B380" s="504"/>
      <c r="C380" s="489" t="str">
        <f>IF('Model_ of_individuals'!C373&lt;&gt;"", "Percentage decrease in marker culling","")</f>
        <v/>
      </c>
      <c r="D380" s="490"/>
      <c r="E380" s="490"/>
      <c r="F380" s="490"/>
      <c r="G380" s="490"/>
      <c r="H380" s="490"/>
      <c r="I380" s="490"/>
      <c r="J380" s="490"/>
      <c r="K380" s="491"/>
      <c r="L380" s="525"/>
      <c r="M380" s="525"/>
      <c r="R380" s="17" t="str">
        <f>IF(OR('Breeding Inputs'!$I$17="Y",'Model_ of_individuals'!$C373&lt;&gt;""),
IF('Breeding Inputs'!$I$44="Y",
IF(OR('Breeding Inputs'!$I$45=1), 25%,
IF('Breeding Inputs'!$I$44="N",
IF('Breeding Inputs'!$I$45=1,
IF(ISNUMBER('Breeding Inputs'!$I$46),'Breeding Inputs'!$I$46,""),""),"")),""),"")</f>
        <v/>
      </c>
      <c r="S380" s="17" t="str">
        <f>IF(OR('Breeding Inputs'!$I$17="Y",'Model_ of_individuals'!$C373&lt;&gt;""),
IF('Breeding Inputs'!$I$44="Y",
IF(OR('Breeding Inputs'!$I$45=1), 25%,
IF(ISNUMBER(R380), R380,
IF('Breeding Inputs'!$I$44="N",
IF(OR('Breeding Inputs'!$I$45=1),
IF(ISNUMBER('Breeding Inputs'!$I$46),'Breeding Inputs'!$I$46,""),""),""))),""),"")</f>
        <v/>
      </c>
      <c r="T380" s="17" t="str">
        <f>IF(OR('Breeding Inputs'!$I$17="Y",'Model_ of_individuals'!$C373&lt;&gt;""),
IF('Breeding Inputs'!$I$44="Y",
IF(OR('Breeding Inputs'!$I$45=1, 'Breeding Inputs'!$I$45=2), 25%,
IF(ISNUMBER(S380), S380,
IF('Breeding Inputs'!$I$44="N",
IF(OR('Breeding Inputs'!$I$45=1, 'Breeding Inputs'!$I$45=2),
IF(ISNUMBER('Breeding Inputs'!$I$46),'Breeding Inputs'!$I$46,""),""),""))),""),"")</f>
        <v/>
      </c>
      <c r="U380" s="17" t="str">
        <f>IF(OR('Breeding Inputs'!$I$17="Y",'Model_ of_individuals'!$C373&lt;&gt;""),
IF('Breeding Inputs'!$I$44="Y",
IF(OR('Breeding Inputs'!$I$45=1, 'Breeding Inputs'!$I$45=3), 25%,
IF(ISNUMBER(T380), T380,
IF('Breeding Inputs'!$I$44="N",
IF(OR('Breeding Inputs'!$I$45=1, 'Breeding Inputs'!$I$45=3),
IF(ISNUMBER('Breeding Inputs'!$I$46),'Breeding Inputs'!$I$46,""),""),""))),""),"")</f>
        <v/>
      </c>
      <c r="V380" s="17" t="str">
        <f>IF(OR('Breeding Inputs'!$I$17="Y",'Model_ of_individuals'!$C373&lt;&gt;""),
IF('Breeding Inputs'!$I$44="Y",
IF(OR('Breeding Inputs'!$I$45=1, 'Breeding Inputs'!$I$45=2, 'Breeding Inputs'!$I$45=4), 25%,
IF(ISNUMBER(U380), U380,
IF('Breeding Inputs'!$I$44="N",
IF(OR('Breeding Inputs'!$I$45=1, 'Breeding Inputs'!$I$45=2, 'Breeding Inputs'!$I$45=4),
IF(ISNUMBER('Breeding Inputs'!$I$46),'Breeding Inputs'!$I$46,""),""),""))),""),"")</f>
        <v/>
      </c>
      <c r="W380" s="17" t="str">
        <f>IF(OR('Breeding Inputs'!$I$17="Y",'Model_ of_individuals'!$C373&lt;&gt;""),
IF('Breeding Inputs'!$I$44="Y",
IF(OR('Breeding Inputs'!$I$45=1, 'Breeding Inputs'!$I$45=5), 25%,
IF(ISNUMBER(V380), V380,
IF('Breeding Inputs'!$I$44="N",
IF(OR('Breeding Inputs'!$I$45=1, 'Breeding Inputs'!$I$45=5),
IF(ISNUMBER('Breeding Inputs'!$I$46),'Breeding Inputs'!$I$46,""),""),""))),""),"")</f>
        <v/>
      </c>
      <c r="X380" s="17" t="str">
        <f>IF(OR('Breeding Inputs'!$I$17="Y",'Model_ of_individuals'!$C373&lt;&gt;""),
IF('Breeding Inputs'!$I$44="Y",
IF(OR('Breeding Inputs'!$I$45=1, 'Breeding Inputs'!$I$45=2, 'Breeding Inputs'!$I$45=3, 'Breeding Inputs'!$I$45=6), 25%,
IF(ISNUMBER(W380), W380,
IF('Breeding Inputs'!$I$44="N",
IF(OR('Breeding Inputs'!$I$45=1, 'Breeding Inputs'!$I$45=2, 'Breeding Inputs'!$I$45=3, 'Breeding Inputs'!$I$45=6),
IF(ISNUMBER('Breeding Inputs'!$I$46),'Breeding Inputs'!$I$46,""),""),""))),""),"")</f>
        <v/>
      </c>
      <c r="Y380" s="17" t="str">
        <f>IF(OR('Breeding Inputs'!$I$17="Y",'Model_ of_individuals'!$C373&lt;&gt;""),
IF('Breeding Inputs'!$I$44="Y",
IF(OR('Breeding Inputs'!$I$45=1, 'Breeding Inputs'!$I$45=7), 25%,
IF(ISNUMBER(X380), X380,
IF('Breeding Inputs'!$I$44="N",
IF(OR('Breeding Inputs'!$I$45=1, 'Breeding Inputs'!$I$45=7),
IF(ISNUMBER('Breeding Inputs'!$I$46),'Breeding Inputs'!$I$46,""),""),""))),""),"")</f>
        <v/>
      </c>
      <c r="Z380" s="17" t="str">
        <f>IF(OR('Breeding Inputs'!$I$17="Y",'Model_ of_individuals'!$C373&lt;&gt;""),
IF('Breeding Inputs'!$I$44="Y",
IF(OR('Breeding Inputs'!$I$45=1, 'Breeding Inputs'!$I$45=2, 'Breeding Inputs'!$I$45=4, 'Breeding Inputs'!$I$45=8), 25%,
IF(ISNUMBER(Y380), Y380,
IF('Breeding Inputs'!$I$44="N",
IF(OR('Breeding Inputs'!$I$45=1, 'Breeding Inputs'!$I$45=2, 'Breeding Inputs'!$I$45=4, 'Breeding Inputs'!$I$45=8),
IF(ISNUMBER('Breeding Inputs'!$I$46),'Breeding Inputs'!$I$46,""),""),""))),""),"")</f>
        <v/>
      </c>
      <c r="AA380" s="17" t="str">
        <f>IF(OR('Breeding Inputs'!$I$17="Y",'Model_ of_individuals'!$C373&lt;&gt;""),
IF('Breeding Inputs'!$I$44="Y",
IF(OR('Breeding Inputs'!$I$45=1, 'Breeding Inputs'!$I$45=3, 'Breeding Inputs'!$I$45=9), 25%,
IF(ISNUMBER(Z380), Z380,
IF('Breeding Inputs'!$I$44="N",
IF(OR('Breeding Inputs'!$I$45=1, 'Breeding Inputs'!$I$45=3, 'Breeding Inputs'!$I$45=9),
IF(ISNUMBER('Breeding Inputs'!$I$46),'Breeding Inputs'!$I$46,""),""),""))),""),"")</f>
        <v/>
      </c>
      <c r="AB380" s="17" t="str">
        <f>IF(OR('Breeding Inputs'!$I$17="Y",'Model_ of_individuals'!$C373&lt;&gt;""),
IF('Breeding Inputs'!$I$44="Y",
IF(OR('Breeding Inputs'!$I$45=1, 'Breeding Inputs'!$I$45=3, 'Breeding Inputs'!$I$45=9), 25%,
IF(ISNUMBER(AA380), AA380,
IF('Breeding Inputs'!$I$44="N",
IF(OR('Breeding Inputs'!$I$45=1, 'Breeding Inputs'!$I$45=3, 'Breeding Inputs'!$I$45=9),
IF(ISNUMBER('Breeding Inputs'!$I$46),'Breeding Inputs'!$I$46,""),""),""))),""),"")</f>
        <v/>
      </c>
      <c r="AC380" s="17" t="str">
        <f>IF(OR('Breeding Inputs'!$I$17="Y",'Model_ of_individuals'!$C373&lt;&gt;""),
IF('Breeding Inputs'!$I$44="Y",
IF(OR('Breeding Inputs'!$I$45=1, 'Breeding Inputs'!$I$45=3, 'Breeding Inputs'!$I$45=9), 25%,
IF(ISNUMBER(AB380), AB380,
IF('Breeding Inputs'!$I$44="N",
IF(OR('Breeding Inputs'!$I$45=1, 'Breeding Inputs'!$I$45=3, 'Breeding Inputs'!$I$45=9),
IF(ISNUMBER('Breeding Inputs'!$I$46),'Breeding Inputs'!$I$46,""),""),""))),""),"")</f>
        <v/>
      </c>
      <c r="AD380" s="17" t="str">
        <f>IF(OR('Breeding Inputs'!$I$17="Y",'Model_ of_individuals'!$C373&lt;&gt;""),
IF('Breeding Inputs'!$I$44="Y",
IF(OR('Breeding Inputs'!$I$45=1, 'Breeding Inputs'!$I$45=3, 'Breeding Inputs'!$I$45=9), 25%,
IF(ISNUMBER(AC380), AC380,
IF('Breeding Inputs'!$I$44="N",
IF(OR('Breeding Inputs'!$I$45=1, 'Breeding Inputs'!$I$45=3, 'Breeding Inputs'!$I$45=9),
IF(ISNUMBER('Breeding Inputs'!$I$46),'Breeding Inputs'!$I$46,""),""),""))),""),"")</f>
        <v/>
      </c>
      <c r="AE380" s="17" t="str">
        <f>IF(OR('Breeding Inputs'!$I$17="Y",'Model_ of_individuals'!$C373&lt;&gt;""),
IF('Breeding Inputs'!$I$44="Y",
IF(OR('Breeding Inputs'!$I$45=1, 'Breeding Inputs'!$I$45=3, 'Breeding Inputs'!$I$45=9), 25%,
IF(ISNUMBER(AD380), AD380,
IF('Breeding Inputs'!$I$44="N",
IF(OR('Breeding Inputs'!$I$45=1, 'Breeding Inputs'!$I$45=3, 'Breeding Inputs'!$I$45=9),
IF(ISNUMBER('Breeding Inputs'!$I$46),'Breeding Inputs'!$I$46,""),""),""))),""),"")</f>
        <v/>
      </c>
      <c r="AF380" s="17" t="str">
        <f>IF(OR('Breeding Inputs'!$I$17="Y",'Model_ of_individuals'!$C373&lt;&gt;""),
IF('Breeding Inputs'!$I$44="Y",
IF(OR('Breeding Inputs'!$I$45=1, 'Breeding Inputs'!$I$45=3, 'Breeding Inputs'!$I$45=9), 25%,
IF(ISNUMBER(AE380), AE380,
IF('Breeding Inputs'!$I$44="N",
IF(OR('Breeding Inputs'!$I$45=1, 'Breeding Inputs'!$I$45=3, 'Breeding Inputs'!$I$45=9),
IF(ISNUMBER('Breeding Inputs'!$I$46),'Breeding Inputs'!$I$46,""),""),""))),""),"")</f>
        <v/>
      </c>
      <c r="AG380" s="17" t="str">
        <f>IF(OR('Breeding Inputs'!$I$17="Y",'Model_ of_individuals'!$C373&lt;&gt;""),
IF('Breeding Inputs'!$I$44="Y",
IF(OR('Breeding Inputs'!$I$45=1, 'Breeding Inputs'!$I$45=3, 'Breeding Inputs'!$I$45=9), 25%,
IF(ISNUMBER(AF380), AF380,
IF('Breeding Inputs'!$I$44="N",
IF(OR('Breeding Inputs'!$I$45=1, 'Breeding Inputs'!$I$45=3, 'Breeding Inputs'!$I$45=9),
IF(ISNUMBER('Breeding Inputs'!$I$46),'Breeding Inputs'!$I$46,""),""),""))),""),"")</f>
        <v/>
      </c>
      <c r="AH380" s="17" t="str">
        <f>IF(OR('Breeding Inputs'!$I$17="Y",'Model_ of_individuals'!$C373&lt;&gt;""),
IF('Breeding Inputs'!$I$44="Y",
IF(OR('Breeding Inputs'!$I$45=1, 'Breeding Inputs'!$I$45=3, 'Breeding Inputs'!$I$45=9), 25%,
IF(ISNUMBER(AG380), AG380,
IF('Breeding Inputs'!$I$44="N",
IF(OR('Breeding Inputs'!$I$45=1, 'Breeding Inputs'!$I$45=3, 'Breeding Inputs'!$I$45=9),
IF(ISNUMBER('Breeding Inputs'!$I$46),'Breeding Inputs'!$I$46,""),""),""))),""),"")</f>
        <v/>
      </c>
      <c r="AI380" s="17" t="str">
        <f>IF(OR('Breeding Inputs'!$I$17="Y",'Model_ of_individuals'!$C373&lt;&gt;""),
IF('Breeding Inputs'!$I$44="Y",
IF(OR('Breeding Inputs'!$I$45=1, 'Breeding Inputs'!$I$45=3, 'Breeding Inputs'!$I$45=9), 25%,
IF(ISNUMBER(AH380), AH380,
IF('Breeding Inputs'!$I$44="N",
IF(OR('Breeding Inputs'!$I$45=1, 'Breeding Inputs'!$I$45=3, 'Breeding Inputs'!$I$45=9),
IF(ISNUMBER('Breeding Inputs'!$I$46),'Breeding Inputs'!$I$46,""),""),""))),""),"")</f>
        <v/>
      </c>
      <c r="AJ380" s="17" t="str">
        <f>IF(OR('Breeding Inputs'!$I$17="Y",'Model_ of_individuals'!$C373&lt;&gt;""),
IF('Breeding Inputs'!$I$44="Y",
IF(OR('Breeding Inputs'!$I$45=1, 'Breeding Inputs'!$I$45=3, 'Breeding Inputs'!$I$45=9), 25%,
IF(ISNUMBER(AI380), AI380,
IF('Breeding Inputs'!$I$44="N",
IF(OR('Breeding Inputs'!$I$45=1, 'Breeding Inputs'!$I$45=3, 'Breeding Inputs'!$I$45=9),
IF(ISNUMBER('Breeding Inputs'!$I$46),'Breeding Inputs'!$I$46,""),""),""))),""),"")</f>
        <v/>
      </c>
      <c r="AK380" s="17" t="str">
        <f>IF(OR('Breeding Inputs'!$I$17="Y",'Model_ of_individuals'!$C373&lt;&gt;""),
IF('Breeding Inputs'!$I$44="Y",
IF(OR('Breeding Inputs'!$I$45=1, 'Breeding Inputs'!$I$45=3, 'Breeding Inputs'!$I$45=9), 25%,
IF(ISNUMBER(AJ380), AJ380,
IF('Breeding Inputs'!$I$44="N",
IF(OR('Breeding Inputs'!$I$45=1, 'Breeding Inputs'!$I$45=3, 'Breeding Inputs'!$I$45=9),
IF(ISNUMBER('Breeding Inputs'!$I$46),'Breeding Inputs'!$I$46,""),""),""))),""),"")</f>
        <v/>
      </c>
      <c r="AL380" s="17" t="str">
        <f>IF(OR('Breeding Inputs'!$I$17="Y",'Model_ of_individuals'!$C373&lt;&gt;""),
IF('Breeding Inputs'!$I$44="Y",
IF(OR('Breeding Inputs'!$I$45=1, 'Breeding Inputs'!$I$45=3, 'Breeding Inputs'!$I$45=9), 25%,
IF(ISNUMBER(AK380), AK380,
IF('Breeding Inputs'!$I$44="N",
IF(OR('Breeding Inputs'!$I$45=1, 'Breeding Inputs'!$I$45=3, 'Breeding Inputs'!$I$45=9),
IF(ISNUMBER('Breeding Inputs'!$I$46),'Breeding Inputs'!$I$46,""),""),""))),""),"")</f>
        <v/>
      </c>
      <c r="AM380" s="17" t="str">
        <f>IF(OR('Breeding Inputs'!$I$17="Y",'Model_ of_individuals'!$C373&lt;&gt;""),
IF('Breeding Inputs'!$I$44="Y",
IF(OR('Breeding Inputs'!$I$45=1, 'Breeding Inputs'!$I$45=3, 'Breeding Inputs'!$I$45=9), 25%,
IF(ISNUMBER(AL380), AL380,
IF('Breeding Inputs'!$I$44="N",
IF(OR('Breeding Inputs'!$I$45=1, 'Breeding Inputs'!$I$45=3, 'Breeding Inputs'!$I$45=9),
IF(ISNUMBER('Breeding Inputs'!$I$46),'Breeding Inputs'!$I$46,""),""),""))),""),"")</f>
        <v/>
      </c>
      <c r="AN380" s="17" t="str">
        <f>IF(OR('Breeding Inputs'!$I$17="Y",'Model_ of_individuals'!$C373&lt;&gt;""),
IF('Breeding Inputs'!$I$44="Y",
IF(OR('Breeding Inputs'!$I$45=1, 'Breeding Inputs'!$I$45=3, 'Breeding Inputs'!$I$45=9), 25%,
IF(ISNUMBER(AM380), AM380,
IF('Breeding Inputs'!$I$44="N",
IF(OR('Breeding Inputs'!$I$45=1, 'Breeding Inputs'!$I$45=3, 'Breeding Inputs'!$I$45=9),
IF(ISNUMBER('Breeding Inputs'!$I$46),'Breeding Inputs'!$I$46,""),""),""))),""),"")</f>
        <v/>
      </c>
      <c r="AO380" s="17" t="str">
        <f>IF(OR('Breeding Inputs'!$I$17="Y",'Model_ of_individuals'!$C373&lt;&gt;""),
IF('Breeding Inputs'!$I$44="Y",
IF(OR('Breeding Inputs'!$I$45=1, 'Breeding Inputs'!$I$45=3, 'Breeding Inputs'!$I$45=9), 25%,
IF(ISNUMBER(AN380), AN380,
IF('Breeding Inputs'!$I$44="N",
IF(OR('Breeding Inputs'!$I$45=1, 'Breeding Inputs'!$I$45=3, 'Breeding Inputs'!$I$45=9),
IF(ISNUMBER('Breeding Inputs'!$I$46),'Breeding Inputs'!$I$46,""),""),""))),""),"")</f>
        <v/>
      </c>
      <c r="AP380" s="17" t="str">
        <f>IF(OR('Breeding Inputs'!$I$17="Y",'Model_ of_individuals'!$C373&lt;&gt;""),
IF('Breeding Inputs'!$I$44="Y",
IF(OR('Breeding Inputs'!$I$45=1, 'Breeding Inputs'!$I$45=3, 'Breeding Inputs'!$I$45=9), 25%,
IF(ISNUMBER(AO380), AO380,
IF('Breeding Inputs'!$I$44="N",
IF(OR('Breeding Inputs'!$I$45=1, 'Breeding Inputs'!$I$45=3, 'Breeding Inputs'!$I$45=9),
IF(ISNUMBER('Breeding Inputs'!$I$46),'Breeding Inputs'!$I$46,""),""),""))),""),"")</f>
        <v/>
      </c>
      <c r="AQ380" s="17" t="str">
        <f>IF(OR('Breeding Inputs'!$I$17="Y",'Model_ of_individuals'!$C373&lt;&gt;""),
IF('Breeding Inputs'!$I$44="Y",
IF(OR('Breeding Inputs'!$I$45=1, 'Breeding Inputs'!$I$45=3, 'Breeding Inputs'!$I$45=9), 25%,
IF(ISNUMBER(AP380), AP380,
IF('Breeding Inputs'!$I$44="N",
IF(OR('Breeding Inputs'!$I$45=1, 'Breeding Inputs'!$I$45=3, 'Breeding Inputs'!$I$45=9),
IF(ISNUMBER('Breeding Inputs'!$I$46),'Breeding Inputs'!$I$46,""),""),""))),""),"")</f>
        <v/>
      </c>
      <c r="AR380" s="17" t="str">
        <f>IF(OR('Breeding Inputs'!$I$17="Y",'Model_ of_individuals'!$C373&lt;&gt;""),
IF('Breeding Inputs'!$I$44="Y",
IF(OR('Breeding Inputs'!$I$45=1, 'Breeding Inputs'!$I$45=3, 'Breeding Inputs'!$I$45=9), 25%,
IF(ISNUMBER(AQ380), AQ380,
IF('Breeding Inputs'!$I$44="N",
IF(OR('Breeding Inputs'!$I$45=1, 'Breeding Inputs'!$I$45=3, 'Breeding Inputs'!$I$45=9),
IF(ISNUMBER('Breeding Inputs'!$I$46),'Breeding Inputs'!$I$46,""),""),""))),""),"")</f>
        <v/>
      </c>
      <c r="AS380" s="17" t="str">
        <f>IF(OR('Breeding Inputs'!$I$17="Y",'Model_ of_individuals'!$C373&lt;&gt;""),
IF('Breeding Inputs'!$I$44="Y",
IF(OR('Breeding Inputs'!$I$45=1, 'Breeding Inputs'!$I$45=3, 'Breeding Inputs'!$I$45=9), 25%,
IF(ISNUMBER(AR380), AR380,
IF('Breeding Inputs'!$I$44="N",
IF(OR('Breeding Inputs'!$I$45=1, 'Breeding Inputs'!$I$45=3, 'Breeding Inputs'!$I$45=9),
IF(ISNUMBER('Breeding Inputs'!$I$46),'Breeding Inputs'!$I$46,""),""),""))),""),"")</f>
        <v/>
      </c>
    </row>
    <row r="381" spans="1:45" x14ac:dyDescent="0.25">
      <c r="A381" s="518"/>
      <c r="B381" s="504"/>
      <c r="C381" s="521" t="str">
        <f>IF(AND(B369&lt;&gt;"", ISNUMBER(B369), ISNUMBER(Stage2EvaluationBegins)), IF((INDEX(ProgramYearStage2,MATCH(Stage2EvaluationBegins,Years_in_Stage2,0)))=B369, _4_5_0, IF(AND(B369&lt;&gt;"", C357&lt;&gt;""), _4_5_0, IF(AND(B369&lt;&gt;"", ISNUMBER(B369), OR(Stage2EvaluationBegins=0, Stage2EvaluationBegins="")),"", ""))),"")</f>
        <v/>
      </c>
      <c r="D381" s="94" t="str">
        <f>IF(AND(C381&lt;&gt;"", 'Cost Inputs'!$G$116&lt;&gt;""), 'Cost Inputs'!$G$116, "")</f>
        <v/>
      </c>
      <c r="E381" s="94" t="str">
        <f>IF(AND(C381&lt;&gt;"", 'Cost Inputs'!$H$116&lt;&gt;""), 'Cost Inputs'!$H$116, "")</f>
        <v/>
      </c>
      <c r="F381" s="492" t="str">
        <f>IF(AND(C381&lt;&gt;"", 'Cost Inputs'!$I$116&lt;&gt;""), 'Cost Inputs'!$I$116, "")</f>
        <v/>
      </c>
      <c r="G381" s="102" t="str">
        <f t="shared" si="63"/>
        <v/>
      </c>
      <c r="H381" s="492" t="str">
        <f>IF(AND(C381&lt;&gt;"", 'Cost Inputs'!$J$116&lt;&gt;""), 'Cost Inputs'!$J$116, "")</f>
        <v/>
      </c>
      <c r="I381" s="102" t="str">
        <f>IF($C381&lt;&gt;"",IF(AND($E381&lt;&gt;"",H381&lt;&gt;""), H381/$E381, 0),"")</f>
        <v/>
      </c>
      <c r="J381" s="492" t="str">
        <f>IF(AND(C381&lt;&gt;"",('Cost Inputs'!$I$116+'Cost Inputs'!$J$116+'Cost Inputs'!$K$116)&gt;0), 'Cost Inputs'!$I$116+'Cost Inputs'!$J$116+'Cost Inputs'!$K$116, "")</f>
        <v/>
      </c>
      <c r="K381" s="102" t="str">
        <f>IF($C381&lt;&gt;"",IF(AND($E381&lt;&gt;"",J381&lt;&gt;""), J381/$E381, 0),"")</f>
        <v/>
      </c>
      <c r="L381" s="525"/>
      <c r="M381" s="525"/>
      <c r="R381" s="496" t="str">
        <f t="shared" ref="R381:AS381" si="109">IF(ISNUMBER($B$369),
IF($C381&lt;&gt;"",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81" s="496" t="str">
        <f t="shared" si="109"/>
        <v/>
      </c>
      <c r="T381" s="496" t="str">
        <f t="shared" si="109"/>
        <v/>
      </c>
      <c r="U381" s="496" t="str">
        <f t="shared" si="109"/>
        <v/>
      </c>
      <c r="V381" s="496" t="str">
        <f t="shared" si="109"/>
        <v/>
      </c>
      <c r="W381" s="496" t="str">
        <f t="shared" si="109"/>
        <v/>
      </c>
      <c r="X381" s="496" t="str">
        <f t="shared" si="109"/>
        <v/>
      </c>
      <c r="Y381" s="496" t="str">
        <f t="shared" si="109"/>
        <v/>
      </c>
      <c r="Z381" s="496" t="str">
        <f t="shared" si="109"/>
        <v/>
      </c>
      <c r="AA381" s="496" t="str">
        <f t="shared" si="109"/>
        <v/>
      </c>
      <c r="AB381" s="496" t="str">
        <f t="shared" si="109"/>
        <v/>
      </c>
      <c r="AC381" s="496" t="str">
        <f t="shared" si="109"/>
        <v/>
      </c>
      <c r="AD381" s="496" t="str">
        <f t="shared" si="109"/>
        <v/>
      </c>
      <c r="AE381" s="496" t="str">
        <f t="shared" si="109"/>
        <v/>
      </c>
      <c r="AF381" s="496" t="str">
        <f t="shared" si="109"/>
        <v/>
      </c>
      <c r="AG381" s="496" t="str">
        <f t="shared" si="109"/>
        <v/>
      </c>
      <c r="AH381" s="496" t="str">
        <f t="shared" si="109"/>
        <v/>
      </c>
      <c r="AI381" s="496" t="str">
        <f t="shared" si="109"/>
        <v/>
      </c>
      <c r="AJ381" s="496" t="str">
        <f t="shared" si="109"/>
        <v/>
      </c>
      <c r="AK381" s="496" t="str">
        <f t="shared" si="109"/>
        <v/>
      </c>
      <c r="AL381" s="496" t="str">
        <f t="shared" si="109"/>
        <v/>
      </c>
      <c r="AM381" s="496" t="str">
        <f t="shared" si="109"/>
        <v/>
      </c>
      <c r="AN381" s="496" t="str">
        <f t="shared" si="109"/>
        <v/>
      </c>
      <c r="AO381" s="496" t="str">
        <f t="shared" si="109"/>
        <v/>
      </c>
      <c r="AP381" s="496" t="str">
        <f t="shared" si="109"/>
        <v/>
      </c>
      <c r="AQ381" s="496" t="str">
        <f t="shared" si="109"/>
        <v/>
      </c>
      <c r="AR381" s="496" t="str">
        <f t="shared" si="109"/>
        <v/>
      </c>
      <c r="AS381" s="496" t="str">
        <f t="shared" si="109"/>
        <v/>
      </c>
    </row>
    <row r="382" spans="1:45" x14ac:dyDescent="0.25">
      <c r="A382" s="518"/>
      <c r="B382" s="504"/>
      <c r="C382" s="521"/>
      <c r="D382" s="94" t="str">
        <f>IF(AND(C381&lt;&gt;"", 'Cost Inputs'!$G$117&lt;&gt;""), 'Cost Inputs'!$G$117, "")</f>
        <v/>
      </c>
      <c r="E382" s="94" t="str">
        <f>IF(AND(C381&lt;&gt;"", 'Cost Inputs'!$H$117&lt;&gt;""), 'Cost Inputs'!$H$117, "")</f>
        <v/>
      </c>
      <c r="F382" s="492"/>
      <c r="G382" s="102" t="str">
        <f t="shared" si="63"/>
        <v/>
      </c>
      <c r="H382" s="492"/>
      <c r="I382" s="102" t="str">
        <f>IF($C381&lt;&gt;"", IF(AND($E382&lt;&gt;"", H381&lt;&gt;""), H381/($E381*$E382), 0), "")</f>
        <v/>
      </c>
      <c r="J382" s="492" t="str">
        <f>IF(AND(C382&lt;&gt;"",('Cost Inputs'!$I$86+'Cost Inputs'!$J$86+'Cost Inputs'!$K$86)&gt;0), 'Cost Inputs'!$I$86+'Cost Inputs'!$J$86+'Cost Inputs'!$K$86, "")</f>
        <v/>
      </c>
      <c r="K382" s="102" t="str">
        <f>IF($C381&lt;&gt;"", IF(AND($E382&lt;&gt;"", J381&lt;&gt;""), J381/($E381*$E382), 0), "")</f>
        <v/>
      </c>
      <c r="L382" s="525"/>
      <c r="M382" s="525"/>
      <c r="R382" s="496" t="str">
        <f t="shared" ref="R382:AS382" si="110">IF(ISNUMBER($B$345),
IF($C382&lt;&gt;"",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82" s="496" t="str">
        <f t="shared" si="110"/>
        <v/>
      </c>
      <c r="T382" s="496" t="str">
        <f t="shared" si="110"/>
        <v/>
      </c>
      <c r="U382" s="496" t="str">
        <f t="shared" si="110"/>
        <v/>
      </c>
      <c r="V382" s="496" t="str">
        <f t="shared" si="110"/>
        <v/>
      </c>
      <c r="W382" s="496" t="str">
        <f t="shared" si="110"/>
        <v/>
      </c>
      <c r="X382" s="496" t="str">
        <f t="shared" si="110"/>
        <v/>
      </c>
      <c r="Y382" s="496" t="str">
        <f t="shared" si="110"/>
        <v/>
      </c>
      <c r="Z382" s="496" t="str">
        <f t="shared" si="110"/>
        <v/>
      </c>
      <c r="AA382" s="496" t="str">
        <f t="shared" si="110"/>
        <v/>
      </c>
      <c r="AB382" s="496" t="str">
        <f t="shared" si="110"/>
        <v/>
      </c>
      <c r="AC382" s="496" t="str">
        <f t="shared" si="110"/>
        <v/>
      </c>
      <c r="AD382" s="496" t="str">
        <f t="shared" si="110"/>
        <v/>
      </c>
      <c r="AE382" s="496" t="str">
        <f t="shared" si="110"/>
        <v/>
      </c>
      <c r="AF382" s="496" t="str">
        <f t="shared" si="110"/>
        <v/>
      </c>
      <c r="AG382" s="496" t="str">
        <f t="shared" si="110"/>
        <v/>
      </c>
      <c r="AH382" s="496" t="str">
        <f t="shared" si="110"/>
        <v/>
      </c>
      <c r="AI382" s="496" t="str">
        <f t="shared" si="110"/>
        <v/>
      </c>
      <c r="AJ382" s="496" t="str">
        <f t="shared" si="110"/>
        <v/>
      </c>
      <c r="AK382" s="496" t="str">
        <f t="shared" si="110"/>
        <v/>
      </c>
      <c r="AL382" s="496" t="str">
        <f t="shared" si="110"/>
        <v/>
      </c>
      <c r="AM382" s="496" t="str">
        <f t="shared" si="110"/>
        <v/>
      </c>
      <c r="AN382" s="496" t="str">
        <f t="shared" si="110"/>
        <v/>
      </c>
      <c r="AO382" s="496" t="str">
        <f t="shared" si="110"/>
        <v/>
      </c>
      <c r="AP382" s="496" t="str">
        <f t="shared" si="110"/>
        <v/>
      </c>
      <c r="AQ382" s="496" t="str">
        <f t="shared" si="110"/>
        <v/>
      </c>
      <c r="AR382" s="496" t="str">
        <f t="shared" si="110"/>
        <v/>
      </c>
      <c r="AS382" s="496" t="str">
        <f t="shared" si="110"/>
        <v/>
      </c>
    </row>
    <row r="383" spans="1:45" x14ac:dyDescent="0.25">
      <c r="A383" s="518"/>
      <c r="B383" s="504"/>
      <c r="C383" s="376" t="str">
        <f>IF(AND(ISNUMBER(B369), C381&lt;&gt;"", OR('Cost Inputs'!$H$118&lt;&gt;"", 'Cost Inputs'!$I$118&lt;&gt;"", 'Cost Inputs'!$J$118&lt;&gt;"")), _4_5_1, "")</f>
        <v/>
      </c>
      <c r="D383" s="17" t="str">
        <f>IF(AND(C383&lt;&gt;"", 'Cost Inputs'!$G$118&lt;&gt;""), 'Cost Inputs'!$G$118, "")</f>
        <v/>
      </c>
      <c r="E383" s="17" t="str">
        <f>IF(AND(C383&lt;&gt;"", 'Cost Inputs'!$H$118&lt;&gt;""), 'Cost Inputs'!$H$118, "")</f>
        <v/>
      </c>
      <c r="F383" s="493" t="str">
        <f>IF(AND(C383&lt;&gt;"", 'Cost Inputs'!$I$118&lt;&gt;""), 'Cost Inputs'!$I$118, "")</f>
        <v/>
      </c>
      <c r="G383" s="105" t="str">
        <f t="shared" si="63"/>
        <v/>
      </c>
      <c r="H383" s="493" t="str">
        <f>IF(AND(C383&lt;&gt;"", 'Cost Inputs'!$J$118&lt;&gt;""), 'Cost Inputs'!$J$118, "")</f>
        <v/>
      </c>
      <c r="I383" s="105" t="str">
        <f>IF($C383&lt;&gt;"",IF(AND($E383&lt;&gt;"",H383&lt;&gt;""), H383/$E383, 0),"")</f>
        <v/>
      </c>
      <c r="J383" s="493" t="str">
        <f>IF(AND(C383&lt;&gt;"",('Cost Inputs'!$I$118+'Cost Inputs'!$J$118+'Cost Inputs'!$K$118)&gt;0), 'Cost Inputs'!$I$118+'Cost Inputs'!$J$118+'Cost Inputs'!$K$118, "")</f>
        <v/>
      </c>
      <c r="K383" s="105" t="str">
        <f>IF($C383&lt;&gt;"",IF(AND($E383&lt;&gt;"",J383&lt;&gt;""), J383/$E383, 0),"")</f>
        <v/>
      </c>
      <c r="L383" s="525"/>
      <c r="M383" s="525"/>
      <c r="R383" s="497" t="str">
        <f t="shared" ref="R383:AS383" si="111">IF(ISNUMBER($B$369),
IF($C383&lt;&gt;"",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83" s="497" t="str">
        <f t="shared" si="111"/>
        <v/>
      </c>
      <c r="T383" s="497" t="str">
        <f t="shared" si="111"/>
        <v/>
      </c>
      <c r="U383" s="497" t="str">
        <f t="shared" si="111"/>
        <v/>
      </c>
      <c r="V383" s="497" t="str">
        <f t="shared" si="111"/>
        <v/>
      </c>
      <c r="W383" s="497" t="str">
        <f t="shared" si="111"/>
        <v/>
      </c>
      <c r="X383" s="497" t="str">
        <f t="shared" si="111"/>
        <v/>
      </c>
      <c r="Y383" s="497" t="str">
        <f t="shared" si="111"/>
        <v/>
      </c>
      <c r="Z383" s="497" t="str">
        <f t="shared" si="111"/>
        <v/>
      </c>
      <c r="AA383" s="497" t="str">
        <f t="shared" si="111"/>
        <v/>
      </c>
      <c r="AB383" s="497" t="str">
        <f t="shared" si="111"/>
        <v/>
      </c>
      <c r="AC383" s="497" t="str">
        <f t="shared" si="111"/>
        <v/>
      </c>
      <c r="AD383" s="497" t="str">
        <f t="shared" si="111"/>
        <v/>
      </c>
      <c r="AE383" s="497" t="str">
        <f t="shared" si="111"/>
        <v/>
      </c>
      <c r="AF383" s="497" t="str">
        <f t="shared" si="111"/>
        <v/>
      </c>
      <c r="AG383" s="497" t="str">
        <f t="shared" si="111"/>
        <v/>
      </c>
      <c r="AH383" s="497" t="str">
        <f t="shared" si="111"/>
        <v/>
      </c>
      <c r="AI383" s="497" t="str">
        <f t="shared" si="111"/>
        <v/>
      </c>
      <c r="AJ383" s="497" t="str">
        <f t="shared" si="111"/>
        <v/>
      </c>
      <c r="AK383" s="497" t="str">
        <f t="shared" si="111"/>
        <v/>
      </c>
      <c r="AL383" s="497" t="str">
        <f t="shared" si="111"/>
        <v/>
      </c>
      <c r="AM383" s="497" t="str">
        <f t="shared" si="111"/>
        <v/>
      </c>
      <c r="AN383" s="497" t="str">
        <f t="shared" si="111"/>
        <v/>
      </c>
      <c r="AO383" s="497" t="str">
        <f t="shared" si="111"/>
        <v/>
      </c>
      <c r="AP383" s="497" t="str">
        <f t="shared" si="111"/>
        <v/>
      </c>
      <c r="AQ383" s="497" t="str">
        <f t="shared" si="111"/>
        <v/>
      </c>
      <c r="AR383" s="497" t="str">
        <f t="shared" si="111"/>
        <v/>
      </c>
      <c r="AS383" s="497" t="str">
        <f t="shared" si="111"/>
        <v/>
      </c>
    </row>
    <row r="384" spans="1:45" x14ac:dyDescent="0.25">
      <c r="A384" s="518"/>
      <c r="B384" s="504"/>
      <c r="C384" s="376" t="str">
        <f>IF(AND(ISNUMBER(B364), OR('Cost Inputs'!$H$85&lt;&gt;"", 'Cost Inputs'!$I$85&lt;&gt;"", 'Cost Inputs'!$J$85&lt;&gt;"")), _3_5_1, "")</f>
        <v/>
      </c>
      <c r="D384" s="17" t="str">
        <f>IF(AND(C383&lt;&gt;"", 'Cost Inputs'!$G$119&lt;&gt;""), 'Cost Inputs'!$G$119, "")</f>
        <v/>
      </c>
      <c r="E384" s="17" t="str">
        <f>IF(AND(C383&lt;&gt;"", 'Cost Inputs'!$H$119&lt;&gt;""), 'Cost Inputs'!$H$119, "")</f>
        <v/>
      </c>
      <c r="F384" s="493"/>
      <c r="G384" s="105" t="str">
        <f t="shared" si="63"/>
        <v/>
      </c>
      <c r="H384" s="493"/>
      <c r="I384" s="105" t="str">
        <f>IF($C383&lt;&gt;"", IF(AND($E384&lt;&gt;"", H383&lt;&gt;""), H383/($E383*$E384), 0), "")</f>
        <v/>
      </c>
      <c r="J384" s="493" t="str">
        <f>IF(AND(C384&lt;&gt;"",('Cost Inputs'!$I$86+'Cost Inputs'!$J$86+'Cost Inputs'!$K$86)&gt;0), 'Cost Inputs'!$I$86+'Cost Inputs'!$J$86+'Cost Inputs'!$K$86, "")</f>
        <v/>
      </c>
      <c r="K384" s="105" t="str">
        <f>IF($C383&lt;&gt;"", IF(AND($E384&lt;&gt;"", J383&lt;&gt;""), J383/($E383*$E384), 0), "")</f>
        <v/>
      </c>
      <c r="L384" s="525"/>
      <c r="M384" s="525"/>
      <c r="R384" s="497" t="str">
        <f t="shared" ref="R384:AS384" si="112">IF(ISNUMBER($B$345),
IF($C384&lt;&gt;"",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84" s="497" t="str">
        <f t="shared" si="112"/>
        <v/>
      </c>
      <c r="T384" s="497" t="str">
        <f t="shared" si="112"/>
        <v/>
      </c>
      <c r="U384" s="497" t="str">
        <f t="shared" si="112"/>
        <v/>
      </c>
      <c r="V384" s="497" t="str">
        <f t="shared" si="112"/>
        <v/>
      </c>
      <c r="W384" s="497" t="str">
        <f t="shared" si="112"/>
        <v/>
      </c>
      <c r="X384" s="497" t="str">
        <f t="shared" si="112"/>
        <v/>
      </c>
      <c r="Y384" s="497" t="str">
        <f t="shared" si="112"/>
        <v/>
      </c>
      <c r="Z384" s="497" t="str">
        <f t="shared" si="112"/>
        <v/>
      </c>
      <c r="AA384" s="497" t="str">
        <f t="shared" si="112"/>
        <v/>
      </c>
      <c r="AB384" s="497" t="str">
        <f t="shared" si="112"/>
        <v/>
      </c>
      <c r="AC384" s="497" t="str">
        <f t="shared" si="112"/>
        <v/>
      </c>
      <c r="AD384" s="497" t="str">
        <f t="shared" si="112"/>
        <v/>
      </c>
      <c r="AE384" s="497" t="str">
        <f t="shared" si="112"/>
        <v/>
      </c>
      <c r="AF384" s="497" t="str">
        <f t="shared" si="112"/>
        <v/>
      </c>
      <c r="AG384" s="497" t="str">
        <f t="shared" si="112"/>
        <v/>
      </c>
      <c r="AH384" s="497" t="str">
        <f t="shared" si="112"/>
        <v/>
      </c>
      <c r="AI384" s="497" t="str">
        <f t="shared" si="112"/>
        <v/>
      </c>
      <c r="AJ384" s="497" t="str">
        <f t="shared" si="112"/>
        <v/>
      </c>
      <c r="AK384" s="497" t="str">
        <f t="shared" si="112"/>
        <v/>
      </c>
      <c r="AL384" s="497" t="str">
        <f t="shared" si="112"/>
        <v/>
      </c>
      <c r="AM384" s="497" t="str">
        <f t="shared" si="112"/>
        <v/>
      </c>
      <c r="AN384" s="497" t="str">
        <f t="shared" si="112"/>
        <v/>
      </c>
      <c r="AO384" s="497" t="str">
        <f t="shared" si="112"/>
        <v/>
      </c>
      <c r="AP384" s="497" t="str">
        <f t="shared" si="112"/>
        <v/>
      </c>
      <c r="AQ384" s="497" t="str">
        <f t="shared" si="112"/>
        <v/>
      </c>
      <c r="AR384" s="497" t="str">
        <f t="shared" si="112"/>
        <v/>
      </c>
      <c r="AS384" s="497" t="str">
        <f t="shared" si="112"/>
        <v/>
      </c>
    </row>
    <row r="385" spans="1:46" x14ac:dyDescent="0.25">
      <c r="A385" s="518"/>
      <c r="B385" s="504"/>
      <c r="C385" s="107" t="str">
        <f>IF(AND(ISNUMBER(B369), C381&lt;&gt;"", OR('Cost Inputs'!$H$120&lt;&gt;"", 'Cost Inputs'!$I$120&lt;&gt;"", 'Cost Inputs'!$J$120&lt;&gt;"")), _4_5_2, "")</f>
        <v/>
      </c>
      <c r="D385" s="93" t="str">
        <f>IF(AND(C385&lt;&gt;"", 'Cost Inputs'!$G$120&lt;&gt;""), 'Cost Inputs'!$G$120, "")</f>
        <v/>
      </c>
      <c r="E385" s="93" t="str">
        <f>IF(AND(C385&lt;&gt;"", 'Cost Inputs'!$H$120&lt;&gt;""), 'Cost Inputs'!$H$120, "")</f>
        <v/>
      </c>
      <c r="F385" s="93" t="str">
        <f>IF(AND(C385&lt;&gt;"", 'Cost Inputs'!$I$120&lt;&gt;""), 'Cost Inputs'!$I$120, "")</f>
        <v/>
      </c>
      <c r="G385" s="108" t="str">
        <f t="shared" si="63"/>
        <v/>
      </c>
      <c r="H385" s="93" t="str">
        <f>IF(AND(C385&lt;&gt;"", 'Cost Inputs'!$J$120&lt;&gt;""), 'Cost Inputs'!$J$120, "")</f>
        <v/>
      </c>
      <c r="I385" s="93" t="str">
        <f>IF($C385&lt;&gt;"", IF(AND($E385&lt;&gt;"", H385&lt;&gt;""), H385/$E385, 0),"")</f>
        <v/>
      </c>
      <c r="J385" s="93" t="str">
        <f>IF(AND(C385&lt;&gt;"",('Cost Inputs'!$I$120+'Cost Inputs'!$J$120+'Cost Inputs'!$K$120)&gt;0), 'Cost Inputs'!$I$120+'Cost Inputs'!$J$120+'Cost Inputs'!$K$120, "")</f>
        <v/>
      </c>
      <c r="K385" s="93" t="str">
        <f>IF($C385&lt;&gt;"", IF(AND($E385&lt;&gt;"", J385&lt;&gt;""), J385/$E385, 0),"")</f>
        <v/>
      </c>
      <c r="L385" s="525"/>
      <c r="M385" s="525"/>
      <c r="R385" s="93" t="str">
        <f t="shared" ref="R385:AS385" si="113">IF(ISNUMBER($B$369),
IF($C385&lt;&gt;"",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85" s="93" t="str">
        <f t="shared" si="113"/>
        <v/>
      </c>
      <c r="T385" s="93" t="str">
        <f t="shared" si="113"/>
        <v/>
      </c>
      <c r="U385" s="93" t="str">
        <f t="shared" si="113"/>
        <v/>
      </c>
      <c r="V385" s="93" t="str">
        <f t="shared" si="113"/>
        <v/>
      </c>
      <c r="W385" s="93" t="str">
        <f t="shared" si="113"/>
        <v/>
      </c>
      <c r="X385" s="93" t="str">
        <f t="shared" si="113"/>
        <v/>
      </c>
      <c r="Y385" s="93" t="str">
        <f t="shared" si="113"/>
        <v/>
      </c>
      <c r="Z385" s="93" t="str">
        <f t="shared" si="113"/>
        <v/>
      </c>
      <c r="AA385" s="93" t="str">
        <f t="shared" si="113"/>
        <v/>
      </c>
      <c r="AB385" s="93" t="str">
        <f t="shared" si="113"/>
        <v/>
      </c>
      <c r="AC385" s="93" t="str">
        <f t="shared" si="113"/>
        <v/>
      </c>
      <c r="AD385" s="93" t="str">
        <f t="shared" si="113"/>
        <v/>
      </c>
      <c r="AE385" s="93" t="str">
        <f t="shared" si="113"/>
        <v/>
      </c>
      <c r="AF385" s="93" t="str">
        <f t="shared" si="113"/>
        <v/>
      </c>
      <c r="AG385" s="93" t="str">
        <f t="shared" si="113"/>
        <v/>
      </c>
      <c r="AH385" s="93" t="str">
        <f t="shared" si="113"/>
        <v/>
      </c>
      <c r="AI385" s="93" t="str">
        <f t="shared" si="113"/>
        <v/>
      </c>
      <c r="AJ385" s="93" t="str">
        <f t="shared" si="113"/>
        <v/>
      </c>
      <c r="AK385" s="93" t="str">
        <f t="shared" si="113"/>
        <v/>
      </c>
      <c r="AL385" s="93" t="str">
        <f t="shared" si="113"/>
        <v/>
      </c>
      <c r="AM385" s="93" t="str">
        <f t="shared" si="113"/>
        <v/>
      </c>
      <c r="AN385" s="93" t="str">
        <f t="shared" si="113"/>
        <v/>
      </c>
      <c r="AO385" s="93" t="str">
        <f t="shared" si="113"/>
        <v/>
      </c>
      <c r="AP385" s="93" t="str">
        <f t="shared" si="113"/>
        <v/>
      </c>
      <c r="AQ385" s="93" t="str">
        <f t="shared" si="113"/>
        <v/>
      </c>
      <c r="AR385" s="93" t="str">
        <f t="shared" si="113"/>
        <v/>
      </c>
      <c r="AS385" s="93" t="str">
        <f t="shared" si="113"/>
        <v/>
      </c>
    </row>
    <row r="386" spans="1:46" x14ac:dyDescent="0.25">
      <c r="A386" s="518"/>
      <c r="B386" s="504"/>
      <c r="C386" s="104" t="str">
        <f>IF(AND(ISNUMBER(B369), C381&lt;&gt;"", OR('Cost Inputs'!$H$121&lt;&gt;"", 'Cost Inputs'!$I$121&lt;&gt;"", 'Cost Inputs'!$J$121&lt;&gt;"")), _4_5_3, "")</f>
        <v/>
      </c>
      <c r="D386" s="17" t="str">
        <f>IF(AND(C386&lt;&gt;"", 'Cost Inputs'!$G$121&lt;&gt;""), 'Cost Inputs'!$G$121, "")</f>
        <v/>
      </c>
      <c r="E386" s="17" t="str">
        <f>IF(AND(C386&lt;&gt;"", 'Cost Inputs'!$H$121&lt;&gt;""), 'Cost Inputs'!$H$121, "")</f>
        <v/>
      </c>
      <c r="F386" s="17" t="str">
        <f>IF(AND(C386&lt;&gt;"", 'Cost Inputs'!$I$121&lt;&gt;""), 'Cost Inputs'!$I$121, "")</f>
        <v/>
      </c>
      <c r="G386" s="105" t="str">
        <f t="shared" si="63"/>
        <v/>
      </c>
      <c r="H386" s="17" t="str">
        <f>IF(AND(C386&lt;&gt;"", 'Cost Inputs'!$J$121&lt;&gt;""), 'Cost Inputs'!$J$121, "")</f>
        <v/>
      </c>
      <c r="I386" s="17" t="str">
        <f>IF($C386&lt;&gt;"", IF(AND($E386&lt;&gt;"", H386&lt;&gt;""), H386/$E386, 0),"")</f>
        <v/>
      </c>
      <c r="J386" s="17" t="str">
        <f>IF(AND(C386&lt;&gt;"",('Cost Inputs'!$I$121+'Cost Inputs'!$J$121+'Cost Inputs'!$K$121)&gt;0), 'Cost Inputs'!$I$121+'Cost Inputs'!$J$121+'Cost Inputs'!$K$121, "")</f>
        <v/>
      </c>
      <c r="K386" s="17" t="str">
        <f>IF($C386&lt;&gt;"", IF(AND($E386&lt;&gt;"", J386&lt;&gt;""), J386/$E386, 0),"")</f>
        <v/>
      </c>
      <c r="L386" s="525"/>
      <c r="M386" s="525"/>
      <c r="R386" s="17" t="str">
        <f t="shared" ref="R386:AS386" si="114">IF(ISNUMBER($B$369),
IF($C386&lt;&gt;"",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86" s="17" t="str">
        <f t="shared" si="114"/>
        <v/>
      </c>
      <c r="T386" s="17" t="str">
        <f t="shared" si="114"/>
        <v/>
      </c>
      <c r="U386" s="17" t="str">
        <f t="shared" si="114"/>
        <v/>
      </c>
      <c r="V386" s="17" t="str">
        <f t="shared" si="114"/>
        <v/>
      </c>
      <c r="W386" s="17" t="str">
        <f t="shared" si="114"/>
        <v/>
      </c>
      <c r="X386" s="17" t="str">
        <f t="shared" si="114"/>
        <v/>
      </c>
      <c r="Y386" s="17" t="str">
        <f t="shared" si="114"/>
        <v/>
      </c>
      <c r="Z386" s="17" t="str">
        <f t="shared" si="114"/>
        <v/>
      </c>
      <c r="AA386" s="17" t="str">
        <f t="shared" si="114"/>
        <v/>
      </c>
      <c r="AB386" s="17" t="str">
        <f t="shared" si="114"/>
        <v/>
      </c>
      <c r="AC386" s="17" t="str">
        <f t="shared" si="114"/>
        <v/>
      </c>
      <c r="AD386" s="17" t="str">
        <f t="shared" si="114"/>
        <v/>
      </c>
      <c r="AE386" s="17" t="str">
        <f t="shared" si="114"/>
        <v/>
      </c>
      <c r="AF386" s="17" t="str">
        <f t="shared" si="114"/>
        <v/>
      </c>
      <c r="AG386" s="17" t="str">
        <f t="shared" si="114"/>
        <v/>
      </c>
      <c r="AH386" s="17" t="str">
        <f t="shared" si="114"/>
        <v/>
      </c>
      <c r="AI386" s="17" t="str">
        <f t="shared" si="114"/>
        <v/>
      </c>
      <c r="AJ386" s="17" t="str">
        <f t="shared" si="114"/>
        <v/>
      </c>
      <c r="AK386" s="17" t="str">
        <f t="shared" si="114"/>
        <v/>
      </c>
      <c r="AL386" s="17" t="str">
        <f t="shared" si="114"/>
        <v/>
      </c>
      <c r="AM386" s="17" t="str">
        <f t="shared" si="114"/>
        <v/>
      </c>
      <c r="AN386" s="17" t="str">
        <f t="shared" si="114"/>
        <v/>
      </c>
      <c r="AO386" s="17" t="str">
        <f t="shared" si="114"/>
        <v/>
      </c>
      <c r="AP386" s="17" t="str">
        <f t="shared" si="114"/>
        <v/>
      </c>
      <c r="AQ386" s="17" t="str">
        <f t="shared" si="114"/>
        <v/>
      </c>
      <c r="AR386" s="17" t="str">
        <f t="shared" si="114"/>
        <v/>
      </c>
      <c r="AS386" s="17" t="str">
        <f t="shared" si="114"/>
        <v/>
      </c>
    </row>
    <row r="387" spans="1:46" x14ac:dyDescent="0.25">
      <c r="A387" s="518"/>
      <c r="B387" s="504"/>
      <c r="C387" s="107" t="str">
        <f>IF(AND(ISNUMBER(B369), C381&lt;&gt;"", OR('Cost Inputs'!$H$122&lt;&gt;"", 'Cost Inputs'!$I$122&lt;&gt;"", 'Cost Inputs'!$J$122&lt;&gt;"")), _4_5_2, "")</f>
        <v/>
      </c>
      <c r="D387" s="93" t="str">
        <f>IF(AND(C387&lt;&gt;"", 'Cost Inputs'!$G$122&lt;&gt;""), 'Cost Inputs'!$G$122, "")</f>
        <v/>
      </c>
      <c r="E387" s="93" t="str">
        <f>IF(AND(C387&lt;&gt;"", 'Cost Inputs'!$H$122&lt;&gt;""), 'Cost Inputs'!$H$122, "")</f>
        <v/>
      </c>
      <c r="F387" s="93" t="str">
        <f>IF(AND(C387&lt;&gt;"", 'Cost Inputs'!$I$122&lt;&gt;""), 'Cost Inputs'!$I$122, "")</f>
        <v/>
      </c>
      <c r="G387" s="108" t="str">
        <f t="shared" si="63"/>
        <v/>
      </c>
      <c r="H387" s="93" t="str">
        <f>IF(AND(C387&lt;&gt;"", 'Cost Inputs'!$J$122&lt;&gt;""), 'Cost Inputs'!$J$122, "")</f>
        <v/>
      </c>
      <c r="I387" s="93" t="str">
        <f>IF($C387&lt;&gt;"", IF(AND($E387&lt;&gt;"", H387&lt;&gt;""), H387/$E387, 0),"")</f>
        <v/>
      </c>
      <c r="J387" s="93" t="str">
        <f>IF(AND(C387&lt;&gt;"",('Cost Inputs'!$I$122+'Cost Inputs'!$J$122+'Cost Inputs'!$K$122)&gt;0), 'Cost Inputs'!$I$122+'Cost Inputs'!$J$122+'Cost Inputs'!$K$122, "")</f>
        <v/>
      </c>
      <c r="K387" s="93" t="str">
        <f>IF($C387&lt;&gt;"", IF(AND($E387&lt;&gt;"", J387&lt;&gt;""), J387/$E387, 0),"")</f>
        <v/>
      </c>
      <c r="L387" s="525"/>
      <c r="M387" s="525"/>
      <c r="R387" s="93" t="str">
        <f t="shared" ref="R387:AS387" si="115">IF(ISNUMBER($B$369),
IF($C387&lt;&gt;"",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87" s="93" t="str">
        <f t="shared" si="115"/>
        <v/>
      </c>
      <c r="T387" s="93" t="str">
        <f t="shared" si="115"/>
        <v/>
      </c>
      <c r="U387" s="93" t="str">
        <f t="shared" si="115"/>
        <v/>
      </c>
      <c r="V387" s="93" t="str">
        <f t="shared" si="115"/>
        <v/>
      </c>
      <c r="W387" s="93" t="str">
        <f t="shared" si="115"/>
        <v/>
      </c>
      <c r="X387" s="93" t="str">
        <f t="shared" si="115"/>
        <v/>
      </c>
      <c r="Y387" s="93" t="str">
        <f t="shared" si="115"/>
        <v/>
      </c>
      <c r="Z387" s="93" t="str">
        <f t="shared" si="115"/>
        <v/>
      </c>
      <c r="AA387" s="93" t="str">
        <f t="shared" si="115"/>
        <v/>
      </c>
      <c r="AB387" s="93" t="str">
        <f t="shared" si="115"/>
        <v/>
      </c>
      <c r="AC387" s="93" t="str">
        <f t="shared" si="115"/>
        <v/>
      </c>
      <c r="AD387" s="93" t="str">
        <f t="shared" si="115"/>
        <v/>
      </c>
      <c r="AE387" s="93" t="str">
        <f t="shared" si="115"/>
        <v/>
      </c>
      <c r="AF387" s="93" t="str">
        <f t="shared" si="115"/>
        <v/>
      </c>
      <c r="AG387" s="93" t="str">
        <f t="shared" si="115"/>
        <v/>
      </c>
      <c r="AH387" s="93" t="str">
        <f t="shared" si="115"/>
        <v/>
      </c>
      <c r="AI387" s="93" t="str">
        <f t="shared" si="115"/>
        <v/>
      </c>
      <c r="AJ387" s="93" t="str">
        <f t="shared" si="115"/>
        <v/>
      </c>
      <c r="AK387" s="93" t="str">
        <f t="shared" si="115"/>
        <v/>
      </c>
      <c r="AL387" s="93" t="str">
        <f t="shared" si="115"/>
        <v/>
      </c>
      <c r="AM387" s="93" t="str">
        <f t="shared" si="115"/>
        <v/>
      </c>
      <c r="AN387" s="93" t="str">
        <f t="shared" si="115"/>
        <v/>
      </c>
      <c r="AO387" s="93" t="str">
        <f t="shared" si="115"/>
        <v/>
      </c>
      <c r="AP387" s="93" t="str">
        <f t="shared" si="115"/>
        <v/>
      </c>
      <c r="AQ387" s="93" t="str">
        <f t="shared" si="115"/>
        <v/>
      </c>
      <c r="AR387" s="93" t="str">
        <f t="shared" si="115"/>
        <v/>
      </c>
      <c r="AS387" s="93" t="str">
        <f t="shared" si="115"/>
        <v/>
      </c>
    </row>
    <row r="388" spans="1:46" x14ac:dyDescent="0.25">
      <c r="A388" s="518"/>
      <c r="B388" s="504"/>
      <c r="C388" s="104" t="str">
        <f>IF(AND(ISNUMBER(B369), C381&lt;&gt;"", OR('Cost Inputs'!$H$123&lt;&gt;"", 'Cost Inputs'!$I$123&lt;&gt;"", 'Cost Inputs'!$J$123&lt;&gt;"")), _4_5_3, "")</f>
        <v/>
      </c>
      <c r="D388" s="17" t="str">
        <f>IF(AND(C388&lt;&gt;"", 'Cost Inputs'!$G$123&lt;&gt;""), 'Cost Inputs'!$G$123, "")</f>
        <v/>
      </c>
      <c r="E388" s="17" t="str">
        <f>IF(AND(C388&lt;&gt;"", 'Cost Inputs'!$H$123&lt;&gt;""), 'Cost Inputs'!$H$123, "")</f>
        <v/>
      </c>
      <c r="F388" s="17" t="str">
        <f>IF(AND(C388&lt;&gt;"", 'Cost Inputs'!$I$123&lt;&gt;""), 'Cost Inputs'!$I$123, "")</f>
        <v/>
      </c>
      <c r="G388" s="105" t="str">
        <f t="shared" si="63"/>
        <v/>
      </c>
      <c r="H388" s="17" t="str">
        <f>IF(AND(C388&lt;&gt;"", 'Cost Inputs'!$J$123&lt;&gt;""), 'Cost Inputs'!$J$123, "")</f>
        <v/>
      </c>
      <c r="I388" s="17" t="str">
        <f>IF($C388&lt;&gt;"", IF(AND($E388&lt;&gt;"", H388&lt;&gt;""), H388/$E388, 0),"")</f>
        <v/>
      </c>
      <c r="J388" s="17" t="str">
        <f>IF(AND(C388&lt;&gt;"",('Cost Inputs'!$I$123+'Cost Inputs'!$J$123+'Cost Inputs'!$K$123)&gt;0), 'Cost Inputs'!$I$123+'Cost Inputs'!$J$123+'Cost Inputs'!$K$123, "")</f>
        <v/>
      </c>
      <c r="K388" s="17" t="str">
        <f>IF($C388&lt;&gt;"", IF(AND($E388&lt;&gt;"", J388&lt;&gt;""), J388/$E388, 0),"")</f>
        <v/>
      </c>
      <c r="L388" s="525"/>
      <c r="M388" s="525"/>
      <c r="R388" s="17" t="str">
        <f t="shared" ref="R388:AS388" si="116">IF(ISNUMBER($B$369),
IF($C388&lt;&gt;"",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88" s="17" t="str">
        <f t="shared" si="116"/>
        <v/>
      </c>
      <c r="T388" s="17" t="str">
        <f t="shared" si="116"/>
        <v/>
      </c>
      <c r="U388" s="17" t="str">
        <f t="shared" si="116"/>
        <v/>
      </c>
      <c r="V388" s="17" t="str">
        <f t="shared" si="116"/>
        <v/>
      </c>
      <c r="W388" s="17" t="str">
        <f t="shared" si="116"/>
        <v/>
      </c>
      <c r="X388" s="17" t="str">
        <f t="shared" si="116"/>
        <v/>
      </c>
      <c r="Y388" s="17" t="str">
        <f t="shared" si="116"/>
        <v/>
      </c>
      <c r="Z388" s="17" t="str">
        <f t="shared" si="116"/>
        <v/>
      </c>
      <c r="AA388" s="17" t="str">
        <f t="shared" si="116"/>
        <v/>
      </c>
      <c r="AB388" s="17" t="str">
        <f t="shared" si="116"/>
        <v/>
      </c>
      <c r="AC388" s="17" t="str">
        <f t="shared" si="116"/>
        <v/>
      </c>
      <c r="AD388" s="17" t="str">
        <f t="shared" si="116"/>
        <v/>
      </c>
      <c r="AE388" s="17" t="str">
        <f t="shared" si="116"/>
        <v/>
      </c>
      <c r="AF388" s="17" t="str">
        <f t="shared" si="116"/>
        <v/>
      </c>
      <c r="AG388" s="17" t="str">
        <f t="shared" si="116"/>
        <v/>
      </c>
      <c r="AH388" s="17" t="str">
        <f t="shared" si="116"/>
        <v/>
      </c>
      <c r="AI388" s="17" t="str">
        <f t="shared" si="116"/>
        <v/>
      </c>
      <c r="AJ388" s="17" t="str">
        <f t="shared" si="116"/>
        <v/>
      </c>
      <c r="AK388" s="17" t="str">
        <f t="shared" si="116"/>
        <v/>
      </c>
      <c r="AL388" s="17" t="str">
        <f t="shared" si="116"/>
        <v/>
      </c>
      <c r="AM388" s="17" t="str">
        <f t="shared" si="116"/>
        <v/>
      </c>
      <c r="AN388" s="17" t="str">
        <f t="shared" si="116"/>
        <v/>
      </c>
      <c r="AO388" s="17" t="str">
        <f t="shared" si="116"/>
        <v/>
      </c>
      <c r="AP388" s="17" t="str">
        <f t="shared" si="116"/>
        <v/>
      </c>
      <c r="AQ388" s="17" t="str">
        <f t="shared" si="116"/>
        <v/>
      </c>
      <c r="AR388" s="17" t="str">
        <f t="shared" si="116"/>
        <v/>
      </c>
      <c r="AS388" s="17" t="str">
        <f t="shared" si="116"/>
        <v/>
      </c>
    </row>
    <row r="389" spans="1:46" x14ac:dyDescent="0.25">
      <c r="A389" s="518"/>
      <c r="B389" s="504"/>
      <c r="C389" s="110" t="str">
        <f>IF(ISNUMBER(B369), _4_6_0, "")</f>
        <v/>
      </c>
      <c r="D389" s="94" t="str">
        <f>IF(AND(C389&lt;&gt;"", 'Cost Inputs'!$G$124&lt;&gt;""), 'Cost Inputs'!$G$124, "")</f>
        <v/>
      </c>
      <c r="E389" s="94" t="str">
        <f>IF(AND(C389&lt;&gt;"", 'Cost Inputs'!$H$124&lt;&gt;""), 'Cost Inputs'!$H$124, "")</f>
        <v/>
      </c>
      <c r="F389" s="94" t="str">
        <f>IF(AND(C389&lt;&gt;"", 'Cost Inputs'!$I$124&lt;&gt;""), 'Cost Inputs'!$I$124, "")</f>
        <v/>
      </c>
      <c r="G389" s="102" t="str">
        <f t="shared" si="63"/>
        <v/>
      </c>
      <c r="H389" s="94" t="str">
        <f>IF(AND(C389&lt;&gt;"", 'Cost Inputs'!$J$124&lt;&gt;""), 'Cost Inputs'!$J$124, "")</f>
        <v/>
      </c>
      <c r="I389" s="102" t="str">
        <f>IF($C389&lt;&gt;"",IF(AND($E389&lt;&gt;"",H389&lt;&gt;""), H389/$E389, 0),"")</f>
        <v/>
      </c>
      <c r="J389" s="94" t="str">
        <f>IF(AND(C389&lt;&gt;"",('Cost Inputs'!$I$124+'Cost Inputs'!$J$124+'Cost Inputs'!$K$124)&gt;0), 'Cost Inputs'!$I$124+'Cost Inputs'!$J$124+'Cost Inputs'!$K$124, "")</f>
        <v/>
      </c>
      <c r="K389" s="102" t="str">
        <f>IF($C389&lt;&gt;"",IF(AND($E389&lt;&gt;"",J389&lt;&gt;""), J389/$E389, 0),"")</f>
        <v/>
      </c>
      <c r="L389" s="525"/>
      <c r="M389" s="525"/>
      <c r="R389" s="102" t="str">
        <f>IF(ISNUMBER($B$369), IF($C389&lt;&gt;"", IF(AND(ISNUMBER('Stage 2 Randomized Selection'!E$2),'Stage 2 Randomized Selection'!E$2&gt;0),'Stage 2 Randomized Selection'!E$2*$M369, ""),""),"")</f>
        <v/>
      </c>
      <c r="S389" s="102" t="str">
        <f>IF(ISNUMBER($B$369), IF($C389&lt;&gt;"", IF(AND(ISNUMBER('Stage 2 Randomized Selection'!F$2),'Stage 2 Randomized Selection'!F$2&gt;0),'Stage 2 Randomized Selection'!F$2*$M369, ""),""),"")</f>
        <v/>
      </c>
      <c r="T389" s="102" t="str">
        <f>IF(ISNUMBER($B$369), IF($C389&lt;&gt;"", IF(AND(ISNUMBER('Stage 2 Randomized Selection'!G$2),'Stage 2 Randomized Selection'!G$2&gt;0),'Stage 2 Randomized Selection'!G$2*$M369, ""),""),"")</f>
        <v/>
      </c>
      <c r="U389" s="102" t="str">
        <f>IF(ISNUMBER($B$369), IF($C389&lt;&gt;"", IF(AND(ISNUMBER('Stage 2 Randomized Selection'!H$2),'Stage 2 Randomized Selection'!H$2&gt;0),'Stage 2 Randomized Selection'!H$2*$M369, ""),""),"")</f>
        <v/>
      </c>
      <c r="V389" s="102" t="str">
        <f>IF(ISNUMBER($B$369), IF($C389&lt;&gt;"", IF(AND(ISNUMBER('Stage 2 Randomized Selection'!I$2),'Stage 2 Randomized Selection'!I$2&gt;0),'Stage 2 Randomized Selection'!I$2*$M369, ""),""),"")</f>
        <v/>
      </c>
      <c r="W389" s="102" t="str">
        <f>IF(ISNUMBER($B$369), IF($C389&lt;&gt;"", IF(AND(ISNUMBER('Stage 2 Randomized Selection'!J$2),'Stage 2 Randomized Selection'!J$2&gt;0),'Stage 2 Randomized Selection'!J$2*$M369, ""),""),"")</f>
        <v/>
      </c>
      <c r="X389" s="102" t="str">
        <f>IF(ISNUMBER($B$369), IF($C389&lt;&gt;"", IF(AND(ISNUMBER('Stage 2 Randomized Selection'!K$2),'Stage 2 Randomized Selection'!K$2&gt;0),'Stage 2 Randomized Selection'!K$2*$M369, ""),""),"")</f>
        <v/>
      </c>
      <c r="Y389" s="102" t="str">
        <f>IF(ISNUMBER($B$369), IF($C389&lt;&gt;"", IF(AND(ISNUMBER('Stage 2 Randomized Selection'!L$2),'Stage 2 Randomized Selection'!L$2&gt;0),'Stage 2 Randomized Selection'!L$2*$M369, ""),""),"")</f>
        <v/>
      </c>
      <c r="Z389" s="102" t="str">
        <f>IF(ISNUMBER($B$369), IF($C389&lt;&gt;"", IF(AND(ISNUMBER('Stage 2 Randomized Selection'!M$2),'Stage 2 Randomized Selection'!M$2&gt;0),'Stage 2 Randomized Selection'!M$2*$M369, ""),""),"")</f>
        <v/>
      </c>
      <c r="AA389" s="102" t="str">
        <f>IF(ISNUMBER($B$369), IF($C389&lt;&gt;"", IF(AND(ISNUMBER('Stage 2 Randomized Selection'!N$2),'Stage 2 Randomized Selection'!N$2&gt;0),'Stage 2 Randomized Selection'!N$2*$M369, ""),""),"")</f>
        <v/>
      </c>
      <c r="AB389" s="102" t="str">
        <f>IF(ISNUMBER($B$369), IF($C389&lt;&gt;"", IF(AND(ISNUMBER('Stage 2 Randomized Selection'!O$2),'Stage 2 Randomized Selection'!O$2&gt;0),'Stage 2 Randomized Selection'!O$2*$M369, ""),""),"")</f>
        <v/>
      </c>
      <c r="AC389" s="102" t="str">
        <f>IF(ISNUMBER($B$369), IF($C389&lt;&gt;"", IF(AND(ISNUMBER('Stage 2 Randomized Selection'!P$2),'Stage 2 Randomized Selection'!P$2&gt;0),'Stage 2 Randomized Selection'!P$2*$M369, ""),""),"")</f>
        <v/>
      </c>
      <c r="AD389" s="102" t="str">
        <f>IF(ISNUMBER($B$369), IF($C389&lt;&gt;"", IF(AND(ISNUMBER('Stage 2 Randomized Selection'!Q$2),'Stage 2 Randomized Selection'!Q$2&gt;0),'Stage 2 Randomized Selection'!Q$2*$M369, ""),""),"")</f>
        <v/>
      </c>
      <c r="AE389" s="102" t="str">
        <f>IF(ISNUMBER($B$369), IF($C389&lt;&gt;"", IF(AND(ISNUMBER('Stage 2 Randomized Selection'!R$2),'Stage 2 Randomized Selection'!R$2&gt;0),'Stage 2 Randomized Selection'!R$2*$M369, ""),""),"")</f>
        <v/>
      </c>
      <c r="AF389" s="102" t="str">
        <f>IF(ISNUMBER($B$369), IF($C389&lt;&gt;"", IF(AND(ISNUMBER('Stage 2 Randomized Selection'!S$2),'Stage 2 Randomized Selection'!S$2&gt;0),'Stage 2 Randomized Selection'!S$2*$M369, ""),""),"")</f>
        <v/>
      </c>
      <c r="AG389" s="102" t="str">
        <f>IF(ISNUMBER($B$369), IF($C389&lt;&gt;"", IF(AND(ISNUMBER('Stage 2 Randomized Selection'!T$2),'Stage 2 Randomized Selection'!T$2&gt;0),'Stage 2 Randomized Selection'!T$2*$M369, ""),""),"")</f>
        <v/>
      </c>
      <c r="AH389" s="102" t="str">
        <f>IF(ISNUMBER($B$369), IF($C389&lt;&gt;"", IF(AND(ISNUMBER('Stage 2 Randomized Selection'!U$2),'Stage 2 Randomized Selection'!U$2&gt;0),'Stage 2 Randomized Selection'!U$2*$M369, ""),""),"")</f>
        <v/>
      </c>
      <c r="AI389" s="102" t="str">
        <f>IF(ISNUMBER($B$369), IF($C389&lt;&gt;"", IF(AND(ISNUMBER('Stage 2 Randomized Selection'!V$2),'Stage 2 Randomized Selection'!V$2&gt;0),'Stage 2 Randomized Selection'!V$2*$M369, ""),""),"")</f>
        <v/>
      </c>
      <c r="AJ389" s="102" t="str">
        <f>IF(ISNUMBER($B$369), IF($C389&lt;&gt;"", IF(AND(ISNUMBER('Stage 2 Randomized Selection'!W$2),'Stage 2 Randomized Selection'!W$2&gt;0),'Stage 2 Randomized Selection'!W$2*$M369, ""),""),"")</f>
        <v/>
      </c>
      <c r="AK389" s="102" t="str">
        <f>IF(ISNUMBER($B$369), IF($C389&lt;&gt;"", IF(AND(ISNUMBER('Stage 2 Randomized Selection'!X$2),'Stage 2 Randomized Selection'!X$2&gt;0),'Stage 2 Randomized Selection'!X$2*$M369, ""),""),"")</f>
        <v/>
      </c>
      <c r="AL389" s="102" t="str">
        <f>IF(ISNUMBER($B$369), IF($C389&lt;&gt;"", IF(AND(ISNUMBER('Stage 2 Randomized Selection'!Y$2),'Stage 2 Randomized Selection'!Y$2&gt;0),'Stage 2 Randomized Selection'!Y$2*$M369, ""),""),"")</f>
        <v/>
      </c>
      <c r="AM389" s="102" t="str">
        <f>IF(ISNUMBER($B$369), IF($C389&lt;&gt;"", IF(AND(ISNUMBER('Stage 2 Randomized Selection'!Z$2),'Stage 2 Randomized Selection'!Z$2&gt;0),'Stage 2 Randomized Selection'!Z$2*$M369, ""),""),"")</f>
        <v/>
      </c>
      <c r="AN389" s="102" t="str">
        <f>IF(ISNUMBER($B$369), IF($C389&lt;&gt;"", IF(AND(ISNUMBER('Stage 2 Randomized Selection'!AA$2),'Stage 2 Randomized Selection'!AA$2&gt;0),'Stage 2 Randomized Selection'!AA$2*$M369, ""),""),"")</f>
        <v/>
      </c>
      <c r="AO389" s="102" t="str">
        <f>IF(ISNUMBER($B$369), IF($C389&lt;&gt;"", IF(AND(ISNUMBER('Stage 2 Randomized Selection'!AB$2),'Stage 2 Randomized Selection'!AB$2&gt;0),'Stage 2 Randomized Selection'!AB$2*$M369, ""),""),"")</f>
        <v/>
      </c>
      <c r="AP389" s="102" t="str">
        <f>IF(ISNUMBER($B$369), IF($C389&lt;&gt;"", IF(AND(ISNUMBER('Stage 2 Randomized Selection'!AC$2),'Stage 2 Randomized Selection'!AC$2&gt;0),'Stage 2 Randomized Selection'!AC$2*$M369, ""),""),"")</f>
        <v/>
      </c>
      <c r="AQ389" s="102" t="str">
        <f>IF(ISNUMBER($B$369), IF($C389&lt;&gt;"", IF(AND(ISNUMBER('Stage 2 Randomized Selection'!AD$2),'Stage 2 Randomized Selection'!AD$2&gt;0),'Stage 2 Randomized Selection'!AD$2*$M369, ""),""),"")</f>
        <v/>
      </c>
      <c r="AR389" s="102" t="str">
        <f>IF(ISNUMBER($B$369), IF($C389&lt;&gt;"", IF(AND(ISNUMBER('Stage 2 Randomized Selection'!AE$2),'Stage 2 Randomized Selection'!AE$2&gt;0),'Stage 2 Randomized Selection'!AE$2*$M369, ""),""),"")</f>
        <v/>
      </c>
      <c r="AS389" s="102" t="str">
        <f>IF(ISNUMBER($B$369), IF($C389&lt;&gt;"", IF(AND(ISNUMBER('Stage 2 Randomized Selection'!AF$2),'Stage 2 Randomized Selection'!AF$2&gt;0),'Stage 2 Randomized Selection'!AF$2*$M369, ""),""),"")</f>
        <v/>
      </c>
    </row>
    <row r="390" spans="1:46" x14ac:dyDescent="0.25">
      <c r="A390" s="518"/>
      <c r="B390" s="504"/>
      <c r="C390" s="104" t="str">
        <f>IF(AND(ISNUMBER(B369), OR('Cost Inputs'!$H$125&lt;&gt;"", 'Cost Inputs'!$I$125&lt;&gt;"", 'Cost Inputs'!$J$125&lt;&gt;"")), _4_5_3, "")</f>
        <v/>
      </c>
      <c r="D390" s="17" t="str">
        <f>IF(AND(C390&lt;&gt;"", 'Cost Inputs'!$G$125&lt;&gt;""), 'Cost Inputs'!$G$125, "")</f>
        <v/>
      </c>
      <c r="E390" s="17" t="str">
        <f>IF(AND(C390&lt;&gt;"", 'Cost Inputs'!$H$125&lt;&gt;""), 'Cost Inputs'!$H$125, "")</f>
        <v/>
      </c>
      <c r="F390" s="17" t="str">
        <f>IF(AND(C390&lt;&gt;"", 'Cost Inputs'!$I$125&lt;&gt;""), 'Cost Inputs'!$I$125, "")</f>
        <v/>
      </c>
      <c r="G390" s="105" t="str">
        <f t="shared" si="63"/>
        <v/>
      </c>
      <c r="H390" s="17" t="str">
        <f>IF(AND(C390&lt;&gt;"", 'Cost Inputs'!$J$125&lt;&gt;""), 'Cost Inputs'!$J$125, "")</f>
        <v/>
      </c>
      <c r="I390" s="17" t="str">
        <f>IF($C390&lt;&gt;"", IF(AND($E390&lt;&gt;"", H390&lt;&gt;""), H390/$E390, 0),"")</f>
        <v/>
      </c>
      <c r="J390" s="17" t="str">
        <f>IF(AND(C390&lt;&gt;"",('Cost Inputs'!$I$125+'Cost Inputs'!$J$125+'Cost Inputs'!$K$125)&gt;0), 'Cost Inputs'!$I$125+'Cost Inputs'!$J$125+'Cost Inputs'!$K$125, "")</f>
        <v/>
      </c>
      <c r="K390" s="17" t="str">
        <f>IF($C390&lt;&gt;"", IF(AND($E390&lt;&gt;"", J390&lt;&gt;""), J390/$E390, 0),"")</f>
        <v/>
      </c>
      <c r="L390" s="525"/>
      <c r="M390" s="525"/>
      <c r="R390" s="17" t="str">
        <f t="shared" ref="R390:AS390" si="117">IF(ISNUMBER($B$369),
IF($C390&lt;&gt;"",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90" s="17" t="str">
        <f t="shared" si="117"/>
        <v/>
      </c>
      <c r="T390" s="17" t="str">
        <f t="shared" si="117"/>
        <v/>
      </c>
      <c r="U390" s="17" t="str">
        <f t="shared" si="117"/>
        <v/>
      </c>
      <c r="V390" s="17" t="str">
        <f t="shared" si="117"/>
        <v/>
      </c>
      <c r="W390" s="17" t="str">
        <f t="shared" si="117"/>
        <v/>
      </c>
      <c r="X390" s="17" t="str">
        <f t="shared" si="117"/>
        <v/>
      </c>
      <c r="Y390" s="17" t="str">
        <f t="shared" si="117"/>
        <v/>
      </c>
      <c r="Z390" s="17" t="str">
        <f t="shared" si="117"/>
        <v/>
      </c>
      <c r="AA390" s="17" t="str">
        <f t="shared" si="117"/>
        <v/>
      </c>
      <c r="AB390" s="17" t="str">
        <f t="shared" si="117"/>
        <v/>
      </c>
      <c r="AC390" s="17" t="str">
        <f t="shared" si="117"/>
        <v/>
      </c>
      <c r="AD390" s="17" t="str">
        <f t="shared" si="117"/>
        <v/>
      </c>
      <c r="AE390" s="17" t="str">
        <f t="shared" si="117"/>
        <v/>
      </c>
      <c r="AF390" s="17" t="str">
        <f t="shared" si="117"/>
        <v/>
      </c>
      <c r="AG390" s="17" t="str">
        <f t="shared" si="117"/>
        <v/>
      </c>
      <c r="AH390" s="17" t="str">
        <f t="shared" si="117"/>
        <v/>
      </c>
      <c r="AI390" s="17" t="str">
        <f t="shared" si="117"/>
        <v/>
      </c>
      <c r="AJ390" s="17" t="str">
        <f t="shared" si="117"/>
        <v/>
      </c>
      <c r="AK390" s="17" t="str">
        <f t="shared" si="117"/>
        <v/>
      </c>
      <c r="AL390" s="17" t="str">
        <f t="shared" si="117"/>
        <v/>
      </c>
      <c r="AM390" s="17" t="str">
        <f t="shared" si="117"/>
        <v/>
      </c>
      <c r="AN390" s="17" t="str">
        <f t="shared" si="117"/>
        <v/>
      </c>
      <c r="AO390" s="17" t="str">
        <f t="shared" si="117"/>
        <v/>
      </c>
      <c r="AP390" s="17" t="str">
        <f t="shared" si="117"/>
        <v/>
      </c>
      <c r="AQ390" s="17" t="str">
        <f t="shared" si="117"/>
        <v/>
      </c>
      <c r="AR390" s="17" t="str">
        <f t="shared" si="117"/>
        <v/>
      </c>
      <c r="AS390" s="17" t="str">
        <f t="shared" si="117"/>
        <v/>
      </c>
    </row>
    <row r="391" spans="1:46" ht="15.75" thickBot="1" x14ac:dyDescent="0.3">
      <c r="A391" s="518"/>
      <c r="B391" s="504"/>
      <c r="C391" s="107" t="str">
        <f>IF(AND(ISNUMBER(B369), OR('Cost Inputs'!$H$126&lt;&gt;"", 'Cost Inputs'!$I$126&lt;&gt;"", 'Cost Inputs'!$J$126&lt;&gt;"")), _4_5_2, "")</f>
        <v/>
      </c>
      <c r="D391" s="93" t="str">
        <f>IF(AND(C391&lt;&gt;"", 'Cost Inputs'!$G$126&lt;&gt;""), 'Cost Inputs'!$G$126, "")</f>
        <v/>
      </c>
      <c r="E391" s="93" t="str">
        <f>IF(AND(C391&lt;&gt;"", 'Cost Inputs'!$H$126&lt;&gt;""), 'Cost Inputs'!$H$126, "")</f>
        <v/>
      </c>
      <c r="F391" s="93" t="str">
        <f>IF(AND(C391&lt;&gt;"", 'Cost Inputs'!$I$126&lt;&gt;""), 'Cost Inputs'!$I$126, "")</f>
        <v/>
      </c>
      <c r="G391" s="108" t="str">
        <f t="shared" si="63"/>
        <v/>
      </c>
      <c r="H391" s="93" t="str">
        <f>IF(AND(C391&lt;&gt;"", 'Cost Inputs'!$J$126&lt;&gt;""), 'Cost Inputs'!$J$126, "")</f>
        <v/>
      </c>
      <c r="I391" s="93" t="str">
        <f>IF($C391&lt;&gt;"", IF(AND($E391&lt;&gt;"", H391&lt;&gt;""), H391/$E391, 0),"")</f>
        <v/>
      </c>
      <c r="J391" s="93" t="str">
        <f>IF(AND(C391&lt;&gt;"",('Cost Inputs'!$I$126+'Cost Inputs'!$J$126+'Cost Inputs'!$K$126)&gt;0), 'Cost Inputs'!$I$126+'Cost Inputs'!$J$126+'Cost Inputs'!$K$126, "")</f>
        <v/>
      </c>
      <c r="K391" s="93" t="str">
        <f>IF($C391&lt;&gt;"", IF(AND($E391&lt;&gt;"", J391&lt;&gt;""), J391/$E391, 0),"")</f>
        <v/>
      </c>
      <c r="L391" s="525"/>
      <c r="M391" s="525"/>
      <c r="R391" s="95" t="str">
        <f t="shared" ref="R391:AS391" si="118">IF(ISNUMBER($B$369),
IF($C391&lt;&gt;"",
IF(AND(ISNUMBER(Q$368), Q$368&gt;0),
IF(AND(R$279=123, Cultivar_1_Cohort_Year_Selection=$O$278,Cultivar_2_Cohort_Year_Selection=$O$278,Cultivar_3_Cohort_Year_Selection=$O$278), ROUND(MAX(0,Q$368 - 3),0),
IF(AND(OR(R$279=123, R$279=12), Cultivar_1_Cohort_Year_Selection=$O$278,Cultivar_2_Cohort_Year_Selection=$O$278), ROUND(MAX(0,Q$368 - 2),0),
IF(AND(OR(R$279=123, R$279=13), Cultivar_1_Cohort_Year_Selection=$O$278,Cultivar_3_Cohort_Year_Selection=$O$278), ROUND(MAX(0,Q$368 - 2),0),
IF(AND(OR(R$279=123, R$279=23), Cultivar_2_Cohort_Year_Selection=$O$278,Cultivar_3_Cohort_Year_Selection=$O$278), ROUND(MAX(0,Q$368 - 2),0),
IF(AND(OR(R$279=123, R$279=12, R$279=13, R$279=1), Cultivar_1_Cohort_Year_Selection=$O$278), ROUND(MAX(0,Q$368 - 1),0),
IF(AND(OR(R$279=123, R$279=12, R$279=23, R$279=2), Cultivar_2_Cohort_Year_Selection=$O$278), ROUND(MAX(0,Q$368 - 1),0),
IF(AND(OR(R$279=123, R$279=13, R$279=23, R$279=3), Cultivar_3_Cohort_Year_Selection=$O$278), ROUND(MAX(0,Q$368 - 1),0),
ROUND(MAX(0,Q$368),0)))))))),""),""),"")</f>
        <v/>
      </c>
      <c r="S391" s="95" t="str">
        <f t="shared" si="118"/>
        <v/>
      </c>
      <c r="T391" s="95" t="str">
        <f t="shared" si="118"/>
        <v/>
      </c>
      <c r="U391" s="95" t="str">
        <f t="shared" si="118"/>
        <v/>
      </c>
      <c r="V391" s="95" t="str">
        <f t="shared" si="118"/>
        <v/>
      </c>
      <c r="W391" s="95" t="str">
        <f t="shared" si="118"/>
        <v/>
      </c>
      <c r="X391" s="95" t="str">
        <f t="shared" si="118"/>
        <v/>
      </c>
      <c r="Y391" s="95" t="str">
        <f t="shared" si="118"/>
        <v/>
      </c>
      <c r="Z391" s="95" t="str">
        <f t="shared" si="118"/>
        <v/>
      </c>
      <c r="AA391" s="95" t="str">
        <f t="shared" si="118"/>
        <v/>
      </c>
      <c r="AB391" s="95" t="str">
        <f t="shared" si="118"/>
        <v/>
      </c>
      <c r="AC391" s="95" t="str">
        <f t="shared" si="118"/>
        <v/>
      </c>
      <c r="AD391" s="95" t="str">
        <f t="shared" si="118"/>
        <v/>
      </c>
      <c r="AE391" s="95" t="str">
        <f t="shared" si="118"/>
        <v/>
      </c>
      <c r="AF391" s="95" t="str">
        <f t="shared" si="118"/>
        <v/>
      </c>
      <c r="AG391" s="95" t="str">
        <f t="shared" si="118"/>
        <v/>
      </c>
      <c r="AH391" s="95" t="str">
        <f t="shared" si="118"/>
        <v/>
      </c>
      <c r="AI391" s="95" t="str">
        <f t="shared" si="118"/>
        <v/>
      </c>
      <c r="AJ391" s="95" t="str">
        <f t="shared" si="118"/>
        <v/>
      </c>
      <c r="AK391" s="95" t="str">
        <f t="shared" si="118"/>
        <v/>
      </c>
      <c r="AL391" s="95" t="str">
        <f t="shared" si="118"/>
        <v/>
      </c>
      <c r="AM391" s="95" t="str">
        <f t="shared" si="118"/>
        <v/>
      </c>
      <c r="AN391" s="95" t="str">
        <f t="shared" si="118"/>
        <v/>
      </c>
      <c r="AO391" s="95" t="str">
        <f t="shared" si="118"/>
        <v/>
      </c>
      <c r="AP391" s="95" t="str">
        <f t="shared" si="118"/>
        <v/>
      </c>
      <c r="AQ391" s="95" t="str">
        <f t="shared" si="118"/>
        <v/>
      </c>
      <c r="AR391" s="95" t="str">
        <f t="shared" si="118"/>
        <v/>
      </c>
      <c r="AS391" s="95" t="str">
        <f t="shared" si="118"/>
        <v/>
      </c>
    </row>
    <row r="392" spans="1:46" ht="6.6" customHeight="1" thickBot="1" x14ac:dyDescent="0.3">
      <c r="A392" s="213"/>
      <c r="B392" s="282"/>
      <c r="C392" s="283"/>
      <c r="D392" s="114"/>
      <c r="E392" s="114"/>
      <c r="F392" s="114"/>
      <c r="G392" s="284"/>
      <c r="H392" s="114"/>
      <c r="I392" s="114"/>
      <c r="J392" s="114"/>
      <c r="K392" s="114"/>
      <c r="L392" s="285"/>
      <c r="M392" s="285"/>
      <c r="N392" s="99"/>
      <c r="O392" s="99"/>
      <c r="P392" s="99"/>
      <c r="Q392" s="286"/>
      <c r="R392" s="270" t="str">
        <f>IF(ISNUMBER($B$369),
IF(AND(ISNUMBER(Q$368), Q$368&gt;0),
IF(AND(R$279=123, Cultivar_1_Cohort_Year_Selection=$O$278,Cultivar_2_Cohort_Year_Selection=$O$278,Cultivar_3_Cohort_Year_Selection=$O$278), ROUND(MAX(0,(Q$368-('Stage 2 Randomized Selection'!G$2*$M369)) - 3),0),
IF(AND(OR(R$279=123, R$279=12), Cultivar_1_Cohort_Year_Selection=$O$278,Cultivar_2_Cohort_Year_Selection=$O$278),  ROUND(MAX(0,(Q$368-('Stage 2 Randomized Selection'!F$2*$M369)) - 2),0),
IF(AND(OR(R$279=123, R$279=13), Cultivar_1_Cohort_Year_Selection=$O$278,Cultivar_3_Cohort_Year_Selection=$O$278), ROUND(MAX(0,(Q$368-('Stage 2 Randomized Selection'!F$2*$M369)) - 2),0),
IF(AND(OR(R$279=123, R$279=23), Cultivar_2_Cohort_Year_Selection=$O$278,Cultivar_3_Cohort_Year_Selection=$O$278), ROUND(MAX(0,(Q$368-('Stage 2 Randomized Selection'!F$2*$M369)) - 2),0),
IF(AND(OR(R$279=123, R$279=12, R$279=13, R$279=1), Cultivar_1_Cohort_Year_Selection=$O$278), ROUND(MAX(0,(Q$368-('Stage 2 Randomized Selection'!F$2*$M369)) - 1),0),
IF(AND(OR(R$279=123, R$279=12, R$279=23, R$279=2), Cultivar_2_Cohort_Year_Selection=$O$278), ROUND(MAX(0,(Q$368-('Stage 2 Randomized Selection'!F$2*$M369)) - 1),0),
IF(AND(OR(R$279=123, R$279=13, R$279=23, R$279=3), Cultivar_3_Cohort_Year_Selection=$O$278), ROUND(MAX(0,(Q$368-('Stage 2 Randomized Selection'!F$2*$M369)) - 1),0),
ROUND(MAX(0,(Q$368-('Stage 2 Randomized Selection'!F$2*$M369))),0)))))))),0),"")</f>
        <v/>
      </c>
      <c r="S392" s="270" t="str">
        <f>IF(ISNUMBER($B$369),
IF(AND(ISNUMBER(R$368), R$368&gt;0),
IF(AND(S$279=123, Cultivar_1_Cohort_Year_Selection=$P$278,Cultivar_2_Cohort_Year_Selection=$P$278,Cultivar_3_Cohort_Year_Selection=$P$278), ROUND(MAX(0,(R$368-('Stage 2 Randomized Selection'!H$2*$M369)) - 3),0),
IF(AND(OR(S$279=123, S$279=12), Cultivar_1_Cohort_Year_Selection=$P$278,Cultivar_2_Cohort_Year_Selection=$P$278),  ROUND(MAX(0,(R$368-('Stage 2 Randomized Selection'!G$2*$M369)) - 2),0),
IF(AND(OR(S$279=123, S$279=13), Cultivar_1_Cohort_Year_Selection=$P$278,Cultivar_3_Cohort_Year_Selection=$P$278), ROUND(MAX(0,(R$368-('Stage 2 Randomized Selection'!G$2*$M369)) - 2),0),
IF(AND(OR(S$279=123, S$279=23), Cultivar_2_Cohort_Year_Selection=$P$278,Cultivar_3_Cohort_Year_Selection=$P$278), ROUND(MAX(0,(R$368-('Stage 2 Randomized Selection'!G$2*$M369)) - 2),0),
IF(AND(OR(S$279=123, S$279=12, S$279=13, S$279=1), Cultivar_1_Cohort_Year_Selection=$P$278), ROUND(MAX(0,(R$368-('Stage 2 Randomized Selection'!G$2*$M369)) - 1),0),
IF(AND(OR(S$279=123, S$279=12, S$279=23, S$279=2), Cultivar_2_Cohort_Year_Selection=$P$278), ROUND(MAX(0,(R$368-('Stage 2 Randomized Selection'!G$2*$M369)) - 1),0),
IF(AND(OR(S$279=123, S$279=13, S$279=23, S$279=3), Cultivar_3_Cohort_Year_Selection=$P$278), ROUND(MAX(0,(R$368-('Stage 2 Randomized Selection'!G$2*$M369)) - 1),0),
ROUND(MAX(0,(R$368-('Stage 2 Randomized Selection'!G$2*$M369))),0)))))))),0),"")</f>
        <v/>
      </c>
      <c r="T392" s="270" t="str">
        <f>IF(ISNUMBER($B$369),
IF(AND(ISNUMBER(S$368), S$368&gt;0),
IF(AND(T$279=123, Cultivar_1_Cohort_Year_Selection=$Q$278,Cultivar_2_Cohort_Year_Selection=$Q$278,Cultivar_3_Cohort_Year_Selection=$Q$278), ROUND(MAX(0,(S$368-('Stage 2 Randomized Selection'!I$2*$M369)) - 3),0),
IF(AND(OR(T$279=123, T$279=12), Cultivar_1_Cohort_Year_Selection=$Q$278,Cultivar_2_Cohort_Year_Selection=$Q$278),  ROUND(MAX(0,(S$368-('Stage 2 Randomized Selection'!H$2*$M369)) - 2),0),
IF(AND(OR(T$279=123, T$279=13), Cultivar_1_Cohort_Year_Selection=$Q$278,Cultivar_3_Cohort_Year_Selection=$Q$278), ROUND(MAX(0,(S$368-('Stage 2 Randomized Selection'!H$2*$M369)) - 2),0),
IF(AND(OR(T$279=123, T$279=23), Cultivar_2_Cohort_Year_Selection=$Q$278,Cultivar_3_Cohort_Year_Selection=$Q$278), ROUND(MAX(0,(S$368-('Stage 2 Randomized Selection'!H$2*$M369)) - 2),0),
IF(AND(OR(T$279=123, T$279=12, T$279=13, T$279=1), Cultivar_1_Cohort_Year_Selection=$Q$278), ROUND(MAX(0,(S$368-('Stage 2 Randomized Selection'!H$2*$M369)) - 1),0),
IF(AND(OR(T$279=123, T$279=12, T$279=23, T$279=2), Cultivar_2_Cohort_Year_Selection=$Q$278), ROUND(MAX(0,(S$368-('Stage 2 Randomized Selection'!H$2*$M369)) - 1),0),
IF(AND(OR(T$279=123, T$279=13, T$279=23, T$279=3), Cultivar_3_Cohort_Year_Selection=$Q$278), ROUND(MAX(0,(S$368-('Stage 2 Randomized Selection'!H$2*$M369)) - 1),0),
ROUND(MAX(0,(S$368-('Stage 2 Randomized Selection'!H$2*$M369))),0)))))))),0),"")</f>
        <v/>
      </c>
      <c r="U392" s="270" t="str">
        <f>IF(ISNUMBER($B$369),
IF(AND(ISNUMBER(T$368), T$368&gt;0),
IF(AND(U$279=123, Cultivar_1_Cohort_Year_Selection=$R$278,Cultivar_2_Cohort_Year_Selection=$R$278,Cultivar_3_Cohort_Year_Selection=$R$278), ROUND(MAX(0,(T$368-('Stage 2 Randomized Selection'!J$2*$M369)) - 3),0),
IF(AND(OR(U$279=123, U$279=12), Cultivar_1_Cohort_Year_Selection=$R$278,Cultivar_2_Cohort_Year_Selection=$R$278),  ROUND(MAX(0,(T$368-('Stage 2 Randomized Selection'!I$2*$M369)) - 2),0),
IF(AND(OR(U$279=123, U$279=13), Cultivar_1_Cohort_Year_Selection=$R$278,Cultivar_3_Cohort_Year_Selection=$R$278), ROUND(MAX(0,(T$368-('Stage 2 Randomized Selection'!I$2*$M369)) - 2),0),
IF(AND(OR(U$279=123, U$279=23), Cultivar_2_Cohort_Year_Selection=$R$278,Cultivar_3_Cohort_Year_Selection=$R$278), ROUND(MAX(0,(T$368-('Stage 2 Randomized Selection'!I$2*$M369)) - 2),0),
IF(AND(OR(U$279=123, U$279=12, U$279=13, U$279=1), Cultivar_1_Cohort_Year_Selection=$R$278), ROUND(MAX(0,(T$368-('Stage 2 Randomized Selection'!I$2*$M369)) - 1),0),
IF(AND(OR(U$279=123, U$279=12, U$279=23, U$279=2), Cultivar_2_Cohort_Year_Selection=$R$278), ROUND(MAX(0,(T$368-('Stage 2 Randomized Selection'!I$2*$M369)) - 1),0),
IF(AND(OR(U$279=123, U$279=13, U$279=23, U$279=3), Cultivar_3_Cohort_Year_Selection=$R$278), ROUND(MAX(0,(T$368-('Stage 2 Randomized Selection'!I$2*$M369)) - 1),0),
ROUND(MAX(0,(T$368-('Stage 2 Randomized Selection'!I$2*$M369))),0)))))))),0),"")</f>
        <v/>
      </c>
      <c r="V392" s="270" t="str">
        <f>IF(ISNUMBER($B$369),
IF(AND(ISNUMBER(U$368), U$368&gt;0),
IF(AND(V$279=123, Cultivar_1_Cohort_Year_Selection=$S$278,Cultivar_2_Cohort_Year_Selection=$S$278,Cultivar_3_Cohort_Year_Selection=$S$278), ROUND(MAX(0,(U$368-('Stage 2 Randomized Selection'!K$2*$M369)) - 3),0),
IF(AND(OR(V$279=123, V$279=12), Cultivar_1_Cohort_Year_Selection=$S$278,Cultivar_2_Cohort_Year_Selection=$S$278),  ROUND(MAX(0,(U$368-('Stage 2 Randomized Selection'!J$2*$M369)) - 2),0),
IF(AND(OR(V$279=123, V$279=13), Cultivar_1_Cohort_Year_Selection=$S$278,Cultivar_3_Cohort_Year_Selection=$S$278), ROUND(MAX(0,(U$368-('Stage 2 Randomized Selection'!J$2*$M369)) - 2),0),
IF(AND(OR(V$279=123, V$279=23), Cultivar_2_Cohort_Year_Selection=$S$278,Cultivar_3_Cohort_Year_Selection=$S$278), ROUND(MAX(0,(U$368-('Stage 2 Randomized Selection'!J$2*$M369)) - 2),0),
IF(AND(OR(V$279=123, V$279=12, V$279=13, V$279=1), Cultivar_1_Cohort_Year_Selection=$S$278), ROUND(MAX(0,(U$368-('Stage 2 Randomized Selection'!J$2*$M369)) - 1),0),
IF(AND(OR(V$279=123, V$279=12, V$279=23, V$279=2), Cultivar_2_Cohort_Year_Selection=$S$278), ROUND(MAX(0,(U$368-('Stage 2 Randomized Selection'!J$2*$M369)) - 1),0),
IF(AND(OR(V$279=123, V$279=13, V$279=23, V$279=3), Cultivar_3_Cohort_Year_Selection=$S$278), ROUND(MAX(0,(U$368-('Stage 2 Randomized Selection'!J$2*$M369)) - 1),0),
ROUND(MAX(0,(U$368-('Stage 2 Randomized Selection'!J$2*$M369))),0)))))))),0),"")</f>
        <v/>
      </c>
      <c r="W392" s="270" t="str">
        <f>IF(ISNUMBER($B$369),
IF(AND(ISNUMBER(V$368), V$368&gt;0),
IF(AND(W$279=123, Cultivar_1_Cohort_Year_Selection=$T$278,Cultivar_2_Cohort_Year_Selection=$T$278,Cultivar_3_Cohort_Year_Selection=$T$278), ROUND(MAX(0,(V$368-('Stage 2 Randomized Selection'!L$2*$M369)) - 3),0),
IF(AND(OR(W$279=123, W$279=12), Cultivar_1_Cohort_Year_Selection=$T$278,Cultivar_2_Cohort_Year_Selection=$T$278),  ROUND(MAX(0,(V$368-('Stage 2 Randomized Selection'!K$2*$M369)) - 2),0),
IF(AND(OR(W$279=123, W$279=13), Cultivar_1_Cohort_Year_Selection=$T$278,Cultivar_3_Cohort_Year_Selection=$T$278), ROUND(MAX(0,(V$368-('Stage 2 Randomized Selection'!K$2*$M369)) - 2),0),
IF(AND(OR(W$279=123, W$279=23), Cultivar_2_Cohort_Year_Selection=$T$278,Cultivar_3_Cohort_Year_Selection=$T$278), ROUND(MAX(0,(V$368-('Stage 2 Randomized Selection'!K$2*$M369)) - 2),0),
IF(AND(OR(W$279=123, W$279=12, W$279=13, W$279=1), Cultivar_1_Cohort_Year_Selection=$T$278), ROUND(MAX(0,(V$368-('Stage 2 Randomized Selection'!K$2*$M369)) - 1),0),
IF(AND(OR(W$279=123, W$279=12, W$279=23, W$279=2), Cultivar_2_Cohort_Year_Selection=$T$278), ROUND(MAX(0,(V$368-('Stage 2 Randomized Selection'!K$2*$M369)) - 1),0),
IF(AND(OR(W$279=123, W$279=13, W$279=23, W$279=3), Cultivar_3_Cohort_Year_Selection=$T$278), ROUND(MAX(0,(V$368-('Stage 2 Randomized Selection'!K$2*$M369)) - 1),0),
ROUND(MAX(0,(V$368-('Stage 2 Randomized Selection'!K$2*$M369))),0)))))))),0),"")</f>
        <v/>
      </c>
      <c r="X392" s="270" t="str">
        <f>IF(ISNUMBER($B$369),
IF(AND(ISNUMBER(W$368), W$368&gt;0),
IF(AND(X$279=123, Cultivar_1_Cohort_Year_Selection=$U$278,Cultivar_2_Cohort_Year_Selection=$U$278,Cultivar_3_Cohort_Year_Selection=$U$278), ROUND(MAX(0,(W$368-('Stage 2 Randomized Selection'!M$2*$M369)) - 3),0),
IF(AND(OR(X$279=123, X$279=12), Cultivar_1_Cohort_Year_Selection=$U$278,Cultivar_2_Cohort_Year_Selection=$U$278),  ROUND(MAX(0,(W$368-('Stage 2 Randomized Selection'!L$2*$M369)) - 2),0),
IF(AND(OR(X$279=123, X$279=13), Cultivar_1_Cohort_Year_Selection=$U$278,Cultivar_3_Cohort_Year_Selection=$U$278), ROUND(MAX(0,(W$368-('Stage 2 Randomized Selection'!L$2*$M369)) - 2),0),
IF(AND(OR(X$279=123, X$279=23), Cultivar_2_Cohort_Year_Selection=$U$278,Cultivar_3_Cohort_Year_Selection=$U$278), ROUND(MAX(0,(W$368-('Stage 2 Randomized Selection'!L$2*$M369)) - 2),0),
IF(AND(OR(X$279=123, X$279=12, X$279=13, X$279=1), Cultivar_1_Cohort_Year_Selection=$U$278), ROUND(MAX(0,(W$368-('Stage 2 Randomized Selection'!L$2*$M369)) - 1),0),
IF(AND(OR(X$279=123, X$279=12, X$279=23, X$279=2), Cultivar_2_Cohort_Year_Selection=$U$278), ROUND(MAX(0,(W$368-('Stage 2 Randomized Selection'!L$2*$M369)) - 1),0),
IF(AND(OR(X$279=123, X$279=13, X$279=23, X$279=3), Cultivar_3_Cohort_Year_Selection=$U$278), ROUND(MAX(0,(W$368-('Stage 2 Randomized Selection'!L$2*$M369)) - 1),0),
ROUND(MAX(0,(W$368-('Stage 2 Randomized Selection'!L$2*$M369))),0)))))))),0),"")</f>
        <v/>
      </c>
      <c r="Y392" s="270" t="str">
        <f>IF(ISNUMBER($B$369),
IF(AND(ISNUMBER(X$368), X$368&gt;0),
IF(AND(Y$279=123, Cultivar_1_Cohort_Year_Selection=$V$278,Cultivar_2_Cohort_Year_Selection=$V$278,Cultivar_3_Cohort_Year_Selection=$V$278), ROUND(MAX(0,(X$368-('Stage 2 Randomized Selection'!N$2*$M369)) - 3),0),
IF(AND(OR(Y$279=123, Y$279=12), Cultivar_1_Cohort_Year_Selection=$V$278,Cultivar_2_Cohort_Year_Selection=$V$278),  ROUND(MAX(0,(X$368-('Stage 2 Randomized Selection'!M$2*$M369)) - 2),0),
IF(AND(OR(Y$279=123, Y$279=13), Cultivar_1_Cohort_Year_Selection=$V$278,Cultivar_3_Cohort_Year_Selection=$V$278), ROUND(MAX(0,(X$368-('Stage 2 Randomized Selection'!M$2*$M369)) - 2),0),
IF(AND(OR(Y$279=123, Y$279=23), Cultivar_2_Cohort_Year_Selection=$V$278,Cultivar_3_Cohort_Year_Selection=$V$278), ROUND(MAX(0,(X$368-('Stage 2 Randomized Selection'!M$2*$M369)) - 2),0),
IF(AND(OR(Y$279=123, Y$279=12, Y$279=13, Y$279=1), Cultivar_1_Cohort_Year_Selection=$V$278), ROUND(MAX(0,(X$368-('Stage 2 Randomized Selection'!M$2*$M369)) - 1),0),
IF(AND(OR(Y$279=123, Y$279=12, Y$279=23, Y$279=2), Cultivar_2_Cohort_Year_Selection=$V$278), ROUND(MAX(0,(X$368-('Stage 2 Randomized Selection'!M$2*$M369)) - 1),0),
IF(AND(OR(Y$279=123, Y$279=13, Y$279=23, Y$279=3), Cultivar_3_Cohort_Year_Selection=$V$278), ROUND(MAX(0,(X$368-('Stage 2 Randomized Selection'!M$2*$M369)) - 1),0),
ROUND(MAX(0,(X$368-('Stage 2 Randomized Selection'!M$2*$M369))),0)))))))),0),"")</f>
        <v/>
      </c>
      <c r="Z392" s="270" t="str">
        <f>IF(ISNUMBER($B$369),
IF(AND(ISNUMBER(Y$368), Y$368&gt;0),
IF(AND(Z$279=123, Cultivar_1_Cohort_Year_Selection=$W$278,Cultivar_2_Cohort_Year_Selection=$W$278,Cultivar_3_Cohort_Year_Selection=$W$278), ROUND(MAX(0,(Y$368-('Stage 2 Randomized Selection'!O$2*$M369)) - 3),0),
IF(AND(OR(Z$279=123, Z$279=12), Cultivar_1_Cohort_Year_Selection=$W$278,Cultivar_2_Cohort_Year_Selection=$W$278),  ROUND(MAX(0,(Y$368-('Stage 2 Randomized Selection'!N$2*$M369)) - 2),0),
IF(AND(OR(Z$279=123, Z$279=13), Cultivar_1_Cohort_Year_Selection=$W$278,Cultivar_3_Cohort_Year_Selection=$W$278), ROUND(MAX(0,(Y$368-('Stage 2 Randomized Selection'!N$2*$M369)) - 2),0),
IF(AND(OR(Z$279=123, Z$279=23), Cultivar_2_Cohort_Year_Selection=$W$278,Cultivar_3_Cohort_Year_Selection=$W$278), ROUND(MAX(0,(Y$368-('Stage 2 Randomized Selection'!N$2*$M369)) - 2),0),
IF(AND(OR(Z$279=123, Z$279=12, Z$279=13, Z$279=1), Cultivar_1_Cohort_Year_Selection=$W$278), ROUND(MAX(0,(Y$368-('Stage 2 Randomized Selection'!N$2*$M369)) - 1),0),
IF(AND(OR(Z$279=123, Z$279=12, Z$279=23, Z$279=2), Cultivar_2_Cohort_Year_Selection=$W$278), ROUND(MAX(0,(Y$368-('Stage 2 Randomized Selection'!N$2*$M369)) - 1),0),
IF(AND(OR(Z$279=123, Z$279=13, Z$279=23, Z$279=3), Cultivar_3_Cohort_Year_Selection=$W$278), ROUND(MAX(0,(Y$368-('Stage 2 Randomized Selection'!N$2*$M369)) - 1),0),
ROUND(MAX(0,(Y$368-('Stage 2 Randomized Selection'!N$2*$M369))),0)))))))),0),"")</f>
        <v/>
      </c>
      <c r="AA392" s="270" t="str">
        <f>IF(ISNUMBER($B$369),
IF(AND(ISNUMBER(Z$368), Z$368&gt;0),
IF(AND(AA$279=123, Cultivar_1_Cohort_Year_Selection=$X$278,Cultivar_2_Cohort_Year_Selection=$X$278,Cultivar_3_Cohort_Year_Selection=$X$278), ROUND(MAX(0,(Z$368-('Stage 2 Randomized Selection'!P$2*$M369)) - 3),0),
IF(AND(OR(AA$279=123, AA$279=12), Cultivar_1_Cohort_Year_Selection=$X$278,Cultivar_2_Cohort_Year_Selection=$X$278),  ROUND(MAX(0,(Z$368-('Stage 2 Randomized Selection'!O$2*$M369)) - 2),0),
IF(AND(OR(AA$279=123, AA$279=13), Cultivar_1_Cohort_Year_Selection=$X$278,Cultivar_3_Cohort_Year_Selection=$X$278), ROUND(MAX(0,(Z$368-('Stage 2 Randomized Selection'!O$2*$M369)) - 2),0),
IF(AND(OR(AA$279=123, AA$279=23), Cultivar_2_Cohort_Year_Selection=$X$278,Cultivar_3_Cohort_Year_Selection=$X$278), ROUND(MAX(0,(Z$368-('Stage 2 Randomized Selection'!O$2*$M369)) - 2),0),
IF(AND(OR(AA$279=123, AA$279=12, AA$279=13, AA$279=1), Cultivar_1_Cohort_Year_Selection=$X$278), ROUND(MAX(0,(Z$368-('Stage 2 Randomized Selection'!O$2*$M369)) - 1),0),
IF(AND(OR(AA$279=123, AA$279=12, AA$279=23, AA$279=2), Cultivar_2_Cohort_Year_Selection=$X$278), ROUND(MAX(0,(Z$368-('Stage 2 Randomized Selection'!O$2*$M369)) - 1),0),
IF(AND(OR(AA$279=123, AA$279=13, AA$279=23, AA$279=3), Cultivar_3_Cohort_Year_Selection=$X$278), ROUND(MAX(0,(Z$368-('Stage 2 Randomized Selection'!O$2*$M369)) - 1),0),
ROUND(MAX(0,(Z$368-('Stage 2 Randomized Selection'!O$2*$M369))),0)))))))),0),"")</f>
        <v/>
      </c>
      <c r="AB392" s="270" t="str">
        <f>IF(ISNUMBER($B$369),
IF(AND(ISNUMBER(AA$368), AA$368&gt;0),
IF(AND(AB$279=123, Cultivar_1_Cohort_Year_Selection=$Y$278,Cultivar_2_Cohort_Year_Selection=$Y$278,Cultivar_3_Cohort_Year_Selection=$Y$278), ROUND(MAX(0,(AA$368-('Stage 2 Randomized Selection'!Q$2*$M369)) - 3),0),
IF(AND(OR(AB$279=123, AB$279=12), Cultivar_1_Cohort_Year_Selection=$Y$278,Cultivar_2_Cohort_Year_Selection=$Y$278),  ROUND(MAX(0,(AA$368-('Stage 2 Randomized Selection'!P$2*$M369)) - 2),0),
IF(AND(OR(AB$279=123, AB$279=13), Cultivar_1_Cohort_Year_Selection=$Y$278,Cultivar_3_Cohort_Year_Selection=$Y$278), ROUND(MAX(0,(AA$368-('Stage 2 Randomized Selection'!P$2*$M369)) - 2),0),
IF(AND(OR(AB$279=123, AB$279=23), Cultivar_2_Cohort_Year_Selection=$Y$278,Cultivar_3_Cohort_Year_Selection=$Y$278), ROUND(MAX(0,(AA$368-('Stage 2 Randomized Selection'!P$2*$M369)) - 2),0),
IF(AND(OR(AB$279=123, AB$279=12, AB$279=13, AB$279=1), Cultivar_1_Cohort_Year_Selection=$Y$278), ROUND(MAX(0,(AA$368-('Stage 2 Randomized Selection'!P$2*$M369)) - 1),0),
IF(AND(OR(AB$279=123, AB$279=12, AB$279=23, AB$279=2), Cultivar_2_Cohort_Year_Selection=$Y$278), ROUND(MAX(0,(AA$368-('Stage 2 Randomized Selection'!P$2*$M369)) - 1),0),
IF(AND(OR(AB$279=123, AB$279=13, AB$279=23, AB$279=3), Cultivar_3_Cohort_Year_Selection=$Y$278), ROUND(MAX(0,(AA$368-('Stage 2 Randomized Selection'!P$2*$M369)) - 1),0),
ROUND(MAX(0,(AA$368-('Stage 2 Randomized Selection'!P$2*$M369))),0)))))))),0),"")</f>
        <v/>
      </c>
      <c r="AC392" s="270" t="str">
        <f>IF(ISNUMBER($B$369),
IF(AND(ISNUMBER(AB$368), AB$368&gt;0),
IF(AND(AC$279=123, Cultivar_1_Cohort_Year_Selection=$Z$278,Cultivar_2_Cohort_Year_Selection=$Z$278,Cultivar_3_Cohort_Year_Selection=$Z$278), ROUND(MAX(0,(AB$368-('Stage 2 Randomized Selection'!R$2*$M369)) - 3),0),
IF(AND(OR(AC$279=123, AC$279=12), Cultivar_1_Cohort_Year_Selection=$Z$278,Cultivar_2_Cohort_Year_Selection=$Z$278),  ROUND(MAX(0,(AB$368-('Stage 2 Randomized Selection'!Q$2*$M369)) - 2),0),
IF(AND(OR(AC$279=123, AC$279=13), Cultivar_1_Cohort_Year_Selection=$Z$278,Cultivar_3_Cohort_Year_Selection=$Z$278), ROUND(MAX(0,(AB$368-('Stage 2 Randomized Selection'!Q$2*$M369)) - 2),0),
IF(AND(OR(AC$279=123, AC$279=23), Cultivar_2_Cohort_Year_Selection=$Z$278,Cultivar_3_Cohort_Year_Selection=$Z$278), ROUND(MAX(0,(AB$368-('Stage 2 Randomized Selection'!Q$2*$M369)) - 2),0),
IF(AND(OR(AC$279=123, AC$279=12, AC$279=13, AC$279=1), Cultivar_1_Cohort_Year_Selection=$Z$278), ROUND(MAX(0,(AB$368-('Stage 2 Randomized Selection'!Q$2*$M369)) - 1),0),
IF(AND(OR(AC$279=123, AC$279=12, AC$279=23, AC$279=2), Cultivar_2_Cohort_Year_Selection=$Z$278), ROUND(MAX(0,(AB$368-('Stage 2 Randomized Selection'!Q$2*$M369)) - 1),0),
IF(AND(OR(AC$279=123, AC$279=13, AC$279=23, AC$279=3), Cultivar_3_Cohort_Year_Selection=$Z$278), ROUND(MAX(0,(AB$368-('Stage 2 Randomized Selection'!Q$2*$M369)) - 1),0),
ROUND(MAX(0,(AB$368-('Stage 2 Randomized Selection'!Q$2*$M369))),0)))))))),0),"")</f>
        <v/>
      </c>
      <c r="AD392" s="270" t="str">
        <f>IF(ISNUMBER($B$369),
IF(AND(ISNUMBER(AC$368), AC$368&gt;0),
IF(AND(AD$279=123, Cultivar_1_Cohort_Year_Selection=$AA$278,Cultivar_2_Cohort_Year_Selection=$AA$278,Cultivar_3_Cohort_Year_Selection=$AA$278), ROUND(MAX(0,(AC$368-('Stage 2 Randomized Selection'!S$2*$M369)) - 3),0),
IF(AND(OR(AD$279=123, AD$279=12), Cultivar_1_Cohort_Year_Selection=$AA$278,Cultivar_2_Cohort_Year_Selection=$AA$278),  ROUND(MAX(0,(AC$368-('Stage 2 Randomized Selection'!R$2*$M369)) - 2),0),
IF(AND(OR(AD$279=123, AD$279=13), Cultivar_1_Cohort_Year_Selection=$AA$278,Cultivar_3_Cohort_Year_Selection=$AA$278), ROUND(MAX(0,(AC$368-('Stage 2 Randomized Selection'!R$2*$M369)) - 2),0),
IF(AND(OR(AD$279=123, AD$279=23), Cultivar_2_Cohort_Year_Selection=$AA$278,Cultivar_3_Cohort_Year_Selection=$AA$278), ROUND(MAX(0,(AC$368-('Stage 2 Randomized Selection'!R$2*$M369)) - 2),0),
IF(AND(OR(AD$279=123, AD$279=12, AD$279=13, AD$279=1), Cultivar_1_Cohort_Year_Selection=$AA$278), ROUND(MAX(0,(AC$368-('Stage 2 Randomized Selection'!R$2*$M369)) - 1),0),
IF(AND(OR(AD$279=123, AD$279=12, AD$279=23, AD$279=2), Cultivar_2_Cohort_Year_Selection=$AA$278), ROUND(MAX(0,(AC$368-('Stage 2 Randomized Selection'!R$2*$M369)) - 1),0),
IF(AND(OR(AD$279=123, AD$279=13, AD$279=23, AD$279=3), Cultivar_3_Cohort_Year_Selection=$AA$278), ROUND(MAX(0,(AC$368-('Stage 2 Randomized Selection'!R$2*$M369)) - 1),0),
ROUND(MAX(0,(AC$368-('Stage 2 Randomized Selection'!R$2*$M369))),0)))))))),0),"")</f>
        <v/>
      </c>
      <c r="AE392" s="270" t="str">
        <f>IF(ISNUMBER($B$369),
IF(AND(ISNUMBER(AD$368), AD$368&gt;0),
IF(AND(AE$279=123, Cultivar_1_Cohort_Year_Selection=$AB$278,Cultivar_2_Cohort_Year_Selection=$AB$278,Cultivar_3_Cohort_Year_Selection=$AB$278), ROUND(MAX(0,(AD$368-('Stage 2 Randomized Selection'!T$2*$M369)) - 3),0),
IF(AND(OR(AE$279=123, AE$279=12), Cultivar_1_Cohort_Year_Selection=$AB$278,Cultivar_2_Cohort_Year_Selection=$AB$278),  ROUND(MAX(0,(AD$368-('Stage 2 Randomized Selection'!S$2*$M369)) - 2),0),
IF(AND(OR(AE$279=123, AE$279=13), Cultivar_1_Cohort_Year_Selection=$AB$278,Cultivar_3_Cohort_Year_Selection=$AB$278), ROUND(MAX(0,(AD$368-('Stage 2 Randomized Selection'!S$2*$M369)) - 2),0),
IF(AND(OR(AE$279=123, AE$279=23), Cultivar_2_Cohort_Year_Selection=$AB$278,Cultivar_3_Cohort_Year_Selection=$AB$278), ROUND(MAX(0,(AD$368-('Stage 2 Randomized Selection'!S$2*$M369)) - 2),0),
IF(AND(OR(AE$279=123, AE$279=12, AE$279=13, AE$279=1), Cultivar_1_Cohort_Year_Selection=$AB$278), ROUND(MAX(0,(AD$368-('Stage 2 Randomized Selection'!S$2*$M369)) - 1),0),
IF(AND(OR(AE$279=123, AE$279=12, AE$279=23, AE$279=2), Cultivar_2_Cohort_Year_Selection=$AB$278), ROUND(MAX(0,(AD$368-('Stage 2 Randomized Selection'!S$2*$M369)) - 1),0),
IF(AND(OR(AE$279=123, AE$279=13, AE$279=23, AE$279=3), Cultivar_3_Cohort_Year_Selection=$AB$278), ROUND(MAX(0,(AD$368-('Stage 2 Randomized Selection'!S$2*$M369)) - 1),0),
ROUND(MAX(0,(AD$368-('Stage 2 Randomized Selection'!S$2*$M369))),0)))))))),0),"")</f>
        <v/>
      </c>
      <c r="AF392" s="270" t="str">
        <f>IF(ISNUMBER($B$369),
IF(AND(ISNUMBER(AE$368), AE$368&gt;0),
IF(AND(AF$279=123, Cultivar_1_Cohort_Year_Selection=$AC$278,Cultivar_2_Cohort_Year_Selection=$AC$278,Cultivar_3_Cohort_Year_Selection=$AC$278), ROUND(MAX(0,(AE$368-('Stage 2 Randomized Selection'!U$2*$M369)) - 3),0),
IF(AND(OR(AF$279=123, AF$279=12), Cultivar_1_Cohort_Year_Selection=$AC$278,Cultivar_2_Cohort_Year_Selection=$AC$278),  ROUND(MAX(0,(AE$368-('Stage 2 Randomized Selection'!T$2*$M369)) - 2),0),
IF(AND(OR(AF$279=123, AF$279=13), Cultivar_1_Cohort_Year_Selection=$AC$278,Cultivar_3_Cohort_Year_Selection=$AC$278), ROUND(MAX(0,(AE$368-('Stage 2 Randomized Selection'!T$2*$M369)) - 2),0),
IF(AND(OR(AF$279=123, AF$279=23), Cultivar_2_Cohort_Year_Selection=$AC$278,Cultivar_3_Cohort_Year_Selection=$AC$278), ROUND(MAX(0,(AE$368-('Stage 2 Randomized Selection'!T$2*$M369)) - 2),0),
IF(AND(OR(AF$279=123, AF$279=12, AF$279=13, AF$279=1), Cultivar_1_Cohort_Year_Selection=$AC$278), ROUND(MAX(0,(AE$368-('Stage 2 Randomized Selection'!T$2*$M369)) - 1),0),
IF(AND(OR(AF$279=123, AF$279=12, AF$279=23, AF$279=2), Cultivar_2_Cohort_Year_Selection=$AC$278), ROUND(MAX(0,(AE$368-('Stage 2 Randomized Selection'!T$2*$M369)) - 1),0),
IF(AND(OR(AF$279=123, AF$279=13, AF$279=23, AF$279=3), Cultivar_3_Cohort_Year_Selection=$AC$278), ROUND(MAX(0,(AE$368-('Stage 2 Randomized Selection'!T$2*$M369)) - 1),0),
ROUND(MAX(0,(AE$368-('Stage 2 Randomized Selection'!T$2*$M369))),0)))))))),0),"")</f>
        <v/>
      </c>
      <c r="AG392" s="270" t="str">
        <f>IF(ISNUMBER($B$369),
IF(AND(ISNUMBER(AF$368), AF$368&gt;0),
IF(AND(AG$279=123, Cultivar_1_Cohort_Year_Selection=$AD$278,Cultivar_2_Cohort_Year_Selection=$AD$278,Cultivar_3_Cohort_Year_Selection=$AD$278), ROUND(MAX(0,(AF$368-('Stage 2 Randomized Selection'!V$2*$M369)) - 3),0),
IF(AND(OR(AG$279=123, AG$279=12), Cultivar_1_Cohort_Year_Selection=$AD$278,Cultivar_2_Cohort_Year_Selection=$AD$278),  ROUND(MAX(0,(AF$368-('Stage 2 Randomized Selection'!U$2*$M369)) - 2),0),
IF(AND(OR(AG$279=123, AG$279=13), Cultivar_1_Cohort_Year_Selection=$AD$278,Cultivar_3_Cohort_Year_Selection=$AD$278), ROUND(MAX(0,(AF$368-('Stage 2 Randomized Selection'!U$2*$M369)) - 2),0),
IF(AND(OR(AG$279=123, AG$279=23), Cultivar_2_Cohort_Year_Selection=$AD$278,Cultivar_3_Cohort_Year_Selection=$AD$278), ROUND(MAX(0,(AF$368-('Stage 2 Randomized Selection'!U$2*$M369)) - 2),0),
IF(AND(OR(AG$279=123, AG$279=12, AG$279=13, AG$279=1), Cultivar_1_Cohort_Year_Selection=$AD$278), ROUND(MAX(0,(AF$368-('Stage 2 Randomized Selection'!U$2*$M369)) - 1),0),
IF(AND(OR(AG$279=123, AG$279=12, AG$279=23, AG$279=2), Cultivar_2_Cohort_Year_Selection=$AD$278), ROUND(MAX(0,(AF$368-('Stage 2 Randomized Selection'!U$2*$M369)) - 1),0),
IF(AND(OR(AG$279=123, AG$279=13, AG$279=23, AG$279=3), Cultivar_3_Cohort_Year_Selection=$AD$278), ROUND(MAX(0,(AF$368-('Stage 2 Randomized Selection'!U$2*$M369)) - 1),0),
ROUND(MAX(0,(AF$368-('Stage 2 Randomized Selection'!U$2*$M369))),0)))))))),0),"")</f>
        <v/>
      </c>
      <c r="AH392" s="270" t="str">
        <f>IF(ISNUMBER($B$369),
IF(AND(ISNUMBER(AG$368), AG$368&gt;0),
IF(AND(AH$279=123, Cultivar_1_Cohort_Year_Selection=$AE$278,Cultivar_2_Cohort_Year_Selection=$AE$278,Cultivar_3_Cohort_Year_Selection=$AE$278), ROUND(MAX(0,(AG$368-('Stage 2 Randomized Selection'!W$2*$M369)) - 3),0),
IF(AND(OR(AH$279=123, AH$279=12), Cultivar_1_Cohort_Year_Selection=$AE$278,Cultivar_2_Cohort_Year_Selection=$AE$278),  ROUND(MAX(0,(AG$368-('Stage 2 Randomized Selection'!V$2*$M369)) - 2),0),
IF(AND(OR(AH$279=123, AH$279=13), Cultivar_1_Cohort_Year_Selection=$AE$278,Cultivar_3_Cohort_Year_Selection=$AE$278), ROUND(MAX(0,(AG$368-('Stage 2 Randomized Selection'!V$2*$M369)) - 2),0),
IF(AND(OR(AH$279=123, AH$279=23), Cultivar_2_Cohort_Year_Selection=$AE$278,Cultivar_3_Cohort_Year_Selection=$AE$278), ROUND(MAX(0,(AG$368-('Stage 2 Randomized Selection'!V$2*$M369)) - 2),0),
IF(AND(OR(AH$279=123, AH$279=12, AH$279=13, AH$279=1), Cultivar_1_Cohort_Year_Selection=$AE$278), ROUND(MAX(0,(AG$368-('Stage 2 Randomized Selection'!V$2*$M369)) - 1),0),
IF(AND(OR(AH$279=123, AH$279=12, AH$279=23, AH$279=2), Cultivar_2_Cohort_Year_Selection=$AE$278), ROUND(MAX(0,(AG$368-('Stage 2 Randomized Selection'!V$2*$M369)) - 1),0),
IF(AND(OR(AH$279=123, AH$279=13, AH$279=23, AH$279=3), Cultivar_3_Cohort_Year_Selection=$AE$278), ROUND(MAX(0,(AG$368-('Stage 2 Randomized Selection'!V$2*$M369)) - 1),0),
ROUND(MAX(0,(AG$368-('Stage 2 Randomized Selection'!V$2*$M369))),0)))))))),0),"")</f>
        <v/>
      </c>
      <c r="AI392" s="270" t="str">
        <f>IF(ISNUMBER($B$369),
IF(AND(ISNUMBER(AH$368), AH$368&gt;0),
IF(AND(AI$279=123, Cultivar_1_Cohort_Year_Selection=$AF$278,Cultivar_2_Cohort_Year_Selection=$AF$278,Cultivar_3_Cohort_Year_Selection=$AF$278), ROUND(MAX(0,(AH$368-('Stage 2 Randomized Selection'!X$2*$M369)) - 3),0),
IF(AND(OR(AI$279=123, AI$279=12), Cultivar_1_Cohort_Year_Selection=$AF$278,Cultivar_2_Cohort_Year_Selection=$AF$278),  ROUND(MAX(0,(AH$368-('Stage 2 Randomized Selection'!W$2*$M369)) - 2),0),
IF(AND(OR(AI$279=123, AI$279=13), Cultivar_1_Cohort_Year_Selection=$AF$278,Cultivar_3_Cohort_Year_Selection=$AF$278), ROUND(MAX(0,(AH$368-('Stage 2 Randomized Selection'!W$2*$M369)) - 2),0),
IF(AND(OR(AI$279=123, AI$279=23), Cultivar_2_Cohort_Year_Selection=$AF$278,Cultivar_3_Cohort_Year_Selection=$AF$278), ROUND(MAX(0,(AH$368-('Stage 2 Randomized Selection'!W$2*$M369)) - 2),0),
IF(AND(OR(AI$279=123, AI$279=12, AI$279=13, AI$279=1), Cultivar_1_Cohort_Year_Selection=$AF$278), ROUND(MAX(0,(AH$368-('Stage 2 Randomized Selection'!W$2*$M369)) - 1),0),
IF(AND(OR(AI$279=123, AI$279=12, AI$279=23, AI$279=2), Cultivar_2_Cohort_Year_Selection=$AF$278), ROUND(MAX(0,(AH$368-('Stage 2 Randomized Selection'!W$2*$M369)) - 1),0),
IF(AND(OR(AI$279=123, AI$279=13, AI$279=23, AI$279=3), Cultivar_3_Cohort_Year_Selection=$AF$278), ROUND(MAX(0,(AH$368-('Stage 2 Randomized Selection'!W$2*$M369)) - 1),0),
ROUND(MAX(0,(AH$368-('Stage 2 Randomized Selection'!W$2*$M369))),0)))))))),0),"")</f>
        <v/>
      </c>
      <c r="AJ392" s="270" t="str">
        <f>IF(ISNUMBER($B$369),
IF(AND(ISNUMBER(AI$368), AI$368&gt;0),
IF(AND(AJ$279=123, Cultivar_1_Cohort_Year_Selection=$AG$278,Cultivar_2_Cohort_Year_Selection=$AG$278,Cultivar_3_Cohort_Year_Selection=$AG$278), ROUND(MAX(0,(AI$368-('Stage 2 Randomized Selection'!Y$2*$M369)) - 3),0),
IF(AND(OR(AJ$279=123, AJ$279=12), Cultivar_1_Cohort_Year_Selection=$AG$278,Cultivar_2_Cohort_Year_Selection=$AG$278),  ROUND(MAX(0,(AI$368-('Stage 2 Randomized Selection'!X$2*$M369)) - 2),0),
IF(AND(OR(AJ$279=123, AJ$279=13), Cultivar_1_Cohort_Year_Selection=$AG$278,Cultivar_3_Cohort_Year_Selection=$AG$278), ROUND(MAX(0,(AI$368-('Stage 2 Randomized Selection'!X$2*$M369)) - 2),0),
IF(AND(OR(AJ$279=123, AJ$279=23), Cultivar_2_Cohort_Year_Selection=$AG$278,Cultivar_3_Cohort_Year_Selection=$AG$278), ROUND(MAX(0,(AI$368-('Stage 2 Randomized Selection'!X$2*$M369)) - 2),0),
IF(AND(OR(AJ$279=123, AJ$279=12, AJ$279=13, AJ$279=1), Cultivar_1_Cohort_Year_Selection=$AG$278), ROUND(MAX(0,(AI$368-('Stage 2 Randomized Selection'!X$2*$M369)) - 1),0),
IF(AND(OR(AJ$279=123, AJ$279=12, AJ$279=23, AJ$279=2), Cultivar_2_Cohort_Year_Selection=$AG$278), ROUND(MAX(0,(AI$368-('Stage 2 Randomized Selection'!X$2*$M369)) - 1),0),
IF(AND(OR(AJ$279=123, AJ$279=13, AJ$279=23, AJ$279=3), Cultivar_3_Cohort_Year_Selection=$AG$278), ROUND(MAX(0,(AI$368-('Stage 2 Randomized Selection'!X$2*$M369)) - 1),0),
ROUND(MAX(0,(AI$368-('Stage 2 Randomized Selection'!X$2*$M369))),0)))))))),0),"")</f>
        <v/>
      </c>
      <c r="AK392" s="270" t="str">
        <f>IF(ISNUMBER($B$369),
IF(AND(ISNUMBER(AJ$368), AJ$368&gt;0),
IF(AND(AK$279=123, Cultivar_1_Cohort_Year_Selection=$AH$278,Cultivar_2_Cohort_Year_Selection=$AH$278,Cultivar_3_Cohort_Year_Selection=$AH$278), ROUND(MAX(0,(AJ$368-('Stage 2 Randomized Selection'!Z$2*$M369)) - 3),0),
IF(AND(OR(AK$279=123, AK$279=12), Cultivar_1_Cohort_Year_Selection=$AH$278,Cultivar_2_Cohort_Year_Selection=$AH$278),  ROUND(MAX(0,(AJ$368-('Stage 2 Randomized Selection'!Y$2*$M369)) - 2),0),
IF(AND(OR(AK$279=123, AK$279=13), Cultivar_1_Cohort_Year_Selection=$AH$278,Cultivar_3_Cohort_Year_Selection=$AH$278), ROUND(MAX(0,(AJ$368-('Stage 2 Randomized Selection'!Y$2*$M369)) - 2),0),
IF(AND(OR(AK$279=123, AK$279=23), Cultivar_2_Cohort_Year_Selection=$AH$278,Cultivar_3_Cohort_Year_Selection=$AH$278), ROUND(MAX(0,(AJ$368-('Stage 2 Randomized Selection'!Y$2*$M369)) - 2),0),
IF(AND(OR(AK$279=123, AK$279=12, AK$279=13, AK$279=1), Cultivar_1_Cohort_Year_Selection=$AH$278), ROUND(MAX(0,(AJ$368-('Stage 2 Randomized Selection'!Y$2*$M369)) - 1),0),
IF(AND(OR(AK$279=123, AK$279=12, AK$279=23, AK$279=2), Cultivar_2_Cohort_Year_Selection=$AH$278), ROUND(MAX(0,(AJ$368-('Stage 2 Randomized Selection'!Y$2*$M369)) - 1),0),
IF(AND(OR(AK$279=123, AK$279=13, AK$279=23, AK$279=3), Cultivar_3_Cohort_Year_Selection=$AH$278), ROUND(MAX(0,(AJ$368-('Stage 2 Randomized Selection'!Y$2*$M369)) - 1),0),
ROUND(MAX(0,(AJ$368-('Stage 2 Randomized Selection'!Y$2*$M369))),0)))))))),0),"")</f>
        <v/>
      </c>
      <c r="AL392" s="270" t="str">
        <f>IF(ISNUMBER($B$369),
IF(AND(ISNUMBER(AK$368), AK$368&gt;0),
IF(AND(AL$279=123, Cultivar_1_Cohort_Year_Selection=$AI$278,Cultivar_2_Cohort_Year_Selection=$AI$278,Cultivar_3_Cohort_Year_Selection=$AI$278), ROUND(MAX(0,(AK$368-('Stage 2 Randomized Selection'!AA$2*$M369)) - 3),0),
IF(AND(OR(AL$279=123, AL$279=12), Cultivar_1_Cohort_Year_Selection=$AI$278,Cultivar_2_Cohort_Year_Selection=$AI$278),  ROUND(MAX(0,(AK$368-('Stage 2 Randomized Selection'!Z$2*$M369)) - 2),0),
IF(AND(OR(AL$279=123, AL$279=13), Cultivar_1_Cohort_Year_Selection=$AI$278,Cultivar_3_Cohort_Year_Selection=$AI$278), ROUND(MAX(0,(AK$368-('Stage 2 Randomized Selection'!Z$2*$M369)) - 2),0),
IF(AND(OR(AL$279=123, AL$279=23), Cultivar_2_Cohort_Year_Selection=$AI$278,Cultivar_3_Cohort_Year_Selection=$AI$278), ROUND(MAX(0,(AK$368-('Stage 2 Randomized Selection'!Z$2*$M369)) - 2),0),
IF(AND(OR(AL$279=123, AL$279=12, AL$279=13, AL$279=1), Cultivar_1_Cohort_Year_Selection=$AI$278), ROUND(MAX(0,(AK$368-('Stage 2 Randomized Selection'!Z$2*$M369)) - 1),0),
IF(AND(OR(AL$279=123, AL$279=12, AL$279=23, AL$279=2), Cultivar_2_Cohort_Year_Selection=$AI$278), ROUND(MAX(0,(AK$368-('Stage 2 Randomized Selection'!Z$2*$M369)) - 1),0),
IF(AND(OR(AL$279=123, AL$279=13, AL$279=23, AL$279=3), Cultivar_3_Cohort_Year_Selection=$AI$278), ROUND(MAX(0,(AK$368-('Stage 2 Randomized Selection'!Z$2*$M369)) - 1),0),
ROUND(MAX(0,(AK$368-('Stage 2 Randomized Selection'!Z$2*$M369))),0)))))))),0),"")</f>
        <v/>
      </c>
      <c r="AM392" s="270" t="str">
        <f>IF(ISNUMBER($B$369),
IF(AND(ISNUMBER(AL$368), AL$368&gt;0),
IF(AND(AM$279=123, Cultivar_1_Cohort_Year_Selection=$AJ$278,Cultivar_2_Cohort_Year_Selection=$AJ$278,Cultivar_3_Cohort_Year_Selection=$AJ$278), ROUND(MAX(0,(AL$368-('Stage 2 Randomized Selection'!AB$2*$M369)) - 3),0),
IF(AND(OR(AM$279=123, AM$279=12), Cultivar_1_Cohort_Year_Selection=$AJ$278,Cultivar_2_Cohort_Year_Selection=$AJ$278),  ROUND(MAX(0,(AL$368-('Stage 2 Randomized Selection'!AA$2*$M369)) - 2),0),
IF(AND(OR(AM$279=123, AM$279=13), Cultivar_1_Cohort_Year_Selection=$AJ$278,Cultivar_3_Cohort_Year_Selection=$AJ$278), ROUND(MAX(0,(AL$368-('Stage 2 Randomized Selection'!AA$2*$M369)) - 2),0),
IF(AND(OR(AM$279=123, AM$279=23), Cultivar_2_Cohort_Year_Selection=$AJ$278,Cultivar_3_Cohort_Year_Selection=$AJ$278), ROUND(MAX(0,(AL$368-('Stage 2 Randomized Selection'!AA$2*$M369)) - 2),0),
IF(AND(OR(AM$279=123, AM$279=12, AM$279=13, AM$279=1), Cultivar_1_Cohort_Year_Selection=$AJ$278), ROUND(MAX(0,(AL$368-('Stage 2 Randomized Selection'!AA$2*$M369)) - 1),0),
IF(AND(OR(AM$279=123, AM$279=12, AM$279=23, AM$279=2), Cultivar_2_Cohort_Year_Selection=$AJ$278), ROUND(MAX(0,(AL$368-('Stage 2 Randomized Selection'!AA$2*$M369)) - 1),0),
IF(AND(OR(AM$279=123, AM$279=13, AM$279=23, AM$279=3), Cultivar_3_Cohort_Year_Selection=$AJ$278), ROUND(MAX(0,(AL$368-('Stage 2 Randomized Selection'!AA$2*$M369)) - 1),0),
ROUND(MAX(0,(AL$368-('Stage 2 Randomized Selection'!AA$2*$M369))),0)))))))),0),"")</f>
        <v/>
      </c>
      <c r="AN392" s="270" t="str">
        <f>IF(ISNUMBER($B$369),
IF(AND(ISNUMBER(AM$368), AM$368&gt;0),
IF(AND(AN$279=123, Cultivar_1_Cohort_Year_Selection=$AK$278,Cultivar_2_Cohort_Year_Selection=$AK$278,Cultivar_3_Cohort_Year_Selection=$AK$278), ROUND(MAX(0,(AM$368-('Stage 2 Randomized Selection'!AC$2*$M369)) - 3),0),
IF(AND(OR(AN$279=123, AN$279=12), Cultivar_1_Cohort_Year_Selection=$AK$278,Cultivar_2_Cohort_Year_Selection=$AK$278),  ROUND(MAX(0,(AM$368-('Stage 2 Randomized Selection'!AB$2*$M369)) - 2),0),
IF(AND(OR(AN$279=123, AN$279=13), Cultivar_1_Cohort_Year_Selection=$AK$278,Cultivar_3_Cohort_Year_Selection=$AK$278), ROUND(MAX(0,(AM$368-('Stage 2 Randomized Selection'!AB$2*$M369)) - 2),0),
IF(AND(OR(AN$279=123, AN$279=23), Cultivar_2_Cohort_Year_Selection=$AK$278,Cultivar_3_Cohort_Year_Selection=$AK$278), ROUND(MAX(0,(AM$368-('Stage 2 Randomized Selection'!AB$2*$M369)) - 2),0),
IF(AND(OR(AN$279=123, AN$279=12, AN$279=13, AN$279=1), Cultivar_1_Cohort_Year_Selection=$AK$278), ROUND(MAX(0,(AM$368-('Stage 2 Randomized Selection'!AB$2*$M369)) - 1),0),
IF(AND(OR(AN$279=123, AN$279=12, AN$279=23, AN$279=2), Cultivar_2_Cohort_Year_Selection=$AK$278), ROUND(MAX(0,(AM$368-('Stage 2 Randomized Selection'!AB$2*$M369)) - 1),0),
IF(AND(OR(AN$279=123, AN$279=13, AN$279=23, AN$279=3), Cultivar_3_Cohort_Year_Selection=$AK$278), ROUND(MAX(0,(AM$368-('Stage 2 Randomized Selection'!AB$2*$M369)) - 1),0),
ROUND(MAX(0,(AM$368-('Stage 2 Randomized Selection'!AB$2*$M369))),0)))))))),0),"")</f>
        <v/>
      </c>
      <c r="AO392" s="270" t="str">
        <f>IF(ISNUMBER($B$369),
IF(AND(ISNUMBER(AN$368), AN$368&gt;0),
IF(AND(AO$279=123, Cultivar_1_Cohort_Year_Selection=$AL$278,Cultivar_2_Cohort_Year_Selection=$AL$278,Cultivar_3_Cohort_Year_Selection=$AL$278), ROUND(MAX(0,(AN$368-('Stage 2 Randomized Selection'!AD$2*$M369)) - 3),0),
IF(AND(OR(AO$279=123, AO$279=12), Cultivar_1_Cohort_Year_Selection=$AL$278,Cultivar_2_Cohort_Year_Selection=$AL$278),  ROUND(MAX(0,(AN$368-('Stage 2 Randomized Selection'!AC$2*$M369)) - 2),0),
IF(AND(OR(AO$279=123, AO$279=13), Cultivar_1_Cohort_Year_Selection=$AL$278,Cultivar_3_Cohort_Year_Selection=$AL$278), ROUND(MAX(0,(AN$368-('Stage 2 Randomized Selection'!AC$2*$M369)) - 2),0),
IF(AND(OR(AO$279=123, AO$279=23), Cultivar_2_Cohort_Year_Selection=$AL$278,Cultivar_3_Cohort_Year_Selection=$AL$278), ROUND(MAX(0,(AN$368-('Stage 2 Randomized Selection'!AC$2*$M369)) - 2),0),
IF(AND(OR(AO$279=123, AO$279=12, AO$279=13, AO$279=1), Cultivar_1_Cohort_Year_Selection=$AL$278), ROUND(MAX(0,(AN$368-('Stage 2 Randomized Selection'!AC$2*$M369)) - 1),0),
IF(AND(OR(AO$279=123, AO$279=12, AO$279=23, AO$279=2), Cultivar_2_Cohort_Year_Selection=$AL$278), ROUND(MAX(0,(AN$368-('Stage 2 Randomized Selection'!AC$2*$M369)) - 1),0),
IF(AND(OR(AO$279=123, AO$279=13, AO$279=23, AO$279=3), Cultivar_3_Cohort_Year_Selection=$AL$278), ROUND(MAX(0,(AN$368-('Stage 2 Randomized Selection'!AC$2*$M369)) - 1),0),
ROUND(MAX(0,(AN$368-('Stage 2 Randomized Selection'!AC$2*$M369))),0)))))))),0),"")</f>
        <v/>
      </c>
      <c r="AP392" s="270" t="str">
        <f>IF(ISNUMBER($B$369),
IF(AND(ISNUMBER(AO$368), AO$368&gt;0),
IF(AND(AP$279=123, Cultivar_1_Cohort_Year_Selection=$AM$278,Cultivar_2_Cohort_Year_Selection=$AM$278,Cultivar_3_Cohort_Year_Selection=$AM$278), ROUND(MAX(0,(AO$368-('Stage 2 Randomized Selection'!AE$2*$M369)) - 3),0),
IF(AND(OR(AP$279=123, AP$279=12), Cultivar_1_Cohort_Year_Selection=$AM$278,Cultivar_2_Cohort_Year_Selection=$AM$278),  ROUND(MAX(0,(AO$368-('Stage 2 Randomized Selection'!AD$2*$M369)) - 2),0),
IF(AND(OR(AP$279=123, AP$279=13), Cultivar_1_Cohort_Year_Selection=$AM$278,Cultivar_3_Cohort_Year_Selection=$AM$278), ROUND(MAX(0,(AO$368-('Stage 2 Randomized Selection'!AD$2*$M369)) - 2),0),
IF(AND(OR(AP$279=123, AP$279=23), Cultivar_2_Cohort_Year_Selection=$AM$278,Cultivar_3_Cohort_Year_Selection=$AM$278), ROUND(MAX(0,(AO$368-('Stage 2 Randomized Selection'!AD$2*$M369)) - 2),0),
IF(AND(OR(AP$279=123, AP$279=12, AP$279=13, AP$279=1), Cultivar_1_Cohort_Year_Selection=$AM$278), ROUND(MAX(0,(AO$368-('Stage 2 Randomized Selection'!AD$2*$M369)) - 1),0),
IF(AND(OR(AP$279=123, AP$279=12, AP$279=23, AP$279=2), Cultivar_2_Cohort_Year_Selection=$AM$278), ROUND(MAX(0,(AO$368-('Stage 2 Randomized Selection'!AD$2*$M369)) - 1),0),
IF(AND(OR(AP$279=123, AP$279=13, AP$279=23, AP$279=3), Cultivar_3_Cohort_Year_Selection=$AM$278), ROUND(MAX(0,(AO$368-('Stage 2 Randomized Selection'!AD$2*$M369)) - 1),0),
ROUND(MAX(0,(AO$368-('Stage 2 Randomized Selection'!AD$2*$M369))),0)))))))),0),"")</f>
        <v/>
      </c>
      <c r="AQ392" s="270" t="str">
        <f>IF(ISNUMBER($B$369),
IF(AND(ISNUMBER(AP$368), AP$368&gt;0),
IF(AND(AQ$279=123, Cultivar_1_Cohort_Year_Selection=$AN$278,Cultivar_2_Cohort_Year_Selection=$AN$278,Cultivar_3_Cohort_Year_Selection=$AN$278), ROUND(MAX(0,(AP$368-('Stage 2 Randomized Selection'!AF$2*$M369)) - 3),0),
IF(AND(OR(AQ$279=123, AQ$279=12), Cultivar_1_Cohort_Year_Selection=$AN$278,Cultivar_2_Cohort_Year_Selection=$AN$278),  ROUND(MAX(0,(AP$368-('Stage 2 Randomized Selection'!AE$2*$M369)) - 2),0),
IF(AND(OR(AQ$279=123, AQ$279=13), Cultivar_1_Cohort_Year_Selection=$AN$278,Cultivar_3_Cohort_Year_Selection=$AN$278), ROUND(MAX(0,(AP$368-('Stage 2 Randomized Selection'!AE$2*$M369)) - 2),0),
IF(AND(OR(AQ$279=123, AQ$279=23), Cultivar_2_Cohort_Year_Selection=$AN$278,Cultivar_3_Cohort_Year_Selection=$AN$278), ROUND(MAX(0,(AP$368-('Stage 2 Randomized Selection'!AE$2*$M369)) - 2),0),
IF(AND(OR(AQ$279=123, AQ$279=12, AQ$279=13, AQ$279=1), Cultivar_1_Cohort_Year_Selection=$AN$278), ROUND(MAX(0,(AP$368-('Stage 2 Randomized Selection'!AE$2*$M369)) - 1),0),
IF(AND(OR(AQ$279=123, AQ$279=12, AQ$279=23, AQ$279=2), Cultivar_2_Cohort_Year_Selection=$AN$278), ROUND(MAX(0,(AP$368-('Stage 2 Randomized Selection'!AE$2*$M369)) - 1),0),
IF(AND(OR(AQ$279=123, AQ$279=13, AQ$279=23, AQ$279=3), Cultivar_3_Cohort_Year_Selection=$AN$278), ROUND(MAX(0,(AP$368-('Stage 2 Randomized Selection'!AE$2*$M369)) - 1),0),
ROUND(MAX(0,(AP$368-('Stage 2 Randomized Selection'!AE$2*$M369))),0)))))))),0),"")</f>
        <v/>
      </c>
      <c r="AR392" s="270" t="str">
        <f>IF(ISNUMBER($B$369),
IF(AND(ISNUMBER(AQ$368), AQ$368&gt;0),
IF(AND(AR$279=123, Cultivar_1_Cohort_Year_Selection=$AO$278,Cultivar_2_Cohort_Year_Selection=$AO$278,Cultivar_3_Cohort_Year_Selection=$AO$278), ROUND(MAX(0,(AQ$368-('Stage 2 Randomized Selection'!AG$2*$M369)) - 3),0),
IF(AND(OR(AR$279=123, AR$279=12), Cultivar_1_Cohort_Year_Selection=$AO$278,Cultivar_2_Cohort_Year_Selection=$AO$278),  ROUND(MAX(0,(AQ$368-('Stage 2 Randomized Selection'!AF$2*$M369)) - 2),0),
IF(AND(OR(AR$279=123, AR$279=13), Cultivar_1_Cohort_Year_Selection=$AO$278,Cultivar_3_Cohort_Year_Selection=$AO$278), ROUND(MAX(0,(AQ$368-('Stage 2 Randomized Selection'!AF$2*$M369)) - 2),0),
IF(AND(OR(AR$279=123, AR$279=23), Cultivar_2_Cohort_Year_Selection=$AO$278,Cultivar_3_Cohort_Year_Selection=$AO$278), ROUND(MAX(0,(AQ$368-('Stage 2 Randomized Selection'!AF$2*$M369)) - 2),0),
IF(AND(OR(AR$279=123, AR$279=12, AR$279=13, AR$279=1), Cultivar_1_Cohort_Year_Selection=$AO$278), ROUND(MAX(0,(AQ$368-('Stage 2 Randomized Selection'!AF$2*$M369)) - 1),0),
IF(AND(OR(AR$279=123, AR$279=12, AR$279=23, AR$279=2), Cultivar_2_Cohort_Year_Selection=$AO$278), ROUND(MAX(0,(AQ$368-('Stage 2 Randomized Selection'!AF$2*$M369)) - 1),0),
IF(AND(OR(AR$279=123, AR$279=13, AR$279=23, AR$279=3), Cultivar_3_Cohort_Year_Selection=$AO$278), ROUND(MAX(0,(AQ$368-('Stage 2 Randomized Selection'!AF$2*$M369)) - 1),0),
ROUND(MAX(0,(AQ$368-('Stage 2 Randomized Selection'!AF$2*$M369))),0)))))))),0),"")</f>
        <v/>
      </c>
      <c r="AS392" s="270" t="str">
        <f>IF(ISNUMBER($B$369),
IF(AND(ISNUMBER(AR$368), AR$368&gt;0),
IF(AND(AS$279=123, Cultivar_1_Cohort_Year_Selection=$AP$278,Cultivar_2_Cohort_Year_Selection=$AP$278,Cultivar_3_Cohort_Year_Selection=$AP$278), ROUND(MAX(0,(AR$368-('Stage 2 Randomized Selection'!AH$2*$M369)) - 3),0),
IF(AND(OR(AS$279=123, AS$279=12), Cultivar_1_Cohort_Year_Selection=$AP$278,Cultivar_2_Cohort_Year_Selection=$AP$278),  ROUND(MAX(0,(AR$368-('Stage 2 Randomized Selection'!AG$2*$M369)) - 2),0),
IF(AND(OR(AS$279=123, AS$279=13), Cultivar_1_Cohort_Year_Selection=$AP$278,Cultivar_3_Cohort_Year_Selection=$AP$278), ROUND(MAX(0,(AR$368-('Stage 2 Randomized Selection'!AG$2*$M369)) - 2),0),
IF(AND(OR(AS$279=123, AS$279=23), Cultivar_2_Cohort_Year_Selection=$AP$278,Cultivar_3_Cohort_Year_Selection=$AP$278), ROUND(MAX(0,(AR$368-('Stage 2 Randomized Selection'!AG$2*$M369)) - 2),0),
IF(AND(OR(AS$279=123, AS$279=12, AS$279=13, AS$279=1), Cultivar_1_Cohort_Year_Selection=$AP$278), ROUND(MAX(0,(AR$368-('Stage 2 Randomized Selection'!AG$2*$M369)) - 1),0),
IF(AND(OR(AS$279=123, AS$279=12, AS$279=23, AS$279=2), Cultivar_2_Cohort_Year_Selection=$AP$278), ROUND(MAX(0,(AR$368-('Stage 2 Randomized Selection'!AG$2*$M369)) - 1),0),
IF(AND(OR(AS$279=123, AS$279=13, AS$279=23, AS$279=3), Cultivar_3_Cohort_Year_Selection=$AP$278), ROUND(MAX(0,(AR$368-('Stage 2 Randomized Selection'!AG$2*$M369)) - 1),0),
ROUND(MAX(0,(AR$368-('Stage 2 Randomized Selection'!AG$2*$M369))),0)))))))),0),"")</f>
        <v/>
      </c>
    </row>
    <row r="393" spans="1:46" ht="14.45" customHeight="1" x14ac:dyDescent="0.25">
      <c r="A393" s="518" t="str">
        <f>Fourth_Stage</f>
        <v>Stage 2 Clonal Test Plots</v>
      </c>
      <c r="B393" s="504" t="str">
        <f>'Breeding Inputs'!B93</f>
        <v/>
      </c>
      <c r="C393" s="521" t="str">
        <f>IF(ISNUMBER(B393), _4_3_0, "")</f>
        <v/>
      </c>
      <c r="D393" s="94" t="str">
        <f>IF(AND(C393&lt;&gt;"", 'Cost Inputs'!$G$105&lt;&gt;""), 'Cost Inputs'!$G$105, "")</f>
        <v/>
      </c>
      <c r="E393" s="94" t="str">
        <f>IF(AND(C393&lt;&gt;"", 'Cost Inputs'!$H$105&lt;&gt;""), 'Cost Inputs'!$H$105, "")</f>
        <v/>
      </c>
      <c r="F393" s="492" t="str">
        <f>IF(AND(C393&lt;&gt;"", 'Cost Inputs'!$I$105&lt;&gt;""), 'Cost Inputs'!$I$105, "")</f>
        <v/>
      </c>
      <c r="G393" s="102" t="str">
        <f t="shared" si="63"/>
        <v/>
      </c>
      <c r="H393" s="492" t="str">
        <f>IF(AND(C393&lt;&gt;"", 'Cost Inputs'!$J$105&lt;&gt;""), 'Cost Inputs'!$J$105, "")</f>
        <v/>
      </c>
      <c r="I393" s="102" t="str">
        <f>IF($C393&lt;&gt;"",IF(AND($E393&lt;&gt;"",H393&lt;&gt;""), H393/$E393, 0),"")</f>
        <v/>
      </c>
      <c r="J393" s="492" t="str">
        <f>IF(AND(C393&lt;&gt;"",('Cost Inputs'!$I$105+'Cost Inputs'!$J$105+'Cost Inputs'!$K$105)&gt;0), 'Cost Inputs'!$I$105+'Cost Inputs'!$J$105+'Cost Inputs'!$K$105, "")</f>
        <v/>
      </c>
      <c r="K393" s="102" t="str">
        <f>IF($C393&lt;&gt;"",IF(AND($E393&lt;&gt;"",J393&lt;&gt;""), J393/$E393, 0),"")</f>
        <v/>
      </c>
      <c r="L393" s="525" t="str">
        <f>IF(AND($B393&lt;&gt;"", 'Breeding Inputs'!$C$89&lt;&gt;""), INDEX('Breeding Inputs'!$C$89:$C$98, MATCH($B393,'Breeding Inputs'!$B$89:$B$98,0)), IF($B393="", "", 0%))</f>
        <v/>
      </c>
      <c r="M393" s="525" t="str">
        <f>IF(AND($B393&lt;&gt;"", 'Breeding Inputs'!$D$89&lt;&gt;""), INDEX('Breeding Inputs'!$D$89:$D$98, MATCH($B393,'Breeding Inputs'!$B$89:$B$98,0))+INDEX('Breeding Inputs'!$E$89:$E$98, MATCH($B393,'Breeding Inputs'!$B$89:$B$98,0)), IF($B393="", "", 0%))</f>
        <v/>
      </c>
      <c r="S393" s="495" t="str">
        <f>IF(ISNUMBER($B$393),
IF($C393&lt;&gt;"",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393" s="495" t="str">
        <f>IF(ISNUMBER($B$393),
IF($C393&lt;&gt;"",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393" s="495" t="str">
        <f>IF(ISNUMBER($B$393),
IF($C393&lt;&gt;"",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393" s="495" t="str">
        <f>IF(ISNUMBER($B$393),
IF($C393&lt;&gt;"",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393" s="495" t="str">
        <f>IF(ISNUMBER($B$393),
IF($C393&lt;&gt;"",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393" s="495" t="str">
        <f>IF(ISNUMBER($B$393),
IF($C393&lt;&gt;"",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393" s="495" t="str">
        <f>IF(ISNUMBER($B$393),
IF($C393&lt;&gt;"",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393" s="495" t="str">
        <f>IF(ISNUMBER($B$393),
IF($C393&lt;&gt;"",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393" s="495" t="str">
        <f>IF(ISNUMBER($B$393),
IF($C393&lt;&gt;"",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393" s="495" t="str">
        <f>IF(ISNUMBER($B$393),
IF($C393&lt;&gt;"",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393" s="495" t="str">
        <f>IF(ISNUMBER($B$393),
IF($C393&lt;&gt;"",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393" s="495" t="str">
        <f>IF(ISNUMBER($B$393),
IF($C393&lt;&gt;"",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393" s="495" t="str">
        <f>IF(ISNUMBER($B$393),
IF($C393&lt;&gt;"",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393" s="495" t="str">
        <f>IF(ISNUMBER($B$393),
IF($C393&lt;&gt;"",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393" s="495" t="str">
        <f>IF(ISNUMBER($B$393),
IF($C393&lt;&gt;"",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393" s="495" t="str">
        <f>IF(ISNUMBER($B$393),
IF($C393&lt;&gt;"",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393" s="495" t="str">
        <f>IF(ISNUMBER($B$393),
IF($C393&lt;&gt;"",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393" s="495" t="str">
        <f>IF(ISNUMBER($B$393),
IF($C393&lt;&gt;"",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393" s="495" t="str">
        <f>IF(ISNUMBER($B$393),
IF($C393&lt;&gt;"",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393" s="495" t="str">
        <f>IF(ISNUMBER($B$393),
IF($C393&lt;&gt;"",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393" s="495" t="str">
        <f>IF(ISNUMBER($B$393),
IF($C393&lt;&gt;"",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393" s="495" t="str">
        <f>IF(ISNUMBER($B$393),
IF($C393&lt;&gt;"",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393" s="495" t="str">
        <f>IF(ISNUMBER($B$393),
IF($C393&lt;&gt;"",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393" s="495" t="str">
        <f>IF(ISNUMBER($B$393),
IF($C393&lt;&gt;"",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393" s="495" t="str">
        <f>IF(ISNUMBER($B$393),
IF($C393&lt;&gt;"",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393" s="495" t="str">
        <f>IF(ISNUMBER($B$393),
IF($C393&lt;&gt;"",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393" s="495" t="str">
        <f>IF(ISNUMBER($B$393),
IF($C393&lt;&gt;"",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393" s="517" t="str">
        <f>IF(ISNUMBER($B$393),
IF($C393&lt;&gt;"",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394" spans="1:46" x14ac:dyDescent="0.25">
      <c r="A394" s="518"/>
      <c r="B394" s="504"/>
      <c r="C394" s="521"/>
      <c r="D394" s="94" t="str">
        <f>IF(AND(C393&lt;&gt;"", 'Cost Inputs'!$G$106&lt;&gt;""), 'Cost Inputs'!$G$106, "")</f>
        <v/>
      </c>
      <c r="E394" s="94" t="str">
        <f>IF(AND(C393&lt;&gt;"", 'Cost Inputs'!H213&lt;&gt;""), 'Cost Inputs'!H213, "")</f>
        <v/>
      </c>
      <c r="F394" s="492"/>
      <c r="G394" s="102" t="str">
        <f t="shared" si="63"/>
        <v/>
      </c>
      <c r="H394" s="492"/>
      <c r="I394" s="102" t="str">
        <f>IF($C393&lt;&gt;"", IF(AND($E394&lt;&gt;"", H393&lt;&gt;""), H393/($E393*$E394), 0), "")</f>
        <v/>
      </c>
      <c r="J394" s="492" t="str">
        <f>IF(AND(C394&lt;&gt;"",('Cost Inputs'!$I$86+'Cost Inputs'!$J$86+'Cost Inputs'!$K$86)&gt;0), 'Cost Inputs'!$I$86+'Cost Inputs'!$J$86+'Cost Inputs'!$K$86, "")</f>
        <v/>
      </c>
      <c r="K394" s="102" t="str">
        <f>IF($C393&lt;&gt;"", IF(AND($E394&lt;&gt;"", J393&lt;&gt;""), J393/($E393*$E394), 0), "")</f>
        <v/>
      </c>
      <c r="L394" s="525"/>
      <c r="M394" s="525"/>
      <c r="S394" s="496" t="str">
        <f t="shared" ref="S394:AB394" si="119">IF(ISNUMBER($B$345),
IF($C394&lt;&gt;"",
IF(AND(ISNUMBER(R$368), R$368&gt;0),
IF(AND(S$279=123, Cultivar_1_Cohort_Year_Selection=$O$278,Cultivar_2_Cohort_Year_Selection=$O$278,Cultivar_3_Cohort_Year_Selection=$O$278), ROUND(MAX(0,R$368 - 3),0),
IF(AND(OR(S$279=123, S$279=12), Cultivar_1_Cohort_Year_Selection=$O$278,Cultivar_2_Cohort_Year_Selection=$O$278), ROUND(MAX(0,R$368 - 2),0),
IF(AND(OR(S$279=123, S$279=13), Cultivar_1_Cohort_Year_Selection=$O$278,Cultivar_3_Cohort_Year_Selection=$O$278), ROUND(MAX(0,R$368 - 2),0),
IF(AND(OR(S$279=123, S$279=23), Cultivar_2_Cohort_Year_Selection=$O$278,Cultivar_3_Cohort_Year_Selection=$O$278), ROUND(MAX(0,R$368 - 2),0),
IF(AND(OR(S$279=123, S$279=12, S$279=13, S$279=1), Cultivar_1_Cohort_Year_Selection=$O$278), ROUND(MAX(0,R$368 - 1),0),
IF(AND(OR(S$279=123, S$279=12, S$279=23, S$279=2), Cultivar_2_Cohort_Year_Selection=$O$278), ROUND(MAX(0,R$368 - 1),0),
IF(AND(OR(S$279=123, S$279=13, S$279=23, S$279=3), Cultivar_3_Cohort_Year_Selection=$O$278), ROUND(MAX(0,R$368 - 1),0),
ROUND(MAX(0,R$368),0)))))))),""),""),"")</f>
        <v/>
      </c>
      <c r="T394" s="496" t="str">
        <f t="shared" si="119"/>
        <v/>
      </c>
      <c r="U394" s="496" t="str">
        <f t="shared" si="119"/>
        <v/>
      </c>
      <c r="V394" s="496" t="str">
        <f t="shared" si="119"/>
        <v/>
      </c>
      <c r="W394" s="496" t="str">
        <f t="shared" si="119"/>
        <v/>
      </c>
      <c r="X394" s="496" t="str">
        <f t="shared" si="119"/>
        <v/>
      </c>
      <c r="Y394" s="496" t="str">
        <f t="shared" si="119"/>
        <v/>
      </c>
      <c r="Z394" s="496" t="str">
        <f t="shared" si="119"/>
        <v/>
      </c>
      <c r="AA394" s="496" t="str">
        <f t="shared" si="119"/>
        <v/>
      </c>
      <c r="AB394" s="496" t="str">
        <f t="shared" si="119"/>
        <v/>
      </c>
      <c r="AC394" s="496"/>
      <c r="AD394" s="496"/>
      <c r="AE394" s="496"/>
      <c r="AF394" s="496"/>
      <c r="AG394" s="496"/>
      <c r="AH394" s="496"/>
      <c r="AI394" s="496"/>
      <c r="AJ394" s="496"/>
      <c r="AK394" s="496"/>
      <c r="AL394" s="496"/>
      <c r="AM394" s="496"/>
      <c r="AN394" s="496"/>
      <c r="AO394" s="496"/>
      <c r="AP394" s="496"/>
      <c r="AQ394" s="496"/>
      <c r="AR394" s="496"/>
      <c r="AS394" s="496"/>
      <c r="AT394" s="517"/>
    </row>
    <row r="395" spans="1:46" x14ac:dyDescent="0.25">
      <c r="A395" s="518"/>
      <c r="B395" s="504"/>
      <c r="C395" s="104" t="str">
        <f>IF(AND(ISNUMBER(B393), OR('Cost Inputs'!$H$107&lt;&gt;"", 'Cost Inputs'!$I$107&lt;&gt;"", 'Cost Inputs'!$J$107&lt;&gt;"")), _4_3_1, "")</f>
        <v/>
      </c>
      <c r="D395" s="17" t="str">
        <f>IF(AND(C395&lt;&gt;"", 'Cost Inputs'!$G$107&lt;&gt;""), 'Cost Inputs'!$G$107, "")</f>
        <v/>
      </c>
      <c r="E395" s="17" t="str">
        <f>IF(AND(C395&lt;&gt;"", 'Cost Inputs'!$H$107&lt;&gt;""), 'Cost Inputs'!$H$107, "")</f>
        <v/>
      </c>
      <c r="F395" s="17" t="str">
        <f>IF(AND(C395&lt;&gt;"", 'Cost Inputs'!$I$107&lt;&gt;""), 'Cost Inputs'!$I$107, "")</f>
        <v/>
      </c>
      <c r="G395" s="105" t="str">
        <f t="shared" si="63"/>
        <v/>
      </c>
      <c r="H395" s="17" t="str">
        <f>IF(AND(C395&lt;&gt;"", 'Cost Inputs'!$J$107&lt;&gt;""), 'Cost Inputs'!$J$107, "")</f>
        <v/>
      </c>
      <c r="I395" s="17" t="str">
        <f t="shared" ref="I395:I403" si="120">IF($C395&lt;&gt;"", IF(AND($E395&lt;&gt;"", H395&lt;&gt;""), H395/$E395, 0),"")</f>
        <v/>
      </c>
      <c r="J395" s="17" t="str">
        <f>IF(AND(C395&lt;&gt;"",('Cost Inputs'!$I$107+'Cost Inputs'!$J$107+'Cost Inputs'!$K$107)&gt;0), 'Cost Inputs'!$I$107+'Cost Inputs'!$J$107+'Cost Inputs'!$K$107, "")</f>
        <v/>
      </c>
      <c r="K395" s="17" t="str">
        <f t="shared" ref="K395:K403" si="121">IF($C395&lt;&gt;"", IF(AND($E395&lt;&gt;"", J395&lt;&gt;""), J395/$E395, 0),"")</f>
        <v/>
      </c>
      <c r="L395" s="525"/>
      <c r="M395" s="525"/>
      <c r="S395" s="17" t="str">
        <f t="shared" ref="S395:S403" si="122">IF(ISNUMBER($B$393),
IF($C395&lt;&gt;"",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395" s="17" t="str">
        <f t="shared" ref="T395:T403" si="123">IF(ISNUMBER($B$393),
IF($C395&lt;&gt;"",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395" s="17" t="str">
        <f t="shared" ref="U395:U403" si="124">IF(ISNUMBER($B$393),
IF($C395&lt;&gt;"",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395" s="17" t="str">
        <f t="shared" ref="V395:V403" si="125">IF(ISNUMBER($B$393),
IF($C395&lt;&gt;"",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395" s="17" t="str">
        <f t="shared" ref="W395:W403" si="126">IF(ISNUMBER($B$393),
IF($C395&lt;&gt;"",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395" s="17" t="str">
        <f t="shared" ref="X395:X403" si="127">IF(ISNUMBER($B$393),
IF($C395&lt;&gt;"",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395" s="17" t="str">
        <f t="shared" ref="Y395:Y403" si="128">IF(ISNUMBER($B$393),
IF($C395&lt;&gt;"",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395" s="17" t="str">
        <f t="shared" ref="Z395:Z403" si="129">IF(ISNUMBER($B$393),
IF($C395&lt;&gt;"",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395" s="17" t="str">
        <f t="shared" ref="AA395:AA403" si="130">IF(ISNUMBER($B$393),
IF($C395&lt;&gt;"",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395" s="17" t="str">
        <f t="shared" ref="AB395:AB403" si="131">IF(ISNUMBER($B$393),
IF($C395&lt;&gt;"",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395" s="17" t="str">
        <f t="shared" ref="AC395:AC403" si="132">IF(ISNUMBER($B$393),
IF($C395&lt;&gt;"",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395" s="17" t="str">
        <f t="shared" ref="AD395:AD403" si="133">IF(ISNUMBER($B$393),
IF($C395&lt;&gt;"",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395" s="17" t="str">
        <f t="shared" ref="AE395:AE403" si="134">IF(ISNUMBER($B$393),
IF($C395&lt;&gt;"",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395" s="17" t="str">
        <f t="shared" ref="AF395:AF403" si="135">IF(ISNUMBER($B$393),
IF($C395&lt;&gt;"",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395" s="17" t="str">
        <f t="shared" ref="AG395:AG403" si="136">IF(ISNUMBER($B$393),
IF($C395&lt;&gt;"",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395" s="17" t="str">
        <f t="shared" ref="AH395:AH403" si="137">IF(ISNUMBER($B$393),
IF($C395&lt;&gt;"",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395" s="17" t="str">
        <f t="shared" ref="AI395:AI403" si="138">IF(ISNUMBER($B$393),
IF($C395&lt;&gt;"",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395" s="17" t="str">
        <f t="shared" ref="AJ395:AJ403" si="139">IF(ISNUMBER($B$393),
IF($C395&lt;&gt;"",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395" s="17" t="str">
        <f t="shared" ref="AK395:AK403" si="140">IF(ISNUMBER($B$393),
IF($C395&lt;&gt;"",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395" s="17" t="str">
        <f t="shared" ref="AL395:AL403" si="141">IF(ISNUMBER($B$393),
IF($C395&lt;&gt;"",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395" s="17" t="str">
        <f t="shared" ref="AM395:AM403" si="142">IF(ISNUMBER($B$393),
IF($C395&lt;&gt;"",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395" s="17" t="str">
        <f t="shared" ref="AN395:AN403" si="143">IF(ISNUMBER($B$393),
IF($C395&lt;&gt;"",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395" s="17" t="str">
        <f t="shared" ref="AO395:AO403" si="144">IF(ISNUMBER($B$393),
IF($C395&lt;&gt;"",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395" s="17" t="str">
        <f t="shared" ref="AP395:AP403" si="145">IF(ISNUMBER($B$393),
IF($C395&lt;&gt;"",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395" s="17" t="str">
        <f t="shared" ref="AQ395:AQ403" si="146">IF(ISNUMBER($B$393),
IF($C395&lt;&gt;"",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395" s="17" t="str">
        <f t="shared" ref="AR395:AR403" si="147">IF(ISNUMBER($B$393),
IF($C395&lt;&gt;"",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395" s="17" t="str">
        <f t="shared" ref="AS395:AS403" si="148">IF(ISNUMBER($B$393),
IF($C395&lt;&gt;"",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395" s="17" t="str">
        <f t="shared" ref="AT395:AT403" si="149">IF(ISNUMBER($B$393),
IF($C395&lt;&gt;"",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396" spans="1:46" x14ac:dyDescent="0.25">
      <c r="A396" s="518"/>
      <c r="B396" s="504"/>
      <c r="C396" s="107" t="str">
        <f>IF(AND(ISNUMBER(B393), OR('Cost Inputs'!$H$108&lt;&gt;"", 'Cost Inputs'!$I$108&lt;&gt;"", 'Cost Inputs'!$J$108&lt;&gt;"")), _4_3_2, "")</f>
        <v/>
      </c>
      <c r="D396" s="93" t="str">
        <f>IF(AND(C396&lt;&gt;"", 'Cost Inputs'!$G$108&lt;&gt;""), 'Cost Inputs'!$G$108, "")</f>
        <v/>
      </c>
      <c r="E396" s="93" t="str">
        <f>IF(AND(C396&lt;&gt;"", 'Cost Inputs'!$H$108&lt;&gt;""), 'Cost Inputs'!$H$108, "")</f>
        <v/>
      </c>
      <c r="F396" s="93" t="str">
        <f>IF(AND(C396&lt;&gt;"", 'Cost Inputs'!$I$108&lt;&gt;""), 'Cost Inputs'!$I$108, "")</f>
        <v/>
      </c>
      <c r="G396" s="108" t="str">
        <f t="shared" si="63"/>
        <v/>
      </c>
      <c r="H396" s="93" t="str">
        <f>IF(AND(C396&lt;&gt;"", 'Cost Inputs'!$J$108&lt;&gt;""), 'Cost Inputs'!$J$108, "")</f>
        <v/>
      </c>
      <c r="I396" s="93" t="str">
        <f t="shared" si="120"/>
        <v/>
      </c>
      <c r="J396" s="93" t="str">
        <f>IF(AND(C396&lt;&gt;"",('Cost Inputs'!$I$108+'Cost Inputs'!$J$108+'Cost Inputs'!$K$108)&gt;0), 'Cost Inputs'!$I$108+'Cost Inputs'!$J$108+'Cost Inputs'!$K$108, "")</f>
        <v/>
      </c>
      <c r="K396" s="93" t="str">
        <f t="shared" si="121"/>
        <v/>
      </c>
      <c r="L396" s="525"/>
      <c r="M396" s="525"/>
      <c r="S396" s="93" t="str">
        <f t="shared" si="122"/>
        <v/>
      </c>
      <c r="T396" s="93" t="str">
        <f t="shared" si="123"/>
        <v/>
      </c>
      <c r="U396" s="93" t="str">
        <f t="shared" si="124"/>
        <v/>
      </c>
      <c r="V396" s="93" t="str">
        <f t="shared" si="125"/>
        <v/>
      </c>
      <c r="W396" s="93" t="str">
        <f t="shared" si="126"/>
        <v/>
      </c>
      <c r="X396" s="93" t="str">
        <f t="shared" si="127"/>
        <v/>
      </c>
      <c r="Y396" s="93" t="str">
        <f t="shared" si="128"/>
        <v/>
      </c>
      <c r="Z396" s="93" t="str">
        <f t="shared" si="129"/>
        <v/>
      </c>
      <c r="AA396" s="93" t="str">
        <f t="shared" si="130"/>
        <v/>
      </c>
      <c r="AB396" s="93" t="str">
        <f t="shared" si="131"/>
        <v/>
      </c>
      <c r="AC396" s="93" t="str">
        <f t="shared" si="132"/>
        <v/>
      </c>
      <c r="AD396" s="93" t="str">
        <f t="shared" si="133"/>
        <v/>
      </c>
      <c r="AE396" s="93" t="str">
        <f t="shared" si="134"/>
        <v/>
      </c>
      <c r="AF396" s="93" t="str">
        <f t="shared" si="135"/>
        <v/>
      </c>
      <c r="AG396" s="93" t="str">
        <f t="shared" si="136"/>
        <v/>
      </c>
      <c r="AH396" s="93" t="str">
        <f t="shared" si="137"/>
        <v/>
      </c>
      <c r="AI396" s="93" t="str">
        <f t="shared" si="138"/>
        <v/>
      </c>
      <c r="AJ396" s="93" t="str">
        <f t="shared" si="139"/>
        <v/>
      </c>
      <c r="AK396" s="93" t="str">
        <f t="shared" si="140"/>
        <v/>
      </c>
      <c r="AL396" s="93" t="str">
        <f t="shared" si="141"/>
        <v/>
      </c>
      <c r="AM396" s="93" t="str">
        <f t="shared" si="142"/>
        <v/>
      </c>
      <c r="AN396" s="93" t="str">
        <f t="shared" si="143"/>
        <v/>
      </c>
      <c r="AO396" s="93" t="str">
        <f t="shared" si="144"/>
        <v/>
      </c>
      <c r="AP396" s="93" t="str">
        <f t="shared" si="145"/>
        <v/>
      </c>
      <c r="AQ396" s="93" t="str">
        <f t="shared" si="146"/>
        <v/>
      </c>
      <c r="AR396" s="93" t="str">
        <f t="shared" si="147"/>
        <v/>
      </c>
      <c r="AS396" s="93" t="str">
        <f t="shared" si="148"/>
        <v/>
      </c>
      <c r="AT396" s="93" t="str">
        <f t="shared" si="149"/>
        <v/>
      </c>
    </row>
    <row r="397" spans="1:46" x14ac:dyDescent="0.25">
      <c r="A397" s="518"/>
      <c r="B397" s="504"/>
      <c r="C397" s="110" t="str">
        <f>IF(ISNUMBER(B393), _4_4_0, "")</f>
        <v/>
      </c>
      <c r="D397" s="94" t="str">
        <f>IF(AND(C397&lt;&gt;"", 'Cost Inputs'!$G$109&lt;&gt;""), 'Cost Inputs'!$G$109, "")</f>
        <v/>
      </c>
      <c r="E397" s="94" t="str">
        <f>IF(AND(C397&lt;&gt;"", 'Cost Inputs'!$H$109&lt;&gt;""), 'Cost Inputs'!$H$109, "")</f>
        <v/>
      </c>
      <c r="F397" s="94" t="str">
        <f>IF(AND(C397&lt;&gt;"", 'Cost Inputs'!$I$109&lt;&gt;""), 'Cost Inputs'!$I$109, "")</f>
        <v/>
      </c>
      <c r="G397" s="102" t="str">
        <f t="shared" si="63"/>
        <v/>
      </c>
      <c r="H397" s="102" t="str">
        <f>IF(AND(C397&lt;&gt;"", 'Cost Inputs'!$J$109&lt;&gt;""), 'Cost Inputs'!$J$109, "")</f>
        <v/>
      </c>
      <c r="I397" s="102" t="str">
        <f t="shared" si="120"/>
        <v/>
      </c>
      <c r="J397" s="102" t="str">
        <f>IF(AND(C397&lt;&gt;"",('Cost Inputs'!$I$109+'Cost Inputs'!$J$109+'Cost Inputs'!$K$109)&gt;0), 'Cost Inputs'!$I$109+'Cost Inputs'!$J$109+'Cost Inputs'!$K$109, "")</f>
        <v/>
      </c>
      <c r="K397" s="102" t="str">
        <f t="shared" si="121"/>
        <v/>
      </c>
      <c r="L397" s="525"/>
      <c r="M397" s="525"/>
      <c r="S397" s="102" t="str">
        <f t="shared" si="122"/>
        <v/>
      </c>
      <c r="T397" s="102" t="str">
        <f t="shared" si="123"/>
        <v/>
      </c>
      <c r="U397" s="102" t="str">
        <f t="shared" si="124"/>
        <v/>
      </c>
      <c r="V397" s="102" t="str">
        <f t="shared" si="125"/>
        <v/>
      </c>
      <c r="W397" s="102" t="str">
        <f t="shared" si="126"/>
        <v/>
      </c>
      <c r="X397" s="102" t="str">
        <f t="shared" si="127"/>
        <v/>
      </c>
      <c r="Y397" s="102" t="str">
        <f t="shared" si="128"/>
        <v/>
      </c>
      <c r="Z397" s="102" t="str">
        <f t="shared" si="129"/>
        <v/>
      </c>
      <c r="AA397" s="102" t="str">
        <f t="shared" si="130"/>
        <v/>
      </c>
      <c r="AB397" s="102" t="str">
        <f t="shared" si="131"/>
        <v/>
      </c>
      <c r="AC397" s="102" t="str">
        <f t="shared" si="132"/>
        <v/>
      </c>
      <c r="AD397" s="102" t="str">
        <f t="shared" si="133"/>
        <v/>
      </c>
      <c r="AE397" s="102" t="str">
        <f t="shared" si="134"/>
        <v/>
      </c>
      <c r="AF397" s="102" t="str">
        <f t="shared" si="135"/>
        <v/>
      </c>
      <c r="AG397" s="102" t="str">
        <f t="shared" si="136"/>
        <v/>
      </c>
      <c r="AH397" s="102" t="str">
        <f t="shared" si="137"/>
        <v/>
      </c>
      <c r="AI397" s="102" t="str">
        <f t="shared" si="138"/>
        <v/>
      </c>
      <c r="AJ397" s="102" t="str">
        <f t="shared" si="139"/>
        <v/>
      </c>
      <c r="AK397" s="102" t="str">
        <f t="shared" si="140"/>
        <v/>
      </c>
      <c r="AL397" s="102" t="str">
        <f t="shared" si="141"/>
        <v/>
      </c>
      <c r="AM397" s="102" t="str">
        <f t="shared" si="142"/>
        <v/>
      </c>
      <c r="AN397" s="102" t="str">
        <f t="shared" si="143"/>
        <v/>
      </c>
      <c r="AO397" s="102" t="str">
        <f t="shared" si="144"/>
        <v/>
      </c>
      <c r="AP397" s="102" t="str">
        <f t="shared" si="145"/>
        <v/>
      </c>
      <c r="AQ397" s="102" t="str">
        <f t="shared" si="146"/>
        <v/>
      </c>
      <c r="AR397" s="102" t="str">
        <f t="shared" si="147"/>
        <v/>
      </c>
      <c r="AS397" s="102" t="str">
        <f t="shared" si="148"/>
        <v/>
      </c>
      <c r="AT397" s="102" t="str">
        <f t="shared" si="149"/>
        <v/>
      </c>
    </row>
    <row r="398" spans="1:46" x14ac:dyDescent="0.25">
      <c r="A398" s="518"/>
      <c r="B398" s="504"/>
      <c r="C398" s="104" t="str">
        <f>IF(AND(ISNUMBER(B393), OR('Cost Inputs'!$H$110&lt;&gt;"", 'Cost Inputs'!$I$110&lt;&gt;"", 'Cost Inputs'!$J$110&lt;&gt;"")), _4_4_1, "")</f>
        <v/>
      </c>
      <c r="D398" s="17" t="str">
        <f>IF(AND(C398&lt;&gt;"", 'Cost Inputs'!$G$110&lt;&gt;""), 'Cost Inputs'!$G$110, "")</f>
        <v/>
      </c>
      <c r="E398" s="17" t="str">
        <f>IF(AND(C398&lt;&gt;"", 'Cost Inputs'!$H$110&lt;&gt;""), 'Cost Inputs'!$H$110, "")</f>
        <v/>
      </c>
      <c r="F398" s="17" t="str">
        <f>IF(AND(C398&lt;&gt;"", 'Cost Inputs'!$I$110&lt;&gt;""), 'Cost Inputs'!$I$110, "")</f>
        <v/>
      </c>
      <c r="G398" s="105" t="str">
        <f t="shared" si="63"/>
        <v/>
      </c>
      <c r="H398" s="17" t="str">
        <f>IF(AND(C398&lt;&gt;"", 'Cost Inputs'!$J$110&lt;&gt;""), 'Cost Inputs'!$J$110, "")</f>
        <v/>
      </c>
      <c r="I398" s="17" t="str">
        <f t="shared" si="120"/>
        <v/>
      </c>
      <c r="J398" s="17" t="str">
        <f>IF(AND(C398&lt;&gt;"",('Cost Inputs'!$I$110+'Cost Inputs'!$J$110+'Cost Inputs'!$K$110)&gt;0), 'Cost Inputs'!$I$110+'Cost Inputs'!$J$110+'Cost Inputs'!$K$110, "")</f>
        <v/>
      </c>
      <c r="K398" s="17" t="str">
        <f t="shared" si="121"/>
        <v/>
      </c>
      <c r="L398" s="525"/>
      <c r="M398" s="525"/>
      <c r="S398" s="17" t="str">
        <f t="shared" si="122"/>
        <v/>
      </c>
      <c r="T398" s="17" t="str">
        <f t="shared" si="123"/>
        <v/>
      </c>
      <c r="U398" s="17" t="str">
        <f t="shared" si="124"/>
        <v/>
      </c>
      <c r="V398" s="17" t="str">
        <f t="shared" si="125"/>
        <v/>
      </c>
      <c r="W398" s="17" t="str">
        <f t="shared" si="126"/>
        <v/>
      </c>
      <c r="X398" s="17" t="str">
        <f t="shared" si="127"/>
        <v/>
      </c>
      <c r="Y398" s="17" t="str">
        <f t="shared" si="128"/>
        <v/>
      </c>
      <c r="Z398" s="17" t="str">
        <f t="shared" si="129"/>
        <v/>
      </c>
      <c r="AA398" s="17" t="str">
        <f t="shared" si="130"/>
        <v/>
      </c>
      <c r="AB398" s="17" t="str">
        <f t="shared" si="131"/>
        <v/>
      </c>
      <c r="AC398" s="17" t="str">
        <f t="shared" si="132"/>
        <v/>
      </c>
      <c r="AD398" s="17" t="str">
        <f t="shared" si="133"/>
        <v/>
      </c>
      <c r="AE398" s="17" t="str">
        <f t="shared" si="134"/>
        <v/>
      </c>
      <c r="AF398" s="17" t="str">
        <f t="shared" si="135"/>
        <v/>
      </c>
      <c r="AG398" s="17" t="str">
        <f t="shared" si="136"/>
        <v/>
      </c>
      <c r="AH398" s="17" t="str">
        <f t="shared" si="137"/>
        <v/>
      </c>
      <c r="AI398" s="17" t="str">
        <f t="shared" si="138"/>
        <v/>
      </c>
      <c r="AJ398" s="17" t="str">
        <f t="shared" si="139"/>
        <v/>
      </c>
      <c r="AK398" s="17" t="str">
        <f t="shared" si="140"/>
        <v/>
      </c>
      <c r="AL398" s="17" t="str">
        <f t="shared" si="141"/>
        <v/>
      </c>
      <c r="AM398" s="17" t="str">
        <f t="shared" si="142"/>
        <v/>
      </c>
      <c r="AN398" s="17" t="str">
        <f t="shared" si="143"/>
        <v/>
      </c>
      <c r="AO398" s="17" t="str">
        <f t="shared" si="144"/>
        <v/>
      </c>
      <c r="AP398" s="17" t="str">
        <f t="shared" si="145"/>
        <v/>
      </c>
      <c r="AQ398" s="17" t="str">
        <f t="shared" si="146"/>
        <v/>
      </c>
      <c r="AR398" s="17" t="str">
        <f t="shared" si="147"/>
        <v/>
      </c>
      <c r="AS398" s="17" t="str">
        <f t="shared" si="148"/>
        <v/>
      </c>
      <c r="AT398" s="17" t="str">
        <f t="shared" si="149"/>
        <v/>
      </c>
    </row>
    <row r="399" spans="1:46" x14ac:dyDescent="0.25">
      <c r="A399" s="518"/>
      <c r="B399" s="504"/>
      <c r="C399" s="107" t="str">
        <f>IF(AND(ISNUMBER(B393), OR('Cost Inputs'!$H$111&lt;&gt;"", 'Cost Inputs'!$I$111&lt;&gt;"", 'Cost Inputs'!$J$111&lt;&gt;"")), _4_4_2, "")</f>
        <v/>
      </c>
      <c r="D399" s="93" t="str">
        <f>IF(AND(C399&lt;&gt;"", 'Cost Inputs'!$G$111&lt;&gt;""), 'Cost Inputs'!$G$111, "")</f>
        <v/>
      </c>
      <c r="E399" s="93" t="str">
        <f>IF(AND(C399&lt;&gt;"", 'Cost Inputs'!$H$111&lt;&gt;""), 'Cost Inputs'!$H$111, "")</f>
        <v/>
      </c>
      <c r="F399" s="93" t="str">
        <f>IF(AND(C399&lt;&gt;"", 'Cost Inputs'!$I$111&lt;&gt;""), 'Cost Inputs'!$I$111, "")</f>
        <v/>
      </c>
      <c r="G399" s="108" t="str">
        <f t="shared" si="63"/>
        <v/>
      </c>
      <c r="H399" s="93" t="str">
        <f>IF(AND(C399&lt;&gt;"", 'Cost Inputs'!$J$111&lt;&gt;""), 'Cost Inputs'!$J$111, "")</f>
        <v/>
      </c>
      <c r="I399" s="93" t="str">
        <f t="shared" si="120"/>
        <v/>
      </c>
      <c r="J399" s="93" t="str">
        <f>IF(AND(C399&lt;&gt;"",('Cost Inputs'!$I$111+'Cost Inputs'!$J$111+'Cost Inputs'!$K$111)&gt;0), 'Cost Inputs'!$I$111+'Cost Inputs'!$J$111+'Cost Inputs'!$K$111, "")</f>
        <v/>
      </c>
      <c r="K399" s="93" t="str">
        <f t="shared" si="121"/>
        <v/>
      </c>
      <c r="L399" s="525"/>
      <c r="M399" s="525"/>
      <c r="S399" s="93" t="str">
        <f t="shared" si="122"/>
        <v/>
      </c>
      <c r="T399" s="93" t="str">
        <f t="shared" si="123"/>
        <v/>
      </c>
      <c r="U399" s="93" t="str">
        <f t="shared" si="124"/>
        <v/>
      </c>
      <c r="V399" s="93" t="str">
        <f t="shared" si="125"/>
        <v/>
      </c>
      <c r="W399" s="93" t="str">
        <f t="shared" si="126"/>
        <v/>
      </c>
      <c r="X399" s="93" t="str">
        <f t="shared" si="127"/>
        <v/>
      </c>
      <c r="Y399" s="93" t="str">
        <f t="shared" si="128"/>
        <v/>
      </c>
      <c r="Z399" s="93" t="str">
        <f t="shared" si="129"/>
        <v/>
      </c>
      <c r="AA399" s="93" t="str">
        <f t="shared" si="130"/>
        <v/>
      </c>
      <c r="AB399" s="93" t="str">
        <f t="shared" si="131"/>
        <v/>
      </c>
      <c r="AC399" s="93" t="str">
        <f t="shared" si="132"/>
        <v/>
      </c>
      <c r="AD399" s="93" t="str">
        <f t="shared" si="133"/>
        <v/>
      </c>
      <c r="AE399" s="93" t="str">
        <f t="shared" si="134"/>
        <v/>
      </c>
      <c r="AF399" s="93" t="str">
        <f t="shared" si="135"/>
        <v/>
      </c>
      <c r="AG399" s="93" t="str">
        <f t="shared" si="136"/>
        <v/>
      </c>
      <c r="AH399" s="93" t="str">
        <f t="shared" si="137"/>
        <v/>
      </c>
      <c r="AI399" s="93" t="str">
        <f t="shared" si="138"/>
        <v/>
      </c>
      <c r="AJ399" s="93" t="str">
        <f t="shared" si="139"/>
        <v/>
      </c>
      <c r="AK399" s="93" t="str">
        <f t="shared" si="140"/>
        <v/>
      </c>
      <c r="AL399" s="93" t="str">
        <f t="shared" si="141"/>
        <v/>
      </c>
      <c r="AM399" s="93" t="str">
        <f t="shared" si="142"/>
        <v/>
      </c>
      <c r="AN399" s="93" t="str">
        <f t="shared" si="143"/>
        <v/>
      </c>
      <c r="AO399" s="93" t="str">
        <f t="shared" si="144"/>
        <v/>
      </c>
      <c r="AP399" s="93" t="str">
        <f t="shared" si="145"/>
        <v/>
      </c>
      <c r="AQ399" s="93" t="str">
        <f t="shared" si="146"/>
        <v/>
      </c>
      <c r="AR399" s="93" t="str">
        <f t="shared" si="147"/>
        <v/>
      </c>
      <c r="AS399" s="93" t="str">
        <f t="shared" si="148"/>
        <v/>
      </c>
      <c r="AT399" s="93" t="str">
        <f t="shared" si="149"/>
        <v/>
      </c>
    </row>
    <row r="400" spans="1:46" x14ac:dyDescent="0.25">
      <c r="A400" s="518"/>
      <c r="B400" s="504"/>
      <c r="C400" s="104" t="str">
        <f>IF(AND(ISNUMBER(B393), OR('Cost Inputs'!$H$112&lt;&gt;"", 'Cost Inputs'!$I$112&lt;&gt;"", 'Cost Inputs'!$J$112&lt;&gt;"")), _4_4_3, "")</f>
        <v/>
      </c>
      <c r="D400" s="17" t="str">
        <f>IF(AND(C400&lt;&gt;"", 'Cost Inputs'!$G$112&lt;&gt;""), 'Cost Inputs'!$G$112, "")</f>
        <v/>
      </c>
      <c r="E400" s="17" t="str">
        <f>IF(AND(C400&lt;&gt;"", 'Cost Inputs'!$H$112&lt;&gt;""), 'Cost Inputs'!$H$112, "")</f>
        <v/>
      </c>
      <c r="F400" s="17" t="str">
        <f>IF(AND(C400&lt;&gt;"", 'Cost Inputs'!$I$112&lt;&gt;""), 'Cost Inputs'!$I$112, "")</f>
        <v/>
      </c>
      <c r="G400" s="105" t="str">
        <f t="shared" si="63"/>
        <v/>
      </c>
      <c r="H400" s="17" t="str">
        <f>IF(AND(C400&lt;&gt;"", 'Cost Inputs'!$J$112&lt;&gt;""), 'Cost Inputs'!$J$112, "")</f>
        <v/>
      </c>
      <c r="I400" s="17" t="str">
        <f t="shared" si="120"/>
        <v/>
      </c>
      <c r="J400" s="17" t="str">
        <f>IF(AND(C400&lt;&gt;"",('Cost Inputs'!$I$112+'Cost Inputs'!$J$112+'Cost Inputs'!$K$112)&gt;0), 'Cost Inputs'!$I$112+'Cost Inputs'!$J$112+'Cost Inputs'!$K$112, "")</f>
        <v/>
      </c>
      <c r="K400" s="17" t="str">
        <f t="shared" si="121"/>
        <v/>
      </c>
      <c r="L400" s="525"/>
      <c r="M400" s="525"/>
      <c r="S400" s="17" t="str">
        <f t="shared" si="122"/>
        <v/>
      </c>
      <c r="T400" s="17" t="str">
        <f t="shared" si="123"/>
        <v/>
      </c>
      <c r="U400" s="17" t="str">
        <f t="shared" si="124"/>
        <v/>
      </c>
      <c r="V400" s="17" t="str">
        <f t="shared" si="125"/>
        <v/>
      </c>
      <c r="W400" s="17" t="str">
        <f t="shared" si="126"/>
        <v/>
      </c>
      <c r="X400" s="17" t="str">
        <f t="shared" si="127"/>
        <v/>
      </c>
      <c r="Y400" s="17" t="str">
        <f t="shared" si="128"/>
        <v/>
      </c>
      <c r="Z400" s="17" t="str">
        <f t="shared" si="129"/>
        <v/>
      </c>
      <c r="AA400" s="17" t="str">
        <f t="shared" si="130"/>
        <v/>
      </c>
      <c r="AB400" s="17" t="str">
        <f t="shared" si="131"/>
        <v/>
      </c>
      <c r="AC400" s="17" t="str">
        <f t="shared" si="132"/>
        <v/>
      </c>
      <c r="AD400" s="17" t="str">
        <f t="shared" si="133"/>
        <v/>
      </c>
      <c r="AE400" s="17" t="str">
        <f t="shared" si="134"/>
        <v/>
      </c>
      <c r="AF400" s="17" t="str">
        <f t="shared" si="135"/>
        <v/>
      </c>
      <c r="AG400" s="17" t="str">
        <f t="shared" si="136"/>
        <v/>
      </c>
      <c r="AH400" s="17" t="str">
        <f t="shared" si="137"/>
        <v/>
      </c>
      <c r="AI400" s="17" t="str">
        <f t="shared" si="138"/>
        <v/>
      </c>
      <c r="AJ400" s="17" t="str">
        <f t="shared" si="139"/>
        <v/>
      </c>
      <c r="AK400" s="17" t="str">
        <f t="shared" si="140"/>
        <v/>
      </c>
      <c r="AL400" s="17" t="str">
        <f t="shared" si="141"/>
        <v/>
      </c>
      <c r="AM400" s="17" t="str">
        <f t="shared" si="142"/>
        <v/>
      </c>
      <c r="AN400" s="17" t="str">
        <f t="shared" si="143"/>
        <v/>
      </c>
      <c r="AO400" s="17" t="str">
        <f t="shared" si="144"/>
        <v/>
      </c>
      <c r="AP400" s="17" t="str">
        <f t="shared" si="145"/>
        <v/>
      </c>
      <c r="AQ400" s="17" t="str">
        <f t="shared" si="146"/>
        <v/>
      </c>
      <c r="AR400" s="17" t="str">
        <f t="shared" si="147"/>
        <v/>
      </c>
      <c r="AS400" s="17" t="str">
        <f t="shared" si="148"/>
        <v/>
      </c>
      <c r="AT400" s="17" t="str">
        <f t="shared" si="149"/>
        <v/>
      </c>
    </row>
    <row r="401" spans="1:46" x14ac:dyDescent="0.25">
      <c r="A401" s="518"/>
      <c r="B401" s="504"/>
      <c r="C401" s="107" t="str">
        <f>IF(AND(ISNUMBER(B393), OR('Cost Inputs'!$H$113&lt;&gt;"", 'Cost Inputs'!$I$113&lt;&gt;"", 'Cost Inputs'!$J$113&lt;&gt;"")), _4_4_4, "")</f>
        <v/>
      </c>
      <c r="D401" s="93" t="str">
        <f>IF(AND(C401&lt;&gt;"", 'Cost Inputs'!$G$113&lt;&gt;""), 'Cost Inputs'!$G$113, "")</f>
        <v/>
      </c>
      <c r="E401" s="93" t="str">
        <f>IF(AND(C401&lt;&gt;"", 'Cost Inputs'!$H$113&lt;&gt;""), 'Cost Inputs'!$H$113, "")</f>
        <v/>
      </c>
      <c r="F401" s="93" t="str">
        <f>IF(AND(C401&lt;&gt;"", 'Cost Inputs'!$I$113&lt;&gt;""), 'Cost Inputs'!$I$113, "")</f>
        <v/>
      </c>
      <c r="G401" s="108" t="str">
        <f t="shared" si="63"/>
        <v/>
      </c>
      <c r="H401" s="93" t="str">
        <f>IF(AND(C401&lt;&gt;"", 'Cost Inputs'!$J$113&lt;&gt;""), 'Cost Inputs'!$J$113, "")</f>
        <v/>
      </c>
      <c r="I401" s="93" t="str">
        <f t="shared" si="120"/>
        <v/>
      </c>
      <c r="J401" s="93" t="str">
        <f>IF(AND(C401&lt;&gt;"",('Cost Inputs'!$I$113+'Cost Inputs'!$J$113+'Cost Inputs'!$K$113)&gt;0), 'Cost Inputs'!$I$113+'Cost Inputs'!$J$113+'Cost Inputs'!$K$113, "")</f>
        <v/>
      </c>
      <c r="K401" s="93" t="str">
        <f t="shared" si="121"/>
        <v/>
      </c>
      <c r="L401" s="525"/>
      <c r="M401" s="525"/>
      <c r="S401" s="93" t="str">
        <f t="shared" si="122"/>
        <v/>
      </c>
      <c r="T401" s="93" t="str">
        <f t="shared" si="123"/>
        <v/>
      </c>
      <c r="U401" s="93" t="str">
        <f t="shared" si="124"/>
        <v/>
      </c>
      <c r="V401" s="93" t="str">
        <f t="shared" si="125"/>
        <v/>
      </c>
      <c r="W401" s="93" t="str">
        <f t="shared" si="126"/>
        <v/>
      </c>
      <c r="X401" s="93" t="str">
        <f t="shared" si="127"/>
        <v/>
      </c>
      <c r="Y401" s="93" t="str">
        <f t="shared" si="128"/>
        <v/>
      </c>
      <c r="Z401" s="93" t="str">
        <f t="shared" si="129"/>
        <v/>
      </c>
      <c r="AA401" s="93" t="str">
        <f t="shared" si="130"/>
        <v/>
      </c>
      <c r="AB401" s="93" t="str">
        <f t="shared" si="131"/>
        <v/>
      </c>
      <c r="AC401" s="93" t="str">
        <f t="shared" si="132"/>
        <v/>
      </c>
      <c r="AD401" s="93" t="str">
        <f t="shared" si="133"/>
        <v/>
      </c>
      <c r="AE401" s="93" t="str">
        <f t="shared" si="134"/>
        <v/>
      </c>
      <c r="AF401" s="93" t="str">
        <f t="shared" si="135"/>
        <v/>
      </c>
      <c r="AG401" s="93" t="str">
        <f t="shared" si="136"/>
        <v/>
      </c>
      <c r="AH401" s="93" t="str">
        <f t="shared" si="137"/>
        <v/>
      </c>
      <c r="AI401" s="93" t="str">
        <f t="shared" si="138"/>
        <v/>
      </c>
      <c r="AJ401" s="93" t="str">
        <f t="shared" si="139"/>
        <v/>
      </c>
      <c r="AK401" s="93" t="str">
        <f t="shared" si="140"/>
        <v/>
      </c>
      <c r="AL401" s="93" t="str">
        <f t="shared" si="141"/>
        <v/>
      </c>
      <c r="AM401" s="93" t="str">
        <f t="shared" si="142"/>
        <v/>
      </c>
      <c r="AN401" s="93" t="str">
        <f t="shared" si="143"/>
        <v/>
      </c>
      <c r="AO401" s="93" t="str">
        <f t="shared" si="144"/>
        <v/>
      </c>
      <c r="AP401" s="93" t="str">
        <f t="shared" si="145"/>
        <v/>
      </c>
      <c r="AQ401" s="93" t="str">
        <f t="shared" si="146"/>
        <v/>
      </c>
      <c r="AR401" s="93" t="str">
        <f t="shared" si="147"/>
        <v/>
      </c>
      <c r="AS401" s="93" t="str">
        <f t="shared" si="148"/>
        <v/>
      </c>
      <c r="AT401" s="93" t="str">
        <f t="shared" si="149"/>
        <v/>
      </c>
    </row>
    <row r="402" spans="1:46" x14ac:dyDescent="0.25">
      <c r="A402" s="518"/>
      <c r="B402" s="504"/>
      <c r="C402" s="104" t="str">
        <f>IF(AND(ISNUMBER(B393), OR('Cost Inputs'!$H$114&lt;&gt;"", 'Cost Inputs'!$I$114&lt;&gt;"", 'Cost Inputs'!$J$114&lt;&gt;"")), _4_4_5, "")</f>
        <v/>
      </c>
      <c r="D402" s="17" t="str">
        <f>IF(AND(C402&lt;&gt;"", 'Cost Inputs'!$G$114&lt;&gt;""), 'Cost Inputs'!$G$114, "")</f>
        <v/>
      </c>
      <c r="E402" s="17" t="str">
        <f>IF(AND(C402&lt;&gt;"", 'Cost Inputs'!$H$114&lt;&gt;""), 'Cost Inputs'!$H$114, "")</f>
        <v/>
      </c>
      <c r="F402" s="17" t="str">
        <f>IF(AND(C402&lt;&gt;"", 'Cost Inputs'!$I$114&lt;&gt;""), 'Cost Inputs'!$I$114, "")</f>
        <v/>
      </c>
      <c r="G402" s="105" t="str">
        <f t="shared" si="63"/>
        <v/>
      </c>
      <c r="H402" s="17" t="str">
        <f>IF(AND(C402&lt;&gt;"", 'Cost Inputs'!$J$114&lt;&gt;""), 'Cost Inputs'!$J$114, "")</f>
        <v/>
      </c>
      <c r="I402" s="17" t="str">
        <f t="shared" si="120"/>
        <v/>
      </c>
      <c r="J402" s="17" t="str">
        <f>IF(AND(C402&lt;&gt;"",('Cost Inputs'!$I$114+'Cost Inputs'!$J$114+'Cost Inputs'!$K$114)&gt;0), 'Cost Inputs'!$I$114+'Cost Inputs'!$J$114+'Cost Inputs'!$K$114, "")</f>
        <v/>
      </c>
      <c r="K402" s="17" t="str">
        <f t="shared" si="121"/>
        <v/>
      </c>
      <c r="L402" s="525"/>
      <c r="M402" s="525"/>
      <c r="S402" s="17" t="str">
        <f t="shared" si="122"/>
        <v/>
      </c>
      <c r="T402" s="17" t="str">
        <f t="shared" si="123"/>
        <v/>
      </c>
      <c r="U402" s="17" t="str">
        <f t="shared" si="124"/>
        <v/>
      </c>
      <c r="V402" s="17" t="str">
        <f t="shared" si="125"/>
        <v/>
      </c>
      <c r="W402" s="17" t="str">
        <f t="shared" si="126"/>
        <v/>
      </c>
      <c r="X402" s="17" t="str">
        <f t="shared" si="127"/>
        <v/>
      </c>
      <c r="Y402" s="17" t="str">
        <f t="shared" si="128"/>
        <v/>
      </c>
      <c r="Z402" s="17" t="str">
        <f t="shared" si="129"/>
        <v/>
      </c>
      <c r="AA402" s="17" t="str">
        <f t="shared" si="130"/>
        <v/>
      </c>
      <c r="AB402" s="17" t="str">
        <f t="shared" si="131"/>
        <v/>
      </c>
      <c r="AC402" s="17" t="str">
        <f t="shared" si="132"/>
        <v/>
      </c>
      <c r="AD402" s="17" t="str">
        <f t="shared" si="133"/>
        <v/>
      </c>
      <c r="AE402" s="17" t="str">
        <f t="shared" si="134"/>
        <v/>
      </c>
      <c r="AF402" s="17" t="str">
        <f t="shared" si="135"/>
        <v/>
      </c>
      <c r="AG402" s="17" t="str">
        <f t="shared" si="136"/>
        <v/>
      </c>
      <c r="AH402" s="17" t="str">
        <f t="shared" si="137"/>
        <v/>
      </c>
      <c r="AI402" s="17" t="str">
        <f t="shared" si="138"/>
        <v/>
      </c>
      <c r="AJ402" s="17" t="str">
        <f t="shared" si="139"/>
        <v/>
      </c>
      <c r="AK402" s="17" t="str">
        <f t="shared" si="140"/>
        <v/>
      </c>
      <c r="AL402" s="17" t="str">
        <f t="shared" si="141"/>
        <v/>
      </c>
      <c r="AM402" s="17" t="str">
        <f t="shared" si="142"/>
        <v/>
      </c>
      <c r="AN402" s="17" t="str">
        <f t="shared" si="143"/>
        <v/>
      </c>
      <c r="AO402" s="17" t="str">
        <f t="shared" si="144"/>
        <v/>
      </c>
      <c r="AP402" s="17" t="str">
        <f t="shared" si="145"/>
        <v/>
      </c>
      <c r="AQ402" s="17" t="str">
        <f t="shared" si="146"/>
        <v/>
      </c>
      <c r="AR402" s="17" t="str">
        <f t="shared" si="147"/>
        <v/>
      </c>
      <c r="AS402" s="17" t="str">
        <f t="shared" si="148"/>
        <v/>
      </c>
      <c r="AT402" s="17" t="str">
        <f t="shared" si="149"/>
        <v/>
      </c>
    </row>
    <row r="403" spans="1:46" x14ac:dyDescent="0.25">
      <c r="A403" s="518"/>
      <c r="B403" s="504"/>
      <c r="C403" s="107" t="str">
        <f>IF(AND(ISNUMBER(B393), OR('Cost Inputs'!$H$115&lt;&gt;"", 'Cost Inputs'!$I$115&lt;&gt;"", 'Cost Inputs'!$J$115&lt;&gt;"")), _4_4_6, "")</f>
        <v/>
      </c>
      <c r="D403" s="93" t="str">
        <f>IF(AND(C403&lt;&gt;"", 'Cost Inputs'!$G$115&lt;&gt;""), 'Cost Inputs'!$G$115, "")</f>
        <v/>
      </c>
      <c r="E403" s="93" t="str">
        <f>IF(AND(C403&lt;&gt;"", 'Cost Inputs'!$H$115&lt;&gt;""), 'Cost Inputs'!$H$115, "")</f>
        <v/>
      </c>
      <c r="F403" s="93" t="str">
        <f>IF(AND(C403&lt;&gt;"", 'Cost Inputs'!$I$115&lt;&gt;""), 'Cost Inputs'!$I$115, "")</f>
        <v/>
      </c>
      <c r="G403" s="108" t="str">
        <f t="shared" si="63"/>
        <v/>
      </c>
      <c r="H403" s="93" t="str">
        <f>IF(AND(C403&lt;&gt;"", 'Cost Inputs'!$J$115&lt;&gt;""), 'Cost Inputs'!$J$115, "")</f>
        <v/>
      </c>
      <c r="I403" s="93" t="str">
        <f t="shared" si="120"/>
        <v/>
      </c>
      <c r="J403" s="93" t="str">
        <f>IF(AND(C403&lt;&gt;"",('Cost Inputs'!$I$115+'Cost Inputs'!$J$115+'Cost Inputs'!$K$115)&gt;0), 'Cost Inputs'!$I$115+'Cost Inputs'!$J$115+'Cost Inputs'!$K$115, "")</f>
        <v/>
      </c>
      <c r="K403" s="93" t="str">
        <f t="shared" si="121"/>
        <v/>
      </c>
      <c r="L403" s="525"/>
      <c r="M403" s="525"/>
      <c r="S403" s="93" t="str">
        <f t="shared" si="122"/>
        <v/>
      </c>
      <c r="T403" s="93" t="str">
        <f t="shared" si="123"/>
        <v/>
      </c>
      <c r="U403" s="93" t="str">
        <f t="shared" si="124"/>
        <v/>
      </c>
      <c r="V403" s="93" t="str">
        <f t="shared" si="125"/>
        <v/>
      </c>
      <c r="W403" s="93" t="str">
        <f t="shared" si="126"/>
        <v/>
      </c>
      <c r="X403" s="93" t="str">
        <f t="shared" si="127"/>
        <v/>
      </c>
      <c r="Y403" s="93" t="str">
        <f t="shared" si="128"/>
        <v/>
      </c>
      <c r="Z403" s="93" t="str">
        <f t="shared" si="129"/>
        <v/>
      </c>
      <c r="AA403" s="93" t="str">
        <f t="shared" si="130"/>
        <v/>
      </c>
      <c r="AB403" s="93" t="str">
        <f t="shared" si="131"/>
        <v/>
      </c>
      <c r="AC403" s="93" t="str">
        <f t="shared" si="132"/>
        <v/>
      </c>
      <c r="AD403" s="93" t="str">
        <f t="shared" si="133"/>
        <v/>
      </c>
      <c r="AE403" s="93" t="str">
        <f t="shared" si="134"/>
        <v/>
      </c>
      <c r="AF403" s="93" t="str">
        <f t="shared" si="135"/>
        <v/>
      </c>
      <c r="AG403" s="93" t="str">
        <f t="shared" si="136"/>
        <v/>
      </c>
      <c r="AH403" s="93" t="str">
        <f t="shared" si="137"/>
        <v/>
      </c>
      <c r="AI403" s="93" t="str">
        <f t="shared" si="138"/>
        <v/>
      </c>
      <c r="AJ403" s="93" t="str">
        <f t="shared" si="139"/>
        <v/>
      </c>
      <c r="AK403" s="93" t="str">
        <f t="shared" si="140"/>
        <v/>
      </c>
      <c r="AL403" s="93" t="str">
        <f t="shared" si="141"/>
        <v/>
      </c>
      <c r="AM403" s="93" t="str">
        <f t="shared" si="142"/>
        <v/>
      </c>
      <c r="AN403" s="93" t="str">
        <f t="shared" si="143"/>
        <v/>
      </c>
      <c r="AO403" s="93" t="str">
        <f t="shared" si="144"/>
        <v/>
      </c>
      <c r="AP403" s="93" t="str">
        <f t="shared" si="145"/>
        <v/>
      </c>
      <c r="AQ403" s="93" t="str">
        <f t="shared" si="146"/>
        <v/>
      </c>
      <c r="AR403" s="93" t="str">
        <f t="shared" si="147"/>
        <v/>
      </c>
      <c r="AS403" s="93" t="str">
        <f t="shared" si="148"/>
        <v/>
      </c>
      <c r="AT403" s="93" t="str">
        <f t="shared" si="149"/>
        <v/>
      </c>
    </row>
    <row r="404" spans="1:46" x14ac:dyDescent="0.25">
      <c r="A404" s="518"/>
      <c r="B404" s="504"/>
      <c r="C404" s="489" t="str">
        <f>IF('Model_ of_individuals'!C397&lt;&gt;"", "Percentage decrease in marker culling","")</f>
        <v/>
      </c>
      <c r="D404" s="490"/>
      <c r="E404" s="490"/>
      <c r="F404" s="490"/>
      <c r="G404" s="490"/>
      <c r="H404" s="490"/>
      <c r="I404" s="490"/>
      <c r="J404" s="490"/>
      <c r="K404" s="491"/>
      <c r="L404" s="525"/>
      <c r="M404" s="525"/>
      <c r="S404" s="17" t="str">
        <f>IF(OR('Breeding Inputs'!$I$17="Y",'Model_ of_individuals'!$C397&lt;&gt;""),
IF('Breeding Inputs'!$I$44="Y",
IF(OR('Breeding Inputs'!$I$45=1), 25%,
IF('Breeding Inputs'!$I$44="N",
IF('Breeding Inputs'!$I$45=1,
IF(ISNUMBER('Breeding Inputs'!$I$46),'Breeding Inputs'!$I$46,""),""),"")),""),"")</f>
        <v/>
      </c>
      <c r="T404" s="17" t="str">
        <f>IF(OR('Breeding Inputs'!$I$17="Y",'Model_ of_individuals'!$C397&lt;&gt;""),
IF('Breeding Inputs'!$I$44="Y",
IF(OR('Breeding Inputs'!$I$45=1), 25%,
IF(ISNUMBER(S404), S404,
IF('Breeding Inputs'!$I$44="N",
IF(OR('Breeding Inputs'!$I$45=1),
IF(ISNUMBER('Breeding Inputs'!$I$46),'Breeding Inputs'!$I$46,""),""),""))),""),"")</f>
        <v/>
      </c>
      <c r="U404" s="17" t="str">
        <f>IF(OR('Breeding Inputs'!$I$17="Y",'Model_ of_individuals'!$C397&lt;&gt;""),
IF('Breeding Inputs'!$I$44="Y",
IF(OR('Breeding Inputs'!$I$45=1, 'Breeding Inputs'!$I$45=2), 25%,
IF(ISNUMBER(T404), T404,
IF('Breeding Inputs'!$I$44="N",
IF(OR('Breeding Inputs'!$I$45=1, 'Breeding Inputs'!$I$45=2),
IF(ISNUMBER('Breeding Inputs'!$I$46),'Breeding Inputs'!$I$46,""),""),""))),""),"")</f>
        <v/>
      </c>
      <c r="V404" s="17" t="str">
        <f>IF(OR('Breeding Inputs'!$I$17="Y",'Model_ of_individuals'!$C397&lt;&gt;""),
IF('Breeding Inputs'!$I$44="Y",
IF(OR('Breeding Inputs'!$I$45=1, 'Breeding Inputs'!$I$45=3), 25%,
IF(ISNUMBER(U404), U404,
IF('Breeding Inputs'!$I$44="N",
IF(OR('Breeding Inputs'!$I$45=1, 'Breeding Inputs'!$I$45=3),
IF(ISNUMBER('Breeding Inputs'!$I$46),'Breeding Inputs'!$I$46,""),""),""))),""),"")</f>
        <v/>
      </c>
      <c r="W404" s="17" t="str">
        <f>IF(OR('Breeding Inputs'!$I$17="Y",'Model_ of_individuals'!$C397&lt;&gt;""),
IF('Breeding Inputs'!$I$44="Y",
IF(OR('Breeding Inputs'!$I$45=1, 'Breeding Inputs'!$I$45=2, 'Breeding Inputs'!$I$45=4), 25%,
IF(ISNUMBER(V404), V404,
IF('Breeding Inputs'!$I$44="N",
IF(OR('Breeding Inputs'!$I$45=1, 'Breeding Inputs'!$I$45=2, 'Breeding Inputs'!$I$45=4),
IF(ISNUMBER('Breeding Inputs'!$I$46),'Breeding Inputs'!$I$46,""),""),""))),""),"")</f>
        <v/>
      </c>
      <c r="X404" s="17" t="str">
        <f>IF(OR('Breeding Inputs'!$I$17="Y",'Model_ of_individuals'!$C397&lt;&gt;""),
IF('Breeding Inputs'!$I$44="Y",
IF(OR('Breeding Inputs'!$I$45=1, 'Breeding Inputs'!$I$45=5), 25%,
IF(ISNUMBER(W404), W404,
IF('Breeding Inputs'!$I$44="N",
IF(OR('Breeding Inputs'!$I$45=1, 'Breeding Inputs'!$I$45=5),
IF(ISNUMBER('Breeding Inputs'!$I$46),'Breeding Inputs'!$I$46,""),""),""))),""),"")</f>
        <v/>
      </c>
      <c r="Y404" s="17" t="str">
        <f>IF(OR('Breeding Inputs'!$I$17="Y",'Model_ of_individuals'!$C397&lt;&gt;""),
IF('Breeding Inputs'!$I$44="Y",
IF(OR('Breeding Inputs'!$I$45=1, 'Breeding Inputs'!$I$45=2, 'Breeding Inputs'!$I$45=3, 'Breeding Inputs'!$I$45=6), 25%,
IF(ISNUMBER(X404), X404,
IF('Breeding Inputs'!$I$44="N",
IF(OR('Breeding Inputs'!$I$45=1, 'Breeding Inputs'!$I$45=2, 'Breeding Inputs'!$I$45=3, 'Breeding Inputs'!$I$45=6),
IF(ISNUMBER('Breeding Inputs'!$I$46),'Breeding Inputs'!$I$46,""),""),""))),""),"")</f>
        <v/>
      </c>
      <c r="Z404" s="17" t="str">
        <f>IF(OR('Breeding Inputs'!$I$17="Y",'Model_ of_individuals'!$C397&lt;&gt;""),
IF('Breeding Inputs'!$I$44="Y",
IF(OR('Breeding Inputs'!$I$45=1, 'Breeding Inputs'!$I$45=7), 25%,
IF(ISNUMBER(Y404), Y404,
IF('Breeding Inputs'!$I$44="N",
IF(OR('Breeding Inputs'!$I$45=1, 'Breeding Inputs'!$I$45=7),
IF(ISNUMBER('Breeding Inputs'!$I$46),'Breeding Inputs'!$I$46,""),""),""))),""),"")</f>
        <v/>
      </c>
      <c r="AA404" s="17" t="str">
        <f>IF(OR('Breeding Inputs'!$I$17="Y",'Model_ of_individuals'!$C397&lt;&gt;""),
IF('Breeding Inputs'!$I$44="Y",
IF(OR('Breeding Inputs'!$I$45=1, 'Breeding Inputs'!$I$45=2, 'Breeding Inputs'!$I$45=4, 'Breeding Inputs'!$I$45=8), 25%,
IF(ISNUMBER(Z404), Z404,
IF('Breeding Inputs'!$I$44="N",
IF(OR('Breeding Inputs'!$I$45=1, 'Breeding Inputs'!$I$45=2, 'Breeding Inputs'!$I$45=4, 'Breeding Inputs'!$I$45=8),
IF(ISNUMBER('Breeding Inputs'!$I$46),'Breeding Inputs'!$I$46,""),""),""))),""),"")</f>
        <v/>
      </c>
      <c r="AB404" s="17" t="str">
        <f>IF(OR('Breeding Inputs'!$I$17="Y",'Model_ of_individuals'!$C397&lt;&gt;""),
IF('Breeding Inputs'!$I$44="Y",
IF(OR('Breeding Inputs'!$I$45=1, 'Breeding Inputs'!$I$45=3, 'Breeding Inputs'!$I$45=9), 25%,
IF(ISNUMBER(AA404), AA404,
IF('Breeding Inputs'!$I$44="N",
IF(OR('Breeding Inputs'!$I$45=1, 'Breeding Inputs'!$I$45=3, 'Breeding Inputs'!$I$45=9),
IF(ISNUMBER('Breeding Inputs'!$I$46),'Breeding Inputs'!$I$46,""),""),""))),""),"")</f>
        <v/>
      </c>
      <c r="AC404" s="17" t="str">
        <f>IF(OR('Breeding Inputs'!$I$17="Y",'Model_ of_individuals'!$C397&lt;&gt;""),
IF('Breeding Inputs'!$I$44="Y",
IF(OR('Breeding Inputs'!$I$45=1, 'Breeding Inputs'!$I$45=3, 'Breeding Inputs'!$I$45=9), 25%,
IF(ISNUMBER(AB404), AB404,
IF('Breeding Inputs'!$I$44="N",
IF(OR('Breeding Inputs'!$I$45=1, 'Breeding Inputs'!$I$45=3, 'Breeding Inputs'!$I$45=9),
IF(ISNUMBER('Breeding Inputs'!$I$46),'Breeding Inputs'!$I$46,""),""),""))),""),"")</f>
        <v/>
      </c>
      <c r="AD404" s="17" t="str">
        <f>IF(OR('Breeding Inputs'!$I$17="Y",'Model_ of_individuals'!$C397&lt;&gt;""),
IF('Breeding Inputs'!$I$44="Y",
IF(OR('Breeding Inputs'!$I$45=1, 'Breeding Inputs'!$I$45=3, 'Breeding Inputs'!$I$45=9), 25%,
IF(ISNUMBER(AC404), AC404,
IF('Breeding Inputs'!$I$44="N",
IF(OR('Breeding Inputs'!$I$45=1, 'Breeding Inputs'!$I$45=3, 'Breeding Inputs'!$I$45=9),
IF(ISNUMBER('Breeding Inputs'!$I$46),'Breeding Inputs'!$I$46,""),""),""))),""),"")</f>
        <v/>
      </c>
      <c r="AE404" s="17" t="str">
        <f>IF(OR('Breeding Inputs'!$I$17="Y",'Model_ of_individuals'!$C397&lt;&gt;""),
IF('Breeding Inputs'!$I$44="Y",
IF(OR('Breeding Inputs'!$I$45=1, 'Breeding Inputs'!$I$45=3, 'Breeding Inputs'!$I$45=9), 25%,
IF(ISNUMBER(AD404), AD404,
IF('Breeding Inputs'!$I$44="N",
IF(OR('Breeding Inputs'!$I$45=1, 'Breeding Inputs'!$I$45=3, 'Breeding Inputs'!$I$45=9),
IF(ISNUMBER('Breeding Inputs'!$I$46),'Breeding Inputs'!$I$46,""),""),""))),""),"")</f>
        <v/>
      </c>
      <c r="AF404" s="17" t="str">
        <f>IF(OR('Breeding Inputs'!$I$17="Y",'Model_ of_individuals'!$C397&lt;&gt;""),
IF('Breeding Inputs'!$I$44="Y",
IF(OR('Breeding Inputs'!$I$45=1, 'Breeding Inputs'!$I$45=3, 'Breeding Inputs'!$I$45=9), 25%,
IF(ISNUMBER(AE404), AE404,
IF('Breeding Inputs'!$I$44="N",
IF(OR('Breeding Inputs'!$I$45=1, 'Breeding Inputs'!$I$45=3, 'Breeding Inputs'!$I$45=9),
IF(ISNUMBER('Breeding Inputs'!$I$46),'Breeding Inputs'!$I$46,""),""),""))),""),"")</f>
        <v/>
      </c>
      <c r="AG404" s="17" t="str">
        <f>IF(OR('Breeding Inputs'!$I$17="Y",'Model_ of_individuals'!$C397&lt;&gt;""),
IF('Breeding Inputs'!$I$44="Y",
IF(OR('Breeding Inputs'!$I$45=1, 'Breeding Inputs'!$I$45=3, 'Breeding Inputs'!$I$45=9), 25%,
IF(ISNUMBER(AF404), AF404,
IF('Breeding Inputs'!$I$44="N",
IF(OR('Breeding Inputs'!$I$45=1, 'Breeding Inputs'!$I$45=3, 'Breeding Inputs'!$I$45=9),
IF(ISNUMBER('Breeding Inputs'!$I$46),'Breeding Inputs'!$I$46,""),""),""))),""),"")</f>
        <v/>
      </c>
      <c r="AH404" s="17" t="str">
        <f>IF(OR('Breeding Inputs'!$I$17="Y",'Model_ of_individuals'!$C397&lt;&gt;""),
IF('Breeding Inputs'!$I$44="Y",
IF(OR('Breeding Inputs'!$I$45=1, 'Breeding Inputs'!$I$45=3, 'Breeding Inputs'!$I$45=9), 25%,
IF(ISNUMBER(AG404), AG404,
IF('Breeding Inputs'!$I$44="N",
IF(OR('Breeding Inputs'!$I$45=1, 'Breeding Inputs'!$I$45=3, 'Breeding Inputs'!$I$45=9),
IF(ISNUMBER('Breeding Inputs'!$I$46),'Breeding Inputs'!$I$46,""),""),""))),""),"")</f>
        <v/>
      </c>
      <c r="AI404" s="17" t="str">
        <f>IF(OR('Breeding Inputs'!$I$17="Y",'Model_ of_individuals'!$C397&lt;&gt;""),
IF('Breeding Inputs'!$I$44="Y",
IF(OR('Breeding Inputs'!$I$45=1, 'Breeding Inputs'!$I$45=3, 'Breeding Inputs'!$I$45=9), 25%,
IF(ISNUMBER(AH404), AH404,
IF('Breeding Inputs'!$I$44="N",
IF(OR('Breeding Inputs'!$I$45=1, 'Breeding Inputs'!$I$45=3, 'Breeding Inputs'!$I$45=9),
IF(ISNUMBER('Breeding Inputs'!$I$46),'Breeding Inputs'!$I$46,""),""),""))),""),"")</f>
        <v/>
      </c>
      <c r="AJ404" s="17" t="str">
        <f>IF(OR('Breeding Inputs'!$I$17="Y",'Model_ of_individuals'!$C397&lt;&gt;""),
IF('Breeding Inputs'!$I$44="Y",
IF(OR('Breeding Inputs'!$I$45=1, 'Breeding Inputs'!$I$45=3, 'Breeding Inputs'!$I$45=9), 25%,
IF(ISNUMBER(AI404), AI404,
IF('Breeding Inputs'!$I$44="N",
IF(OR('Breeding Inputs'!$I$45=1, 'Breeding Inputs'!$I$45=3, 'Breeding Inputs'!$I$45=9),
IF(ISNUMBER('Breeding Inputs'!$I$46),'Breeding Inputs'!$I$46,""),""),""))),""),"")</f>
        <v/>
      </c>
      <c r="AK404" s="17" t="str">
        <f>IF(OR('Breeding Inputs'!$I$17="Y",'Model_ of_individuals'!$C397&lt;&gt;""),
IF('Breeding Inputs'!$I$44="Y",
IF(OR('Breeding Inputs'!$I$45=1, 'Breeding Inputs'!$I$45=3, 'Breeding Inputs'!$I$45=9), 25%,
IF(ISNUMBER(AJ404), AJ404,
IF('Breeding Inputs'!$I$44="N",
IF(OR('Breeding Inputs'!$I$45=1, 'Breeding Inputs'!$I$45=3, 'Breeding Inputs'!$I$45=9),
IF(ISNUMBER('Breeding Inputs'!$I$46),'Breeding Inputs'!$I$46,""),""),""))),""),"")</f>
        <v/>
      </c>
      <c r="AL404" s="17" t="str">
        <f>IF(OR('Breeding Inputs'!$I$17="Y",'Model_ of_individuals'!$C397&lt;&gt;""),
IF('Breeding Inputs'!$I$44="Y",
IF(OR('Breeding Inputs'!$I$45=1, 'Breeding Inputs'!$I$45=3, 'Breeding Inputs'!$I$45=9), 25%,
IF(ISNUMBER(AK404), AK404,
IF('Breeding Inputs'!$I$44="N",
IF(OR('Breeding Inputs'!$I$45=1, 'Breeding Inputs'!$I$45=3, 'Breeding Inputs'!$I$45=9),
IF(ISNUMBER('Breeding Inputs'!$I$46),'Breeding Inputs'!$I$46,""),""),""))),""),"")</f>
        <v/>
      </c>
      <c r="AM404" s="17" t="str">
        <f>IF(OR('Breeding Inputs'!$I$17="Y",'Model_ of_individuals'!$C397&lt;&gt;""),
IF('Breeding Inputs'!$I$44="Y",
IF(OR('Breeding Inputs'!$I$45=1, 'Breeding Inputs'!$I$45=3, 'Breeding Inputs'!$I$45=9), 25%,
IF(ISNUMBER(AL404), AL404,
IF('Breeding Inputs'!$I$44="N",
IF(OR('Breeding Inputs'!$I$45=1, 'Breeding Inputs'!$I$45=3, 'Breeding Inputs'!$I$45=9),
IF(ISNUMBER('Breeding Inputs'!$I$46),'Breeding Inputs'!$I$46,""),""),""))),""),"")</f>
        <v/>
      </c>
      <c r="AN404" s="17" t="str">
        <f>IF(OR('Breeding Inputs'!$I$17="Y",'Model_ of_individuals'!$C397&lt;&gt;""),
IF('Breeding Inputs'!$I$44="Y",
IF(OR('Breeding Inputs'!$I$45=1, 'Breeding Inputs'!$I$45=3, 'Breeding Inputs'!$I$45=9), 25%,
IF(ISNUMBER(AM404), AM404,
IF('Breeding Inputs'!$I$44="N",
IF(OR('Breeding Inputs'!$I$45=1, 'Breeding Inputs'!$I$45=3, 'Breeding Inputs'!$I$45=9),
IF(ISNUMBER('Breeding Inputs'!$I$46),'Breeding Inputs'!$I$46,""),""),""))),""),"")</f>
        <v/>
      </c>
      <c r="AO404" s="17" t="str">
        <f>IF(OR('Breeding Inputs'!$I$17="Y",'Model_ of_individuals'!$C397&lt;&gt;""),
IF('Breeding Inputs'!$I$44="Y",
IF(OR('Breeding Inputs'!$I$45=1, 'Breeding Inputs'!$I$45=3, 'Breeding Inputs'!$I$45=9), 25%,
IF(ISNUMBER(AN404), AN404,
IF('Breeding Inputs'!$I$44="N",
IF(OR('Breeding Inputs'!$I$45=1, 'Breeding Inputs'!$I$45=3, 'Breeding Inputs'!$I$45=9),
IF(ISNUMBER('Breeding Inputs'!$I$46),'Breeding Inputs'!$I$46,""),""),""))),""),"")</f>
        <v/>
      </c>
      <c r="AP404" s="17" t="str">
        <f>IF(OR('Breeding Inputs'!$I$17="Y",'Model_ of_individuals'!$C397&lt;&gt;""),
IF('Breeding Inputs'!$I$44="Y",
IF(OR('Breeding Inputs'!$I$45=1, 'Breeding Inputs'!$I$45=3, 'Breeding Inputs'!$I$45=9), 25%,
IF(ISNUMBER(AO404), AO404,
IF('Breeding Inputs'!$I$44="N",
IF(OR('Breeding Inputs'!$I$45=1, 'Breeding Inputs'!$I$45=3, 'Breeding Inputs'!$I$45=9),
IF(ISNUMBER('Breeding Inputs'!$I$46),'Breeding Inputs'!$I$46,""),""),""))),""),"")</f>
        <v/>
      </c>
      <c r="AQ404" s="17" t="str">
        <f>IF(OR('Breeding Inputs'!$I$17="Y",'Model_ of_individuals'!$C397&lt;&gt;""),
IF('Breeding Inputs'!$I$44="Y",
IF(OR('Breeding Inputs'!$I$45=1, 'Breeding Inputs'!$I$45=3, 'Breeding Inputs'!$I$45=9), 25%,
IF(ISNUMBER(AP404), AP404,
IF('Breeding Inputs'!$I$44="N",
IF(OR('Breeding Inputs'!$I$45=1, 'Breeding Inputs'!$I$45=3, 'Breeding Inputs'!$I$45=9),
IF(ISNUMBER('Breeding Inputs'!$I$46),'Breeding Inputs'!$I$46,""),""),""))),""),"")</f>
        <v/>
      </c>
      <c r="AR404" s="17" t="str">
        <f>IF(OR('Breeding Inputs'!$I$17="Y",'Model_ of_individuals'!$C397&lt;&gt;""),
IF('Breeding Inputs'!$I$44="Y",
IF(OR('Breeding Inputs'!$I$45=1, 'Breeding Inputs'!$I$45=3, 'Breeding Inputs'!$I$45=9), 25%,
IF(ISNUMBER(AQ404), AQ404,
IF('Breeding Inputs'!$I$44="N",
IF(OR('Breeding Inputs'!$I$45=1, 'Breeding Inputs'!$I$45=3, 'Breeding Inputs'!$I$45=9),
IF(ISNUMBER('Breeding Inputs'!$I$46),'Breeding Inputs'!$I$46,""),""),""))),""),"")</f>
        <v/>
      </c>
      <c r="AS404" s="17" t="str">
        <f>IF(OR('Breeding Inputs'!$I$17="Y",'Model_ of_individuals'!$C397&lt;&gt;""),
IF('Breeding Inputs'!$I$44="Y",
IF(OR('Breeding Inputs'!$I$45=1, 'Breeding Inputs'!$I$45=3, 'Breeding Inputs'!$I$45=9), 25%,
IF(ISNUMBER(AR404), AR404,
IF('Breeding Inputs'!$I$44="N",
IF(OR('Breeding Inputs'!$I$45=1, 'Breeding Inputs'!$I$45=3, 'Breeding Inputs'!$I$45=9),
IF(ISNUMBER('Breeding Inputs'!$I$46),'Breeding Inputs'!$I$46,""),""),""))),""),"")</f>
        <v/>
      </c>
      <c r="AT404" s="17" t="str">
        <f>IF(OR('Breeding Inputs'!$I$17="Y",'Model_ of_individuals'!$C397&lt;&gt;""),
IF('Breeding Inputs'!$I$44="Y",
IF(OR('Breeding Inputs'!$I$45=1, 'Breeding Inputs'!$I$45=3, 'Breeding Inputs'!$I$45=9), 25%,
IF(ISNUMBER(AS404), AS404,
IF('Breeding Inputs'!$I$44="N",
IF(OR('Breeding Inputs'!$I$45=1, 'Breeding Inputs'!$I$45=3, 'Breeding Inputs'!$I$45=9),
IF(ISNUMBER('Breeding Inputs'!$I$46),'Breeding Inputs'!$I$46,""),""),""))),""),"")</f>
        <v/>
      </c>
    </row>
    <row r="405" spans="1:46" x14ac:dyDescent="0.25">
      <c r="A405" s="518"/>
      <c r="B405" s="504"/>
      <c r="C405" s="521" t="str">
        <f>IF(AND(B393&lt;&gt;"", ISNUMBER(B393), ISNUMBER(Stage2EvaluationBegins)), IF((INDEX(ProgramYearStage2,MATCH(Stage2EvaluationBegins,Years_in_Stage2,0)))=B393, _4_5_0, IF(AND(B393&lt;&gt;"", C381&lt;&gt;""), _4_5_0, IF(AND(B393&lt;&gt;"", ISNUMBER(B393), OR(Stage2EvaluationBegins=0, Stage2EvaluationBegins="")),"", ""))),"")</f>
        <v/>
      </c>
      <c r="D405" s="94" t="str">
        <f>IF(AND(C405&lt;&gt;"", 'Cost Inputs'!$G$116&lt;&gt;""), 'Cost Inputs'!$G$116, "")</f>
        <v/>
      </c>
      <c r="E405" s="94" t="str">
        <f>IF(AND(C405&lt;&gt;"", 'Cost Inputs'!$H$116&lt;&gt;""), 'Cost Inputs'!$H$116, "")</f>
        <v/>
      </c>
      <c r="F405" s="492" t="str">
        <f>IF(AND(C405&lt;&gt;"", 'Cost Inputs'!$I$116&lt;&gt;""), 'Cost Inputs'!$I$116, "")</f>
        <v/>
      </c>
      <c r="G405" s="102" t="str">
        <f t="shared" si="63"/>
        <v/>
      </c>
      <c r="H405" s="492" t="str">
        <f>IF(AND(C405&lt;&gt;"", 'Cost Inputs'!$J$116&lt;&gt;""), 'Cost Inputs'!$J$116, "")</f>
        <v/>
      </c>
      <c r="I405" s="102" t="str">
        <f>IF($C405&lt;&gt;"",IF(AND($E405&lt;&gt;"",H405&lt;&gt;""), H405/$E405, 0),"")</f>
        <v/>
      </c>
      <c r="J405" s="492" t="str">
        <f>IF(AND(C405&lt;&gt;"",('Cost Inputs'!$I$116+'Cost Inputs'!$J$116+'Cost Inputs'!$K$116)&gt;0), 'Cost Inputs'!$I$116+'Cost Inputs'!$J$116+'Cost Inputs'!$K$116, "")</f>
        <v/>
      </c>
      <c r="K405" s="102" t="str">
        <f>IF($C405&lt;&gt;"",IF(AND($E405&lt;&gt;"",J405&lt;&gt;""), J405/$E405, 0),"")</f>
        <v/>
      </c>
      <c r="L405" s="525"/>
      <c r="M405" s="525"/>
      <c r="S405" s="496" t="str">
        <f>IF(ISNUMBER($B$393),
IF($C405&lt;&gt;"",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05" s="496" t="str">
        <f>IF(ISNUMBER($B$393),
IF($C405&lt;&gt;"",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05" s="496" t="str">
        <f>IF(ISNUMBER($B$393),
IF($C405&lt;&gt;"",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05" s="496" t="str">
        <f>IF(ISNUMBER($B$393),
IF($C405&lt;&gt;"",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05" s="496" t="str">
        <f>IF(ISNUMBER($B$393),
IF($C405&lt;&gt;"",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05" s="496" t="str">
        <f>IF(ISNUMBER($B$393),
IF($C405&lt;&gt;"",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05" s="496" t="str">
        <f>IF(ISNUMBER($B$393),
IF($C405&lt;&gt;"",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05" s="496" t="str">
        <f>IF(ISNUMBER($B$393),
IF($C405&lt;&gt;"",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05" s="496" t="str">
        <f>IF(ISNUMBER($B$393),
IF($C405&lt;&gt;"",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05" s="496" t="str">
        <f>IF(ISNUMBER($B$393),
IF($C405&lt;&gt;"",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05" s="496" t="str">
        <f>IF(ISNUMBER($B$393),
IF($C405&lt;&gt;"",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05" s="496" t="str">
        <f>IF(ISNUMBER($B$393),
IF($C405&lt;&gt;"",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05" s="496" t="str">
        <f>IF(ISNUMBER($B$393),
IF($C405&lt;&gt;"",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05" s="496" t="str">
        <f>IF(ISNUMBER($B$393),
IF($C405&lt;&gt;"",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05" s="496" t="str">
        <f>IF(ISNUMBER($B$393),
IF($C405&lt;&gt;"",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05" s="496" t="str">
        <f>IF(ISNUMBER($B$393),
IF($C405&lt;&gt;"",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05" s="496" t="str">
        <f>IF(ISNUMBER($B$393),
IF($C405&lt;&gt;"",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05" s="496" t="str">
        <f>IF(ISNUMBER($B$393),
IF($C405&lt;&gt;"",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05" s="496" t="str">
        <f>IF(ISNUMBER($B$393),
IF($C405&lt;&gt;"",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05" s="496" t="str">
        <f>IF(ISNUMBER($B$393),
IF($C405&lt;&gt;"",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05" s="496" t="str">
        <f>IF(ISNUMBER($B$393),
IF($C405&lt;&gt;"",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05" s="496" t="str">
        <f>IF(ISNUMBER($B$393),
IF($C405&lt;&gt;"",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05" s="496" t="str">
        <f>IF(ISNUMBER($B$393),
IF($C405&lt;&gt;"",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05" s="496" t="str">
        <f>IF(ISNUMBER($B$393),
IF($C405&lt;&gt;"",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05" s="496" t="str">
        <f>IF(ISNUMBER($B$393),
IF($C405&lt;&gt;"",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05" s="496" t="str">
        <f>IF(ISNUMBER($B$393),
IF($C405&lt;&gt;"",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05" s="496" t="str">
        <f>IF(ISNUMBER($B$393),
IF($C405&lt;&gt;"",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05" s="496" t="str">
        <f>IF(ISNUMBER($B$393),
IF($C405&lt;&gt;"",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06" spans="1:46" x14ac:dyDescent="0.25">
      <c r="A406" s="518"/>
      <c r="B406" s="504"/>
      <c r="C406" s="521"/>
      <c r="D406" s="94" t="str">
        <f>IF(AND(C405&lt;&gt;"", 'Cost Inputs'!$G$117&lt;&gt;""), 'Cost Inputs'!$G$117, "")</f>
        <v/>
      </c>
      <c r="E406" s="94" t="str">
        <f>IF(AND(C405&lt;&gt;"", 'Cost Inputs'!$H$117&lt;&gt;""), 'Cost Inputs'!$H$117, "")</f>
        <v/>
      </c>
      <c r="F406" s="492"/>
      <c r="G406" s="102" t="str">
        <f t="shared" si="63"/>
        <v/>
      </c>
      <c r="H406" s="492"/>
      <c r="I406" s="102" t="str">
        <f>IF($C405&lt;&gt;"", IF(AND($E406&lt;&gt;"", H405&lt;&gt;""), H405/($E405*$E406), 0), "")</f>
        <v/>
      </c>
      <c r="J406" s="492" t="str">
        <f>IF(AND(C406&lt;&gt;"",('Cost Inputs'!$I$86+'Cost Inputs'!$J$86+'Cost Inputs'!$K$86)&gt;0), 'Cost Inputs'!$I$86+'Cost Inputs'!$J$86+'Cost Inputs'!$K$86, "")</f>
        <v/>
      </c>
      <c r="K406" s="102" t="str">
        <f>IF($C405&lt;&gt;"", IF(AND($E406&lt;&gt;"", J405&lt;&gt;""), J405/($E405*$E406), 0), "")</f>
        <v/>
      </c>
      <c r="L406" s="525"/>
      <c r="M406" s="525"/>
      <c r="S406" s="496" t="str">
        <f t="shared" ref="S406" si="150">IF(ISNUMBER($B$345),
IF($C406&lt;&gt;"",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06" s="496" t="str">
        <f>IF(ISNUMBER($B$345),
IF($C406&lt;&gt;"",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06" s="496" t="str">
        <f>IF(ISNUMBER($B$345),
IF($C406&lt;&gt;"",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06" s="496" t="str">
        <f>IF(ISNUMBER($B$345),
IF($C406&lt;&gt;"",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06" s="496" t="str">
        <f>IF(ISNUMBER($B$345),
IF($C406&lt;&gt;"",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06" s="496" t="str">
        <f>IF(ISNUMBER($B$345),
IF($C406&lt;&gt;"",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06" s="496" t="str">
        <f>IF(ISNUMBER($B$345),
IF($C406&lt;&gt;"",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06" s="496" t="str">
        <f>IF(ISNUMBER($B$345),
IF($C406&lt;&gt;"",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06" s="496" t="str">
        <f>IF(ISNUMBER($B$345),
IF($C406&lt;&gt;"",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06" s="496" t="str">
        <f>IF(ISNUMBER($B$345),
IF($C406&lt;&gt;"",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06" s="496" t="str">
        <f>IF(ISNUMBER($B$345),
IF($C406&lt;&gt;"",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06" s="496" t="str">
        <f>IF(ISNUMBER($B$345),
IF($C406&lt;&gt;"",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06" s="496" t="str">
        <f>IF(ISNUMBER($B$345),
IF($C406&lt;&gt;"",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06" s="496" t="str">
        <f>IF(ISNUMBER($B$345),
IF($C406&lt;&gt;"",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06" s="496" t="str">
        <f>IF(ISNUMBER($B$345),
IF($C406&lt;&gt;"",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06" s="496" t="str">
        <f>IF(ISNUMBER($B$345),
IF($C406&lt;&gt;"",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06" s="496" t="str">
        <f>IF(ISNUMBER($B$345),
IF($C406&lt;&gt;"",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06" s="496" t="str">
        <f>IF(ISNUMBER($B$345),
IF($C406&lt;&gt;"",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06" s="496" t="str">
        <f>IF(ISNUMBER($B$345),
IF($C406&lt;&gt;"",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06" s="496" t="str">
        <f>IF(ISNUMBER($B$345),
IF($C406&lt;&gt;"",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06" s="496" t="str">
        <f>IF(ISNUMBER($B$345),
IF($C406&lt;&gt;"",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06" s="496" t="str">
        <f>IF(ISNUMBER($B$345),
IF($C406&lt;&gt;"",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06" s="496" t="str">
        <f>IF(ISNUMBER($B$345),
IF($C406&lt;&gt;"",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06" s="496" t="str">
        <f>IF(ISNUMBER($B$345),
IF($C406&lt;&gt;"",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06" s="496" t="str">
        <f>IF(ISNUMBER($B$345),
IF($C406&lt;&gt;"",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06" s="496" t="str">
        <f>IF(ISNUMBER($B$345),
IF($C406&lt;&gt;"",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06" s="496" t="str">
        <f>IF(ISNUMBER($B$345),
IF($C406&lt;&gt;"",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06" s="496" t="str">
        <f>IF(ISNUMBER($B$345),
IF($C406&lt;&gt;"",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07" spans="1:46" x14ac:dyDescent="0.25">
      <c r="A407" s="518"/>
      <c r="B407" s="504"/>
      <c r="C407" s="376" t="str">
        <f>IF(AND(ISNUMBER(B393), C405&lt;&gt;"", OR('Cost Inputs'!$H$118&lt;&gt;"", 'Cost Inputs'!$I$118&lt;&gt;"", 'Cost Inputs'!$J$118&lt;&gt;"")), _4_5_1, "")</f>
        <v/>
      </c>
      <c r="D407" s="17" t="str">
        <f>IF(AND(C407&lt;&gt;"", 'Cost Inputs'!$G$118&lt;&gt;""), 'Cost Inputs'!$G$118, "")</f>
        <v/>
      </c>
      <c r="E407" s="17" t="str">
        <f>IF(AND(C407&lt;&gt;"", 'Cost Inputs'!$H$118&lt;&gt;""), 'Cost Inputs'!$H$118, "")</f>
        <v/>
      </c>
      <c r="F407" s="493" t="str">
        <f>IF(AND(C407&lt;&gt;"", 'Cost Inputs'!$I$118&lt;&gt;""), 'Cost Inputs'!$I$118, "")</f>
        <v/>
      </c>
      <c r="G407" s="105" t="str">
        <f t="shared" si="63"/>
        <v/>
      </c>
      <c r="H407" s="493" t="str">
        <f>IF(AND(C407&lt;&gt;"", 'Cost Inputs'!$J$118&lt;&gt;""), 'Cost Inputs'!$J$118, "")</f>
        <v/>
      </c>
      <c r="I407" s="105" t="str">
        <f>IF($C407&lt;&gt;"",IF(AND($E407&lt;&gt;"",H407&lt;&gt;""), H407/$E407, 0),"")</f>
        <v/>
      </c>
      <c r="J407" s="493" t="str">
        <f>IF(AND(C407&lt;&gt;"",('Cost Inputs'!$I$118+'Cost Inputs'!$J$118+'Cost Inputs'!$K$118)&gt;0), 'Cost Inputs'!$I$118+'Cost Inputs'!$J$118+'Cost Inputs'!$K$118, "")</f>
        <v/>
      </c>
      <c r="K407" s="105" t="str">
        <f>IF($C407&lt;&gt;"",IF(AND($E407&lt;&gt;"",J407&lt;&gt;""), J407/$E407, 0),"")</f>
        <v/>
      </c>
      <c r="L407" s="525"/>
      <c r="M407" s="525"/>
      <c r="S407" s="497" t="str">
        <f>IF(ISNUMBER($B$393),
IF($C407&lt;&gt;"",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07" s="497" t="str">
        <f>IF(ISNUMBER($B$393),
IF($C407&lt;&gt;"",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07" s="497" t="str">
        <f>IF(ISNUMBER($B$393),
IF($C407&lt;&gt;"",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07" s="497" t="str">
        <f>IF(ISNUMBER($B$393),
IF($C407&lt;&gt;"",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07" s="497" t="str">
        <f>IF(ISNUMBER($B$393),
IF($C407&lt;&gt;"",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07" s="497" t="str">
        <f>IF(ISNUMBER($B$393),
IF($C407&lt;&gt;"",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07" s="497" t="str">
        <f>IF(ISNUMBER($B$393),
IF($C407&lt;&gt;"",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07" s="497" t="str">
        <f>IF(ISNUMBER($B$393),
IF($C407&lt;&gt;"",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07" s="497" t="str">
        <f>IF(ISNUMBER($B$393),
IF($C407&lt;&gt;"",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07" s="497" t="str">
        <f>IF(ISNUMBER($B$393),
IF($C407&lt;&gt;"",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07" s="497" t="str">
        <f>IF(ISNUMBER($B$393),
IF($C407&lt;&gt;"",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07" s="497" t="str">
        <f>IF(ISNUMBER($B$393),
IF($C407&lt;&gt;"",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07" s="497" t="str">
        <f>IF(ISNUMBER($B$393),
IF($C407&lt;&gt;"",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07" s="497" t="str">
        <f>IF(ISNUMBER($B$393),
IF($C407&lt;&gt;"",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07" s="497" t="str">
        <f>IF(ISNUMBER($B$393),
IF($C407&lt;&gt;"",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07" s="497" t="str">
        <f>IF(ISNUMBER($B$393),
IF($C407&lt;&gt;"",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07" s="497" t="str">
        <f>IF(ISNUMBER($B$393),
IF($C407&lt;&gt;"",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07" s="497" t="str">
        <f>IF(ISNUMBER($B$393),
IF($C407&lt;&gt;"",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07" s="497" t="str">
        <f>IF(ISNUMBER($B$393),
IF($C407&lt;&gt;"",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07" s="497" t="str">
        <f>IF(ISNUMBER($B$393),
IF($C407&lt;&gt;"",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07" s="497" t="str">
        <f>IF(ISNUMBER($B$393),
IF($C407&lt;&gt;"",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07" s="497" t="str">
        <f>IF(ISNUMBER($B$393),
IF($C407&lt;&gt;"",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07" s="497" t="str">
        <f>IF(ISNUMBER($B$393),
IF($C407&lt;&gt;"",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07" s="497" t="str">
        <f>IF(ISNUMBER($B$393),
IF($C407&lt;&gt;"",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07" s="497" t="str">
        <f>IF(ISNUMBER($B$393),
IF($C407&lt;&gt;"",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07" s="497" t="str">
        <f>IF(ISNUMBER($B$393),
IF($C407&lt;&gt;"",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07" s="497" t="str">
        <f>IF(ISNUMBER($B$393),
IF($C407&lt;&gt;"",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07" s="497" t="str">
        <f>IF(ISNUMBER($B$393),
IF($C407&lt;&gt;"",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08" spans="1:46" x14ac:dyDescent="0.25">
      <c r="A408" s="518"/>
      <c r="B408" s="504"/>
      <c r="C408" s="376" t="str">
        <f>IF(AND(ISNUMBER(B388), OR('Cost Inputs'!$H$85&lt;&gt;"", 'Cost Inputs'!$I$85&lt;&gt;"", 'Cost Inputs'!$J$85&lt;&gt;"")), _3_5_1, "")</f>
        <v/>
      </c>
      <c r="D408" s="17" t="str">
        <f>IF(AND(C407&lt;&gt;"", 'Cost Inputs'!$G$119&lt;&gt;""), 'Cost Inputs'!$G$119, "")</f>
        <v/>
      </c>
      <c r="E408" s="17" t="str">
        <f>IF(AND(C407&lt;&gt;"", 'Cost Inputs'!$H$119&lt;&gt;""), 'Cost Inputs'!$H$119, "")</f>
        <v/>
      </c>
      <c r="F408" s="493"/>
      <c r="G408" s="105" t="str">
        <f t="shared" si="63"/>
        <v/>
      </c>
      <c r="H408" s="493"/>
      <c r="I408" s="105" t="str">
        <f>IF($C407&lt;&gt;"", IF(AND($E408&lt;&gt;"", H407&lt;&gt;""), H407/($E407*$E408), 0), "")</f>
        <v/>
      </c>
      <c r="J408" s="493" t="str">
        <f>IF(AND(C408&lt;&gt;"",('Cost Inputs'!$I$86+'Cost Inputs'!$J$86+'Cost Inputs'!$K$86)&gt;0), 'Cost Inputs'!$I$86+'Cost Inputs'!$J$86+'Cost Inputs'!$K$86, "")</f>
        <v/>
      </c>
      <c r="K408" s="105" t="str">
        <f>IF($C407&lt;&gt;"", IF(AND($E408&lt;&gt;"", J407&lt;&gt;""), J407/($E407*$E408), 0), "")</f>
        <v/>
      </c>
      <c r="L408" s="525"/>
      <c r="M408" s="525"/>
      <c r="S408" s="497" t="str">
        <f t="shared" ref="S408" si="151">IF(ISNUMBER($B$345),
IF($C408&lt;&gt;"",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08" s="497" t="str">
        <f>IF(ISNUMBER($B$345),
IF($C408&lt;&gt;"",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08" s="497" t="str">
        <f>IF(ISNUMBER($B$345),
IF($C408&lt;&gt;"",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08" s="497" t="str">
        <f>IF(ISNUMBER($B$345),
IF($C408&lt;&gt;"",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08" s="497" t="str">
        <f>IF(ISNUMBER($B$345),
IF($C408&lt;&gt;"",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08" s="497" t="str">
        <f>IF(ISNUMBER($B$345),
IF($C408&lt;&gt;"",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08" s="497" t="str">
        <f>IF(ISNUMBER($B$345),
IF($C408&lt;&gt;"",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08" s="497" t="str">
        <f>IF(ISNUMBER($B$345),
IF($C408&lt;&gt;"",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08" s="497" t="str">
        <f>IF(ISNUMBER($B$345),
IF($C408&lt;&gt;"",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08" s="497" t="str">
        <f>IF(ISNUMBER($B$345),
IF($C408&lt;&gt;"",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08" s="497" t="str">
        <f>IF(ISNUMBER($B$345),
IF($C408&lt;&gt;"",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08" s="497" t="str">
        <f>IF(ISNUMBER($B$345),
IF($C408&lt;&gt;"",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08" s="497" t="str">
        <f>IF(ISNUMBER($B$345),
IF($C408&lt;&gt;"",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08" s="497" t="str">
        <f>IF(ISNUMBER($B$345),
IF($C408&lt;&gt;"",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08" s="497" t="str">
        <f>IF(ISNUMBER($B$345),
IF($C408&lt;&gt;"",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08" s="497" t="str">
        <f>IF(ISNUMBER($B$345),
IF($C408&lt;&gt;"",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08" s="497" t="str">
        <f>IF(ISNUMBER($B$345),
IF($C408&lt;&gt;"",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08" s="497" t="str">
        <f>IF(ISNUMBER($B$345),
IF($C408&lt;&gt;"",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08" s="497" t="str">
        <f>IF(ISNUMBER($B$345),
IF($C408&lt;&gt;"",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08" s="497" t="str">
        <f>IF(ISNUMBER($B$345),
IF($C408&lt;&gt;"",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08" s="497" t="str">
        <f>IF(ISNUMBER($B$345),
IF($C408&lt;&gt;"",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08" s="497" t="str">
        <f>IF(ISNUMBER($B$345),
IF($C408&lt;&gt;"",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08" s="497" t="str">
        <f>IF(ISNUMBER($B$345),
IF($C408&lt;&gt;"",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08" s="497" t="str">
        <f>IF(ISNUMBER($B$345),
IF($C408&lt;&gt;"",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08" s="497" t="str">
        <f>IF(ISNUMBER($B$345),
IF($C408&lt;&gt;"",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08" s="497" t="str">
        <f>IF(ISNUMBER($B$345),
IF($C408&lt;&gt;"",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08" s="497" t="str">
        <f>IF(ISNUMBER($B$345),
IF($C408&lt;&gt;"",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08" s="497" t="str">
        <f>IF(ISNUMBER($B$345),
IF($C408&lt;&gt;"",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09" spans="1:46" x14ac:dyDescent="0.25">
      <c r="A409" s="518"/>
      <c r="B409" s="504"/>
      <c r="C409" s="107" t="str">
        <f>IF(AND(ISNUMBER(B393), C405&lt;&gt;"", OR('Cost Inputs'!$H$120&lt;&gt;"", 'Cost Inputs'!$I$120&lt;&gt;"", 'Cost Inputs'!$J$120&lt;&gt;"")), _4_5_2, "")</f>
        <v/>
      </c>
      <c r="D409" s="93" t="str">
        <f>IF(AND(C409&lt;&gt;"", 'Cost Inputs'!$G$120&lt;&gt;""), 'Cost Inputs'!$G$120, "")</f>
        <v/>
      </c>
      <c r="E409" s="93" t="str">
        <f>IF(AND(C409&lt;&gt;"", 'Cost Inputs'!$H$120&lt;&gt;""), 'Cost Inputs'!$H$120, "")</f>
        <v/>
      </c>
      <c r="F409" s="93" t="str">
        <f>IF(AND(C409&lt;&gt;"", 'Cost Inputs'!$I$120&lt;&gt;""), 'Cost Inputs'!$I$120, "")</f>
        <v/>
      </c>
      <c r="G409" s="108" t="str">
        <f t="shared" ref="G409:G478" si="152">IF(AND($E409&lt;&gt;"", $E409&gt;0, F409&lt;&gt;""), F409/$E409, "")</f>
        <v/>
      </c>
      <c r="H409" s="93" t="str">
        <f>IF(AND(C409&lt;&gt;"", 'Cost Inputs'!$J$120&lt;&gt;""), 'Cost Inputs'!$J$120, "")</f>
        <v/>
      </c>
      <c r="I409" s="93" t="str">
        <f>IF($C409&lt;&gt;"", IF(AND($E409&lt;&gt;"", H409&lt;&gt;""), H409/$E409, 0),"")</f>
        <v/>
      </c>
      <c r="J409" s="93" t="str">
        <f>IF(AND(C409&lt;&gt;"",('Cost Inputs'!$I$120+'Cost Inputs'!$J$120+'Cost Inputs'!$K$120)&gt;0), 'Cost Inputs'!$I$120+'Cost Inputs'!$J$120+'Cost Inputs'!$K$120, "")</f>
        <v/>
      </c>
      <c r="K409" s="93" t="str">
        <f>IF($C409&lt;&gt;"", IF(AND($E409&lt;&gt;"", J409&lt;&gt;""), J409/$E409, 0),"")</f>
        <v/>
      </c>
      <c r="L409" s="525"/>
      <c r="M409" s="525"/>
      <c r="S409" s="93" t="str">
        <f>IF(ISNUMBER($B$393),
IF($C409&lt;&gt;"",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09" s="93" t="str">
        <f>IF(ISNUMBER($B$393),
IF($C409&lt;&gt;"",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09" s="93" t="str">
        <f>IF(ISNUMBER($B$393),
IF($C409&lt;&gt;"",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09" s="93" t="str">
        <f>IF(ISNUMBER($B$393),
IF($C409&lt;&gt;"",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09" s="93" t="str">
        <f>IF(ISNUMBER($B$393),
IF($C409&lt;&gt;"",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09" s="93" t="str">
        <f>IF(ISNUMBER($B$393),
IF($C409&lt;&gt;"",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09" s="93" t="str">
        <f>IF(ISNUMBER($B$393),
IF($C409&lt;&gt;"",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09" s="93" t="str">
        <f>IF(ISNUMBER($B$393),
IF($C409&lt;&gt;"",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09" s="93" t="str">
        <f>IF(ISNUMBER($B$393),
IF($C409&lt;&gt;"",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09" s="93" t="str">
        <f>IF(ISNUMBER($B$393),
IF($C409&lt;&gt;"",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09" s="93" t="str">
        <f>IF(ISNUMBER($B$393),
IF($C409&lt;&gt;"",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09" s="93" t="str">
        <f>IF(ISNUMBER($B$393),
IF($C409&lt;&gt;"",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09" s="93" t="str">
        <f>IF(ISNUMBER($B$393),
IF($C409&lt;&gt;"",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09" s="93" t="str">
        <f>IF(ISNUMBER($B$393),
IF($C409&lt;&gt;"",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09" s="93" t="str">
        <f>IF(ISNUMBER($B$393),
IF($C409&lt;&gt;"",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09" s="93" t="str">
        <f>IF(ISNUMBER($B$393),
IF($C409&lt;&gt;"",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09" s="93" t="str">
        <f>IF(ISNUMBER($B$393),
IF($C409&lt;&gt;"",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09" s="93" t="str">
        <f>IF(ISNUMBER($B$393),
IF($C409&lt;&gt;"",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09" s="93" t="str">
        <f>IF(ISNUMBER($B$393),
IF($C409&lt;&gt;"",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09" s="93" t="str">
        <f>IF(ISNUMBER($B$393),
IF($C409&lt;&gt;"",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09" s="93" t="str">
        <f>IF(ISNUMBER($B$393),
IF($C409&lt;&gt;"",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09" s="93" t="str">
        <f>IF(ISNUMBER($B$393),
IF($C409&lt;&gt;"",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09" s="93" t="str">
        <f>IF(ISNUMBER($B$393),
IF($C409&lt;&gt;"",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09" s="93" t="str">
        <f>IF(ISNUMBER($B$393),
IF($C409&lt;&gt;"",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09" s="93" t="str">
        <f>IF(ISNUMBER($B$393),
IF($C409&lt;&gt;"",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09" s="93" t="str">
        <f>IF(ISNUMBER($B$393),
IF($C409&lt;&gt;"",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09" s="93" t="str">
        <f>IF(ISNUMBER($B$393),
IF($C409&lt;&gt;"",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09" s="93" t="str">
        <f>IF(ISNUMBER($B$393),
IF($C409&lt;&gt;"",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10" spans="1:46" x14ac:dyDescent="0.25">
      <c r="A410" s="518"/>
      <c r="B410" s="504"/>
      <c r="C410" s="104" t="str">
        <f>IF(AND(ISNUMBER(B393), C405&lt;&gt;"", OR('Cost Inputs'!$H$121&lt;&gt;"", 'Cost Inputs'!$I$121&lt;&gt;"", 'Cost Inputs'!$J$121&lt;&gt;"")), _4_5_3, "")</f>
        <v/>
      </c>
      <c r="D410" s="17" t="str">
        <f>IF(AND(C410&lt;&gt;"", 'Cost Inputs'!$G$121&lt;&gt;""), 'Cost Inputs'!$G$121, "")</f>
        <v/>
      </c>
      <c r="E410" s="17" t="str">
        <f>IF(AND(C410&lt;&gt;"", 'Cost Inputs'!$H$121&lt;&gt;""), 'Cost Inputs'!$H$121, "")</f>
        <v/>
      </c>
      <c r="F410" s="17" t="str">
        <f>IF(AND(C410&lt;&gt;"", 'Cost Inputs'!$I$121&lt;&gt;""), 'Cost Inputs'!$I$121, "")</f>
        <v/>
      </c>
      <c r="G410" s="105" t="str">
        <f t="shared" si="152"/>
        <v/>
      </c>
      <c r="H410" s="17" t="str">
        <f>IF(AND(C410&lt;&gt;"", 'Cost Inputs'!$J$121&lt;&gt;""), 'Cost Inputs'!$J$121, "")</f>
        <v/>
      </c>
      <c r="I410" s="17" t="str">
        <f>IF($C410&lt;&gt;"", IF(AND($E410&lt;&gt;"", H410&lt;&gt;""), H410/$E410, 0),"")</f>
        <v/>
      </c>
      <c r="J410" s="17" t="str">
        <f>IF(AND(C410&lt;&gt;"",('Cost Inputs'!$I$121+'Cost Inputs'!$J$121+'Cost Inputs'!$K$121)&gt;0), 'Cost Inputs'!$I$121+'Cost Inputs'!$J$121+'Cost Inputs'!$K$121, "")</f>
        <v/>
      </c>
      <c r="K410" s="17" t="str">
        <f>IF($C410&lt;&gt;"", IF(AND($E410&lt;&gt;"", J410&lt;&gt;""), J410/$E410, 0),"")</f>
        <v/>
      </c>
      <c r="L410" s="525"/>
      <c r="M410" s="525"/>
      <c r="S410" s="17" t="str">
        <f>IF(ISNUMBER($B$393),
IF($C410&lt;&gt;"",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10" s="17" t="str">
        <f>IF(ISNUMBER($B$393),
IF($C410&lt;&gt;"",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10" s="17" t="str">
        <f>IF(ISNUMBER($B$393),
IF($C410&lt;&gt;"",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10" s="17" t="str">
        <f>IF(ISNUMBER($B$393),
IF($C410&lt;&gt;"",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10" s="17" t="str">
        <f>IF(ISNUMBER($B$393),
IF($C410&lt;&gt;"",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10" s="17" t="str">
        <f>IF(ISNUMBER($B$393),
IF($C410&lt;&gt;"",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10" s="17" t="str">
        <f>IF(ISNUMBER($B$393),
IF($C410&lt;&gt;"",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10" s="17" t="str">
        <f>IF(ISNUMBER($B$393),
IF($C410&lt;&gt;"",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10" s="17" t="str">
        <f>IF(ISNUMBER($B$393),
IF($C410&lt;&gt;"",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10" s="17" t="str">
        <f>IF(ISNUMBER($B$393),
IF($C410&lt;&gt;"",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10" s="17" t="str">
        <f>IF(ISNUMBER($B$393),
IF($C410&lt;&gt;"",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10" s="17" t="str">
        <f>IF(ISNUMBER($B$393),
IF($C410&lt;&gt;"",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10" s="17" t="str">
        <f>IF(ISNUMBER($B$393),
IF($C410&lt;&gt;"",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10" s="17" t="str">
        <f>IF(ISNUMBER($B$393),
IF($C410&lt;&gt;"",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10" s="17" t="str">
        <f>IF(ISNUMBER($B$393),
IF($C410&lt;&gt;"",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10" s="17" t="str">
        <f>IF(ISNUMBER($B$393),
IF($C410&lt;&gt;"",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10" s="17" t="str">
        <f>IF(ISNUMBER($B$393),
IF($C410&lt;&gt;"",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10" s="17" t="str">
        <f>IF(ISNUMBER($B$393),
IF($C410&lt;&gt;"",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10" s="17" t="str">
        <f>IF(ISNUMBER($B$393),
IF($C410&lt;&gt;"",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10" s="17" t="str">
        <f>IF(ISNUMBER($B$393),
IF($C410&lt;&gt;"",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10" s="17" t="str">
        <f>IF(ISNUMBER($B$393),
IF($C410&lt;&gt;"",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10" s="17" t="str">
        <f>IF(ISNUMBER($B$393),
IF($C410&lt;&gt;"",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10" s="17" t="str">
        <f>IF(ISNUMBER($B$393),
IF($C410&lt;&gt;"",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10" s="17" t="str">
        <f>IF(ISNUMBER($B$393),
IF($C410&lt;&gt;"",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10" s="17" t="str">
        <f>IF(ISNUMBER($B$393),
IF($C410&lt;&gt;"",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10" s="17" t="str">
        <f>IF(ISNUMBER($B$393),
IF($C410&lt;&gt;"",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10" s="17" t="str">
        <f>IF(ISNUMBER($B$393),
IF($C410&lt;&gt;"",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10" s="17" t="str">
        <f>IF(ISNUMBER($B$393),
IF($C410&lt;&gt;"",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11" spans="1:46" x14ac:dyDescent="0.25">
      <c r="A411" s="518"/>
      <c r="B411" s="504"/>
      <c r="C411" s="107" t="str">
        <f>IF(AND(ISNUMBER(B393), C405&lt;&gt;"", OR('Cost Inputs'!$H$122&lt;&gt;"", 'Cost Inputs'!$I$122&lt;&gt;"", 'Cost Inputs'!$J$122&lt;&gt;"")), _4_5_2, "")</f>
        <v/>
      </c>
      <c r="D411" s="93" t="str">
        <f>IF(AND(C411&lt;&gt;"", 'Cost Inputs'!$G$122&lt;&gt;""), 'Cost Inputs'!$G$122, "")</f>
        <v/>
      </c>
      <c r="E411" s="93" t="str">
        <f>IF(AND(C411&lt;&gt;"", 'Cost Inputs'!$H$122&lt;&gt;""), 'Cost Inputs'!$H$122, "")</f>
        <v/>
      </c>
      <c r="F411" s="93" t="str">
        <f>IF(AND(C411&lt;&gt;"", 'Cost Inputs'!$I$122&lt;&gt;""), 'Cost Inputs'!$I$122, "")</f>
        <v/>
      </c>
      <c r="G411" s="108" t="str">
        <f t="shared" si="152"/>
        <v/>
      </c>
      <c r="H411" s="93" t="str">
        <f>IF(AND(C411&lt;&gt;"", 'Cost Inputs'!$J$122&lt;&gt;""), 'Cost Inputs'!$J$122, "")</f>
        <v/>
      </c>
      <c r="I411" s="93" t="str">
        <f>IF($C411&lt;&gt;"", IF(AND($E411&lt;&gt;"", H411&lt;&gt;""), H411/$E411, 0),"")</f>
        <v/>
      </c>
      <c r="J411" s="93" t="str">
        <f>IF(AND(C411&lt;&gt;"",('Cost Inputs'!$I$122+'Cost Inputs'!$J$122+'Cost Inputs'!$K$122)&gt;0), 'Cost Inputs'!$I$122+'Cost Inputs'!$J$122+'Cost Inputs'!$K$122, "")</f>
        <v/>
      </c>
      <c r="K411" s="93" t="str">
        <f>IF($C411&lt;&gt;"", IF(AND($E411&lt;&gt;"", J411&lt;&gt;""), J411/$E411, 0),"")</f>
        <v/>
      </c>
      <c r="L411" s="525"/>
      <c r="M411" s="525"/>
      <c r="S411" s="93" t="str">
        <f>IF(ISNUMBER($B$393),
IF($C411&lt;&gt;"",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11" s="93" t="str">
        <f>IF(ISNUMBER($B$393),
IF($C411&lt;&gt;"",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11" s="93" t="str">
        <f>IF(ISNUMBER($B$393),
IF($C411&lt;&gt;"",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11" s="93" t="str">
        <f>IF(ISNUMBER($B$393),
IF($C411&lt;&gt;"",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11" s="93" t="str">
        <f>IF(ISNUMBER($B$393),
IF($C411&lt;&gt;"",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11" s="93" t="str">
        <f>IF(ISNUMBER($B$393),
IF($C411&lt;&gt;"",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11" s="93" t="str">
        <f>IF(ISNUMBER($B$393),
IF($C411&lt;&gt;"",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11" s="93" t="str">
        <f>IF(ISNUMBER($B$393),
IF($C411&lt;&gt;"",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11" s="93" t="str">
        <f>IF(ISNUMBER($B$393),
IF($C411&lt;&gt;"",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11" s="93" t="str">
        <f>IF(ISNUMBER($B$393),
IF($C411&lt;&gt;"",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11" s="93" t="str">
        <f>IF(ISNUMBER($B$393),
IF($C411&lt;&gt;"",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11" s="93" t="str">
        <f>IF(ISNUMBER($B$393),
IF($C411&lt;&gt;"",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11" s="93" t="str">
        <f>IF(ISNUMBER($B$393),
IF($C411&lt;&gt;"",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11" s="93" t="str">
        <f>IF(ISNUMBER($B$393),
IF($C411&lt;&gt;"",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11" s="93" t="str">
        <f>IF(ISNUMBER($B$393),
IF($C411&lt;&gt;"",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11" s="93" t="str">
        <f>IF(ISNUMBER($B$393),
IF($C411&lt;&gt;"",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11" s="93" t="str">
        <f>IF(ISNUMBER($B$393),
IF($C411&lt;&gt;"",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11" s="93" t="str">
        <f>IF(ISNUMBER($B$393),
IF($C411&lt;&gt;"",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11" s="93" t="str">
        <f>IF(ISNUMBER($B$393),
IF($C411&lt;&gt;"",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11" s="93" t="str">
        <f>IF(ISNUMBER($B$393),
IF($C411&lt;&gt;"",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11" s="93" t="str">
        <f>IF(ISNUMBER($B$393),
IF($C411&lt;&gt;"",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11" s="93" t="str">
        <f>IF(ISNUMBER($B$393),
IF($C411&lt;&gt;"",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11" s="93" t="str">
        <f>IF(ISNUMBER($B$393),
IF($C411&lt;&gt;"",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11" s="93" t="str">
        <f>IF(ISNUMBER($B$393),
IF($C411&lt;&gt;"",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11" s="93" t="str">
        <f>IF(ISNUMBER($B$393),
IF($C411&lt;&gt;"",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11" s="93" t="str">
        <f>IF(ISNUMBER($B$393),
IF($C411&lt;&gt;"",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11" s="93" t="str">
        <f>IF(ISNUMBER($B$393),
IF($C411&lt;&gt;"",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11" s="93" t="str">
        <f>IF(ISNUMBER($B$393),
IF($C411&lt;&gt;"",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12" spans="1:46" x14ac:dyDescent="0.25">
      <c r="A412" s="518"/>
      <c r="B412" s="504"/>
      <c r="C412" s="104" t="str">
        <f>IF(AND(ISNUMBER(B393), C405&lt;&gt;"", OR('Cost Inputs'!$H$123&lt;&gt;"", 'Cost Inputs'!$I$123&lt;&gt;"", 'Cost Inputs'!$J$123&lt;&gt;"")), _4_5_3, "")</f>
        <v/>
      </c>
      <c r="D412" s="17" t="str">
        <f>IF(AND(C412&lt;&gt;"", 'Cost Inputs'!$G$123&lt;&gt;""), 'Cost Inputs'!$G$123, "")</f>
        <v/>
      </c>
      <c r="E412" s="17" t="str">
        <f>IF(AND(C412&lt;&gt;"", 'Cost Inputs'!$H$123&lt;&gt;""), 'Cost Inputs'!$H$123, "")</f>
        <v/>
      </c>
      <c r="F412" s="17" t="str">
        <f>IF(AND(C412&lt;&gt;"", 'Cost Inputs'!$I$123&lt;&gt;""), 'Cost Inputs'!$I$123, "")</f>
        <v/>
      </c>
      <c r="G412" s="105" t="str">
        <f t="shared" si="152"/>
        <v/>
      </c>
      <c r="H412" s="17" t="str">
        <f>IF(AND(C412&lt;&gt;"", 'Cost Inputs'!$J$123&lt;&gt;""), 'Cost Inputs'!$J$123, "")</f>
        <v/>
      </c>
      <c r="I412" s="17" t="str">
        <f>IF($C412&lt;&gt;"", IF(AND($E412&lt;&gt;"", H412&lt;&gt;""), H412/$E412, 0),"")</f>
        <v/>
      </c>
      <c r="J412" s="17" t="str">
        <f>IF(AND(C412&lt;&gt;"",('Cost Inputs'!$I$123+'Cost Inputs'!$J$123+'Cost Inputs'!$K$123)&gt;0), 'Cost Inputs'!$I$123+'Cost Inputs'!$J$123+'Cost Inputs'!$K$123, "")</f>
        <v/>
      </c>
      <c r="K412" s="17" t="str">
        <f>IF($C412&lt;&gt;"", IF(AND($E412&lt;&gt;"", J412&lt;&gt;""), J412/$E412, 0),"")</f>
        <v/>
      </c>
      <c r="L412" s="525"/>
      <c r="M412" s="525"/>
      <c r="S412" s="17" t="str">
        <f>IF(ISNUMBER($B$393),
IF($C412&lt;&gt;"",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12" s="17" t="str">
        <f>IF(ISNUMBER($B$393),
IF($C412&lt;&gt;"",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12" s="17" t="str">
        <f>IF(ISNUMBER($B$393),
IF($C412&lt;&gt;"",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12" s="17" t="str">
        <f>IF(ISNUMBER($B$393),
IF($C412&lt;&gt;"",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12" s="17" t="str">
        <f>IF(ISNUMBER($B$393),
IF($C412&lt;&gt;"",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12" s="17" t="str">
        <f>IF(ISNUMBER($B$393),
IF($C412&lt;&gt;"",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12" s="17" t="str">
        <f>IF(ISNUMBER($B$393),
IF($C412&lt;&gt;"",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12" s="17" t="str">
        <f>IF(ISNUMBER($B$393),
IF($C412&lt;&gt;"",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12" s="17" t="str">
        <f>IF(ISNUMBER($B$393),
IF($C412&lt;&gt;"",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12" s="17" t="str">
        <f>IF(ISNUMBER($B$393),
IF($C412&lt;&gt;"",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12" s="17" t="str">
        <f>IF(ISNUMBER($B$393),
IF($C412&lt;&gt;"",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12" s="17" t="str">
        <f>IF(ISNUMBER($B$393),
IF($C412&lt;&gt;"",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12" s="17" t="str">
        <f>IF(ISNUMBER($B$393),
IF($C412&lt;&gt;"",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12" s="17" t="str">
        <f>IF(ISNUMBER($B$393),
IF($C412&lt;&gt;"",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12" s="17" t="str">
        <f>IF(ISNUMBER($B$393),
IF($C412&lt;&gt;"",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12" s="17" t="str">
        <f>IF(ISNUMBER($B$393),
IF($C412&lt;&gt;"",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12" s="17" t="str">
        <f>IF(ISNUMBER($B$393),
IF($C412&lt;&gt;"",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12" s="17" t="str">
        <f>IF(ISNUMBER($B$393),
IF($C412&lt;&gt;"",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12" s="17" t="str">
        <f>IF(ISNUMBER($B$393),
IF($C412&lt;&gt;"",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12" s="17" t="str">
        <f>IF(ISNUMBER($B$393),
IF($C412&lt;&gt;"",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12" s="17" t="str">
        <f>IF(ISNUMBER($B$393),
IF($C412&lt;&gt;"",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12" s="17" t="str">
        <f>IF(ISNUMBER($B$393),
IF($C412&lt;&gt;"",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12" s="17" t="str">
        <f>IF(ISNUMBER($B$393),
IF($C412&lt;&gt;"",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12" s="17" t="str">
        <f>IF(ISNUMBER($B$393),
IF($C412&lt;&gt;"",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12" s="17" t="str">
        <f>IF(ISNUMBER($B$393),
IF($C412&lt;&gt;"",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12" s="17" t="str">
        <f>IF(ISNUMBER($B$393),
IF($C412&lt;&gt;"",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12" s="17" t="str">
        <f>IF(ISNUMBER($B$393),
IF($C412&lt;&gt;"",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12" s="17" t="str">
        <f>IF(ISNUMBER($B$393),
IF($C412&lt;&gt;"",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13" spans="1:46" x14ac:dyDescent="0.25">
      <c r="A413" s="518"/>
      <c r="B413" s="504"/>
      <c r="C413" s="110" t="str">
        <f>IF(ISNUMBER(B393), _4_6_0, "")</f>
        <v/>
      </c>
      <c r="D413" s="94" t="str">
        <f>IF(AND(C413&lt;&gt;"", 'Cost Inputs'!$G$124&lt;&gt;""), 'Cost Inputs'!$G$124, "")</f>
        <v/>
      </c>
      <c r="E413" s="94" t="str">
        <f>IF(AND(C413&lt;&gt;"", 'Cost Inputs'!$H$124&lt;&gt;""), 'Cost Inputs'!$H$124, "")</f>
        <v/>
      </c>
      <c r="F413" s="94" t="str">
        <f>IF(AND(C413&lt;&gt;"", 'Cost Inputs'!$I$124&lt;&gt;""), 'Cost Inputs'!$I$124, "")</f>
        <v/>
      </c>
      <c r="G413" s="102" t="str">
        <f t="shared" si="152"/>
        <v/>
      </c>
      <c r="H413" s="94" t="str">
        <f>IF(AND(C413&lt;&gt;"", 'Cost Inputs'!$J$124&lt;&gt;""), 'Cost Inputs'!$J$124, "")</f>
        <v/>
      </c>
      <c r="I413" s="102" t="str">
        <f>IF($C413&lt;&gt;"",IF(AND($E413&lt;&gt;"",H413&lt;&gt;""), H413/$E413, 0),"")</f>
        <v/>
      </c>
      <c r="J413" s="94" t="str">
        <f>IF(AND(C413&lt;&gt;"",('Cost Inputs'!$I$124+'Cost Inputs'!$J$124+'Cost Inputs'!$K$124)&gt;0), 'Cost Inputs'!$I$124+'Cost Inputs'!$J$124+'Cost Inputs'!$K$124, "")</f>
        <v/>
      </c>
      <c r="K413" s="102" t="str">
        <f>IF($C413&lt;&gt;"",IF(AND($E413&lt;&gt;"",J413&lt;&gt;""), J413/$E413, 0),"")</f>
        <v/>
      </c>
      <c r="L413" s="525"/>
      <c r="M413" s="525"/>
      <c r="S413" s="102" t="str">
        <f>IF(ISNUMBER($B$393), IF($C413&lt;&gt;"", IF(AND(ISNUMBER('Stage 2 Randomized Selection'!E$2),'Stage 2 Randomized Selection'!E$2&gt;0),'Stage 2 Randomized Selection'!E$2*$M393, ""),""),"")</f>
        <v/>
      </c>
      <c r="T413" s="102" t="str">
        <f>IF(ISNUMBER($B$393), IF($C413&lt;&gt;"", IF(AND(ISNUMBER('Stage 2 Randomized Selection'!F$2),'Stage 2 Randomized Selection'!F$2&gt;0),'Stage 2 Randomized Selection'!F$2*$M393, ""),""),"")</f>
        <v/>
      </c>
      <c r="U413" s="102" t="str">
        <f>IF(ISNUMBER($B$393), IF($C413&lt;&gt;"", IF(AND(ISNUMBER('Stage 2 Randomized Selection'!G$2),'Stage 2 Randomized Selection'!G$2&gt;0),'Stage 2 Randomized Selection'!G$2*$M393, ""),""),"")</f>
        <v/>
      </c>
      <c r="V413" s="102" t="str">
        <f>IF(ISNUMBER($B$393), IF($C413&lt;&gt;"", IF(AND(ISNUMBER('Stage 2 Randomized Selection'!H$2),'Stage 2 Randomized Selection'!H$2&gt;0),'Stage 2 Randomized Selection'!H$2*$M393, ""),""),"")</f>
        <v/>
      </c>
      <c r="W413" s="102" t="str">
        <f>IF(ISNUMBER($B$393), IF($C413&lt;&gt;"", IF(AND(ISNUMBER('Stage 2 Randomized Selection'!I$2),'Stage 2 Randomized Selection'!I$2&gt;0),'Stage 2 Randomized Selection'!I$2*$M393, ""),""),"")</f>
        <v/>
      </c>
      <c r="X413" s="102" t="str">
        <f>IF(ISNUMBER($B$393), IF($C413&lt;&gt;"", IF(AND(ISNUMBER('Stage 2 Randomized Selection'!J$2),'Stage 2 Randomized Selection'!J$2&gt;0),'Stage 2 Randomized Selection'!J$2*$M393, ""),""),"")</f>
        <v/>
      </c>
      <c r="Y413" s="102" t="str">
        <f>IF(ISNUMBER($B$393), IF($C413&lt;&gt;"", IF(AND(ISNUMBER('Stage 2 Randomized Selection'!K$2),'Stage 2 Randomized Selection'!K$2&gt;0),'Stage 2 Randomized Selection'!K$2*$M393, ""),""),"")</f>
        <v/>
      </c>
      <c r="Z413" s="102" t="str">
        <f>IF(ISNUMBER($B$393), IF($C413&lt;&gt;"", IF(AND(ISNUMBER('Stage 2 Randomized Selection'!L$2),'Stage 2 Randomized Selection'!L$2&gt;0),'Stage 2 Randomized Selection'!L$2*$M393, ""),""),"")</f>
        <v/>
      </c>
      <c r="AA413" s="102" t="str">
        <f>IF(ISNUMBER($B$393), IF($C413&lt;&gt;"", IF(AND(ISNUMBER('Stage 2 Randomized Selection'!M$2),'Stage 2 Randomized Selection'!M$2&gt;0),'Stage 2 Randomized Selection'!M$2*$M393, ""),""),"")</f>
        <v/>
      </c>
      <c r="AB413" s="102" t="str">
        <f>IF(ISNUMBER($B$393), IF($C413&lt;&gt;"", IF(AND(ISNUMBER('Stage 2 Randomized Selection'!N$2),'Stage 2 Randomized Selection'!N$2&gt;0),'Stage 2 Randomized Selection'!N$2*$M393, ""),""),"")</f>
        <v/>
      </c>
      <c r="AC413" s="102" t="str">
        <f>IF(ISNUMBER($B$393), IF($C413&lt;&gt;"", IF(AND(ISNUMBER('Stage 2 Randomized Selection'!O$2),'Stage 2 Randomized Selection'!O$2&gt;0),'Stage 2 Randomized Selection'!O$2*$M393, ""),""),"")</f>
        <v/>
      </c>
      <c r="AD413" s="102" t="str">
        <f>IF(ISNUMBER($B$393), IF($C413&lt;&gt;"", IF(AND(ISNUMBER('Stage 2 Randomized Selection'!P$2),'Stage 2 Randomized Selection'!P$2&gt;0),'Stage 2 Randomized Selection'!P$2*$M393, ""),""),"")</f>
        <v/>
      </c>
      <c r="AE413" s="102" t="str">
        <f>IF(ISNUMBER($B$393), IF($C413&lt;&gt;"", IF(AND(ISNUMBER('Stage 2 Randomized Selection'!Q$2),'Stage 2 Randomized Selection'!Q$2&gt;0),'Stage 2 Randomized Selection'!Q$2*$M393, ""),""),"")</f>
        <v/>
      </c>
      <c r="AF413" s="102" t="str">
        <f>IF(ISNUMBER($B$393), IF($C413&lt;&gt;"", IF(AND(ISNUMBER('Stage 2 Randomized Selection'!R$2),'Stage 2 Randomized Selection'!R$2&gt;0),'Stage 2 Randomized Selection'!R$2*$M393, ""),""),"")</f>
        <v/>
      </c>
      <c r="AG413" s="102" t="str">
        <f>IF(ISNUMBER($B$393), IF($C413&lt;&gt;"", IF(AND(ISNUMBER('Stage 2 Randomized Selection'!S$2),'Stage 2 Randomized Selection'!S$2&gt;0),'Stage 2 Randomized Selection'!S$2*$M393, ""),""),"")</f>
        <v/>
      </c>
      <c r="AH413" s="102" t="str">
        <f>IF(ISNUMBER($B$393), IF($C413&lt;&gt;"", IF(AND(ISNUMBER('Stage 2 Randomized Selection'!T$2),'Stage 2 Randomized Selection'!T$2&gt;0),'Stage 2 Randomized Selection'!T$2*$M393, ""),""),"")</f>
        <v/>
      </c>
      <c r="AI413" s="102" t="str">
        <f>IF(ISNUMBER($B$393), IF($C413&lt;&gt;"", IF(AND(ISNUMBER('Stage 2 Randomized Selection'!U$2),'Stage 2 Randomized Selection'!U$2&gt;0),'Stage 2 Randomized Selection'!U$2*$M393, ""),""),"")</f>
        <v/>
      </c>
      <c r="AJ413" s="102" t="str">
        <f>IF(ISNUMBER($B$393), IF($C413&lt;&gt;"", IF(AND(ISNUMBER('Stage 2 Randomized Selection'!V$2),'Stage 2 Randomized Selection'!V$2&gt;0),'Stage 2 Randomized Selection'!V$2*$M393, ""),""),"")</f>
        <v/>
      </c>
      <c r="AK413" s="102" t="str">
        <f>IF(ISNUMBER($B$393), IF($C413&lt;&gt;"", IF(AND(ISNUMBER('Stage 2 Randomized Selection'!W$2),'Stage 2 Randomized Selection'!W$2&gt;0),'Stage 2 Randomized Selection'!W$2*$M393, ""),""),"")</f>
        <v/>
      </c>
      <c r="AL413" s="102" t="str">
        <f>IF(ISNUMBER($B$393), IF($C413&lt;&gt;"", IF(AND(ISNUMBER('Stage 2 Randomized Selection'!X$2),'Stage 2 Randomized Selection'!X$2&gt;0),'Stage 2 Randomized Selection'!X$2*$M393, ""),""),"")</f>
        <v/>
      </c>
      <c r="AM413" s="102" t="str">
        <f>IF(ISNUMBER($B$393), IF($C413&lt;&gt;"", IF(AND(ISNUMBER('Stage 2 Randomized Selection'!Y$2),'Stage 2 Randomized Selection'!Y$2&gt;0),'Stage 2 Randomized Selection'!Y$2*$M393, ""),""),"")</f>
        <v/>
      </c>
      <c r="AN413" s="102" t="str">
        <f>IF(ISNUMBER($B$393), IF($C413&lt;&gt;"", IF(AND(ISNUMBER('Stage 2 Randomized Selection'!Z$2),'Stage 2 Randomized Selection'!Z$2&gt;0),'Stage 2 Randomized Selection'!Z$2*$M393, ""),""),"")</f>
        <v/>
      </c>
      <c r="AO413" s="102" t="str">
        <f>IF(ISNUMBER($B$393), IF($C413&lt;&gt;"", IF(AND(ISNUMBER('Stage 2 Randomized Selection'!AA$2),'Stage 2 Randomized Selection'!AA$2&gt;0),'Stage 2 Randomized Selection'!AA$2*$M393, ""),""),"")</f>
        <v/>
      </c>
      <c r="AP413" s="102" t="str">
        <f>IF(ISNUMBER($B$393), IF($C413&lt;&gt;"", IF(AND(ISNUMBER('Stage 2 Randomized Selection'!AB$2),'Stage 2 Randomized Selection'!AB$2&gt;0),'Stage 2 Randomized Selection'!AB$2*$M393, ""),""),"")</f>
        <v/>
      </c>
      <c r="AQ413" s="102" t="str">
        <f>IF(ISNUMBER($B$393), IF($C413&lt;&gt;"", IF(AND(ISNUMBER('Stage 2 Randomized Selection'!AC$2),'Stage 2 Randomized Selection'!AC$2&gt;0),'Stage 2 Randomized Selection'!AC$2*$M393, ""),""),"")</f>
        <v/>
      </c>
      <c r="AR413" s="102" t="str">
        <f>IF(ISNUMBER($B$393), IF($C413&lt;&gt;"", IF(AND(ISNUMBER('Stage 2 Randomized Selection'!AD$2),'Stage 2 Randomized Selection'!AD$2&gt;0),'Stage 2 Randomized Selection'!AD$2*$M393, ""),""),"")</f>
        <v/>
      </c>
      <c r="AS413" s="102" t="str">
        <f>IF(ISNUMBER($B$393), IF($C413&lt;&gt;"", IF(AND(ISNUMBER('Stage 2 Randomized Selection'!AE$2),'Stage 2 Randomized Selection'!AE$2&gt;0),'Stage 2 Randomized Selection'!AE$2*$M393, ""),""),"")</f>
        <v/>
      </c>
      <c r="AT413" s="102" t="str">
        <f>IF(ISNUMBER($B$393), IF($C413&lt;&gt;"", IF(AND(ISNUMBER('Stage 2 Randomized Selection'!AF$2),'Stage 2 Randomized Selection'!AF$2&gt;0),'Stage 2 Randomized Selection'!AF$2*$M393, ""),""),"")</f>
        <v/>
      </c>
    </row>
    <row r="414" spans="1:46" x14ac:dyDescent="0.25">
      <c r="A414" s="518"/>
      <c r="B414" s="504"/>
      <c r="C414" s="104" t="str">
        <f>IF(AND(ISNUMBER(B393), OR('Cost Inputs'!$H$125&lt;&gt;"", 'Cost Inputs'!$I$125&lt;&gt;"", 'Cost Inputs'!$J$125&lt;&gt;"")), _4_5_3, "")</f>
        <v/>
      </c>
      <c r="D414" s="17" t="str">
        <f>IF(AND(C414&lt;&gt;"", 'Cost Inputs'!$G$125&lt;&gt;""), 'Cost Inputs'!$G$125, "")</f>
        <v/>
      </c>
      <c r="E414" s="17" t="str">
        <f>IF(AND(C414&lt;&gt;"", 'Cost Inputs'!$H$125&lt;&gt;""), 'Cost Inputs'!$H$125, "")</f>
        <v/>
      </c>
      <c r="F414" s="17" t="str">
        <f>IF(AND(C414&lt;&gt;"", 'Cost Inputs'!$I$125&lt;&gt;""), 'Cost Inputs'!$I$125, "")</f>
        <v/>
      </c>
      <c r="G414" s="105" t="str">
        <f t="shared" si="152"/>
        <v/>
      </c>
      <c r="H414" s="17" t="str">
        <f>IF(AND(C414&lt;&gt;"", 'Cost Inputs'!$J$125&lt;&gt;""), 'Cost Inputs'!$J$125, "")</f>
        <v/>
      </c>
      <c r="I414" s="17" t="str">
        <f>IF($C414&lt;&gt;"", IF(AND($E414&lt;&gt;"", H414&lt;&gt;""), H414/$E414, 0),"")</f>
        <v/>
      </c>
      <c r="J414" s="17" t="str">
        <f>IF(AND(C414&lt;&gt;"",('Cost Inputs'!$I$125+'Cost Inputs'!$J$125+'Cost Inputs'!$K$125)&gt;0), 'Cost Inputs'!$I$125+'Cost Inputs'!$J$125+'Cost Inputs'!$K$125, "")</f>
        <v/>
      </c>
      <c r="K414" s="17" t="str">
        <f>IF($C414&lt;&gt;"", IF(AND($E414&lt;&gt;"", J414&lt;&gt;""), J414/$E414, 0),"")</f>
        <v/>
      </c>
      <c r="L414" s="525"/>
      <c r="M414" s="525"/>
      <c r="S414" s="17" t="str">
        <f>IF(ISNUMBER($B$393),
IF($C414&lt;&gt;"",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14" s="17" t="str">
        <f>IF(ISNUMBER($B$393),
IF($C414&lt;&gt;"",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14" s="17" t="str">
        <f>IF(ISNUMBER($B$393),
IF($C414&lt;&gt;"",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14" s="17" t="str">
        <f>IF(ISNUMBER($B$393),
IF($C414&lt;&gt;"",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14" s="17" t="str">
        <f>IF(ISNUMBER($B$393),
IF($C414&lt;&gt;"",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14" s="17" t="str">
        <f>IF(ISNUMBER($B$393),
IF($C414&lt;&gt;"",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14" s="17" t="str">
        <f>IF(ISNUMBER($B$393),
IF($C414&lt;&gt;"",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14" s="17" t="str">
        <f>IF(ISNUMBER($B$393),
IF($C414&lt;&gt;"",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14" s="17" t="str">
        <f>IF(ISNUMBER($B$393),
IF($C414&lt;&gt;"",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14" s="17" t="str">
        <f>IF(ISNUMBER($B$393),
IF($C414&lt;&gt;"",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14" s="17" t="str">
        <f>IF(ISNUMBER($B$393),
IF($C414&lt;&gt;"",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14" s="17" t="str">
        <f>IF(ISNUMBER($B$393),
IF($C414&lt;&gt;"",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14" s="17" t="str">
        <f>IF(ISNUMBER($B$393),
IF($C414&lt;&gt;"",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14" s="17" t="str">
        <f>IF(ISNUMBER($B$393),
IF($C414&lt;&gt;"",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14" s="17" t="str">
        <f>IF(ISNUMBER($B$393),
IF($C414&lt;&gt;"",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14" s="17" t="str">
        <f>IF(ISNUMBER($B$393),
IF($C414&lt;&gt;"",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14" s="17" t="str">
        <f>IF(ISNUMBER($B$393),
IF($C414&lt;&gt;"",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14" s="17" t="str">
        <f>IF(ISNUMBER($B$393),
IF($C414&lt;&gt;"",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14" s="17" t="str">
        <f>IF(ISNUMBER($B$393),
IF($C414&lt;&gt;"",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14" s="17" t="str">
        <f>IF(ISNUMBER($B$393),
IF($C414&lt;&gt;"",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14" s="17" t="str">
        <f>IF(ISNUMBER($B$393),
IF($C414&lt;&gt;"",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14" s="17" t="str">
        <f>IF(ISNUMBER($B$393),
IF($C414&lt;&gt;"",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14" s="17" t="str">
        <f>IF(ISNUMBER($B$393),
IF($C414&lt;&gt;"",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14" s="17" t="str">
        <f>IF(ISNUMBER($B$393),
IF($C414&lt;&gt;"",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14" s="17" t="str">
        <f>IF(ISNUMBER($B$393),
IF($C414&lt;&gt;"",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14" s="17" t="str">
        <f>IF(ISNUMBER($B$393),
IF($C414&lt;&gt;"",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14" s="17" t="str">
        <f>IF(ISNUMBER($B$393),
IF($C414&lt;&gt;"",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14" s="17" t="str">
        <f>IF(ISNUMBER($B$393),
IF($C414&lt;&gt;"",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15" spans="1:46" ht="15.75" thickBot="1" x14ac:dyDescent="0.3">
      <c r="A415" s="518"/>
      <c r="B415" s="504"/>
      <c r="C415" s="107" t="str">
        <f>IF(AND(ISNUMBER(B393), OR('Cost Inputs'!$H$126&lt;&gt;"", 'Cost Inputs'!$I$126&lt;&gt;"", 'Cost Inputs'!$J$126&lt;&gt;"")), _4_5_2, "")</f>
        <v/>
      </c>
      <c r="D415" s="93" t="str">
        <f>IF(AND(C415&lt;&gt;"", 'Cost Inputs'!$G$126&lt;&gt;""), 'Cost Inputs'!$G$126, "")</f>
        <v/>
      </c>
      <c r="E415" s="93" t="str">
        <f>IF(AND(C415&lt;&gt;"", 'Cost Inputs'!$H$126&lt;&gt;""), 'Cost Inputs'!$H$126, "")</f>
        <v/>
      </c>
      <c r="F415" s="93" t="str">
        <f>IF(AND(C415&lt;&gt;"", 'Cost Inputs'!$I$126&lt;&gt;""), 'Cost Inputs'!$I$126, "")</f>
        <v/>
      </c>
      <c r="G415" s="108" t="str">
        <f t="shared" si="152"/>
        <v/>
      </c>
      <c r="H415" s="93" t="str">
        <f>IF(AND(C415&lt;&gt;"", 'Cost Inputs'!$J$126&lt;&gt;""), 'Cost Inputs'!$J$126, "")</f>
        <v/>
      </c>
      <c r="I415" s="93" t="str">
        <f>IF($C415&lt;&gt;"", IF(AND($E415&lt;&gt;"", H415&lt;&gt;""), H415/$E415, 0),"")</f>
        <v/>
      </c>
      <c r="J415" s="93" t="str">
        <f>IF(AND(C415&lt;&gt;"",('Cost Inputs'!$I$126+'Cost Inputs'!$J$126+'Cost Inputs'!$K$126)&gt;0), 'Cost Inputs'!$I$126+'Cost Inputs'!$J$126+'Cost Inputs'!$K$126, "")</f>
        <v/>
      </c>
      <c r="K415" s="93" t="str">
        <f>IF($C415&lt;&gt;"", IF(AND($E415&lt;&gt;"", J415&lt;&gt;""), J415/$E415, 0),"")</f>
        <v/>
      </c>
      <c r="L415" s="525"/>
      <c r="M415" s="525"/>
      <c r="S415" s="95" t="str">
        <f>IF(ISNUMBER($B$393),
IF($C415&lt;&gt;"",
IF(AND(ISNUMBER(R$392), R$392&gt;0),
IF(AND(S$279=123, Cultivar_1_Cohort_Year_Selection=$O$278,Cultivar_2_Cohort_Year_Selection=$O$278,Cultivar_3_Cohort_Year_Selection=$O$278), ROUND(MAX(0,R$392 - 3),0),
IF(AND(OR(S$279=123, S$279=12), Cultivar_1_Cohort_Year_Selection=$O$278,Cultivar_2_Cohort_Year_Selection=$O$278), ROUND(MAX(0,R$392 - 2),0),
IF(AND(OR(S$279=123, S$279=13), Cultivar_1_Cohort_Year_Selection=$O$278,Cultivar_3_Cohort_Year_Selection=$O$278), ROUND(MAX(0,R$392 - 2),0),
IF(AND(OR(S$279=123, S$279=23), Cultivar_2_Cohort_Year_Selection=$O$278,Cultivar_3_Cohort_Year_Selection=$O$278), ROUND(MAX(0,R$392 - 2),0),
IF(AND(OR(S$279=123, S$279=12, S$279=13, S$279=1), Cultivar_1_Cohort_Year_Selection=$O$278), ROUND(MAX(0,R$392 - 1),0),
IF(AND(OR(S$279=123, S$279=12, S$279=23, S$279=2), Cultivar_2_Cohort_Year_Selection=$O$278), ROUND(MAX(0,R$392 - 1),0),
IF(AND(OR(S$279=123, S$279=13, S$279=23, S$279=3), Cultivar_3_Cohort_Year_Selection=$O$278), ROUND(MAX(0,R$392 - 1),0),
ROUND(MAX(0,R$392),0)))))))),""),""),"")</f>
        <v/>
      </c>
      <c r="T415" s="95" t="str">
        <f>IF(ISNUMBER($B$393),
IF($C415&lt;&gt;"",
IF(AND(ISNUMBER(S$392), S$392&gt;0),
IF(AND(T$279=123, Cultivar_1_Cohort_Year_Selection=$P$278,Cultivar_2_Cohort_Year_Selection=$P$278,Cultivar_3_Cohort_Year_Selection=$P$278), ROUND(MAX(0,S$392 - 3),0),
IF(AND(OR(T$279=123, T$279=12), Cultivar_1_Cohort_Year_Selection=$P$278,Cultivar_2_Cohort_Year_Selection=$P$278), ROUND(MAX(0,S$392 - 2),0),
IF(AND(OR(T$279=123, T$279=13), Cultivar_1_Cohort_Year_Selection=$P$278,Cultivar_3_Cohort_Year_Selection=$P$278), ROUND(MAX(0,S$392 - 2),0),
IF(AND(OR(T$279=123, T$279=23), Cultivar_2_Cohort_Year_Selection=$P$278,Cultivar_3_Cohort_Year_Selection=$P$278), ROUND(MAX(0,S$392 - 2),0),
IF(AND(OR(T$279=123, T$279=12, T$279=13, T$279=1), Cultivar_1_Cohort_Year_Selection=$P$278), ROUND(MAX(0,S$392 - 1),0),
IF(AND(OR(T$279=123, T$279=12, T$279=23, T$279=2), Cultivar_2_Cohort_Year_Selection=$P$278), ROUND(MAX(0,S$392 - 1),0),
IF(AND(OR(T$279=123, T$279=13, T$279=23, T$279=3), Cultivar_3_Cohort_Year_Selection=$P$278), ROUND(MAX(0,S$392 - 1),0),
ROUND(MAX(0,S$392),0)))))))),""),""),"")</f>
        <v/>
      </c>
      <c r="U415" s="95" t="str">
        <f>IF(ISNUMBER($B$393),
IF($C415&lt;&gt;"",
IF(AND(ISNUMBER(T$392), T$392&gt;0),
IF(AND(U$279=123, Cultivar_1_Cohort_Year_Selection=$Q$278,Cultivar_2_Cohort_Year_Selection=$Q$278,Cultivar_3_Cohort_Year_Selection=$Q$278), ROUND(MAX(0,T$392 - 3),0),
IF(AND(OR(U$279=123, U$279=12), Cultivar_1_Cohort_Year_Selection=$Q$278,Cultivar_2_Cohort_Year_Selection=$Q$278), ROUND(MAX(0,T$392 - 2),0),
IF(AND(OR(U$279=123, U$279=13), Cultivar_1_Cohort_Year_Selection=$Q$278,Cultivar_3_Cohort_Year_Selection=$Q$278), ROUND(MAX(0,T$392 - 2),0),
IF(AND(OR(U$279=123, U$279=23), Cultivar_2_Cohort_Year_Selection=$Q$278,Cultivar_3_Cohort_Year_Selection=$Q$278), ROUND(MAX(0,T$392 - 2),0),
IF(AND(OR(U$279=123, U$279=12, U$279=13, U$279=1), Cultivar_1_Cohort_Year_Selection=$Q$278), ROUND(MAX(0,T$392 - 1),0),
IF(AND(OR(U$279=123, U$279=12, U$279=23, U$279=2), Cultivar_2_Cohort_Year_Selection=$Q$278), ROUND(MAX(0,T$392 - 1),0),
IF(AND(OR(U$279=123, U$279=13, U$279=23, U$279=3), Cultivar_3_Cohort_Year_Selection=$Q$278), ROUND(MAX(0,T$392 - 1),0),
ROUND(MAX(0,T$392),0)))))))),""),""),"")</f>
        <v/>
      </c>
      <c r="V415" s="95" t="str">
        <f>IF(ISNUMBER($B$393),
IF($C415&lt;&gt;"",
IF(AND(ISNUMBER(U$392), U$392&gt;0),
IF(AND(V$279=123, Cultivar_1_Cohort_Year_Selection=$R$278,Cultivar_2_Cohort_Year_Selection=$R$278,Cultivar_3_Cohort_Year_Selection=$R$278), ROUND(MAX(0,U$392 - 3),0),
IF(AND(OR(V$279=123, V$279=12), Cultivar_1_Cohort_Year_Selection=$R$278,Cultivar_2_Cohort_Year_Selection=$R$278), ROUND(MAX(0,U$392 - 2),0),
IF(AND(OR(V$279=123, V$279=13), Cultivar_1_Cohort_Year_Selection=$R$278,Cultivar_3_Cohort_Year_Selection=$R$278), ROUND(MAX(0,U$392 - 2),0),
IF(AND(OR(V$279=123, V$279=23), Cultivar_2_Cohort_Year_Selection=$R$278,Cultivar_3_Cohort_Year_Selection=$R$278), ROUND(MAX(0,U$392 - 2),0),
IF(AND(OR(V$279=123, V$279=12, V$279=13, V$279=1), Cultivar_1_Cohort_Year_Selection=$R$278), ROUND(MAX(0,U$392 - 1),0),
IF(AND(OR(V$279=123, V$279=12, V$279=23, V$279=2), Cultivar_2_Cohort_Year_Selection=$R$278), ROUND(MAX(0,U$392 - 1),0),
IF(AND(OR(V$279=123, V$279=13, V$279=23, V$279=3), Cultivar_3_Cohort_Year_Selection=$R$278), ROUND(MAX(0,U$392 - 1),0),
ROUND(MAX(0,U$392),0)))))))),""),""),"")</f>
        <v/>
      </c>
      <c r="W415" s="95" t="str">
        <f>IF(ISNUMBER($B$393),
IF($C415&lt;&gt;"",
IF(AND(ISNUMBER(V$392), V$392&gt;0),
IF(AND(W$279=123, Cultivar_1_Cohort_Year_Selection=$S$278,Cultivar_2_Cohort_Year_Selection=$S$278,Cultivar_3_Cohort_Year_Selection=$S$278), ROUND(MAX(0,V$392 - 3),0),
IF(AND(OR(W$279=123, W$279=12), Cultivar_1_Cohort_Year_Selection=$S$278,Cultivar_2_Cohort_Year_Selection=$S$278), ROUND(MAX(0,V$392 - 2),0),
IF(AND(OR(W$279=123, W$279=13), Cultivar_1_Cohort_Year_Selection=$S$278,Cultivar_3_Cohort_Year_Selection=$S$278), ROUND(MAX(0,V$392 - 2),0),
IF(AND(OR(W$279=123, W$279=23), Cultivar_2_Cohort_Year_Selection=$S$278,Cultivar_3_Cohort_Year_Selection=$S$278), ROUND(MAX(0,V$392 - 2),0),
IF(AND(OR(W$279=123, W$279=12, W$279=13, W$279=1), Cultivar_1_Cohort_Year_Selection=$S$278), ROUND(MAX(0,V$392 - 1),0),
IF(AND(OR(W$279=123, W$279=12, W$279=23, W$279=2), Cultivar_2_Cohort_Year_Selection=$S$278), ROUND(MAX(0,V$392 - 1),0),
IF(AND(OR(W$279=123, W$279=13, W$279=23, W$279=3), Cultivar_3_Cohort_Year_Selection=$S$278), ROUND(MAX(0,V$392 - 1),0),
ROUND(MAX(0,V$392),0)))))))),""),""),"")</f>
        <v/>
      </c>
      <c r="X415" s="95" t="str">
        <f>IF(ISNUMBER($B$393),
IF($C415&lt;&gt;"",
IF(AND(ISNUMBER(W$392), W$392&gt;0),
IF(AND(X$279=123, Cultivar_1_Cohort_Year_Selection=$T$278,Cultivar_2_Cohort_Year_Selection=$T$278,Cultivar_3_Cohort_Year_Selection=$T$278), ROUND(MAX(0,W$392 - 3),0),
IF(AND(OR(X$279=123, X$279=12), Cultivar_1_Cohort_Year_Selection=$T$278,Cultivar_2_Cohort_Year_Selection=$T$278), ROUND(MAX(0,W$392 - 2),0),
IF(AND(OR(X$279=123, X$279=13), Cultivar_1_Cohort_Year_Selection=$T$278,Cultivar_3_Cohort_Year_Selection=$T$278), ROUND(MAX(0,W$392 - 2),0),
IF(AND(OR(X$279=123, X$279=23), Cultivar_2_Cohort_Year_Selection=$T$278,Cultivar_3_Cohort_Year_Selection=$T$278), ROUND(MAX(0,W$392 - 2),0),
IF(AND(OR(X$279=123, X$279=12, X$279=13, X$279=1), Cultivar_1_Cohort_Year_Selection=$T$278), ROUND(MAX(0,W$392 - 1),0),
IF(AND(OR(X$279=123, X$279=12, X$279=23, X$279=2), Cultivar_2_Cohort_Year_Selection=$T$278), ROUND(MAX(0,W$392 - 1),0),
IF(AND(OR(X$279=123, X$279=13, X$279=23, X$279=3), Cultivar_3_Cohort_Year_Selection=$T$278), ROUND(MAX(0,W$392 - 1),0),
ROUND(MAX(0,W$392),0)))))))),""),""),"")</f>
        <v/>
      </c>
      <c r="Y415" s="95" t="str">
        <f>IF(ISNUMBER($B$393),
IF($C415&lt;&gt;"",
IF(AND(ISNUMBER(X$392), X$392&gt;0),
IF(AND(Y$279=123, Cultivar_1_Cohort_Year_Selection=$U$278,Cultivar_2_Cohort_Year_Selection=$U$278,Cultivar_3_Cohort_Year_Selection=$U$278), ROUND(MAX(0,X$392 - 3),0),
IF(AND(OR(Y$279=123, Y$279=12), Cultivar_1_Cohort_Year_Selection=$U$278,Cultivar_2_Cohort_Year_Selection=$U$278), ROUND(MAX(0,X$392 - 2),0),
IF(AND(OR(Y$279=123, Y$279=13), Cultivar_1_Cohort_Year_Selection=$U$278,Cultivar_3_Cohort_Year_Selection=$U$278), ROUND(MAX(0,X$392 - 2),0),
IF(AND(OR(Y$279=123, Y$279=23), Cultivar_2_Cohort_Year_Selection=$U$278,Cultivar_3_Cohort_Year_Selection=$U$278), ROUND(MAX(0,X$392 - 2),0),
IF(AND(OR(Y$279=123, Y$279=12, Y$279=13, Y$279=1), Cultivar_1_Cohort_Year_Selection=$U$278), ROUND(MAX(0,X$392 - 1),0),
IF(AND(OR(Y$279=123, Y$279=12, Y$279=23, Y$279=2), Cultivar_2_Cohort_Year_Selection=$U$278), ROUND(MAX(0,X$392 - 1),0),
IF(AND(OR(Y$279=123, Y$279=13, Y$279=23, Y$279=3), Cultivar_3_Cohort_Year_Selection=$U$278), ROUND(MAX(0,X$392 - 1),0),
ROUND(MAX(0,X$392),0)))))))),""),""),"")</f>
        <v/>
      </c>
      <c r="Z415" s="95" t="str">
        <f>IF(ISNUMBER($B$393),
IF($C415&lt;&gt;"",
IF(AND(ISNUMBER(Y$392), Y$392&gt;0),
IF(AND(Z$279=123, Cultivar_1_Cohort_Year_Selection=$V$278,Cultivar_2_Cohort_Year_Selection=$V$278,Cultivar_3_Cohort_Year_Selection=$V$278), ROUND(MAX(0,Y$392 - 3),0),
IF(AND(OR(Z$279=123, Z$279=12), Cultivar_1_Cohort_Year_Selection=$V$278,Cultivar_2_Cohort_Year_Selection=$V$278), ROUND(MAX(0,Y$392 - 2),0),
IF(AND(OR(Z$279=123, Z$279=13), Cultivar_1_Cohort_Year_Selection=$V$278,Cultivar_3_Cohort_Year_Selection=$V$278), ROUND(MAX(0,Y$392 - 2),0),
IF(AND(OR(Z$279=123, Z$279=23), Cultivar_2_Cohort_Year_Selection=$V$278,Cultivar_3_Cohort_Year_Selection=$V$278), ROUND(MAX(0,Y$392 - 2),0),
IF(AND(OR(Z$279=123, Z$279=12, Z$279=13, Z$279=1), Cultivar_1_Cohort_Year_Selection=$V$278), ROUND(MAX(0,Y$392 - 1),0),
IF(AND(OR(Z$279=123, Z$279=12, Z$279=23, Z$279=2), Cultivar_2_Cohort_Year_Selection=$V$278), ROUND(MAX(0,Y$392 - 1),0),
IF(AND(OR(Z$279=123, Z$279=13, Z$279=23, Z$279=3), Cultivar_3_Cohort_Year_Selection=$V$278), ROUND(MAX(0,Y$392 - 1),0),
ROUND(MAX(0,Y$392),0)))))))),""),""),"")</f>
        <v/>
      </c>
      <c r="AA415" s="95" t="str">
        <f>IF(ISNUMBER($B$393),
IF($C415&lt;&gt;"",
IF(AND(ISNUMBER(Z$392), Z$392&gt;0),
IF(AND(AA$279=123, Cultivar_1_Cohort_Year_Selection=$W$278,Cultivar_2_Cohort_Year_Selection=$W$278,Cultivar_3_Cohort_Year_Selection=$W$278), ROUND(MAX(0,Z$392 - 3),0),
IF(AND(OR(AA$279=123, AA$279=12), Cultivar_1_Cohort_Year_Selection=$W$278,Cultivar_2_Cohort_Year_Selection=$W$278), ROUND(MAX(0,Z$392 - 2),0),
IF(AND(OR(AA$279=123, AA$279=13), Cultivar_1_Cohort_Year_Selection=$W$278,Cultivar_3_Cohort_Year_Selection=$W$278), ROUND(MAX(0,Z$392 - 2),0),
IF(AND(OR(AA$279=123, AA$279=23), Cultivar_2_Cohort_Year_Selection=$W$278,Cultivar_3_Cohort_Year_Selection=$W$278), ROUND(MAX(0,Z$392 - 2),0),
IF(AND(OR(AA$279=123, AA$279=12, AA$279=13, AA$279=1), Cultivar_1_Cohort_Year_Selection=$W$278), ROUND(MAX(0,Z$392 - 1),0),
IF(AND(OR(AA$279=123, AA$279=12, AA$279=23, AA$279=2), Cultivar_2_Cohort_Year_Selection=$W$278), ROUND(MAX(0,Z$392 - 1),0),
IF(AND(OR(AA$279=123, AA$279=13, AA$279=23, AA$279=3), Cultivar_3_Cohort_Year_Selection=$W$278), ROUND(MAX(0,Z$392 - 1),0),
ROUND(MAX(0,Z$392),0)))))))),""),""),"")</f>
        <v/>
      </c>
      <c r="AB415" s="95" t="str">
        <f>IF(ISNUMBER($B$393),
IF($C415&lt;&gt;"",
IF(AND(ISNUMBER(AA$392), AA$392&gt;0),
IF(AND(AB$279=123, Cultivar_1_Cohort_Year_Selection=$X$278,Cultivar_2_Cohort_Year_Selection=$X$278,Cultivar_3_Cohort_Year_Selection=$X$278), ROUND(MAX(0,AA$392 - 3),0),
IF(AND(OR(AB$279=123, AB$279=12), Cultivar_1_Cohort_Year_Selection=$X$278,Cultivar_2_Cohort_Year_Selection=$X$278), ROUND(MAX(0,AA$392 - 2),0),
IF(AND(OR(AB$279=123, AB$279=13), Cultivar_1_Cohort_Year_Selection=$X$278,Cultivar_3_Cohort_Year_Selection=$X$278), ROUND(MAX(0,AA$392 - 2),0),
IF(AND(OR(AB$279=123, AB$279=23), Cultivar_2_Cohort_Year_Selection=$X$278,Cultivar_3_Cohort_Year_Selection=$X$278), ROUND(MAX(0,AA$392 - 2),0),
IF(AND(OR(AB$279=123, AB$279=12, AB$279=13, AB$279=1), Cultivar_1_Cohort_Year_Selection=$X$278), ROUND(MAX(0,AA$392 - 1),0),
IF(AND(OR(AB$279=123, AB$279=12, AB$279=23, AB$279=2), Cultivar_2_Cohort_Year_Selection=$X$278), ROUND(MAX(0,AA$392 - 1),0),
IF(AND(OR(AB$279=123, AB$279=13, AB$279=23, AB$279=3), Cultivar_3_Cohort_Year_Selection=$X$278), ROUND(MAX(0,AA$392 - 1),0),
ROUND(MAX(0,AA$392),0)))))))),""),""),"")</f>
        <v/>
      </c>
      <c r="AC415" s="95" t="str">
        <f>IF(ISNUMBER($B$393),
IF($C415&lt;&gt;"",
IF(AND(ISNUMBER(AB$392), AB$392&gt;0),
IF(AND(AC$279=123, Cultivar_1_Cohort_Year_Selection=$Y$278,Cultivar_2_Cohort_Year_Selection=$Y$278,Cultivar_3_Cohort_Year_Selection=$Y$278), ROUND(MAX(0,AB$392 - 3),0),
IF(AND(OR(AC$279=123, AC$279=12), Cultivar_1_Cohort_Year_Selection=$Y$278,Cultivar_2_Cohort_Year_Selection=$Y$278), ROUND(MAX(0,AB$392 - 2),0),
IF(AND(OR(AC$279=123, AC$279=13), Cultivar_1_Cohort_Year_Selection=$Y$278,Cultivar_3_Cohort_Year_Selection=$Y$278), ROUND(MAX(0,AB$392 - 2),0),
IF(AND(OR(AC$279=123, AC$279=23), Cultivar_2_Cohort_Year_Selection=$Y$278,Cultivar_3_Cohort_Year_Selection=$Y$278), ROUND(MAX(0,AB$392 - 2),0),
IF(AND(OR(AC$279=123, AC$279=12, AC$279=13, AC$279=1), Cultivar_1_Cohort_Year_Selection=$Y$278), ROUND(MAX(0,AB$392 - 1),0),
IF(AND(OR(AC$279=123, AC$279=12, AC$279=23, AC$279=2), Cultivar_2_Cohort_Year_Selection=$Y$278), ROUND(MAX(0,AB$392 - 1),0),
IF(AND(OR(AC$279=123, AC$279=13, AC$279=23, AC$279=3), Cultivar_3_Cohort_Year_Selection=$Y$278), ROUND(MAX(0,AB$392 - 1),0),
ROUND(MAX(0,AB$392),0)))))))),""),""),"")</f>
        <v/>
      </c>
      <c r="AD415" s="95" t="str">
        <f>IF(ISNUMBER($B$393),
IF($C415&lt;&gt;"",
IF(AND(ISNUMBER(AC$392), AC$392&gt;0),
IF(AND(AD$279=123, Cultivar_1_Cohort_Year_Selection=$Z$278,Cultivar_2_Cohort_Year_Selection=$Z$278,Cultivar_3_Cohort_Year_Selection=$Z$278), ROUND(MAX(0,AC$392 - 3),0),
IF(AND(OR(AD$279=123, AD$279=12), Cultivar_1_Cohort_Year_Selection=$Z$278,Cultivar_2_Cohort_Year_Selection=$Z$278), ROUND(MAX(0,AC$392 - 2),0),
IF(AND(OR(AD$279=123, AD$279=13), Cultivar_1_Cohort_Year_Selection=$Z$278,Cultivar_3_Cohort_Year_Selection=$Z$278), ROUND(MAX(0,AC$392 - 2),0),
IF(AND(OR(AD$279=123, AD$279=23), Cultivar_2_Cohort_Year_Selection=$Z$278,Cultivar_3_Cohort_Year_Selection=$Z$278), ROUND(MAX(0,AC$392 - 2),0),
IF(AND(OR(AD$279=123, AD$279=12, AD$279=13, AD$279=1), Cultivar_1_Cohort_Year_Selection=$Z$278), ROUND(MAX(0,AC$392 - 1),0),
IF(AND(OR(AD$279=123, AD$279=12, AD$279=23, AD$279=2), Cultivar_2_Cohort_Year_Selection=$Z$278), ROUND(MAX(0,AC$392 - 1),0),
IF(AND(OR(AD$279=123, AD$279=13, AD$279=23, AD$279=3), Cultivar_3_Cohort_Year_Selection=$Z$278), ROUND(MAX(0,AC$392 - 1),0),
ROUND(MAX(0,AC$392),0)))))))),""),""),"")</f>
        <v/>
      </c>
      <c r="AE415" s="95" t="str">
        <f>IF(ISNUMBER($B$393),
IF($C415&lt;&gt;"",
IF(AND(ISNUMBER(AD$392), AD$392&gt;0),
IF(AND(AE$279=123, Cultivar_1_Cohort_Year_Selection=$AA$278,Cultivar_2_Cohort_Year_Selection=$AA$278,Cultivar_3_Cohort_Year_Selection=$AA$278), ROUND(MAX(0,AD$392 - 3),0),
IF(AND(OR(AE$279=123, AE$279=12), Cultivar_1_Cohort_Year_Selection=$AA$278,Cultivar_2_Cohort_Year_Selection=$AA$278), ROUND(MAX(0,AD$392 - 2),0),
IF(AND(OR(AE$279=123, AE$279=13), Cultivar_1_Cohort_Year_Selection=$AA$278,Cultivar_3_Cohort_Year_Selection=$AA$278), ROUND(MAX(0,AD$392 - 2),0),
IF(AND(OR(AE$279=123, AE$279=23), Cultivar_2_Cohort_Year_Selection=$AA$278,Cultivar_3_Cohort_Year_Selection=$AA$278), ROUND(MAX(0,AD$392 - 2),0),
IF(AND(OR(AE$279=123, AE$279=12, AE$279=13, AE$279=1), Cultivar_1_Cohort_Year_Selection=$AA$278), ROUND(MAX(0,AD$392 - 1),0),
IF(AND(OR(AE$279=123, AE$279=12, AE$279=23, AE$279=2), Cultivar_2_Cohort_Year_Selection=$AA$278), ROUND(MAX(0,AD$392 - 1),0),
IF(AND(OR(AE$279=123, AE$279=13, AE$279=23, AE$279=3), Cultivar_3_Cohort_Year_Selection=$AA$278), ROUND(MAX(0,AD$392 - 1),0),
ROUND(MAX(0,AD$392),0)))))))),""),""),"")</f>
        <v/>
      </c>
      <c r="AF415" s="95" t="str">
        <f>IF(ISNUMBER($B$393),
IF($C415&lt;&gt;"",
IF(AND(ISNUMBER(AE$392), AE$392&gt;0),
IF(AND(AF$279=123, Cultivar_1_Cohort_Year_Selection=$AB$278,Cultivar_2_Cohort_Year_Selection=$AB$278,Cultivar_3_Cohort_Year_Selection=$AB$278), ROUND(MAX(0,AE$392 - 3),0),
IF(AND(OR(AF$279=123, AF$279=12), Cultivar_1_Cohort_Year_Selection=$AB$278,Cultivar_2_Cohort_Year_Selection=$AB$278), ROUND(MAX(0,AE$392 - 2),0),
IF(AND(OR(AF$279=123, AF$279=13), Cultivar_1_Cohort_Year_Selection=$AB$278,Cultivar_3_Cohort_Year_Selection=$AB$278), ROUND(MAX(0,AE$392 - 2),0),
IF(AND(OR(AF$279=123, AF$279=23), Cultivar_2_Cohort_Year_Selection=$AB$278,Cultivar_3_Cohort_Year_Selection=$AB$278), ROUND(MAX(0,AE$392 - 2),0),
IF(AND(OR(AF$279=123, AF$279=12, AF$279=13, AF$279=1), Cultivar_1_Cohort_Year_Selection=$AB$278), ROUND(MAX(0,AE$392 - 1),0),
IF(AND(OR(AF$279=123, AF$279=12, AF$279=23, AF$279=2), Cultivar_2_Cohort_Year_Selection=$AB$278), ROUND(MAX(0,AE$392 - 1),0),
IF(AND(OR(AF$279=123, AF$279=13, AF$279=23, AF$279=3), Cultivar_3_Cohort_Year_Selection=$AB$278), ROUND(MAX(0,AE$392 - 1),0),
ROUND(MAX(0,AE$392),0)))))))),""),""),"")</f>
        <v/>
      </c>
      <c r="AG415" s="95" t="str">
        <f>IF(ISNUMBER($B$393),
IF($C415&lt;&gt;"",
IF(AND(ISNUMBER(AF$392), AF$392&gt;0),
IF(AND(AG$279=123, Cultivar_1_Cohort_Year_Selection=$AC$278,Cultivar_2_Cohort_Year_Selection=$AC$278,Cultivar_3_Cohort_Year_Selection=$AC$278), ROUND(MAX(0,AF$392 - 3),0),
IF(AND(OR(AG$279=123, AG$279=12), Cultivar_1_Cohort_Year_Selection=$AC$278,Cultivar_2_Cohort_Year_Selection=$AC$278), ROUND(MAX(0,AF$392 - 2),0),
IF(AND(OR(AG$279=123, AG$279=13), Cultivar_1_Cohort_Year_Selection=$AC$278,Cultivar_3_Cohort_Year_Selection=$AC$278), ROUND(MAX(0,AF$392 - 2),0),
IF(AND(OR(AG$279=123, AG$279=23), Cultivar_2_Cohort_Year_Selection=$AC$278,Cultivar_3_Cohort_Year_Selection=$AC$278), ROUND(MAX(0,AF$392 - 2),0),
IF(AND(OR(AG$279=123, AG$279=12, AG$279=13, AG$279=1), Cultivar_1_Cohort_Year_Selection=$AC$278), ROUND(MAX(0,AF$392 - 1),0),
IF(AND(OR(AG$279=123, AG$279=12, AG$279=23, AG$279=2), Cultivar_2_Cohort_Year_Selection=$AC$278), ROUND(MAX(0,AF$392 - 1),0),
IF(AND(OR(AG$279=123, AG$279=13, AG$279=23, AG$279=3), Cultivar_3_Cohort_Year_Selection=$AC$278), ROUND(MAX(0,AF$392 - 1),0),
ROUND(MAX(0,AF$392),0)))))))),""),""),"")</f>
        <v/>
      </c>
      <c r="AH415" s="95" t="str">
        <f>IF(ISNUMBER($B$393),
IF($C415&lt;&gt;"",
IF(AND(ISNUMBER(AG$392), AG$392&gt;0),
IF(AND(AH$279=123, Cultivar_1_Cohort_Year_Selection=$AD$278,Cultivar_2_Cohort_Year_Selection=$AD$278,Cultivar_3_Cohort_Year_Selection=$AD$278), ROUND(MAX(0,AG$392 - 3),0),
IF(AND(OR(AH$279=123, AH$279=12), Cultivar_1_Cohort_Year_Selection=$AD$278,Cultivar_2_Cohort_Year_Selection=$AD$278), ROUND(MAX(0,AG$392 - 2),0),
IF(AND(OR(AH$279=123, AH$279=13), Cultivar_1_Cohort_Year_Selection=$AD$278,Cultivar_3_Cohort_Year_Selection=$AD$278), ROUND(MAX(0,AG$392 - 2),0),
IF(AND(OR(AH$279=123, AH$279=23), Cultivar_2_Cohort_Year_Selection=$AD$278,Cultivar_3_Cohort_Year_Selection=$AD$278), ROUND(MAX(0,AG$392 - 2),0),
IF(AND(OR(AH$279=123, AH$279=12, AH$279=13, AH$279=1), Cultivar_1_Cohort_Year_Selection=$AD$278), ROUND(MAX(0,AG$392 - 1),0),
IF(AND(OR(AH$279=123, AH$279=12, AH$279=23, AH$279=2), Cultivar_2_Cohort_Year_Selection=$AD$278), ROUND(MAX(0,AG$392 - 1),0),
IF(AND(OR(AH$279=123, AH$279=13, AH$279=23, AH$279=3), Cultivar_3_Cohort_Year_Selection=$AD$278), ROUND(MAX(0,AG$392 - 1),0),
ROUND(MAX(0,AG$392),0)))))))),""),""),"")</f>
        <v/>
      </c>
      <c r="AI415" s="95" t="str">
        <f>IF(ISNUMBER($B$393),
IF($C415&lt;&gt;"",
IF(AND(ISNUMBER(AH$392), AH$392&gt;0),
IF(AND(AI$279=123, Cultivar_1_Cohort_Year_Selection=$AE$278,Cultivar_2_Cohort_Year_Selection=$AE$278,Cultivar_3_Cohort_Year_Selection=$AE$278), ROUND(MAX(0,AH$392 - 3),0),
IF(AND(OR(AI$279=123, AI$279=12), Cultivar_1_Cohort_Year_Selection=$AE$278,Cultivar_2_Cohort_Year_Selection=$AE$278), ROUND(MAX(0,AH$392 - 2),0),
IF(AND(OR(AI$279=123, AI$279=13), Cultivar_1_Cohort_Year_Selection=$AE$278,Cultivar_3_Cohort_Year_Selection=$AE$278), ROUND(MAX(0,AH$392 - 2),0),
IF(AND(OR(AI$279=123, AI$279=23), Cultivar_2_Cohort_Year_Selection=$AE$278,Cultivar_3_Cohort_Year_Selection=$AE$278), ROUND(MAX(0,AH$392 - 2),0),
IF(AND(OR(AI$279=123, AI$279=12, AI$279=13, AI$279=1), Cultivar_1_Cohort_Year_Selection=$AE$278), ROUND(MAX(0,AH$392 - 1),0),
IF(AND(OR(AI$279=123, AI$279=12, AI$279=23, AI$279=2), Cultivar_2_Cohort_Year_Selection=$AE$278), ROUND(MAX(0,AH$392 - 1),0),
IF(AND(OR(AI$279=123, AI$279=13, AI$279=23, AI$279=3), Cultivar_3_Cohort_Year_Selection=$AE$278), ROUND(MAX(0,AH$392 - 1),0),
ROUND(MAX(0,AH$392),0)))))))),""),""),"")</f>
        <v/>
      </c>
      <c r="AJ415" s="95" t="str">
        <f>IF(ISNUMBER($B$393),
IF($C415&lt;&gt;"",
IF(AND(ISNUMBER(AI$392), AI$392&gt;0),
IF(AND(AJ$279=123, Cultivar_1_Cohort_Year_Selection=$AF$278,Cultivar_2_Cohort_Year_Selection=$AF$278,Cultivar_3_Cohort_Year_Selection=$AF$278), ROUND(MAX(0,AI$392 - 3),0),
IF(AND(OR(AJ$279=123, AJ$279=12), Cultivar_1_Cohort_Year_Selection=$AF$278,Cultivar_2_Cohort_Year_Selection=$AF$278), ROUND(MAX(0,AI$392 - 2),0),
IF(AND(OR(AJ$279=123, AJ$279=13), Cultivar_1_Cohort_Year_Selection=$AF$278,Cultivar_3_Cohort_Year_Selection=$AF$278), ROUND(MAX(0,AI$392 - 2),0),
IF(AND(OR(AJ$279=123, AJ$279=23), Cultivar_2_Cohort_Year_Selection=$AF$278,Cultivar_3_Cohort_Year_Selection=$AF$278), ROUND(MAX(0,AI$392 - 2),0),
IF(AND(OR(AJ$279=123, AJ$279=12, AJ$279=13, AJ$279=1), Cultivar_1_Cohort_Year_Selection=$AF$278), ROUND(MAX(0,AI$392 - 1),0),
IF(AND(OR(AJ$279=123, AJ$279=12, AJ$279=23, AJ$279=2), Cultivar_2_Cohort_Year_Selection=$AF$278), ROUND(MAX(0,AI$392 - 1),0),
IF(AND(OR(AJ$279=123, AJ$279=13, AJ$279=23, AJ$279=3), Cultivar_3_Cohort_Year_Selection=$AF$278), ROUND(MAX(0,AI$392 - 1),0),
ROUND(MAX(0,AI$392),0)))))))),""),""),"")</f>
        <v/>
      </c>
      <c r="AK415" s="95" t="str">
        <f>IF(ISNUMBER($B$393),
IF($C415&lt;&gt;"",
IF(AND(ISNUMBER(AJ$392), AJ$392&gt;0),
IF(AND(AK$279=123, Cultivar_1_Cohort_Year_Selection=$AG$278,Cultivar_2_Cohort_Year_Selection=$AG$278,Cultivar_3_Cohort_Year_Selection=$AG$278), ROUND(MAX(0,AJ$392 - 3),0),
IF(AND(OR(AK$279=123, AK$279=12), Cultivar_1_Cohort_Year_Selection=$AG$278,Cultivar_2_Cohort_Year_Selection=$AG$278), ROUND(MAX(0,AJ$392 - 2),0),
IF(AND(OR(AK$279=123, AK$279=13), Cultivar_1_Cohort_Year_Selection=$AG$278,Cultivar_3_Cohort_Year_Selection=$AG$278), ROUND(MAX(0,AJ$392 - 2),0),
IF(AND(OR(AK$279=123, AK$279=23), Cultivar_2_Cohort_Year_Selection=$AG$278,Cultivar_3_Cohort_Year_Selection=$AG$278), ROUND(MAX(0,AJ$392 - 2),0),
IF(AND(OR(AK$279=123, AK$279=12, AK$279=13, AK$279=1), Cultivar_1_Cohort_Year_Selection=$AG$278), ROUND(MAX(0,AJ$392 - 1),0),
IF(AND(OR(AK$279=123, AK$279=12, AK$279=23, AK$279=2), Cultivar_2_Cohort_Year_Selection=$AG$278), ROUND(MAX(0,AJ$392 - 1),0),
IF(AND(OR(AK$279=123, AK$279=13, AK$279=23, AK$279=3), Cultivar_3_Cohort_Year_Selection=$AG$278), ROUND(MAX(0,AJ$392 - 1),0),
ROUND(MAX(0,AJ$392),0)))))))),""),""),"")</f>
        <v/>
      </c>
      <c r="AL415" s="95" t="str">
        <f>IF(ISNUMBER($B$393),
IF($C415&lt;&gt;"",
IF(AND(ISNUMBER(AK$392), AK$392&gt;0),
IF(AND(AL$279=123, Cultivar_1_Cohort_Year_Selection=$AH$278,Cultivar_2_Cohort_Year_Selection=$AH$278,Cultivar_3_Cohort_Year_Selection=$AH$278), ROUND(MAX(0,AK$392 - 3),0),
IF(AND(OR(AL$279=123, AL$279=12), Cultivar_1_Cohort_Year_Selection=$AH$278,Cultivar_2_Cohort_Year_Selection=$AH$278), ROUND(MAX(0,AK$392 - 2),0),
IF(AND(OR(AL$279=123, AL$279=13), Cultivar_1_Cohort_Year_Selection=$AH$278,Cultivar_3_Cohort_Year_Selection=$AH$278), ROUND(MAX(0,AK$392 - 2),0),
IF(AND(OR(AL$279=123, AL$279=23), Cultivar_2_Cohort_Year_Selection=$AH$278,Cultivar_3_Cohort_Year_Selection=$AH$278), ROUND(MAX(0,AK$392 - 2),0),
IF(AND(OR(AL$279=123, AL$279=12, AL$279=13, AL$279=1), Cultivar_1_Cohort_Year_Selection=$AH$278), ROUND(MAX(0,AK$392 - 1),0),
IF(AND(OR(AL$279=123, AL$279=12, AL$279=23, AL$279=2), Cultivar_2_Cohort_Year_Selection=$AH$278), ROUND(MAX(0,AK$392 - 1),0),
IF(AND(OR(AL$279=123, AL$279=13, AL$279=23, AL$279=3), Cultivar_3_Cohort_Year_Selection=$AH$278), ROUND(MAX(0,AK$392 - 1),0),
ROUND(MAX(0,AK$392),0)))))))),""),""),"")</f>
        <v/>
      </c>
      <c r="AM415" s="95" t="str">
        <f>IF(ISNUMBER($B$393),
IF($C415&lt;&gt;"",
IF(AND(ISNUMBER(AL$392), AL$392&gt;0),
IF(AND(AM$279=123, Cultivar_1_Cohort_Year_Selection=$AI$278,Cultivar_2_Cohort_Year_Selection=$AI$278,Cultivar_3_Cohort_Year_Selection=$AI$278), ROUND(MAX(0,AL$392 - 3),0),
IF(AND(OR(AM$279=123, AM$279=12), Cultivar_1_Cohort_Year_Selection=$AI$278,Cultivar_2_Cohort_Year_Selection=$AI$278), ROUND(MAX(0,AL$392 - 2),0),
IF(AND(OR(AM$279=123, AM$279=13), Cultivar_1_Cohort_Year_Selection=$AI$278,Cultivar_3_Cohort_Year_Selection=$AI$278), ROUND(MAX(0,AL$392 - 2),0),
IF(AND(OR(AM$279=123, AM$279=23), Cultivar_2_Cohort_Year_Selection=$AI$278,Cultivar_3_Cohort_Year_Selection=$AI$278), ROUND(MAX(0,AL$392 - 2),0),
IF(AND(OR(AM$279=123, AM$279=12, AM$279=13, AM$279=1), Cultivar_1_Cohort_Year_Selection=$AI$278), ROUND(MAX(0,AL$392 - 1),0),
IF(AND(OR(AM$279=123, AM$279=12, AM$279=23, AM$279=2), Cultivar_2_Cohort_Year_Selection=$AI$278), ROUND(MAX(0,AL$392 - 1),0),
IF(AND(OR(AM$279=123, AM$279=13, AM$279=23, AM$279=3), Cultivar_3_Cohort_Year_Selection=$AI$278), ROUND(MAX(0,AL$392 - 1),0),
ROUND(MAX(0,AL$392),0)))))))),""),""),"")</f>
        <v/>
      </c>
      <c r="AN415" s="95" t="str">
        <f>IF(ISNUMBER($B$393),
IF($C415&lt;&gt;"",
IF(AND(ISNUMBER(AM$392), AM$392&gt;0),
IF(AND(AN$279=123, Cultivar_1_Cohort_Year_Selection=$AJ$278,Cultivar_2_Cohort_Year_Selection=$AJ$278,Cultivar_3_Cohort_Year_Selection=$AJ$278), ROUND(MAX(0,AM$392 - 3),0),
IF(AND(OR(AN$279=123, AN$279=12), Cultivar_1_Cohort_Year_Selection=$AJ$278,Cultivar_2_Cohort_Year_Selection=$AJ$278), ROUND(MAX(0,AM$392 - 2),0),
IF(AND(OR(AN$279=123, AN$279=13), Cultivar_1_Cohort_Year_Selection=$AJ$278,Cultivar_3_Cohort_Year_Selection=$AJ$278), ROUND(MAX(0,AM$392 - 2),0),
IF(AND(OR(AN$279=123, AN$279=23), Cultivar_2_Cohort_Year_Selection=$AJ$278,Cultivar_3_Cohort_Year_Selection=$AJ$278), ROUND(MAX(0,AM$392 - 2),0),
IF(AND(OR(AN$279=123, AN$279=12, AN$279=13, AN$279=1), Cultivar_1_Cohort_Year_Selection=$AJ$278), ROUND(MAX(0,AM$392 - 1),0),
IF(AND(OR(AN$279=123, AN$279=12, AN$279=23, AN$279=2), Cultivar_2_Cohort_Year_Selection=$AJ$278), ROUND(MAX(0,AM$392 - 1),0),
IF(AND(OR(AN$279=123, AN$279=13, AN$279=23, AN$279=3), Cultivar_3_Cohort_Year_Selection=$AJ$278), ROUND(MAX(0,AM$392 - 1),0),
ROUND(MAX(0,AM$392),0)))))))),""),""),"")</f>
        <v/>
      </c>
      <c r="AO415" s="95" t="str">
        <f>IF(ISNUMBER($B$393),
IF($C415&lt;&gt;"",
IF(AND(ISNUMBER(AN$392), AN$392&gt;0),
IF(AND(AO$279=123, Cultivar_1_Cohort_Year_Selection=$AK$278,Cultivar_2_Cohort_Year_Selection=$AK$278,Cultivar_3_Cohort_Year_Selection=$AK$278), ROUND(MAX(0,AN$392 - 3),0),
IF(AND(OR(AO$279=123, AO$279=12), Cultivar_1_Cohort_Year_Selection=$AK$278,Cultivar_2_Cohort_Year_Selection=$AK$278), ROUND(MAX(0,AN$392 - 2),0),
IF(AND(OR(AO$279=123, AO$279=13), Cultivar_1_Cohort_Year_Selection=$AK$278,Cultivar_3_Cohort_Year_Selection=$AK$278), ROUND(MAX(0,AN$392 - 2),0),
IF(AND(OR(AO$279=123, AO$279=23), Cultivar_2_Cohort_Year_Selection=$AK$278,Cultivar_3_Cohort_Year_Selection=$AK$278), ROUND(MAX(0,AN$392 - 2),0),
IF(AND(OR(AO$279=123, AO$279=12, AO$279=13, AO$279=1), Cultivar_1_Cohort_Year_Selection=$AK$278), ROUND(MAX(0,AN$392 - 1),0),
IF(AND(OR(AO$279=123, AO$279=12, AO$279=23, AO$279=2), Cultivar_2_Cohort_Year_Selection=$AK$278), ROUND(MAX(0,AN$392 - 1),0),
IF(AND(OR(AO$279=123, AO$279=13, AO$279=23, AO$279=3), Cultivar_3_Cohort_Year_Selection=$AK$278), ROUND(MAX(0,AN$392 - 1),0),
ROUND(MAX(0,AN$392),0)))))))),""),""),"")</f>
        <v/>
      </c>
      <c r="AP415" s="95" t="str">
        <f>IF(ISNUMBER($B$393),
IF($C415&lt;&gt;"",
IF(AND(ISNUMBER(AO$392), AO$392&gt;0),
IF(AND(AP$279=123, Cultivar_1_Cohort_Year_Selection=$AL$278,Cultivar_2_Cohort_Year_Selection=$AL$278,Cultivar_3_Cohort_Year_Selection=$AL$278), ROUND(MAX(0,AO$392 - 3),0),
IF(AND(OR(AP$279=123, AP$279=12), Cultivar_1_Cohort_Year_Selection=$AL$278,Cultivar_2_Cohort_Year_Selection=$AL$278), ROUND(MAX(0,AO$392 - 2),0),
IF(AND(OR(AP$279=123, AP$279=13), Cultivar_1_Cohort_Year_Selection=$AL$278,Cultivar_3_Cohort_Year_Selection=$AL$278), ROUND(MAX(0,AO$392 - 2),0),
IF(AND(OR(AP$279=123, AP$279=23), Cultivar_2_Cohort_Year_Selection=$AL$278,Cultivar_3_Cohort_Year_Selection=$AL$278), ROUND(MAX(0,AO$392 - 2),0),
IF(AND(OR(AP$279=123, AP$279=12, AP$279=13, AP$279=1), Cultivar_1_Cohort_Year_Selection=$AL$278), ROUND(MAX(0,AO$392 - 1),0),
IF(AND(OR(AP$279=123, AP$279=12, AP$279=23, AP$279=2), Cultivar_2_Cohort_Year_Selection=$AL$278), ROUND(MAX(0,AO$392 - 1),0),
IF(AND(OR(AP$279=123, AP$279=13, AP$279=23, AP$279=3), Cultivar_3_Cohort_Year_Selection=$AL$278), ROUND(MAX(0,AO$392 - 1),0),
ROUND(MAX(0,AO$392),0)))))))),""),""),"")</f>
        <v/>
      </c>
      <c r="AQ415" s="95" t="str">
        <f>IF(ISNUMBER($B$393),
IF($C415&lt;&gt;"",
IF(AND(ISNUMBER(AP$392), AP$392&gt;0),
IF(AND(AQ$279=123, Cultivar_1_Cohort_Year_Selection=$AM$278,Cultivar_2_Cohort_Year_Selection=$AM$278,Cultivar_3_Cohort_Year_Selection=$AM$278), ROUND(MAX(0,AP$392 - 3),0),
IF(AND(OR(AQ$279=123, AQ$279=12), Cultivar_1_Cohort_Year_Selection=$AM$278,Cultivar_2_Cohort_Year_Selection=$AM$278), ROUND(MAX(0,AP$392 - 2),0),
IF(AND(OR(AQ$279=123, AQ$279=13), Cultivar_1_Cohort_Year_Selection=$AM$278,Cultivar_3_Cohort_Year_Selection=$AM$278), ROUND(MAX(0,AP$392 - 2),0),
IF(AND(OR(AQ$279=123, AQ$279=23), Cultivar_2_Cohort_Year_Selection=$AM$278,Cultivar_3_Cohort_Year_Selection=$AM$278), ROUND(MAX(0,AP$392 - 2),0),
IF(AND(OR(AQ$279=123, AQ$279=12, AQ$279=13, AQ$279=1), Cultivar_1_Cohort_Year_Selection=$AM$278), ROUND(MAX(0,AP$392 - 1),0),
IF(AND(OR(AQ$279=123, AQ$279=12, AQ$279=23, AQ$279=2), Cultivar_2_Cohort_Year_Selection=$AM$278), ROUND(MAX(0,AP$392 - 1),0),
IF(AND(OR(AQ$279=123, AQ$279=13, AQ$279=23, AQ$279=3), Cultivar_3_Cohort_Year_Selection=$AM$278), ROUND(MAX(0,AP$392 - 1),0),
ROUND(MAX(0,AP$392),0)))))))),""),""),"")</f>
        <v/>
      </c>
      <c r="AR415" s="95" t="str">
        <f>IF(ISNUMBER($B$393),
IF($C415&lt;&gt;"",
IF(AND(ISNUMBER(AQ$392), AQ$392&gt;0),
IF(AND(AR$279=123, Cultivar_1_Cohort_Year_Selection=$AN$278,Cultivar_2_Cohort_Year_Selection=$AN$278,Cultivar_3_Cohort_Year_Selection=$AN$278), ROUND(MAX(0,AQ$392 - 3),0),
IF(AND(OR(AR$279=123, AR$279=12), Cultivar_1_Cohort_Year_Selection=$AN$278,Cultivar_2_Cohort_Year_Selection=$AN$278), ROUND(MAX(0,AQ$392 - 2),0),
IF(AND(OR(AR$279=123, AR$279=13), Cultivar_1_Cohort_Year_Selection=$AN$278,Cultivar_3_Cohort_Year_Selection=$AN$278), ROUND(MAX(0,AQ$392 - 2),0),
IF(AND(OR(AR$279=123, AR$279=23), Cultivar_2_Cohort_Year_Selection=$AN$278,Cultivar_3_Cohort_Year_Selection=$AN$278), ROUND(MAX(0,AQ$392 - 2),0),
IF(AND(OR(AR$279=123, AR$279=12, AR$279=13, AR$279=1), Cultivar_1_Cohort_Year_Selection=$AN$278), ROUND(MAX(0,AQ$392 - 1),0),
IF(AND(OR(AR$279=123, AR$279=12, AR$279=23, AR$279=2), Cultivar_2_Cohort_Year_Selection=$AN$278), ROUND(MAX(0,AQ$392 - 1),0),
IF(AND(OR(AR$279=123, AR$279=13, AR$279=23, AR$279=3), Cultivar_3_Cohort_Year_Selection=$AN$278), ROUND(MAX(0,AQ$392 - 1),0),
ROUND(MAX(0,AQ$392),0)))))))),""),""),"")</f>
        <v/>
      </c>
      <c r="AS415" s="95" t="str">
        <f>IF(ISNUMBER($B$393),
IF($C415&lt;&gt;"",
IF(AND(ISNUMBER(AR$392), AR$392&gt;0),
IF(AND(AS$279=123, Cultivar_1_Cohort_Year_Selection=$AO$278,Cultivar_2_Cohort_Year_Selection=$AO$278,Cultivar_3_Cohort_Year_Selection=$AO$278), ROUND(MAX(0,AR$392 - 3),0),
IF(AND(OR(AS$279=123, AS$279=12), Cultivar_1_Cohort_Year_Selection=$AO$278,Cultivar_2_Cohort_Year_Selection=$AO$278), ROUND(MAX(0,AR$392 - 2),0),
IF(AND(OR(AS$279=123, AS$279=13), Cultivar_1_Cohort_Year_Selection=$AO$278,Cultivar_3_Cohort_Year_Selection=$AO$278), ROUND(MAX(0,AR$392 - 2),0),
IF(AND(OR(AS$279=123, AS$279=23), Cultivar_2_Cohort_Year_Selection=$AO$278,Cultivar_3_Cohort_Year_Selection=$AO$278), ROUND(MAX(0,AR$392 - 2),0),
IF(AND(OR(AS$279=123, AS$279=12, AS$279=13, AS$279=1), Cultivar_1_Cohort_Year_Selection=$AO$278), ROUND(MAX(0,AR$392 - 1),0),
IF(AND(OR(AS$279=123, AS$279=12, AS$279=23, AS$279=2), Cultivar_2_Cohort_Year_Selection=$AO$278), ROUND(MAX(0,AR$392 - 1),0),
IF(AND(OR(AS$279=123, AS$279=13, AS$279=23, AS$279=3), Cultivar_3_Cohort_Year_Selection=$AO$278), ROUND(MAX(0,AR$392 - 1),0),
ROUND(MAX(0,AR$392),0)))))))),""),""),"")</f>
        <v/>
      </c>
      <c r="AT415" s="95" t="str">
        <f>IF(ISNUMBER($B$393),
IF($C415&lt;&gt;"",
IF(AND(ISNUMBER(AS$368), AS$368&gt;0),
IF(AND(AT$279=123, Cultivar_1_Cohort_Year_Selection=$AP$278,Cultivar_2_Cohort_Year_Selection=$AP$278,Cultivar_3_Cohort_Year_Selection=$AP$278), ROUND(MAX(0,AS$368 - 3),0),
IF(AND(OR(AT$279=123, AT$279=12), Cultivar_1_Cohort_Year_Selection=$AP$278,Cultivar_2_Cohort_Year_Selection=$AP$278), ROUND(MAX(0,AS$368 - 2),0),
IF(AND(OR(AT$279=123, AT$279=13), Cultivar_1_Cohort_Year_Selection=$AP$278,Cultivar_3_Cohort_Year_Selection=$AP$278), ROUND(MAX(0,AS$368 - 2),0),
IF(AND(OR(AT$279=123, AT$279=23), Cultivar_2_Cohort_Year_Selection=$AP$278,Cultivar_3_Cohort_Year_Selection=$AP$278), ROUND(MAX(0,AS$368 - 2),0),
IF(AND(OR(AT$279=123, AT$279=12, AT$279=13, AT$279=1), Cultivar_1_Cohort_Year_Selection=$AP$278), ROUND(MAX(0,AS$368 - 1),0),
IF(AND(OR(AT$279=123, AT$279=12, AT$279=23, AT$279=2), Cultivar_2_Cohort_Year_Selection=$AP$278), ROUND(MAX(0,AS$368 - 1),0),
IF(AND(OR(AT$279=123, AT$279=13, AT$279=23, AT$279=3), Cultivar_3_Cohort_Year_Selection=$AP$278), ROUND(MAX(0,AS$368 - 1),0),
ROUND(MAX(0,AS$368),0)))))))),""),""),"")</f>
        <v/>
      </c>
    </row>
    <row r="416" spans="1:46" ht="6.6" customHeight="1" thickBot="1" x14ac:dyDescent="0.3">
      <c r="A416" s="213"/>
      <c r="B416" s="282"/>
      <c r="C416" s="283"/>
      <c r="D416" s="114"/>
      <c r="E416" s="114"/>
      <c r="F416" s="114"/>
      <c r="G416" s="284"/>
      <c r="H416" s="114"/>
      <c r="I416" s="114"/>
      <c r="J416" s="114"/>
      <c r="K416" s="114"/>
      <c r="L416" s="285"/>
      <c r="M416" s="285"/>
      <c r="N416" s="99"/>
      <c r="O416" s="99"/>
      <c r="P416" s="99"/>
      <c r="Q416" s="99"/>
      <c r="R416" s="286"/>
      <c r="S416" s="136" t="str">
        <f>IF(ISNUMBER($B$393),
IF(AND(ISNUMBER(R$392), R$392&gt;0),
IF(AND(S$279=123, Cultivar_1_Cohort_Year_Selection=$O$278,Cultivar_2_Cohort_Year_Selection=$O$278,Cultivar_3_Cohort_Year_Selection=$O$278), ROUND(MAX(0,(R$392-('Stage 2 Randomized Selection'!H$2*$M393)) - 3),0),
IF(AND(OR(S$279=123, S$279=12), Cultivar_1_Cohort_Year_Selection=$O$278,Cultivar_2_Cohort_Year_Selection=$O$278),  ROUND(MAX(0,(R$392-('Stage 2 Randomized Selection'!G$2*$M393)) - 2),0),
IF(AND(OR(S$279=123, S$279=13), Cultivar_1_Cohort_Year_Selection=$O$278,Cultivar_3_Cohort_Year_Selection=$O$278), ROUND(MAX(0,(R$392-('Stage 2 Randomized Selection'!G$2*$M393)) - 2),0),
IF(AND(OR(S$279=123, S$279=23), Cultivar_2_Cohort_Year_Selection=$O$278,Cultivar_3_Cohort_Year_Selection=$O$278), ROUND(MAX(0,(R$392-('Stage 2 Randomized Selection'!G$2*$M393)) - 2),0),
IF(AND(OR(S$279=123, S$279=12, S$279=13, S$279=1), Cultivar_1_Cohort_Year_Selection=$O$278), ROUND(MAX(0,(R$392-('Stage 2 Randomized Selection'!G$2*$M393)) - 1),0),
IF(AND(OR(S$279=123, S$279=12, S$279=23, S$279=2), Cultivar_2_Cohort_Year_Selection=$O$278), ROUND(MAX(0,(R$392-('Stage 2 Randomized Selection'!G$2*$M393)) - 1),0),
IF(AND(OR(S$279=123, S$279=13, S$279=23, S$279=3), Cultivar_3_Cohort_Year_Selection=$O$278), ROUND(MAX(0,(R$392-('Stage 2 Randomized Selection'!G$2*$M393)) - 1),0),
ROUND(MAX(0,(R$392-('Stage 2 Randomized Selection'!G$2*$M393))),0)))))))),0),"")</f>
        <v/>
      </c>
      <c r="T416" s="270" t="str">
        <f>IF(ISNUMBER($B$393),
IF(AND(ISNUMBER(S$392), S$392&gt;0),
IF(AND(T$279=123, Cultivar_1_Cohort_Year_Selection=$P$278,Cultivar_2_Cohort_Year_Selection=$P$278,Cultivar_3_Cohort_Year_Selection=$P$278), ROUND(MAX(0,(S$392-('Stage 2 Randomized Selection'!I$2*$M393)) - 3),0),
IF(AND(OR(T$279=123, T$279=12), Cultivar_1_Cohort_Year_Selection=$P$278,Cultivar_2_Cohort_Year_Selection=$P$278),  ROUND(MAX(0,(S$392-('Stage 2 Randomized Selection'!H$2*$M393)) - 2),0),
IF(AND(OR(T$279=123, T$279=13), Cultivar_1_Cohort_Year_Selection=$P$278,Cultivar_3_Cohort_Year_Selection=$P$278), ROUND(MAX(0,(S$392-('Stage 2 Randomized Selection'!H$2*$M393)) - 2),0),
IF(AND(OR(T$279=123, T$279=23), Cultivar_2_Cohort_Year_Selection=$P$278,Cultivar_3_Cohort_Year_Selection=$P$278), ROUND(MAX(0,(S$392-('Stage 2 Randomized Selection'!H$2*$M393)) - 2),0),
IF(AND(OR(T$279=123, T$279=12, T$279=13, T$279=1), Cultivar_1_Cohort_Year_Selection=$P$278), ROUND(MAX(0,(S$392-('Stage 2 Randomized Selection'!H$2*$M393)) - 1),0),
IF(AND(OR(T$279=123, T$279=12, T$279=23, T$279=2), Cultivar_2_Cohort_Year_Selection=$P$278), ROUND(MAX(0,(S$392-('Stage 2 Randomized Selection'!H$2*$M393)) - 1),0),
IF(AND(OR(T$279=123, T$279=13, T$279=23, T$279=3), Cultivar_3_Cohort_Year_Selection=$P$278), ROUND(MAX(0,(S$392-('Stage 2 Randomized Selection'!H$2*$M393)) - 1),0),
ROUND(MAX(0,(S$392-('Stage 2 Randomized Selection'!H$2*$M393))),0)))))))),0),"")</f>
        <v/>
      </c>
      <c r="U416" s="270" t="str">
        <f>IF(ISNUMBER($B$393),
IF(AND(ISNUMBER(T$392), T$392&gt;0),
IF(AND(U$279=123, Cultivar_1_Cohort_Year_Selection=$Q$278,Cultivar_2_Cohort_Year_Selection=$Q$278,Cultivar_3_Cohort_Year_Selection=$Q$278), ROUND(MAX(0,(T$392-('Stage 2 Randomized Selection'!J$2*$M393)) - 3),0),
IF(AND(OR(U$279=123, U$279=12), Cultivar_1_Cohort_Year_Selection=$Q$278,Cultivar_2_Cohort_Year_Selection=$Q$278),  ROUND(MAX(0,(T$392-('Stage 2 Randomized Selection'!I$2*$M393)) - 2),0),
IF(AND(OR(U$279=123, U$279=13), Cultivar_1_Cohort_Year_Selection=$Q$278,Cultivar_3_Cohort_Year_Selection=$Q$278), ROUND(MAX(0,(T$392-('Stage 2 Randomized Selection'!I$2*$M393)) - 2),0),
IF(AND(OR(U$279=123, U$279=23), Cultivar_2_Cohort_Year_Selection=$Q$278,Cultivar_3_Cohort_Year_Selection=$Q$278), ROUND(MAX(0,(T$392-('Stage 2 Randomized Selection'!I$2*$M393)) - 2),0),
IF(AND(OR(U$279=123, U$279=12, U$279=13, U$279=1), Cultivar_1_Cohort_Year_Selection=$Q$278), ROUND(MAX(0,(T$392-('Stage 2 Randomized Selection'!I$2*$M393)) - 1),0),
IF(AND(OR(U$279=123, U$279=12, U$279=23, U$279=2), Cultivar_2_Cohort_Year_Selection=$Q$278), ROUND(MAX(0,(T$392-('Stage 2 Randomized Selection'!I$2*$M393)) - 1),0),
IF(AND(OR(U$279=123, U$279=13, U$279=23, U$279=3), Cultivar_3_Cohort_Year_Selection=$Q$278), ROUND(MAX(0,(T$392-('Stage 2 Randomized Selection'!I$2*$M393)) - 1),0),
ROUND(MAX(0,(T$392-('Stage 2 Randomized Selection'!I$2*$M393))),0)))))))),0),"")</f>
        <v/>
      </c>
      <c r="V416" s="270" t="str">
        <f>IF(ISNUMBER($B$393),
IF(AND(ISNUMBER(U$392), U$392&gt;0),
IF(AND(V$279=123, Cultivar_1_Cohort_Year_Selection=$R$278,Cultivar_2_Cohort_Year_Selection=$R$278,Cultivar_3_Cohort_Year_Selection=$R$278), ROUND(MAX(0,(U$392-('Stage 2 Randomized Selection'!K$2*$M393)) - 3),0),
IF(AND(OR(V$279=123, V$279=12), Cultivar_1_Cohort_Year_Selection=$R$278,Cultivar_2_Cohort_Year_Selection=$R$278),  ROUND(MAX(0,(U$392-('Stage 2 Randomized Selection'!J$2*$M393)) - 2),0),
IF(AND(OR(V$279=123, V$279=13), Cultivar_1_Cohort_Year_Selection=$R$278,Cultivar_3_Cohort_Year_Selection=$R$278), ROUND(MAX(0,(U$392-('Stage 2 Randomized Selection'!J$2*$M393)) - 2),0),
IF(AND(OR(V$279=123, V$279=23), Cultivar_2_Cohort_Year_Selection=$R$278,Cultivar_3_Cohort_Year_Selection=$R$278), ROUND(MAX(0,(U$392-('Stage 2 Randomized Selection'!J$2*$M393)) - 2),0),
IF(AND(OR(V$279=123, V$279=12, V$279=13, V$279=1), Cultivar_1_Cohort_Year_Selection=$R$278), ROUND(MAX(0,(U$392-('Stage 2 Randomized Selection'!J$2*$M393)) - 1),0),
IF(AND(OR(V$279=123, V$279=12, V$279=23, V$279=2), Cultivar_2_Cohort_Year_Selection=$R$278), ROUND(MAX(0,(U$392-('Stage 2 Randomized Selection'!J$2*$M393)) - 1),0),
IF(AND(OR(V$279=123, V$279=13, V$279=23, V$279=3), Cultivar_3_Cohort_Year_Selection=$R$278), ROUND(MAX(0,(U$392-('Stage 2 Randomized Selection'!J$2*$M393)) - 1),0),
ROUND(MAX(0,(U$392-('Stage 2 Randomized Selection'!J$2*$M393))),0)))))))),0),"")</f>
        <v/>
      </c>
      <c r="W416" s="270" t="str">
        <f>IF(ISNUMBER($B$393),
IF(AND(ISNUMBER(V$392), V$392&gt;0),
IF(AND(W$279=123, Cultivar_1_Cohort_Year_Selection=$S$278,Cultivar_2_Cohort_Year_Selection=$S$278,Cultivar_3_Cohort_Year_Selection=$S$278), ROUND(MAX(0,(V$392-('Stage 2 Randomized Selection'!L$2*$M393)) - 3),0),
IF(AND(OR(W$279=123, W$279=12), Cultivar_1_Cohort_Year_Selection=$S$278,Cultivar_2_Cohort_Year_Selection=$S$278),  ROUND(MAX(0,(V$392-('Stage 2 Randomized Selection'!K$2*$M393)) - 2),0),
IF(AND(OR(W$279=123, W$279=13), Cultivar_1_Cohort_Year_Selection=$S$278,Cultivar_3_Cohort_Year_Selection=$S$278), ROUND(MAX(0,(V$392-('Stage 2 Randomized Selection'!K$2*$M393)) - 2),0),
IF(AND(OR(W$279=123, W$279=23), Cultivar_2_Cohort_Year_Selection=$S$278,Cultivar_3_Cohort_Year_Selection=$S$278), ROUND(MAX(0,(V$392-('Stage 2 Randomized Selection'!K$2*$M393)) - 2),0),
IF(AND(OR(W$279=123, W$279=12, W$279=13, W$279=1), Cultivar_1_Cohort_Year_Selection=$S$278), ROUND(MAX(0,(V$392-('Stage 2 Randomized Selection'!K$2*$M393)) - 1),0),
IF(AND(OR(W$279=123, W$279=12, W$279=23, W$279=2), Cultivar_2_Cohort_Year_Selection=$S$278), ROUND(MAX(0,(V$392-('Stage 2 Randomized Selection'!K$2*$M393)) - 1),0),
IF(AND(OR(W$279=123, W$279=13, W$279=23, W$279=3), Cultivar_3_Cohort_Year_Selection=$S$278), ROUND(MAX(0,(V$392-('Stage 2 Randomized Selection'!K$2*$M393)) - 1),0),
ROUND(MAX(0,(V$392-('Stage 2 Randomized Selection'!K$2*$M393))),0)))))))),0),"")</f>
        <v/>
      </c>
      <c r="X416" s="270" t="str">
        <f>IF(ISNUMBER($B$393),
IF(AND(ISNUMBER(W$392), W$392&gt;0),
IF(AND(X$279=123, Cultivar_1_Cohort_Year_Selection=$T$278,Cultivar_2_Cohort_Year_Selection=$T$278,Cultivar_3_Cohort_Year_Selection=$T$278), ROUND(MAX(0,(W$392-('Stage 2 Randomized Selection'!M$2*$M393)) - 3),0),
IF(AND(OR(X$279=123, X$279=12), Cultivar_1_Cohort_Year_Selection=$T$278,Cultivar_2_Cohort_Year_Selection=$T$278),  ROUND(MAX(0,(W$392-('Stage 2 Randomized Selection'!L$2*$M393)) - 2),0),
IF(AND(OR(X$279=123, X$279=13), Cultivar_1_Cohort_Year_Selection=$T$278,Cultivar_3_Cohort_Year_Selection=$T$278), ROUND(MAX(0,(W$392-('Stage 2 Randomized Selection'!L$2*$M393)) - 2),0),
IF(AND(OR(X$279=123, X$279=23), Cultivar_2_Cohort_Year_Selection=$T$278,Cultivar_3_Cohort_Year_Selection=$T$278), ROUND(MAX(0,(W$392-('Stage 2 Randomized Selection'!L$2*$M393)) - 2),0),
IF(AND(OR(X$279=123, X$279=12, X$279=13, X$279=1), Cultivar_1_Cohort_Year_Selection=$T$278), ROUND(MAX(0,(W$392-('Stage 2 Randomized Selection'!L$2*$M393)) - 1),0),
IF(AND(OR(X$279=123, X$279=12, X$279=23, X$279=2), Cultivar_2_Cohort_Year_Selection=$T$278), ROUND(MAX(0,(W$392-('Stage 2 Randomized Selection'!L$2*$M393)) - 1),0),
IF(AND(OR(X$279=123, X$279=13, X$279=23, X$279=3), Cultivar_3_Cohort_Year_Selection=$T$278), ROUND(MAX(0,(W$392-('Stage 2 Randomized Selection'!L$2*$M393)) - 1),0),
ROUND(MAX(0,(W$392-('Stage 2 Randomized Selection'!L$2*$M393))),0)))))))),0),"")</f>
        <v/>
      </c>
      <c r="Y416" s="270" t="str">
        <f>IF(ISNUMBER($B$393),
IF(AND(ISNUMBER(X$392), X$392&gt;0),
IF(AND(Y$279=123, Cultivar_1_Cohort_Year_Selection=$U$278,Cultivar_2_Cohort_Year_Selection=$U$278,Cultivar_3_Cohort_Year_Selection=$U$278), ROUND(MAX(0,(X$392-('Stage 2 Randomized Selection'!N$2*$M393)) - 3),0),
IF(AND(OR(Y$279=123, Y$279=12), Cultivar_1_Cohort_Year_Selection=$U$278,Cultivar_2_Cohort_Year_Selection=$U$278),  ROUND(MAX(0,(X$392-('Stage 2 Randomized Selection'!M$2*$M393)) - 2),0),
IF(AND(OR(Y$279=123, Y$279=13), Cultivar_1_Cohort_Year_Selection=$U$278,Cultivar_3_Cohort_Year_Selection=$U$278), ROUND(MAX(0,(X$392-('Stage 2 Randomized Selection'!M$2*$M393)) - 2),0),
IF(AND(OR(Y$279=123, Y$279=23), Cultivar_2_Cohort_Year_Selection=$U$278,Cultivar_3_Cohort_Year_Selection=$U$278), ROUND(MAX(0,(X$392-('Stage 2 Randomized Selection'!M$2*$M393)) - 2),0),
IF(AND(OR(Y$279=123, Y$279=12, Y$279=13, Y$279=1), Cultivar_1_Cohort_Year_Selection=$U$278), ROUND(MAX(0,(X$392-('Stage 2 Randomized Selection'!M$2*$M393)) - 1),0),
IF(AND(OR(Y$279=123, Y$279=12, Y$279=23, Y$279=2), Cultivar_2_Cohort_Year_Selection=$U$278), ROUND(MAX(0,(X$392-('Stage 2 Randomized Selection'!M$2*$M393)) - 1),0),
IF(AND(OR(Y$279=123, Y$279=13, Y$279=23, Y$279=3), Cultivar_3_Cohort_Year_Selection=$U$278), ROUND(MAX(0,(X$392-('Stage 2 Randomized Selection'!M$2*$M393)) - 1),0),
ROUND(MAX(0,(X$392-('Stage 2 Randomized Selection'!M$2*$M393))),0)))))))),0),"")</f>
        <v/>
      </c>
      <c r="Z416" s="270" t="str">
        <f>IF(ISNUMBER($B$393),
IF(AND(ISNUMBER(Y$392), Y$392&gt;0),
IF(AND(Z$279=123, Cultivar_1_Cohort_Year_Selection=$V$278,Cultivar_2_Cohort_Year_Selection=$V$278,Cultivar_3_Cohort_Year_Selection=$V$278), ROUND(MAX(0,(Y$392-('Stage 2 Randomized Selection'!O$2*$M393)) - 3),0),
IF(AND(OR(Z$279=123, Z$279=12), Cultivar_1_Cohort_Year_Selection=$V$278,Cultivar_2_Cohort_Year_Selection=$V$278),  ROUND(MAX(0,(Y$392-('Stage 2 Randomized Selection'!N$2*$M393)) - 2),0),
IF(AND(OR(Z$279=123, Z$279=13), Cultivar_1_Cohort_Year_Selection=$V$278,Cultivar_3_Cohort_Year_Selection=$V$278), ROUND(MAX(0,(Y$392-('Stage 2 Randomized Selection'!N$2*$M393)) - 2),0),
IF(AND(OR(Z$279=123, Z$279=23), Cultivar_2_Cohort_Year_Selection=$V$278,Cultivar_3_Cohort_Year_Selection=$V$278), ROUND(MAX(0,(Y$392-('Stage 2 Randomized Selection'!N$2*$M393)) - 2),0),
IF(AND(OR(Z$279=123, Z$279=12, Z$279=13, Z$279=1), Cultivar_1_Cohort_Year_Selection=$V$278), ROUND(MAX(0,(Y$392-('Stage 2 Randomized Selection'!N$2*$M393)) - 1),0),
IF(AND(OR(Z$279=123, Z$279=12, Z$279=23, Z$279=2), Cultivar_2_Cohort_Year_Selection=$V$278), ROUND(MAX(0,(Y$392-('Stage 2 Randomized Selection'!N$2*$M393)) - 1),0),
IF(AND(OR(Z$279=123, Z$279=13, Z$279=23, Z$279=3), Cultivar_3_Cohort_Year_Selection=$V$278), ROUND(MAX(0,(Y$392-('Stage 2 Randomized Selection'!N$2*$M393)) - 1),0),
ROUND(MAX(0,(Y$392-('Stage 2 Randomized Selection'!N$2*$M393))),0)))))))),0),"")</f>
        <v/>
      </c>
      <c r="AA416" s="270" t="str">
        <f>IF(ISNUMBER($B$393),
IF(AND(ISNUMBER(Z$392), Z$392&gt;0),
IF(AND(AA$279=123, Cultivar_1_Cohort_Year_Selection=$W$278,Cultivar_2_Cohort_Year_Selection=$W$278,Cultivar_3_Cohort_Year_Selection=$W$278), ROUND(MAX(0,(Z$392-('Stage 2 Randomized Selection'!P$2*$M393)) - 3),0),
IF(AND(OR(AA$279=123, AA$279=12), Cultivar_1_Cohort_Year_Selection=$W$278,Cultivar_2_Cohort_Year_Selection=$W$278),  ROUND(MAX(0,(Z$392-('Stage 2 Randomized Selection'!O$2*$M393)) - 2),0),
IF(AND(OR(AA$279=123, AA$279=13), Cultivar_1_Cohort_Year_Selection=$W$278,Cultivar_3_Cohort_Year_Selection=$W$278), ROUND(MAX(0,(Z$392-('Stage 2 Randomized Selection'!O$2*$M393)) - 2),0),
IF(AND(OR(AA$279=123, AA$279=23), Cultivar_2_Cohort_Year_Selection=$W$278,Cultivar_3_Cohort_Year_Selection=$W$278), ROUND(MAX(0,(Z$392-('Stage 2 Randomized Selection'!O$2*$M393)) - 2),0),
IF(AND(OR(AA$279=123, AA$279=12, AA$279=13, AA$279=1), Cultivar_1_Cohort_Year_Selection=$W$278), ROUND(MAX(0,(Z$392-('Stage 2 Randomized Selection'!O$2*$M393)) - 1),0),
IF(AND(OR(AA$279=123, AA$279=12, AA$279=23, AA$279=2), Cultivar_2_Cohort_Year_Selection=$W$278), ROUND(MAX(0,(Z$392-('Stage 2 Randomized Selection'!O$2*$M393)) - 1),0),
IF(AND(OR(AA$279=123, AA$279=13, AA$279=23, AA$279=3), Cultivar_3_Cohort_Year_Selection=$W$278), ROUND(MAX(0,(Z$392-('Stage 2 Randomized Selection'!O$2*$M393)) - 1),0),
ROUND(MAX(0,(Z$392-('Stage 2 Randomized Selection'!O$2*$M393))),0)))))))),0),"")</f>
        <v/>
      </c>
      <c r="AB416" s="270" t="str">
        <f>IF(ISNUMBER($B$393),
IF(AND(ISNUMBER(AA$392), AA$392&gt;0),
IF(AND(AB$279=123, Cultivar_1_Cohort_Year_Selection=$X$278,Cultivar_2_Cohort_Year_Selection=$X$278,Cultivar_3_Cohort_Year_Selection=$X$278), ROUND(MAX(0,(AA$392-('Stage 2 Randomized Selection'!Q$2*$M393)) - 3),0),
IF(AND(OR(AB$279=123, AB$279=12), Cultivar_1_Cohort_Year_Selection=$X$278,Cultivar_2_Cohort_Year_Selection=$X$278),  ROUND(MAX(0,(AA$392-('Stage 2 Randomized Selection'!P$2*$M393)) - 2),0),
IF(AND(OR(AB$279=123, AB$279=13), Cultivar_1_Cohort_Year_Selection=$X$278,Cultivar_3_Cohort_Year_Selection=$X$278), ROUND(MAX(0,(AA$392-('Stage 2 Randomized Selection'!P$2*$M393)) - 2),0),
IF(AND(OR(AB$279=123, AB$279=23), Cultivar_2_Cohort_Year_Selection=$X$278,Cultivar_3_Cohort_Year_Selection=$X$278), ROUND(MAX(0,(AA$392-('Stage 2 Randomized Selection'!P$2*$M393)) - 2),0),
IF(AND(OR(AB$279=123, AB$279=12, AB$279=13, AB$279=1), Cultivar_1_Cohort_Year_Selection=$X$278), ROUND(MAX(0,(AA$392-('Stage 2 Randomized Selection'!P$2*$M393)) - 1),0),
IF(AND(OR(AB$279=123, AB$279=12, AB$279=23, AB$279=2), Cultivar_2_Cohort_Year_Selection=$X$278), ROUND(MAX(0,(AA$392-('Stage 2 Randomized Selection'!P$2*$M393)) - 1),0),
IF(AND(OR(AB$279=123, AB$279=13, AB$279=23, AB$279=3), Cultivar_3_Cohort_Year_Selection=$X$278), ROUND(MAX(0,(AA$392-('Stage 2 Randomized Selection'!P$2*$M393)) - 1),0),
ROUND(MAX(0,(AA$392-('Stage 2 Randomized Selection'!P$2*$M393))),0)))))))),0),"")</f>
        <v/>
      </c>
      <c r="AC416" s="270" t="str">
        <f>IF(ISNUMBER($B$393),
IF(AND(ISNUMBER(AB$392), AB$392&gt;0),
IF(AND(AC$279=123, Cultivar_1_Cohort_Year_Selection=$Y$278,Cultivar_2_Cohort_Year_Selection=$Y$278,Cultivar_3_Cohort_Year_Selection=$Y$278), ROUND(MAX(0,(AB$392-('Stage 2 Randomized Selection'!R$2*$M393)) - 3),0),
IF(AND(OR(AC$279=123, AC$279=12), Cultivar_1_Cohort_Year_Selection=$Y$278,Cultivar_2_Cohort_Year_Selection=$Y$278),  ROUND(MAX(0,(AB$392-('Stage 2 Randomized Selection'!Q$2*$M393)) - 2),0),
IF(AND(OR(AC$279=123, AC$279=13), Cultivar_1_Cohort_Year_Selection=$Y$278,Cultivar_3_Cohort_Year_Selection=$Y$278), ROUND(MAX(0,(AB$392-('Stage 2 Randomized Selection'!Q$2*$M393)) - 2),0),
IF(AND(OR(AC$279=123, AC$279=23), Cultivar_2_Cohort_Year_Selection=$Y$278,Cultivar_3_Cohort_Year_Selection=$Y$278), ROUND(MAX(0,(AB$392-('Stage 2 Randomized Selection'!Q$2*$M393)) - 2),0),
IF(AND(OR(AC$279=123, AC$279=12, AC$279=13, AC$279=1), Cultivar_1_Cohort_Year_Selection=$Y$278), ROUND(MAX(0,(AB$392-('Stage 2 Randomized Selection'!Q$2*$M393)) - 1),0),
IF(AND(OR(AC$279=123, AC$279=12, AC$279=23, AC$279=2), Cultivar_2_Cohort_Year_Selection=$Y$278), ROUND(MAX(0,(AB$392-('Stage 2 Randomized Selection'!Q$2*$M393)) - 1),0),
IF(AND(OR(AC$279=123, AC$279=13, AC$279=23, AC$279=3), Cultivar_3_Cohort_Year_Selection=$Y$278), ROUND(MAX(0,(AB$392-('Stage 2 Randomized Selection'!Q$2*$M393)) - 1),0),
ROUND(MAX(0,(AB$392-('Stage 2 Randomized Selection'!Q$2*$M393))),0)))))))),0),"")</f>
        <v/>
      </c>
      <c r="AD416" s="270" t="str">
        <f>IF(ISNUMBER($B$393),
IF(AND(ISNUMBER(AC$392), AC$392&gt;0),
IF(AND(AD$279=123, Cultivar_1_Cohort_Year_Selection=$Z$278,Cultivar_2_Cohort_Year_Selection=$Z$278,Cultivar_3_Cohort_Year_Selection=$Z$278), ROUND(MAX(0,(AC$392-('Stage 2 Randomized Selection'!S$2*$M393)) - 3),0),
IF(AND(OR(AD$279=123, AD$279=12), Cultivar_1_Cohort_Year_Selection=$Z$278,Cultivar_2_Cohort_Year_Selection=$Z$278),  ROUND(MAX(0,(AC$392-('Stage 2 Randomized Selection'!R$2*$M393)) - 2),0),
IF(AND(OR(AD$279=123, AD$279=13), Cultivar_1_Cohort_Year_Selection=$Z$278,Cultivar_3_Cohort_Year_Selection=$Z$278), ROUND(MAX(0,(AC$392-('Stage 2 Randomized Selection'!R$2*$M393)) - 2),0),
IF(AND(OR(AD$279=123, AD$279=23), Cultivar_2_Cohort_Year_Selection=$Z$278,Cultivar_3_Cohort_Year_Selection=$Z$278), ROUND(MAX(0,(AC$392-('Stage 2 Randomized Selection'!R$2*$M393)) - 2),0),
IF(AND(OR(AD$279=123, AD$279=12, AD$279=13, AD$279=1), Cultivar_1_Cohort_Year_Selection=$Z$278), ROUND(MAX(0,(AC$392-('Stage 2 Randomized Selection'!R$2*$M393)) - 1),0),
IF(AND(OR(AD$279=123, AD$279=12, AD$279=23, AD$279=2), Cultivar_2_Cohort_Year_Selection=$Z$278), ROUND(MAX(0,(AC$392-('Stage 2 Randomized Selection'!R$2*$M393)) - 1),0),
IF(AND(OR(AD$279=123, AD$279=13, AD$279=23, AD$279=3), Cultivar_3_Cohort_Year_Selection=$Z$278), ROUND(MAX(0,(AC$392-('Stage 2 Randomized Selection'!R$2*$M393)) - 1),0),
ROUND(MAX(0,(AC$392-('Stage 2 Randomized Selection'!R$2*$M393))),0)))))))),0),"")</f>
        <v/>
      </c>
      <c r="AE416" s="270" t="str">
        <f>IF(ISNUMBER($B$393),
IF(AND(ISNUMBER(AD$392), AD$392&gt;0),
IF(AND(AE$279=123, Cultivar_1_Cohort_Year_Selection=$AA$278,Cultivar_2_Cohort_Year_Selection=$AA$278,Cultivar_3_Cohort_Year_Selection=$AA$278), ROUND(MAX(0,(AD$392-('Stage 2 Randomized Selection'!T$2*$M393)) - 3),0),
IF(AND(OR(AE$279=123, AE$279=12), Cultivar_1_Cohort_Year_Selection=$AA$278,Cultivar_2_Cohort_Year_Selection=$AA$278),  ROUND(MAX(0,(AD$392-('Stage 2 Randomized Selection'!S$2*$M393)) - 2),0),
IF(AND(OR(AE$279=123, AE$279=13), Cultivar_1_Cohort_Year_Selection=$AA$278,Cultivar_3_Cohort_Year_Selection=$AA$278), ROUND(MAX(0,(AD$392-('Stage 2 Randomized Selection'!S$2*$M393)) - 2),0),
IF(AND(OR(AE$279=123, AE$279=23), Cultivar_2_Cohort_Year_Selection=$AA$278,Cultivar_3_Cohort_Year_Selection=$AA$278), ROUND(MAX(0,(AD$392-('Stage 2 Randomized Selection'!S$2*$M393)) - 2),0),
IF(AND(OR(AE$279=123, AE$279=12, AE$279=13, AE$279=1), Cultivar_1_Cohort_Year_Selection=$AA$278), ROUND(MAX(0,(AD$392-('Stage 2 Randomized Selection'!S$2*$M393)) - 1),0),
IF(AND(OR(AE$279=123, AE$279=12, AE$279=23, AE$279=2), Cultivar_2_Cohort_Year_Selection=$AA$278), ROUND(MAX(0,(AD$392-('Stage 2 Randomized Selection'!S$2*$M393)) - 1),0),
IF(AND(OR(AE$279=123, AE$279=13, AE$279=23, AE$279=3), Cultivar_3_Cohort_Year_Selection=$AA$278), ROUND(MAX(0,(AD$392-('Stage 2 Randomized Selection'!S$2*$M393)) - 1),0),
ROUND(MAX(0,(AD$392-('Stage 2 Randomized Selection'!S$2*$M393))),0)))))))),0),"")</f>
        <v/>
      </c>
      <c r="AF416" s="270" t="str">
        <f>IF(ISNUMBER($B$393),
IF(AND(ISNUMBER(AE$392), AE$392&gt;0),
IF(AND(AF$279=123, Cultivar_1_Cohort_Year_Selection=$AB$278,Cultivar_2_Cohort_Year_Selection=$AB$278,Cultivar_3_Cohort_Year_Selection=$AB$278), ROUND(MAX(0,(AE$392-('Stage 2 Randomized Selection'!U$2*$M393)) - 3),0),
IF(AND(OR(AF$279=123, AF$279=12), Cultivar_1_Cohort_Year_Selection=$AB$278,Cultivar_2_Cohort_Year_Selection=$AB$278),  ROUND(MAX(0,(AE$392-('Stage 2 Randomized Selection'!T$2*$M393)) - 2),0),
IF(AND(OR(AF$279=123, AF$279=13), Cultivar_1_Cohort_Year_Selection=$AB$278,Cultivar_3_Cohort_Year_Selection=$AB$278), ROUND(MAX(0,(AE$392-('Stage 2 Randomized Selection'!T$2*$M393)) - 2),0),
IF(AND(OR(AF$279=123, AF$279=23), Cultivar_2_Cohort_Year_Selection=$AB$278,Cultivar_3_Cohort_Year_Selection=$AB$278), ROUND(MAX(0,(AE$392-('Stage 2 Randomized Selection'!T$2*$M393)) - 2),0),
IF(AND(OR(AF$279=123, AF$279=12, AF$279=13, AF$279=1), Cultivar_1_Cohort_Year_Selection=$AB$278), ROUND(MAX(0,(AE$392-('Stage 2 Randomized Selection'!T$2*$M393)) - 1),0),
IF(AND(OR(AF$279=123, AF$279=12, AF$279=23, AF$279=2), Cultivar_2_Cohort_Year_Selection=$AB$278), ROUND(MAX(0,(AE$392-('Stage 2 Randomized Selection'!T$2*$M393)) - 1),0),
IF(AND(OR(AF$279=123, AF$279=13, AF$279=23, AF$279=3), Cultivar_3_Cohort_Year_Selection=$AB$278), ROUND(MAX(0,(AE$392-('Stage 2 Randomized Selection'!T$2*$M393)) - 1),0),
ROUND(MAX(0,(AE$392-('Stage 2 Randomized Selection'!T$2*$M393))),0)))))))),0),"")</f>
        <v/>
      </c>
      <c r="AG416" s="270" t="str">
        <f>IF(ISNUMBER($B$393),
IF(AND(ISNUMBER(AF$392), AF$392&gt;0),
IF(AND(AG$279=123, Cultivar_1_Cohort_Year_Selection=$AC$278,Cultivar_2_Cohort_Year_Selection=$AC$278,Cultivar_3_Cohort_Year_Selection=$AC$278), ROUND(MAX(0,(AF$392-('Stage 2 Randomized Selection'!V$2*$M393)) - 3),0),
IF(AND(OR(AG$279=123, AG$279=12), Cultivar_1_Cohort_Year_Selection=$AC$278,Cultivar_2_Cohort_Year_Selection=$AC$278),  ROUND(MAX(0,(AF$392-('Stage 2 Randomized Selection'!U$2*$M393)) - 2),0),
IF(AND(OR(AG$279=123, AG$279=13), Cultivar_1_Cohort_Year_Selection=$AC$278,Cultivar_3_Cohort_Year_Selection=$AC$278), ROUND(MAX(0,(AF$392-('Stage 2 Randomized Selection'!U$2*$M393)) - 2),0),
IF(AND(OR(AG$279=123, AG$279=23), Cultivar_2_Cohort_Year_Selection=$AC$278,Cultivar_3_Cohort_Year_Selection=$AC$278), ROUND(MAX(0,(AF$392-('Stage 2 Randomized Selection'!U$2*$M393)) - 2),0),
IF(AND(OR(AG$279=123, AG$279=12, AG$279=13, AG$279=1), Cultivar_1_Cohort_Year_Selection=$AC$278), ROUND(MAX(0,(AF$392-('Stage 2 Randomized Selection'!U$2*$M393)) - 1),0),
IF(AND(OR(AG$279=123, AG$279=12, AG$279=23, AG$279=2), Cultivar_2_Cohort_Year_Selection=$AC$278), ROUND(MAX(0,(AF$392-('Stage 2 Randomized Selection'!U$2*$M393)) - 1),0),
IF(AND(OR(AG$279=123, AG$279=13, AG$279=23, AG$279=3), Cultivar_3_Cohort_Year_Selection=$AC$278), ROUND(MAX(0,(AF$392-('Stage 2 Randomized Selection'!U$2*$M393)) - 1),0),
ROUND(MAX(0,(AF$392-('Stage 2 Randomized Selection'!U$2*$M393))),0)))))))),0),"")</f>
        <v/>
      </c>
      <c r="AH416" s="270" t="str">
        <f>IF(ISNUMBER($B$393),
IF(AND(ISNUMBER(AG$392), AG$392&gt;0),
IF(AND(AH$279=123, Cultivar_1_Cohort_Year_Selection=$AD$278,Cultivar_2_Cohort_Year_Selection=$AD$278,Cultivar_3_Cohort_Year_Selection=$AD$278), ROUND(MAX(0,(AG$392-('Stage 2 Randomized Selection'!W$2*$M393)) - 3),0),
IF(AND(OR(AH$279=123, AH$279=12), Cultivar_1_Cohort_Year_Selection=$AD$278,Cultivar_2_Cohort_Year_Selection=$AD$278),  ROUND(MAX(0,(AG$392-('Stage 2 Randomized Selection'!V$2*$M393)) - 2),0),
IF(AND(OR(AH$279=123, AH$279=13), Cultivar_1_Cohort_Year_Selection=$AD$278,Cultivar_3_Cohort_Year_Selection=$AD$278), ROUND(MAX(0,(AG$392-('Stage 2 Randomized Selection'!V$2*$M393)) - 2),0),
IF(AND(OR(AH$279=123, AH$279=23), Cultivar_2_Cohort_Year_Selection=$AD$278,Cultivar_3_Cohort_Year_Selection=$AD$278), ROUND(MAX(0,(AG$392-('Stage 2 Randomized Selection'!V$2*$M393)) - 2),0),
IF(AND(OR(AH$279=123, AH$279=12, AH$279=13, AH$279=1), Cultivar_1_Cohort_Year_Selection=$AD$278), ROUND(MAX(0,(AG$392-('Stage 2 Randomized Selection'!V$2*$M393)) - 1),0),
IF(AND(OR(AH$279=123, AH$279=12, AH$279=23, AH$279=2), Cultivar_2_Cohort_Year_Selection=$AD$278), ROUND(MAX(0,(AG$392-('Stage 2 Randomized Selection'!V$2*$M393)) - 1),0),
IF(AND(OR(AH$279=123, AH$279=13, AH$279=23, AH$279=3), Cultivar_3_Cohort_Year_Selection=$AD$278), ROUND(MAX(0,(AG$392-('Stage 2 Randomized Selection'!V$2*$M393)) - 1),0),
ROUND(MAX(0,(AG$392-('Stage 2 Randomized Selection'!V$2*$M393))),0)))))))),0),"")</f>
        <v/>
      </c>
      <c r="AI416" s="270" t="str">
        <f>IF(ISNUMBER($B$393),
IF(AND(ISNUMBER(AH$392), AH$392&gt;0),
IF(AND(AI$279=123, Cultivar_1_Cohort_Year_Selection=$AE$278,Cultivar_2_Cohort_Year_Selection=$AE$278,Cultivar_3_Cohort_Year_Selection=$AE$278), ROUND(MAX(0,(AH$392-('Stage 2 Randomized Selection'!X$2*$M393)) - 3),0),
IF(AND(OR(AI$279=123, AI$279=12), Cultivar_1_Cohort_Year_Selection=$AE$278,Cultivar_2_Cohort_Year_Selection=$AE$278),  ROUND(MAX(0,(AH$392-('Stage 2 Randomized Selection'!W$2*$M393)) - 2),0),
IF(AND(OR(AI$279=123, AI$279=13), Cultivar_1_Cohort_Year_Selection=$AE$278,Cultivar_3_Cohort_Year_Selection=$AE$278), ROUND(MAX(0,(AH$392-('Stage 2 Randomized Selection'!W$2*$M393)) - 2),0),
IF(AND(OR(AI$279=123, AI$279=23), Cultivar_2_Cohort_Year_Selection=$AE$278,Cultivar_3_Cohort_Year_Selection=$AE$278), ROUND(MAX(0,(AH$392-('Stage 2 Randomized Selection'!W$2*$M393)) - 2),0),
IF(AND(OR(AI$279=123, AI$279=12, AI$279=13, AI$279=1), Cultivar_1_Cohort_Year_Selection=$AE$278), ROUND(MAX(0,(AH$392-('Stage 2 Randomized Selection'!W$2*$M393)) - 1),0),
IF(AND(OR(AI$279=123, AI$279=12, AI$279=23, AI$279=2), Cultivar_2_Cohort_Year_Selection=$AE$278), ROUND(MAX(0,(AH$392-('Stage 2 Randomized Selection'!W$2*$M393)) - 1),0),
IF(AND(OR(AI$279=123, AI$279=13, AI$279=23, AI$279=3), Cultivar_3_Cohort_Year_Selection=$AE$278), ROUND(MAX(0,(AH$392-('Stage 2 Randomized Selection'!W$2*$M393)) - 1),0),
ROUND(MAX(0,(AH$392-('Stage 2 Randomized Selection'!W$2*$M393))),0)))))))),0),"")</f>
        <v/>
      </c>
      <c r="AJ416" s="270" t="str">
        <f>IF(ISNUMBER($B$393),
IF(AND(ISNUMBER(AI$392), AI$392&gt;0),
IF(AND(AJ$279=123, Cultivar_1_Cohort_Year_Selection=$AF$278,Cultivar_2_Cohort_Year_Selection=$AF$278,Cultivar_3_Cohort_Year_Selection=$AF$278), ROUND(MAX(0,(AI$392-('Stage 2 Randomized Selection'!Y$2*$M393)) - 3),0),
IF(AND(OR(AJ$279=123, AJ$279=12), Cultivar_1_Cohort_Year_Selection=$AF$278,Cultivar_2_Cohort_Year_Selection=$AF$278),  ROUND(MAX(0,(AI$392-('Stage 2 Randomized Selection'!X$2*$M393)) - 2),0),
IF(AND(OR(AJ$279=123, AJ$279=13), Cultivar_1_Cohort_Year_Selection=$AF$278,Cultivar_3_Cohort_Year_Selection=$AF$278), ROUND(MAX(0,(AI$392-('Stage 2 Randomized Selection'!X$2*$M393)) - 2),0),
IF(AND(OR(AJ$279=123, AJ$279=23), Cultivar_2_Cohort_Year_Selection=$AF$278,Cultivar_3_Cohort_Year_Selection=$AF$278), ROUND(MAX(0,(AI$392-('Stage 2 Randomized Selection'!X$2*$M393)) - 2),0),
IF(AND(OR(AJ$279=123, AJ$279=12, AJ$279=13, AJ$279=1), Cultivar_1_Cohort_Year_Selection=$AF$278), ROUND(MAX(0,(AI$392-('Stage 2 Randomized Selection'!X$2*$M393)) - 1),0),
IF(AND(OR(AJ$279=123, AJ$279=12, AJ$279=23, AJ$279=2), Cultivar_2_Cohort_Year_Selection=$AF$278), ROUND(MAX(0,(AI$392-('Stage 2 Randomized Selection'!X$2*$M393)) - 1),0),
IF(AND(OR(AJ$279=123, AJ$279=13, AJ$279=23, AJ$279=3), Cultivar_3_Cohort_Year_Selection=$AF$278), ROUND(MAX(0,(AI$392-('Stage 2 Randomized Selection'!X$2*$M393)) - 1),0),
ROUND(MAX(0,(AI$392-('Stage 2 Randomized Selection'!X$2*$M393))),0)))))))),0),"")</f>
        <v/>
      </c>
      <c r="AK416" s="270" t="str">
        <f>IF(ISNUMBER($B$393),
IF(AND(ISNUMBER(AJ$392), AJ$392&gt;0),
IF(AND(AK$279=123, Cultivar_1_Cohort_Year_Selection=$AG$278,Cultivar_2_Cohort_Year_Selection=$AG$278,Cultivar_3_Cohort_Year_Selection=$AG$278), ROUND(MAX(0,(AJ$392-('Stage 2 Randomized Selection'!Z$2*$M393)) - 3),0),
IF(AND(OR(AK$279=123, AK$279=12), Cultivar_1_Cohort_Year_Selection=$AG$278,Cultivar_2_Cohort_Year_Selection=$AG$278),  ROUND(MAX(0,(AJ$392-('Stage 2 Randomized Selection'!Y$2*$M393)) - 2),0),
IF(AND(OR(AK$279=123, AK$279=13), Cultivar_1_Cohort_Year_Selection=$AG$278,Cultivar_3_Cohort_Year_Selection=$AG$278), ROUND(MAX(0,(AJ$392-('Stage 2 Randomized Selection'!Y$2*$M393)) - 2),0),
IF(AND(OR(AK$279=123, AK$279=23), Cultivar_2_Cohort_Year_Selection=$AG$278,Cultivar_3_Cohort_Year_Selection=$AG$278), ROUND(MAX(0,(AJ$392-('Stage 2 Randomized Selection'!Y$2*$M393)) - 2),0),
IF(AND(OR(AK$279=123, AK$279=12, AK$279=13, AK$279=1), Cultivar_1_Cohort_Year_Selection=$AG$278), ROUND(MAX(0,(AJ$392-('Stage 2 Randomized Selection'!Y$2*$M393)) - 1),0),
IF(AND(OR(AK$279=123, AK$279=12, AK$279=23, AK$279=2), Cultivar_2_Cohort_Year_Selection=$AG$278), ROUND(MAX(0,(AJ$392-('Stage 2 Randomized Selection'!Y$2*$M393)) - 1),0),
IF(AND(OR(AK$279=123, AK$279=13, AK$279=23, AK$279=3), Cultivar_3_Cohort_Year_Selection=$AG$278), ROUND(MAX(0,(AJ$392-('Stage 2 Randomized Selection'!Y$2*$M393)) - 1),0),
ROUND(MAX(0,(AJ$392-('Stage 2 Randomized Selection'!Y$2*$M393))),0)))))))),0),"")</f>
        <v/>
      </c>
      <c r="AL416" s="270" t="str">
        <f>IF(ISNUMBER($B$393),
IF(AND(ISNUMBER(AK$392), AK$392&gt;0),
IF(AND(AL$279=123, Cultivar_1_Cohort_Year_Selection=$AH$278,Cultivar_2_Cohort_Year_Selection=$AH$278,Cultivar_3_Cohort_Year_Selection=$AH$278), ROUND(MAX(0,(AK$392-('Stage 2 Randomized Selection'!AA$2*$M393)) - 3),0),
IF(AND(OR(AL$279=123, AL$279=12), Cultivar_1_Cohort_Year_Selection=$AH$278,Cultivar_2_Cohort_Year_Selection=$AH$278),  ROUND(MAX(0,(AK$392-('Stage 2 Randomized Selection'!Z$2*$M393)) - 2),0),
IF(AND(OR(AL$279=123, AL$279=13), Cultivar_1_Cohort_Year_Selection=$AH$278,Cultivar_3_Cohort_Year_Selection=$AH$278), ROUND(MAX(0,(AK$392-('Stage 2 Randomized Selection'!Z$2*$M393)) - 2),0),
IF(AND(OR(AL$279=123, AL$279=23), Cultivar_2_Cohort_Year_Selection=$AH$278,Cultivar_3_Cohort_Year_Selection=$AH$278), ROUND(MAX(0,(AK$392-('Stage 2 Randomized Selection'!Z$2*$M393)) - 2),0),
IF(AND(OR(AL$279=123, AL$279=12, AL$279=13, AL$279=1), Cultivar_1_Cohort_Year_Selection=$AH$278), ROUND(MAX(0,(AK$392-('Stage 2 Randomized Selection'!Z$2*$M393)) - 1),0),
IF(AND(OR(AL$279=123, AL$279=12, AL$279=23, AL$279=2), Cultivar_2_Cohort_Year_Selection=$AH$278), ROUND(MAX(0,(AK$392-('Stage 2 Randomized Selection'!Z$2*$M393)) - 1),0),
IF(AND(OR(AL$279=123, AL$279=13, AL$279=23, AL$279=3), Cultivar_3_Cohort_Year_Selection=$AH$278), ROUND(MAX(0,(AK$392-('Stage 2 Randomized Selection'!Z$2*$M393)) - 1),0),
ROUND(MAX(0,(AK$392-('Stage 2 Randomized Selection'!Z$2*$M393))),0)))))))),0),"")</f>
        <v/>
      </c>
      <c r="AM416" s="270" t="str">
        <f>IF(ISNUMBER($B$393),
IF(AND(ISNUMBER(AL$392), AL$392&gt;0),
IF(AND(AM$279=123, Cultivar_1_Cohort_Year_Selection=$AI$278,Cultivar_2_Cohort_Year_Selection=$AI$278,Cultivar_3_Cohort_Year_Selection=$AI$278), ROUND(MAX(0,(AL$392-('Stage 2 Randomized Selection'!AB$2*$M393)) - 3),0),
IF(AND(OR(AM$279=123, AM$279=12), Cultivar_1_Cohort_Year_Selection=$AI$278,Cultivar_2_Cohort_Year_Selection=$AI$278),  ROUND(MAX(0,(AL$392-('Stage 2 Randomized Selection'!AA$2*$M393)) - 2),0),
IF(AND(OR(AM$279=123, AM$279=13), Cultivar_1_Cohort_Year_Selection=$AI$278,Cultivar_3_Cohort_Year_Selection=$AI$278), ROUND(MAX(0,(AL$392-('Stage 2 Randomized Selection'!AA$2*$M393)) - 2),0),
IF(AND(OR(AM$279=123, AM$279=23), Cultivar_2_Cohort_Year_Selection=$AI$278,Cultivar_3_Cohort_Year_Selection=$AI$278), ROUND(MAX(0,(AL$392-('Stage 2 Randomized Selection'!AA$2*$M393)) - 2),0),
IF(AND(OR(AM$279=123, AM$279=12, AM$279=13, AM$279=1), Cultivar_1_Cohort_Year_Selection=$AI$278), ROUND(MAX(0,(AL$392-('Stage 2 Randomized Selection'!AA$2*$M393)) - 1),0),
IF(AND(OR(AM$279=123, AM$279=12, AM$279=23, AM$279=2), Cultivar_2_Cohort_Year_Selection=$AI$278), ROUND(MAX(0,(AL$392-('Stage 2 Randomized Selection'!AA$2*$M393)) - 1),0),
IF(AND(OR(AM$279=123, AM$279=13, AM$279=23, AM$279=3), Cultivar_3_Cohort_Year_Selection=$AI$278), ROUND(MAX(0,(AL$392-('Stage 2 Randomized Selection'!AA$2*$M393)) - 1),0),
ROUND(MAX(0,(AL$392-('Stage 2 Randomized Selection'!AA$2*$M393))),0)))))))),0),"")</f>
        <v/>
      </c>
      <c r="AN416" s="270" t="str">
        <f>IF(ISNUMBER($B$393),
IF(AND(ISNUMBER(AM$392), AM$392&gt;0),
IF(AND(AN$279=123, Cultivar_1_Cohort_Year_Selection=$AJ$278,Cultivar_2_Cohort_Year_Selection=$AJ$278,Cultivar_3_Cohort_Year_Selection=$AJ$278), ROUND(MAX(0,(AM$392-('Stage 2 Randomized Selection'!AC$2*$M393)) - 3),0),
IF(AND(OR(AN$279=123, AN$279=12), Cultivar_1_Cohort_Year_Selection=$AJ$278,Cultivar_2_Cohort_Year_Selection=$AJ$278),  ROUND(MAX(0,(AM$392-('Stage 2 Randomized Selection'!AB$2*$M393)) - 2),0),
IF(AND(OR(AN$279=123, AN$279=13), Cultivar_1_Cohort_Year_Selection=$AJ$278,Cultivar_3_Cohort_Year_Selection=$AJ$278), ROUND(MAX(0,(AM$392-('Stage 2 Randomized Selection'!AB$2*$M393)) - 2),0),
IF(AND(OR(AN$279=123, AN$279=23), Cultivar_2_Cohort_Year_Selection=$AJ$278,Cultivar_3_Cohort_Year_Selection=$AJ$278), ROUND(MAX(0,(AM$392-('Stage 2 Randomized Selection'!AB$2*$M393)) - 2),0),
IF(AND(OR(AN$279=123, AN$279=12, AN$279=13, AN$279=1), Cultivar_1_Cohort_Year_Selection=$AJ$278), ROUND(MAX(0,(AM$392-('Stage 2 Randomized Selection'!AB$2*$M393)) - 1),0),
IF(AND(OR(AN$279=123, AN$279=12, AN$279=23, AN$279=2), Cultivar_2_Cohort_Year_Selection=$AJ$278), ROUND(MAX(0,(AM$392-('Stage 2 Randomized Selection'!AB$2*$M393)) - 1),0),
IF(AND(OR(AN$279=123, AN$279=13, AN$279=23, AN$279=3), Cultivar_3_Cohort_Year_Selection=$AJ$278), ROUND(MAX(0,(AM$392-('Stage 2 Randomized Selection'!AB$2*$M393)) - 1),0),
ROUND(MAX(0,(AM$392-('Stage 2 Randomized Selection'!AB$2*$M393))),0)))))))),0),"")</f>
        <v/>
      </c>
      <c r="AO416" s="270" t="str">
        <f>IF(ISNUMBER($B$393),
IF(AND(ISNUMBER(AN$392), AN$392&gt;0),
IF(AND(AO$279=123, Cultivar_1_Cohort_Year_Selection=$AK$278,Cultivar_2_Cohort_Year_Selection=$AK$278,Cultivar_3_Cohort_Year_Selection=$AK$278), ROUND(MAX(0,(AN$392-('Stage 2 Randomized Selection'!AD$2*$M393)) - 3),0),
IF(AND(OR(AO$279=123, AO$279=12), Cultivar_1_Cohort_Year_Selection=$AK$278,Cultivar_2_Cohort_Year_Selection=$AK$278),  ROUND(MAX(0,(AN$392-('Stage 2 Randomized Selection'!AC$2*$M393)) - 2),0),
IF(AND(OR(AO$279=123, AO$279=13), Cultivar_1_Cohort_Year_Selection=$AK$278,Cultivar_3_Cohort_Year_Selection=$AK$278), ROUND(MAX(0,(AN$392-('Stage 2 Randomized Selection'!AC$2*$M393)) - 2),0),
IF(AND(OR(AO$279=123, AO$279=23), Cultivar_2_Cohort_Year_Selection=$AK$278,Cultivar_3_Cohort_Year_Selection=$AK$278), ROUND(MAX(0,(AN$392-('Stage 2 Randomized Selection'!AC$2*$M393)) - 2),0),
IF(AND(OR(AO$279=123, AO$279=12, AO$279=13, AO$279=1), Cultivar_1_Cohort_Year_Selection=$AK$278), ROUND(MAX(0,(AN$392-('Stage 2 Randomized Selection'!AC$2*$M393)) - 1),0),
IF(AND(OR(AO$279=123, AO$279=12, AO$279=23, AO$279=2), Cultivar_2_Cohort_Year_Selection=$AK$278), ROUND(MAX(0,(AN$392-('Stage 2 Randomized Selection'!AC$2*$M393)) - 1),0),
IF(AND(OR(AO$279=123, AO$279=13, AO$279=23, AO$279=3), Cultivar_3_Cohort_Year_Selection=$AK$278), ROUND(MAX(0,(AN$392-('Stage 2 Randomized Selection'!AC$2*$M393)) - 1),0),
ROUND(MAX(0,(AN$392-('Stage 2 Randomized Selection'!AC$2*$M393))),0)))))))),0),"")</f>
        <v/>
      </c>
      <c r="AP416" s="270" t="str">
        <f>IF(ISNUMBER($B$393),
IF(AND(ISNUMBER(AO$392), AO$392&gt;0),
IF(AND(AP$279=123, Cultivar_1_Cohort_Year_Selection=$AL$278,Cultivar_2_Cohort_Year_Selection=$AL$278,Cultivar_3_Cohort_Year_Selection=$AL$278), ROUND(MAX(0,(AO$392-('Stage 2 Randomized Selection'!AE$2*$M393)) - 3),0),
IF(AND(OR(AP$279=123, AP$279=12), Cultivar_1_Cohort_Year_Selection=$AL$278,Cultivar_2_Cohort_Year_Selection=$AL$278),  ROUND(MAX(0,(AO$392-('Stage 2 Randomized Selection'!AD$2*$M393)) - 2),0),
IF(AND(OR(AP$279=123, AP$279=13), Cultivar_1_Cohort_Year_Selection=$AL$278,Cultivar_3_Cohort_Year_Selection=$AL$278), ROUND(MAX(0,(AO$392-('Stage 2 Randomized Selection'!AD$2*$M393)) - 2),0),
IF(AND(OR(AP$279=123, AP$279=23), Cultivar_2_Cohort_Year_Selection=$AL$278,Cultivar_3_Cohort_Year_Selection=$AL$278), ROUND(MAX(0,(AO$392-('Stage 2 Randomized Selection'!AD$2*$M393)) - 2),0),
IF(AND(OR(AP$279=123, AP$279=12, AP$279=13, AP$279=1), Cultivar_1_Cohort_Year_Selection=$AL$278), ROUND(MAX(0,(AO$392-('Stage 2 Randomized Selection'!AD$2*$M393)) - 1),0),
IF(AND(OR(AP$279=123, AP$279=12, AP$279=23, AP$279=2), Cultivar_2_Cohort_Year_Selection=$AL$278), ROUND(MAX(0,(AO$392-('Stage 2 Randomized Selection'!AD$2*$M393)) - 1),0),
IF(AND(OR(AP$279=123, AP$279=13, AP$279=23, AP$279=3), Cultivar_3_Cohort_Year_Selection=$AL$278), ROUND(MAX(0,(AO$392-('Stage 2 Randomized Selection'!AD$2*$M393)) - 1),0),
ROUND(MAX(0,(AO$392-('Stage 2 Randomized Selection'!AD$2*$M393))),0)))))))),0),"")</f>
        <v/>
      </c>
      <c r="AQ416" s="270" t="str">
        <f>IF(ISNUMBER($B$393),
IF(AND(ISNUMBER(AP$392), AP$392&gt;0),
IF(AND(AQ$279=123, Cultivar_1_Cohort_Year_Selection=$AM$278,Cultivar_2_Cohort_Year_Selection=$AM$278,Cultivar_3_Cohort_Year_Selection=$AM$278), ROUND(MAX(0,(AP$392-('Stage 2 Randomized Selection'!AF$2*$M393)) - 3),0),
IF(AND(OR(AQ$279=123, AQ$279=12), Cultivar_1_Cohort_Year_Selection=$AM$278,Cultivar_2_Cohort_Year_Selection=$AM$278),  ROUND(MAX(0,(AP$392-('Stage 2 Randomized Selection'!AE$2*$M393)) - 2),0),
IF(AND(OR(AQ$279=123, AQ$279=13), Cultivar_1_Cohort_Year_Selection=$AM$278,Cultivar_3_Cohort_Year_Selection=$AM$278), ROUND(MAX(0,(AP$392-('Stage 2 Randomized Selection'!AE$2*$M393)) - 2),0),
IF(AND(OR(AQ$279=123, AQ$279=23), Cultivar_2_Cohort_Year_Selection=$AM$278,Cultivar_3_Cohort_Year_Selection=$AM$278), ROUND(MAX(0,(AP$392-('Stage 2 Randomized Selection'!AE$2*$M393)) - 2),0),
IF(AND(OR(AQ$279=123, AQ$279=12, AQ$279=13, AQ$279=1), Cultivar_1_Cohort_Year_Selection=$AM$278), ROUND(MAX(0,(AP$392-('Stage 2 Randomized Selection'!AE$2*$M393)) - 1),0),
IF(AND(OR(AQ$279=123, AQ$279=12, AQ$279=23, AQ$279=2), Cultivar_2_Cohort_Year_Selection=$AM$278), ROUND(MAX(0,(AP$392-('Stage 2 Randomized Selection'!AE$2*$M393)) - 1),0),
IF(AND(OR(AQ$279=123, AQ$279=13, AQ$279=23, AQ$279=3), Cultivar_3_Cohort_Year_Selection=$AM$278), ROUND(MAX(0,(AP$392-('Stage 2 Randomized Selection'!AE$2*$M393)) - 1),0),
ROUND(MAX(0,(AP$392-('Stage 2 Randomized Selection'!AE$2*$M393))),0)))))))),0),"")</f>
        <v/>
      </c>
      <c r="AR416" s="270" t="str">
        <f>IF(ISNUMBER($B$393),
IF(AND(ISNUMBER(AQ$392), AQ$392&gt;0),
IF(AND(AR$279=123, Cultivar_1_Cohort_Year_Selection=$AN$278,Cultivar_2_Cohort_Year_Selection=$AN$278,Cultivar_3_Cohort_Year_Selection=$AN$278), ROUND(MAX(0,(AQ$392-('Stage 2 Randomized Selection'!AG$2*$M393)) - 3),0),
IF(AND(OR(AR$279=123, AR$279=12), Cultivar_1_Cohort_Year_Selection=$AN$278,Cultivar_2_Cohort_Year_Selection=$AN$278),  ROUND(MAX(0,(AQ$392-('Stage 2 Randomized Selection'!AF$2*$M393)) - 2),0),
IF(AND(OR(AR$279=123, AR$279=13), Cultivar_1_Cohort_Year_Selection=$AN$278,Cultivar_3_Cohort_Year_Selection=$AN$278), ROUND(MAX(0,(AQ$392-('Stage 2 Randomized Selection'!AF$2*$M393)) - 2),0),
IF(AND(OR(AR$279=123, AR$279=23), Cultivar_2_Cohort_Year_Selection=$AN$278,Cultivar_3_Cohort_Year_Selection=$AN$278), ROUND(MAX(0,(AQ$392-('Stage 2 Randomized Selection'!AF$2*$M393)) - 2),0),
IF(AND(OR(AR$279=123, AR$279=12, AR$279=13, AR$279=1), Cultivar_1_Cohort_Year_Selection=$AN$278), ROUND(MAX(0,(AQ$392-('Stage 2 Randomized Selection'!AF$2*$M393)) - 1),0),
IF(AND(OR(AR$279=123, AR$279=12, AR$279=23, AR$279=2), Cultivar_2_Cohort_Year_Selection=$AN$278), ROUND(MAX(0,(AQ$392-('Stage 2 Randomized Selection'!AF$2*$M393)) - 1),0),
IF(AND(OR(AR$279=123, AR$279=13, AR$279=23, AR$279=3), Cultivar_3_Cohort_Year_Selection=$AN$278), ROUND(MAX(0,(AQ$392-('Stage 2 Randomized Selection'!AF$2*$M393)) - 1),0),
ROUND(MAX(0,(AQ$392-('Stage 2 Randomized Selection'!AF$2*$M393))),0)))))))),0),"")</f>
        <v/>
      </c>
      <c r="AS416" s="270" t="str">
        <f>IF(ISNUMBER($B$393),
IF(AND(ISNUMBER(AR$392), AR$392&gt;0),
IF(AND(AS$279=123, Cultivar_1_Cohort_Year_Selection=$AO$278,Cultivar_2_Cohort_Year_Selection=$AO$278,Cultivar_3_Cohort_Year_Selection=$AO$278), ROUND(MAX(0,(AR$392-('Stage 2 Randomized Selection'!AH$2*$M393)) - 3),0),
IF(AND(OR(AS$279=123, AS$279=12), Cultivar_1_Cohort_Year_Selection=$AO$278,Cultivar_2_Cohort_Year_Selection=$AO$278),  ROUND(MAX(0,(AR$392-('Stage 2 Randomized Selection'!AG$2*$M393)) - 2),0),
IF(AND(OR(AS$279=123, AS$279=13), Cultivar_1_Cohort_Year_Selection=$AO$278,Cultivar_3_Cohort_Year_Selection=$AO$278), ROUND(MAX(0,(AR$392-('Stage 2 Randomized Selection'!AG$2*$M393)) - 2),0),
IF(AND(OR(AS$279=123, AS$279=23), Cultivar_2_Cohort_Year_Selection=$AO$278,Cultivar_3_Cohort_Year_Selection=$AO$278), ROUND(MAX(0,(AR$392-('Stage 2 Randomized Selection'!AG$2*$M393)) - 2),0),
IF(AND(OR(AS$279=123, AS$279=12, AS$279=13, AS$279=1), Cultivar_1_Cohort_Year_Selection=$AO$278), ROUND(MAX(0,(AR$392-('Stage 2 Randomized Selection'!AG$2*$M393)) - 1),0),
IF(AND(OR(AS$279=123, AS$279=12, AS$279=23, AS$279=2), Cultivar_2_Cohort_Year_Selection=$AO$278), ROUND(MAX(0,(AR$392-('Stage 2 Randomized Selection'!AG$2*$M393)) - 1),0),
IF(AND(OR(AS$279=123, AS$279=13, AS$279=23, AS$279=3), Cultivar_3_Cohort_Year_Selection=$AO$278), ROUND(MAX(0,(AR$392-('Stage 2 Randomized Selection'!AG$2*$M393)) - 1),0),
ROUND(MAX(0,(AR$392-('Stage 2 Randomized Selection'!AG$2*$M393))),0)))))))),0),"")</f>
        <v/>
      </c>
      <c r="AT416" s="271" t="str">
        <f>IF(ISNUMBER($B$393),
IF(AND(ISNUMBER(AS$392), AS$392&gt;0),
IF(AND(AT$279=123, Cultivar_1_Cohort_Year_Selection=$AP$278,Cultivar_2_Cohort_Year_Selection=$AP$278,Cultivar_3_Cohort_Year_Selection=$AP$278), ROUND(MAX(0,(AS$392-('Stage 2 Randomized Selection'!AI$2*$M393)) - 3),0),
IF(AND(OR(AT$279=123, AT$279=12), Cultivar_1_Cohort_Year_Selection=$AP$278,Cultivar_2_Cohort_Year_Selection=$AP$278),  ROUND(MAX(0,(AS$392-('Stage 2 Randomized Selection'!AH$2*$M393)) - 2),0),
IF(AND(OR(AT$279=123, AT$279=13), Cultivar_1_Cohort_Year_Selection=$AP$278,Cultivar_3_Cohort_Year_Selection=$AP$278), ROUND(MAX(0,(AS$392-('Stage 2 Randomized Selection'!AH$2*$M393)) - 2),0),
IF(AND(OR(AT$279=123, AT$279=23), Cultivar_2_Cohort_Year_Selection=$AP$278,Cultivar_3_Cohort_Year_Selection=$AP$278), ROUND(MAX(0,(AS$392-('Stage 2 Randomized Selection'!AH$2*$M393)) - 2),0),
IF(AND(OR(AT$279=123, AT$279=12, AT$279=13, AT$279=1), Cultivar_1_Cohort_Year_Selection=$AP$278), ROUND(MAX(0,(AS$392-('Stage 2 Randomized Selection'!AH$2*$M393)) - 1),0),
IF(AND(OR(AT$279=123, AT$279=12, AT$279=23, AT$279=2), Cultivar_2_Cohort_Year_Selection=$AP$278), ROUND(MAX(0,(AS$392-('Stage 2 Randomized Selection'!AH$2*$M393)) - 1),0),
IF(AND(OR(AT$279=123, AT$279=13, AT$279=23, AT$279=3), Cultivar_3_Cohort_Year_Selection=$AP$278), ROUND(MAX(0,(AS$392-('Stage 2 Randomized Selection'!AH$2*$M393)) - 1),0),
ROUND(MAX(0,(AS$392-('Stage 2 Randomized Selection'!AH$2*$M393))),0)))))))),0),"")</f>
        <v/>
      </c>
    </row>
    <row r="417" spans="1:47" ht="14.45" customHeight="1" x14ac:dyDescent="0.25">
      <c r="A417" s="518" t="str">
        <f>Fourth_Stage</f>
        <v>Stage 2 Clonal Test Plots</v>
      </c>
      <c r="B417" s="504" t="str">
        <f>'Breeding Inputs'!B94</f>
        <v/>
      </c>
      <c r="C417" s="521" t="str">
        <f>IF(ISNUMBER(B417), _4_3_0, "")</f>
        <v/>
      </c>
      <c r="D417" s="94" t="str">
        <f>IF(AND(C417&lt;&gt;"", 'Cost Inputs'!$G$105&lt;&gt;""), 'Cost Inputs'!$G$105, "")</f>
        <v/>
      </c>
      <c r="E417" s="94" t="str">
        <f>IF(AND(C417&lt;&gt;"", 'Cost Inputs'!$H$105&lt;&gt;""), 'Cost Inputs'!$H$105, "")</f>
        <v/>
      </c>
      <c r="F417" s="492" t="str">
        <f>IF(AND(C417&lt;&gt;"", 'Cost Inputs'!$I$105&lt;&gt;""), 'Cost Inputs'!$I$105, "")</f>
        <v/>
      </c>
      <c r="G417" s="102" t="str">
        <f t="shared" si="152"/>
        <v/>
      </c>
      <c r="H417" s="492" t="str">
        <f>IF(AND(C417&lt;&gt;"", 'Cost Inputs'!$J$105&lt;&gt;""), 'Cost Inputs'!$J$105, "")</f>
        <v/>
      </c>
      <c r="I417" s="102" t="str">
        <f>IF($C417&lt;&gt;"",IF(AND($E417&lt;&gt;"",H417&lt;&gt;""), H417/$E417, 0),"")</f>
        <v/>
      </c>
      <c r="J417" s="492" t="str">
        <f>IF(AND(C417&lt;&gt;"",('Cost Inputs'!$I$105+'Cost Inputs'!$J$105+'Cost Inputs'!$K$105)&gt;0), 'Cost Inputs'!$I$105+'Cost Inputs'!$J$105+'Cost Inputs'!$K$105, "")</f>
        <v/>
      </c>
      <c r="K417" s="102" t="str">
        <f>IF($C417&lt;&gt;"",IF(AND($E417&lt;&gt;"",J417&lt;&gt;""), J417/$E417, 0),"")</f>
        <v/>
      </c>
      <c r="L417" s="525" t="str">
        <f>IF(AND($B417&lt;&gt;"", 'Breeding Inputs'!$C$89&lt;&gt;""), INDEX('Breeding Inputs'!$C$89:$C$98, MATCH($B417,'Breeding Inputs'!$B$89:$B$98,0)), IF($B417="", "", 0%))</f>
        <v/>
      </c>
      <c r="M417" s="525" t="str">
        <f>IF(AND($B417&lt;&gt;"", 'Breeding Inputs'!$D$89&lt;&gt;""), INDEX('Breeding Inputs'!$D$89:$D$98, MATCH($B417,'Breeding Inputs'!$B$89:$B$98,0))+INDEX('Breeding Inputs'!$E$89:$E$98, MATCH($B417,'Breeding Inputs'!$B$89:$B$98,0)), IF($B417="", "", 0%))</f>
        <v/>
      </c>
      <c r="T417" s="495" t="str">
        <f>IF(ISNUMBER($B$417),
IF($C417&lt;&gt;"",
IF(AND(ISNUMBER(S$416), S$416&gt;0),
IF(AND(T$279=123, Cultivar_1_Cohort_Year_Selection=$O$278,Cultivar_2_Cohort_Year_Selection=$O$278,Cultivar_3_Cohort_Year_Selection=$O$278), ROUND(MAX(0,S$416 - 3),0),
IF(AND(OR(T$279=123, T$279=12), Cultivar_1_Cohort_Year_Selection=$O$278,Cultivar_2_Cohort_Year_Selection=$O$278), ROUND(MAX(0,S$416 - 2),0),
IF(AND(OR(T$279=123, T$279=13), Cultivar_1_Cohort_Year_Selection=$O$278,Cultivar_3_Cohort_Year_Selection=$O$278), ROUND(MAX(0,S$416 - 2),0),
IF(AND(OR(T$279=123, T$279=23), Cultivar_2_Cohort_Year_Selection=$O$278,Cultivar_3_Cohort_Year_Selection=$O$278), ROUND(MAX(0,S$416 - 2),0),
IF(AND(OR(T$279=123, T$279=12, T$279=13, T$279=1), Cultivar_1_Cohort_Year_Selection=$O$278), ROUND(MAX(0,S$416 - 1),0),
IF(AND(OR(T$279=123, T$279=12, T$279=23, T$279=2), Cultivar_2_Cohort_Year_Selection=$O$278), ROUND(MAX(0,S$416 - 1),0),
IF(AND(OR(T$279=123, T$279=13, T$279=23, T$279=3), Cultivar_3_Cohort_Year_Selection=$O$278), ROUND(MAX(0,S$416 - 1),0),
ROUND(MAX(0,S$416),0)))))))),""),""),"")</f>
        <v/>
      </c>
      <c r="U417" s="495" t="str">
        <f>IF(ISNUMBER($B$417),
IF($C417&lt;&gt;"",
IF(AND(ISNUMBER(T$416), T$416&gt;0),
IF(AND(U$279=123, Cultivar_1_Cohort_Year_Selection=$P$278,Cultivar_2_Cohort_Year_Selection=$P$278,Cultivar_3_Cohort_Year_Selection=$P$278), ROUND(MAX(0,T$416 - 3),0),
IF(AND(OR(U$279=123, U$279=12), Cultivar_1_Cohort_Year_Selection=$P$278,Cultivar_2_Cohort_Year_Selection=$P$278), ROUND(MAX(0,T$416 - 2),0),
IF(AND(OR(U$279=123, U$279=13), Cultivar_1_Cohort_Year_Selection=$P$278,Cultivar_3_Cohort_Year_Selection=$P$278), ROUND(MAX(0,T$416 - 2),0),
IF(AND(OR(U$279=123, U$279=23), Cultivar_2_Cohort_Year_Selection=$P$278,Cultivar_3_Cohort_Year_Selection=$P$278), ROUND(MAX(0,T$416 - 2),0),
IF(AND(OR(U$279=123, U$279=12, U$279=13, U$279=1), Cultivar_1_Cohort_Year_Selection=$P$278), ROUND(MAX(0,T$416 - 1),0),
IF(AND(OR(U$279=123, U$279=12, U$279=23, U$279=2), Cultivar_2_Cohort_Year_Selection=$P$278), ROUND(MAX(0,T$416 - 1),0),
IF(AND(OR(U$279=123, U$279=13, U$279=23, U$279=3), Cultivar_3_Cohort_Year_Selection=$P$278), ROUND(MAX(0,T$416 - 1),0),
ROUND(MAX(0,T$416),0)))))))),""),""),"")</f>
        <v/>
      </c>
      <c r="V417" s="495" t="str">
        <f>IF(ISNUMBER($B$417),
IF($C417&lt;&gt;"",
IF(AND(ISNUMBER(U$416), U$416&gt;0),
IF(AND(V$279=123, Cultivar_1_Cohort_Year_Selection=$Q$278,Cultivar_2_Cohort_Year_Selection=$Q$278,Cultivar_3_Cohort_Year_Selection=$Q$278), ROUND(MAX(0,U$416 - 3),0),
IF(AND(OR(V$279=123, V$279=12), Cultivar_1_Cohort_Year_Selection=$Q$278,Cultivar_2_Cohort_Year_Selection=$Q$278), ROUND(MAX(0,U$416 - 2),0),
IF(AND(OR(V$279=123, V$279=13), Cultivar_1_Cohort_Year_Selection=$Q$278,Cultivar_3_Cohort_Year_Selection=$Q$278), ROUND(MAX(0,U$416 - 2),0),
IF(AND(OR(V$279=123, V$279=23), Cultivar_2_Cohort_Year_Selection=$Q$278,Cultivar_3_Cohort_Year_Selection=$Q$278), ROUND(MAX(0,U$416 - 2),0),
IF(AND(OR(V$279=123, V$279=12, V$279=13, V$279=1), Cultivar_1_Cohort_Year_Selection=$Q$278), ROUND(MAX(0,U$416 - 1),0),
IF(AND(OR(V$279=123, V$279=12, V$279=23, V$279=2), Cultivar_2_Cohort_Year_Selection=$Q$278), ROUND(MAX(0,U$416 - 1),0),
IF(AND(OR(V$279=123, V$279=13, V$279=23, V$279=3), Cultivar_3_Cohort_Year_Selection=$Q$278), ROUND(MAX(0,U$416 - 1),0),
ROUND(MAX(0,U$416),0)))))))),""),""),"")</f>
        <v/>
      </c>
      <c r="W417" s="495" t="str">
        <f>IF(ISNUMBER($B$417),
IF($C417&lt;&gt;"",
IF(AND(ISNUMBER(V$416), V$416&gt;0),
IF(AND(W$279=123, Cultivar_1_Cohort_Year_Selection=$R$278,Cultivar_2_Cohort_Year_Selection=$R$278,Cultivar_3_Cohort_Year_Selection=$R$278), ROUND(MAX(0,V$416 - 3),0),
IF(AND(OR(W$279=123, W$279=12), Cultivar_1_Cohort_Year_Selection=$R$278,Cultivar_2_Cohort_Year_Selection=$R$278), ROUND(MAX(0,V$416 - 2),0),
IF(AND(OR(W$279=123, W$279=13), Cultivar_1_Cohort_Year_Selection=$R$278,Cultivar_3_Cohort_Year_Selection=$R$278), ROUND(MAX(0,V$416 - 2),0),
IF(AND(OR(W$279=123, W$279=23), Cultivar_2_Cohort_Year_Selection=$R$278,Cultivar_3_Cohort_Year_Selection=$R$278), ROUND(MAX(0,V$416 - 2),0),
IF(AND(OR(W$279=123, W$279=12, W$279=13, W$279=1), Cultivar_1_Cohort_Year_Selection=$R$278), ROUND(MAX(0,V$416 - 1),0),
IF(AND(OR(W$279=123, W$279=12, W$279=23, W$279=2), Cultivar_2_Cohort_Year_Selection=$R$278), ROUND(MAX(0,V$416 - 1),0),
IF(AND(OR(W$279=123, W$279=13, W$279=23, W$279=3), Cultivar_3_Cohort_Year_Selection=$R$278), ROUND(MAX(0,V$416 - 1),0),
ROUND(MAX(0,V$416),0)))))))),""),""),"")</f>
        <v/>
      </c>
      <c r="X417" s="495" t="str">
        <f>IF(ISNUMBER($B$417),
IF($C417&lt;&gt;"",
IF(AND(ISNUMBER(W$416), W$416&gt;0),
IF(AND(X$279=123, Cultivar_1_Cohort_Year_Selection=$S$278,Cultivar_2_Cohort_Year_Selection=$S$278,Cultivar_3_Cohort_Year_Selection=$S$278), ROUND(MAX(0,W$416 - 3),0),
IF(AND(OR(X$279=123, X$279=12), Cultivar_1_Cohort_Year_Selection=$S$278,Cultivar_2_Cohort_Year_Selection=$S$278), ROUND(MAX(0,W$416 - 2),0),
IF(AND(OR(X$279=123, X$279=13), Cultivar_1_Cohort_Year_Selection=$S$278,Cultivar_3_Cohort_Year_Selection=$S$278), ROUND(MAX(0,W$416 - 2),0),
IF(AND(OR(X$279=123, X$279=23), Cultivar_2_Cohort_Year_Selection=$S$278,Cultivar_3_Cohort_Year_Selection=$S$278), ROUND(MAX(0,W$416 - 2),0),
IF(AND(OR(X$279=123, X$279=12, X$279=13, X$279=1), Cultivar_1_Cohort_Year_Selection=$S$278), ROUND(MAX(0,W$416 - 1),0),
IF(AND(OR(X$279=123, X$279=12, X$279=23, X$279=2), Cultivar_2_Cohort_Year_Selection=$S$278), ROUND(MAX(0,W$416 - 1),0),
IF(AND(OR(X$279=123, X$279=13, X$279=23, X$279=3), Cultivar_3_Cohort_Year_Selection=$S$278), ROUND(MAX(0,W$416 - 1),0),
ROUND(MAX(0,W$416),0)))))))),""),""),"")</f>
        <v/>
      </c>
      <c r="Y417" s="495" t="str">
        <f>IF(ISNUMBER($B$417),
IF($C417&lt;&gt;"",
IF(AND(ISNUMBER(X$416), X$416&gt;0),
IF(AND(Y$279=123, Cultivar_1_Cohort_Year_Selection=$T$278,Cultivar_2_Cohort_Year_Selection=$T$278,Cultivar_3_Cohort_Year_Selection=$T$278), ROUND(MAX(0,X$416 - 3),0),
IF(AND(OR(Y$279=123, Y$279=12), Cultivar_1_Cohort_Year_Selection=$T$278,Cultivar_2_Cohort_Year_Selection=$T$278), ROUND(MAX(0,X$416 - 2),0),
IF(AND(OR(Y$279=123, Y$279=13), Cultivar_1_Cohort_Year_Selection=$T$278,Cultivar_3_Cohort_Year_Selection=$T$278), ROUND(MAX(0,X$416 - 2),0),
IF(AND(OR(Y$279=123, Y$279=23), Cultivar_2_Cohort_Year_Selection=$T$278,Cultivar_3_Cohort_Year_Selection=$T$278), ROUND(MAX(0,X$416 - 2),0),
IF(AND(OR(Y$279=123, Y$279=12, Y$279=13, Y$279=1), Cultivar_1_Cohort_Year_Selection=$T$278), ROUND(MAX(0,X$416 - 1),0),
IF(AND(OR(Y$279=123, Y$279=12, Y$279=23, Y$279=2), Cultivar_2_Cohort_Year_Selection=$T$278), ROUND(MAX(0,X$416 - 1),0),
IF(AND(OR(Y$279=123, Y$279=13, Y$279=23, Y$279=3), Cultivar_3_Cohort_Year_Selection=$T$278), ROUND(MAX(0,X$416 - 1),0),
ROUND(MAX(0,X$416),0)))))))),""),""),"")</f>
        <v/>
      </c>
      <c r="Z417" s="495" t="str">
        <f>IF(ISNUMBER($B$417),
IF($C417&lt;&gt;"",
IF(AND(ISNUMBER(Y$416), Y$416&gt;0),
IF(AND(Z$279=123, Cultivar_1_Cohort_Year_Selection=$U$278,Cultivar_2_Cohort_Year_Selection=$U$278,Cultivar_3_Cohort_Year_Selection=$U$278), ROUND(MAX(0,Y$416 - 3),0),
IF(AND(OR(Z$279=123, Z$279=12), Cultivar_1_Cohort_Year_Selection=$U$278,Cultivar_2_Cohort_Year_Selection=$U$278), ROUND(MAX(0,Y$416 - 2),0),
IF(AND(OR(Z$279=123, Z$279=13), Cultivar_1_Cohort_Year_Selection=$U$278,Cultivar_3_Cohort_Year_Selection=$U$278), ROUND(MAX(0,Y$416 - 2),0),
IF(AND(OR(Z$279=123, Z$279=23), Cultivar_2_Cohort_Year_Selection=$U$278,Cultivar_3_Cohort_Year_Selection=$U$278), ROUND(MAX(0,Y$416 - 2),0),
IF(AND(OR(Z$279=123, Z$279=12, Z$279=13, Z$279=1), Cultivar_1_Cohort_Year_Selection=$U$278), ROUND(MAX(0,Y$416 - 1),0),
IF(AND(OR(Z$279=123, Z$279=12, Z$279=23, Z$279=2), Cultivar_2_Cohort_Year_Selection=$U$278), ROUND(MAX(0,Y$416 - 1),0),
IF(AND(OR(Z$279=123, Z$279=13, Z$279=23, Z$279=3), Cultivar_3_Cohort_Year_Selection=$U$278), ROUND(MAX(0,Y$416 - 1),0),
ROUND(MAX(0,Y$416),0)))))))),""),""),"")</f>
        <v/>
      </c>
      <c r="AA417" s="495" t="str">
        <f>IF(ISNUMBER($B$417),
IF($C417&lt;&gt;"",
IF(AND(ISNUMBER(Z$416), Z$416&gt;0),
IF(AND(AA$279=123, Cultivar_1_Cohort_Year_Selection=$V$278,Cultivar_2_Cohort_Year_Selection=$V$278,Cultivar_3_Cohort_Year_Selection=$V$278), ROUND(MAX(0,Z$416 - 3),0),
IF(AND(OR(AA$279=123, AA$279=12), Cultivar_1_Cohort_Year_Selection=$V$278,Cultivar_2_Cohort_Year_Selection=$V$278), ROUND(MAX(0,Z$416 - 2),0),
IF(AND(OR(AA$279=123, AA$279=13), Cultivar_1_Cohort_Year_Selection=$V$278,Cultivar_3_Cohort_Year_Selection=$V$278), ROUND(MAX(0,Z$416 - 2),0),
IF(AND(OR(AA$279=123, AA$279=23), Cultivar_2_Cohort_Year_Selection=$V$278,Cultivar_3_Cohort_Year_Selection=$V$278), ROUND(MAX(0,Z$416 - 2),0),
IF(AND(OR(AA$279=123, AA$279=12, AA$279=13, AA$279=1), Cultivar_1_Cohort_Year_Selection=$V$278), ROUND(MAX(0,Z$416 - 1),0),
IF(AND(OR(AA$279=123, AA$279=12, AA$279=23, AA$279=2), Cultivar_2_Cohort_Year_Selection=$V$278), ROUND(MAX(0,Z$416 - 1),0),
IF(AND(OR(AA$279=123, AA$279=13, AA$279=23, AA$279=3), Cultivar_3_Cohort_Year_Selection=$V$278), ROUND(MAX(0,Z$416 - 1),0),
ROUND(MAX(0,Z$416),0)))))))),""),""),"")</f>
        <v/>
      </c>
      <c r="AB417" s="495" t="str">
        <f>IF(ISNUMBER($B$417),
IF($C417&lt;&gt;"",
IF(AND(ISNUMBER(AA$416), AA$416&gt;0),
IF(AND(AB$279=123, Cultivar_1_Cohort_Year_Selection=$W$278,Cultivar_2_Cohort_Year_Selection=$W$278,Cultivar_3_Cohort_Year_Selection=$W$278), ROUND(MAX(0,AA$416 - 3),0),
IF(AND(OR(AB$279=123, AB$279=12), Cultivar_1_Cohort_Year_Selection=$W$278,Cultivar_2_Cohort_Year_Selection=$W$278), ROUND(MAX(0,AA$416 - 2),0),
IF(AND(OR(AB$279=123, AB$279=13), Cultivar_1_Cohort_Year_Selection=$W$278,Cultivar_3_Cohort_Year_Selection=$W$278), ROUND(MAX(0,AA$416 - 2),0),
IF(AND(OR(AB$279=123, AB$279=23), Cultivar_2_Cohort_Year_Selection=$W$278,Cultivar_3_Cohort_Year_Selection=$W$278), ROUND(MAX(0,AA$416 - 2),0),
IF(AND(OR(AB$279=123, AB$279=12, AB$279=13, AB$279=1), Cultivar_1_Cohort_Year_Selection=$W$278), ROUND(MAX(0,AA$416 - 1),0),
IF(AND(OR(AB$279=123, AB$279=12, AB$279=23, AB$279=2), Cultivar_2_Cohort_Year_Selection=$W$278), ROUND(MAX(0,AA$416 - 1),0),
IF(AND(OR(AB$279=123, AB$279=13, AB$279=23, AB$279=3), Cultivar_3_Cohort_Year_Selection=$W$278), ROUND(MAX(0,AA$416 - 1),0),
ROUND(MAX(0,AA$416),0)))))))),""),""),"")</f>
        <v/>
      </c>
      <c r="AC417" s="495" t="str">
        <f>IF(ISNUMBER($B$417),
IF($C417&lt;&gt;"",
IF(AND(ISNUMBER(AB$416), AB$416&gt;0),
IF(AND(AC$279=123, Cultivar_1_Cohort_Year_Selection=$X$278,Cultivar_2_Cohort_Year_Selection=$X$278,Cultivar_3_Cohort_Year_Selection=$X$278), ROUND(MAX(0,AB$416 - 3),0),
IF(AND(OR(AC$279=123, AC$279=12), Cultivar_1_Cohort_Year_Selection=$X$278,Cultivar_2_Cohort_Year_Selection=$X$278), ROUND(MAX(0,AB$416 - 2),0),
IF(AND(OR(AC$279=123, AC$279=13), Cultivar_1_Cohort_Year_Selection=$X$278,Cultivar_3_Cohort_Year_Selection=$X$278), ROUND(MAX(0,AB$416 - 2),0),
IF(AND(OR(AC$279=123, AC$279=23), Cultivar_2_Cohort_Year_Selection=$X$278,Cultivar_3_Cohort_Year_Selection=$X$278), ROUND(MAX(0,AB$416 - 2),0),
IF(AND(OR(AC$279=123, AC$279=12, AC$279=13, AC$279=1), Cultivar_1_Cohort_Year_Selection=$X$278), ROUND(MAX(0,AB$416 - 1),0),
IF(AND(OR(AC$279=123, AC$279=12, AC$279=23, AC$279=2), Cultivar_2_Cohort_Year_Selection=$X$278), ROUND(MAX(0,AB$416 - 1),0),
IF(AND(OR(AC$279=123, AC$279=13, AC$279=23, AC$279=3), Cultivar_3_Cohort_Year_Selection=$X$278), ROUND(MAX(0,AB$416 - 1),0),
ROUND(MAX(0,AB$416),0)))))))),""),""),"")</f>
        <v/>
      </c>
      <c r="AD417" s="495" t="str">
        <f>IF(ISNUMBER($B$417),
IF($C417&lt;&gt;"",
IF(AND(ISNUMBER(AC$416), AC$416&gt;0),
IF(AND(AD$279=123, Cultivar_1_Cohort_Year_Selection=$Y$278,Cultivar_2_Cohort_Year_Selection=$Y$278,Cultivar_3_Cohort_Year_Selection=$Y$278), ROUND(MAX(0,AC$416 - 3),0),
IF(AND(OR(AD$279=123, AD$279=12), Cultivar_1_Cohort_Year_Selection=$Y$278,Cultivar_2_Cohort_Year_Selection=$Y$278), ROUND(MAX(0,AC$416 - 2),0),
IF(AND(OR(AD$279=123, AD$279=13), Cultivar_1_Cohort_Year_Selection=$Y$278,Cultivar_3_Cohort_Year_Selection=$Y$278), ROUND(MAX(0,AC$416 - 2),0),
IF(AND(OR(AD$279=123, AD$279=23), Cultivar_2_Cohort_Year_Selection=$Y$278,Cultivar_3_Cohort_Year_Selection=$Y$278), ROUND(MAX(0,AC$416 - 2),0),
IF(AND(OR(AD$279=123, AD$279=12, AD$279=13, AD$279=1), Cultivar_1_Cohort_Year_Selection=$Y$278), ROUND(MAX(0,AC$416 - 1),0),
IF(AND(OR(AD$279=123, AD$279=12, AD$279=23, AD$279=2), Cultivar_2_Cohort_Year_Selection=$Y$278), ROUND(MAX(0,AC$416 - 1),0),
IF(AND(OR(AD$279=123, AD$279=13, AD$279=23, AD$279=3), Cultivar_3_Cohort_Year_Selection=$Y$278), ROUND(MAX(0,AC$416 - 1),0),
ROUND(MAX(0,AC$416),0)))))))),""),""),"")</f>
        <v/>
      </c>
      <c r="AE417" s="495" t="str">
        <f>IF(ISNUMBER($B$417),
IF($C417&lt;&gt;"",
IF(AND(ISNUMBER(AD$416), AD$416&gt;0),
IF(AND(AE$279=123, Cultivar_1_Cohort_Year_Selection=$Z$278,Cultivar_2_Cohort_Year_Selection=$Z$278,Cultivar_3_Cohort_Year_Selection=$Z$278), ROUND(MAX(0,AD$416 - 3),0),
IF(AND(OR(AE$279=123, AE$279=12), Cultivar_1_Cohort_Year_Selection=$Z$278,Cultivar_2_Cohort_Year_Selection=$Z$278), ROUND(MAX(0,AD$416 - 2),0),
IF(AND(OR(AE$279=123, AE$279=13), Cultivar_1_Cohort_Year_Selection=$Z$278,Cultivar_3_Cohort_Year_Selection=$Z$278), ROUND(MAX(0,AD$416 - 2),0),
IF(AND(OR(AE$279=123, AE$279=23), Cultivar_2_Cohort_Year_Selection=$Z$278,Cultivar_3_Cohort_Year_Selection=$Z$278), ROUND(MAX(0,AD$416 - 2),0),
IF(AND(OR(AE$279=123, AE$279=12, AE$279=13, AE$279=1), Cultivar_1_Cohort_Year_Selection=$Z$278), ROUND(MAX(0,AD$416 - 1),0),
IF(AND(OR(AE$279=123, AE$279=12, AE$279=23, AE$279=2), Cultivar_2_Cohort_Year_Selection=$Z$278), ROUND(MAX(0,AD$416 - 1),0),
IF(AND(OR(AE$279=123, AE$279=13, AE$279=23, AE$279=3), Cultivar_3_Cohort_Year_Selection=$Z$278), ROUND(MAX(0,AD$416 - 1),0),
ROUND(MAX(0,AD$416),0)))))))),""),""),"")</f>
        <v/>
      </c>
      <c r="AF417" s="495" t="str">
        <f>IF(ISNUMBER($B$417),
IF($C417&lt;&gt;"",
IF(AND(ISNUMBER(AE$416), AE$416&gt;0),
IF(AND(AF$279=123, Cultivar_1_Cohort_Year_Selection=$AA$278,Cultivar_2_Cohort_Year_Selection=$AA$278,Cultivar_3_Cohort_Year_Selection=$AA$278), ROUND(MAX(0,AE$416 - 3),0),
IF(AND(OR(AF$279=123, AF$279=12), Cultivar_1_Cohort_Year_Selection=$AA$278,Cultivar_2_Cohort_Year_Selection=$AA$278), ROUND(MAX(0,AE$416 - 2),0),
IF(AND(OR(AF$279=123, AF$279=13), Cultivar_1_Cohort_Year_Selection=$AA$278,Cultivar_3_Cohort_Year_Selection=$AA$278), ROUND(MAX(0,AE$416 - 2),0),
IF(AND(OR(AF$279=123, AF$279=23), Cultivar_2_Cohort_Year_Selection=$AA$278,Cultivar_3_Cohort_Year_Selection=$AA$278), ROUND(MAX(0,AE$416 - 2),0),
IF(AND(OR(AF$279=123, AF$279=12, AF$279=13, AF$279=1), Cultivar_1_Cohort_Year_Selection=$AA$278), ROUND(MAX(0,AE$416 - 1),0),
IF(AND(OR(AF$279=123, AF$279=12, AF$279=23, AF$279=2), Cultivar_2_Cohort_Year_Selection=$AA$278), ROUND(MAX(0,AE$416 - 1),0),
IF(AND(OR(AF$279=123, AF$279=13, AF$279=23, AF$279=3), Cultivar_3_Cohort_Year_Selection=$AA$278), ROUND(MAX(0,AE$416 - 1),0),
ROUND(MAX(0,AE$416),0)))))))),""),""),"")</f>
        <v/>
      </c>
      <c r="AG417" s="495" t="str">
        <f>IF(ISNUMBER($B$417),
IF($C417&lt;&gt;"",
IF(AND(ISNUMBER(AF$416), AF$416&gt;0),
IF(AND(AG$279=123, Cultivar_1_Cohort_Year_Selection=$AB$278,Cultivar_2_Cohort_Year_Selection=$AB$278,Cultivar_3_Cohort_Year_Selection=$AB$278), ROUND(MAX(0,AF$416 - 3),0),
IF(AND(OR(AG$279=123, AG$279=12), Cultivar_1_Cohort_Year_Selection=$AB$278,Cultivar_2_Cohort_Year_Selection=$AB$278), ROUND(MAX(0,AF$416 - 2),0),
IF(AND(OR(AG$279=123, AG$279=13), Cultivar_1_Cohort_Year_Selection=$AB$278,Cultivar_3_Cohort_Year_Selection=$AB$278), ROUND(MAX(0,AF$416 - 2),0),
IF(AND(OR(AG$279=123, AG$279=23), Cultivar_2_Cohort_Year_Selection=$AB$278,Cultivar_3_Cohort_Year_Selection=$AB$278), ROUND(MAX(0,AF$416 - 2),0),
IF(AND(OR(AG$279=123, AG$279=12, AG$279=13, AG$279=1), Cultivar_1_Cohort_Year_Selection=$AB$278), ROUND(MAX(0,AF$416 - 1),0),
IF(AND(OR(AG$279=123, AG$279=12, AG$279=23, AG$279=2), Cultivar_2_Cohort_Year_Selection=$AB$278), ROUND(MAX(0,AF$416 - 1),0),
IF(AND(OR(AG$279=123, AG$279=13, AG$279=23, AG$279=3), Cultivar_3_Cohort_Year_Selection=$AB$278), ROUND(MAX(0,AF$416 - 1),0),
ROUND(MAX(0,AF$416),0)))))))),""),""),"")</f>
        <v/>
      </c>
      <c r="AH417" s="495" t="str">
        <f>IF(ISNUMBER($B$417),
IF($C417&lt;&gt;"",
IF(AND(ISNUMBER(AG$416), AG$416&gt;0),
IF(AND(AH$279=123, Cultivar_1_Cohort_Year_Selection=$AC$278,Cultivar_2_Cohort_Year_Selection=$AC$278,Cultivar_3_Cohort_Year_Selection=$AC$278), ROUND(MAX(0,AG$416 - 3),0),
IF(AND(OR(AH$279=123, AH$279=12), Cultivar_1_Cohort_Year_Selection=$AC$278,Cultivar_2_Cohort_Year_Selection=$AC$278), ROUND(MAX(0,AG$416 - 2),0),
IF(AND(OR(AH$279=123, AH$279=13), Cultivar_1_Cohort_Year_Selection=$AC$278,Cultivar_3_Cohort_Year_Selection=$AC$278), ROUND(MAX(0,AG$416 - 2),0),
IF(AND(OR(AH$279=123, AH$279=23), Cultivar_2_Cohort_Year_Selection=$AC$278,Cultivar_3_Cohort_Year_Selection=$AC$278), ROUND(MAX(0,AG$416 - 2),0),
IF(AND(OR(AH$279=123, AH$279=12, AH$279=13, AH$279=1), Cultivar_1_Cohort_Year_Selection=$AC$278), ROUND(MAX(0,AG$416 - 1),0),
IF(AND(OR(AH$279=123, AH$279=12, AH$279=23, AH$279=2), Cultivar_2_Cohort_Year_Selection=$AC$278), ROUND(MAX(0,AG$416 - 1),0),
IF(AND(OR(AH$279=123, AH$279=13, AH$279=23, AH$279=3), Cultivar_3_Cohort_Year_Selection=$AC$278), ROUND(MAX(0,AG$416 - 1),0),
ROUND(MAX(0,AG$416),0)))))))),""),""),"")</f>
        <v/>
      </c>
      <c r="AI417" s="495" t="str">
        <f>IF(ISNUMBER($B$417),
IF($C417&lt;&gt;"",
IF(AND(ISNUMBER(AH$416), AH$416&gt;0),
IF(AND(AI$279=123, Cultivar_1_Cohort_Year_Selection=$AD$278,Cultivar_2_Cohort_Year_Selection=$AD$278,Cultivar_3_Cohort_Year_Selection=$AD$278), ROUND(MAX(0,AH$416 - 3),0),
IF(AND(OR(AI$279=123, AI$279=12), Cultivar_1_Cohort_Year_Selection=$AD$278,Cultivar_2_Cohort_Year_Selection=$AD$278), ROUND(MAX(0,AH$416 - 2),0),
IF(AND(OR(AI$279=123, AI$279=13), Cultivar_1_Cohort_Year_Selection=$AD$278,Cultivar_3_Cohort_Year_Selection=$AD$278), ROUND(MAX(0,AH$416 - 2),0),
IF(AND(OR(AI$279=123, AI$279=23), Cultivar_2_Cohort_Year_Selection=$AD$278,Cultivar_3_Cohort_Year_Selection=$AD$278), ROUND(MAX(0,AH$416 - 2),0),
IF(AND(OR(AI$279=123, AI$279=12, AI$279=13, AI$279=1), Cultivar_1_Cohort_Year_Selection=$AD$278), ROUND(MAX(0,AH$416 - 1),0),
IF(AND(OR(AI$279=123, AI$279=12, AI$279=23, AI$279=2), Cultivar_2_Cohort_Year_Selection=$AD$278), ROUND(MAX(0,AH$416 - 1),0),
IF(AND(OR(AI$279=123, AI$279=13, AI$279=23, AI$279=3), Cultivar_3_Cohort_Year_Selection=$AD$278), ROUND(MAX(0,AH$416 - 1),0),
ROUND(MAX(0,AH$416),0)))))))),""),""),"")</f>
        <v/>
      </c>
      <c r="AJ417" s="495" t="str">
        <f>IF(ISNUMBER($B$417),
IF($C417&lt;&gt;"",
IF(AND(ISNUMBER(AI$416), AI$416&gt;0),
IF(AND(AJ$279=123, Cultivar_1_Cohort_Year_Selection=$AE$278,Cultivar_2_Cohort_Year_Selection=$AE$278,Cultivar_3_Cohort_Year_Selection=$AE$278), ROUND(MAX(0,AI$416 - 3),0),
IF(AND(OR(AJ$279=123, AJ$279=12), Cultivar_1_Cohort_Year_Selection=$AE$278,Cultivar_2_Cohort_Year_Selection=$AE$278), ROUND(MAX(0,AI$416 - 2),0),
IF(AND(OR(AJ$279=123, AJ$279=13), Cultivar_1_Cohort_Year_Selection=$AE$278,Cultivar_3_Cohort_Year_Selection=$AE$278), ROUND(MAX(0,AI$416 - 2),0),
IF(AND(OR(AJ$279=123, AJ$279=23), Cultivar_2_Cohort_Year_Selection=$AE$278,Cultivar_3_Cohort_Year_Selection=$AE$278), ROUND(MAX(0,AI$416 - 2),0),
IF(AND(OR(AJ$279=123, AJ$279=12, AJ$279=13, AJ$279=1), Cultivar_1_Cohort_Year_Selection=$AE$278), ROUND(MAX(0,AI$416 - 1),0),
IF(AND(OR(AJ$279=123, AJ$279=12, AJ$279=23, AJ$279=2), Cultivar_2_Cohort_Year_Selection=$AE$278), ROUND(MAX(0,AI$416 - 1),0),
IF(AND(OR(AJ$279=123, AJ$279=13, AJ$279=23, AJ$279=3), Cultivar_3_Cohort_Year_Selection=$AE$278), ROUND(MAX(0,AI$416 - 1),0),
ROUND(MAX(0,AI$416),0)))))))),""),""),"")</f>
        <v/>
      </c>
      <c r="AK417" s="495" t="str">
        <f>IF(ISNUMBER($B$417),
IF($C417&lt;&gt;"",
IF(AND(ISNUMBER(AJ$416), AJ$416&gt;0),
IF(AND(AK$279=123, Cultivar_1_Cohort_Year_Selection=$AF$278,Cultivar_2_Cohort_Year_Selection=$AF$278,Cultivar_3_Cohort_Year_Selection=$AF$278), ROUND(MAX(0,AJ$416 - 3),0),
IF(AND(OR(AK$279=123, AK$279=12), Cultivar_1_Cohort_Year_Selection=$AF$278,Cultivar_2_Cohort_Year_Selection=$AF$278), ROUND(MAX(0,AJ$416 - 2),0),
IF(AND(OR(AK$279=123, AK$279=13), Cultivar_1_Cohort_Year_Selection=$AF$278,Cultivar_3_Cohort_Year_Selection=$AF$278), ROUND(MAX(0,AJ$416 - 2),0),
IF(AND(OR(AK$279=123, AK$279=23), Cultivar_2_Cohort_Year_Selection=$AF$278,Cultivar_3_Cohort_Year_Selection=$AF$278), ROUND(MAX(0,AJ$416 - 2),0),
IF(AND(OR(AK$279=123, AK$279=12, AK$279=13, AK$279=1), Cultivar_1_Cohort_Year_Selection=$AF$278), ROUND(MAX(0,AJ$416 - 1),0),
IF(AND(OR(AK$279=123, AK$279=12, AK$279=23, AK$279=2), Cultivar_2_Cohort_Year_Selection=$AF$278), ROUND(MAX(0,AJ$416 - 1),0),
IF(AND(OR(AK$279=123, AK$279=13, AK$279=23, AK$279=3), Cultivar_3_Cohort_Year_Selection=$AF$278), ROUND(MAX(0,AJ$416 - 1),0),
ROUND(MAX(0,AJ$416),0)))))))),""),""),"")</f>
        <v/>
      </c>
      <c r="AL417" s="495" t="str">
        <f>IF(ISNUMBER($B$417),
IF($C417&lt;&gt;"",
IF(AND(ISNUMBER(AK$416), AK$416&gt;0),
IF(AND(AL$279=123, Cultivar_1_Cohort_Year_Selection=$AG$278,Cultivar_2_Cohort_Year_Selection=$AG$278,Cultivar_3_Cohort_Year_Selection=$AG$278), ROUND(MAX(0,AK$416 - 3),0),
IF(AND(OR(AL$279=123, AL$279=12), Cultivar_1_Cohort_Year_Selection=$AG$278,Cultivar_2_Cohort_Year_Selection=$AG$278), ROUND(MAX(0,AK$416 - 2),0),
IF(AND(OR(AL$279=123, AL$279=13), Cultivar_1_Cohort_Year_Selection=$AG$278,Cultivar_3_Cohort_Year_Selection=$AG$278), ROUND(MAX(0,AK$416 - 2),0),
IF(AND(OR(AL$279=123, AL$279=23), Cultivar_2_Cohort_Year_Selection=$AG$278,Cultivar_3_Cohort_Year_Selection=$AG$278), ROUND(MAX(0,AK$416 - 2),0),
IF(AND(OR(AL$279=123, AL$279=12, AL$279=13, AL$279=1), Cultivar_1_Cohort_Year_Selection=$AG$278), ROUND(MAX(0,AK$416 - 1),0),
IF(AND(OR(AL$279=123, AL$279=12, AL$279=23, AL$279=2), Cultivar_2_Cohort_Year_Selection=$AG$278), ROUND(MAX(0,AK$416 - 1),0),
IF(AND(OR(AL$279=123, AL$279=13, AL$279=23, AL$279=3), Cultivar_3_Cohort_Year_Selection=$AG$278), ROUND(MAX(0,AK$416 - 1),0),
ROUND(MAX(0,AK$416),0)))))))),""),""),"")</f>
        <v/>
      </c>
      <c r="AM417" s="495" t="str">
        <f>IF(ISNUMBER($B$417),
IF($C417&lt;&gt;"",
IF(AND(ISNUMBER(AL$416), AL$416&gt;0),
IF(AND(AM$279=123, Cultivar_1_Cohort_Year_Selection=$AH$278,Cultivar_2_Cohort_Year_Selection=$AH$278,Cultivar_3_Cohort_Year_Selection=$AH$278), ROUND(MAX(0,AL$416 - 3),0),
IF(AND(OR(AM$279=123, AM$279=12), Cultivar_1_Cohort_Year_Selection=$AH$278,Cultivar_2_Cohort_Year_Selection=$AH$278), ROUND(MAX(0,AL$416 - 2),0),
IF(AND(OR(AM$279=123, AM$279=13), Cultivar_1_Cohort_Year_Selection=$AH$278,Cultivar_3_Cohort_Year_Selection=$AH$278), ROUND(MAX(0,AL$416 - 2),0),
IF(AND(OR(AM$279=123, AM$279=23), Cultivar_2_Cohort_Year_Selection=$AH$278,Cultivar_3_Cohort_Year_Selection=$AH$278), ROUND(MAX(0,AL$416 - 2),0),
IF(AND(OR(AM$279=123, AM$279=12, AM$279=13, AM$279=1), Cultivar_1_Cohort_Year_Selection=$AH$278), ROUND(MAX(0,AL$416 - 1),0),
IF(AND(OR(AM$279=123, AM$279=12, AM$279=23, AM$279=2), Cultivar_2_Cohort_Year_Selection=$AH$278), ROUND(MAX(0,AL$416 - 1),0),
IF(AND(OR(AM$279=123, AM$279=13, AM$279=23, AM$279=3), Cultivar_3_Cohort_Year_Selection=$AH$278), ROUND(MAX(0,AL$416 - 1),0),
ROUND(MAX(0,AL$416),0)))))))),""),""),"")</f>
        <v/>
      </c>
      <c r="AN417" s="495" t="str">
        <f>IF(ISNUMBER($B$417),
IF($C417&lt;&gt;"",
IF(AND(ISNUMBER(AM$416), AM$416&gt;0),
IF(AND(AN$279=123, Cultivar_1_Cohort_Year_Selection=$AI$278,Cultivar_2_Cohort_Year_Selection=$AI$278,Cultivar_3_Cohort_Year_Selection=$AI$278), ROUND(MAX(0,AM$416 - 3),0),
IF(AND(OR(AN$279=123, AN$279=12), Cultivar_1_Cohort_Year_Selection=$AI$278,Cultivar_2_Cohort_Year_Selection=$AI$278), ROUND(MAX(0,AM$416 - 2),0),
IF(AND(OR(AN$279=123, AN$279=13), Cultivar_1_Cohort_Year_Selection=$AI$278,Cultivar_3_Cohort_Year_Selection=$AI$278), ROUND(MAX(0,AM$416 - 2),0),
IF(AND(OR(AN$279=123, AN$279=23), Cultivar_2_Cohort_Year_Selection=$AI$278,Cultivar_3_Cohort_Year_Selection=$AI$278), ROUND(MAX(0,AM$416 - 2),0),
IF(AND(OR(AN$279=123, AN$279=12, AN$279=13, AN$279=1), Cultivar_1_Cohort_Year_Selection=$AI$278), ROUND(MAX(0,AM$416 - 1),0),
IF(AND(OR(AN$279=123, AN$279=12, AN$279=23, AN$279=2), Cultivar_2_Cohort_Year_Selection=$AI$278), ROUND(MAX(0,AM$416 - 1),0),
IF(AND(OR(AN$279=123, AN$279=13, AN$279=23, AN$279=3), Cultivar_3_Cohort_Year_Selection=$AI$278), ROUND(MAX(0,AM$416 - 1),0),
ROUND(MAX(0,AM$416),0)))))))),""),""),"")</f>
        <v/>
      </c>
      <c r="AO417" s="495" t="str">
        <f>IF(ISNUMBER($B$417),
IF($C417&lt;&gt;"",
IF(AND(ISNUMBER(AN$416), AN$416&gt;0),
IF(AND(AO$279=123, Cultivar_1_Cohort_Year_Selection=$AJ$278,Cultivar_2_Cohort_Year_Selection=$AJ$278,Cultivar_3_Cohort_Year_Selection=$AJ$278), ROUND(MAX(0,AN$416 - 3),0),
IF(AND(OR(AO$279=123, AO$279=12), Cultivar_1_Cohort_Year_Selection=$AJ$278,Cultivar_2_Cohort_Year_Selection=$AJ$278), ROUND(MAX(0,AN$416 - 2),0),
IF(AND(OR(AO$279=123, AO$279=13), Cultivar_1_Cohort_Year_Selection=$AJ$278,Cultivar_3_Cohort_Year_Selection=$AJ$278), ROUND(MAX(0,AN$416 - 2),0),
IF(AND(OR(AO$279=123, AO$279=23), Cultivar_2_Cohort_Year_Selection=$AJ$278,Cultivar_3_Cohort_Year_Selection=$AJ$278), ROUND(MAX(0,AN$416 - 2),0),
IF(AND(OR(AO$279=123, AO$279=12, AO$279=13, AO$279=1), Cultivar_1_Cohort_Year_Selection=$AJ$278), ROUND(MAX(0,AN$416 - 1),0),
IF(AND(OR(AO$279=123, AO$279=12, AO$279=23, AO$279=2), Cultivar_2_Cohort_Year_Selection=$AJ$278), ROUND(MAX(0,AN$416 - 1),0),
IF(AND(OR(AO$279=123, AO$279=13, AO$279=23, AO$279=3), Cultivar_3_Cohort_Year_Selection=$AJ$278), ROUND(MAX(0,AN$416 - 1),0),
ROUND(MAX(0,AN$416),0)))))))),""),""),"")</f>
        <v/>
      </c>
      <c r="AP417" s="495" t="str">
        <f>IF(ISNUMBER($B$417),
IF($C417&lt;&gt;"",
IF(AND(ISNUMBER(AO$416), AO$416&gt;0),
IF(AND(AP$279=123, Cultivar_1_Cohort_Year_Selection=$AK$278,Cultivar_2_Cohort_Year_Selection=$AK$278,Cultivar_3_Cohort_Year_Selection=$AK$278), ROUND(MAX(0,AO$416 - 3),0),
IF(AND(OR(AP$279=123, AP$279=12), Cultivar_1_Cohort_Year_Selection=$AK$278,Cultivar_2_Cohort_Year_Selection=$AK$278), ROUND(MAX(0,AO$416 - 2),0),
IF(AND(OR(AP$279=123, AP$279=13), Cultivar_1_Cohort_Year_Selection=$AK$278,Cultivar_3_Cohort_Year_Selection=$AK$278), ROUND(MAX(0,AO$416 - 2),0),
IF(AND(OR(AP$279=123, AP$279=23), Cultivar_2_Cohort_Year_Selection=$AK$278,Cultivar_3_Cohort_Year_Selection=$AK$278), ROUND(MAX(0,AO$416 - 2),0),
IF(AND(OR(AP$279=123, AP$279=12, AP$279=13, AP$279=1), Cultivar_1_Cohort_Year_Selection=$AK$278), ROUND(MAX(0,AO$416 - 1),0),
IF(AND(OR(AP$279=123, AP$279=12, AP$279=23, AP$279=2), Cultivar_2_Cohort_Year_Selection=$AK$278), ROUND(MAX(0,AO$416 - 1),0),
IF(AND(OR(AP$279=123, AP$279=13, AP$279=23, AP$279=3), Cultivar_3_Cohort_Year_Selection=$AK$278), ROUND(MAX(0,AO$416 - 1),0),
ROUND(MAX(0,AO$416),0)))))))),""),""),"")</f>
        <v/>
      </c>
      <c r="AQ417" s="495" t="str">
        <f>IF(ISNUMBER($B$417),
IF($C417&lt;&gt;"",
IF(AND(ISNUMBER(AP$416), AP$416&gt;0),
IF(AND(AQ$279=123, Cultivar_1_Cohort_Year_Selection=$AL$278,Cultivar_2_Cohort_Year_Selection=$AL$278,Cultivar_3_Cohort_Year_Selection=$AL$278), ROUND(MAX(0,AP$416 - 3),0),
IF(AND(OR(AQ$279=123, AQ$279=12), Cultivar_1_Cohort_Year_Selection=$AL$278,Cultivar_2_Cohort_Year_Selection=$AL$278), ROUND(MAX(0,AP$416 - 2),0),
IF(AND(OR(AQ$279=123, AQ$279=13), Cultivar_1_Cohort_Year_Selection=$AL$278,Cultivar_3_Cohort_Year_Selection=$AL$278), ROUND(MAX(0,AP$416 - 2),0),
IF(AND(OR(AQ$279=123, AQ$279=23), Cultivar_2_Cohort_Year_Selection=$AL$278,Cultivar_3_Cohort_Year_Selection=$AL$278), ROUND(MAX(0,AP$416 - 2),0),
IF(AND(OR(AQ$279=123, AQ$279=12, AQ$279=13, AQ$279=1), Cultivar_1_Cohort_Year_Selection=$AL$278), ROUND(MAX(0,AP$416 - 1),0),
IF(AND(OR(AQ$279=123, AQ$279=12, AQ$279=23, AQ$279=2), Cultivar_2_Cohort_Year_Selection=$AL$278), ROUND(MAX(0,AP$416 - 1),0),
IF(AND(OR(AQ$279=123, AQ$279=13, AQ$279=23, AQ$279=3), Cultivar_3_Cohort_Year_Selection=$AL$278), ROUND(MAX(0,AP$416 - 1),0),
ROUND(MAX(0,AP$416),0)))))))),""),""),"")</f>
        <v/>
      </c>
      <c r="AR417" s="495" t="str">
        <f>IF(ISNUMBER($B$417),
IF($C417&lt;&gt;"",
IF(AND(ISNUMBER(AQ$416), AQ$416&gt;0),
IF(AND(AR$279=123, Cultivar_1_Cohort_Year_Selection=$AM$278,Cultivar_2_Cohort_Year_Selection=$AM$278,Cultivar_3_Cohort_Year_Selection=$AM$278), ROUND(MAX(0,AQ$416 - 3),0),
IF(AND(OR(AR$279=123, AR$279=12), Cultivar_1_Cohort_Year_Selection=$AM$278,Cultivar_2_Cohort_Year_Selection=$AM$278), ROUND(MAX(0,AQ$416 - 2),0),
IF(AND(OR(AR$279=123, AR$279=13), Cultivar_1_Cohort_Year_Selection=$AM$278,Cultivar_3_Cohort_Year_Selection=$AM$278), ROUND(MAX(0,AQ$416 - 2),0),
IF(AND(OR(AR$279=123, AR$279=23), Cultivar_2_Cohort_Year_Selection=$AM$278,Cultivar_3_Cohort_Year_Selection=$AM$278), ROUND(MAX(0,AQ$416 - 2),0),
IF(AND(OR(AR$279=123, AR$279=12, AR$279=13, AR$279=1), Cultivar_1_Cohort_Year_Selection=$AM$278), ROUND(MAX(0,AQ$416 - 1),0),
IF(AND(OR(AR$279=123, AR$279=12, AR$279=23, AR$279=2), Cultivar_2_Cohort_Year_Selection=$AM$278), ROUND(MAX(0,AQ$416 - 1),0),
IF(AND(OR(AR$279=123, AR$279=13, AR$279=23, AR$279=3), Cultivar_3_Cohort_Year_Selection=$AM$278), ROUND(MAX(0,AQ$416 - 1),0),
ROUND(MAX(0,AQ$416),0)))))))),""),""),"")</f>
        <v/>
      </c>
      <c r="AS417" s="495" t="str">
        <f>IF(ISNUMBER($B$417),
IF($C417&lt;&gt;"",
IF(AND(ISNUMBER(AR$416), AR$416&gt;0),
IF(AND(AS$279=123, Cultivar_1_Cohort_Year_Selection=$AN$278,Cultivar_2_Cohort_Year_Selection=$AN$278,Cultivar_3_Cohort_Year_Selection=$AN$278), ROUND(MAX(0,AR$416 - 3),0),
IF(AND(OR(AS$279=123, AS$279=12), Cultivar_1_Cohort_Year_Selection=$AN$278,Cultivar_2_Cohort_Year_Selection=$AN$278), ROUND(MAX(0,AR$416 - 2),0),
IF(AND(OR(AS$279=123, AS$279=13), Cultivar_1_Cohort_Year_Selection=$AN$278,Cultivar_3_Cohort_Year_Selection=$AN$278), ROUND(MAX(0,AR$416 - 2),0),
IF(AND(OR(AS$279=123, AS$279=23), Cultivar_2_Cohort_Year_Selection=$AN$278,Cultivar_3_Cohort_Year_Selection=$AN$278), ROUND(MAX(0,AR$416 - 2),0),
IF(AND(OR(AS$279=123, AS$279=12, AS$279=13, AS$279=1), Cultivar_1_Cohort_Year_Selection=$AN$278), ROUND(MAX(0,AR$416 - 1),0),
IF(AND(OR(AS$279=123, AS$279=12, AS$279=23, AS$279=2), Cultivar_2_Cohort_Year_Selection=$AN$278), ROUND(MAX(0,AR$416 - 1),0),
IF(AND(OR(AS$279=123, AS$279=13, AS$279=23, AS$279=3), Cultivar_3_Cohort_Year_Selection=$AN$278), ROUND(MAX(0,AR$416 - 1),0),
ROUND(MAX(0,AR$416),0)))))))),""),""),"")</f>
        <v/>
      </c>
      <c r="AT417" s="495" t="str">
        <f>IF(ISNUMBER($B$417),
IF($C417&lt;&gt;"",
IF(AND(ISNUMBER(AS$416), AS$416&gt;0),
IF(AND(AT$279=123, Cultivar_1_Cohort_Year_Selection=$AO$278,Cultivar_2_Cohort_Year_Selection=$AO$278,Cultivar_3_Cohort_Year_Selection=$AO$278), ROUND(MAX(0,AS$416 - 3),0),
IF(AND(OR(AT$279=123, AT$279=12), Cultivar_1_Cohort_Year_Selection=$AO$278,Cultivar_2_Cohort_Year_Selection=$AO$278), ROUND(MAX(0,AS$416 - 2),0),
IF(AND(OR(AT$279=123, AT$279=13), Cultivar_1_Cohort_Year_Selection=$AO$278,Cultivar_3_Cohort_Year_Selection=$AO$278), ROUND(MAX(0,AS$416 - 2),0),
IF(AND(OR(AT$279=123, AT$279=23), Cultivar_2_Cohort_Year_Selection=$AO$278,Cultivar_3_Cohort_Year_Selection=$AO$278), ROUND(MAX(0,AS$416 - 2),0),
IF(AND(OR(AT$279=123, AT$279=12, AT$279=13, AT$279=1), Cultivar_1_Cohort_Year_Selection=$AO$278), ROUND(MAX(0,AS$416 - 1),0),
IF(AND(OR(AT$279=123, AT$279=12, AT$279=23, AT$279=2), Cultivar_2_Cohort_Year_Selection=$AO$278), ROUND(MAX(0,AS$416 - 1),0),
IF(AND(OR(AT$279=123, AT$279=13, AT$279=23, AT$279=3), Cultivar_3_Cohort_Year_Selection=$AO$278), ROUND(MAX(0,AS$416 - 1),0),
ROUND(MAX(0,AS$416),0)))))))),""),""),"")</f>
        <v/>
      </c>
      <c r="AU417" s="495" t="str">
        <f>IF(ISNUMBER($B$417),
IF($C417&lt;&gt;"",
IF(AND(ISNUMBER(AT$416), AT$416&gt;0),
IF(AND(AU$279=123, Cultivar_1_Cohort_Year_Selection=$AP$278,Cultivar_2_Cohort_Year_Selection=$AP$278,Cultivar_3_Cohort_Year_Selection=$AP$278), ROUND(MAX(0,AT$416 - 3),0),
IF(AND(OR(AU$279=123, AU$279=12), Cultivar_1_Cohort_Year_Selection=$AP$278,Cultivar_2_Cohort_Year_Selection=$AP$278), ROUND(MAX(0,AT$416 - 2),0),
IF(AND(OR(AU$279=123, AU$279=13), Cultivar_1_Cohort_Year_Selection=$AP$278,Cultivar_3_Cohort_Year_Selection=$AP$278), ROUND(MAX(0,AT$416 - 2),0),
IF(AND(OR(AU$279=123, AU$279=23), Cultivar_2_Cohort_Year_Selection=$AP$278,Cultivar_3_Cohort_Year_Selection=$AP$278), ROUND(MAX(0,AT$416 - 2),0),
IF(AND(OR(AU$279=123, AU$279=12, AU$279=13, AU$279=1), Cultivar_1_Cohort_Year_Selection=$AP$278), ROUND(MAX(0,AT$416 - 1),0),
IF(AND(OR(AU$279=123, AU$279=12, AU$279=23, AU$279=2), Cultivar_2_Cohort_Year_Selection=$AP$278), ROUND(MAX(0,AT$416 - 1),0),
IF(AND(OR(AU$279=123, AU$279=13, AU$279=23, AU$279=3), Cultivar_3_Cohort_Year_Selection=$AP$278), ROUND(MAX(0,AT$416 - 1),0),
ROUND(MAX(0,AT$416),0)))))))),""),""),"")</f>
        <v/>
      </c>
    </row>
    <row r="418" spans="1:47" x14ac:dyDescent="0.25">
      <c r="A418" s="518"/>
      <c r="B418" s="504"/>
      <c r="C418" s="521"/>
      <c r="D418" s="94" t="str">
        <f>IF(AND(C417&lt;&gt;"", 'Cost Inputs'!$G$106&lt;&gt;""), 'Cost Inputs'!$G$106, "")</f>
        <v/>
      </c>
      <c r="E418" s="94" t="str">
        <f>IF(AND(C417&lt;&gt;"", 'Cost Inputs'!H235&lt;&gt;""), 'Cost Inputs'!H235, "")</f>
        <v/>
      </c>
      <c r="F418" s="492"/>
      <c r="G418" s="102" t="str">
        <f t="shared" si="152"/>
        <v/>
      </c>
      <c r="H418" s="492"/>
      <c r="I418" s="102" t="str">
        <f>IF($C417&lt;&gt;"", IF(AND($E418&lt;&gt;"", H417&lt;&gt;""), H417/($E417*$E418), 0), "")</f>
        <v/>
      </c>
      <c r="J418" s="492" t="str">
        <f>IF(AND(C418&lt;&gt;"",('Cost Inputs'!$I$86+'Cost Inputs'!$J$86+'Cost Inputs'!$K$86)&gt;0), 'Cost Inputs'!$I$86+'Cost Inputs'!$J$86+'Cost Inputs'!$K$86, "")</f>
        <v/>
      </c>
      <c r="K418" s="102" t="str">
        <f>IF($C417&lt;&gt;"", IF(AND($E418&lt;&gt;"", J417&lt;&gt;""), J417/($E417*$E418), 0), "")</f>
        <v/>
      </c>
      <c r="L418" s="525"/>
      <c r="M418" s="525"/>
      <c r="T418" s="496" t="str">
        <f t="shared" ref="T418:AU418" si="153">IF(ISNUMBER($B$345),
IF($C418&lt;&gt;"",
IF(AND(ISNUMBER(S$368), S$368&gt;0),
IF(AND(T$279=123, Cultivar_1_Cohort_Year_Selection=$O$278,Cultivar_2_Cohort_Year_Selection=$O$278,Cultivar_3_Cohort_Year_Selection=$O$278), ROUND(MAX(0,S$368 - 3),0),
IF(AND(OR(T$279=123, T$279=12), Cultivar_1_Cohort_Year_Selection=$O$278,Cultivar_2_Cohort_Year_Selection=$O$278), ROUND(MAX(0,S$368 - 2),0),
IF(AND(OR(T$279=123, T$279=13), Cultivar_1_Cohort_Year_Selection=$O$278,Cultivar_3_Cohort_Year_Selection=$O$278), ROUND(MAX(0,S$368 - 2),0),
IF(AND(OR(T$279=123, T$279=23), Cultivar_2_Cohort_Year_Selection=$O$278,Cultivar_3_Cohort_Year_Selection=$O$278), ROUND(MAX(0,S$368 - 2),0),
IF(AND(OR(T$279=123, T$279=12, T$279=13, T$279=1), Cultivar_1_Cohort_Year_Selection=$O$278), ROUND(MAX(0,S$368 - 1),0),
IF(AND(OR(T$279=123, T$279=12, T$279=23, T$279=2), Cultivar_2_Cohort_Year_Selection=$O$278), ROUND(MAX(0,S$368 - 1),0),
IF(AND(OR(T$279=123, T$279=13, T$279=23, T$279=3), Cultivar_3_Cohort_Year_Selection=$O$278), ROUND(MAX(0,S$368 - 1),0),
ROUND(MAX(0,S$368),0)))))))),""),""),"")</f>
        <v/>
      </c>
      <c r="U418" s="496" t="str">
        <f t="shared" si="153"/>
        <v/>
      </c>
      <c r="V418" s="496" t="str">
        <f t="shared" si="153"/>
        <v/>
      </c>
      <c r="W418" s="496" t="str">
        <f t="shared" si="153"/>
        <v/>
      </c>
      <c r="X418" s="496" t="str">
        <f t="shared" si="153"/>
        <v/>
      </c>
      <c r="Y418" s="496" t="str">
        <f t="shared" si="153"/>
        <v/>
      </c>
      <c r="Z418" s="496" t="str">
        <f t="shared" si="153"/>
        <v/>
      </c>
      <c r="AA418" s="496" t="str">
        <f t="shared" si="153"/>
        <v/>
      </c>
      <c r="AB418" s="496" t="str">
        <f t="shared" si="153"/>
        <v/>
      </c>
      <c r="AC418" s="496" t="str">
        <f t="shared" si="153"/>
        <v/>
      </c>
      <c r="AD418" s="496" t="str">
        <f t="shared" si="153"/>
        <v/>
      </c>
      <c r="AE418" s="496" t="str">
        <f t="shared" si="153"/>
        <v/>
      </c>
      <c r="AF418" s="496" t="str">
        <f t="shared" si="153"/>
        <v/>
      </c>
      <c r="AG418" s="496" t="str">
        <f t="shared" si="153"/>
        <v/>
      </c>
      <c r="AH418" s="496" t="str">
        <f t="shared" si="153"/>
        <v/>
      </c>
      <c r="AI418" s="496" t="str">
        <f t="shared" si="153"/>
        <v/>
      </c>
      <c r="AJ418" s="496" t="str">
        <f t="shared" si="153"/>
        <v/>
      </c>
      <c r="AK418" s="496" t="str">
        <f t="shared" si="153"/>
        <v/>
      </c>
      <c r="AL418" s="496" t="str">
        <f t="shared" si="153"/>
        <v/>
      </c>
      <c r="AM418" s="496" t="str">
        <f t="shared" si="153"/>
        <v/>
      </c>
      <c r="AN418" s="496" t="str">
        <f t="shared" si="153"/>
        <v/>
      </c>
      <c r="AO418" s="496" t="str">
        <f t="shared" si="153"/>
        <v/>
      </c>
      <c r="AP418" s="496" t="str">
        <f t="shared" si="153"/>
        <v/>
      </c>
      <c r="AQ418" s="496" t="str">
        <f t="shared" si="153"/>
        <v/>
      </c>
      <c r="AR418" s="496" t="str">
        <f t="shared" si="153"/>
        <v/>
      </c>
      <c r="AS418" s="496" t="str">
        <f t="shared" si="153"/>
        <v/>
      </c>
      <c r="AT418" s="496" t="str">
        <f t="shared" si="153"/>
        <v/>
      </c>
      <c r="AU418" s="496" t="str">
        <f t="shared" si="153"/>
        <v/>
      </c>
    </row>
    <row r="419" spans="1:47" x14ac:dyDescent="0.25">
      <c r="A419" s="518"/>
      <c r="B419" s="504"/>
      <c r="C419" s="104" t="str">
        <f>IF(AND(ISNUMBER(B417), OR('Cost Inputs'!$H$107&lt;&gt;"", 'Cost Inputs'!$I$107&lt;&gt;"", 'Cost Inputs'!$J$107&lt;&gt;"")), _4_3_1, "")</f>
        <v/>
      </c>
      <c r="D419" s="17" t="str">
        <f>IF(AND(C419&lt;&gt;"", 'Cost Inputs'!$G$107&lt;&gt;""), 'Cost Inputs'!$G$107, "")</f>
        <v/>
      </c>
      <c r="E419" s="17" t="str">
        <f>IF(AND(C419&lt;&gt;"", 'Cost Inputs'!$H$107&lt;&gt;""), 'Cost Inputs'!$H$107, "")</f>
        <v/>
      </c>
      <c r="F419" s="17" t="str">
        <f>IF(AND(C419&lt;&gt;"", 'Cost Inputs'!$I$107&lt;&gt;""), 'Cost Inputs'!$I$107, "")</f>
        <v/>
      </c>
      <c r="G419" s="105" t="str">
        <f t="shared" si="152"/>
        <v/>
      </c>
      <c r="H419" s="17" t="str">
        <f>IF(AND(C419&lt;&gt;"", 'Cost Inputs'!$J$107&lt;&gt;""), 'Cost Inputs'!$J$107, "")</f>
        <v/>
      </c>
      <c r="I419" s="17" t="str">
        <f t="shared" ref="I419:I427" si="154">IF($C419&lt;&gt;"", IF(AND($E419&lt;&gt;"", H419&lt;&gt;""), H419/$E419, 0),"")</f>
        <v/>
      </c>
      <c r="J419" s="17" t="str">
        <f>IF(AND(C419&lt;&gt;"",('Cost Inputs'!$I$107+'Cost Inputs'!$J$107+'Cost Inputs'!$K$107)&gt;0), 'Cost Inputs'!$I$107+'Cost Inputs'!$J$107+'Cost Inputs'!$K$107, "")</f>
        <v/>
      </c>
      <c r="K419" s="17" t="str">
        <f t="shared" ref="K419:K427" si="155">IF($C419&lt;&gt;"", IF(AND($E419&lt;&gt;"", J419&lt;&gt;""), J419/$E419, 0),"")</f>
        <v/>
      </c>
      <c r="L419" s="525"/>
      <c r="M419" s="525"/>
      <c r="T419" s="17" t="str">
        <f t="shared" ref="T419:T427" si="156">IF(ISNUMBER($B$417),
IF($C419&lt;&gt;"",
IF(AND(ISNUMBER(S$416), S$416&gt;0),
IF(AND(T$279=123, Cultivar_1_Cohort_Year_Selection=$O$278,Cultivar_2_Cohort_Year_Selection=$O$278,Cultivar_3_Cohort_Year_Selection=$O$278), ROUND(MAX(0,S$416 - 3),0),
IF(AND(OR(T$279=123, T$279=12), Cultivar_1_Cohort_Year_Selection=$O$278,Cultivar_2_Cohort_Year_Selection=$O$278), ROUND(MAX(0,S$416 - 2),0),
IF(AND(OR(T$279=123, T$279=13), Cultivar_1_Cohort_Year_Selection=$O$278,Cultivar_3_Cohort_Year_Selection=$O$278), ROUND(MAX(0,S$416 - 2),0),
IF(AND(OR(T$279=123, T$279=23), Cultivar_2_Cohort_Year_Selection=$O$278,Cultivar_3_Cohort_Year_Selection=$O$278), ROUND(MAX(0,S$416 - 2),0),
IF(AND(OR(T$279=123, T$279=12, T$279=13, T$279=1), Cultivar_1_Cohort_Year_Selection=$O$278), ROUND(MAX(0,S$416 - 1),0),
IF(AND(OR(T$279=123, T$279=12, T$279=23, T$279=2), Cultivar_2_Cohort_Year_Selection=$O$278), ROUND(MAX(0,S$416 - 1),0),
IF(AND(OR(T$279=123, T$279=13, T$279=23, T$279=3), Cultivar_3_Cohort_Year_Selection=$O$278), ROUND(MAX(0,S$416 - 1),0),
ROUND(MAX(0,S$416),0)))))))),""),""),"")</f>
        <v/>
      </c>
      <c r="U419" s="17" t="str">
        <f t="shared" ref="U419:U427" si="157">IF(ISNUMBER($B$417),
IF($C419&lt;&gt;"",
IF(AND(ISNUMBER(T$416), T$416&gt;0),
IF(AND(U$279=123, Cultivar_1_Cohort_Year_Selection=$P$278,Cultivar_2_Cohort_Year_Selection=$P$278,Cultivar_3_Cohort_Year_Selection=$P$278), ROUND(MAX(0,T$416 - 3),0),
IF(AND(OR(U$279=123, U$279=12), Cultivar_1_Cohort_Year_Selection=$P$278,Cultivar_2_Cohort_Year_Selection=$P$278), ROUND(MAX(0,T$416 - 2),0),
IF(AND(OR(U$279=123, U$279=13), Cultivar_1_Cohort_Year_Selection=$P$278,Cultivar_3_Cohort_Year_Selection=$P$278), ROUND(MAX(0,T$416 - 2),0),
IF(AND(OR(U$279=123, U$279=23), Cultivar_2_Cohort_Year_Selection=$P$278,Cultivar_3_Cohort_Year_Selection=$P$278), ROUND(MAX(0,T$416 - 2),0),
IF(AND(OR(U$279=123, U$279=12, U$279=13, U$279=1), Cultivar_1_Cohort_Year_Selection=$P$278), ROUND(MAX(0,T$416 - 1),0),
IF(AND(OR(U$279=123, U$279=12, U$279=23, U$279=2), Cultivar_2_Cohort_Year_Selection=$P$278), ROUND(MAX(0,T$416 - 1),0),
IF(AND(OR(U$279=123, U$279=13, U$279=23, U$279=3), Cultivar_3_Cohort_Year_Selection=$P$278), ROUND(MAX(0,T$416 - 1),0),
ROUND(MAX(0,T$416),0)))))))),""),""),"")</f>
        <v/>
      </c>
      <c r="V419" s="17" t="str">
        <f t="shared" ref="V419:V427" si="158">IF(ISNUMBER($B$417),
IF($C419&lt;&gt;"",
IF(AND(ISNUMBER(U$416), U$416&gt;0),
IF(AND(V$279=123, Cultivar_1_Cohort_Year_Selection=$Q$278,Cultivar_2_Cohort_Year_Selection=$Q$278,Cultivar_3_Cohort_Year_Selection=$Q$278), ROUND(MAX(0,U$416 - 3),0),
IF(AND(OR(V$279=123, V$279=12), Cultivar_1_Cohort_Year_Selection=$Q$278,Cultivar_2_Cohort_Year_Selection=$Q$278), ROUND(MAX(0,U$416 - 2),0),
IF(AND(OR(V$279=123, V$279=13), Cultivar_1_Cohort_Year_Selection=$Q$278,Cultivar_3_Cohort_Year_Selection=$Q$278), ROUND(MAX(0,U$416 - 2),0),
IF(AND(OR(V$279=123, V$279=23), Cultivar_2_Cohort_Year_Selection=$Q$278,Cultivar_3_Cohort_Year_Selection=$Q$278), ROUND(MAX(0,U$416 - 2),0),
IF(AND(OR(V$279=123, V$279=12, V$279=13, V$279=1), Cultivar_1_Cohort_Year_Selection=$Q$278), ROUND(MAX(0,U$416 - 1),0),
IF(AND(OR(V$279=123, V$279=12, V$279=23, V$279=2), Cultivar_2_Cohort_Year_Selection=$Q$278), ROUND(MAX(0,U$416 - 1),0),
IF(AND(OR(V$279=123, V$279=13, V$279=23, V$279=3), Cultivar_3_Cohort_Year_Selection=$Q$278), ROUND(MAX(0,U$416 - 1),0),
ROUND(MAX(0,U$416),0)))))))),""),""),"")</f>
        <v/>
      </c>
      <c r="W419" s="17" t="str">
        <f t="shared" ref="W419:W427" si="159">IF(ISNUMBER($B$417),
IF($C419&lt;&gt;"",
IF(AND(ISNUMBER(V$416), V$416&gt;0),
IF(AND(W$279=123, Cultivar_1_Cohort_Year_Selection=$R$278,Cultivar_2_Cohort_Year_Selection=$R$278,Cultivar_3_Cohort_Year_Selection=$R$278), ROUND(MAX(0,V$416 - 3),0),
IF(AND(OR(W$279=123, W$279=12), Cultivar_1_Cohort_Year_Selection=$R$278,Cultivar_2_Cohort_Year_Selection=$R$278), ROUND(MAX(0,V$416 - 2),0),
IF(AND(OR(W$279=123, W$279=13), Cultivar_1_Cohort_Year_Selection=$R$278,Cultivar_3_Cohort_Year_Selection=$R$278), ROUND(MAX(0,V$416 - 2),0),
IF(AND(OR(W$279=123, W$279=23), Cultivar_2_Cohort_Year_Selection=$R$278,Cultivar_3_Cohort_Year_Selection=$R$278), ROUND(MAX(0,V$416 - 2),0),
IF(AND(OR(W$279=123, W$279=12, W$279=13, W$279=1), Cultivar_1_Cohort_Year_Selection=$R$278), ROUND(MAX(0,V$416 - 1),0),
IF(AND(OR(W$279=123, W$279=12, W$279=23, W$279=2), Cultivar_2_Cohort_Year_Selection=$R$278), ROUND(MAX(0,V$416 - 1),0),
IF(AND(OR(W$279=123, W$279=13, W$279=23, W$279=3), Cultivar_3_Cohort_Year_Selection=$R$278), ROUND(MAX(0,V$416 - 1),0),
ROUND(MAX(0,V$416),0)))))))),""),""),"")</f>
        <v/>
      </c>
      <c r="X419" s="17" t="str">
        <f t="shared" ref="X419:X427" si="160">IF(ISNUMBER($B$417),
IF($C419&lt;&gt;"",
IF(AND(ISNUMBER(W$416), W$416&gt;0),
IF(AND(X$279=123, Cultivar_1_Cohort_Year_Selection=$S$278,Cultivar_2_Cohort_Year_Selection=$S$278,Cultivar_3_Cohort_Year_Selection=$S$278), ROUND(MAX(0,W$416 - 3),0),
IF(AND(OR(X$279=123, X$279=12), Cultivar_1_Cohort_Year_Selection=$S$278,Cultivar_2_Cohort_Year_Selection=$S$278), ROUND(MAX(0,W$416 - 2),0),
IF(AND(OR(X$279=123, X$279=13), Cultivar_1_Cohort_Year_Selection=$S$278,Cultivar_3_Cohort_Year_Selection=$S$278), ROUND(MAX(0,W$416 - 2),0),
IF(AND(OR(X$279=123, X$279=23), Cultivar_2_Cohort_Year_Selection=$S$278,Cultivar_3_Cohort_Year_Selection=$S$278), ROUND(MAX(0,W$416 - 2),0),
IF(AND(OR(X$279=123, X$279=12, X$279=13, X$279=1), Cultivar_1_Cohort_Year_Selection=$S$278), ROUND(MAX(0,W$416 - 1),0),
IF(AND(OR(X$279=123, X$279=12, X$279=23, X$279=2), Cultivar_2_Cohort_Year_Selection=$S$278), ROUND(MAX(0,W$416 - 1),0),
IF(AND(OR(X$279=123, X$279=13, X$279=23, X$279=3), Cultivar_3_Cohort_Year_Selection=$S$278), ROUND(MAX(0,W$416 - 1),0),
ROUND(MAX(0,W$416),0)))))))),""),""),"")</f>
        <v/>
      </c>
      <c r="Y419" s="17" t="str">
        <f t="shared" ref="Y419:Y427" si="161">IF(ISNUMBER($B$417),
IF($C419&lt;&gt;"",
IF(AND(ISNUMBER(X$416), X$416&gt;0),
IF(AND(Y$279=123, Cultivar_1_Cohort_Year_Selection=$T$278,Cultivar_2_Cohort_Year_Selection=$T$278,Cultivar_3_Cohort_Year_Selection=$T$278), ROUND(MAX(0,X$416 - 3),0),
IF(AND(OR(Y$279=123, Y$279=12), Cultivar_1_Cohort_Year_Selection=$T$278,Cultivar_2_Cohort_Year_Selection=$T$278), ROUND(MAX(0,X$416 - 2),0),
IF(AND(OR(Y$279=123, Y$279=13), Cultivar_1_Cohort_Year_Selection=$T$278,Cultivar_3_Cohort_Year_Selection=$T$278), ROUND(MAX(0,X$416 - 2),0),
IF(AND(OR(Y$279=123, Y$279=23), Cultivar_2_Cohort_Year_Selection=$T$278,Cultivar_3_Cohort_Year_Selection=$T$278), ROUND(MAX(0,X$416 - 2),0),
IF(AND(OR(Y$279=123, Y$279=12, Y$279=13, Y$279=1), Cultivar_1_Cohort_Year_Selection=$T$278), ROUND(MAX(0,X$416 - 1),0),
IF(AND(OR(Y$279=123, Y$279=12, Y$279=23, Y$279=2), Cultivar_2_Cohort_Year_Selection=$T$278), ROUND(MAX(0,X$416 - 1),0),
IF(AND(OR(Y$279=123, Y$279=13, Y$279=23, Y$279=3), Cultivar_3_Cohort_Year_Selection=$T$278), ROUND(MAX(0,X$416 - 1),0),
ROUND(MAX(0,X$416),0)))))))),""),""),"")</f>
        <v/>
      </c>
      <c r="Z419" s="17" t="str">
        <f t="shared" ref="Z419:Z427" si="162">IF(ISNUMBER($B$417),
IF($C419&lt;&gt;"",
IF(AND(ISNUMBER(Y$416), Y$416&gt;0),
IF(AND(Z$279=123, Cultivar_1_Cohort_Year_Selection=$U$278,Cultivar_2_Cohort_Year_Selection=$U$278,Cultivar_3_Cohort_Year_Selection=$U$278), ROUND(MAX(0,Y$416 - 3),0),
IF(AND(OR(Z$279=123, Z$279=12), Cultivar_1_Cohort_Year_Selection=$U$278,Cultivar_2_Cohort_Year_Selection=$U$278), ROUND(MAX(0,Y$416 - 2),0),
IF(AND(OR(Z$279=123, Z$279=13), Cultivar_1_Cohort_Year_Selection=$U$278,Cultivar_3_Cohort_Year_Selection=$U$278), ROUND(MAX(0,Y$416 - 2),0),
IF(AND(OR(Z$279=123, Z$279=23), Cultivar_2_Cohort_Year_Selection=$U$278,Cultivar_3_Cohort_Year_Selection=$U$278), ROUND(MAX(0,Y$416 - 2),0),
IF(AND(OR(Z$279=123, Z$279=12, Z$279=13, Z$279=1), Cultivar_1_Cohort_Year_Selection=$U$278), ROUND(MAX(0,Y$416 - 1),0),
IF(AND(OR(Z$279=123, Z$279=12, Z$279=23, Z$279=2), Cultivar_2_Cohort_Year_Selection=$U$278), ROUND(MAX(0,Y$416 - 1),0),
IF(AND(OR(Z$279=123, Z$279=13, Z$279=23, Z$279=3), Cultivar_3_Cohort_Year_Selection=$U$278), ROUND(MAX(0,Y$416 - 1),0),
ROUND(MAX(0,Y$416),0)))))))),""),""),"")</f>
        <v/>
      </c>
      <c r="AA419" s="17" t="str">
        <f t="shared" ref="AA419:AA427" si="163">IF(ISNUMBER($B$417),
IF($C419&lt;&gt;"",
IF(AND(ISNUMBER(Z$416), Z$416&gt;0),
IF(AND(AA$279=123, Cultivar_1_Cohort_Year_Selection=$V$278,Cultivar_2_Cohort_Year_Selection=$V$278,Cultivar_3_Cohort_Year_Selection=$V$278), ROUND(MAX(0,Z$416 - 3),0),
IF(AND(OR(AA$279=123, AA$279=12), Cultivar_1_Cohort_Year_Selection=$V$278,Cultivar_2_Cohort_Year_Selection=$V$278), ROUND(MAX(0,Z$416 - 2),0),
IF(AND(OR(AA$279=123, AA$279=13), Cultivar_1_Cohort_Year_Selection=$V$278,Cultivar_3_Cohort_Year_Selection=$V$278), ROUND(MAX(0,Z$416 - 2),0),
IF(AND(OR(AA$279=123, AA$279=23), Cultivar_2_Cohort_Year_Selection=$V$278,Cultivar_3_Cohort_Year_Selection=$V$278), ROUND(MAX(0,Z$416 - 2),0),
IF(AND(OR(AA$279=123, AA$279=12, AA$279=13, AA$279=1), Cultivar_1_Cohort_Year_Selection=$V$278), ROUND(MAX(0,Z$416 - 1),0),
IF(AND(OR(AA$279=123, AA$279=12, AA$279=23, AA$279=2), Cultivar_2_Cohort_Year_Selection=$V$278), ROUND(MAX(0,Z$416 - 1),0),
IF(AND(OR(AA$279=123, AA$279=13, AA$279=23, AA$279=3), Cultivar_3_Cohort_Year_Selection=$V$278), ROUND(MAX(0,Z$416 - 1),0),
ROUND(MAX(0,Z$416),0)))))))),""),""),"")</f>
        <v/>
      </c>
      <c r="AB419" s="17" t="str">
        <f t="shared" ref="AB419:AB427" si="164">IF(ISNUMBER($B$417),
IF($C419&lt;&gt;"",
IF(AND(ISNUMBER(AA$416), AA$416&gt;0),
IF(AND(AB$279=123, Cultivar_1_Cohort_Year_Selection=$W$278,Cultivar_2_Cohort_Year_Selection=$W$278,Cultivar_3_Cohort_Year_Selection=$W$278), ROUND(MAX(0,AA$416 - 3),0),
IF(AND(OR(AB$279=123, AB$279=12), Cultivar_1_Cohort_Year_Selection=$W$278,Cultivar_2_Cohort_Year_Selection=$W$278), ROUND(MAX(0,AA$416 - 2),0),
IF(AND(OR(AB$279=123, AB$279=13), Cultivar_1_Cohort_Year_Selection=$W$278,Cultivar_3_Cohort_Year_Selection=$W$278), ROUND(MAX(0,AA$416 - 2),0),
IF(AND(OR(AB$279=123, AB$279=23), Cultivar_2_Cohort_Year_Selection=$W$278,Cultivar_3_Cohort_Year_Selection=$W$278), ROUND(MAX(0,AA$416 - 2),0),
IF(AND(OR(AB$279=123, AB$279=12, AB$279=13, AB$279=1), Cultivar_1_Cohort_Year_Selection=$W$278), ROUND(MAX(0,AA$416 - 1),0),
IF(AND(OR(AB$279=123, AB$279=12, AB$279=23, AB$279=2), Cultivar_2_Cohort_Year_Selection=$W$278), ROUND(MAX(0,AA$416 - 1),0),
IF(AND(OR(AB$279=123, AB$279=13, AB$279=23, AB$279=3), Cultivar_3_Cohort_Year_Selection=$W$278), ROUND(MAX(0,AA$416 - 1),0),
ROUND(MAX(0,AA$416),0)))))))),""),""),"")</f>
        <v/>
      </c>
      <c r="AC419" s="17" t="str">
        <f t="shared" ref="AC419:AC427" si="165">IF(ISNUMBER($B$417),
IF($C419&lt;&gt;"",
IF(AND(ISNUMBER(AB$416), AB$416&gt;0),
IF(AND(AC$279=123, Cultivar_1_Cohort_Year_Selection=$X$278,Cultivar_2_Cohort_Year_Selection=$X$278,Cultivar_3_Cohort_Year_Selection=$X$278), ROUND(MAX(0,AB$416 - 3),0),
IF(AND(OR(AC$279=123, AC$279=12), Cultivar_1_Cohort_Year_Selection=$X$278,Cultivar_2_Cohort_Year_Selection=$X$278), ROUND(MAX(0,AB$416 - 2),0),
IF(AND(OR(AC$279=123, AC$279=13), Cultivar_1_Cohort_Year_Selection=$X$278,Cultivar_3_Cohort_Year_Selection=$X$278), ROUND(MAX(0,AB$416 - 2),0),
IF(AND(OR(AC$279=123, AC$279=23), Cultivar_2_Cohort_Year_Selection=$X$278,Cultivar_3_Cohort_Year_Selection=$X$278), ROUND(MAX(0,AB$416 - 2),0),
IF(AND(OR(AC$279=123, AC$279=12, AC$279=13, AC$279=1), Cultivar_1_Cohort_Year_Selection=$X$278), ROUND(MAX(0,AB$416 - 1),0),
IF(AND(OR(AC$279=123, AC$279=12, AC$279=23, AC$279=2), Cultivar_2_Cohort_Year_Selection=$X$278), ROUND(MAX(0,AB$416 - 1),0),
IF(AND(OR(AC$279=123, AC$279=13, AC$279=23, AC$279=3), Cultivar_3_Cohort_Year_Selection=$X$278), ROUND(MAX(0,AB$416 - 1),0),
ROUND(MAX(0,AB$416),0)))))))),""),""),"")</f>
        <v/>
      </c>
      <c r="AD419" s="17" t="str">
        <f t="shared" ref="AD419:AD427" si="166">IF(ISNUMBER($B$417),
IF($C419&lt;&gt;"",
IF(AND(ISNUMBER(AC$416), AC$416&gt;0),
IF(AND(AD$279=123, Cultivar_1_Cohort_Year_Selection=$Y$278,Cultivar_2_Cohort_Year_Selection=$Y$278,Cultivar_3_Cohort_Year_Selection=$Y$278), ROUND(MAX(0,AC$416 - 3),0),
IF(AND(OR(AD$279=123, AD$279=12), Cultivar_1_Cohort_Year_Selection=$Y$278,Cultivar_2_Cohort_Year_Selection=$Y$278), ROUND(MAX(0,AC$416 - 2),0),
IF(AND(OR(AD$279=123, AD$279=13), Cultivar_1_Cohort_Year_Selection=$Y$278,Cultivar_3_Cohort_Year_Selection=$Y$278), ROUND(MAX(0,AC$416 - 2),0),
IF(AND(OR(AD$279=123, AD$279=23), Cultivar_2_Cohort_Year_Selection=$Y$278,Cultivar_3_Cohort_Year_Selection=$Y$278), ROUND(MAX(0,AC$416 - 2),0),
IF(AND(OR(AD$279=123, AD$279=12, AD$279=13, AD$279=1), Cultivar_1_Cohort_Year_Selection=$Y$278), ROUND(MAX(0,AC$416 - 1),0),
IF(AND(OR(AD$279=123, AD$279=12, AD$279=23, AD$279=2), Cultivar_2_Cohort_Year_Selection=$Y$278), ROUND(MAX(0,AC$416 - 1),0),
IF(AND(OR(AD$279=123, AD$279=13, AD$279=23, AD$279=3), Cultivar_3_Cohort_Year_Selection=$Y$278), ROUND(MAX(0,AC$416 - 1),0),
ROUND(MAX(0,AC$416),0)))))))),""),""),"")</f>
        <v/>
      </c>
      <c r="AE419" s="17" t="str">
        <f t="shared" ref="AE419:AE427" si="167">IF(ISNUMBER($B$417),
IF($C419&lt;&gt;"",
IF(AND(ISNUMBER(AD$416), AD$416&gt;0),
IF(AND(AE$279=123, Cultivar_1_Cohort_Year_Selection=$Z$278,Cultivar_2_Cohort_Year_Selection=$Z$278,Cultivar_3_Cohort_Year_Selection=$Z$278), ROUND(MAX(0,AD$416 - 3),0),
IF(AND(OR(AE$279=123, AE$279=12), Cultivar_1_Cohort_Year_Selection=$Z$278,Cultivar_2_Cohort_Year_Selection=$Z$278), ROUND(MAX(0,AD$416 - 2),0),
IF(AND(OR(AE$279=123, AE$279=13), Cultivar_1_Cohort_Year_Selection=$Z$278,Cultivar_3_Cohort_Year_Selection=$Z$278), ROUND(MAX(0,AD$416 - 2),0),
IF(AND(OR(AE$279=123, AE$279=23), Cultivar_2_Cohort_Year_Selection=$Z$278,Cultivar_3_Cohort_Year_Selection=$Z$278), ROUND(MAX(0,AD$416 - 2),0),
IF(AND(OR(AE$279=123, AE$279=12, AE$279=13, AE$279=1), Cultivar_1_Cohort_Year_Selection=$Z$278), ROUND(MAX(0,AD$416 - 1),0),
IF(AND(OR(AE$279=123, AE$279=12, AE$279=23, AE$279=2), Cultivar_2_Cohort_Year_Selection=$Z$278), ROUND(MAX(0,AD$416 - 1),0),
IF(AND(OR(AE$279=123, AE$279=13, AE$279=23, AE$279=3), Cultivar_3_Cohort_Year_Selection=$Z$278), ROUND(MAX(0,AD$416 - 1),0),
ROUND(MAX(0,AD$416),0)))))))),""),""),"")</f>
        <v/>
      </c>
      <c r="AF419" s="17" t="str">
        <f t="shared" ref="AF419:AF427" si="168">IF(ISNUMBER($B$417),
IF($C419&lt;&gt;"",
IF(AND(ISNUMBER(AE$416), AE$416&gt;0),
IF(AND(AF$279=123, Cultivar_1_Cohort_Year_Selection=$AA$278,Cultivar_2_Cohort_Year_Selection=$AA$278,Cultivar_3_Cohort_Year_Selection=$AA$278), ROUND(MAX(0,AE$416 - 3),0),
IF(AND(OR(AF$279=123, AF$279=12), Cultivar_1_Cohort_Year_Selection=$AA$278,Cultivar_2_Cohort_Year_Selection=$AA$278), ROUND(MAX(0,AE$416 - 2),0),
IF(AND(OR(AF$279=123, AF$279=13), Cultivar_1_Cohort_Year_Selection=$AA$278,Cultivar_3_Cohort_Year_Selection=$AA$278), ROUND(MAX(0,AE$416 - 2),0),
IF(AND(OR(AF$279=123, AF$279=23), Cultivar_2_Cohort_Year_Selection=$AA$278,Cultivar_3_Cohort_Year_Selection=$AA$278), ROUND(MAX(0,AE$416 - 2),0),
IF(AND(OR(AF$279=123, AF$279=12, AF$279=13, AF$279=1), Cultivar_1_Cohort_Year_Selection=$AA$278), ROUND(MAX(0,AE$416 - 1),0),
IF(AND(OR(AF$279=123, AF$279=12, AF$279=23, AF$279=2), Cultivar_2_Cohort_Year_Selection=$AA$278), ROUND(MAX(0,AE$416 - 1),0),
IF(AND(OR(AF$279=123, AF$279=13, AF$279=23, AF$279=3), Cultivar_3_Cohort_Year_Selection=$AA$278), ROUND(MAX(0,AE$416 - 1),0),
ROUND(MAX(0,AE$416),0)))))))),""),""),"")</f>
        <v/>
      </c>
      <c r="AG419" s="17" t="str">
        <f t="shared" ref="AG419:AG427" si="169">IF(ISNUMBER($B$417),
IF($C419&lt;&gt;"",
IF(AND(ISNUMBER(AF$416), AF$416&gt;0),
IF(AND(AG$279=123, Cultivar_1_Cohort_Year_Selection=$AB$278,Cultivar_2_Cohort_Year_Selection=$AB$278,Cultivar_3_Cohort_Year_Selection=$AB$278), ROUND(MAX(0,AF$416 - 3),0),
IF(AND(OR(AG$279=123, AG$279=12), Cultivar_1_Cohort_Year_Selection=$AB$278,Cultivar_2_Cohort_Year_Selection=$AB$278), ROUND(MAX(0,AF$416 - 2),0),
IF(AND(OR(AG$279=123, AG$279=13), Cultivar_1_Cohort_Year_Selection=$AB$278,Cultivar_3_Cohort_Year_Selection=$AB$278), ROUND(MAX(0,AF$416 - 2),0),
IF(AND(OR(AG$279=123, AG$279=23), Cultivar_2_Cohort_Year_Selection=$AB$278,Cultivar_3_Cohort_Year_Selection=$AB$278), ROUND(MAX(0,AF$416 - 2),0),
IF(AND(OR(AG$279=123, AG$279=12, AG$279=13, AG$279=1), Cultivar_1_Cohort_Year_Selection=$AB$278), ROUND(MAX(0,AF$416 - 1),0),
IF(AND(OR(AG$279=123, AG$279=12, AG$279=23, AG$279=2), Cultivar_2_Cohort_Year_Selection=$AB$278), ROUND(MAX(0,AF$416 - 1),0),
IF(AND(OR(AG$279=123, AG$279=13, AG$279=23, AG$279=3), Cultivar_3_Cohort_Year_Selection=$AB$278), ROUND(MAX(0,AF$416 - 1),0),
ROUND(MAX(0,AF$416),0)))))))),""),""),"")</f>
        <v/>
      </c>
      <c r="AH419" s="17" t="str">
        <f t="shared" ref="AH419:AH427" si="170">IF(ISNUMBER($B$417),
IF($C419&lt;&gt;"",
IF(AND(ISNUMBER(AG$416), AG$416&gt;0),
IF(AND(AH$279=123, Cultivar_1_Cohort_Year_Selection=$AC$278,Cultivar_2_Cohort_Year_Selection=$AC$278,Cultivar_3_Cohort_Year_Selection=$AC$278), ROUND(MAX(0,AG$416 - 3),0),
IF(AND(OR(AH$279=123, AH$279=12), Cultivar_1_Cohort_Year_Selection=$AC$278,Cultivar_2_Cohort_Year_Selection=$AC$278), ROUND(MAX(0,AG$416 - 2),0),
IF(AND(OR(AH$279=123, AH$279=13), Cultivar_1_Cohort_Year_Selection=$AC$278,Cultivar_3_Cohort_Year_Selection=$AC$278), ROUND(MAX(0,AG$416 - 2),0),
IF(AND(OR(AH$279=123, AH$279=23), Cultivar_2_Cohort_Year_Selection=$AC$278,Cultivar_3_Cohort_Year_Selection=$AC$278), ROUND(MAX(0,AG$416 - 2),0),
IF(AND(OR(AH$279=123, AH$279=12, AH$279=13, AH$279=1), Cultivar_1_Cohort_Year_Selection=$AC$278), ROUND(MAX(0,AG$416 - 1),0),
IF(AND(OR(AH$279=123, AH$279=12, AH$279=23, AH$279=2), Cultivar_2_Cohort_Year_Selection=$AC$278), ROUND(MAX(0,AG$416 - 1),0),
IF(AND(OR(AH$279=123, AH$279=13, AH$279=23, AH$279=3), Cultivar_3_Cohort_Year_Selection=$AC$278), ROUND(MAX(0,AG$416 - 1),0),
ROUND(MAX(0,AG$416),0)))))))),""),""),"")</f>
        <v/>
      </c>
      <c r="AI419" s="17" t="str">
        <f t="shared" ref="AI419:AI427" si="171">IF(ISNUMBER($B$417),
IF($C419&lt;&gt;"",
IF(AND(ISNUMBER(AH$416), AH$416&gt;0),
IF(AND(AI$279=123, Cultivar_1_Cohort_Year_Selection=$AD$278,Cultivar_2_Cohort_Year_Selection=$AD$278,Cultivar_3_Cohort_Year_Selection=$AD$278), ROUND(MAX(0,AH$416 - 3),0),
IF(AND(OR(AI$279=123, AI$279=12), Cultivar_1_Cohort_Year_Selection=$AD$278,Cultivar_2_Cohort_Year_Selection=$AD$278), ROUND(MAX(0,AH$416 - 2),0),
IF(AND(OR(AI$279=123, AI$279=13), Cultivar_1_Cohort_Year_Selection=$AD$278,Cultivar_3_Cohort_Year_Selection=$AD$278), ROUND(MAX(0,AH$416 - 2),0),
IF(AND(OR(AI$279=123, AI$279=23), Cultivar_2_Cohort_Year_Selection=$AD$278,Cultivar_3_Cohort_Year_Selection=$AD$278), ROUND(MAX(0,AH$416 - 2),0),
IF(AND(OR(AI$279=123, AI$279=12, AI$279=13, AI$279=1), Cultivar_1_Cohort_Year_Selection=$AD$278), ROUND(MAX(0,AH$416 - 1),0),
IF(AND(OR(AI$279=123, AI$279=12, AI$279=23, AI$279=2), Cultivar_2_Cohort_Year_Selection=$AD$278), ROUND(MAX(0,AH$416 - 1),0),
IF(AND(OR(AI$279=123, AI$279=13, AI$279=23, AI$279=3), Cultivar_3_Cohort_Year_Selection=$AD$278), ROUND(MAX(0,AH$416 - 1),0),
ROUND(MAX(0,AH$416),0)))))))),""),""),"")</f>
        <v/>
      </c>
      <c r="AJ419" s="17" t="str">
        <f t="shared" ref="AJ419:AJ427" si="172">IF(ISNUMBER($B$417),
IF($C419&lt;&gt;"",
IF(AND(ISNUMBER(AI$416), AI$416&gt;0),
IF(AND(AJ$279=123, Cultivar_1_Cohort_Year_Selection=$AE$278,Cultivar_2_Cohort_Year_Selection=$AE$278,Cultivar_3_Cohort_Year_Selection=$AE$278), ROUND(MAX(0,AI$416 - 3),0),
IF(AND(OR(AJ$279=123, AJ$279=12), Cultivar_1_Cohort_Year_Selection=$AE$278,Cultivar_2_Cohort_Year_Selection=$AE$278), ROUND(MAX(0,AI$416 - 2),0),
IF(AND(OR(AJ$279=123, AJ$279=13), Cultivar_1_Cohort_Year_Selection=$AE$278,Cultivar_3_Cohort_Year_Selection=$AE$278), ROUND(MAX(0,AI$416 - 2),0),
IF(AND(OR(AJ$279=123, AJ$279=23), Cultivar_2_Cohort_Year_Selection=$AE$278,Cultivar_3_Cohort_Year_Selection=$AE$278), ROUND(MAX(0,AI$416 - 2),0),
IF(AND(OR(AJ$279=123, AJ$279=12, AJ$279=13, AJ$279=1), Cultivar_1_Cohort_Year_Selection=$AE$278), ROUND(MAX(0,AI$416 - 1),0),
IF(AND(OR(AJ$279=123, AJ$279=12, AJ$279=23, AJ$279=2), Cultivar_2_Cohort_Year_Selection=$AE$278), ROUND(MAX(0,AI$416 - 1),0),
IF(AND(OR(AJ$279=123, AJ$279=13, AJ$279=23, AJ$279=3), Cultivar_3_Cohort_Year_Selection=$AE$278), ROUND(MAX(0,AI$416 - 1),0),
ROUND(MAX(0,AI$416),0)))))))),""),""),"")</f>
        <v/>
      </c>
      <c r="AK419" s="17" t="str">
        <f t="shared" ref="AK419:AK427" si="173">IF(ISNUMBER($B$417),
IF($C419&lt;&gt;"",
IF(AND(ISNUMBER(AJ$416), AJ$416&gt;0),
IF(AND(AK$279=123, Cultivar_1_Cohort_Year_Selection=$AF$278,Cultivar_2_Cohort_Year_Selection=$AF$278,Cultivar_3_Cohort_Year_Selection=$AF$278), ROUND(MAX(0,AJ$416 - 3),0),
IF(AND(OR(AK$279=123, AK$279=12), Cultivar_1_Cohort_Year_Selection=$AF$278,Cultivar_2_Cohort_Year_Selection=$AF$278), ROUND(MAX(0,AJ$416 - 2),0),
IF(AND(OR(AK$279=123, AK$279=13), Cultivar_1_Cohort_Year_Selection=$AF$278,Cultivar_3_Cohort_Year_Selection=$AF$278), ROUND(MAX(0,AJ$416 - 2),0),
IF(AND(OR(AK$279=123, AK$279=23), Cultivar_2_Cohort_Year_Selection=$AF$278,Cultivar_3_Cohort_Year_Selection=$AF$278), ROUND(MAX(0,AJ$416 - 2),0),
IF(AND(OR(AK$279=123, AK$279=12, AK$279=13, AK$279=1), Cultivar_1_Cohort_Year_Selection=$AF$278), ROUND(MAX(0,AJ$416 - 1),0),
IF(AND(OR(AK$279=123, AK$279=12, AK$279=23, AK$279=2), Cultivar_2_Cohort_Year_Selection=$AF$278), ROUND(MAX(0,AJ$416 - 1),0),
IF(AND(OR(AK$279=123, AK$279=13, AK$279=23, AK$279=3), Cultivar_3_Cohort_Year_Selection=$AF$278), ROUND(MAX(0,AJ$416 - 1),0),
ROUND(MAX(0,AJ$416),0)))))))),""),""),"")</f>
        <v/>
      </c>
      <c r="AL419" s="17" t="str">
        <f t="shared" ref="AL419:AL427" si="174">IF(ISNUMBER($B$417),
IF($C419&lt;&gt;"",
IF(AND(ISNUMBER(AK$416), AK$416&gt;0),
IF(AND(AL$279=123, Cultivar_1_Cohort_Year_Selection=$AG$278,Cultivar_2_Cohort_Year_Selection=$AG$278,Cultivar_3_Cohort_Year_Selection=$AG$278), ROUND(MAX(0,AK$416 - 3),0),
IF(AND(OR(AL$279=123, AL$279=12), Cultivar_1_Cohort_Year_Selection=$AG$278,Cultivar_2_Cohort_Year_Selection=$AG$278), ROUND(MAX(0,AK$416 - 2),0),
IF(AND(OR(AL$279=123, AL$279=13), Cultivar_1_Cohort_Year_Selection=$AG$278,Cultivar_3_Cohort_Year_Selection=$AG$278), ROUND(MAX(0,AK$416 - 2),0),
IF(AND(OR(AL$279=123, AL$279=23), Cultivar_2_Cohort_Year_Selection=$AG$278,Cultivar_3_Cohort_Year_Selection=$AG$278), ROUND(MAX(0,AK$416 - 2),0),
IF(AND(OR(AL$279=123, AL$279=12, AL$279=13, AL$279=1), Cultivar_1_Cohort_Year_Selection=$AG$278), ROUND(MAX(0,AK$416 - 1),0),
IF(AND(OR(AL$279=123, AL$279=12, AL$279=23, AL$279=2), Cultivar_2_Cohort_Year_Selection=$AG$278), ROUND(MAX(0,AK$416 - 1),0),
IF(AND(OR(AL$279=123, AL$279=13, AL$279=23, AL$279=3), Cultivar_3_Cohort_Year_Selection=$AG$278), ROUND(MAX(0,AK$416 - 1),0),
ROUND(MAX(0,AK$416),0)))))))),""),""),"")</f>
        <v/>
      </c>
      <c r="AM419" s="17" t="str">
        <f t="shared" ref="AM419:AM427" si="175">IF(ISNUMBER($B$417),
IF($C419&lt;&gt;"",
IF(AND(ISNUMBER(AL$416), AL$416&gt;0),
IF(AND(AM$279=123, Cultivar_1_Cohort_Year_Selection=$AH$278,Cultivar_2_Cohort_Year_Selection=$AH$278,Cultivar_3_Cohort_Year_Selection=$AH$278), ROUND(MAX(0,AL$416 - 3),0),
IF(AND(OR(AM$279=123, AM$279=12), Cultivar_1_Cohort_Year_Selection=$AH$278,Cultivar_2_Cohort_Year_Selection=$AH$278), ROUND(MAX(0,AL$416 - 2),0),
IF(AND(OR(AM$279=123, AM$279=13), Cultivar_1_Cohort_Year_Selection=$AH$278,Cultivar_3_Cohort_Year_Selection=$AH$278), ROUND(MAX(0,AL$416 - 2),0),
IF(AND(OR(AM$279=123, AM$279=23), Cultivar_2_Cohort_Year_Selection=$AH$278,Cultivar_3_Cohort_Year_Selection=$AH$278), ROUND(MAX(0,AL$416 - 2),0),
IF(AND(OR(AM$279=123, AM$279=12, AM$279=13, AM$279=1), Cultivar_1_Cohort_Year_Selection=$AH$278), ROUND(MAX(0,AL$416 - 1),0),
IF(AND(OR(AM$279=123, AM$279=12, AM$279=23, AM$279=2), Cultivar_2_Cohort_Year_Selection=$AH$278), ROUND(MAX(0,AL$416 - 1),0),
IF(AND(OR(AM$279=123, AM$279=13, AM$279=23, AM$279=3), Cultivar_3_Cohort_Year_Selection=$AH$278), ROUND(MAX(0,AL$416 - 1),0),
ROUND(MAX(0,AL$416),0)))))))),""),""),"")</f>
        <v/>
      </c>
      <c r="AN419" s="17" t="str">
        <f t="shared" ref="AN419:AN427" si="176">IF(ISNUMBER($B$417),
IF($C419&lt;&gt;"",
IF(AND(ISNUMBER(AM$416), AM$416&gt;0),
IF(AND(AN$279=123, Cultivar_1_Cohort_Year_Selection=$AI$278,Cultivar_2_Cohort_Year_Selection=$AI$278,Cultivar_3_Cohort_Year_Selection=$AI$278), ROUND(MAX(0,AM$416 - 3),0),
IF(AND(OR(AN$279=123, AN$279=12), Cultivar_1_Cohort_Year_Selection=$AI$278,Cultivar_2_Cohort_Year_Selection=$AI$278), ROUND(MAX(0,AM$416 - 2),0),
IF(AND(OR(AN$279=123, AN$279=13), Cultivar_1_Cohort_Year_Selection=$AI$278,Cultivar_3_Cohort_Year_Selection=$AI$278), ROUND(MAX(0,AM$416 - 2),0),
IF(AND(OR(AN$279=123, AN$279=23), Cultivar_2_Cohort_Year_Selection=$AI$278,Cultivar_3_Cohort_Year_Selection=$AI$278), ROUND(MAX(0,AM$416 - 2),0),
IF(AND(OR(AN$279=123, AN$279=12, AN$279=13, AN$279=1), Cultivar_1_Cohort_Year_Selection=$AI$278), ROUND(MAX(0,AM$416 - 1),0),
IF(AND(OR(AN$279=123, AN$279=12, AN$279=23, AN$279=2), Cultivar_2_Cohort_Year_Selection=$AI$278), ROUND(MAX(0,AM$416 - 1),0),
IF(AND(OR(AN$279=123, AN$279=13, AN$279=23, AN$279=3), Cultivar_3_Cohort_Year_Selection=$AI$278), ROUND(MAX(0,AM$416 - 1),0),
ROUND(MAX(0,AM$416),0)))))))),""),""),"")</f>
        <v/>
      </c>
      <c r="AO419" s="17" t="str">
        <f t="shared" ref="AO419:AO427" si="177">IF(ISNUMBER($B$417),
IF($C419&lt;&gt;"",
IF(AND(ISNUMBER(AN$416), AN$416&gt;0),
IF(AND(AO$279=123, Cultivar_1_Cohort_Year_Selection=$AJ$278,Cultivar_2_Cohort_Year_Selection=$AJ$278,Cultivar_3_Cohort_Year_Selection=$AJ$278), ROUND(MAX(0,AN$416 - 3),0),
IF(AND(OR(AO$279=123, AO$279=12), Cultivar_1_Cohort_Year_Selection=$AJ$278,Cultivar_2_Cohort_Year_Selection=$AJ$278), ROUND(MAX(0,AN$416 - 2),0),
IF(AND(OR(AO$279=123, AO$279=13), Cultivar_1_Cohort_Year_Selection=$AJ$278,Cultivar_3_Cohort_Year_Selection=$AJ$278), ROUND(MAX(0,AN$416 - 2),0),
IF(AND(OR(AO$279=123, AO$279=23), Cultivar_2_Cohort_Year_Selection=$AJ$278,Cultivar_3_Cohort_Year_Selection=$AJ$278), ROUND(MAX(0,AN$416 - 2),0),
IF(AND(OR(AO$279=123, AO$279=12, AO$279=13, AO$279=1), Cultivar_1_Cohort_Year_Selection=$AJ$278), ROUND(MAX(0,AN$416 - 1),0),
IF(AND(OR(AO$279=123, AO$279=12, AO$279=23, AO$279=2), Cultivar_2_Cohort_Year_Selection=$AJ$278), ROUND(MAX(0,AN$416 - 1),0),
IF(AND(OR(AO$279=123, AO$279=13, AO$279=23, AO$279=3), Cultivar_3_Cohort_Year_Selection=$AJ$278), ROUND(MAX(0,AN$416 - 1),0),
ROUND(MAX(0,AN$416),0)))))))),""),""),"")</f>
        <v/>
      </c>
      <c r="AP419" s="17" t="str">
        <f t="shared" ref="AP419:AP427" si="178">IF(ISNUMBER($B$417),
IF($C419&lt;&gt;"",
IF(AND(ISNUMBER(AO$416), AO$416&gt;0),
IF(AND(AP$279=123, Cultivar_1_Cohort_Year_Selection=$AK$278,Cultivar_2_Cohort_Year_Selection=$AK$278,Cultivar_3_Cohort_Year_Selection=$AK$278), ROUND(MAX(0,AO$416 - 3),0),
IF(AND(OR(AP$279=123, AP$279=12), Cultivar_1_Cohort_Year_Selection=$AK$278,Cultivar_2_Cohort_Year_Selection=$AK$278), ROUND(MAX(0,AO$416 - 2),0),
IF(AND(OR(AP$279=123, AP$279=13), Cultivar_1_Cohort_Year_Selection=$AK$278,Cultivar_3_Cohort_Year_Selection=$AK$278), ROUND(MAX(0,AO$416 - 2),0),
IF(AND(OR(AP$279=123, AP$279=23), Cultivar_2_Cohort_Year_Selection=$AK$278,Cultivar_3_Cohort_Year_Selection=$AK$278), ROUND(MAX(0,AO$416 - 2),0),
IF(AND(OR(AP$279=123, AP$279=12, AP$279=13, AP$279=1), Cultivar_1_Cohort_Year_Selection=$AK$278), ROUND(MAX(0,AO$416 - 1),0),
IF(AND(OR(AP$279=123, AP$279=12, AP$279=23, AP$279=2), Cultivar_2_Cohort_Year_Selection=$AK$278), ROUND(MAX(0,AO$416 - 1),0),
IF(AND(OR(AP$279=123, AP$279=13, AP$279=23, AP$279=3), Cultivar_3_Cohort_Year_Selection=$AK$278), ROUND(MAX(0,AO$416 - 1),0),
ROUND(MAX(0,AO$416),0)))))))),""),""),"")</f>
        <v/>
      </c>
      <c r="AQ419" s="17" t="str">
        <f t="shared" ref="AQ419:AQ427" si="179">IF(ISNUMBER($B$417),
IF($C419&lt;&gt;"",
IF(AND(ISNUMBER(AP$416), AP$416&gt;0),
IF(AND(AQ$279=123, Cultivar_1_Cohort_Year_Selection=$AL$278,Cultivar_2_Cohort_Year_Selection=$AL$278,Cultivar_3_Cohort_Year_Selection=$AL$278), ROUND(MAX(0,AP$416 - 3),0),
IF(AND(OR(AQ$279=123, AQ$279=12), Cultivar_1_Cohort_Year_Selection=$AL$278,Cultivar_2_Cohort_Year_Selection=$AL$278), ROUND(MAX(0,AP$416 - 2),0),
IF(AND(OR(AQ$279=123, AQ$279=13), Cultivar_1_Cohort_Year_Selection=$AL$278,Cultivar_3_Cohort_Year_Selection=$AL$278), ROUND(MAX(0,AP$416 - 2),0),
IF(AND(OR(AQ$279=123, AQ$279=23), Cultivar_2_Cohort_Year_Selection=$AL$278,Cultivar_3_Cohort_Year_Selection=$AL$278), ROUND(MAX(0,AP$416 - 2),0),
IF(AND(OR(AQ$279=123, AQ$279=12, AQ$279=13, AQ$279=1), Cultivar_1_Cohort_Year_Selection=$AL$278), ROUND(MAX(0,AP$416 - 1),0),
IF(AND(OR(AQ$279=123, AQ$279=12, AQ$279=23, AQ$279=2), Cultivar_2_Cohort_Year_Selection=$AL$278), ROUND(MAX(0,AP$416 - 1),0),
IF(AND(OR(AQ$279=123, AQ$279=13, AQ$279=23, AQ$279=3), Cultivar_3_Cohort_Year_Selection=$AL$278), ROUND(MAX(0,AP$416 - 1),0),
ROUND(MAX(0,AP$416),0)))))))),""),""),"")</f>
        <v/>
      </c>
      <c r="AR419" s="17" t="str">
        <f t="shared" ref="AR419:AR427" si="180">IF(ISNUMBER($B$417),
IF($C419&lt;&gt;"",
IF(AND(ISNUMBER(AQ$416), AQ$416&gt;0),
IF(AND(AR$279=123, Cultivar_1_Cohort_Year_Selection=$AM$278,Cultivar_2_Cohort_Year_Selection=$AM$278,Cultivar_3_Cohort_Year_Selection=$AM$278), ROUND(MAX(0,AQ$416 - 3),0),
IF(AND(OR(AR$279=123, AR$279=12), Cultivar_1_Cohort_Year_Selection=$AM$278,Cultivar_2_Cohort_Year_Selection=$AM$278), ROUND(MAX(0,AQ$416 - 2),0),
IF(AND(OR(AR$279=123, AR$279=13), Cultivar_1_Cohort_Year_Selection=$AM$278,Cultivar_3_Cohort_Year_Selection=$AM$278), ROUND(MAX(0,AQ$416 - 2),0),
IF(AND(OR(AR$279=123, AR$279=23), Cultivar_2_Cohort_Year_Selection=$AM$278,Cultivar_3_Cohort_Year_Selection=$AM$278), ROUND(MAX(0,AQ$416 - 2),0),
IF(AND(OR(AR$279=123, AR$279=12, AR$279=13, AR$279=1), Cultivar_1_Cohort_Year_Selection=$AM$278), ROUND(MAX(0,AQ$416 - 1),0),
IF(AND(OR(AR$279=123, AR$279=12, AR$279=23, AR$279=2), Cultivar_2_Cohort_Year_Selection=$AM$278), ROUND(MAX(0,AQ$416 - 1),0),
IF(AND(OR(AR$279=123, AR$279=13, AR$279=23, AR$279=3), Cultivar_3_Cohort_Year_Selection=$AM$278), ROUND(MAX(0,AQ$416 - 1),0),
ROUND(MAX(0,AQ$416),0)))))))),""),""),"")</f>
        <v/>
      </c>
      <c r="AS419" s="17" t="str">
        <f t="shared" ref="AS419:AS427" si="181">IF(ISNUMBER($B$417),
IF($C419&lt;&gt;"",
IF(AND(ISNUMBER(AR$416), AR$416&gt;0),
IF(AND(AS$279=123, Cultivar_1_Cohort_Year_Selection=$AN$278,Cultivar_2_Cohort_Year_Selection=$AN$278,Cultivar_3_Cohort_Year_Selection=$AN$278), ROUND(MAX(0,AR$416 - 3),0),
IF(AND(OR(AS$279=123, AS$279=12), Cultivar_1_Cohort_Year_Selection=$AN$278,Cultivar_2_Cohort_Year_Selection=$AN$278), ROUND(MAX(0,AR$416 - 2),0),
IF(AND(OR(AS$279=123, AS$279=13), Cultivar_1_Cohort_Year_Selection=$AN$278,Cultivar_3_Cohort_Year_Selection=$AN$278), ROUND(MAX(0,AR$416 - 2),0),
IF(AND(OR(AS$279=123, AS$279=23), Cultivar_2_Cohort_Year_Selection=$AN$278,Cultivar_3_Cohort_Year_Selection=$AN$278), ROUND(MAX(0,AR$416 - 2),0),
IF(AND(OR(AS$279=123, AS$279=12, AS$279=13, AS$279=1), Cultivar_1_Cohort_Year_Selection=$AN$278), ROUND(MAX(0,AR$416 - 1),0),
IF(AND(OR(AS$279=123, AS$279=12, AS$279=23, AS$279=2), Cultivar_2_Cohort_Year_Selection=$AN$278), ROUND(MAX(0,AR$416 - 1),0),
IF(AND(OR(AS$279=123, AS$279=13, AS$279=23, AS$279=3), Cultivar_3_Cohort_Year_Selection=$AN$278), ROUND(MAX(0,AR$416 - 1),0),
ROUND(MAX(0,AR$416),0)))))))),""),""),"")</f>
        <v/>
      </c>
      <c r="AT419" s="17" t="str">
        <f t="shared" ref="AT419:AT427" si="182">IF(ISNUMBER($B$417),
IF($C419&lt;&gt;"",
IF(AND(ISNUMBER(AS$416), AS$416&gt;0),
IF(AND(AT$279=123, Cultivar_1_Cohort_Year_Selection=$AO$278,Cultivar_2_Cohort_Year_Selection=$AO$278,Cultivar_3_Cohort_Year_Selection=$AO$278), ROUND(MAX(0,AS$416 - 3),0),
IF(AND(OR(AT$279=123, AT$279=12), Cultivar_1_Cohort_Year_Selection=$AO$278,Cultivar_2_Cohort_Year_Selection=$AO$278), ROUND(MAX(0,AS$416 - 2),0),
IF(AND(OR(AT$279=123, AT$279=13), Cultivar_1_Cohort_Year_Selection=$AO$278,Cultivar_3_Cohort_Year_Selection=$AO$278), ROUND(MAX(0,AS$416 - 2),0),
IF(AND(OR(AT$279=123, AT$279=23), Cultivar_2_Cohort_Year_Selection=$AO$278,Cultivar_3_Cohort_Year_Selection=$AO$278), ROUND(MAX(0,AS$416 - 2),0),
IF(AND(OR(AT$279=123, AT$279=12, AT$279=13, AT$279=1), Cultivar_1_Cohort_Year_Selection=$AO$278), ROUND(MAX(0,AS$416 - 1),0),
IF(AND(OR(AT$279=123, AT$279=12, AT$279=23, AT$279=2), Cultivar_2_Cohort_Year_Selection=$AO$278), ROUND(MAX(0,AS$416 - 1),0),
IF(AND(OR(AT$279=123, AT$279=13, AT$279=23, AT$279=3), Cultivar_3_Cohort_Year_Selection=$AO$278), ROUND(MAX(0,AS$416 - 1),0),
ROUND(MAX(0,AS$416),0)))))))),""),""),"")</f>
        <v/>
      </c>
      <c r="AU419" s="17" t="str">
        <f t="shared" ref="AU419:AU427" si="183">IF(ISNUMBER($B$417),
IF($C419&lt;&gt;"",
IF(AND(ISNUMBER(AT$416), AT$416&gt;0),
IF(AND(AU$279=123, Cultivar_1_Cohort_Year_Selection=$AP$278,Cultivar_2_Cohort_Year_Selection=$AP$278,Cultivar_3_Cohort_Year_Selection=$AP$278), ROUND(MAX(0,AT$416 - 3),0),
IF(AND(OR(AU$279=123, AU$279=12), Cultivar_1_Cohort_Year_Selection=$AP$278,Cultivar_2_Cohort_Year_Selection=$AP$278), ROUND(MAX(0,AT$416 - 2),0),
IF(AND(OR(AU$279=123, AU$279=13), Cultivar_1_Cohort_Year_Selection=$AP$278,Cultivar_3_Cohort_Year_Selection=$AP$278), ROUND(MAX(0,AT$416 - 2),0),
IF(AND(OR(AU$279=123, AU$279=23), Cultivar_2_Cohort_Year_Selection=$AP$278,Cultivar_3_Cohort_Year_Selection=$AP$278), ROUND(MAX(0,AT$416 - 2),0),
IF(AND(OR(AU$279=123, AU$279=12, AU$279=13, AU$279=1), Cultivar_1_Cohort_Year_Selection=$AP$278), ROUND(MAX(0,AT$416 - 1),0),
IF(AND(OR(AU$279=123, AU$279=12, AU$279=23, AU$279=2), Cultivar_2_Cohort_Year_Selection=$AP$278), ROUND(MAX(0,AT$416 - 1),0),
IF(AND(OR(AU$279=123, AU$279=13, AU$279=23, AU$279=3), Cultivar_3_Cohort_Year_Selection=$AP$278), ROUND(MAX(0,AT$416 - 1),0),
ROUND(MAX(0,AT$416),0)))))))),""),""),"")</f>
        <v/>
      </c>
    </row>
    <row r="420" spans="1:47" x14ac:dyDescent="0.25">
      <c r="A420" s="518"/>
      <c r="B420" s="504"/>
      <c r="C420" s="107" t="str">
        <f>IF(AND(ISNUMBER(B417), OR('Cost Inputs'!$H$108&lt;&gt;"", 'Cost Inputs'!$I$108&lt;&gt;"", 'Cost Inputs'!$J$108&lt;&gt;"")), _4_3_2, "")</f>
        <v/>
      </c>
      <c r="D420" s="93" t="str">
        <f>IF(AND(C420&lt;&gt;"", 'Cost Inputs'!$G$108&lt;&gt;""), 'Cost Inputs'!$G$108, "")</f>
        <v/>
      </c>
      <c r="E420" s="93" t="str">
        <f>IF(AND(C420&lt;&gt;"", 'Cost Inputs'!$H$108&lt;&gt;""), 'Cost Inputs'!$H$108, "")</f>
        <v/>
      </c>
      <c r="F420" s="93" t="str">
        <f>IF(AND(C420&lt;&gt;"", 'Cost Inputs'!$I$108&lt;&gt;""), 'Cost Inputs'!$I$108, "")</f>
        <v/>
      </c>
      <c r="G420" s="108" t="str">
        <f t="shared" si="152"/>
        <v/>
      </c>
      <c r="H420" s="93" t="str">
        <f>IF(AND(C420&lt;&gt;"", 'Cost Inputs'!$J$108&lt;&gt;""), 'Cost Inputs'!$J$108, "")</f>
        <v/>
      </c>
      <c r="I420" s="93" t="str">
        <f t="shared" si="154"/>
        <v/>
      </c>
      <c r="J420" s="93" t="str">
        <f>IF(AND(C420&lt;&gt;"",('Cost Inputs'!$I$108+'Cost Inputs'!$J$108+'Cost Inputs'!$K$108)&gt;0), 'Cost Inputs'!$I$108+'Cost Inputs'!$J$108+'Cost Inputs'!$K$108, "")</f>
        <v/>
      </c>
      <c r="K420" s="93" t="str">
        <f t="shared" si="155"/>
        <v/>
      </c>
      <c r="L420" s="525"/>
      <c r="M420" s="525"/>
      <c r="T420" s="93" t="str">
        <f t="shared" si="156"/>
        <v/>
      </c>
      <c r="U420" s="93" t="str">
        <f t="shared" si="157"/>
        <v/>
      </c>
      <c r="V420" s="93" t="str">
        <f t="shared" si="158"/>
        <v/>
      </c>
      <c r="W420" s="93" t="str">
        <f t="shared" si="159"/>
        <v/>
      </c>
      <c r="X420" s="93" t="str">
        <f t="shared" si="160"/>
        <v/>
      </c>
      <c r="Y420" s="93" t="str">
        <f t="shared" si="161"/>
        <v/>
      </c>
      <c r="Z420" s="93" t="str">
        <f t="shared" si="162"/>
        <v/>
      </c>
      <c r="AA420" s="93" t="str">
        <f t="shared" si="163"/>
        <v/>
      </c>
      <c r="AB420" s="93" t="str">
        <f t="shared" si="164"/>
        <v/>
      </c>
      <c r="AC420" s="93" t="str">
        <f t="shared" si="165"/>
        <v/>
      </c>
      <c r="AD420" s="93" t="str">
        <f t="shared" si="166"/>
        <v/>
      </c>
      <c r="AE420" s="93" t="str">
        <f t="shared" si="167"/>
        <v/>
      </c>
      <c r="AF420" s="93" t="str">
        <f t="shared" si="168"/>
        <v/>
      </c>
      <c r="AG420" s="93" t="str">
        <f t="shared" si="169"/>
        <v/>
      </c>
      <c r="AH420" s="93" t="str">
        <f t="shared" si="170"/>
        <v/>
      </c>
      <c r="AI420" s="93" t="str">
        <f t="shared" si="171"/>
        <v/>
      </c>
      <c r="AJ420" s="93" t="str">
        <f t="shared" si="172"/>
        <v/>
      </c>
      <c r="AK420" s="93" t="str">
        <f t="shared" si="173"/>
        <v/>
      </c>
      <c r="AL420" s="93" t="str">
        <f t="shared" si="174"/>
        <v/>
      </c>
      <c r="AM420" s="93" t="str">
        <f t="shared" si="175"/>
        <v/>
      </c>
      <c r="AN420" s="93" t="str">
        <f t="shared" si="176"/>
        <v/>
      </c>
      <c r="AO420" s="93" t="str">
        <f t="shared" si="177"/>
        <v/>
      </c>
      <c r="AP420" s="93" t="str">
        <f t="shared" si="178"/>
        <v/>
      </c>
      <c r="AQ420" s="93" t="str">
        <f t="shared" si="179"/>
        <v/>
      </c>
      <c r="AR420" s="93" t="str">
        <f t="shared" si="180"/>
        <v/>
      </c>
      <c r="AS420" s="93" t="str">
        <f t="shared" si="181"/>
        <v/>
      </c>
      <c r="AT420" s="93" t="str">
        <f t="shared" si="182"/>
        <v/>
      </c>
      <c r="AU420" s="93" t="str">
        <f t="shared" si="183"/>
        <v/>
      </c>
    </row>
    <row r="421" spans="1:47" x14ac:dyDescent="0.25">
      <c r="A421" s="518"/>
      <c r="B421" s="504"/>
      <c r="C421" s="110" t="str">
        <f>IF(ISNUMBER(B417), _4_4_0, "")</f>
        <v/>
      </c>
      <c r="D421" s="94" t="str">
        <f>IF(AND(C421&lt;&gt;"", 'Cost Inputs'!$G$109&lt;&gt;""), 'Cost Inputs'!$G$109, "")</f>
        <v/>
      </c>
      <c r="E421" s="94" t="str">
        <f>IF(AND(C421&lt;&gt;"", 'Cost Inputs'!$H$109&lt;&gt;""), 'Cost Inputs'!$H$109, "")</f>
        <v/>
      </c>
      <c r="F421" s="94" t="str">
        <f>IF(AND(C421&lt;&gt;"", 'Cost Inputs'!$I$109&lt;&gt;""), 'Cost Inputs'!$I$109, "")</f>
        <v/>
      </c>
      <c r="G421" s="102" t="str">
        <f t="shared" si="152"/>
        <v/>
      </c>
      <c r="H421" s="102" t="str">
        <f>IF(AND(C421&lt;&gt;"", 'Cost Inputs'!$J$109&lt;&gt;""), 'Cost Inputs'!$J$109, "")</f>
        <v/>
      </c>
      <c r="I421" s="102" t="str">
        <f t="shared" si="154"/>
        <v/>
      </c>
      <c r="J421" s="102" t="str">
        <f>IF(AND(C421&lt;&gt;"",('Cost Inputs'!$I$109+'Cost Inputs'!$J$109+'Cost Inputs'!$K$109)&gt;0), 'Cost Inputs'!$I$109+'Cost Inputs'!$J$109+'Cost Inputs'!$K$109, "")</f>
        <v/>
      </c>
      <c r="K421" s="102" t="str">
        <f t="shared" si="155"/>
        <v/>
      </c>
      <c r="L421" s="525"/>
      <c r="M421" s="525"/>
      <c r="T421" s="102" t="str">
        <f t="shared" si="156"/>
        <v/>
      </c>
      <c r="U421" s="102" t="str">
        <f t="shared" si="157"/>
        <v/>
      </c>
      <c r="V421" s="102" t="str">
        <f t="shared" si="158"/>
        <v/>
      </c>
      <c r="W421" s="102" t="str">
        <f t="shared" si="159"/>
        <v/>
      </c>
      <c r="X421" s="102" t="str">
        <f t="shared" si="160"/>
        <v/>
      </c>
      <c r="Y421" s="102" t="str">
        <f t="shared" si="161"/>
        <v/>
      </c>
      <c r="Z421" s="102" t="str">
        <f t="shared" si="162"/>
        <v/>
      </c>
      <c r="AA421" s="102" t="str">
        <f t="shared" si="163"/>
        <v/>
      </c>
      <c r="AB421" s="102" t="str">
        <f t="shared" si="164"/>
        <v/>
      </c>
      <c r="AC421" s="102" t="str">
        <f t="shared" si="165"/>
        <v/>
      </c>
      <c r="AD421" s="102" t="str">
        <f t="shared" si="166"/>
        <v/>
      </c>
      <c r="AE421" s="102" t="str">
        <f t="shared" si="167"/>
        <v/>
      </c>
      <c r="AF421" s="102" t="str">
        <f t="shared" si="168"/>
        <v/>
      </c>
      <c r="AG421" s="102" t="str">
        <f t="shared" si="169"/>
        <v/>
      </c>
      <c r="AH421" s="102" t="str">
        <f t="shared" si="170"/>
        <v/>
      </c>
      <c r="AI421" s="102" t="str">
        <f t="shared" si="171"/>
        <v/>
      </c>
      <c r="AJ421" s="102" t="str">
        <f t="shared" si="172"/>
        <v/>
      </c>
      <c r="AK421" s="102" t="str">
        <f t="shared" si="173"/>
        <v/>
      </c>
      <c r="AL421" s="102" t="str">
        <f t="shared" si="174"/>
        <v/>
      </c>
      <c r="AM421" s="102" t="str">
        <f t="shared" si="175"/>
        <v/>
      </c>
      <c r="AN421" s="102" t="str">
        <f t="shared" si="176"/>
        <v/>
      </c>
      <c r="AO421" s="102" t="str">
        <f t="shared" si="177"/>
        <v/>
      </c>
      <c r="AP421" s="102" t="str">
        <f t="shared" si="178"/>
        <v/>
      </c>
      <c r="AQ421" s="102" t="str">
        <f t="shared" si="179"/>
        <v/>
      </c>
      <c r="AR421" s="102" t="str">
        <f t="shared" si="180"/>
        <v/>
      </c>
      <c r="AS421" s="102" t="str">
        <f t="shared" si="181"/>
        <v/>
      </c>
      <c r="AT421" s="102" t="str">
        <f t="shared" si="182"/>
        <v/>
      </c>
      <c r="AU421" s="102" t="str">
        <f t="shared" si="183"/>
        <v/>
      </c>
    </row>
    <row r="422" spans="1:47" x14ac:dyDescent="0.25">
      <c r="A422" s="518"/>
      <c r="B422" s="504"/>
      <c r="C422" s="104" t="str">
        <f>IF(AND(ISNUMBER(B417), OR('Cost Inputs'!$H$110&lt;&gt;"", 'Cost Inputs'!$I$110&lt;&gt;"", 'Cost Inputs'!$J$110&lt;&gt;"")), _4_4_1, "")</f>
        <v/>
      </c>
      <c r="D422" s="17" t="str">
        <f>IF(AND(C422&lt;&gt;"", 'Cost Inputs'!$G$110&lt;&gt;""), 'Cost Inputs'!$G$110, "")</f>
        <v/>
      </c>
      <c r="E422" s="17" t="str">
        <f>IF(AND(C422&lt;&gt;"", 'Cost Inputs'!$H$110&lt;&gt;""), 'Cost Inputs'!$H$110, "")</f>
        <v/>
      </c>
      <c r="F422" s="17" t="str">
        <f>IF(AND(C422&lt;&gt;"", 'Cost Inputs'!$I$110&lt;&gt;""), 'Cost Inputs'!$I$110, "")</f>
        <v/>
      </c>
      <c r="G422" s="105" t="str">
        <f t="shared" si="152"/>
        <v/>
      </c>
      <c r="H422" s="17" t="str">
        <f>IF(AND(C422&lt;&gt;"", 'Cost Inputs'!$J$110&lt;&gt;""), 'Cost Inputs'!$J$110, "")</f>
        <v/>
      </c>
      <c r="I422" s="17" t="str">
        <f t="shared" si="154"/>
        <v/>
      </c>
      <c r="J422" s="17" t="str">
        <f>IF(AND(C422&lt;&gt;"",('Cost Inputs'!$I$110+'Cost Inputs'!$J$110+'Cost Inputs'!$K$110)&gt;0), 'Cost Inputs'!$I$110+'Cost Inputs'!$J$110+'Cost Inputs'!$K$110, "")</f>
        <v/>
      </c>
      <c r="K422" s="17" t="str">
        <f t="shared" si="155"/>
        <v/>
      </c>
      <c r="L422" s="525"/>
      <c r="M422" s="525"/>
      <c r="T422" s="17" t="str">
        <f t="shared" si="156"/>
        <v/>
      </c>
      <c r="U422" s="17" t="str">
        <f t="shared" si="157"/>
        <v/>
      </c>
      <c r="V422" s="17" t="str">
        <f t="shared" si="158"/>
        <v/>
      </c>
      <c r="W422" s="17" t="str">
        <f t="shared" si="159"/>
        <v/>
      </c>
      <c r="X422" s="17" t="str">
        <f t="shared" si="160"/>
        <v/>
      </c>
      <c r="Y422" s="17" t="str">
        <f t="shared" si="161"/>
        <v/>
      </c>
      <c r="Z422" s="17" t="str">
        <f t="shared" si="162"/>
        <v/>
      </c>
      <c r="AA422" s="17" t="str">
        <f t="shared" si="163"/>
        <v/>
      </c>
      <c r="AB422" s="17" t="str">
        <f t="shared" si="164"/>
        <v/>
      </c>
      <c r="AC422" s="17" t="str">
        <f t="shared" si="165"/>
        <v/>
      </c>
      <c r="AD422" s="17" t="str">
        <f t="shared" si="166"/>
        <v/>
      </c>
      <c r="AE422" s="17" t="str">
        <f t="shared" si="167"/>
        <v/>
      </c>
      <c r="AF422" s="17" t="str">
        <f t="shared" si="168"/>
        <v/>
      </c>
      <c r="AG422" s="17" t="str">
        <f t="shared" si="169"/>
        <v/>
      </c>
      <c r="AH422" s="17" t="str">
        <f t="shared" si="170"/>
        <v/>
      </c>
      <c r="AI422" s="17" t="str">
        <f t="shared" si="171"/>
        <v/>
      </c>
      <c r="AJ422" s="17" t="str">
        <f t="shared" si="172"/>
        <v/>
      </c>
      <c r="AK422" s="17" t="str">
        <f t="shared" si="173"/>
        <v/>
      </c>
      <c r="AL422" s="17" t="str">
        <f t="shared" si="174"/>
        <v/>
      </c>
      <c r="AM422" s="17" t="str">
        <f t="shared" si="175"/>
        <v/>
      </c>
      <c r="AN422" s="17" t="str">
        <f t="shared" si="176"/>
        <v/>
      </c>
      <c r="AO422" s="17" t="str">
        <f t="shared" si="177"/>
        <v/>
      </c>
      <c r="AP422" s="17" t="str">
        <f t="shared" si="178"/>
        <v/>
      </c>
      <c r="AQ422" s="17" t="str">
        <f t="shared" si="179"/>
        <v/>
      </c>
      <c r="AR422" s="17" t="str">
        <f t="shared" si="180"/>
        <v/>
      </c>
      <c r="AS422" s="17" t="str">
        <f t="shared" si="181"/>
        <v/>
      </c>
      <c r="AT422" s="17" t="str">
        <f t="shared" si="182"/>
        <v/>
      </c>
      <c r="AU422" s="17" t="str">
        <f t="shared" si="183"/>
        <v/>
      </c>
    </row>
    <row r="423" spans="1:47" x14ac:dyDescent="0.25">
      <c r="A423" s="518"/>
      <c r="B423" s="504"/>
      <c r="C423" s="107" t="str">
        <f>IF(AND(ISNUMBER(B417), OR('Cost Inputs'!$H$111&lt;&gt;"", 'Cost Inputs'!$I$111&lt;&gt;"", 'Cost Inputs'!$J$111&lt;&gt;"")), _4_4_2, "")</f>
        <v/>
      </c>
      <c r="D423" s="93" t="str">
        <f>IF(AND(C423&lt;&gt;"", 'Cost Inputs'!$G$111&lt;&gt;""), 'Cost Inputs'!$G$111, "")</f>
        <v/>
      </c>
      <c r="E423" s="93" t="str">
        <f>IF(AND(C423&lt;&gt;"", 'Cost Inputs'!$H$111&lt;&gt;""), 'Cost Inputs'!$H$111, "")</f>
        <v/>
      </c>
      <c r="F423" s="93" t="str">
        <f>IF(AND(C423&lt;&gt;"", 'Cost Inputs'!$I$111&lt;&gt;""), 'Cost Inputs'!$I$111, "")</f>
        <v/>
      </c>
      <c r="G423" s="108" t="str">
        <f t="shared" si="152"/>
        <v/>
      </c>
      <c r="H423" s="93" t="str">
        <f>IF(AND(C423&lt;&gt;"", 'Cost Inputs'!$J$111&lt;&gt;""), 'Cost Inputs'!$J$111, "")</f>
        <v/>
      </c>
      <c r="I423" s="93" t="str">
        <f t="shared" si="154"/>
        <v/>
      </c>
      <c r="J423" s="93" t="str">
        <f>IF(AND(C423&lt;&gt;"",('Cost Inputs'!$I$111+'Cost Inputs'!$J$111+'Cost Inputs'!$K$111)&gt;0), 'Cost Inputs'!$I$111+'Cost Inputs'!$J$111+'Cost Inputs'!$K$111, "")</f>
        <v/>
      </c>
      <c r="K423" s="93" t="str">
        <f t="shared" si="155"/>
        <v/>
      </c>
      <c r="L423" s="525"/>
      <c r="M423" s="525"/>
      <c r="T423" s="93" t="str">
        <f t="shared" si="156"/>
        <v/>
      </c>
      <c r="U423" s="93" t="str">
        <f t="shared" si="157"/>
        <v/>
      </c>
      <c r="V423" s="93" t="str">
        <f t="shared" si="158"/>
        <v/>
      </c>
      <c r="W423" s="93" t="str">
        <f t="shared" si="159"/>
        <v/>
      </c>
      <c r="X423" s="93" t="str">
        <f t="shared" si="160"/>
        <v/>
      </c>
      <c r="Y423" s="93" t="str">
        <f t="shared" si="161"/>
        <v/>
      </c>
      <c r="Z423" s="93" t="str">
        <f t="shared" si="162"/>
        <v/>
      </c>
      <c r="AA423" s="93" t="str">
        <f t="shared" si="163"/>
        <v/>
      </c>
      <c r="AB423" s="93" t="str">
        <f t="shared" si="164"/>
        <v/>
      </c>
      <c r="AC423" s="93" t="str">
        <f t="shared" si="165"/>
        <v/>
      </c>
      <c r="AD423" s="93" t="str">
        <f t="shared" si="166"/>
        <v/>
      </c>
      <c r="AE423" s="93" t="str">
        <f t="shared" si="167"/>
        <v/>
      </c>
      <c r="AF423" s="93" t="str">
        <f t="shared" si="168"/>
        <v/>
      </c>
      <c r="AG423" s="93" t="str">
        <f t="shared" si="169"/>
        <v/>
      </c>
      <c r="AH423" s="93" t="str">
        <f t="shared" si="170"/>
        <v/>
      </c>
      <c r="AI423" s="93" t="str">
        <f t="shared" si="171"/>
        <v/>
      </c>
      <c r="AJ423" s="93" t="str">
        <f t="shared" si="172"/>
        <v/>
      </c>
      <c r="AK423" s="93" t="str">
        <f t="shared" si="173"/>
        <v/>
      </c>
      <c r="AL423" s="93" t="str">
        <f t="shared" si="174"/>
        <v/>
      </c>
      <c r="AM423" s="93" t="str">
        <f t="shared" si="175"/>
        <v/>
      </c>
      <c r="AN423" s="93" t="str">
        <f t="shared" si="176"/>
        <v/>
      </c>
      <c r="AO423" s="93" t="str">
        <f t="shared" si="177"/>
        <v/>
      </c>
      <c r="AP423" s="93" t="str">
        <f t="shared" si="178"/>
        <v/>
      </c>
      <c r="AQ423" s="93" t="str">
        <f t="shared" si="179"/>
        <v/>
      </c>
      <c r="AR423" s="93" t="str">
        <f t="shared" si="180"/>
        <v/>
      </c>
      <c r="AS423" s="93" t="str">
        <f t="shared" si="181"/>
        <v/>
      </c>
      <c r="AT423" s="93" t="str">
        <f t="shared" si="182"/>
        <v/>
      </c>
      <c r="AU423" s="93" t="str">
        <f t="shared" si="183"/>
        <v/>
      </c>
    </row>
    <row r="424" spans="1:47" x14ac:dyDescent="0.25">
      <c r="A424" s="518"/>
      <c r="B424" s="504"/>
      <c r="C424" s="104" t="str">
        <f>IF(AND(ISNUMBER(B417), OR('Cost Inputs'!$H$112&lt;&gt;"", 'Cost Inputs'!$I$112&lt;&gt;"", 'Cost Inputs'!$J$112&lt;&gt;"")), _4_4_3, "")</f>
        <v/>
      </c>
      <c r="D424" s="17" t="str">
        <f>IF(AND(C424&lt;&gt;"", 'Cost Inputs'!$G$112&lt;&gt;""), 'Cost Inputs'!$G$112, "")</f>
        <v/>
      </c>
      <c r="E424" s="17" t="str">
        <f>IF(AND(C424&lt;&gt;"", 'Cost Inputs'!$H$112&lt;&gt;""), 'Cost Inputs'!$H$112, "")</f>
        <v/>
      </c>
      <c r="F424" s="17" t="str">
        <f>IF(AND(C424&lt;&gt;"", 'Cost Inputs'!$I$112&lt;&gt;""), 'Cost Inputs'!$I$112, "")</f>
        <v/>
      </c>
      <c r="G424" s="105" t="str">
        <f t="shared" si="152"/>
        <v/>
      </c>
      <c r="H424" s="17" t="str">
        <f>IF(AND(C424&lt;&gt;"", 'Cost Inputs'!$J$112&lt;&gt;""), 'Cost Inputs'!$J$112, "")</f>
        <v/>
      </c>
      <c r="I424" s="17" t="str">
        <f t="shared" si="154"/>
        <v/>
      </c>
      <c r="J424" s="17" t="str">
        <f>IF(AND(C424&lt;&gt;"",('Cost Inputs'!$I$112+'Cost Inputs'!$J$112+'Cost Inputs'!$K$112)&gt;0), 'Cost Inputs'!$I$112+'Cost Inputs'!$J$112+'Cost Inputs'!$K$112, "")</f>
        <v/>
      </c>
      <c r="K424" s="17" t="str">
        <f t="shared" si="155"/>
        <v/>
      </c>
      <c r="L424" s="525"/>
      <c r="M424" s="525"/>
      <c r="T424" s="17" t="str">
        <f t="shared" si="156"/>
        <v/>
      </c>
      <c r="U424" s="17" t="str">
        <f t="shared" si="157"/>
        <v/>
      </c>
      <c r="V424" s="17" t="str">
        <f t="shared" si="158"/>
        <v/>
      </c>
      <c r="W424" s="17" t="str">
        <f t="shared" si="159"/>
        <v/>
      </c>
      <c r="X424" s="17" t="str">
        <f t="shared" si="160"/>
        <v/>
      </c>
      <c r="Y424" s="17" t="str">
        <f t="shared" si="161"/>
        <v/>
      </c>
      <c r="Z424" s="17" t="str">
        <f t="shared" si="162"/>
        <v/>
      </c>
      <c r="AA424" s="17" t="str">
        <f t="shared" si="163"/>
        <v/>
      </c>
      <c r="AB424" s="17" t="str">
        <f t="shared" si="164"/>
        <v/>
      </c>
      <c r="AC424" s="17" t="str">
        <f t="shared" si="165"/>
        <v/>
      </c>
      <c r="AD424" s="17" t="str">
        <f t="shared" si="166"/>
        <v/>
      </c>
      <c r="AE424" s="17" t="str">
        <f t="shared" si="167"/>
        <v/>
      </c>
      <c r="AF424" s="17" t="str">
        <f t="shared" si="168"/>
        <v/>
      </c>
      <c r="AG424" s="17" t="str">
        <f t="shared" si="169"/>
        <v/>
      </c>
      <c r="AH424" s="17" t="str">
        <f t="shared" si="170"/>
        <v/>
      </c>
      <c r="AI424" s="17" t="str">
        <f t="shared" si="171"/>
        <v/>
      </c>
      <c r="AJ424" s="17" t="str">
        <f t="shared" si="172"/>
        <v/>
      </c>
      <c r="AK424" s="17" t="str">
        <f t="shared" si="173"/>
        <v/>
      </c>
      <c r="AL424" s="17" t="str">
        <f t="shared" si="174"/>
        <v/>
      </c>
      <c r="AM424" s="17" t="str">
        <f t="shared" si="175"/>
        <v/>
      </c>
      <c r="AN424" s="17" t="str">
        <f t="shared" si="176"/>
        <v/>
      </c>
      <c r="AO424" s="17" t="str">
        <f t="shared" si="177"/>
        <v/>
      </c>
      <c r="AP424" s="17" t="str">
        <f t="shared" si="178"/>
        <v/>
      </c>
      <c r="AQ424" s="17" t="str">
        <f t="shared" si="179"/>
        <v/>
      </c>
      <c r="AR424" s="17" t="str">
        <f t="shared" si="180"/>
        <v/>
      </c>
      <c r="AS424" s="17" t="str">
        <f t="shared" si="181"/>
        <v/>
      </c>
      <c r="AT424" s="17" t="str">
        <f t="shared" si="182"/>
        <v/>
      </c>
      <c r="AU424" s="17" t="str">
        <f t="shared" si="183"/>
        <v/>
      </c>
    </row>
    <row r="425" spans="1:47" x14ac:dyDescent="0.25">
      <c r="A425" s="518"/>
      <c r="B425" s="504"/>
      <c r="C425" s="107" t="str">
        <f>IF(AND(ISNUMBER(B417), OR('Cost Inputs'!$H$113&lt;&gt;"", 'Cost Inputs'!$I$113&lt;&gt;"", 'Cost Inputs'!$J$113&lt;&gt;"")), _4_4_4, "")</f>
        <v/>
      </c>
      <c r="D425" s="93" t="str">
        <f>IF(AND(C425&lt;&gt;"", 'Cost Inputs'!$G$113&lt;&gt;""), 'Cost Inputs'!$G$113, "")</f>
        <v/>
      </c>
      <c r="E425" s="93" t="str">
        <f>IF(AND(C425&lt;&gt;"", 'Cost Inputs'!$H$113&lt;&gt;""), 'Cost Inputs'!$H$113, "")</f>
        <v/>
      </c>
      <c r="F425" s="93" t="str">
        <f>IF(AND(C425&lt;&gt;"", 'Cost Inputs'!$I$113&lt;&gt;""), 'Cost Inputs'!$I$113, "")</f>
        <v/>
      </c>
      <c r="G425" s="108" t="str">
        <f t="shared" si="152"/>
        <v/>
      </c>
      <c r="H425" s="93" t="str">
        <f>IF(AND(C425&lt;&gt;"", 'Cost Inputs'!$J$113&lt;&gt;""), 'Cost Inputs'!$J$113, "")</f>
        <v/>
      </c>
      <c r="I425" s="93" t="str">
        <f t="shared" si="154"/>
        <v/>
      </c>
      <c r="J425" s="93" t="str">
        <f>IF(AND(C425&lt;&gt;"",('Cost Inputs'!$I$113+'Cost Inputs'!$J$113+'Cost Inputs'!$K$113)&gt;0), 'Cost Inputs'!$I$113+'Cost Inputs'!$J$113+'Cost Inputs'!$K$113, "")</f>
        <v/>
      </c>
      <c r="K425" s="93" t="str">
        <f t="shared" si="155"/>
        <v/>
      </c>
      <c r="L425" s="525"/>
      <c r="M425" s="525"/>
      <c r="T425" s="93" t="str">
        <f t="shared" si="156"/>
        <v/>
      </c>
      <c r="U425" s="93" t="str">
        <f t="shared" si="157"/>
        <v/>
      </c>
      <c r="V425" s="93" t="str">
        <f t="shared" si="158"/>
        <v/>
      </c>
      <c r="W425" s="93" t="str">
        <f t="shared" si="159"/>
        <v/>
      </c>
      <c r="X425" s="93" t="str">
        <f t="shared" si="160"/>
        <v/>
      </c>
      <c r="Y425" s="93" t="str">
        <f t="shared" si="161"/>
        <v/>
      </c>
      <c r="Z425" s="93" t="str">
        <f t="shared" si="162"/>
        <v/>
      </c>
      <c r="AA425" s="93" t="str">
        <f t="shared" si="163"/>
        <v/>
      </c>
      <c r="AB425" s="93" t="str">
        <f t="shared" si="164"/>
        <v/>
      </c>
      <c r="AC425" s="93" t="str">
        <f t="shared" si="165"/>
        <v/>
      </c>
      <c r="AD425" s="93" t="str">
        <f t="shared" si="166"/>
        <v/>
      </c>
      <c r="AE425" s="93" t="str">
        <f t="shared" si="167"/>
        <v/>
      </c>
      <c r="AF425" s="93" t="str">
        <f t="shared" si="168"/>
        <v/>
      </c>
      <c r="AG425" s="93" t="str">
        <f t="shared" si="169"/>
        <v/>
      </c>
      <c r="AH425" s="93" t="str">
        <f t="shared" si="170"/>
        <v/>
      </c>
      <c r="AI425" s="93" t="str">
        <f t="shared" si="171"/>
        <v/>
      </c>
      <c r="AJ425" s="93" t="str">
        <f t="shared" si="172"/>
        <v/>
      </c>
      <c r="AK425" s="93" t="str">
        <f t="shared" si="173"/>
        <v/>
      </c>
      <c r="AL425" s="93" t="str">
        <f t="shared" si="174"/>
        <v/>
      </c>
      <c r="AM425" s="93" t="str">
        <f t="shared" si="175"/>
        <v/>
      </c>
      <c r="AN425" s="93" t="str">
        <f t="shared" si="176"/>
        <v/>
      </c>
      <c r="AO425" s="93" t="str">
        <f t="shared" si="177"/>
        <v/>
      </c>
      <c r="AP425" s="93" t="str">
        <f t="shared" si="178"/>
        <v/>
      </c>
      <c r="AQ425" s="93" t="str">
        <f t="shared" si="179"/>
        <v/>
      </c>
      <c r="AR425" s="93" t="str">
        <f t="shared" si="180"/>
        <v/>
      </c>
      <c r="AS425" s="93" t="str">
        <f t="shared" si="181"/>
        <v/>
      </c>
      <c r="AT425" s="93" t="str">
        <f t="shared" si="182"/>
        <v/>
      </c>
      <c r="AU425" s="93" t="str">
        <f t="shared" si="183"/>
        <v/>
      </c>
    </row>
    <row r="426" spans="1:47" x14ac:dyDescent="0.25">
      <c r="A426" s="518"/>
      <c r="B426" s="504"/>
      <c r="C426" s="104" t="str">
        <f>IF(AND(ISNUMBER(B417), OR('Cost Inputs'!$H$114&lt;&gt;"", 'Cost Inputs'!$I$114&lt;&gt;"", 'Cost Inputs'!$J$114&lt;&gt;"")), _4_4_5, "")</f>
        <v/>
      </c>
      <c r="D426" s="17" t="str">
        <f>IF(AND(C426&lt;&gt;"", 'Cost Inputs'!$G$114&lt;&gt;""), 'Cost Inputs'!$G$114, "")</f>
        <v/>
      </c>
      <c r="E426" s="17" t="str">
        <f>IF(AND(C426&lt;&gt;"", 'Cost Inputs'!$H$114&lt;&gt;""), 'Cost Inputs'!$H$114, "")</f>
        <v/>
      </c>
      <c r="F426" s="17" t="str">
        <f>IF(AND(C426&lt;&gt;"", 'Cost Inputs'!$I$114&lt;&gt;""), 'Cost Inputs'!$I$114, "")</f>
        <v/>
      </c>
      <c r="G426" s="105" t="str">
        <f t="shared" si="152"/>
        <v/>
      </c>
      <c r="H426" s="17" t="str">
        <f>IF(AND(C426&lt;&gt;"", 'Cost Inputs'!$J$114&lt;&gt;""), 'Cost Inputs'!$J$114, "")</f>
        <v/>
      </c>
      <c r="I426" s="17" t="str">
        <f t="shared" si="154"/>
        <v/>
      </c>
      <c r="J426" s="17" t="str">
        <f>IF(AND(C426&lt;&gt;"",('Cost Inputs'!$I$114+'Cost Inputs'!$J$114+'Cost Inputs'!$K$114)&gt;0), 'Cost Inputs'!$I$114+'Cost Inputs'!$J$114+'Cost Inputs'!$K$114, "")</f>
        <v/>
      </c>
      <c r="K426" s="17" t="str">
        <f t="shared" si="155"/>
        <v/>
      </c>
      <c r="L426" s="525"/>
      <c r="M426" s="525"/>
      <c r="T426" s="17" t="str">
        <f t="shared" si="156"/>
        <v/>
      </c>
      <c r="U426" s="17" t="str">
        <f t="shared" si="157"/>
        <v/>
      </c>
      <c r="V426" s="17" t="str">
        <f t="shared" si="158"/>
        <v/>
      </c>
      <c r="W426" s="17" t="str">
        <f t="shared" si="159"/>
        <v/>
      </c>
      <c r="X426" s="17" t="str">
        <f t="shared" si="160"/>
        <v/>
      </c>
      <c r="Y426" s="17" t="str">
        <f t="shared" si="161"/>
        <v/>
      </c>
      <c r="Z426" s="17" t="str">
        <f t="shared" si="162"/>
        <v/>
      </c>
      <c r="AA426" s="17" t="str">
        <f t="shared" si="163"/>
        <v/>
      </c>
      <c r="AB426" s="17" t="str">
        <f t="shared" si="164"/>
        <v/>
      </c>
      <c r="AC426" s="17" t="str">
        <f t="shared" si="165"/>
        <v/>
      </c>
      <c r="AD426" s="17" t="str">
        <f t="shared" si="166"/>
        <v/>
      </c>
      <c r="AE426" s="17" t="str">
        <f t="shared" si="167"/>
        <v/>
      </c>
      <c r="AF426" s="17" t="str">
        <f t="shared" si="168"/>
        <v/>
      </c>
      <c r="AG426" s="17" t="str">
        <f t="shared" si="169"/>
        <v/>
      </c>
      <c r="AH426" s="17" t="str">
        <f t="shared" si="170"/>
        <v/>
      </c>
      <c r="AI426" s="17" t="str">
        <f t="shared" si="171"/>
        <v/>
      </c>
      <c r="AJ426" s="17" t="str">
        <f t="shared" si="172"/>
        <v/>
      </c>
      <c r="AK426" s="17" t="str">
        <f t="shared" si="173"/>
        <v/>
      </c>
      <c r="AL426" s="17" t="str">
        <f t="shared" si="174"/>
        <v/>
      </c>
      <c r="AM426" s="17" t="str">
        <f t="shared" si="175"/>
        <v/>
      </c>
      <c r="AN426" s="17" t="str">
        <f t="shared" si="176"/>
        <v/>
      </c>
      <c r="AO426" s="17" t="str">
        <f t="shared" si="177"/>
        <v/>
      </c>
      <c r="AP426" s="17" t="str">
        <f t="shared" si="178"/>
        <v/>
      </c>
      <c r="AQ426" s="17" t="str">
        <f t="shared" si="179"/>
        <v/>
      </c>
      <c r="AR426" s="17" t="str">
        <f t="shared" si="180"/>
        <v/>
      </c>
      <c r="AS426" s="17" t="str">
        <f t="shared" si="181"/>
        <v/>
      </c>
      <c r="AT426" s="17" t="str">
        <f t="shared" si="182"/>
        <v/>
      </c>
      <c r="AU426" s="17" t="str">
        <f t="shared" si="183"/>
        <v/>
      </c>
    </row>
    <row r="427" spans="1:47" x14ac:dyDescent="0.25">
      <c r="A427" s="518"/>
      <c r="B427" s="504"/>
      <c r="C427" s="107" t="str">
        <f>IF(AND(ISNUMBER(B417), OR('Cost Inputs'!$H$115&lt;&gt;"", 'Cost Inputs'!$I$115&lt;&gt;"", 'Cost Inputs'!$J$115&lt;&gt;"")), _4_4_6, "")</f>
        <v/>
      </c>
      <c r="D427" s="93" t="str">
        <f>IF(AND(C427&lt;&gt;"", 'Cost Inputs'!$G$115&lt;&gt;""), 'Cost Inputs'!$G$115, "")</f>
        <v/>
      </c>
      <c r="E427" s="93" t="str">
        <f>IF(AND(C427&lt;&gt;"", 'Cost Inputs'!$H$115&lt;&gt;""), 'Cost Inputs'!$H$115, "")</f>
        <v/>
      </c>
      <c r="F427" s="93" t="str">
        <f>IF(AND(C427&lt;&gt;"", 'Cost Inputs'!$I$115&lt;&gt;""), 'Cost Inputs'!$I$115, "")</f>
        <v/>
      </c>
      <c r="G427" s="108" t="str">
        <f t="shared" si="152"/>
        <v/>
      </c>
      <c r="H427" s="93" t="str">
        <f>IF(AND(C427&lt;&gt;"", 'Cost Inputs'!$J$115&lt;&gt;""), 'Cost Inputs'!$J$115, "")</f>
        <v/>
      </c>
      <c r="I427" s="93" t="str">
        <f t="shared" si="154"/>
        <v/>
      </c>
      <c r="J427" s="93" t="str">
        <f>IF(AND(C427&lt;&gt;"",('Cost Inputs'!$I$115+'Cost Inputs'!$J$115+'Cost Inputs'!$K$115)&gt;0), 'Cost Inputs'!$I$115+'Cost Inputs'!$J$115+'Cost Inputs'!$K$115, "")</f>
        <v/>
      </c>
      <c r="K427" s="93" t="str">
        <f t="shared" si="155"/>
        <v/>
      </c>
      <c r="L427" s="525"/>
      <c r="M427" s="525"/>
      <c r="T427" s="93" t="str">
        <f t="shared" si="156"/>
        <v/>
      </c>
      <c r="U427" s="93" t="str">
        <f t="shared" si="157"/>
        <v/>
      </c>
      <c r="V427" s="93" t="str">
        <f t="shared" si="158"/>
        <v/>
      </c>
      <c r="W427" s="93" t="str">
        <f t="shared" si="159"/>
        <v/>
      </c>
      <c r="X427" s="93" t="str">
        <f t="shared" si="160"/>
        <v/>
      </c>
      <c r="Y427" s="93" t="str">
        <f t="shared" si="161"/>
        <v/>
      </c>
      <c r="Z427" s="93" t="str">
        <f t="shared" si="162"/>
        <v/>
      </c>
      <c r="AA427" s="93" t="str">
        <f t="shared" si="163"/>
        <v/>
      </c>
      <c r="AB427" s="93" t="str">
        <f t="shared" si="164"/>
        <v/>
      </c>
      <c r="AC427" s="93" t="str">
        <f t="shared" si="165"/>
        <v/>
      </c>
      <c r="AD427" s="93" t="str">
        <f t="shared" si="166"/>
        <v/>
      </c>
      <c r="AE427" s="93" t="str">
        <f t="shared" si="167"/>
        <v/>
      </c>
      <c r="AF427" s="93" t="str">
        <f t="shared" si="168"/>
        <v/>
      </c>
      <c r="AG427" s="93" t="str">
        <f t="shared" si="169"/>
        <v/>
      </c>
      <c r="AH427" s="93" t="str">
        <f t="shared" si="170"/>
        <v/>
      </c>
      <c r="AI427" s="93" t="str">
        <f t="shared" si="171"/>
        <v/>
      </c>
      <c r="AJ427" s="93" t="str">
        <f t="shared" si="172"/>
        <v/>
      </c>
      <c r="AK427" s="93" t="str">
        <f t="shared" si="173"/>
        <v/>
      </c>
      <c r="AL427" s="93" t="str">
        <f t="shared" si="174"/>
        <v/>
      </c>
      <c r="AM427" s="93" t="str">
        <f t="shared" si="175"/>
        <v/>
      </c>
      <c r="AN427" s="93" t="str">
        <f t="shared" si="176"/>
        <v/>
      </c>
      <c r="AO427" s="93" t="str">
        <f t="shared" si="177"/>
        <v/>
      </c>
      <c r="AP427" s="93" t="str">
        <f t="shared" si="178"/>
        <v/>
      </c>
      <c r="AQ427" s="93" t="str">
        <f t="shared" si="179"/>
        <v/>
      </c>
      <c r="AR427" s="93" t="str">
        <f t="shared" si="180"/>
        <v/>
      </c>
      <c r="AS427" s="93" t="str">
        <f t="shared" si="181"/>
        <v/>
      </c>
      <c r="AT427" s="93" t="str">
        <f t="shared" si="182"/>
        <v/>
      </c>
      <c r="AU427" s="93" t="str">
        <f t="shared" si="183"/>
        <v/>
      </c>
    </row>
    <row r="428" spans="1:47" x14ac:dyDescent="0.25">
      <c r="A428" s="518"/>
      <c r="B428" s="504"/>
      <c r="C428" s="489" t="str">
        <f>IF('Model_ of_individuals'!C421&lt;&gt;"", "Percentage decrease in marker culling","")</f>
        <v/>
      </c>
      <c r="D428" s="490"/>
      <c r="E428" s="490"/>
      <c r="F428" s="490"/>
      <c r="G428" s="490"/>
      <c r="H428" s="490"/>
      <c r="I428" s="490"/>
      <c r="J428" s="490"/>
      <c r="K428" s="491"/>
      <c r="L428" s="525"/>
      <c r="M428" s="525"/>
      <c r="T428" s="17" t="str">
        <f>IF(OR('Breeding Inputs'!$I$17="Y",'Model_ of_individuals'!$C421&lt;&gt;""),
IF('Breeding Inputs'!$I$44="Y",
IF(OR('Breeding Inputs'!$I$45=1), 25%,
IF('Breeding Inputs'!$I$44="N",
IF('Breeding Inputs'!$I$45=1,
IF(ISNUMBER('Breeding Inputs'!$I$46),'Breeding Inputs'!$I$46,""),""),"")),""),"")</f>
        <v/>
      </c>
      <c r="U428" s="17" t="str">
        <f>IF(OR('Breeding Inputs'!$I$17="Y",'Model_ of_individuals'!$C421&lt;&gt;""),
IF('Breeding Inputs'!$I$44="Y",
IF(OR('Breeding Inputs'!$I$45=1), 25%,
IF(ISNUMBER(T428), T428,
IF('Breeding Inputs'!$I$44="N",
IF(OR('Breeding Inputs'!$I$45=1),
IF(ISNUMBER('Breeding Inputs'!$I$46),'Breeding Inputs'!$I$46,""),""),""))),""),"")</f>
        <v/>
      </c>
      <c r="V428" s="17" t="str">
        <f>IF(OR('Breeding Inputs'!$I$17="Y",'Model_ of_individuals'!$C421&lt;&gt;""),
IF('Breeding Inputs'!$I$44="Y",
IF(OR('Breeding Inputs'!$I$45=1, 'Breeding Inputs'!$I$45=2), 25%,
IF(ISNUMBER(U428), U428,
IF('Breeding Inputs'!$I$44="N",
IF(OR('Breeding Inputs'!$I$45=1, 'Breeding Inputs'!$I$45=2),
IF(ISNUMBER('Breeding Inputs'!$I$46),'Breeding Inputs'!$I$46,""),""),""))),""),"")</f>
        <v/>
      </c>
      <c r="W428" s="17" t="str">
        <f>IF(OR('Breeding Inputs'!$I$17="Y",'Model_ of_individuals'!$C421&lt;&gt;""),
IF('Breeding Inputs'!$I$44="Y",
IF(OR('Breeding Inputs'!$I$45=1, 'Breeding Inputs'!$I$45=3), 25%,
IF(ISNUMBER(V428), V428,
IF('Breeding Inputs'!$I$44="N",
IF(OR('Breeding Inputs'!$I$45=1, 'Breeding Inputs'!$I$45=3),
IF(ISNUMBER('Breeding Inputs'!$I$46),'Breeding Inputs'!$I$46,""),""),""))),""),"")</f>
        <v/>
      </c>
      <c r="X428" s="17" t="str">
        <f>IF(OR('Breeding Inputs'!$I$17="Y",'Model_ of_individuals'!$C421&lt;&gt;""),
IF('Breeding Inputs'!$I$44="Y",
IF(OR('Breeding Inputs'!$I$45=1, 'Breeding Inputs'!$I$45=2, 'Breeding Inputs'!$I$45=4), 25%,
IF(ISNUMBER(W428), W428,
IF('Breeding Inputs'!$I$44="N",
IF(OR('Breeding Inputs'!$I$45=1, 'Breeding Inputs'!$I$45=2, 'Breeding Inputs'!$I$45=4),
IF(ISNUMBER('Breeding Inputs'!$I$46),'Breeding Inputs'!$I$46,""),""),""))),""),"")</f>
        <v/>
      </c>
      <c r="Y428" s="17" t="str">
        <f>IF(OR('Breeding Inputs'!$I$17="Y",'Model_ of_individuals'!$C421&lt;&gt;""),
IF('Breeding Inputs'!$I$44="Y",
IF(OR('Breeding Inputs'!$I$45=1, 'Breeding Inputs'!$I$45=5), 25%,
IF(ISNUMBER(X428), X428,
IF('Breeding Inputs'!$I$44="N",
IF(OR('Breeding Inputs'!$I$45=1, 'Breeding Inputs'!$I$45=5),
IF(ISNUMBER('Breeding Inputs'!$I$46),'Breeding Inputs'!$I$46,""),""),""))),""),"")</f>
        <v/>
      </c>
      <c r="Z428" s="17" t="str">
        <f>IF(OR('Breeding Inputs'!$I$17="Y",'Model_ of_individuals'!$C421&lt;&gt;""),
IF('Breeding Inputs'!$I$44="Y",
IF(OR('Breeding Inputs'!$I$45=1, 'Breeding Inputs'!$I$45=2, 'Breeding Inputs'!$I$45=3, 'Breeding Inputs'!$I$45=6), 25%,
IF(ISNUMBER(Y428), Y428,
IF('Breeding Inputs'!$I$44="N",
IF(OR('Breeding Inputs'!$I$45=1, 'Breeding Inputs'!$I$45=2, 'Breeding Inputs'!$I$45=3, 'Breeding Inputs'!$I$45=6),
IF(ISNUMBER('Breeding Inputs'!$I$46),'Breeding Inputs'!$I$46,""),""),""))),""),"")</f>
        <v/>
      </c>
      <c r="AA428" s="17" t="str">
        <f>IF(OR('Breeding Inputs'!$I$17="Y",'Model_ of_individuals'!$C421&lt;&gt;""),
IF('Breeding Inputs'!$I$44="Y",
IF(OR('Breeding Inputs'!$I$45=1, 'Breeding Inputs'!$I$45=7), 25%,
IF(ISNUMBER(Z428), Z428,
IF('Breeding Inputs'!$I$44="N",
IF(OR('Breeding Inputs'!$I$45=1, 'Breeding Inputs'!$I$45=7),
IF(ISNUMBER('Breeding Inputs'!$I$46),'Breeding Inputs'!$I$46,""),""),""))),""),"")</f>
        <v/>
      </c>
      <c r="AB428" s="17" t="str">
        <f>IF(OR('Breeding Inputs'!$I$17="Y",'Model_ of_individuals'!$C421&lt;&gt;""),
IF('Breeding Inputs'!$I$44="Y",
IF(OR('Breeding Inputs'!$I$45=1, 'Breeding Inputs'!$I$45=2, 'Breeding Inputs'!$I$45=4, 'Breeding Inputs'!$I$45=8), 25%,
IF(ISNUMBER(AA428), AA428,
IF('Breeding Inputs'!$I$44="N",
IF(OR('Breeding Inputs'!$I$45=1, 'Breeding Inputs'!$I$45=2, 'Breeding Inputs'!$I$45=4, 'Breeding Inputs'!$I$45=8),
IF(ISNUMBER('Breeding Inputs'!$I$46),'Breeding Inputs'!$I$46,""),""),""))),""),"")</f>
        <v/>
      </c>
      <c r="AC428" s="17" t="str">
        <f>IF(OR('Breeding Inputs'!$I$17="Y",'Model_ of_individuals'!$C421&lt;&gt;""),
IF('Breeding Inputs'!$I$44="Y",
IF(OR('Breeding Inputs'!$I$45=1, 'Breeding Inputs'!$I$45=3, 'Breeding Inputs'!$I$45=9), 25%,
IF(ISNUMBER(AB428), AB428,
IF('Breeding Inputs'!$I$44="N",
IF(OR('Breeding Inputs'!$I$45=1, 'Breeding Inputs'!$I$45=3, 'Breeding Inputs'!$I$45=9),
IF(ISNUMBER('Breeding Inputs'!$I$46),'Breeding Inputs'!$I$46,""),""),""))),""),"")</f>
        <v/>
      </c>
      <c r="AD428" s="17" t="str">
        <f>IF(OR('Breeding Inputs'!$I$17="Y",'Model_ of_individuals'!$C421&lt;&gt;""),
IF('Breeding Inputs'!$I$44="Y",
IF(OR('Breeding Inputs'!$I$45=1, 'Breeding Inputs'!$I$45=3, 'Breeding Inputs'!$I$45=9), 25%,
IF(ISNUMBER(AC428), AC428,
IF('Breeding Inputs'!$I$44="N",
IF(OR('Breeding Inputs'!$I$45=1, 'Breeding Inputs'!$I$45=3, 'Breeding Inputs'!$I$45=9),
IF(ISNUMBER('Breeding Inputs'!$I$46),'Breeding Inputs'!$I$46,""),""),""))),""),"")</f>
        <v/>
      </c>
      <c r="AE428" s="17" t="str">
        <f>IF(OR('Breeding Inputs'!$I$17="Y",'Model_ of_individuals'!$C421&lt;&gt;""),
IF('Breeding Inputs'!$I$44="Y",
IF(OR('Breeding Inputs'!$I$45=1, 'Breeding Inputs'!$I$45=3, 'Breeding Inputs'!$I$45=9), 25%,
IF(ISNUMBER(AD428), AD428,
IF('Breeding Inputs'!$I$44="N",
IF(OR('Breeding Inputs'!$I$45=1, 'Breeding Inputs'!$I$45=3, 'Breeding Inputs'!$I$45=9),
IF(ISNUMBER('Breeding Inputs'!$I$46),'Breeding Inputs'!$I$46,""),""),""))),""),"")</f>
        <v/>
      </c>
      <c r="AF428" s="17" t="str">
        <f>IF(OR('Breeding Inputs'!$I$17="Y",'Model_ of_individuals'!$C421&lt;&gt;""),
IF('Breeding Inputs'!$I$44="Y",
IF(OR('Breeding Inputs'!$I$45=1, 'Breeding Inputs'!$I$45=3, 'Breeding Inputs'!$I$45=9), 25%,
IF(ISNUMBER(AE428), AE428,
IF('Breeding Inputs'!$I$44="N",
IF(OR('Breeding Inputs'!$I$45=1, 'Breeding Inputs'!$I$45=3, 'Breeding Inputs'!$I$45=9),
IF(ISNUMBER('Breeding Inputs'!$I$46),'Breeding Inputs'!$I$46,""),""),""))),""),"")</f>
        <v/>
      </c>
      <c r="AG428" s="17" t="str">
        <f>IF(OR('Breeding Inputs'!$I$17="Y",'Model_ of_individuals'!$C421&lt;&gt;""),
IF('Breeding Inputs'!$I$44="Y",
IF(OR('Breeding Inputs'!$I$45=1, 'Breeding Inputs'!$I$45=3, 'Breeding Inputs'!$I$45=9), 25%,
IF(ISNUMBER(AF428), AF428,
IF('Breeding Inputs'!$I$44="N",
IF(OR('Breeding Inputs'!$I$45=1, 'Breeding Inputs'!$I$45=3, 'Breeding Inputs'!$I$45=9),
IF(ISNUMBER('Breeding Inputs'!$I$46),'Breeding Inputs'!$I$46,""),""),""))),""),"")</f>
        <v/>
      </c>
      <c r="AH428" s="17" t="str">
        <f>IF(OR('Breeding Inputs'!$I$17="Y",'Model_ of_individuals'!$C421&lt;&gt;""),
IF('Breeding Inputs'!$I$44="Y",
IF(OR('Breeding Inputs'!$I$45=1, 'Breeding Inputs'!$I$45=3, 'Breeding Inputs'!$I$45=9), 25%,
IF(ISNUMBER(AG428), AG428,
IF('Breeding Inputs'!$I$44="N",
IF(OR('Breeding Inputs'!$I$45=1, 'Breeding Inputs'!$I$45=3, 'Breeding Inputs'!$I$45=9),
IF(ISNUMBER('Breeding Inputs'!$I$46),'Breeding Inputs'!$I$46,""),""),""))),""),"")</f>
        <v/>
      </c>
      <c r="AI428" s="17" t="str">
        <f>IF(OR('Breeding Inputs'!$I$17="Y",'Model_ of_individuals'!$C421&lt;&gt;""),
IF('Breeding Inputs'!$I$44="Y",
IF(OR('Breeding Inputs'!$I$45=1, 'Breeding Inputs'!$I$45=3, 'Breeding Inputs'!$I$45=9), 25%,
IF(ISNUMBER(AH428), AH428,
IF('Breeding Inputs'!$I$44="N",
IF(OR('Breeding Inputs'!$I$45=1, 'Breeding Inputs'!$I$45=3, 'Breeding Inputs'!$I$45=9),
IF(ISNUMBER('Breeding Inputs'!$I$46),'Breeding Inputs'!$I$46,""),""),""))),""),"")</f>
        <v/>
      </c>
      <c r="AJ428" s="17" t="str">
        <f>IF(OR('Breeding Inputs'!$I$17="Y",'Model_ of_individuals'!$C421&lt;&gt;""),
IF('Breeding Inputs'!$I$44="Y",
IF(OR('Breeding Inputs'!$I$45=1, 'Breeding Inputs'!$I$45=3, 'Breeding Inputs'!$I$45=9), 25%,
IF(ISNUMBER(AI428), AI428,
IF('Breeding Inputs'!$I$44="N",
IF(OR('Breeding Inputs'!$I$45=1, 'Breeding Inputs'!$I$45=3, 'Breeding Inputs'!$I$45=9),
IF(ISNUMBER('Breeding Inputs'!$I$46),'Breeding Inputs'!$I$46,""),""),""))),""),"")</f>
        <v/>
      </c>
      <c r="AK428" s="17" t="str">
        <f>IF(OR('Breeding Inputs'!$I$17="Y",'Model_ of_individuals'!$C421&lt;&gt;""),
IF('Breeding Inputs'!$I$44="Y",
IF(OR('Breeding Inputs'!$I$45=1, 'Breeding Inputs'!$I$45=3, 'Breeding Inputs'!$I$45=9), 25%,
IF(ISNUMBER(AJ428), AJ428,
IF('Breeding Inputs'!$I$44="N",
IF(OR('Breeding Inputs'!$I$45=1, 'Breeding Inputs'!$I$45=3, 'Breeding Inputs'!$I$45=9),
IF(ISNUMBER('Breeding Inputs'!$I$46),'Breeding Inputs'!$I$46,""),""),""))),""),"")</f>
        <v/>
      </c>
      <c r="AL428" s="17" t="str">
        <f>IF(OR('Breeding Inputs'!$I$17="Y",'Model_ of_individuals'!$C421&lt;&gt;""),
IF('Breeding Inputs'!$I$44="Y",
IF(OR('Breeding Inputs'!$I$45=1, 'Breeding Inputs'!$I$45=3, 'Breeding Inputs'!$I$45=9), 25%,
IF(ISNUMBER(AK428), AK428,
IF('Breeding Inputs'!$I$44="N",
IF(OR('Breeding Inputs'!$I$45=1, 'Breeding Inputs'!$I$45=3, 'Breeding Inputs'!$I$45=9),
IF(ISNUMBER('Breeding Inputs'!$I$46),'Breeding Inputs'!$I$46,""),""),""))),""),"")</f>
        <v/>
      </c>
      <c r="AM428" s="17" t="str">
        <f>IF(OR('Breeding Inputs'!$I$17="Y",'Model_ of_individuals'!$C421&lt;&gt;""),
IF('Breeding Inputs'!$I$44="Y",
IF(OR('Breeding Inputs'!$I$45=1, 'Breeding Inputs'!$I$45=3, 'Breeding Inputs'!$I$45=9), 25%,
IF(ISNUMBER(AL428), AL428,
IF('Breeding Inputs'!$I$44="N",
IF(OR('Breeding Inputs'!$I$45=1, 'Breeding Inputs'!$I$45=3, 'Breeding Inputs'!$I$45=9),
IF(ISNUMBER('Breeding Inputs'!$I$46),'Breeding Inputs'!$I$46,""),""),""))),""),"")</f>
        <v/>
      </c>
      <c r="AN428" s="17" t="str">
        <f>IF(OR('Breeding Inputs'!$I$17="Y",'Model_ of_individuals'!$C421&lt;&gt;""),
IF('Breeding Inputs'!$I$44="Y",
IF(OR('Breeding Inputs'!$I$45=1, 'Breeding Inputs'!$I$45=3, 'Breeding Inputs'!$I$45=9), 25%,
IF(ISNUMBER(AM428), AM428,
IF('Breeding Inputs'!$I$44="N",
IF(OR('Breeding Inputs'!$I$45=1, 'Breeding Inputs'!$I$45=3, 'Breeding Inputs'!$I$45=9),
IF(ISNUMBER('Breeding Inputs'!$I$46),'Breeding Inputs'!$I$46,""),""),""))),""),"")</f>
        <v/>
      </c>
      <c r="AO428" s="17" t="str">
        <f>IF(OR('Breeding Inputs'!$I$17="Y",'Model_ of_individuals'!$C421&lt;&gt;""),
IF('Breeding Inputs'!$I$44="Y",
IF(OR('Breeding Inputs'!$I$45=1, 'Breeding Inputs'!$I$45=3, 'Breeding Inputs'!$I$45=9), 25%,
IF(ISNUMBER(AN428), AN428,
IF('Breeding Inputs'!$I$44="N",
IF(OR('Breeding Inputs'!$I$45=1, 'Breeding Inputs'!$I$45=3, 'Breeding Inputs'!$I$45=9),
IF(ISNUMBER('Breeding Inputs'!$I$46),'Breeding Inputs'!$I$46,""),""),""))),""),"")</f>
        <v/>
      </c>
      <c r="AP428" s="17" t="str">
        <f>IF(OR('Breeding Inputs'!$I$17="Y",'Model_ of_individuals'!$C421&lt;&gt;""),
IF('Breeding Inputs'!$I$44="Y",
IF(OR('Breeding Inputs'!$I$45=1, 'Breeding Inputs'!$I$45=3, 'Breeding Inputs'!$I$45=9), 25%,
IF(ISNUMBER(AO428), AO428,
IF('Breeding Inputs'!$I$44="N",
IF(OR('Breeding Inputs'!$I$45=1, 'Breeding Inputs'!$I$45=3, 'Breeding Inputs'!$I$45=9),
IF(ISNUMBER('Breeding Inputs'!$I$46),'Breeding Inputs'!$I$46,""),""),""))),""),"")</f>
        <v/>
      </c>
      <c r="AQ428" s="17" t="str">
        <f>IF(OR('Breeding Inputs'!$I$17="Y",'Model_ of_individuals'!$C421&lt;&gt;""),
IF('Breeding Inputs'!$I$44="Y",
IF(OR('Breeding Inputs'!$I$45=1, 'Breeding Inputs'!$I$45=3, 'Breeding Inputs'!$I$45=9), 25%,
IF(ISNUMBER(AP428), AP428,
IF('Breeding Inputs'!$I$44="N",
IF(OR('Breeding Inputs'!$I$45=1, 'Breeding Inputs'!$I$45=3, 'Breeding Inputs'!$I$45=9),
IF(ISNUMBER('Breeding Inputs'!$I$46),'Breeding Inputs'!$I$46,""),""),""))),""),"")</f>
        <v/>
      </c>
      <c r="AR428" s="17" t="str">
        <f>IF(OR('Breeding Inputs'!$I$17="Y",'Model_ of_individuals'!$C421&lt;&gt;""),
IF('Breeding Inputs'!$I$44="Y",
IF(OR('Breeding Inputs'!$I$45=1, 'Breeding Inputs'!$I$45=3, 'Breeding Inputs'!$I$45=9), 25%,
IF(ISNUMBER(AQ428), AQ428,
IF('Breeding Inputs'!$I$44="N",
IF(OR('Breeding Inputs'!$I$45=1, 'Breeding Inputs'!$I$45=3, 'Breeding Inputs'!$I$45=9),
IF(ISNUMBER('Breeding Inputs'!$I$46),'Breeding Inputs'!$I$46,""),""),""))),""),"")</f>
        <v/>
      </c>
      <c r="AS428" s="17" t="str">
        <f>IF(OR('Breeding Inputs'!$I$17="Y",'Model_ of_individuals'!$C421&lt;&gt;""),
IF('Breeding Inputs'!$I$44="Y",
IF(OR('Breeding Inputs'!$I$45=1, 'Breeding Inputs'!$I$45=3, 'Breeding Inputs'!$I$45=9), 25%,
IF(ISNUMBER(AR428), AR428,
IF('Breeding Inputs'!$I$44="N",
IF(OR('Breeding Inputs'!$I$45=1, 'Breeding Inputs'!$I$45=3, 'Breeding Inputs'!$I$45=9),
IF(ISNUMBER('Breeding Inputs'!$I$46),'Breeding Inputs'!$I$46,""),""),""))),""),"")</f>
        <v/>
      </c>
      <c r="AT428" s="17" t="str">
        <f>IF(OR('Breeding Inputs'!$I$17="Y",'Model_ of_individuals'!$C421&lt;&gt;""),
IF('Breeding Inputs'!$I$44="Y",
IF(OR('Breeding Inputs'!$I$45=1, 'Breeding Inputs'!$I$45=3, 'Breeding Inputs'!$I$45=9), 25%,
IF(ISNUMBER(AS428), AS428,
IF('Breeding Inputs'!$I$44="N",
IF(OR('Breeding Inputs'!$I$45=1, 'Breeding Inputs'!$I$45=3, 'Breeding Inputs'!$I$45=9),
IF(ISNUMBER('Breeding Inputs'!$I$46),'Breeding Inputs'!$I$46,""),""),""))),""),"")</f>
        <v/>
      </c>
      <c r="AU428" s="17" t="str">
        <f>IF(OR('Breeding Inputs'!$I$17="Y",'Model_ of_individuals'!$C421&lt;&gt;""),
IF('Breeding Inputs'!$I$44="Y",
IF(OR('Breeding Inputs'!$I$45=1, 'Breeding Inputs'!$I$45=3, 'Breeding Inputs'!$I$45=9), 25%,
IF(ISNUMBER(AT428), AT428,
IF('Breeding Inputs'!$I$44="N",
IF(OR('Breeding Inputs'!$I$45=1, 'Breeding Inputs'!$I$45=3, 'Breeding Inputs'!$I$45=9),
IF(ISNUMBER('Breeding Inputs'!$I$46),'Breeding Inputs'!$I$46,""),""),""))),""),"")</f>
        <v/>
      </c>
    </row>
    <row r="429" spans="1:47" x14ac:dyDescent="0.25">
      <c r="A429" s="518"/>
      <c r="B429" s="504"/>
      <c r="C429" s="521" t="str">
        <f>IF(AND(B417&lt;&gt;"", ISNUMBER(B417), ISNUMBER(Stage2EvaluationBegins)), IF((INDEX(ProgramYearStage2,MATCH(Stage2EvaluationBegins,Years_in_Stage2,0)))=B417, _4_5_0, IF(AND(B417&lt;&gt;"", C405&lt;&gt;""), _4_5_0, IF(AND(B417&lt;&gt;"", ISNUMBER(B417), OR(Stage2EvaluationBegins=0, Stage2EvaluationBegins="")),"", ""))),"")</f>
        <v/>
      </c>
      <c r="D429" s="94" t="str">
        <f>IF(AND(C429&lt;&gt;"", 'Cost Inputs'!$G$116&lt;&gt;""), 'Cost Inputs'!$G$116, "")</f>
        <v/>
      </c>
      <c r="E429" s="94" t="str">
        <f>IF(AND(C429&lt;&gt;"", 'Cost Inputs'!$H$116&lt;&gt;""), 'Cost Inputs'!$H$116, "")</f>
        <v/>
      </c>
      <c r="F429" s="492" t="str">
        <f>IF(AND(C429&lt;&gt;"", 'Cost Inputs'!$I$116&lt;&gt;""), 'Cost Inputs'!$I$116, "")</f>
        <v/>
      </c>
      <c r="G429" s="102" t="str">
        <f t="shared" si="152"/>
        <v/>
      </c>
      <c r="H429" s="492" t="str">
        <f>IF(AND(C429&lt;&gt;"", 'Cost Inputs'!$J$116&lt;&gt;""), 'Cost Inputs'!$J$116, "")</f>
        <v/>
      </c>
      <c r="I429" s="102" t="str">
        <f>IF($C429&lt;&gt;"",IF(AND($E429&lt;&gt;"",H429&lt;&gt;""), H429/$E429, 0),"")</f>
        <v/>
      </c>
      <c r="J429" s="492" t="str">
        <f>IF(AND(C429&lt;&gt;"",('Cost Inputs'!$I$116+'Cost Inputs'!$J$116+'Cost Inputs'!$K$116)&gt;0), 'Cost Inputs'!$I$116+'Cost Inputs'!$J$116+'Cost Inputs'!$K$116, "")</f>
        <v/>
      </c>
      <c r="K429" s="102" t="str">
        <f>IF($C429&lt;&gt;"",IF(AND($E429&lt;&gt;"",J429&lt;&gt;""), J429/$E429, 0),"")</f>
        <v/>
      </c>
      <c r="L429" s="525"/>
      <c r="M429" s="525"/>
      <c r="T429" s="496" t="str">
        <f t="shared" ref="T429:T436" si="184">IF(ISNUMBER($B$417),
IF($C429&lt;&gt;"",
IF(AND(ISNUMBER(S$416), S$416&gt;0),
IF(AND(T$279=123, Cultivar_1_Cohort_Year_Selection=$O$278,Cultivar_2_Cohort_Year_Selection=$O$278,Cultivar_3_Cohort_Year_Selection=$O$278), ROUND(MAX(0,S$416 - 3),0),
IF(AND(OR(T$279=123, T$279=12), Cultivar_1_Cohort_Year_Selection=$O$278,Cultivar_2_Cohort_Year_Selection=$O$278), ROUND(MAX(0,S$416 - 2),0),
IF(AND(OR(T$279=123, T$279=13), Cultivar_1_Cohort_Year_Selection=$O$278,Cultivar_3_Cohort_Year_Selection=$O$278), ROUND(MAX(0,S$416 - 2),0),
IF(AND(OR(T$279=123, T$279=23), Cultivar_2_Cohort_Year_Selection=$O$278,Cultivar_3_Cohort_Year_Selection=$O$278), ROUND(MAX(0,S$416 - 2),0),
IF(AND(OR(T$279=123, T$279=12, T$279=13, T$279=1), Cultivar_1_Cohort_Year_Selection=$O$278), ROUND(MAX(0,S$416 - 1),0),
IF(AND(OR(T$279=123, T$279=12, T$279=23, T$279=2), Cultivar_2_Cohort_Year_Selection=$O$278), ROUND(MAX(0,S$416 - 1),0),
IF(AND(OR(T$279=123, T$279=13, T$279=23, T$279=3), Cultivar_3_Cohort_Year_Selection=$O$278), ROUND(MAX(0,S$416 - 1),0),
ROUND(MAX(0,S$416),0)))))))),""),""),"")</f>
        <v/>
      </c>
      <c r="U429" s="496" t="str">
        <f t="shared" ref="U429:U436" si="185">IF(ISNUMBER($B$417),
IF($C429&lt;&gt;"",
IF(AND(ISNUMBER(T$416), T$416&gt;0),
IF(AND(U$279=123, Cultivar_1_Cohort_Year_Selection=$P$278,Cultivar_2_Cohort_Year_Selection=$P$278,Cultivar_3_Cohort_Year_Selection=$P$278), ROUND(MAX(0,T$416 - 3),0),
IF(AND(OR(U$279=123, U$279=12), Cultivar_1_Cohort_Year_Selection=$P$278,Cultivar_2_Cohort_Year_Selection=$P$278), ROUND(MAX(0,T$416 - 2),0),
IF(AND(OR(U$279=123, U$279=13), Cultivar_1_Cohort_Year_Selection=$P$278,Cultivar_3_Cohort_Year_Selection=$P$278), ROUND(MAX(0,T$416 - 2),0),
IF(AND(OR(U$279=123, U$279=23), Cultivar_2_Cohort_Year_Selection=$P$278,Cultivar_3_Cohort_Year_Selection=$P$278), ROUND(MAX(0,T$416 - 2),0),
IF(AND(OR(U$279=123, U$279=12, U$279=13, U$279=1), Cultivar_1_Cohort_Year_Selection=$P$278), ROUND(MAX(0,T$416 - 1),0),
IF(AND(OR(U$279=123, U$279=12, U$279=23, U$279=2), Cultivar_2_Cohort_Year_Selection=$P$278), ROUND(MAX(0,T$416 - 1),0),
IF(AND(OR(U$279=123, U$279=13, U$279=23, U$279=3), Cultivar_3_Cohort_Year_Selection=$P$278), ROUND(MAX(0,T$416 - 1),0),
ROUND(MAX(0,T$416),0)))))))),""),""),"")</f>
        <v/>
      </c>
      <c r="V429" s="496" t="str">
        <f t="shared" ref="V429:V436" si="186">IF(ISNUMBER($B$417),
IF($C429&lt;&gt;"",
IF(AND(ISNUMBER(U$416), U$416&gt;0),
IF(AND(V$279=123, Cultivar_1_Cohort_Year_Selection=$Q$278,Cultivar_2_Cohort_Year_Selection=$Q$278,Cultivar_3_Cohort_Year_Selection=$Q$278), ROUND(MAX(0,U$416 - 3),0),
IF(AND(OR(V$279=123, V$279=12), Cultivar_1_Cohort_Year_Selection=$Q$278,Cultivar_2_Cohort_Year_Selection=$Q$278), ROUND(MAX(0,U$416 - 2),0),
IF(AND(OR(V$279=123, V$279=13), Cultivar_1_Cohort_Year_Selection=$Q$278,Cultivar_3_Cohort_Year_Selection=$Q$278), ROUND(MAX(0,U$416 - 2),0),
IF(AND(OR(V$279=123, V$279=23), Cultivar_2_Cohort_Year_Selection=$Q$278,Cultivar_3_Cohort_Year_Selection=$Q$278), ROUND(MAX(0,U$416 - 2),0),
IF(AND(OR(V$279=123, V$279=12, V$279=13, V$279=1), Cultivar_1_Cohort_Year_Selection=$Q$278), ROUND(MAX(0,U$416 - 1),0),
IF(AND(OR(V$279=123, V$279=12, V$279=23, V$279=2), Cultivar_2_Cohort_Year_Selection=$Q$278), ROUND(MAX(0,U$416 - 1),0),
IF(AND(OR(V$279=123, V$279=13, V$279=23, V$279=3), Cultivar_3_Cohort_Year_Selection=$Q$278), ROUND(MAX(0,U$416 - 1),0),
ROUND(MAX(0,U$416),0)))))))),""),""),"")</f>
        <v/>
      </c>
      <c r="W429" s="496" t="str">
        <f t="shared" ref="W429:W436" si="187">IF(ISNUMBER($B$417),
IF($C429&lt;&gt;"",
IF(AND(ISNUMBER(V$416), V$416&gt;0),
IF(AND(W$279=123, Cultivar_1_Cohort_Year_Selection=$R$278,Cultivar_2_Cohort_Year_Selection=$R$278,Cultivar_3_Cohort_Year_Selection=$R$278), ROUND(MAX(0,V$416 - 3),0),
IF(AND(OR(W$279=123, W$279=12), Cultivar_1_Cohort_Year_Selection=$R$278,Cultivar_2_Cohort_Year_Selection=$R$278), ROUND(MAX(0,V$416 - 2),0),
IF(AND(OR(W$279=123, W$279=13), Cultivar_1_Cohort_Year_Selection=$R$278,Cultivar_3_Cohort_Year_Selection=$R$278), ROUND(MAX(0,V$416 - 2),0),
IF(AND(OR(W$279=123, W$279=23), Cultivar_2_Cohort_Year_Selection=$R$278,Cultivar_3_Cohort_Year_Selection=$R$278), ROUND(MAX(0,V$416 - 2),0),
IF(AND(OR(W$279=123, W$279=12, W$279=13, W$279=1), Cultivar_1_Cohort_Year_Selection=$R$278), ROUND(MAX(0,V$416 - 1),0),
IF(AND(OR(W$279=123, W$279=12, W$279=23, W$279=2), Cultivar_2_Cohort_Year_Selection=$R$278), ROUND(MAX(0,V$416 - 1),0),
IF(AND(OR(W$279=123, W$279=13, W$279=23, W$279=3), Cultivar_3_Cohort_Year_Selection=$R$278), ROUND(MAX(0,V$416 - 1),0),
ROUND(MAX(0,V$416),0)))))))),""),""),"")</f>
        <v/>
      </c>
      <c r="X429" s="496" t="str">
        <f t="shared" ref="X429:X436" si="188">IF(ISNUMBER($B$417),
IF($C429&lt;&gt;"",
IF(AND(ISNUMBER(W$416), W$416&gt;0),
IF(AND(X$279=123, Cultivar_1_Cohort_Year_Selection=$S$278,Cultivar_2_Cohort_Year_Selection=$S$278,Cultivar_3_Cohort_Year_Selection=$S$278), ROUND(MAX(0,W$416 - 3),0),
IF(AND(OR(X$279=123, X$279=12), Cultivar_1_Cohort_Year_Selection=$S$278,Cultivar_2_Cohort_Year_Selection=$S$278), ROUND(MAX(0,W$416 - 2),0),
IF(AND(OR(X$279=123, X$279=13), Cultivar_1_Cohort_Year_Selection=$S$278,Cultivar_3_Cohort_Year_Selection=$S$278), ROUND(MAX(0,W$416 - 2),0),
IF(AND(OR(X$279=123, X$279=23), Cultivar_2_Cohort_Year_Selection=$S$278,Cultivar_3_Cohort_Year_Selection=$S$278), ROUND(MAX(0,W$416 - 2),0),
IF(AND(OR(X$279=123, X$279=12, X$279=13, X$279=1), Cultivar_1_Cohort_Year_Selection=$S$278), ROUND(MAX(0,W$416 - 1),0),
IF(AND(OR(X$279=123, X$279=12, X$279=23, X$279=2), Cultivar_2_Cohort_Year_Selection=$S$278), ROUND(MAX(0,W$416 - 1),0),
IF(AND(OR(X$279=123, X$279=13, X$279=23, X$279=3), Cultivar_3_Cohort_Year_Selection=$S$278), ROUND(MAX(0,W$416 - 1),0),
ROUND(MAX(0,W$416),0)))))))),""),""),"")</f>
        <v/>
      </c>
      <c r="Y429" s="496" t="str">
        <f t="shared" ref="Y429:Y436" si="189">IF(ISNUMBER($B$417),
IF($C429&lt;&gt;"",
IF(AND(ISNUMBER(X$416), X$416&gt;0),
IF(AND(Y$279=123, Cultivar_1_Cohort_Year_Selection=$T$278,Cultivar_2_Cohort_Year_Selection=$T$278,Cultivar_3_Cohort_Year_Selection=$T$278), ROUND(MAX(0,X$416 - 3),0),
IF(AND(OR(Y$279=123, Y$279=12), Cultivar_1_Cohort_Year_Selection=$T$278,Cultivar_2_Cohort_Year_Selection=$T$278), ROUND(MAX(0,X$416 - 2),0),
IF(AND(OR(Y$279=123, Y$279=13), Cultivar_1_Cohort_Year_Selection=$T$278,Cultivar_3_Cohort_Year_Selection=$T$278), ROUND(MAX(0,X$416 - 2),0),
IF(AND(OR(Y$279=123, Y$279=23), Cultivar_2_Cohort_Year_Selection=$T$278,Cultivar_3_Cohort_Year_Selection=$T$278), ROUND(MAX(0,X$416 - 2),0),
IF(AND(OR(Y$279=123, Y$279=12, Y$279=13, Y$279=1), Cultivar_1_Cohort_Year_Selection=$T$278), ROUND(MAX(0,X$416 - 1),0),
IF(AND(OR(Y$279=123, Y$279=12, Y$279=23, Y$279=2), Cultivar_2_Cohort_Year_Selection=$T$278), ROUND(MAX(0,X$416 - 1),0),
IF(AND(OR(Y$279=123, Y$279=13, Y$279=23, Y$279=3), Cultivar_3_Cohort_Year_Selection=$T$278), ROUND(MAX(0,X$416 - 1),0),
ROUND(MAX(0,X$416),0)))))))),""),""),"")</f>
        <v/>
      </c>
      <c r="Z429" s="496" t="str">
        <f t="shared" ref="Z429:Z436" si="190">IF(ISNUMBER($B$417),
IF($C429&lt;&gt;"",
IF(AND(ISNUMBER(Y$416), Y$416&gt;0),
IF(AND(Z$279=123, Cultivar_1_Cohort_Year_Selection=$U$278,Cultivar_2_Cohort_Year_Selection=$U$278,Cultivar_3_Cohort_Year_Selection=$U$278), ROUND(MAX(0,Y$416 - 3),0),
IF(AND(OR(Z$279=123, Z$279=12), Cultivar_1_Cohort_Year_Selection=$U$278,Cultivar_2_Cohort_Year_Selection=$U$278), ROUND(MAX(0,Y$416 - 2),0),
IF(AND(OR(Z$279=123, Z$279=13), Cultivar_1_Cohort_Year_Selection=$U$278,Cultivar_3_Cohort_Year_Selection=$U$278), ROUND(MAX(0,Y$416 - 2),0),
IF(AND(OR(Z$279=123, Z$279=23), Cultivar_2_Cohort_Year_Selection=$U$278,Cultivar_3_Cohort_Year_Selection=$U$278), ROUND(MAX(0,Y$416 - 2),0),
IF(AND(OR(Z$279=123, Z$279=12, Z$279=13, Z$279=1), Cultivar_1_Cohort_Year_Selection=$U$278), ROUND(MAX(0,Y$416 - 1),0),
IF(AND(OR(Z$279=123, Z$279=12, Z$279=23, Z$279=2), Cultivar_2_Cohort_Year_Selection=$U$278), ROUND(MAX(0,Y$416 - 1),0),
IF(AND(OR(Z$279=123, Z$279=13, Z$279=23, Z$279=3), Cultivar_3_Cohort_Year_Selection=$U$278), ROUND(MAX(0,Y$416 - 1),0),
ROUND(MAX(0,Y$416),0)))))))),""),""),"")</f>
        <v/>
      </c>
      <c r="AA429" s="496" t="str">
        <f t="shared" ref="AA429:AA436" si="191">IF(ISNUMBER($B$417),
IF($C429&lt;&gt;"",
IF(AND(ISNUMBER(Z$416), Z$416&gt;0),
IF(AND(AA$279=123, Cultivar_1_Cohort_Year_Selection=$V$278,Cultivar_2_Cohort_Year_Selection=$V$278,Cultivar_3_Cohort_Year_Selection=$V$278), ROUND(MAX(0,Z$416 - 3),0),
IF(AND(OR(AA$279=123, AA$279=12), Cultivar_1_Cohort_Year_Selection=$V$278,Cultivar_2_Cohort_Year_Selection=$V$278), ROUND(MAX(0,Z$416 - 2),0),
IF(AND(OR(AA$279=123, AA$279=13), Cultivar_1_Cohort_Year_Selection=$V$278,Cultivar_3_Cohort_Year_Selection=$V$278), ROUND(MAX(0,Z$416 - 2),0),
IF(AND(OR(AA$279=123, AA$279=23), Cultivar_2_Cohort_Year_Selection=$V$278,Cultivar_3_Cohort_Year_Selection=$V$278), ROUND(MAX(0,Z$416 - 2),0),
IF(AND(OR(AA$279=123, AA$279=12, AA$279=13, AA$279=1), Cultivar_1_Cohort_Year_Selection=$V$278), ROUND(MAX(0,Z$416 - 1),0),
IF(AND(OR(AA$279=123, AA$279=12, AA$279=23, AA$279=2), Cultivar_2_Cohort_Year_Selection=$V$278), ROUND(MAX(0,Z$416 - 1),0),
IF(AND(OR(AA$279=123, AA$279=13, AA$279=23, AA$279=3), Cultivar_3_Cohort_Year_Selection=$V$278), ROUND(MAX(0,Z$416 - 1),0),
ROUND(MAX(0,Z$416),0)))))))),""),""),"")</f>
        <v/>
      </c>
      <c r="AB429" s="496" t="str">
        <f t="shared" ref="AB429:AB436" si="192">IF(ISNUMBER($B$417),
IF($C429&lt;&gt;"",
IF(AND(ISNUMBER(AA$416), AA$416&gt;0),
IF(AND(AB$279=123, Cultivar_1_Cohort_Year_Selection=$W$278,Cultivar_2_Cohort_Year_Selection=$W$278,Cultivar_3_Cohort_Year_Selection=$W$278), ROUND(MAX(0,AA$416 - 3),0),
IF(AND(OR(AB$279=123, AB$279=12), Cultivar_1_Cohort_Year_Selection=$W$278,Cultivar_2_Cohort_Year_Selection=$W$278), ROUND(MAX(0,AA$416 - 2),0),
IF(AND(OR(AB$279=123, AB$279=13), Cultivar_1_Cohort_Year_Selection=$W$278,Cultivar_3_Cohort_Year_Selection=$W$278), ROUND(MAX(0,AA$416 - 2),0),
IF(AND(OR(AB$279=123, AB$279=23), Cultivar_2_Cohort_Year_Selection=$W$278,Cultivar_3_Cohort_Year_Selection=$W$278), ROUND(MAX(0,AA$416 - 2),0),
IF(AND(OR(AB$279=123, AB$279=12, AB$279=13, AB$279=1), Cultivar_1_Cohort_Year_Selection=$W$278), ROUND(MAX(0,AA$416 - 1),0),
IF(AND(OR(AB$279=123, AB$279=12, AB$279=23, AB$279=2), Cultivar_2_Cohort_Year_Selection=$W$278), ROUND(MAX(0,AA$416 - 1),0),
IF(AND(OR(AB$279=123, AB$279=13, AB$279=23, AB$279=3), Cultivar_3_Cohort_Year_Selection=$W$278), ROUND(MAX(0,AA$416 - 1),0),
ROUND(MAX(0,AA$416),0)))))))),""),""),"")</f>
        <v/>
      </c>
      <c r="AC429" s="496" t="str">
        <f t="shared" ref="AC429:AC436" si="193">IF(ISNUMBER($B$417),
IF($C429&lt;&gt;"",
IF(AND(ISNUMBER(AB$416), AB$416&gt;0),
IF(AND(AC$279=123, Cultivar_1_Cohort_Year_Selection=$X$278,Cultivar_2_Cohort_Year_Selection=$X$278,Cultivar_3_Cohort_Year_Selection=$X$278), ROUND(MAX(0,AB$416 - 3),0),
IF(AND(OR(AC$279=123, AC$279=12), Cultivar_1_Cohort_Year_Selection=$X$278,Cultivar_2_Cohort_Year_Selection=$X$278), ROUND(MAX(0,AB$416 - 2),0),
IF(AND(OR(AC$279=123, AC$279=13), Cultivar_1_Cohort_Year_Selection=$X$278,Cultivar_3_Cohort_Year_Selection=$X$278), ROUND(MAX(0,AB$416 - 2),0),
IF(AND(OR(AC$279=123, AC$279=23), Cultivar_2_Cohort_Year_Selection=$X$278,Cultivar_3_Cohort_Year_Selection=$X$278), ROUND(MAX(0,AB$416 - 2),0),
IF(AND(OR(AC$279=123, AC$279=12, AC$279=13, AC$279=1), Cultivar_1_Cohort_Year_Selection=$X$278), ROUND(MAX(0,AB$416 - 1),0),
IF(AND(OR(AC$279=123, AC$279=12, AC$279=23, AC$279=2), Cultivar_2_Cohort_Year_Selection=$X$278), ROUND(MAX(0,AB$416 - 1),0),
IF(AND(OR(AC$279=123, AC$279=13, AC$279=23, AC$279=3), Cultivar_3_Cohort_Year_Selection=$X$278), ROUND(MAX(0,AB$416 - 1),0),
ROUND(MAX(0,AB$416),0)))))))),""),""),"")</f>
        <v/>
      </c>
      <c r="AD429" s="496" t="str">
        <f t="shared" ref="AD429:AD436" si="194">IF(ISNUMBER($B$417),
IF($C429&lt;&gt;"",
IF(AND(ISNUMBER(AC$416), AC$416&gt;0),
IF(AND(AD$279=123, Cultivar_1_Cohort_Year_Selection=$Y$278,Cultivar_2_Cohort_Year_Selection=$Y$278,Cultivar_3_Cohort_Year_Selection=$Y$278), ROUND(MAX(0,AC$416 - 3),0),
IF(AND(OR(AD$279=123, AD$279=12), Cultivar_1_Cohort_Year_Selection=$Y$278,Cultivar_2_Cohort_Year_Selection=$Y$278), ROUND(MAX(0,AC$416 - 2),0),
IF(AND(OR(AD$279=123, AD$279=13), Cultivar_1_Cohort_Year_Selection=$Y$278,Cultivar_3_Cohort_Year_Selection=$Y$278), ROUND(MAX(0,AC$416 - 2),0),
IF(AND(OR(AD$279=123, AD$279=23), Cultivar_2_Cohort_Year_Selection=$Y$278,Cultivar_3_Cohort_Year_Selection=$Y$278), ROUND(MAX(0,AC$416 - 2),0),
IF(AND(OR(AD$279=123, AD$279=12, AD$279=13, AD$279=1), Cultivar_1_Cohort_Year_Selection=$Y$278), ROUND(MAX(0,AC$416 - 1),0),
IF(AND(OR(AD$279=123, AD$279=12, AD$279=23, AD$279=2), Cultivar_2_Cohort_Year_Selection=$Y$278), ROUND(MAX(0,AC$416 - 1),0),
IF(AND(OR(AD$279=123, AD$279=13, AD$279=23, AD$279=3), Cultivar_3_Cohort_Year_Selection=$Y$278), ROUND(MAX(0,AC$416 - 1),0),
ROUND(MAX(0,AC$416),0)))))))),""),""),"")</f>
        <v/>
      </c>
      <c r="AE429" s="496" t="str">
        <f t="shared" ref="AE429:AE436" si="195">IF(ISNUMBER($B$417),
IF($C429&lt;&gt;"",
IF(AND(ISNUMBER(AD$416), AD$416&gt;0),
IF(AND(AE$279=123, Cultivar_1_Cohort_Year_Selection=$Z$278,Cultivar_2_Cohort_Year_Selection=$Z$278,Cultivar_3_Cohort_Year_Selection=$Z$278), ROUND(MAX(0,AD$416 - 3),0),
IF(AND(OR(AE$279=123, AE$279=12), Cultivar_1_Cohort_Year_Selection=$Z$278,Cultivar_2_Cohort_Year_Selection=$Z$278), ROUND(MAX(0,AD$416 - 2),0),
IF(AND(OR(AE$279=123, AE$279=13), Cultivar_1_Cohort_Year_Selection=$Z$278,Cultivar_3_Cohort_Year_Selection=$Z$278), ROUND(MAX(0,AD$416 - 2),0),
IF(AND(OR(AE$279=123, AE$279=23), Cultivar_2_Cohort_Year_Selection=$Z$278,Cultivar_3_Cohort_Year_Selection=$Z$278), ROUND(MAX(0,AD$416 - 2),0),
IF(AND(OR(AE$279=123, AE$279=12, AE$279=13, AE$279=1), Cultivar_1_Cohort_Year_Selection=$Z$278), ROUND(MAX(0,AD$416 - 1),0),
IF(AND(OR(AE$279=123, AE$279=12, AE$279=23, AE$279=2), Cultivar_2_Cohort_Year_Selection=$Z$278), ROUND(MAX(0,AD$416 - 1),0),
IF(AND(OR(AE$279=123, AE$279=13, AE$279=23, AE$279=3), Cultivar_3_Cohort_Year_Selection=$Z$278), ROUND(MAX(0,AD$416 - 1),0),
ROUND(MAX(0,AD$416),0)))))))),""),""),"")</f>
        <v/>
      </c>
      <c r="AF429" s="496" t="str">
        <f t="shared" ref="AF429:AF436" si="196">IF(ISNUMBER($B$417),
IF($C429&lt;&gt;"",
IF(AND(ISNUMBER(AE$416), AE$416&gt;0),
IF(AND(AF$279=123, Cultivar_1_Cohort_Year_Selection=$AA$278,Cultivar_2_Cohort_Year_Selection=$AA$278,Cultivar_3_Cohort_Year_Selection=$AA$278), ROUND(MAX(0,AE$416 - 3),0),
IF(AND(OR(AF$279=123, AF$279=12), Cultivar_1_Cohort_Year_Selection=$AA$278,Cultivar_2_Cohort_Year_Selection=$AA$278), ROUND(MAX(0,AE$416 - 2),0),
IF(AND(OR(AF$279=123, AF$279=13), Cultivar_1_Cohort_Year_Selection=$AA$278,Cultivar_3_Cohort_Year_Selection=$AA$278), ROUND(MAX(0,AE$416 - 2),0),
IF(AND(OR(AF$279=123, AF$279=23), Cultivar_2_Cohort_Year_Selection=$AA$278,Cultivar_3_Cohort_Year_Selection=$AA$278), ROUND(MAX(0,AE$416 - 2),0),
IF(AND(OR(AF$279=123, AF$279=12, AF$279=13, AF$279=1), Cultivar_1_Cohort_Year_Selection=$AA$278), ROUND(MAX(0,AE$416 - 1),0),
IF(AND(OR(AF$279=123, AF$279=12, AF$279=23, AF$279=2), Cultivar_2_Cohort_Year_Selection=$AA$278), ROUND(MAX(0,AE$416 - 1),0),
IF(AND(OR(AF$279=123, AF$279=13, AF$279=23, AF$279=3), Cultivar_3_Cohort_Year_Selection=$AA$278), ROUND(MAX(0,AE$416 - 1),0),
ROUND(MAX(0,AE$416),0)))))))),""),""),"")</f>
        <v/>
      </c>
      <c r="AG429" s="496" t="str">
        <f t="shared" ref="AG429:AG436" si="197">IF(ISNUMBER($B$417),
IF($C429&lt;&gt;"",
IF(AND(ISNUMBER(AF$416), AF$416&gt;0),
IF(AND(AG$279=123, Cultivar_1_Cohort_Year_Selection=$AB$278,Cultivar_2_Cohort_Year_Selection=$AB$278,Cultivar_3_Cohort_Year_Selection=$AB$278), ROUND(MAX(0,AF$416 - 3),0),
IF(AND(OR(AG$279=123, AG$279=12), Cultivar_1_Cohort_Year_Selection=$AB$278,Cultivar_2_Cohort_Year_Selection=$AB$278), ROUND(MAX(0,AF$416 - 2),0),
IF(AND(OR(AG$279=123, AG$279=13), Cultivar_1_Cohort_Year_Selection=$AB$278,Cultivar_3_Cohort_Year_Selection=$AB$278), ROUND(MAX(0,AF$416 - 2),0),
IF(AND(OR(AG$279=123, AG$279=23), Cultivar_2_Cohort_Year_Selection=$AB$278,Cultivar_3_Cohort_Year_Selection=$AB$278), ROUND(MAX(0,AF$416 - 2),0),
IF(AND(OR(AG$279=123, AG$279=12, AG$279=13, AG$279=1), Cultivar_1_Cohort_Year_Selection=$AB$278), ROUND(MAX(0,AF$416 - 1),0),
IF(AND(OR(AG$279=123, AG$279=12, AG$279=23, AG$279=2), Cultivar_2_Cohort_Year_Selection=$AB$278), ROUND(MAX(0,AF$416 - 1),0),
IF(AND(OR(AG$279=123, AG$279=13, AG$279=23, AG$279=3), Cultivar_3_Cohort_Year_Selection=$AB$278), ROUND(MAX(0,AF$416 - 1),0),
ROUND(MAX(0,AF$416),0)))))))),""),""),"")</f>
        <v/>
      </c>
      <c r="AH429" s="496" t="str">
        <f t="shared" ref="AH429:AH436" si="198">IF(ISNUMBER($B$417),
IF($C429&lt;&gt;"",
IF(AND(ISNUMBER(AG$416), AG$416&gt;0),
IF(AND(AH$279=123, Cultivar_1_Cohort_Year_Selection=$AC$278,Cultivar_2_Cohort_Year_Selection=$AC$278,Cultivar_3_Cohort_Year_Selection=$AC$278), ROUND(MAX(0,AG$416 - 3),0),
IF(AND(OR(AH$279=123, AH$279=12), Cultivar_1_Cohort_Year_Selection=$AC$278,Cultivar_2_Cohort_Year_Selection=$AC$278), ROUND(MAX(0,AG$416 - 2),0),
IF(AND(OR(AH$279=123, AH$279=13), Cultivar_1_Cohort_Year_Selection=$AC$278,Cultivar_3_Cohort_Year_Selection=$AC$278), ROUND(MAX(0,AG$416 - 2),0),
IF(AND(OR(AH$279=123, AH$279=23), Cultivar_2_Cohort_Year_Selection=$AC$278,Cultivar_3_Cohort_Year_Selection=$AC$278), ROUND(MAX(0,AG$416 - 2),0),
IF(AND(OR(AH$279=123, AH$279=12, AH$279=13, AH$279=1), Cultivar_1_Cohort_Year_Selection=$AC$278), ROUND(MAX(0,AG$416 - 1),0),
IF(AND(OR(AH$279=123, AH$279=12, AH$279=23, AH$279=2), Cultivar_2_Cohort_Year_Selection=$AC$278), ROUND(MAX(0,AG$416 - 1),0),
IF(AND(OR(AH$279=123, AH$279=13, AH$279=23, AH$279=3), Cultivar_3_Cohort_Year_Selection=$AC$278), ROUND(MAX(0,AG$416 - 1),0),
ROUND(MAX(0,AG$416),0)))))))),""),""),"")</f>
        <v/>
      </c>
      <c r="AI429" s="496" t="str">
        <f t="shared" ref="AI429:AI436" si="199">IF(ISNUMBER($B$417),
IF($C429&lt;&gt;"",
IF(AND(ISNUMBER(AH$416), AH$416&gt;0),
IF(AND(AI$279=123, Cultivar_1_Cohort_Year_Selection=$AD$278,Cultivar_2_Cohort_Year_Selection=$AD$278,Cultivar_3_Cohort_Year_Selection=$AD$278), ROUND(MAX(0,AH$416 - 3),0),
IF(AND(OR(AI$279=123, AI$279=12), Cultivar_1_Cohort_Year_Selection=$AD$278,Cultivar_2_Cohort_Year_Selection=$AD$278), ROUND(MAX(0,AH$416 - 2),0),
IF(AND(OR(AI$279=123, AI$279=13), Cultivar_1_Cohort_Year_Selection=$AD$278,Cultivar_3_Cohort_Year_Selection=$AD$278), ROUND(MAX(0,AH$416 - 2),0),
IF(AND(OR(AI$279=123, AI$279=23), Cultivar_2_Cohort_Year_Selection=$AD$278,Cultivar_3_Cohort_Year_Selection=$AD$278), ROUND(MAX(0,AH$416 - 2),0),
IF(AND(OR(AI$279=123, AI$279=12, AI$279=13, AI$279=1), Cultivar_1_Cohort_Year_Selection=$AD$278), ROUND(MAX(0,AH$416 - 1),0),
IF(AND(OR(AI$279=123, AI$279=12, AI$279=23, AI$279=2), Cultivar_2_Cohort_Year_Selection=$AD$278), ROUND(MAX(0,AH$416 - 1),0),
IF(AND(OR(AI$279=123, AI$279=13, AI$279=23, AI$279=3), Cultivar_3_Cohort_Year_Selection=$AD$278), ROUND(MAX(0,AH$416 - 1),0),
ROUND(MAX(0,AH$416),0)))))))),""),""),"")</f>
        <v/>
      </c>
      <c r="AJ429" s="496" t="str">
        <f t="shared" ref="AJ429:AJ436" si="200">IF(ISNUMBER($B$417),
IF($C429&lt;&gt;"",
IF(AND(ISNUMBER(AI$416), AI$416&gt;0),
IF(AND(AJ$279=123, Cultivar_1_Cohort_Year_Selection=$AE$278,Cultivar_2_Cohort_Year_Selection=$AE$278,Cultivar_3_Cohort_Year_Selection=$AE$278), ROUND(MAX(0,AI$416 - 3),0),
IF(AND(OR(AJ$279=123, AJ$279=12), Cultivar_1_Cohort_Year_Selection=$AE$278,Cultivar_2_Cohort_Year_Selection=$AE$278), ROUND(MAX(0,AI$416 - 2),0),
IF(AND(OR(AJ$279=123, AJ$279=13), Cultivar_1_Cohort_Year_Selection=$AE$278,Cultivar_3_Cohort_Year_Selection=$AE$278), ROUND(MAX(0,AI$416 - 2),0),
IF(AND(OR(AJ$279=123, AJ$279=23), Cultivar_2_Cohort_Year_Selection=$AE$278,Cultivar_3_Cohort_Year_Selection=$AE$278), ROUND(MAX(0,AI$416 - 2),0),
IF(AND(OR(AJ$279=123, AJ$279=12, AJ$279=13, AJ$279=1), Cultivar_1_Cohort_Year_Selection=$AE$278), ROUND(MAX(0,AI$416 - 1),0),
IF(AND(OR(AJ$279=123, AJ$279=12, AJ$279=23, AJ$279=2), Cultivar_2_Cohort_Year_Selection=$AE$278), ROUND(MAX(0,AI$416 - 1),0),
IF(AND(OR(AJ$279=123, AJ$279=13, AJ$279=23, AJ$279=3), Cultivar_3_Cohort_Year_Selection=$AE$278), ROUND(MAX(0,AI$416 - 1),0),
ROUND(MAX(0,AI$416),0)))))))),""),""),"")</f>
        <v/>
      </c>
      <c r="AK429" s="496" t="str">
        <f t="shared" ref="AK429:AK436" si="201">IF(ISNUMBER($B$417),
IF($C429&lt;&gt;"",
IF(AND(ISNUMBER(AJ$416), AJ$416&gt;0),
IF(AND(AK$279=123, Cultivar_1_Cohort_Year_Selection=$AF$278,Cultivar_2_Cohort_Year_Selection=$AF$278,Cultivar_3_Cohort_Year_Selection=$AF$278), ROUND(MAX(0,AJ$416 - 3),0),
IF(AND(OR(AK$279=123, AK$279=12), Cultivar_1_Cohort_Year_Selection=$AF$278,Cultivar_2_Cohort_Year_Selection=$AF$278), ROUND(MAX(0,AJ$416 - 2),0),
IF(AND(OR(AK$279=123, AK$279=13), Cultivar_1_Cohort_Year_Selection=$AF$278,Cultivar_3_Cohort_Year_Selection=$AF$278), ROUND(MAX(0,AJ$416 - 2),0),
IF(AND(OR(AK$279=123, AK$279=23), Cultivar_2_Cohort_Year_Selection=$AF$278,Cultivar_3_Cohort_Year_Selection=$AF$278), ROUND(MAX(0,AJ$416 - 2),0),
IF(AND(OR(AK$279=123, AK$279=12, AK$279=13, AK$279=1), Cultivar_1_Cohort_Year_Selection=$AF$278), ROUND(MAX(0,AJ$416 - 1),0),
IF(AND(OR(AK$279=123, AK$279=12, AK$279=23, AK$279=2), Cultivar_2_Cohort_Year_Selection=$AF$278), ROUND(MAX(0,AJ$416 - 1),0),
IF(AND(OR(AK$279=123, AK$279=13, AK$279=23, AK$279=3), Cultivar_3_Cohort_Year_Selection=$AF$278), ROUND(MAX(0,AJ$416 - 1),0),
ROUND(MAX(0,AJ$416),0)))))))),""),""),"")</f>
        <v/>
      </c>
      <c r="AL429" s="496" t="str">
        <f t="shared" ref="AL429:AL436" si="202">IF(ISNUMBER($B$417),
IF($C429&lt;&gt;"",
IF(AND(ISNUMBER(AK$416), AK$416&gt;0),
IF(AND(AL$279=123, Cultivar_1_Cohort_Year_Selection=$AG$278,Cultivar_2_Cohort_Year_Selection=$AG$278,Cultivar_3_Cohort_Year_Selection=$AG$278), ROUND(MAX(0,AK$416 - 3),0),
IF(AND(OR(AL$279=123, AL$279=12), Cultivar_1_Cohort_Year_Selection=$AG$278,Cultivar_2_Cohort_Year_Selection=$AG$278), ROUND(MAX(0,AK$416 - 2),0),
IF(AND(OR(AL$279=123, AL$279=13), Cultivar_1_Cohort_Year_Selection=$AG$278,Cultivar_3_Cohort_Year_Selection=$AG$278), ROUND(MAX(0,AK$416 - 2),0),
IF(AND(OR(AL$279=123, AL$279=23), Cultivar_2_Cohort_Year_Selection=$AG$278,Cultivar_3_Cohort_Year_Selection=$AG$278), ROUND(MAX(0,AK$416 - 2),0),
IF(AND(OR(AL$279=123, AL$279=12, AL$279=13, AL$279=1), Cultivar_1_Cohort_Year_Selection=$AG$278), ROUND(MAX(0,AK$416 - 1),0),
IF(AND(OR(AL$279=123, AL$279=12, AL$279=23, AL$279=2), Cultivar_2_Cohort_Year_Selection=$AG$278), ROUND(MAX(0,AK$416 - 1),0),
IF(AND(OR(AL$279=123, AL$279=13, AL$279=23, AL$279=3), Cultivar_3_Cohort_Year_Selection=$AG$278), ROUND(MAX(0,AK$416 - 1),0),
ROUND(MAX(0,AK$416),0)))))))),""),""),"")</f>
        <v/>
      </c>
      <c r="AM429" s="496" t="str">
        <f t="shared" ref="AM429:AM436" si="203">IF(ISNUMBER($B$417),
IF($C429&lt;&gt;"",
IF(AND(ISNUMBER(AL$416), AL$416&gt;0),
IF(AND(AM$279=123, Cultivar_1_Cohort_Year_Selection=$AH$278,Cultivar_2_Cohort_Year_Selection=$AH$278,Cultivar_3_Cohort_Year_Selection=$AH$278), ROUND(MAX(0,AL$416 - 3),0),
IF(AND(OR(AM$279=123, AM$279=12), Cultivar_1_Cohort_Year_Selection=$AH$278,Cultivar_2_Cohort_Year_Selection=$AH$278), ROUND(MAX(0,AL$416 - 2),0),
IF(AND(OR(AM$279=123, AM$279=13), Cultivar_1_Cohort_Year_Selection=$AH$278,Cultivar_3_Cohort_Year_Selection=$AH$278), ROUND(MAX(0,AL$416 - 2),0),
IF(AND(OR(AM$279=123, AM$279=23), Cultivar_2_Cohort_Year_Selection=$AH$278,Cultivar_3_Cohort_Year_Selection=$AH$278), ROUND(MAX(0,AL$416 - 2),0),
IF(AND(OR(AM$279=123, AM$279=12, AM$279=13, AM$279=1), Cultivar_1_Cohort_Year_Selection=$AH$278), ROUND(MAX(0,AL$416 - 1),0),
IF(AND(OR(AM$279=123, AM$279=12, AM$279=23, AM$279=2), Cultivar_2_Cohort_Year_Selection=$AH$278), ROUND(MAX(0,AL$416 - 1),0),
IF(AND(OR(AM$279=123, AM$279=13, AM$279=23, AM$279=3), Cultivar_3_Cohort_Year_Selection=$AH$278), ROUND(MAX(0,AL$416 - 1),0),
ROUND(MAX(0,AL$416),0)))))))),""),""),"")</f>
        <v/>
      </c>
      <c r="AN429" s="496" t="str">
        <f t="shared" ref="AN429:AN436" si="204">IF(ISNUMBER($B$417),
IF($C429&lt;&gt;"",
IF(AND(ISNUMBER(AM$416), AM$416&gt;0),
IF(AND(AN$279=123, Cultivar_1_Cohort_Year_Selection=$AI$278,Cultivar_2_Cohort_Year_Selection=$AI$278,Cultivar_3_Cohort_Year_Selection=$AI$278), ROUND(MAX(0,AM$416 - 3),0),
IF(AND(OR(AN$279=123, AN$279=12), Cultivar_1_Cohort_Year_Selection=$AI$278,Cultivar_2_Cohort_Year_Selection=$AI$278), ROUND(MAX(0,AM$416 - 2),0),
IF(AND(OR(AN$279=123, AN$279=13), Cultivar_1_Cohort_Year_Selection=$AI$278,Cultivar_3_Cohort_Year_Selection=$AI$278), ROUND(MAX(0,AM$416 - 2),0),
IF(AND(OR(AN$279=123, AN$279=23), Cultivar_2_Cohort_Year_Selection=$AI$278,Cultivar_3_Cohort_Year_Selection=$AI$278), ROUND(MAX(0,AM$416 - 2),0),
IF(AND(OR(AN$279=123, AN$279=12, AN$279=13, AN$279=1), Cultivar_1_Cohort_Year_Selection=$AI$278), ROUND(MAX(0,AM$416 - 1),0),
IF(AND(OR(AN$279=123, AN$279=12, AN$279=23, AN$279=2), Cultivar_2_Cohort_Year_Selection=$AI$278), ROUND(MAX(0,AM$416 - 1),0),
IF(AND(OR(AN$279=123, AN$279=13, AN$279=23, AN$279=3), Cultivar_3_Cohort_Year_Selection=$AI$278), ROUND(MAX(0,AM$416 - 1),0),
ROUND(MAX(0,AM$416),0)))))))),""),""),"")</f>
        <v/>
      </c>
      <c r="AO429" s="496" t="str">
        <f t="shared" ref="AO429:AO436" si="205">IF(ISNUMBER($B$417),
IF($C429&lt;&gt;"",
IF(AND(ISNUMBER(AN$416), AN$416&gt;0),
IF(AND(AO$279=123, Cultivar_1_Cohort_Year_Selection=$AJ$278,Cultivar_2_Cohort_Year_Selection=$AJ$278,Cultivar_3_Cohort_Year_Selection=$AJ$278), ROUND(MAX(0,AN$416 - 3),0),
IF(AND(OR(AO$279=123, AO$279=12), Cultivar_1_Cohort_Year_Selection=$AJ$278,Cultivar_2_Cohort_Year_Selection=$AJ$278), ROUND(MAX(0,AN$416 - 2),0),
IF(AND(OR(AO$279=123, AO$279=13), Cultivar_1_Cohort_Year_Selection=$AJ$278,Cultivar_3_Cohort_Year_Selection=$AJ$278), ROUND(MAX(0,AN$416 - 2),0),
IF(AND(OR(AO$279=123, AO$279=23), Cultivar_2_Cohort_Year_Selection=$AJ$278,Cultivar_3_Cohort_Year_Selection=$AJ$278), ROUND(MAX(0,AN$416 - 2),0),
IF(AND(OR(AO$279=123, AO$279=12, AO$279=13, AO$279=1), Cultivar_1_Cohort_Year_Selection=$AJ$278), ROUND(MAX(0,AN$416 - 1),0),
IF(AND(OR(AO$279=123, AO$279=12, AO$279=23, AO$279=2), Cultivar_2_Cohort_Year_Selection=$AJ$278), ROUND(MAX(0,AN$416 - 1),0),
IF(AND(OR(AO$279=123, AO$279=13, AO$279=23, AO$279=3), Cultivar_3_Cohort_Year_Selection=$AJ$278), ROUND(MAX(0,AN$416 - 1),0),
ROUND(MAX(0,AN$416),0)))))))),""),""),"")</f>
        <v/>
      </c>
      <c r="AP429" s="496" t="str">
        <f t="shared" ref="AP429:AP436" si="206">IF(ISNUMBER($B$417),
IF($C429&lt;&gt;"",
IF(AND(ISNUMBER(AO$416), AO$416&gt;0),
IF(AND(AP$279=123, Cultivar_1_Cohort_Year_Selection=$AK$278,Cultivar_2_Cohort_Year_Selection=$AK$278,Cultivar_3_Cohort_Year_Selection=$AK$278), ROUND(MAX(0,AO$416 - 3),0),
IF(AND(OR(AP$279=123, AP$279=12), Cultivar_1_Cohort_Year_Selection=$AK$278,Cultivar_2_Cohort_Year_Selection=$AK$278), ROUND(MAX(0,AO$416 - 2),0),
IF(AND(OR(AP$279=123, AP$279=13), Cultivar_1_Cohort_Year_Selection=$AK$278,Cultivar_3_Cohort_Year_Selection=$AK$278), ROUND(MAX(0,AO$416 - 2),0),
IF(AND(OR(AP$279=123, AP$279=23), Cultivar_2_Cohort_Year_Selection=$AK$278,Cultivar_3_Cohort_Year_Selection=$AK$278), ROUND(MAX(0,AO$416 - 2),0),
IF(AND(OR(AP$279=123, AP$279=12, AP$279=13, AP$279=1), Cultivar_1_Cohort_Year_Selection=$AK$278), ROUND(MAX(0,AO$416 - 1),0),
IF(AND(OR(AP$279=123, AP$279=12, AP$279=23, AP$279=2), Cultivar_2_Cohort_Year_Selection=$AK$278), ROUND(MAX(0,AO$416 - 1),0),
IF(AND(OR(AP$279=123, AP$279=13, AP$279=23, AP$279=3), Cultivar_3_Cohort_Year_Selection=$AK$278), ROUND(MAX(0,AO$416 - 1),0),
ROUND(MAX(0,AO$416),0)))))))),""),""),"")</f>
        <v/>
      </c>
      <c r="AQ429" s="496" t="str">
        <f t="shared" ref="AQ429:AQ436" si="207">IF(ISNUMBER($B$417),
IF($C429&lt;&gt;"",
IF(AND(ISNUMBER(AP$416), AP$416&gt;0),
IF(AND(AQ$279=123, Cultivar_1_Cohort_Year_Selection=$AL$278,Cultivar_2_Cohort_Year_Selection=$AL$278,Cultivar_3_Cohort_Year_Selection=$AL$278), ROUND(MAX(0,AP$416 - 3),0),
IF(AND(OR(AQ$279=123, AQ$279=12), Cultivar_1_Cohort_Year_Selection=$AL$278,Cultivar_2_Cohort_Year_Selection=$AL$278), ROUND(MAX(0,AP$416 - 2),0),
IF(AND(OR(AQ$279=123, AQ$279=13), Cultivar_1_Cohort_Year_Selection=$AL$278,Cultivar_3_Cohort_Year_Selection=$AL$278), ROUND(MAX(0,AP$416 - 2),0),
IF(AND(OR(AQ$279=123, AQ$279=23), Cultivar_2_Cohort_Year_Selection=$AL$278,Cultivar_3_Cohort_Year_Selection=$AL$278), ROUND(MAX(0,AP$416 - 2),0),
IF(AND(OR(AQ$279=123, AQ$279=12, AQ$279=13, AQ$279=1), Cultivar_1_Cohort_Year_Selection=$AL$278), ROUND(MAX(0,AP$416 - 1),0),
IF(AND(OR(AQ$279=123, AQ$279=12, AQ$279=23, AQ$279=2), Cultivar_2_Cohort_Year_Selection=$AL$278), ROUND(MAX(0,AP$416 - 1),0),
IF(AND(OR(AQ$279=123, AQ$279=13, AQ$279=23, AQ$279=3), Cultivar_3_Cohort_Year_Selection=$AL$278), ROUND(MAX(0,AP$416 - 1),0),
ROUND(MAX(0,AP$416),0)))))))),""),""),"")</f>
        <v/>
      </c>
      <c r="AR429" s="496" t="str">
        <f t="shared" ref="AR429:AR436" si="208">IF(ISNUMBER($B$417),
IF($C429&lt;&gt;"",
IF(AND(ISNUMBER(AQ$416), AQ$416&gt;0),
IF(AND(AR$279=123, Cultivar_1_Cohort_Year_Selection=$AM$278,Cultivar_2_Cohort_Year_Selection=$AM$278,Cultivar_3_Cohort_Year_Selection=$AM$278), ROUND(MAX(0,AQ$416 - 3),0),
IF(AND(OR(AR$279=123, AR$279=12), Cultivar_1_Cohort_Year_Selection=$AM$278,Cultivar_2_Cohort_Year_Selection=$AM$278), ROUND(MAX(0,AQ$416 - 2),0),
IF(AND(OR(AR$279=123, AR$279=13), Cultivar_1_Cohort_Year_Selection=$AM$278,Cultivar_3_Cohort_Year_Selection=$AM$278), ROUND(MAX(0,AQ$416 - 2),0),
IF(AND(OR(AR$279=123, AR$279=23), Cultivar_2_Cohort_Year_Selection=$AM$278,Cultivar_3_Cohort_Year_Selection=$AM$278), ROUND(MAX(0,AQ$416 - 2),0),
IF(AND(OR(AR$279=123, AR$279=12, AR$279=13, AR$279=1), Cultivar_1_Cohort_Year_Selection=$AM$278), ROUND(MAX(0,AQ$416 - 1),0),
IF(AND(OR(AR$279=123, AR$279=12, AR$279=23, AR$279=2), Cultivar_2_Cohort_Year_Selection=$AM$278), ROUND(MAX(0,AQ$416 - 1),0),
IF(AND(OR(AR$279=123, AR$279=13, AR$279=23, AR$279=3), Cultivar_3_Cohort_Year_Selection=$AM$278), ROUND(MAX(0,AQ$416 - 1),0),
ROUND(MAX(0,AQ$416),0)))))))),""),""),"")</f>
        <v/>
      </c>
      <c r="AS429" s="496" t="str">
        <f t="shared" ref="AS429:AS436" si="209">IF(ISNUMBER($B$417),
IF($C429&lt;&gt;"",
IF(AND(ISNUMBER(AR$416), AR$416&gt;0),
IF(AND(AS$279=123, Cultivar_1_Cohort_Year_Selection=$AN$278,Cultivar_2_Cohort_Year_Selection=$AN$278,Cultivar_3_Cohort_Year_Selection=$AN$278), ROUND(MAX(0,AR$416 - 3),0),
IF(AND(OR(AS$279=123, AS$279=12), Cultivar_1_Cohort_Year_Selection=$AN$278,Cultivar_2_Cohort_Year_Selection=$AN$278), ROUND(MAX(0,AR$416 - 2),0),
IF(AND(OR(AS$279=123, AS$279=13), Cultivar_1_Cohort_Year_Selection=$AN$278,Cultivar_3_Cohort_Year_Selection=$AN$278), ROUND(MAX(0,AR$416 - 2),0),
IF(AND(OR(AS$279=123, AS$279=23), Cultivar_2_Cohort_Year_Selection=$AN$278,Cultivar_3_Cohort_Year_Selection=$AN$278), ROUND(MAX(0,AR$416 - 2),0),
IF(AND(OR(AS$279=123, AS$279=12, AS$279=13, AS$279=1), Cultivar_1_Cohort_Year_Selection=$AN$278), ROUND(MAX(0,AR$416 - 1),0),
IF(AND(OR(AS$279=123, AS$279=12, AS$279=23, AS$279=2), Cultivar_2_Cohort_Year_Selection=$AN$278), ROUND(MAX(0,AR$416 - 1),0),
IF(AND(OR(AS$279=123, AS$279=13, AS$279=23, AS$279=3), Cultivar_3_Cohort_Year_Selection=$AN$278), ROUND(MAX(0,AR$416 - 1),0),
ROUND(MAX(0,AR$416),0)))))))),""),""),"")</f>
        <v/>
      </c>
      <c r="AT429" s="496" t="str">
        <f t="shared" ref="AT429:AT436" si="210">IF(ISNUMBER($B$417),
IF($C429&lt;&gt;"",
IF(AND(ISNUMBER(AS$416), AS$416&gt;0),
IF(AND(AT$279=123, Cultivar_1_Cohort_Year_Selection=$AO$278,Cultivar_2_Cohort_Year_Selection=$AO$278,Cultivar_3_Cohort_Year_Selection=$AO$278), ROUND(MAX(0,AS$416 - 3),0),
IF(AND(OR(AT$279=123, AT$279=12), Cultivar_1_Cohort_Year_Selection=$AO$278,Cultivar_2_Cohort_Year_Selection=$AO$278), ROUND(MAX(0,AS$416 - 2),0),
IF(AND(OR(AT$279=123, AT$279=13), Cultivar_1_Cohort_Year_Selection=$AO$278,Cultivar_3_Cohort_Year_Selection=$AO$278), ROUND(MAX(0,AS$416 - 2),0),
IF(AND(OR(AT$279=123, AT$279=23), Cultivar_2_Cohort_Year_Selection=$AO$278,Cultivar_3_Cohort_Year_Selection=$AO$278), ROUND(MAX(0,AS$416 - 2),0),
IF(AND(OR(AT$279=123, AT$279=12, AT$279=13, AT$279=1), Cultivar_1_Cohort_Year_Selection=$AO$278), ROUND(MAX(0,AS$416 - 1),0),
IF(AND(OR(AT$279=123, AT$279=12, AT$279=23, AT$279=2), Cultivar_2_Cohort_Year_Selection=$AO$278), ROUND(MAX(0,AS$416 - 1),0),
IF(AND(OR(AT$279=123, AT$279=13, AT$279=23, AT$279=3), Cultivar_3_Cohort_Year_Selection=$AO$278), ROUND(MAX(0,AS$416 - 1),0),
ROUND(MAX(0,AS$416),0)))))))),""),""),"")</f>
        <v/>
      </c>
      <c r="AU429" s="496" t="str">
        <f t="shared" ref="AU429:AU436" si="211">IF(ISNUMBER($B$417),
IF($C429&lt;&gt;"",
IF(AND(ISNUMBER(AT$416), AT$416&gt;0),
IF(AND(AU$279=123, Cultivar_1_Cohort_Year_Selection=$AP$278,Cultivar_2_Cohort_Year_Selection=$AP$278,Cultivar_3_Cohort_Year_Selection=$AP$278), ROUND(MAX(0,AT$416 - 3),0),
IF(AND(OR(AU$279=123, AU$279=12), Cultivar_1_Cohort_Year_Selection=$AP$278,Cultivar_2_Cohort_Year_Selection=$AP$278), ROUND(MAX(0,AT$416 - 2),0),
IF(AND(OR(AU$279=123, AU$279=13), Cultivar_1_Cohort_Year_Selection=$AP$278,Cultivar_3_Cohort_Year_Selection=$AP$278), ROUND(MAX(0,AT$416 - 2),0),
IF(AND(OR(AU$279=123, AU$279=23), Cultivar_2_Cohort_Year_Selection=$AP$278,Cultivar_3_Cohort_Year_Selection=$AP$278), ROUND(MAX(0,AT$416 - 2),0),
IF(AND(OR(AU$279=123, AU$279=12, AU$279=13, AU$279=1), Cultivar_1_Cohort_Year_Selection=$AP$278), ROUND(MAX(0,AT$416 - 1),0),
IF(AND(OR(AU$279=123, AU$279=12, AU$279=23, AU$279=2), Cultivar_2_Cohort_Year_Selection=$AP$278), ROUND(MAX(0,AT$416 - 1),0),
IF(AND(OR(AU$279=123, AU$279=13, AU$279=23, AU$279=3), Cultivar_3_Cohort_Year_Selection=$AP$278), ROUND(MAX(0,AT$416 - 1),0),
ROUND(MAX(0,AT$416),0)))))))),""),""),"")</f>
        <v/>
      </c>
    </row>
    <row r="430" spans="1:47" x14ac:dyDescent="0.25">
      <c r="A430" s="518"/>
      <c r="B430" s="504"/>
      <c r="C430" s="521"/>
      <c r="D430" s="94" t="str">
        <f>IF(AND(C429&lt;&gt;"", 'Cost Inputs'!$G$117&lt;&gt;""), 'Cost Inputs'!$G$117, "")</f>
        <v/>
      </c>
      <c r="E430" s="94" t="str">
        <f>IF(AND(C429&lt;&gt;"", 'Cost Inputs'!$H$117&lt;&gt;""), 'Cost Inputs'!$H$117, "")</f>
        <v/>
      </c>
      <c r="F430" s="492"/>
      <c r="G430" s="102" t="str">
        <f t="shared" si="152"/>
        <v/>
      </c>
      <c r="H430" s="492"/>
      <c r="I430" s="102" t="str">
        <f>IF($C429&lt;&gt;"", IF(AND($E430&lt;&gt;"", H429&lt;&gt;""), H429/($E429*$E430), 0), "")</f>
        <v/>
      </c>
      <c r="J430" s="492" t="str">
        <f>IF(AND(C430&lt;&gt;"",('Cost Inputs'!$I$86+'Cost Inputs'!$J$86+'Cost Inputs'!$K$86)&gt;0), 'Cost Inputs'!$I$86+'Cost Inputs'!$J$86+'Cost Inputs'!$K$86, "")</f>
        <v/>
      </c>
      <c r="K430" s="102" t="str">
        <f>IF($C429&lt;&gt;"", IF(AND($E430&lt;&gt;"", J429&lt;&gt;""), J429/($E429*$E430), 0), "")</f>
        <v/>
      </c>
      <c r="L430" s="525"/>
      <c r="M430" s="525"/>
      <c r="T430" s="496" t="str">
        <f t="shared" si="184"/>
        <v/>
      </c>
      <c r="U430" s="496" t="str">
        <f t="shared" si="185"/>
        <v/>
      </c>
      <c r="V430" s="496" t="str">
        <f t="shared" si="186"/>
        <v/>
      </c>
      <c r="W430" s="496" t="str">
        <f t="shared" si="187"/>
        <v/>
      </c>
      <c r="X430" s="496" t="str">
        <f t="shared" si="188"/>
        <v/>
      </c>
      <c r="Y430" s="496" t="str">
        <f t="shared" si="189"/>
        <v/>
      </c>
      <c r="Z430" s="496" t="str">
        <f t="shared" si="190"/>
        <v/>
      </c>
      <c r="AA430" s="496" t="str">
        <f t="shared" si="191"/>
        <v/>
      </c>
      <c r="AB430" s="496" t="str">
        <f t="shared" si="192"/>
        <v/>
      </c>
      <c r="AC430" s="496" t="str">
        <f t="shared" si="193"/>
        <v/>
      </c>
      <c r="AD430" s="496" t="str">
        <f t="shared" si="194"/>
        <v/>
      </c>
      <c r="AE430" s="496" t="str">
        <f t="shared" si="195"/>
        <v/>
      </c>
      <c r="AF430" s="496" t="str">
        <f t="shared" si="196"/>
        <v/>
      </c>
      <c r="AG430" s="496" t="str">
        <f t="shared" si="197"/>
        <v/>
      </c>
      <c r="AH430" s="496" t="str">
        <f t="shared" si="198"/>
        <v/>
      </c>
      <c r="AI430" s="496" t="str">
        <f t="shared" si="199"/>
        <v/>
      </c>
      <c r="AJ430" s="496" t="str">
        <f t="shared" si="200"/>
        <v/>
      </c>
      <c r="AK430" s="496" t="str">
        <f t="shared" si="201"/>
        <v/>
      </c>
      <c r="AL430" s="496" t="str">
        <f t="shared" si="202"/>
        <v/>
      </c>
      <c r="AM430" s="496" t="str">
        <f t="shared" si="203"/>
        <v/>
      </c>
      <c r="AN430" s="496" t="str">
        <f t="shared" si="204"/>
        <v/>
      </c>
      <c r="AO430" s="496" t="str">
        <f t="shared" si="205"/>
        <v/>
      </c>
      <c r="AP430" s="496" t="str">
        <f t="shared" si="206"/>
        <v/>
      </c>
      <c r="AQ430" s="496" t="str">
        <f t="shared" si="207"/>
        <v/>
      </c>
      <c r="AR430" s="496" t="str">
        <f t="shared" si="208"/>
        <v/>
      </c>
      <c r="AS430" s="496" t="str">
        <f t="shared" si="209"/>
        <v/>
      </c>
      <c r="AT430" s="496" t="str">
        <f t="shared" si="210"/>
        <v/>
      </c>
      <c r="AU430" s="496" t="str">
        <f t="shared" si="211"/>
        <v/>
      </c>
    </row>
    <row r="431" spans="1:47" x14ac:dyDescent="0.25">
      <c r="A431" s="518"/>
      <c r="B431" s="504"/>
      <c r="C431" s="376" t="str">
        <f>IF(AND(ISNUMBER(B417), C429&lt;&gt;"", OR('Cost Inputs'!$H$118&lt;&gt;"", 'Cost Inputs'!$I$118&lt;&gt;"", 'Cost Inputs'!$J$118&lt;&gt;"")), _4_5_1, "")</f>
        <v/>
      </c>
      <c r="D431" s="17" t="str">
        <f>IF(AND(C431&lt;&gt;"", 'Cost Inputs'!$G$118&lt;&gt;""), 'Cost Inputs'!$G$118, "")</f>
        <v/>
      </c>
      <c r="E431" s="17" t="str">
        <f>IF(AND(C431&lt;&gt;"", 'Cost Inputs'!$H$118&lt;&gt;""), 'Cost Inputs'!$H$118, "")</f>
        <v/>
      </c>
      <c r="F431" s="493" t="str">
        <f>IF(AND(C431&lt;&gt;"", 'Cost Inputs'!$I$118&lt;&gt;""), 'Cost Inputs'!$I$118, "")</f>
        <v/>
      </c>
      <c r="G431" s="105" t="str">
        <f t="shared" si="152"/>
        <v/>
      </c>
      <c r="H431" s="493" t="str">
        <f>IF(AND(C431&lt;&gt;"", 'Cost Inputs'!$J$118&lt;&gt;""), 'Cost Inputs'!$J$118, "")</f>
        <v/>
      </c>
      <c r="I431" s="105" t="str">
        <f>IF($C431&lt;&gt;"",IF(AND($E431&lt;&gt;"",H431&lt;&gt;""), H431/$E431, 0),"")</f>
        <v/>
      </c>
      <c r="J431" s="493" t="str">
        <f>IF(AND(C431&lt;&gt;"",('Cost Inputs'!$I$118+'Cost Inputs'!$J$118+'Cost Inputs'!$K$118)&gt;0), 'Cost Inputs'!$I$118+'Cost Inputs'!$J$118+'Cost Inputs'!$K$118, "")</f>
        <v/>
      </c>
      <c r="K431" s="105" t="str">
        <f>IF($C431&lt;&gt;"",IF(AND($E431&lt;&gt;"",J431&lt;&gt;""), J431/$E431, 0),"")</f>
        <v/>
      </c>
      <c r="L431" s="525"/>
      <c r="M431" s="525"/>
      <c r="T431" s="497" t="str">
        <f t="shared" si="184"/>
        <v/>
      </c>
      <c r="U431" s="497" t="str">
        <f t="shared" si="185"/>
        <v/>
      </c>
      <c r="V431" s="497" t="str">
        <f t="shared" si="186"/>
        <v/>
      </c>
      <c r="W431" s="497" t="str">
        <f t="shared" si="187"/>
        <v/>
      </c>
      <c r="X431" s="497" t="str">
        <f t="shared" si="188"/>
        <v/>
      </c>
      <c r="Y431" s="497" t="str">
        <f t="shared" si="189"/>
        <v/>
      </c>
      <c r="Z431" s="497" t="str">
        <f t="shared" si="190"/>
        <v/>
      </c>
      <c r="AA431" s="497" t="str">
        <f t="shared" si="191"/>
        <v/>
      </c>
      <c r="AB431" s="497" t="str">
        <f t="shared" si="192"/>
        <v/>
      </c>
      <c r="AC431" s="497" t="str">
        <f t="shared" si="193"/>
        <v/>
      </c>
      <c r="AD431" s="497" t="str">
        <f t="shared" si="194"/>
        <v/>
      </c>
      <c r="AE431" s="497" t="str">
        <f t="shared" si="195"/>
        <v/>
      </c>
      <c r="AF431" s="497" t="str">
        <f t="shared" si="196"/>
        <v/>
      </c>
      <c r="AG431" s="497" t="str">
        <f t="shared" si="197"/>
        <v/>
      </c>
      <c r="AH431" s="497" t="str">
        <f t="shared" si="198"/>
        <v/>
      </c>
      <c r="AI431" s="497" t="str">
        <f t="shared" si="199"/>
        <v/>
      </c>
      <c r="AJ431" s="497" t="str">
        <f t="shared" si="200"/>
        <v/>
      </c>
      <c r="AK431" s="497" t="str">
        <f t="shared" si="201"/>
        <v/>
      </c>
      <c r="AL431" s="497" t="str">
        <f t="shared" si="202"/>
        <v/>
      </c>
      <c r="AM431" s="497" t="str">
        <f t="shared" si="203"/>
        <v/>
      </c>
      <c r="AN431" s="497" t="str">
        <f t="shared" si="204"/>
        <v/>
      </c>
      <c r="AO431" s="497" t="str">
        <f t="shared" si="205"/>
        <v/>
      </c>
      <c r="AP431" s="497" t="str">
        <f t="shared" si="206"/>
        <v/>
      </c>
      <c r="AQ431" s="497" t="str">
        <f t="shared" si="207"/>
        <v/>
      </c>
      <c r="AR431" s="497" t="str">
        <f t="shared" si="208"/>
        <v/>
      </c>
      <c r="AS431" s="497" t="str">
        <f t="shared" si="209"/>
        <v/>
      </c>
      <c r="AT431" s="497" t="str">
        <f t="shared" si="210"/>
        <v/>
      </c>
      <c r="AU431" s="497" t="str">
        <f t="shared" si="211"/>
        <v/>
      </c>
    </row>
    <row r="432" spans="1:47" x14ac:dyDescent="0.25">
      <c r="A432" s="518"/>
      <c r="B432" s="504"/>
      <c r="C432" s="376" t="str">
        <f>IF(AND(ISNUMBER(B412), OR('Cost Inputs'!$H$85&lt;&gt;"", 'Cost Inputs'!$I$85&lt;&gt;"", 'Cost Inputs'!$J$85&lt;&gt;"")), _3_5_1, "")</f>
        <v/>
      </c>
      <c r="D432" s="17" t="str">
        <f>IF(AND(C431&lt;&gt;"", 'Cost Inputs'!$G$119&lt;&gt;""), 'Cost Inputs'!$G$119, "")</f>
        <v/>
      </c>
      <c r="E432" s="17" t="str">
        <f>IF(AND(C431&lt;&gt;"", 'Cost Inputs'!$H$119&lt;&gt;""), 'Cost Inputs'!$H$119, "")</f>
        <v/>
      </c>
      <c r="F432" s="493"/>
      <c r="G432" s="105" t="str">
        <f t="shared" si="152"/>
        <v/>
      </c>
      <c r="H432" s="493"/>
      <c r="I432" s="105" t="str">
        <f>IF($C431&lt;&gt;"", IF(AND($E432&lt;&gt;"", H431&lt;&gt;""), H431/($E431*$E432), 0), "")</f>
        <v/>
      </c>
      <c r="J432" s="493" t="str">
        <f>IF(AND(C432&lt;&gt;"",('Cost Inputs'!$I$86+'Cost Inputs'!$J$86+'Cost Inputs'!$K$86)&gt;0), 'Cost Inputs'!$I$86+'Cost Inputs'!$J$86+'Cost Inputs'!$K$86, "")</f>
        <v/>
      </c>
      <c r="K432" s="105" t="str">
        <f>IF($C431&lt;&gt;"", IF(AND($E432&lt;&gt;"", J431&lt;&gt;""), J431/($E431*$E432), 0), "")</f>
        <v/>
      </c>
      <c r="L432" s="525"/>
      <c r="M432" s="525"/>
      <c r="T432" s="497" t="str">
        <f t="shared" si="184"/>
        <v/>
      </c>
      <c r="U432" s="497" t="str">
        <f t="shared" si="185"/>
        <v/>
      </c>
      <c r="V432" s="497" t="str">
        <f t="shared" si="186"/>
        <v/>
      </c>
      <c r="W432" s="497" t="str">
        <f t="shared" si="187"/>
        <v/>
      </c>
      <c r="X432" s="497" t="str">
        <f t="shared" si="188"/>
        <v/>
      </c>
      <c r="Y432" s="497" t="str">
        <f t="shared" si="189"/>
        <v/>
      </c>
      <c r="Z432" s="497" t="str">
        <f t="shared" si="190"/>
        <v/>
      </c>
      <c r="AA432" s="497" t="str">
        <f t="shared" si="191"/>
        <v/>
      </c>
      <c r="AB432" s="497" t="str">
        <f t="shared" si="192"/>
        <v/>
      </c>
      <c r="AC432" s="497" t="str">
        <f t="shared" si="193"/>
        <v/>
      </c>
      <c r="AD432" s="497" t="str">
        <f t="shared" si="194"/>
        <v/>
      </c>
      <c r="AE432" s="497" t="str">
        <f t="shared" si="195"/>
        <v/>
      </c>
      <c r="AF432" s="497" t="str">
        <f t="shared" si="196"/>
        <v/>
      </c>
      <c r="AG432" s="497" t="str">
        <f t="shared" si="197"/>
        <v/>
      </c>
      <c r="AH432" s="497" t="str">
        <f t="shared" si="198"/>
        <v/>
      </c>
      <c r="AI432" s="497" t="str">
        <f t="shared" si="199"/>
        <v/>
      </c>
      <c r="AJ432" s="497" t="str">
        <f t="shared" si="200"/>
        <v/>
      </c>
      <c r="AK432" s="497" t="str">
        <f t="shared" si="201"/>
        <v/>
      </c>
      <c r="AL432" s="497" t="str">
        <f t="shared" si="202"/>
        <v/>
      </c>
      <c r="AM432" s="497" t="str">
        <f t="shared" si="203"/>
        <v/>
      </c>
      <c r="AN432" s="497" t="str">
        <f t="shared" si="204"/>
        <v/>
      </c>
      <c r="AO432" s="497" t="str">
        <f t="shared" si="205"/>
        <v/>
      </c>
      <c r="AP432" s="497" t="str">
        <f t="shared" si="206"/>
        <v/>
      </c>
      <c r="AQ432" s="497" t="str">
        <f t="shared" si="207"/>
        <v/>
      </c>
      <c r="AR432" s="497" t="str">
        <f t="shared" si="208"/>
        <v/>
      </c>
      <c r="AS432" s="497" t="str">
        <f t="shared" si="209"/>
        <v/>
      </c>
      <c r="AT432" s="497" t="str">
        <f t="shared" si="210"/>
        <v/>
      </c>
      <c r="AU432" s="497" t="str">
        <f t="shared" si="211"/>
        <v/>
      </c>
    </row>
    <row r="433" spans="1:48" x14ac:dyDescent="0.25">
      <c r="A433" s="518"/>
      <c r="B433" s="504"/>
      <c r="C433" s="107" t="str">
        <f>IF(AND(ISNUMBER(B417), C429&lt;&gt;"", OR('Cost Inputs'!$H$120&lt;&gt;"", 'Cost Inputs'!$I$120&lt;&gt;"", 'Cost Inputs'!$J$120&lt;&gt;"")), _4_5_2, "")</f>
        <v/>
      </c>
      <c r="D433" s="93" t="str">
        <f>IF(AND(C433&lt;&gt;"", 'Cost Inputs'!$G$120&lt;&gt;""), 'Cost Inputs'!$G$120, "")</f>
        <v/>
      </c>
      <c r="E433" s="93" t="str">
        <f>IF(AND(C433&lt;&gt;"", 'Cost Inputs'!$H$120&lt;&gt;""), 'Cost Inputs'!$H$120, "")</f>
        <v/>
      </c>
      <c r="F433" s="93" t="str">
        <f>IF(AND(C433&lt;&gt;"", 'Cost Inputs'!$I$120&lt;&gt;""), 'Cost Inputs'!$I$120, "")</f>
        <v/>
      </c>
      <c r="G433" s="108" t="str">
        <f t="shared" si="152"/>
        <v/>
      </c>
      <c r="H433" s="93" t="str">
        <f>IF(AND(C433&lt;&gt;"", 'Cost Inputs'!$J$120&lt;&gt;""), 'Cost Inputs'!$J$120, "")</f>
        <v/>
      </c>
      <c r="I433" s="93" t="str">
        <f>IF($C433&lt;&gt;"", IF(AND($E433&lt;&gt;"", H433&lt;&gt;""), H433/$E433, 0),"")</f>
        <v/>
      </c>
      <c r="J433" s="93" t="str">
        <f>IF(AND(C433&lt;&gt;"",('Cost Inputs'!$I$120+'Cost Inputs'!$J$120+'Cost Inputs'!$K$120)&gt;0), 'Cost Inputs'!$I$120+'Cost Inputs'!$J$120+'Cost Inputs'!$K$120, "")</f>
        <v/>
      </c>
      <c r="K433" s="93" t="str">
        <f>IF($C433&lt;&gt;"", IF(AND($E433&lt;&gt;"", J433&lt;&gt;""), J433/$E433, 0),"")</f>
        <v/>
      </c>
      <c r="L433" s="525"/>
      <c r="M433" s="525"/>
      <c r="T433" s="93" t="str">
        <f t="shared" si="184"/>
        <v/>
      </c>
      <c r="U433" s="93" t="str">
        <f t="shared" si="185"/>
        <v/>
      </c>
      <c r="V433" s="93" t="str">
        <f t="shared" si="186"/>
        <v/>
      </c>
      <c r="W433" s="93" t="str">
        <f t="shared" si="187"/>
        <v/>
      </c>
      <c r="X433" s="93" t="str">
        <f t="shared" si="188"/>
        <v/>
      </c>
      <c r="Y433" s="93" t="str">
        <f t="shared" si="189"/>
        <v/>
      </c>
      <c r="Z433" s="93" t="str">
        <f t="shared" si="190"/>
        <v/>
      </c>
      <c r="AA433" s="93" t="str">
        <f t="shared" si="191"/>
        <v/>
      </c>
      <c r="AB433" s="93" t="str">
        <f t="shared" si="192"/>
        <v/>
      </c>
      <c r="AC433" s="93" t="str">
        <f t="shared" si="193"/>
        <v/>
      </c>
      <c r="AD433" s="93" t="str">
        <f t="shared" si="194"/>
        <v/>
      </c>
      <c r="AE433" s="93" t="str">
        <f t="shared" si="195"/>
        <v/>
      </c>
      <c r="AF433" s="93" t="str">
        <f t="shared" si="196"/>
        <v/>
      </c>
      <c r="AG433" s="93" t="str">
        <f t="shared" si="197"/>
        <v/>
      </c>
      <c r="AH433" s="93" t="str">
        <f t="shared" si="198"/>
        <v/>
      </c>
      <c r="AI433" s="93" t="str">
        <f t="shared" si="199"/>
        <v/>
      </c>
      <c r="AJ433" s="93" t="str">
        <f t="shared" si="200"/>
        <v/>
      </c>
      <c r="AK433" s="93" t="str">
        <f t="shared" si="201"/>
        <v/>
      </c>
      <c r="AL433" s="93" t="str">
        <f t="shared" si="202"/>
        <v/>
      </c>
      <c r="AM433" s="93" t="str">
        <f t="shared" si="203"/>
        <v/>
      </c>
      <c r="AN433" s="93" t="str">
        <f t="shared" si="204"/>
        <v/>
      </c>
      <c r="AO433" s="93" t="str">
        <f t="shared" si="205"/>
        <v/>
      </c>
      <c r="AP433" s="93" t="str">
        <f t="shared" si="206"/>
        <v/>
      </c>
      <c r="AQ433" s="93" t="str">
        <f t="shared" si="207"/>
        <v/>
      </c>
      <c r="AR433" s="93" t="str">
        <f t="shared" si="208"/>
        <v/>
      </c>
      <c r="AS433" s="93" t="str">
        <f t="shared" si="209"/>
        <v/>
      </c>
      <c r="AT433" s="93" t="str">
        <f t="shared" si="210"/>
        <v/>
      </c>
      <c r="AU433" s="93" t="str">
        <f t="shared" si="211"/>
        <v/>
      </c>
    </row>
    <row r="434" spans="1:48" x14ac:dyDescent="0.25">
      <c r="A434" s="518"/>
      <c r="B434" s="504"/>
      <c r="C434" s="104" t="str">
        <f>IF(AND(ISNUMBER(B417), C429&lt;&gt;"", OR('Cost Inputs'!$H$121&lt;&gt;"", 'Cost Inputs'!$I$121&lt;&gt;"", 'Cost Inputs'!$J$121&lt;&gt;"")), _4_5_3, "")</f>
        <v/>
      </c>
      <c r="D434" s="17" t="str">
        <f>IF(AND(C434&lt;&gt;"", 'Cost Inputs'!$G$121&lt;&gt;""), 'Cost Inputs'!$G$121, "")</f>
        <v/>
      </c>
      <c r="E434" s="17" t="str">
        <f>IF(AND(C434&lt;&gt;"", 'Cost Inputs'!$H$121&lt;&gt;""), 'Cost Inputs'!$H$121, "")</f>
        <v/>
      </c>
      <c r="F434" s="17" t="str">
        <f>IF(AND(C434&lt;&gt;"", 'Cost Inputs'!$I$121&lt;&gt;""), 'Cost Inputs'!$I$121, "")</f>
        <v/>
      </c>
      <c r="G434" s="105" t="str">
        <f t="shared" si="152"/>
        <v/>
      </c>
      <c r="H434" s="17" t="str">
        <f>IF(AND(C434&lt;&gt;"", 'Cost Inputs'!$J$121&lt;&gt;""), 'Cost Inputs'!$J$121, "")</f>
        <v/>
      </c>
      <c r="I434" s="17" t="str">
        <f>IF($C434&lt;&gt;"", IF(AND($E434&lt;&gt;"", H434&lt;&gt;""), H434/$E434, 0),"")</f>
        <v/>
      </c>
      <c r="J434" s="17" t="str">
        <f>IF(AND(C434&lt;&gt;"",('Cost Inputs'!$I$121+'Cost Inputs'!$J$121+'Cost Inputs'!$K$121)&gt;0), 'Cost Inputs'!$I$121+'Cost Inputs'!$J$121+'Cost Inputs'!$K$121, "")</f>
        <v/>
      </c>
      <c r="K434" s="17" t="str">
        <f>IF($C434&lt;&gt;"", IF(AND($E434&lt;&gt;"", J434&lt;&gt;""), J434/$E434, 0),"")</f>
        <v/>
      </c>
      <c r="L434" s="525"/>
      <c r="M434" s="525"/>
      <c r="T434" s="17" t="str">
        <f t="shared" si="184"/>
        <v/>
      </c>
      <c r="U434" s="17" t="str">
        <f t="shared" si="185"/>
        <v/>
      </c>
      <c r="V434" s="17" t="str">
        <f t="shared" si="186"/>
        <v/>
      </c>
      <c r="W434" s="17" t="str">
        <f t="shared" si="187"/>
        <v/>
      </c>
      <c r="X434" s="17" t="str">
        <f t="shared" si="188"/>
        <v/>
      </c>
      <c r="Y434" s="17" t="str">
        <f t="shared" si="189"/>
        <v/>
      </c>
      <c r="Z434" s="17" t="str">
        <f t="shared" si="190"/>
        <v/>
      </c>
      <c r="AA434" s="17" t="str">
        <f t="shared" si="191"/>
        <v/>
      </c>
      <c r="AB434" s="17" t="str">
        <f t="shared" si="192"/>
        <v/>
      </c>
      <c r="AC434" s="17" t="str">
        <f t="shared" si="193"/>
        <v/>
      </c>
      <c r="AD434" s="17" t="str">
        <f t="shared" si="194"/>
        <v/>
      </c>
      <c r="AE434" s="17" t="str">
        <f t="shared" si="195"/>
        <v/>
      </c>
      <c r="AF434" s="17" t="str">
        <f t="shared" si="196"/>
        <v/>
      </c>
      <c r="AG434" s="17" t="str">
        <f t="shared" si="197"/>
        <v/>
      </c>
      <c r="AH434" s="17" t="str">
        <f t="shared" si="198"/>
        <v/>
      </c>
      <c r="AI434" s="17" t="str">
        <f t="shared" si="199"/>
        <v/>
      </c>
      <c r="AJ434" s="17" t="str">
        <f t="shared" si="200"/>
        <v/>
      </c>
      <c r="AK434" s="17" t="str">
        <f t="shared" si="201"/>
        <v/>
      </c>
      <c r="AL434" s="17" t="str">
        <f t="shared" si="202"/>
        <v/>
      </c>
      <c r="AM434" s="17" t="str">
        <f t="shared" si="203"/>
        <v/>
      </c>
      <c r="AN434" s="17" t="str">
        <f t="shared" si="204"/>
        <v/>
      </c>
      <c r="AO434" s="17" t="str">
        <f t="shared" si="205"/>
        <v/>
      </c>
      <c r="AP434" s="17" t="str">
        <f t="shared" si="206"/>
        <v/>
      </c>
      <c r="AQ434" s="17" t="str">
        <f t="shared" si="207"/>
        <v/>
      </c>
      <c r="AR434" s="17" t="str">
        <f t="shared" si="208"/>
        <v/>
      </c>
      <c r="AS434" s="17" t="str">
        <f t="shared" si="209"/>
        <v/>
      </c>
      <c r="AT434" s="17" t="str">
        <f t="shared" si="210"/>
        <v/>
      </c>
      <c r="AU434" s="17" t="str">
        <f t="shared" si="211"/>
        <v/>
      </c>
    </row>
    <row r="435" spans="1:48" x14ac:dyDescent="0.25">
      <c r="A435" s="518"/>
      <c r="B435" s="504"/>
      <c r="C435" s="107" t="str">
        <f>IF(AND(ISNUMBER(B417), C429&lt;&gt;"", OR('Cost Inputs'!$H$122&lt;&gt;"", 'Cost Inputs'!$I$122&lt;&gt;"", 'Cost Inputs'!$J$122&lt;&gt;"")), _4_5_2, "")</f>
        <v/>
      </c>
      <c r="D435" s="93" t="str">
        <f>IF(AND(C435&lt;&gt;"", 'Cost Inputs'!$G$122&lt;&gt;""), 'Cost Inputs'!$G$122, "")</f>
        <v/>
      </c>
      <c r="E435" s="93" t="str">
        <f>IF(AND(C435&lt;&gt;"", 'Cost Inputs'!$H$122&lt;&gt;""), 'Cost Inputs'!$H$122, "")</f>
        <v/>
      </c>
      <c r="F435" s="93" t="str">
        <f>IF(AND(C435&lt;&gt;"", 'Cost Inputs'!$I$122&lt;&gt;""), 'Cost Inputs'!$I$122, "")</f>
        <v/>
      </c>
      <c r="G435" s="108" t="str">
        <f t="shared" si="152"/>
        <v/>
      </c>
      <c r="H435" s="93" t="str">
        <f>IF(AND(C435&lt;&gt;"", 'Cost Inputs'!$J$122&lt;&gt;""), 'Cost Inputs'!$J$122, "")</f>
        <v/>
      </c>
      <c r="I435" s="93" t="str">
        <f>IF($C435&lt;&gt;"", IF(AND($E435&lt;&gt;"", H435&lt;&gt;""), H435/$E435, 0),"")</f>
        <v/>
      </c>
      <c r="J435" s="93" t="str">
        <f>IF(AND(C435&lt;&gt;"",('Cost Inputs'!$I$122+'Cost Inputs'!$J$122+'Cost Inputs'!$K$122)&gt;0), 'Cost Inputs'!$I$122+'Cost Inputs'!$J$122+'Cost Inputs'!$K$122, "")</f>
        <v/>
      </c>
      <c r="K435" s="93" t="str">
        <f>IF($C435&lt;&gt;"", IF(AND($E435&lt;&gt;"", J435&lt;&gt;""), J435/$E435, 0),"")</f>
        <v/>
      </c>
      <c r="L435" s="525"/>
      <c r="M435" s="525"/>
      <c r="T435" s="93" t="str">
        <f t="shared" si="184"/>
        <v/>
      </c>
      <c r="U435" s="93" t="str">
        <f t="shared" si="185"/>
        <v/>
      </c>
      <c r="V435" s="93" t="str">
        <f t="shared" si="186"/>
        <v/>
      </c>
      <c r="W435" s="93" t="str">
        <f t="shared" si="187"/>
        <v/>
      </c>
      <c r="X435" s="93" t="str">
        <f t="shared" si="188"/>
        <v/>
      </c>
      <c r="Y435" s="93" t="str">
        <f t="shared" si="189"/>
        <v/>
      </c>
      <c r="Z435" s="93" t="str">
        <f t="shared" si="190"/>
        <v/>
      </c>
      <c r="AA435" s="93" t="str">
        <f t="shared" si="191"/>
        <v/>
      </c>
      <c r="AB435" s="93" t="str">
        <f t="shared" si="192"/>
        <v/>
      </c>
      <c r="AC435" s="93" t="str">
        <f t="shared" si="193"/>
        <v/>
      </c>
      <c r="AD435" s="93" t="str">
        <f t="shared" si="194"/>
        <v/>
      </c>
      <c r="AE435" s="93" t="str">
        <f t="shared" si="195"/>
        <v/>
      </c>
      <c r="AF435" s="93" t="str">
        <f t="shared" si="196"/>
        <v/>
      </c>
      <c r="AG435" s="93" t="str">
        <f t="shared" si="197"/>
        <v/>
      </c>
      <c r="AH435" s="93" t="str">
        <f t="shared" si="198"/>
        <v/>
      </c>
      <c r="AI435" s="93" t="str">
        <f t="shared" si="199"/>
        <v/>
      </c>
      <c r="AJ435" s="93" t="str">
        <f t="shared" si="200"/>
        <v/>
      </c>
      <c r="AK435" s="93" t="str">
        <f t="shared" si="201"/>
        <v/>
      </c>
      <c r="AL435" s="93" t="str">
        <f t="shared" si="202"/>
        <v/>
      </c>
      <c r="AM435" s="93" t="str">
        <f t="shared" si="203"/>
        <v/>
      </c>
      <c r="AN435" s="93" t="str">
        <f t="shared" si="204"/>
        <v/>
      </c>
      <c r="AO435" s="93" t="str">
        <f t="shared" si="205"/>
        <v/>
      </c>
      <c r="AP435" s="93" t="str">
        <f t="shared" si="206"/>
        <v/>
      </c>
      <c r="AQ435" s="93" t="str">
        <f t="shared" si="207"/>
        <v/>
      </c>
      <c r="AR435" s="93" t="str">
        <f t="shared" si="208"/>
        <v/>
      </c>
      <c r="AS435" s="93" t="str">
        <f t="shared" si="209"/>
        <v/>
      </c>
      <c r="AT435" s="93" t="str">
        <f t="shared" si="210"/>
        <v/>
      </c>
      <c r="AU435" s="93" t="str">
        <f t="shared" si="211"/>
        <v/>
      </c>
    </row>
    <row r="436" spans="1:48" x14ac:dyDescent="0.25">
      <c r="A436" s="518"/>
      <c r="B436" s="504"/>
      <c r="C436" s="104" t="str">
        <f>IF(AND(ISNUMBER(B417), C429&lt;&gt;"", OR('Cost Inputs'!$H$123&lt;&gt;"", 'Cost Inputs'!$I$123&lt;&gt;"", 'Cost Inputs'!$J$123&lt;&gt;"")), _4_5_3, "")</f>
        <v/>
      </c>
      <c r="D436" s="17" t="str">
        <f>IF(AND(C436&lt;&gt;"", 'Cost Inputs'!$G$123&lt;&gt;""), 'Cost Inputs'!$G$123, "")</f>
        <v/>
      </c>
      <c r="E436" s="17" t="str">
        <f>IF(AND(C436&lt;&gt;"", 'Cost Inputs'!$H$123&lt;&gt;""), 'Cost Inputs'!$H$123, "")</f>
        <v/>
      </c>
      <c r="F436" s="17" t="str">
        <f>IF(AND(C436&lt;&gt;"", 'Cost Inputs'!$I$123&lt;&gt;""), 'Cost Inputs'!$I$123, "")</f>
        <v/>
      </c>
      <c r="G436" s="105" t="str">
        <f t="shared" si="152"/>
        <v/>
      </c>
      <c r="H436" s="17" t="str">
        <f>IF(AND(C436&lt;&gt;"", 'Cost Inputs'!$J$123&lt;&gt;""), 'Cost Inputs'!$J$123, "")</f>
        <v/>
      </c>
      <c r="I436" s="17" t="str">
        <f>IF($C436&lt;&gt;"", IF(AND($E436&lt;&gt;"", H436&lt;&gt;""), H436/$E436, 0),"")</f>
        <v/>
      </c>
      <c r="J436" s="17" t="str">
        <f>IF(AND(C436&lt;&gt;"",('Cost Inputs'!$I$123+'Cost Inputs'!$J$123+'Cost Inputs'!$K$123)&gt;0), 'Cost Inputs'!$I$123+'Cost Inputs'!$J$123+'Cost Inputs'!$K$123, "")</f>
        <v/>
      </c>
      <c r="K436" s="17" t="str">
        <f>IF($C436&lt;&gt;"", IF(AND($E436&lt;&gt;"", J436&lt;&gt;""), J436/$E436, 0),"")</f>
        <v/>
      </c>
      <c r="L436" s="525"/>
      <c r="M436" s="525"/>
      <c r="T436" s="17" t="str">
        <f t="shared" si="184"/>
        <v/>
      </c>
      <c r="U436" s="17" t="str">
        <f t="shared" si="185"/>
        <v/>
      </c>
      <c r="V436" s="17" t="str">
        <f t="shared" si="186"/>
        <v/>
      </c>
      <c r="W436" s="17" t="str">
        <f t="shared" si="187"/>
        <v/>
      </c>
      <c r="X436" s="17" t="str">
        <f t="shared" si="188"/>
        <v/>
      </c>
      <c r="Y436" s="17" t="str">
        <f t="shared" si="189"/>
        <v/>
      </c>
      <c r="Z436" s="17" t="str">
        <f t="shared" si="190"/>
        <v/>
      </c>
      <c r="AA436" s="17" t="str">
        <f t="shared" si="191"/>
        <v/>
      </c>
      <c r="AB436" s="17" t="str">
        <f t="shared" si="192"/>
        <v/>
      </c>
      <c r="AC436" s="17" t="str">
        <f t="shared" si="193"/>
        <v/>
      </c>
      <c r="AD436" s="17" t="str">
        <f t="shared" si="194"/>
        <v/>
      </c>
      <c r="AE436" s="17" t="str">
        <f t="shared" si="195"/>
        <v/>
      </c>
      <c r="AF436" s="17" t="str">
        <f t="shared" si="196"/>
        <v/>
      </c>
      <c r="AG436" s="17" t="str">
        <f t="shared" si="197"/>
        <v/>
      </c>
      <c r="AH436" s="17" t="str">
        <f t="shared" si="198"/>
        <v/>
      </c>
      <c r="AI436" s="17" t="str">
        <f t="shared" si="199"/>
        <v/>
      </c>
      <c r="AJ436" s="17" t="str">
        <f t="shared" si="200"/>
        <v/>
      </c>
      <c r="AK436" s="17" t="str">
        <f t="shared" si="201"/>
        <v/>
      </c>
      <c r="AL436" s="17" t="str">
        <f t="shared" si="202"/>
        <v/>
      </c>
      <c r="AM436" s="17" t="str">
        <f t="shared" si="203"/>
        <v/>
      </c>
      <c r="AN436" s="17" t="str">
        <f t="shared" si="204"/>
        <v/>
      </c>
      <c r="AO436" s="17" t="str">
        <f t="shared" si="205"/>
        <v/>
      </c>
      <c r="AP436" s="17" t="str">
        <f t="shared" si="206"/>
        <v/>
      </c>
      <c r="AQ436" s="17" t="str">
        <f t="shared" si="207"/>
        <v/>
      </c>
      <c r="AR436" s="17" t="str">
        <f t="shared" si="208"/>
        <v/>
      </c>
      <c r="AS436" s="17" t="str">
        <f t="shared" si="209"/>
        <v/>
      </c>
      <c r="AT436" s="17" t="str">
        <f t="shared" si="210"/>
        <v/>
      </c>
      <c r="AU436" s="17" t="str">
        <f t="shared" si="211"/>
        <v/>
      </c>
    </row>
    <row r="437" spans="1:48" x14ac:dyDescent="0.25">
      <c r="A437" s="518"/>
      <c r="B437" s="504"/>
      <c r="C437" s="110" t="str">
        <f>IF(ISNUMBER(B417), _4_6_0, "")</f>
        <v/>
      </c>
      <c r="D437" s="94" t="str">
        <f>IF(AND(C437&lt;&gt;"", 'Cost Inputs'!$G$124&lt;&gt;""), 'Cost Inputs'!$G$124, "")</f>
        <v/>
      </c>
      <c r="E437" s="94" t="str">
        <f>IF(AND(C437&lt;&gt;"", 'Cost Inputs'!$H$124&lt;&gt;""), 'Cost Inputs'!$H$124, "")</f>
        <v/>
      </c>
      <c r="F437" s="94" t="str">
        <f>IF(AND(C437&lt;&gt;"", 'Cost Inputs'!$I$124&lt;&gt;""), 'Cost Inputs'!$I$124, "")</f>
        <v/>
      </c>
      <c r="G437" s="102" t="str">
        <f t="shared" si="152"/>
        <v/>
      </c>
      <c r="H437" s="94" t="str">
        <f>IF(AND(C437&lt;&gt;"", 'Cost Inputs'!$J$124&lt;&gt;""), 'Cost Inputs'!$J$124, "")</f>
        <v/>
      </c>
      <c r="I437" s="102" t="str">
        <f>IF($C437&lt;&gt;"",IF(AND($E437&lt;&gt;"",H437&lt;&gt;""), H437/$E437, 0),"")</f>
        <v/>
      </c>
      <c r="J437" s="94" t="str">
        <f>IF(AND(C437&lt;&gt;"",('Cost Inputs'!$I$124+'Cost Inputs'!$J$124+'Cost Inputs'!$K$124)&gt;0), 'Cost Inputs'!$I$124+'Cost Inputs'!$J$124+'Cost Inputs'!$K$124, "")</f>
        <v/>
      </c>
      <c r="K437" s="102" t="str">
        <f>IF($C437&lt;&gt;"",IF(AND($E437&lt;&gt;"",J437&lt;&gt;""), J437/$E437, 0),"")</f>
        <v/>
      </c>
      <c r="L437" s="525"/>
      <c r="M437" s="525"/>
      <c r="T437" s="102" t="str">
        <f>IF(ISNUMBER($B$417), IF($C437&lt;&gt;"", IF(AND(ISNUMBER('Stage 2 Randomized Selection'!E$2),'Stage 2 Randomized Selection'!E$2&gt;0),'Stage 2 Randomized Selection'!E$2*$M417, ""),""),"")</f>
        <v/>
      </c>
      <c r="U437" s="102" t="str">
        <f>IF(ISNUMBER($B$417), IF($C437&lt;&gt;"", IF(AND(ISNUMBER('Stage 2 Randomized Selection'!F$2),'Stage 2 Randomized Selection'!F$2&gt;0),'Stage 2 Randomized Selection'!F$2*$M417, ""),""),"")</f>
        <v/>
      </c>
      <c r="V437" s="102" t="str">
        <f>IF(ISNUMBER($B$417), IF($C437&lt;&gt;"", IF(AND(ISNUMBER('Stage 2 Randomized Selection'!G$2),'Stage 2 Randomized Selection'!G$2&gt;0),'Stage 2 Randomized Selection'!G$2*$M417, ""),""),"")</f>
        <v/>
      </c>
      <c r="W437" s="102" t="str">
        <f>IF(ISNUMBER($B$417), IF($C437&lt;&gt;"", IF(AND(ISNUMBER('Stage 2 Randomized Selection'!H$2),'Stage 2 Randomized Selection'!H$2&gt;0),'Stage 2 Randomized Selection'!H$2*$M417, ""),""),"")</f>
        <v/>
      </c>
      <c r="X437" s="102" t="str">
        <f>IF(ISNUMBER($B$417), IF($C437&lt;&gt;"", IF(AND(ISNUMBER('Stage 2 Randomized Selection'!I$2),'Stage 2 Randomized Selection'!I$2&gt;0),'Stage 2 Randomized Selection'!I$2*$M417, ""),""),"")</f>
        <v/>
      </c>
      <c r="Y437" s="102" t="str">
        <f>IF(ISNUMBER($B$417), IF($C437&lt;&gt;"", IF(AND(ISNUMBER('Stage 2 Randomized Selection'!J$2),'Stage 2 Randomized Selection'!J$2&gt;0),'Stage 2 Randomized Selection'!J$2*$M417, ""),""),"")</f>
        <v/>
      </c>
      <c r="Z437" s="102" t="str">
        <f>IF(ISNUMBER($B$417), IF($C437&lt;&gt;"", IF(AND(ISNUMBER('Stage 2 Randomized Selection'!K$2),'Stage 2 Randomized Selection'!K$2&gt;0),'Stage 2 Randomized Selection'!K$2*$M417, ""),""),"")</f>
        <v/>
      </c>
      <c r="AA437" s="102" t="str">
        <f>IF(ISNUMBER($B$417), IF($C437&lt;&gt;"", IF(AND(ISNUMBER('Stage 2 Randomized Selection'!L$2),'Stage 2 Randomized Selection'!L$2&gt;0),'Stage 2 Randomized Selection'!L$2*$M417, ""),""),"")</f>
        <v/>
      </c>
      <c r="AB437" s="102" t="str">
        <f>IF(ISNUMBER($B$417), IF($C437&lt;&gt;"", IF(AND(ISNUMBER('Stage 2 Randomized Selection'!M$2),'Stage 2 Randomized Selection'!M$2&gt;0),'Stage 2 Randomized Selection'!M$2*$M417, ""),""),"")</f>
        <v/>
      </c>
      <c r="AC437" s="102" t="str">
        <f>IF(ISNUMBER($B$417), IF($C437&lt;&gt;"", IF(AND(ISNUMBER('Stage 2 Randomized Selection'!N$2),'Stage 2 Randomized Selection'!N$2&gt;0),'Stage 2 Randomized Selection'!N$2*$M417, ""),""),"")</f>
        <v/>
      </c>
      <c r="AD437" s="102" t="str">
        <f>IF(ISNUMBER($B$417), IF($C437&lt;&gt;"", IF(AND(ISNUMBER('Stage 2 Randomized Selection'!O$2),'Stage 2 Randomized Selection'!O$2&gt;0),'Stage 2 Randomized Selection'!O$2*$M417, ""),""),"")</f>
        <v/>
      </c>
      <c r="AE437" s="102" t="str">
        <f>IF(ISNUMBER($B$417), IF($C437&lt;&gt;"", IF(AND(ISNUMBER('Stage 2 Randomized Selection'!P$2),'Stage 2 Randomized Selection'!P$2&gt;0),'Stage 2 Randomized Selection'!P$2*$M417, ""),""),"")</f>
        <v/>
      </c>
      <c r="AF437" s="102" t="str">
        <f>IF(ISNUMBER($B$417), IF($C437&lt;&gt;"", IF(AND(ISNUMBER('Stage 2 Randomized Selection'!Q$2),'Stage 2 Randomized Selection'!Q$2&gt;0),'Stage 2 Randomized Selection'!Q$2*$M417, ""),""),"")</f>
        <v/>
      </c>
      <c r="AG437" s="102" t="str">
        <f>IF(ISNUMBER($B$417), IF($C437&lt;&gt;"", IF(AND(ISNUMBER('Stage 2 Randomized Selection'!R$2),'Stage 2 Randomized Selection'!R$2&gt;0),'Stage 2 Randomized Selection'!R$2*$M417, ""),""),"")</f>
        <v/>
      </c>
      <c r="AH437" s="102" t="str">
        <f>IF(ISNUMBER($B$417), IF($C437&lt;&gt;"", IF(AND(ISNUMBER('Stage 2 Randomized Selection'!S$2),'Stage 2 Randomized Selection'!S$2&gt;0),'Stage 2 Randomized Selection'!S$2*$M417, ""),""),"")</f>
        <v/>
      </c>
      <c r="AI437" s="102" t="str">
        <f>IF(ISNUMBER($B$417), IF($C437&lt;&gt;"", IF(AND(ISNUMBER('Stage 2 Randomized Selection'!T$2),'Stage 2 Randomized Selection'!T$2&gt;0),'Stage 2 Randomized Selection'!T$2*$M417, ""),""),"")</f>
        <v/>
      </c>
      <c r="AJ437" s="102" t="str">
        <f>IF(ISNUMBER($B$417), IF($C437&lt;&gt;"", IF(AND(ISNUMBER('Stage 2 Randomized Selection'!U$2),'Stage 2 Randomized Selection'!U$2&gt;0),'Stage 2 Randomized Selection'!U$2*$M417, ""),""),"")</f>
        <v/>
      </c>
      <c r="AK437" s="102" t="str">
        <f>IF(ISNUMBER($B$417), IF($C437&lt;&gt;"", IF(AND(ISNUMBER('Stage 2 Randomized Selection'!V$2),'Stage 2 Randomized Selection'!V$2&gt;0),'Stage 2 Randomized Selection'!V$2*$M417, ""),""),"")</f>
        <v/>
      </c>
      <c r="AL437" s="102" t="str">
        <f>IF(ISNUMBER($B$417), IF($C437&lt;&gt;"", IF(AND(ISNUMBER('Stage 2 Randomized Selection'!W$2),'Stage 2 Randomized Selection'!W$2&gt;0),'Stage 2 Randomized Selection'!W$2*$M417, ""),""),"")</f>
        <v/>
      </c>
      <c r="AM437" s="102" t="str">
        <f>IF(ISNUMBER($B$417), IF($C437&lt;&gt;"", IF(AND(ISNUMBER('Stage 2 Randomized Selection'!X$2),'Stage 2 Randomized Selection'!X$2&gt;0),'Stage 2 Randomized Selection'!X$2*$M417, ""),""),"")</f>
        <v/>
      </c>
      <c r="AN437" s="102" t="str">
        <f>IF(ISNUMBER($B$417), IF($C437&lt;&gt;"", IF(AND(ISNUMBER('Stage 2 Randomized Selection'!Y$2),'Stage 2 Randomized Selection'!Y$2&gt;0),'Stage 2 Randomized Selection'!Y$2*$M417, ""),""),"")</f>
        <v/>
      </c>
      <c r="AO437" s="102" t="str">
        <f>IF(ISNUMBER($B$417), IF($C437&lt;&gt;"", IF(AND(ISNUMBER('Stage 2 Randomized Selection'!Z$2),'Stage 2 Randomized Selection'!Z$2&gt;0),'Stage 2 Randomized Selection'!Z$2*$M417, ""),""),"")</f>
        <v/>
      </c>
      <c r="AP437" s="102" t="str">
        <f>IF(ISNUMBER($B$417), IF($C437&lt;&gt;"", IF(AND(ISNUMBER('Stage 2 Randomized Selection'!AA$2),'Stage 2 Randomized Selection'!AA$2&gt;0),'Stage 2 Randomized Selection'!AA$2*$M417, ""),""),"")</f>
        <v/>
      </c>
      <c r="AQ437" s="102" t="str">
        <f>IF(ISNUMBER($B$417), IF($C437&lt;&gt;"", IF(AND(ISNUMBER('Stage 2 Randomized Selection'!AB$2),'Stage 2 Randomized Selection'!AB$2&gt;0),'Stage 2 Randomized Selection'!AB$2*$M417, ""),""),"")</f>
        <v/>
      </c>
      <c r="AR437" s="102" t="str">
        <f>IF(ISNUMBER($B$417), IF($C437&lt;&gt;"", IF(AND(ISNUMBER('Stage 2 Randomized Selection'!AC$2),'Stage 2 Randomized Selection'!AC$2&gt;0),'Stage 2 Randomized Selection'!AC$2*$M417, ""),""),"")</f>
        <v/>
      </c>
      <c r="AS437" s="102" t="str">
        <f>IF(ISNUMBER($B$417), IF($C437&lt;&gt;"", IF(AND(ISNUMBER('Stage 2 Randomized Selection'!AD$2),'Stage 2 Randomized Selection'!AD$2&gt;0),'Stage 2 Randomized Selection'!AD$2*$M417, ""),""),"")</f>
        <v/>
      </c>
      <c r="AT437" s="102" t="str">
        <f>IF(ISNUMBER($B$417), IF($C437&lt;&gt;"", IF(AND(ISNUMBER('Stage 2 Randomized Selection'!AE$2),'Stage 2 Randomized Selection'!AE$2&gt;0),'Stage 2 Randomized Selection'!AE$2*$M417, ""),""),"")</f>
        <v/>
      </c>
      <c r="AU437" s="102" t="str">
        <f>IF(ISNUMBER($B$417), IF($C437&lt;&gt;"", IF(AND(ISNUMBER('Stage 2 Randomized Selection'!AF$2),'Stage 2 Randomized Selection'!AF$2&gt;0),'Stage 2 Randomized Selection'!AF$2*$M417, ""),""),"")</f>
        <v/>
      </c>
    </row>
    <row r="438" spans="1:48" x14ac:dyDescent="0.25">
      <c r="A438" s="518"/>
      <c r="B438" s="504"/>
      <c r="C438" s="104" t="str">
        <f>IF(AND(ISNUMBER(B417), OR('Cost Inputs'!$H$125&lt;&gt;"", 'Cost Inputs'!$I$125&lt;&gt;"", 'Cost Inputs'!$J$125&lt;&gt;"")), _4_5_3, "")</f>
        <v/>
      </c>
      <c r="D438" s="17" t="str">
        <f>IF(AND(C438&lt;&gt;"", 'Cost Inputs'!$G$125&lt;&gt;""), 'Cost Inputs'!$G$125, "")</f>
        <v/>
      </c>
      <c r="E438" s="17" t="str">
        <f>IF(AND(C438&lt;&gt;"", 'Cost Inputs'!$H$125&lt;&gt;""), 'Cost Inputs'!$H$125, "")</f>
        <v/>
      </c>
      <c r="F438" s="17" t="str">
        <f>IF(AND(C438&lt;&gt;"", 'Cost Inputs'!$I$125&lt;&gt;""), 'Cost Inputs'!$I$125, "")</f>
        <v/>
      </c>
      <c r="G438" s="105" t="str">
        <f t="shared" si="152"/>
        <v/>
      </c>
      <c r="H438" s="17" t="str">
        <f>IF(AND(C438&lt;&gt;"", 'Cost Inputs'!$J$125&lt;&gt;""), 'Cost Inputs'!$J$125, "")</f>
        <v/>
      </c>
      <c r="I438" s="17" t="str">
        <f>IF($C438&lt;&gt;"", IF(AND($E438&lt;&gt;"", H438&lt;&gt;""), H438/$E438, 0),"")</f>
        <v/>
      </c>
      <c r="J438" s="17" t="str">
        <f>IF(AND(C438&lt;&gt;"",('Cost Inputs'!$I$125+'Cost Inputs'!$J$125+'Cost Inputs'!$K$125)&gt;0), 'Cost Inputs'!$I$125+'Cost Inputs'!$J$125+'Cost Inputs'!$K$125, "")</f>
        <v/>
      </c>
      <c r="K438" s="17" t="str">
        <f>IF($C438&lt;&gt;"", IF(AND($E438&lt;&gt;"", J438&lt;&gt;""), J438/$E438, 0),"")</f>
        <v/>
      </c>
      <c r="L438" s="525"/>
      <c r="M438" s="525"/>
      <c r="T438" s="17" t="str">
        <f>IF(ISNUMBER($B$417),
IF($C438&lt;&gt;"",
IF(AND(ISNUMBER(S$416), S$416&gt;0),
IF(AND(T$279=123, Cultivar_1_Cohort_Year_Selection=$O$278,Cultivar_2_Cohort_Year_Selection=$O$278,Cultivar_3_Cohort_Year_Selection=$O$278), ROUND(MAX(0,S$416 - 3),0),
IF(AND(OR(T$279=123, T$279=12), Cultivar_1_Cohort_Year_Selection=$O$278,Cultivar_2_Cohort_Year_Selection=$O$278), ROUND(MAX(0,S$416 - 2),0),
IF(AND(OR(T$279=123, T$279=13), Cultivar_1_Cohort_Year_Selection=$O$278,Cultivar_3_Cohort_Year_Selection=$O$278), ROUND(MAX(0,S$416 - 2),0),
IF(AND(OR(T$279=123, T$279=23), Cultivar_2_Cohort_Year_Selection=$O$278,Cultivar_3_Cohort_Year_Selection=$O$278), ROUND(MAX(0,S$416 - 2),0),
IF(AND(OR(T$279=123, T$279=12, T$279=13, T$279=1), Cultivar_1_Cohort_Year_Selection=$O$278), ROUND(MAX(0,S$416 - 1),0),
IF(AND(OR(T$279=123, T$279=12, T$279=23, T$279=2), Cultivar_2_Cohort_Year_Selection=$O$278), ROUND(MAX(0,S$416 - 1),0),
IF(AND(OR(T$279=123, T$279=13, T$279=23, T$279=3), Cultivar_3_Cohort_Year_Selection=$O$278), ROUND(MAX(0,S$416 - 1),0),
ROUND(MAX(0,S$416),0)))))))),""),""),"")</f>
        <v/>
      </c>
      <c r="U438" s="17" t="str">
        <f>IF(ISNUMBER($B$417),
IF($C438&lt;&gt;"",
IF(AND(ISNUMBER(T$416), T$416&gt;0),
IF(AND(U$279=123, Cultivar_1_Cohort_Year_Selection=$P$278,Cultivar_2_Cohort_Year_Selection=$P$278,Cultivar_3_Cohort_Year_Selection=$P$278), ROUND(MAX(0,T$416 - 3),0),
IF(AND(OR(U$279=123, U$279=12), Cultivar_1_Cohort_Year_Selection=$P$278,Cultivar_2_Cohort_Year_Selection=$P$278), ROUND(MAX(0,T$416 - 2),0),
IF(AND(OR(U$279=123, U$279=13), Cultivar_1_Cohort_Year_Selection=$P$278,Cultivar_3_Cohort_Year_Selection=$P$278), ROUND(MAX(0,T$416 - 2),0),
IF(AND(OR(U$279=123, U$279=23), Cultivar_2_Cohort_Year_Selection=$P$278,Cultivar_3_Cohort_Year_Selection=$P$278), ROUND(MAX(0,T$416 - 2),0),
IF(AND(OR(U$279=123, U$279=12, U$279=13, U$279=1), Cultivar_1_Cohort_Year_Selection=$P$278), ROUND(MAX(0,T$416 - 1),0),
IF(AND(OR(U$279=123, U$279=12, U$279=23, U$279=2), Cultivar_2_Cohort_Year_Selection=$P$278), ROUND(MAX(0,T$416 - 1),0),
IF(AND(OR(U$279=123, U$279=13, U$279=23, U$279=3), Cultivar_3_Cohort_Year_Selection=$P$278), ROUND(MAX(0,T$416 - 1),0),
ROUND(MAX(0,T$416),0)))))))),""),""),"")</f>
        <v/>
      </c>
      <c r="V438" s="17" t="str">
        <f>IF(ISNUMBER($B$417),
IF($C438&lt;&gt;"",
IF(AND(ISNUMBER(U$416), U$416&gt;0),
IF(AND(V$279=123, Cultivar_1_Cohort_Year_Selection=$Q$278,Cultivar_2_Cohort_Year_Selection=$Q$278,Cultivar_3_Cohort_Year_Selection=$Q$278), ROUND(MAX(0,U$416 - 3),0),
IF(AND(OR(V$279=123, V$279=12), Cultivar_1_Cohort_Year_Selection=$Q$278,Cultivar_2_Cohort_Year_Selection=$Q$278), ROUND(MAX(0,U$416 - 2),0),
IF(AND(OR(V$279=123, V$279=13), Cultivar_1_Cohort_Year_Selection=$Q$278,Cultivar_3_Cohort_Year_Selection=$Q$278), ROUND(MAX(0,U$416 - 2),0),
IF(AND(OR(V$279=123, V$279=23), Cultivar_2_Cohort_Year_Selection=$Q$278,Cultivar_3_Cohort_Year_Selection=$Q$278), ROUND(MAX(0,U$416 - 2),0),
IF(AND(OR(V$279=123, V$279=12, V$279=13, V$279=1), Cultivar_1_Cohort_Year_Selection=$Q$278), ROUND(MAX(0,U$416 - 1),0),
IF(AND(OR(V$279=123, V$279=12, V$279=23, V$279=2), Cultivar_2_Cohort_Year_Selection=$Q$278), ROUND(MAX(0,U$416 - 1),0),
IF(AND(OR(V$279=123, V$279=13, V$279=23, V$279=3), Cultivar_3_Cohort_Year_Selection=$Q$278), ROUND(MAX(0,U$416 - 1),0),
ROUND(MAX(0,U$416),0)))))))),""),""),"")</f>
        <v/>
      </c>
      <c r="W438" s="17" t="str">
        <f>IF(ISNUMBER($B$417),
IF($C438&lt;&gt;"",
IF(AND(ISNUMBER(V$416), V$416&gt;0),
IF(AND(W$279=123, Cultivar_1_Cohort_Year_Selection=$R$278,Cultivar_2_Cohort_Year_Selection=$R$278,Cultivar_3_Cohort_Year_Selection=$R$278), ROUND(MAX(0,V$416 - 3),0),
IF(AND(OR(W$279=123, W$279=12), Cultivar_1_Cohort_Year_Selection=$R$278,Cultivar_2_Cohort_Year_Selection=$R$278), ROUND(MAX(0,V$416 - 2),0),
IF(AND(OR(W$279=123, W$279=13), Cultivar_1_Cohort_Year_Selection=$R$278,Cultivar_3_Cohort_Year_Selection=$R$278), ROUND(MAX(0,V$416 - 2),0),
IF(AND(OR(W$279=123, W$279=23), Cultivar_2_Cohort_Year_Selection=$R$278,Cultivar_3_Cohort_Year_Selection=$R$278), ROUND(MAX(0,V$416 - 2),0),
IF(AND(OR(W$279=123, W$279=12, W$279=13, W$279=1), Cultivar_1_Cohort_Year_Selection=$R$278), ROUND(MAX(0,V$416 - 1),0),
IF(AND(OR(W$279=123, W$279=12, W$279=23, W$279=2), Cultivar_2_Cohort_Year_Selection=$R$278), ROUND(MAX(0,V$416 - 1),0),
IF(AND(OR(W$279=123, W$279=13, W$279=23, W$279=3), Cultivar_3_Cohort_Year_Selection=$R$278), ROUND(MAX(0,V$416 - 1),0),
ROUND(MAX(0,V$416),0)))))))),""),""),"")</f>
        <v/>
      </c>
      <c r="X438" s="17" t="str">
        <f>IF(ISNUMBER($B$417),
IF($C438&lt;&gt;"",
IF(AND(ISNUMBER(W$416), W$416&gt;0),
IF(AND(X$279=123, Cultivar_1_Cohort_Year_Selection=$S$278,Cultivar_2_Cohort_Year_Selection=$S$278,Cultivar_3_Cohort_Year_Selection=$S$278), ROUND(MAX(0,W$416 - 3),0),
IF(AND(OR(X$279=123, X$279=12), Cultivar_1_Cohort_Year_Selection=$S$278,Cultivar_2_Cohort_Year_Selection=$S$278), ROUND(MAX(0,W$416 - 2),0),
IF(AND(OR(X$279=123, X$279=13), Cultivar_1_Cohort_Year_Selection=$S$278,Cultivar_3_Cohort_Year_Selection=$S$278), ROUND(MAX(0,W$416 - 2),0),
IF(AND(OR(X$279=123, X$279=23), Cultivar_2_Cohort_Year_Selection=$S$278,Cultivar_3_Cohort_Year_Selection=$S$278), ROUND(MAX(0,W$416 - 2),0),
IF(AND(OR(X$279=123, X$279=12, X$279=13, X$279=1), Cultivar_1_Cohort_Year_Selection=$S$278), ROUND(MAX(0,W$416 - 1),0),
IF(AND(OR(X$279=123, X$279=12, X$279=23, X$279=2), Cultivar_2_Cohort_Year_Selection=$S$278), ROUND(MAX(0,W$416 - 1),0),
IF(AND(OR(X$279=123, X$279=13, X$279=23, X$279=3), Cultivar_3_Cohort_Year_Selection=$S$278), ROUND(MAX(0,W$416 - 1),0),
ROUND(MAX(0,W$416),0)))))))),""),""),"")</f>
        <v/>
      </c>
      <c r="Y438" s="17" t="str">
        <f>IF(ISNUMBER($B$417),
IF($C438&lt;&gt;"",
IF(AND(ISNUMBER(X$416), X$416&gt;0),
IF(AND(Y$279=123, Cultivar_1_Cohort_Year_Selection=$T$278,Cultivar_2_Cohort_Year_Selection=$T$278,Cultivar_3_Cohort_Year_Selection=$T$278), ROUND(MAX(0,X$416 - 3),0),
IF(AND(OR(Y$279=123, Y$279=12), Cultivar_1_Cohort_Year_Selection=$T$278,Cultivar_2_Cohort_Year_Selection=$T$278), ROUND(MAX(0,X$416 - 2),0),
IF(AND(OR(Y$279=123, Y$279=13), Cultivar_1_Cohort_Year_Selection=$T$278,Cultivar_3_Cohort_Year_Selection=$T$278), ROUND(MAX(0,X$416 - 2),0),
IF(AND(OR(Y$279=123, Y$279=23), Cultivar_2_Cohort_Year_Selection=$T$278,Cultivar_3_Cohort_Year_Selection=$T$278), ROUND(MAX(0,X$416 - 2),0),
IF(AND(OR(Y$279=123, Y$279=12, Y$279=13, Y$279=1), Cultivar_1_Cohort_Year_Selection=$T$278), ROUND(MAX(0,X$416 - 1),0),
IF(AND(OR(Y$279=123, Y$279=12, Y$279=23, Y$279=2), Cultivar_2_Cohort_Year_Selection=$T$278), ROUND(MAX(0,X$416 - 1),0),
IF(AND(OR(Y$279=123, Y$279=13, Y$279=23, Y$279=3), Cultivar_3_Cohort_Year_Selection=$T$278), ROUND(MAX(0,X$416 - 1),0),
ROUND(MAX(0,X$416),0)))))))),""),""),"")</f>
        <v/>
      </c>
      <c r="Z438" s="17" t="str">
        <f>IF(ISNUMBER($B$417),
IF($C438&lt;&gt;"",
IF(AND(ISNUMBER(Y$416), Y$416&gt;0),
IF(AND(Z$279=123, Cultivar_1_Cohort_Year_Selection=$U$278,Cultivar_2_Cohort_Year_Selection=$U$278,Cultivar_3_Cohort_Year_Selection=$U$278), ROUND(MAX(0,Y$416 - 3),0),
IF(AND(OR(Z$279=123, Z$279=12), Cultivar_1_Cohort_Year_Selection=$U$278,Cultivar_2_Cohort_Year_Selection=$U$278), ROUND(MAX(0,Y$416 - 2),0),
IF(AND(OR(Z$279=123, Z$279=13), Cultivar_1_Cohort_Year_Selection=$U$278,Cultivar_3_Cohort_Year_Selection=$U$278), ROUND(MAX(0,Y$416 - 2),0),
IF(AND(OR(Z$279=123, Z$279=23), Cultivar_2_Cohort_Year_Selection=$U$278,Cultivar_3_Cohort_Year_Selection=$U$278), ROUND(MAX(0,Y$416 - 2),0),
IF(AND(OR(Z$279=123, Z$279=12, Z$279=13, Z$279=1), Cultivar_1_Cohort_Year_Selection=$U$278), ROUND(MAX(0,Y$416 - 1),0),
IF(AND(OR(Z$279=123, Z$279=12, Z$279=23, Z$279=2), Cultivar_2_Cohort_Year_Selection=$U$278), ROUND(MAX(0,Y$416 - 1),0),
IF(AND(OR(Z$279=123, Z$279=13, Z$279=23, Z$279=3), Cultivar_3_Cohort_Year_Selection=$U$278), ROUND(MAX(0,Y$416 - 1),0),
ROUND(MAX(0,Y$416),0)))))))),""),""),"")</f>
        <v/>
      </c>
      <c r="AA438" s="17" t="str">
        <f>IF(ISNUMBER($B$417),
IF($C438&lt;&gt;"",
IF(AND(ISNUMBER(Z$416), Z$416&gt;0),
IF(AND(AA$279=123, Cultivar_1_Cohort_Year_Selection=$V$278,Cultivar_2_Cohort_Year_Selection=$V$278,Cultivar_3_Cohort_Year_Selection=$V$278), ROUND(MAX(0,Z$416 - 3),0),
IF(AND(OR(AA$279=123, AA$279=12), Cultivar_1_Cohort_Year_Selection=$V$278,Cultivar_2_Cohort_Year_Selection=$V$278), ROUND(MAX(0,Z$416 - 2),0),
IF(AND(OR(AA$279=123, AA$279=13), Cultivar_1_Cohort_Year_Selection=$V$278,Cultivar_3_Cohort_Year_Selection=$V$278), ROUND(MAX(0,Z$416 - 2),0),
IF(AND(OR(AA$279=123, AA$279=23), Cultivar_2_Cohort_Year_Selection=$V$278,Cultivar_3_Cohort_Year_Selection=$V$278), ROUND(MAX(0,Z$416 - 2),0),
IF(AND(OR(AA$279=123, AA$279=12, AA$279=13, AA$279=1), Cultivar_1_Cohort_Year_Selection=$V$278), ROUND(MAX(0,Z$416 - 1),0),
IF(AND(OR(AA$279=123, AA$279=12, AA$279=23, AA$279=2), Cultivar_2_Cohort_Year_Selection=$V$278), ROUND(MAX(0,Z$416 - 1),0),
IF(AND(OR(AA$279=123, AA$279=13, AA$279=23, AA$279=3), Cultivar_3_Cohort_Year_Selection=$V$278), ROUND(MAX(0,Z$416 - 1),0),
ROUND(MAX(0,Z$416),0)))))))),""),""),"")</f>
        <v/>
      </c>
      <c r="AB438" s="17" t="str">
        <f>IF(ISNUMBER($B$417),
IF($C438&lt;&gt;"",
IF(AND(ISNUMBER(AA$416), AA$416&gt;0),
IF(AND(AB$279=123, Cultivar_1_Cohort_Year_Selection=$W$278,Cultivar_2_Cohort_Year_Selection=$W$278,Cultivar_3_Cohort_Year_Selection=$W$278), ROUND(MAX(0,AA$416 - 3),0),
IF(AND(OR(AB$279=123, AB$279=12), Cultivar_1_Cohort_Year_Selection=$W$278,Cultivar_2_Cohort_Year_Selection=$W$278), ROUND(MAX(0,AA$416 - 2),0),
IF(AND(OR(AB$279=123, AB$279=13), Cultivar_1_Cohort_Year_Selection=$W$278,Cultivar_3_Cohort_Year_Selection=$W$278), ROUND(MAX(0,AA$416 - 2),0),
IF(AND(OR(AB$279=123, AB$279=23), Cultivar_2_Cohort_Year_Selection=$W$278,Cultivar_3_Cohort_Year_Selection=$W$278), ROUND(MAX(0,AA$416 - 2),0),
IF(AND(OR(AB$279=123, AB$279=12, AB$279=13, AB$279=1), Cultivar_1_Cohort_Year_Selection=$W$278), ROUND(MAX(0,AA$416 - 1),0),
IF(AND(OR(AB$279=123, AB$279=12, AB$279=23, AB$279=2), Cultivar_2_Cohort_Year_Selection=$W$278), ROUND(MAX(0,AA$416 - 1),0),
IF(AND(OR(AB$279=123, AB$279=13, AB$279=23, AB$279=3), Cultivar_3_Cohort_Year_Selection=$W$278), ROUND(MAX(0,AA$416 - 1),0),
ROUND(MAX(0,AA$416),0)))))))),""),""),"")</f>
        <v/>
      </c>
      <c r="AC438" s="17" t="str">
        <f>IF(ISNUMBER($B$417),
IF($C438&lt;&gt;"",
IF(AND(ISNUMBER(AB$416), AB$416&gt;0),
IF(AND(AC$279=123, Cultivar_1_Cohort_Year_Selection=$X$278,Cultivar_2_Cohort_Year_Selection=$X$278,Cultivar_3_Cohort_Year_Selection=$X$278), ROUND(MAX(0,AB$416 - 3),0),
IF(AND(OR(AC$279=123, AC$279=12), Cultivar_1_Cohort_Year_Selection=$X$278,Cultivar_2_Cohort_Year_Selection=$X$278), ROUND(MAX(0,AB$416 - 2),0),
IF(AND(OR(AC$279=123, AC$279=13), Cultivar_1_Cohort_Year_Selection=$X$278,Cultivar_3_Cohort_Year_Selection=$X$278), ROUND(MAX(0,AB$416 - 2),0),
IF(AND(OR(AC$279=123, AC$279=23), Cultivar_2_Cohort_Year_Selection=$X$278,Cultivar_3_Cohort_Year_Selection=$X$278), ROUND(MAX(0,AB$416 - 2),0),
IF(AND(OR(AC$279=123, AC$279=12, AC$279=13, AC$279=1), Cultivar_1_Cohort_Year_Selection=$X$278), ROUND(MAX(0,AB$416 - 1),0),
IF(AND(OR(AC$279=123, AC$279=12, AC$279=23, AC$279=2), Cultivar_2_Cohort_Year_Selection=$X$278), ROUND(MAX(0,AB$416 - 1),0),
IF(AND(OR(AC$279=123, AC$279=13, AC$279=23, AC$279=3), Cultivar_3_Cohort_Year_Selection=$X$278), ROUND(MAX(0,AB$416 - 1),0),
ROUND(MAX(0,AB$416),0)))))))),""),""),"")</f>
        <v/>
      </c>
      <c r="AD438" s="17" t="str">
        <f>IF(ISNUMBER($B$417),
IF($C438&lt;&gt;"",
IF(AND(ISNUMBER(AC$416), AC$416&gt;0),
IF(AND(AD$279=123, Cultivar_1_Cohort_Year_Selection=$Y$278,Cultivar_2_Cohort_Year_Selection=$Y$278,Cultivar_3_Cohort_Year_Selection=$Y$278), ROUND(MAX(0,AC$416 - 3),0),
IF(AND(OR(AD$279=123, AD$279=12), Cultivar_1_Cohort_Year_Selection=$Y$278,Cultivar_2_Cohort_Year_Selection=$Y$278), ROUND(MAX(0,AC$416 - 2),0),
IF(AND(OR(AD$279=123, AD$279=13), Cultivar_1_Cohort_Year_Selection=$Y$278,Cultivar_3_Cohort_Year_Selection=$Y$278), ROUND(MAX(0,AC$416 - 2),0),
IF(AND(OR(AD$279=123, AD$279=23), Cultivar_2_Cohort_Year_Selection=$Y$278,Cultivar_3_Cohort_Year_Selection=$Y$278), ROUND(MAX(0,AC$416 - 2),0),
IF(AND(OR(AD$279=123, AD$279=12, AD$279=13, AD$279=1), Cultivar_1_Cohort_Year_Selection=$Y$278), ROUND(MAX(0,AC$416 - 1),0),
IF(AND(OR(AD$279=123, AD$279=12, AD$279=23, AD$279=2), Cultivar_2_Cohort_Year_Selection=$Y$278), ROUND(MAX(0,AC$416 - 1),0),
IF(AND(OR(AD$279=123, AD$279=13, AD$279=23, AD$279=3), Cultivar_3_Cohort_Year_Selection=$Y$278), ROUND(MAX(0,AC$416 - 1),0),
ROUND(MAX(0,AC$416),0)))))))),""),""),"")</f>
        <v/>
      </c>
      <c r="AE438" s="17" t="str">
        <f>IF(ISNUMBER($B$417),
IF($C438&lt;&gt;"",
IF(AND(ISNUMBER(AD$416), AD$416&gt;0),
IF(AND(AE$279=123, Cultivar_1_Cohort_Year_Selection=$Z$278,Cultivar_2_Cohort_Year_Selection=$Z$278,Cultivar_3_Cohort_Year_Selection=$Z$278), ROUND(MAX(0,AD$416 - 3),0),
IF(AND(OR(AE$279=123, AE$279=12), Cultivar_1_Cohort_Year_Selection=$Z$278,Cultivar_2_Cohort_Year_Selection=$Z$278), ROUND(MAX(0,AD$416 - 2),0),
IF(AND(OR(AE$279=123, AE$279=13), Cultivar_1_Cohort_Year_Selection=$Z$278,Cultivar_3_Cohort_Year_Selection=$Z$278), ROUND(MAX(0,AD$416 - 2),0),
IF(AND(OR(AE$279=123, AE$279=23), Cultivar_2_Cohort_Year_Selection=$Z$278,Cultivar_3_Cohort_Year_Selection=$Z$278), ROUND(MAX(0,AD$416 - 2),0),
IF(AND(OR(AE$279=123, AE$279=12, AE$279=13, AE$279=1), Cultivar_1_Cohort_Year_Selection=$Z$278), ROUND(MAX(0,AD$416 - 1),0),
IF(AND(OR(AE$279=123, AE$279=12, AE$279=23, AE$279=2), Cultivar_2_Cohort_Year_Selection=$Z$278), ROUND(MAX(0,AD$416 - 1),0),
IF(AND(OR(AE$279=123, AE$279=13, AE$279=23, AE$279=3), Cultivar_3_Cohort_Year_Selection=$Z$278), ROUND(MAX(0,AD$416 - 1),0),
ROUND(MAX(0,AD$416),0)))))))),""),""),"")</f>
        <v/>
      </c>
      <c r="AF438" s="17" t="str">
        <f>IF(ISNUMBER($B$417),
IF($C438&lt;&gt;"",
IF(AND(ISNUMBER(AE$416), AE$416&gt;0),
IF(AND(AF$279=123, Cultivar_1_Cohort_Year_Selection=$AA$278,Cultivar_2_Cohort_Year_Selection=$AA$278,Cultivar_3_Cohort_Year_Selection=$AA$278), ROUND(MAX(0,AE$416 - 3),0),
IF(AND(OR(AF$279=123, AF$279=12), Cultivar_1_Cohort_Year_Selection=$AA$278,Cultivar_2_Cohort_Year_Selection=$AA$278), ROUND(MAX(0,AE$416 - 2),0),
IF(AND(OR(AF$279=123, AF$279=13), Cultivar_1_Cohort_Year_Selection=$AA$278,Cultivar_3_Cohort_Year_Selection=$AA$278), ROUND(MAX(0,AE$416 - 2),0),
IF(AND(OR(AF$279=123, AF$279=23), Cultivar_2_Cohort_Year_Selection=$AA$278,Cultivar_3_Cohort_Year_Selection=$AA$278), ROUND(MAX(0,AE$416 - 2),0),
IF(AND(OR(AF$279=123, AF$279=12, AF$279=13, AF$279=1), Cultivar_1_Cohort_Year_Selection=$AA$278), ROUND(MAX(0,AE$416 - 1),0),
IF(AND(OR(AF$279=123, AF$279=12, AF$279=23, AF$279=2), Cultivar_2_Cohort_Year_Selection=$AA$278), ROUND(MAX(0,AE$416 - 1),0),
IF(AND(OR(AF$279=123, AF$279=13, AF$279=23, AF$279=3), Cultivar_3_Cohort_Year_Selection=$AA$278), ROUND(MAX(0,AE$416 - 1),0),
ROUND(MAX(0,AE$416),0)))))))),""),""),"")</f>
        <v/>
      </c>
      <c r="AG438" s="17" t="str">
        <f>IF(ISNUMBER($B$417),
IF($C438&lt;&gt;"",
IF(AND(ISNUMBER(AF$416), AF$416&gt;0),
IF(AND(AG$279=123, Cultivar_1_Cohort_Year_Selection=$AB$278,Cultivar_2_Cohort_Year_Selection=$AB$278,Cultivar_3_Cohort_Year_Selection=$AB$278), ROUND(MAX(0,AF$416 - 3),0),
IF(AND(OR(AG$279=123, AG$279=12), Cultivar_1_Cohort_Year_Selection=$AB$278,Cultivar_2_Cohort_Year_Selection=$AB$278), ROUND(MAX(0,AF$416 - 2),0),
IF(AND(OR(AG$279=123, AG$279=13), Cultivar_1_Cohort_Year_Selection=$AB$278,Cultivar_3_Cohort_Year_Selection=$AB$278), ROUND(MAX(0,AF$416 - 2),0),
IF(AND(OR(AG$279=123, AG$279=23), Cultivar_2_Cohort_Year_Selection=$AB$278,Cultivar_3_Cohort_Year_Selection=$AB$278), ROUND(MAX(0,AF$416 - 2),0),
IF(AND(OR(AG$279=123, AG$279=12, AG$279=13, AG$279=1), Cultivar_1_Cohort_Year_Selection=$AB$278), ROUND(MAX(0,AF$416 - 1),0),
IF(AND(OR(AG$279=123, AG$279=12, AG$279=23, AG$279=2), Cultivar_2_Cohort_Year_Selection=$AB$278), ROUND(MAX(0,AF$416 - 1),0),
IF(AND(OR(AG$279=123, AG$279=13, AG$279=23, AG$279=3), Cultivar_3_Cohort_Year_Selection=$AB$278), ROUND(MAX(0,AF$416 - 1),0),
ROUND(MAX(0,AF$416),0)))))))),""),""),"")</f>
        <v/>
      </c>
      <c r="AH438" s="17" t="str">
        <f>IF(ISNUMBER($B$417),
IF($C438&lt;&gt;"",
IF(AND(ISNUMBER(AG$416), AG$416&gt;0),
IF(AND(AH$279=123, Cultivar_1_Cohort_Year_Selection=$AC$278,Cultivar_2_Cohort_Year_Selection=$AC$278,Cultivar_3_Cohort_Year_Selection=$AC$278), ROUND(MAX(0,AG$416 - 3),0),
IF(AND(OR(AH$279=123, AH$279=12), Cultivar_1_Cohort_Year_Selection=$AC$278,Cultivar_2_Cohort_Year_Selection=$AC$278), ROUND(MAX(0,AG$416 - 2),0),
IF(AND(OR(AH$279=123, AH$279=13), Cultivar_1_Cohort_Year_Selection=$AC$278,Cultivar_3_Cohort_Year_Selection=$AC$278), ROUND(MAX(0,AG$416 - 2),0),
IF(AND(OR(AH$279=123, AH$279=23), Cultivar_2_Cohort_Year_Selection=$AC$278,Cultivar_3_Cohort_Year_Selection=$AC$278), ROUND(MAX(0,AG$416 - 2),0),
IF(AND(OR(AH$279=123, AH$279=12, AH$279=13, AH$279=1), Cultivar_1_Cohort_Year_Selection=$AC$278), ROUND(MAX(0,AG$416 - 1),0),
IF(AND(OR(AH$279=123, AH$279=12, AH$279=23, AH$279=2), Cultivar_2_Cohort_Year_Selection=$AC$278), ROUND(MAX(0,AG$416 - 1),0),
IF(AND(OR(AH$279=123, AH$279=13, AH$279=23, AH$279=3), Cultivar_3_Cohort_Year_Selection=$AC$278), ROUND(MAX(0,AG$416 - 1),0),
ROUND(MAX(0,AG$416),0)))))))),""),""),"")</f>
        <v/>
      </c>
      <c r="AI438" s="17" t="str">
        <f>IF(ISNUMBER($B$417),
IF($C438&lt;&gt;"",
IF(AND(ISNUMBER(AH$416), AH$416&gt;0),
IF(AND(AI$279=123, Cultivar_1_Cohort_Year_Selection=$AD$278,Cultivar_2_Cohort_Year_Selection=$AD$278,Cultivar_3_Cohort_Year_Selection=$AD$278), ROUND(MAX(0,AH$416 - 3),0),
IF(AND(OR(AI$279=123, AI$279=12), Cultivar_1_Cohort_Year_Selection=$AD$278,Cultivar_2_Cohort_Year_Selection=$AD$278), ROUND(MAX(0,AH$416 - 2),0),
IF(AND(OR(AI$279=123, AI$279=13), Cultivar_1_Cohort_Year_Selection=$AD$278,Cultivar_3_Cohort_Year_Selection=$AD$278), ROUND(MAX(0,AH$416 - 2),0),
IF(AND(OR(AI$279=123, AI$279=23), Cultivar_2_Cohort_Year_Selection=$AD$278,Cultivar_3_Cohort_Year_Selection=$AD$278), ROUND(MAX(0,AH$416 - 2),0),
IF(AND(OR(AI$279=123, AI$279=12, AI$279=13, AI$279=1), Cultivar_1_Cohort_Year_Selection=$AD$278), ROUND(MAX(0,AH$416 - 1),0),
IF(AND(OR(AI$279=123, AI$279=12, AI$279=23, AI$279=2), Cultivar_2_Cohort_Year_Selection=$AD$278), ROUND(MAX(0,AH$416 - 1),0),
IF(AND(OR(AI$279=123, AI$279=13, AI$279=23, AI$279=3), Cultivar_3_Cohort_Year_Selection=$AD$278), ROUND(MAX(0,AH$416 - 1),0),
ROUND(MAX(0,AH$416),0)))))))),""),""),"")</f>
        <v/>
      </c>
      <c r="AJ438" s="17" t="str">
        <f>IF(ISNUMBER($B$417),
IF($C438&lt;&gt;"",
IF(AND(ISNUMBER(AI$416), AI$416&gt;0),
IF(AND(AJ$279=123, Cultivar_1_Cohort_Year_Selection=$AE$278,Cultivar_2_Cohort_Year_Selection=$AE$278,Cultivar_3_Cohort_Year_Selection=$AE$278), ROUND(MAX(0,AI$416 - 3),0),
IF(AND(OR(AJ$279=123, AJ$279=12), Cultivar_1_Cohort_Year_Selection=$AE$278,Cultivar_2_Cohort_Year_Selection=$AE$278), ROUND(MAX(0,AI$416 - 2),0),
IF(AND(OR(AJ$279=123, AJ$279=13), Cultivar_1_Cohort_Year_Selection=$AE$278,Cultivar_3_Cohort_Year_Selection=$AE$278), ROUND(MAX(0,AI$416 - 2),0),
IF(AND(OR(AJ$279=123, AJ$279=23), Cultivar_2_Cohort_Year_Selection=$AE$278,Cultivar_3_Cohort_Year_Selection=$AE$278), ROUND(MAX(0,AI$416 - 2),0),
IF(AND(OR(AJ$279=123, AJ$279=12, AJ$279=13, AJ$279=1), Cultivar_1_Cohort_Year_Selection=$AE$278), ROUND(MAX(0,AI$416 - 1),0),
IF(AND(OR(AJ$279=123, AJ$279=12, AJ$279=23, AJ$279=2), Cultivar_2_Cohort_Year_Selection=$AE$278), ROUND(MAX(0,AI$416 - 1),0),
IF(AND(OR(AJ$279=123, AJ$279=13, AJ$279=23, AJ$279=3), Cultivar_3_Cohort_Year_Selection=$AE$278), ROUND(MAX(0,AI$416 - 1),0),
ROUND(MAX(0,AI$416),0)))))))),""),""),"")</f>
        <v/>
      </c>
      <c r="AK438" s="17" t="str">
        <f>IF(ISNUMBER($B$417),
IF($C438&lt;&gt;"",
IF(AND(ISNUMBER(AJ$416), AJ$416&gt;0),
IF(AND(AK$279=123, Cultivar_1_Cohort_Year_Selection=$AF$278,Cultivar_2_Cohort_Year_Selection=$AF$278,Cultivar_3_Cohort_Year_Selection=$AF$278), ROUND(MAX(0,AJ$416 - 3),0),
IF(AND(OR(AK$279=123, AK$279=12), Cultivar_1_Cohort_Year_Selection=$AF$278,Cultivar_2_Cohort_Year_Selection=$AF$278), ROUND(MAX(0,AJ$416 - 2),0),
IF(AND(OR(AK$279=123, AK$279=13), Cultivar_1_Cohort_Year_Selection=$AF$278,Cultivar_3_Cohort_Year_Selection=$AF$278), ROUND(MAX(0,AJ$416 - 2),0),
IF(AND(OR(AK$279=123, AK$279=23), Cultivar_2_Cohort_Year_Selection=$AF$278,Cultivar_3_Cohort_Year_Selection=$AF$278), ROUND(MAX(0,AJ$416 - 2),0),
IF(AND(OR(AK$279=123, AK$279=12, AK$279=13, AK$279=1), Cultivar_1_Cohort_Year_Selection=$AF$278), ROUND(MAX(0,AJ$416 - 1),0),
IF(AND(OR(AK$279=123, AK$279=12, AK$279=23, AK$279=2), Cultivar_2_Cohort_Year_Selection=$AF$278), ROUND(MAX(0,AJ$416 - 1),0),
IF(AND(OR(AK$279=123, AK$279=13, AK$279=23, AK$279=3), Cultivar_3_Cohort_Year_Selection=$AF$278), ROUND(MAX(0,AJ$416 - 1),0),
ROUND(MAX(0,AJ$416),0)))))))),""),""),"")</f>
        <v/>
      </c>
      <c r="AL438" s="17" t="str">
        <f>IF(ISNUMBER($B$417),
IF($C438&lt;&gt;"",
IF(AND(ISNUMBER(AK$416), AK$416&gt;0),
IF(AND(AL$279=123, Cultivar_1_Cohort_Year_Selection=$AG$278,Cultivar_2_Cohort_Year_Selection=$AG$278,Cultivar_3_Cohort_Year_Selection=$AG$278), ROUND(MAX(0,AK$416 - 3),0),
IF(AND(OR(AL$279=123, AL$279=12), Cultivar_1_Cohort_Year_Selection=$AG$278,Cultivar_2_Cohort_Year_Selection=$AG$278), ROUND(MAX(0,AK$416 - 2),0),
IF(AND(OR(AL$279=123, AL$279=13), Cultivar_1_Cohort_Year_Selection=$AG$278,Cultivar_3_Cohort_Year_Selection=$AG$278), ROUND(MAX(0,AK$416 - 2),0),
IF(AND(OR(AL$279=123, AL$279=23), Cultivar_2_Cohort_Year_Selection=$AG$278,Cultivar_3_Cohort_Year_Selection=$AG$278), ROUND(MAX(0,AK$416 - 2),0),
IF(AND(OR(AL$279=123, AL$279=12, AL$279=13, AL$279=1), Cultivar_1_Cohort_Year_Selection=$AG$278), ROUND(MAX(0,AK$416 - 1),0),
IF(AND(OR(AL$279=123, AL$279=12, AL$279=23, AL$279=2), Cultivar_2_Cohort_Year_Selection=$AG$278), ROUND(MAX(0,AK$416 - 1),0),
IF(AND(OR(AL$279=123, AL$279=13, AL$279=23, AL$279=3), Cultivar_3_Cohort_Year_Selection=$AG$278), ROUND(MAX(0,AK$416 - 1),0),
ROUND(MAX(0,AK$416),0)))))))),""),""),"")</f>
        <v/>
      </c>
      <c r="AM438" s="17" t="str">
        <f>IF(ISNUMBER($B$417),
IF($C438&lt;&gt;"",
IF(AND(ISNUMBER(AL$416), AL$416&gt;0),
IF(AND(AM$279=123, Cultivar_1_Cohort_Year_Selection=$AH$278,Cultivar_2_Cohort_Year_Selection=$AH$278,Cultivar_3_Cohort_Year_Selection=$AH$278), ROUND(MAX(0,AL$416 - 3),0),
IF(AND(OR(AM$279=123, AM$279=12), Cultivar_1_Cohort_Year_Selection=$AH$278,Cultivar_2_Cohort_Year_Selection=$AH$278), ROUND(MAX(0,AL$416 - 2),0),
IF(AND(OR(AM$279=123, AM$279=13), Cultivar_1_Cohort_Year_Selection=$AH$278,Cultivar_3_Cohort_Year_Selection=$AH$278), ROUND(MAX(0,AL$416 - 2),0),
IF(AND(OR(AM$279=123, AM$279=23), Cultivar_2_Cohort_Year_Selection=$AH$278,Cultivar_3_Cohort_Year_Selection=$AH$278), ROUND(MAX(0,AL$416 - 2),0),
IF(AND(OR(AM$279=123, AM$279=12, AM$279=13, AM$279=1), Cultivar_1_Cohort_Year_Selection=$AH$278), ROUND(MAX(0,AL$416 - 1),0),
IF(AND(OR(AM$279=123, AM$279=12, AM$279=23, AM$279=2), Cultivar_2_Cohort_Year_Selection=$AH$278), ROUND(MAX(0,AL$416 - 1),0),
IF(AND(OR(AM$279=123, AM$279=13, AM$279=23, AM$279=3), Cultivar_3_Cohort_Year_Selection=$AH$278), ROUND(MAX(0,AL$416 - 1),0),
ROUND(MAX(0,AL$416),0)))))))),""),""),"")</f>
        <v/>
      </c>
      <c r="AN438" s="17" t="str">
        <f>IF(ISNUMBER($B$417),
IF($C438&lt;&gt;"",
IF(AND(ISNUMBER(AM$416), AM$416&gt;0),
IF(AND(AN$279=123, Cultivar_1_Cohort_Year_Selection=$AI$278,Cultivar_2_Cohort_Year_Selection=$AI$278,Cultivar_3_Cohort_Year_Selection=$AI$278), ROUND(MAX(0,AM$416 - 3),0),
IF(AND(OR(AN$279=123, AN$279=12), Cultivar_1_Cohort_Year_Selection=$AI$278,Cultivar_2_Cohort_Year_Selection=$AI$278), ROUND(MAX(0,AM$416 - 2),0),
IF(AND(OR(AN$279=123, AN$279=13), Cultivar_1_Cohort_Year_Selection=$AI$278,Cultivar_3_Cohort_Year_Selection=$AI$278), ROUND(MAX(0,AM$416 - 2),0),
IF(AND(OR(AN$279=123, AN$279=23), Cultivar_2_Cohort_Year_Selection=$AI$278,Cultivar_3_Cohort_Year_Selection=$AI$278), ROUND(MAX(0,AM$416 - 2),0),
IF(AND(OR(AN$279=123, AN$279=12, AN$279=13, AN$279=1), Cultivar_1_Cohort_Year_Selection=$AI$278), ROUND(MAX(0,AM$416 - 1),0),
IF(AND(OR(AN$279=123, AN$279=12, AN$279=23, AN$279=2), Cultivar_2_Cohort_Year_Selection=$AI$278), ROUND(MAX(0,AM$416 - 1),0),
IF(AND(OR(AN$279=123, AN$279=13, AN$279=23, AN$279=3), Cultivar_3_Cohort_Year_Selection=$AI$278), ROUND(MAX(0,AM$416 - 1),0),
ROUND(MAX(0,AM$416),0)))))))),""),""),"")</f>
        <v/>
      </c>
      <c r="AO438" s="17" t="str">
        <f>IF(ISNUMBER($B$417),
IF($C438&lt;&gt;"",
IF(AND(ISNUMBER(AN$416), AN$416&gt;0),
IF(AND(AO$279=123, Cultivar_1_Cohort_Year_Selection=$AJ$278,Cultivar_2_Cohort_Year_Selection=$AJ$278,Cultivar_3_Cohort_Year_Selection=$AJ$278), ROUND(MAX(0,AN$416 - 3),0),
IF(AND(OR(AO$279=123, AO$279=12), Cultivar_1_Cohort_Year_Selection=$AJ$278,Cultivar_2_Cohort_Year_Selection=$AJ$278), ROUND(MAX(0,AN$416 - 2),0),
IF(AND(OR(AO$279=123, AO$279=13), Cultivar_1_Cohort_Year_Selection=$AJ$278,Cultivar_3_Cohort_Year_Selection=$AJ$278), ROUND(MAX(0,AN$416 - 2),0),
IF(AND(OR(AO$279=123, AO$279=23), Cultivar_2_Cohort_Year_Selection=$AJ$278,Cultivar_3_Cohort_Year_Selection=$AJ$278), ROUND(MAX(0,AN$416 - 2),0),
IF(AND(OR(AO$279=123, AO$279=12, AO$279=13, AO$279=1), Cultivar_1_Cohort_Year_Selection=$AJ$278), ROUND(MAX(0,AN$416 - 1),0),
IF(AND(OR(AO$279=123, AO$279=12, AO$279=23, AO$279=2), Cultivar_2_Cohort_Year_Selection=$AJ$278), ROUND(MAX(0,AN$416 - 1),0),
IF(AND(OR(AO$279=123, AO$279=13, AO$279=23, AO$279=3), Cultivar_3_Cohort_Year_Selection=$AJ$278), ROUND(MAX(0,AN$416 - 1),0),
ROUND(MAX(0,AN$416),0)))))))),""),""),"")</f>
        <v/>
      </c>
      <c r="AP438" s="17" t="str">
        <f>IF(ISNUMBER($B$417),
IF($C438&lt;&gt;"",
IF(AND(ISNUMBER(AO$416), AO$416&gt;0),
IF(AND(AP$279=123, Cultivar_1_Cohort_Year_Selection=$AK$278,Cultivar_2_Cohort_Year_Selection=$AK$278,Cultivar_3_Cohort_Year_Selection=$AK$278), ROUND(MAX(0,AO$416 - 3),0),
IF(AND(OR(AP$279=123, AP$279=12), Cultivar_1_Cohort_Year_Selection=$AK$278,Cultivar_2_Cohort_Year_Selection=$AK$278), ROUND(MAX(0,AO$416 - 2),0),
IF(AND(OR(AP$279=123, AP$279=13), Cultivar_1_Cohort_Year_Selection=$AK$278,Cultivar_3_Cohort_Year_Selection=$AK$278), ROUND(MAX(0,AO$416 - 2),0),
IF(AND(OR(AP$279=123, AP$279=23), Cultivar_2_Cohort_Year_Selection=$AK$278,Cultivar_3_Cohort_Year_Selection=$AK$278), ROUND(MAX(0,AO$416 - 2),0),
IF(AND(OR(AP$279=123, AP$279=12, AP$279=13, AP$279=1), Cultivar_1_Cohort_Year_Selection=$AK$278), ROUND(MAX(0,AO$416 - 1),0),
IF(AND(OR(AP$279=123, AP$279=12, AP$279=23, AP$279=2), Cultivar_2_Cohort_Year_Selection=$AK$278), ROUND(MAX(0,AO$416 - 1),0),
IF(AND(OR(AP$279=123, AP$279=13, AP$279=23, AP$279=3), Cultivar_3_Cohort_Year_Selection=$AK$278), ROUND(MAX(0,AO$416 - 1),0),
ROUND(MAX(0,AO$416),0)))))))),""),""),"")</f>
        <v/>
      </c>
      <c r="AQ438" s="17" t="str">
        <f>IF(ISNUMBER($B$417),
IF($C438&lt;&gt;"",
IF(AND(ISNUMBER(AP$416), AP$416&gt;0),
IF(AND(AQ$279=123, Cultivar_1_Cohort_Year_Selection=$AL$278,Cultivar_2_Cohort_Year_Selection=$AL$278,Cultivar_3_Cohort_Year_Selection=$AL$278), ROUND(MAX(0,AP$416 - 3),0),
IF(AND(OR(AQ$279=123, AQ$279=12), Cultivar_1_Cohort_Year_Selection=$AL$278,Cultivar_2_Cohort_Year_Selection=$AL$278), ROUND(MAX(0,AP$416 - 2),0),
IF(AND(OR(AQ$279=123, AQ$279=13), Cultivar_1_Cohort_Year_Selection=$AL$278,Cultivar_3_Cohort_Year_Selection=$AL$278), ROUND(MAX(0,AP$416 - 2),0),
IF(AND(OR(AQ$279=123, AQ$279=23), Cultivar_2_Cohort_Year_Selection=$AL$278,Cultivar_3_Cohort_Year_Selection=$AL$278), ROUND(MAX(0,AP$416 - 2),0),
IF(AND(OR(AQ$279=123, AQ$279=12, AQ$279=13, AQ$279=1), Cultivar_1_Cohort_Year_Selection=$AL$278), ROUND(MAX(0,AP$416 - 1),0),
IF(AND(OR(AQ$279=123, AQ$279=12, AQ$279=23, AQ$279=2), Cultivar_2_Cohort_Year_Selection=$AL$278), ROUND(MAX(0,AP$416 - 1),0),
IF(AND(OR(AQ$279=123, AQ$279=13, AQ$279=23, AQ$279=3), Cultivar_3_Cohort_Year_Selection=$AL$278), ROUND(MAX(0,AP$416 - 1),0),
ROUND(MAX(0,AP$416),0)))))))),""),""),"")</f>
        <v/>
      </c>
      <c r="AR438" s="17" t="str">
        <f>IF(ISNUMBER($B$417),
IF($C438&lt;&gt;"",
IF(AND(ISNUMBER(AQ$416), AQ$416&gt;0),
IF(AND(AR$279=123, Cultivar_1_Cohort_Year_Selection=$AM$278,Cultivar_2_Cohort_Year_Selection=$AM$278,Cultivar_3_Cohort_Year_Selection=$AM$278), ROUND(MAX(0,AQ$416 - 3),0),
IF(AND(OR(AR$279=123, AR$279=12), Cultivar_1_Cohort_Year_Selection=$AM$278,Cultivar_2_Cohort_Year_Selection=$AM$278), ROUND(MAX(0,AQ$416 - 2),0),
IF(AND(OR(AR$279=123, AR$279=13), Cultivar_1_Cohort_Year_Selection=$AM$278,Cultivar_3_Cohort_Year_Selection=$AM$278), ROUND(MAX(0,AQ$416 - 2),0),
IF(AND(OR(AR$279=123, AR$279=23), Cultivar_2_Cohort_Year_Selection=$AM$278,Cultivar_3_Cohort_Year_Selection=$AM$278), ROUND(MAX(0,AQ$416 - 2),0),
IF(AND(OR(AR$279=123, AR$279=12, AR$279=13, AR$279=1), Cultivar_1_Cohort_Year_Selection=$AM$278), ROUND(MAX(0,AQ$416 - 1),0),
IF(AND(OR(AR$279=123, AR$279=12, AR$279=23, AR$279=2), Cultivar_2_Cohort_Year_Selection=$AM$278), ROUND(MAX(0,AQ$416 - 1),0),
IF(AND(OR(AR$279=123, AR$279=13, AR$279=23, AR$279=3), Cultivar_3_Cohort_Year_Selection=$AM$278), ROUND(MAX(0,AQ$416 - 1),0),
ROUND(MAX(0,AQ$416),0)))))))),""),""),"")</f>
        <v/>
      </c>
      <c r="AS438" s="17" t="str">
        <f>IF(ISNUMBER($B$417),
IF($C438&lt;&gt;"",
IF(AND(ISNUMBER(AR$416), AR$416&gt;0),
IF(AND(AS$279=123, Cultivar_1_Cohort_Year_Selection=$AN$278,Cultivar_2_Cohort_Year_Selection=$AN$278,Cultivar_3_Cohort_Year_Selection=$AN$278), ROUND(MAX(0,AR$416 - 3),0),
IF(AND(OR(AS$279=123, AS$279=12), Cultivar_1_Cohort_Year_Selection=$AN$278,Cultivar_2_Cohort_Year_Selection=$AN$278), ROUND(MAX(0,AR$416 - 2),0),
IF(AND(OR(AS$279=123, AS$279=13), Cultivar_1_Cohort_Year_Selection=$AN$278,Cultivar_3_Cohort_Year_Selection=$AN$278), ROUND(MAX(0,AR$416 - 2),0),
IF(AND(OR(AS$279=123, AS$279=23), Cultivar_2_Cohort_Year_Selection=$AN$278,Cultivar_3_Cohort_Year_Selection=$AN$278), ROUND(MAX(0,AR$416 - 2),0),
IF(AND(OR(AS$279=123, AS$279=12, AS$279=13, AS$279=1), Cultivar_1_Cohort_Year_Selection=$AN$278), ROUND(MAX(0,AR$416 - 1),0),
IF(AND(OR(AS$279=123, AS$279=12, AS$279=23, AS$279=2), Cultivar_2_Cohort_Year_Selection=$AN$278), ROUND(MAX(0,AR$416 - 1),0),
IF(AND(OR(AS$279=123, AS$279=13, AS$279=23, AS$279=3), Cultivar_3_Cohort_Year_Selection=$AN$278), ROUND(MAX(0,AR$416 - 1),0),
ROUND(MAX(0,AR$416),0)))))))),""),""),"")</f>
        <v/>
      </c>
      <c r="AT438" s="17" t="str">
        <f>IF(ISNUMBER($B$417),
IF($C438&lt;&gt;"",
IF(AND(ISNUMBER(AS$416), AS$416&gt;0),
IF(AND(AT$279=123, Cultivar_1_Cohort_Year_Selection=$AO$278,Cultivar_2_Cohort_Year_Selection=$AO$278,Cultivar_3_Cohort_Year_Selection=$AO$278), ROUND(MAX(0,AS$416 - 3),0),
IF(AND(OR(AT$279=123, AT$279=12), Cultivar_1_Cohort_Year_Selection=$AO$278,Cultivar_2_Cohort_Year_Selection=$AO$278), ROUND(MAX(0,AS$416 - 2),0),
IF(AND(OR(AT$279=123, AT$279=13), Cultivar_1_Cohort_Year_Selection=$AO$278,Cultivar_3_Cohort_Year_Selection=$AO$278), ROUND(MAX(0,AS$416 - 2),0),
IF(AND(OR(AT$279=123, AT$279=23), Cultivar_2_Cohort_Year_Selection=$AO$278,Cultivar_3_Cohort_Year_Selection=$AO$278), ROUND(MAX(0,AS$416 - 2),0),
IF(AND(OR(AT$279=123, AT$279=12, AT$279=13, AT$279=1), Cultivar_1_Cohort_Year_Selection=$AO$278), ROUND(MAX(0,AS$416 - 1),0),
IF(AND(OR(AT$279=123, AT$279=12, AT$279=23, AT$279=2), Cultivar_2_Cohort_Year_Selection=$AO$278), ROUND(MAX(0,AS$416 - 1),0),
IF(AND(OR(AT$279=123, AT$279=13, AT$279=23, AT$279=3), Cultivar_3_Cohort_Year_Selection=$AO$278), ROUND(MAX(0,AS$416 - 1),0),
ROUND(MAX(0,AS$416),0)))))))),""),""),"")</f>
        <v/>
      </c>
      <c r="AU438" s="17" t="str">
        <f>IF(ISNUMBER($B$417),
IF($C438&lt;&gt;"",
IF(AND(ISNUMBER(AT$416), AT$416&gt;0),
IF(AND(AU$279=123, Cultivar_1_Cohort_Year_Selection=$AP$278,Cultivar_2_Cohort_Year_Selection=$AP$278,Cultivar_3_Cohort_Year_Selection=$AP$278), ROUND(MAX(0,AT$416 - 3),0),
IF(AND(OR(AU$279=123, AU$279=12), Cultivar_1_Cohort_Year_Selection=$AP$278,Cultivar_2_Cohort_Year_Selection=$AP$278), ROUND(MAX(0,AT$416 - 2),0),
IF(AND(OR(AU$279=123, AU$279=13), Cultivar_1_Cohort_Year_Selection=$AP$278,Cultivar_3_Cohort_Year_Selection=$AP$278), ROUND(MAX(0,AT$416 - 2),0),
IF(AND(OR(AU$279=123, AU$279=23), Cultivar_2_Cohort_Year_Selection=$AP$278,Cultivar_3_Cohort_Year_Selection=$AP$278), ROUND(MAX(0,AT$416 - 2),0),
IF(AND(OR(AU$279=123, AU$279=12, AU$279=13, AU$279=1), Cultivar_1_Cohort_Year_Selection=$AP$278), ROUND(MAX(0,AT$416 - 1),0),
IF(AND(OR(AU$279=123, AU$279=12, AU$279=23, AU$279=2), Cultivar_2_Cohort_Year_Selection=$AP$278), ROUND(MAX(0,AT$416 - 1),0),
IF(AND(OR(AU$279=123, AU$279=13, AU$279=23, AU$279=3), Cultivar_3_Cohort_Year_Selection=$AP$278), ROUND(MAX(0,AT$416 - 1),0),
ROUND(MAX(0,AT$416),0)))))))),""),""),"")</f>
        <v/>
      </c>
    </row>
    <row r="439" spans="1:48" ht="15.75" thickBot="1" x14ac:dyDescent="0.3">
      <c r="A439" s="518"/>
      <c r="B439" s="505"/>
      <c r="C439" s="107" t="str">
        <f>IF(AND(ISNUMBER(B417), OR('Cost Inputs'!$H$126&lt;&gt;"", 'Cost Inputs'!$I$126&lt;&gt;"", 'Cost Inputs'!$J$126&lt;&gt;"")), _4_5_2, "")</f>
        <v/>
      </c>
      <c r="D439" s="93" t="str">
        <f>IF(AND(C439&lt;&gt;"", 'Cost Inputs'!$G$126&lt;&gt;""), 'Cost Inputs'!$G$126, "")</f>
        <v/>
      </c>
      <c r="E439" s="93" t="str">
        <f>IF(AND(C439&lt;&gt;"", 'Cost Inputs'!$H$126&lt;&gt;""), 'Cost Inputs'!$H$126, "")</f>
        <v/>
      </c>
      <c r="F439" s="93" t="str">
        <f>IF(AND(C439&lt;&gt;"", 'Cost Inputs'!$I$126&lt;&gt;""), 'Cost Inputs'!$I$126, "")</f>
        <v/>
      </c>
      <c r="G439" s="108" t="str">
        <f t="shared" si="152"/>
        <v/>
      </c>
      <c r="H439" s="93" t="str">
        <f>IF(AND(C439&lt;&gt;"", 'Cost Inputs'!$J$126&lt;&gt;""), 'Cost Inputs'!$J$126, "")</f>
        <v/>
      </c>
      <c r="I439" s="93" t="str">
        <f>IF($C439&lt;&gt;"", IF(AND($E439&lt;&gt;"", H439&lt;&gt;""), H439/$E439, 0),"")</f>
        <v/>
      </c>
      <c r="J439" s="93" t="str">
        <f>IF(AND(C439&lt;&gt;"",('Cost Inputs'!$I$126+'Cost Inputs'!$J$126+'Cost Inputs'!$K$126)&gt;0), 'Cost Inputs'!$I$126+'Cost Inputs'!$J$126+'Cost Inputs'!$K$126, "")</f>
        <v/>
      </c>
      <c r="K439" s="93" t="str">
        <f>IF($C439&lt;&gt;"", IF(AND($E439&lt;&gt;"", J439&lt;&gt;""), J439/$E439, 0),"")</f>
        <v/>
      </c>
      <c r="L439" s="525"/>
      <c r="M439" s="525"/>
      <c r="T439" s="95" t="str">
        <f>IF(ISNUMBER($B$417),
IF($C439&lt;&gt;"",
IF(AND(ISNUMBER(S$416), S$416&gt;0),
IF(AND(T$279=123, Cultivar_1_Cohort_Year_Selection=$O$278,Cultivar_2_Cohort_Year_Selection=$O$278,Cultivar_3_Cohort_Year_Selection=$O$278), ROUND(MAX(0,S$416 - 3),0),
IF(AND(OR(T$279=123, T$279=12), Cultivar_1_Cohort_Year_Selection=$O$278,Cultivar_2_Cohort_Year_Selection=$O$278), ROUND(MAX(0,S$416 - 2),0),
IF(AND(OR(T$279=123, T$279=13), Cultivar_1_Cohort_Year_Selection=$O$278,Cultivar_3_Cohort_Year_Selection=$O$278), ROUND(MAX(0,S$416 - 2),0),
IF(AND(OR(T$279=123, T$279=23), Cultivar_2_Cohort_Year_Selection=$O$278,Cultivar_3_Cohort_Year_Selection=$O$278), ROUND(MAX(0,S$416 - 2),0),
IF(AND(OR(T$279=123, T$279=12, T$279=13, T$279=1), Cultivar_1_Cohort_Year_Selection=$O$278), ROUND(MAX(0,S$416 - 1),0),
IF(AND(OR(T$279=123, T$279=12, T$279=23, T$279=2), Cultivar_2_Cohort_Year_Selection=$O$278), ROUND(MAX(0,S$416 - 1),0),
IF(AND(OR(T$279=123, T$279=13, T$279=23, T$279=3), Cultivar_3_Cohort_Year_Selection=$O$278), ROUND(MAX(0,S$416 - 1),0),
ROUND(MAX(0,S$416),0)))))))),""),""),"")</f>
        <v/>
      </c>
      <c r="U439" s="95" t="str">
        <f>IF(ISNUMBER($B$417),
IF($C439&lt;&gt;"",
IF(AND(ISNUMBER(T$416), T$416&gt;0),
IF(AND(U$279=123, Cultivar_1_Cohort_Year_Selection=$P$278,Cultivar_2_Cohort_Year_Selection=$P$278,Cultivar_3_Cohort_Year_Selection=$P$278), ROUND(MAX(0,T$416 - 3),0),
IF(AND(OR(U$279=123, U$279=12), Cultivar_1_Cohort_Year_Selection=$P$278,Cultivar_2_Cohort_Year_Selection=$P$278), ROUND(MAX(0,T$416 - 2),0),
IF(AND(OR(U$279=123, U$279=13), Cultivar_1_Cohort_Year_Selection=$P$278,Cultivar_3_Cohort_Year_Selection=$P$278), ROUND(MAX(0,T$416 - 2),0),
IF(AND(OR(U$279=123, U$279=23), Cultivar_2_Cohort_Year_Selection=$P$278,Cultivar_3_Cohort_Year_Selection=$P$278), ROUND(MAX(0,T$416 - 2),0),
IF(AND(OR(U$279=123, U$279=12, U$279=13, U$279=1), Cultivar_1_Cohort_Year_Selection=$P$278), ROUND(MAX(0,T$416 - 1),0),
IF(AND(OR(U$279=123, U$279=12, U$279=23, U$279=2), Cultivar_2_Cohort_Year_Selection=$P$278), ROUND(MAX(0,T$416 - 1),0),
IF(AND(OR(U$279=123, U$279=13, U$279=23, U$279=3), Cultivar_3_Cohort_Year_Selection=$P$278), ROUND(MAX(0,T$416 - 1),0),
ROUND(MAX(0,T$416),0)))))))),""),""),"")</f>
        <v/>
      </c>
      <c r="V439" s="95" t="str">
        <f>IF(ISNUMBER($B$417),
IF($C439&lt;&gt;"",
IF(AND(ISNUMBER(U$416), U$416&gt;0),
IF(AND(V$279=123, Cultivar_1_Cohort_Year_Selection=$Q$278,Cultivar_2_Cohort_Year_Selection=$Q$278,Cultivar_3_Cohort_Year_Selection=$Q$278), ROUND(MAX(0,U$416 - 3),0),
IF(AND(OR(V$279=123, V$279=12), Cultivar_1_Cohort_Year_Selection=$Q$278,Cultivar_2_Cohort_Year_Selection=$Q$278), ROUND(MAX(0,U$416 - 2),0),
IF(AND(OR(V$279=123, V$279=13), Cultivar_1_Cohort_Year_Selection=$Q$278,Cultivar_3_Cohort_Year_Selection=$Q$278), ROUND(MAX(0,U$416 - 2),0),
IF(AND(OR(V$279=123, V$279=23), Cultivar_2_Cohort_Year_Selection=$Q$278,Cultivar_3_Cohort_Year_Selection=$Q$278), ROUND(MAX(0,U$416 - 2),0),
IF(AND(OR(V$279=123, V$279=12, V$279=13, V$279=1), Cultivar_1_Cohort_Year_Selection=$Q$278), ROUND(MAX(0,U$416 - 1),0),
IF(AND(OR(V$279=123, V$279=12, V$279=23, V$279=2), Cultivar_2_Cohort_Year_Selection=$Q$278), ROUND(MAX(0,U$416 - 1),0),
IF(AND(OR(V$279=123, V$279=13, V$279=23, V$279=3), Cultivar_3_Cohort_Year_Selection=$Q$278), ROUND(MAX(0,U$416 - 1),0),
ROUND(MAX(0,U$416),0)))))))),""),""),"")</f>
        <v/>
      </c>
      <c r="W439" s="95" t="str">
        <f>IF(ISNUMBER($B$417),
IF($C439&lt;&gt;"",
IF(AND(ISNUMBER(V$416), V$416&gt;0),
IF(AND(W$279=123, Cultivar_1_Cohort_Year_Selection=$R$278,Cultivar_2_Cohort_Year_Selection=$R$278,Cultivar_3_Cohort_Year_Selection=$R$278), ROUND(MAX(0,V$416 - 3),0),
IF(AND(OR(W$279=123, W$279=12), Cultivar_1_Cohort_Year_Selection=$R$278,Cultivar_2_Cohort_Year_Selection=$R$278), ROUND(MAX(0,V$416 - 2),0),
IF(AND(OR(W$279=123, W$279=13), Cultivar_1_Cohort_Year_Selection=$R$278,Cultivar_3_Cohort_Year_Selection=$R$278), ROUND(MAX(0,V$416 - 2),0),
IF(AND(OR(W$279=123, W$279=23), Cultivar_2_Cohort_Year_Selection=$R$278,Cultivar_3_Cohort_Year_Selection=$R$278), ROUND(MAX(0,V$416 - 2),0),
IF(AND(OR(W$279=123, W$279=12, W$279=13, W$279=1), Cultivar_1_Cohort_Year_Selection=$R$278), ROUND(MAX(0,V$416 - 1),0),
IF(AND(OR(W$279=123, W$279=12, W$279=23, W$279=2), Cultivar_2_Cohort_Year_Selection=$R$278), ROUND(MAX(0,V$416 - 1),0),
IF(AND(OR(W$279=123, W$279=13, W$279=23, W$279=3), Cultivar_3_Cohort_Year_Selection=$R$278), ROUND(MAX(0,V$416 - 1),0),
ROUND(MAX(0,V$416),0)))))))),""),""),"")</f>
        <v/>
      </c>
      <c r="X439" s="95" t="str">
        <f>IF(ISNUMBER($B$417),
IF($C439&lt;&gt;"",
IF(AND(ISNUMBER(W$416), W$416&gt;0),
IF(AND(X$279=123, Cultivar_1_Cohort_Year_Selection=$S$278,Cultivar_2_Cohort_Year_Selection=$S$278,Cultivar_3_Cohort_Year_Selection=$S$278), ROUND(MAX(0,W$416 - 3),0),
IF(AND(OR(X$279=123, X$279=12), Cultivar_1_Cohort_Year_Selection=$S$278,Cultivar_2_Cohort_Year_Selection=$S$278), ROUND(MAX(0,W$416 - 2),0),
IF(AND(OR(X$279=123, X$279=13), Cultivar_1_Cohort_Year_Selection=$S$278,Cultivar_3_Cohort_Year_Selection=$S$278), ROUND(MAX(0,W$416 - 2),0),
IF(AND(OR(X$279=123, X$279=23), Cultivar_2_Cohort_Year_Selection=$S$278,Cultivar_3_Cohort_Year_Selection=$S$278), ROUND(MAX(0,W$416 - 2),0),
IF(AND(OR(X$279=123, X$279=12, X$279=13, X$279=1), Cultivar_1_Cohort_Year_Selection=$S$278), ROUND(MAX(0,W$416 - 1),0),
IF(AND(OR(X$279=123, X$279=12, X$279=23, X$279=2), Cultivar_2_Cohort_Year_Selection=$S$278), ROUND(MAX(0,W$416 - 1),0),
IF(AND(OR(X$279=123, X$279=13, X$279=23, X$279=3), Cultivar_3_Cohort_Year_Selection=$S$278), ROUND(MAX(0,W$416 - 1),0),
ROUND(MAX(0,W$416),0)))))))),""),""),"")</f>
        <v/>
      </c>
      <c r="Y439" s="95" t="str">
        <f>IF(ISNUMBER($B$417),
IF($C439&lt;&gt;"",
IF(AND(ISNUMBER(X$416), X$416&gt;0),
IF(AND(Y$279=123, Cultivar_1_Cohort_Year_Selection=$T$278,Cultivar_2_Cohort_Year_Selection=$T$278,Cultivar_3_Cohort_Year_Selection=$T$278), ROUND(MAX(0,X$416 - 3),0),
IF(AND(OR(Y$279=123, Y$279=12), Cultivar_1_Cohort_Year_Selection=$T$278,Cultivar_2_Cohort_Year_Selection=$T$278), ROUND(MAX(0,X$416 - 2),0),
IF(AND(OR(Y$279=123, Y$279=13), Cultivar_1_Cohort_Year_Selection=$T$278,Cultivar_3_Cohort_Year_Selection=$T$278), ROUND(MAX(0,X$416 - 2),0),
IF(AND(OR(Y$279=123, Y$279=23), Cultivar_2_Cohort_Year_Selection=$T$278,Cultivar_3_Cohort_Year_Selection=$T$278), ROUND(MAX(0,X$416 - 2),0),
IF(AND(OR(Y$279=123, Y$279=12, Y$279=13, Y$279=1), Cultivar_1_Cohort_Year_Selection=$T$278), ROUND(MAX(0,X$416 - 1),0),
IF(AND(OR(Y$279=123, Y$279=12, Y$279=23, Y$279=2), Cultivar_2_Cohort_Year_Selection=$T$278), ROUND(MAX(0,X$416 - 1),0),
IF(AND(OR(Y$279=123, Y$279=13, Y$279=23, Y$279=3), Cultivar_3_Cohort_Year_Selection=$T$278), ROUND(MAX(0,X$416 - 1),0),
ROUND(MAX(0,X$416),0)))))))),""),""),"")</f>
        <v/>
      </c>
      <c r="Z439" s="95" t="str">
        <f>IF(ISNUMBER($B$417),
IF($C439&lt;&gt;"",
IF(AND(ISNUMBER(Y$416), Y$416&gt;0),
IF(AND(Z$279=123, Cultivar_1_Cohort_Year_Selection=$U$278,Cultivar_2_Cohort_Year_Selection=$U$278,Cultivar_3_Cohort_Year_Selection=$U$278), ROUND(MAX(0,Y$416 - 3),0),
IF(AND(OR(Z$279=123, Z$279=12), Cultivar_1_Cohort_Year_Selection=$U$278,Cultivar_2_Cohort_Year_Selection=$U$278), ROUND(MAX(0,Y$416 - 2),0),
IF(AND(OR(Z$279=123, Z$279=13), Cultivar_1_Cohort_Year_Selection=$U$278,Cultivar_3_Cohort_Year_Selection=$U$278), ROUND(MAX(0,Y$416 - 2),0),
IF(AND(OR(Z$279=123, Z$279=23), Cultivar_2_Cohort_Year_Selection=$U$278,Cultivar_3_Cohort_Year_Selection=$U$278), ROUND(MAX(0,Y$416 - 2),0),
IF(AND(OR(Z$279=123, Z$279=12, Z$279=13, Z$279=1), Cultivar_1_Cohort_Year_Selection=$U$278), ROUND(MAX(0,Y$416 - 1),0),
IF(AND(OR(Z$279=123, Z$279=12, Z$279=23, Z$279=2), Cultivar_2_Cohort_Year_Selection=$U$278), ROUND(MAX(0,Y$416 - 1),0),
IF(AND(OR(Z$279=123, Z$279=13, Z$279=23, Z$279=3), Cultivar_3_Cohort_Year_Selection=$U$278), ROUND(MAX(0,Y$416 - 1),0),
ROUND(MAX(0,Y$416),0)))))))),""),""),"")</f>
        <v/>
      </c>
      <c r="AA439" s="95" t="str">
        <f>IF(ISNUMBER($B$417),
IF($C439&lt;&gt;"",
IF(AND(ISNUMBER(Z$416), Z$416&gt;0),
IF(AND(AA$279=123, Cultivar_1_Cohort_Year_Selection=$V$278,Cultivar_2_Cohort_Year_Selection=$V$278,Cultivar_3_Cohort_Year_Selection=$V$278), ROUND(MAX(0,Z$416 - 3),0),
IF(AND(OR(AA$279=123, AA$279=12), Cultivar_1_Cohort_Year_Selection=$V$278,Cultivar_2_Cohort_Year_Selection=$V$278), ROUND(MAX(0,Z$416 - 2),0),
IF(AND(OR(AA$279=123, AA$279=13), Cultivar_1_Cohort_Year_Selection=$V$278,Cultivar_3_Cohort_Year_Selection=$V$278), ROUND(MAX(0,Z$416 - 2),0),
IF(AND(OR(AA$279=123, AA$279=23), Cultivar_2_Cohort_Year_Selection=$V$278,Cultivar_3_Cohort_Year_Selection=$V$278), ROUND(MAX(0,Z$416 - 2),0),
IF(AND(OR(AA$279=123, AA$279=12, AA$279=13, AA$279=1), Cultivar_1_Cohort_Year_Selection=$V$278), ROUND(MAX(0,Z$416 - 1),0),
IF(AND(OR(AA$279=123, AA$279=12, AA$279=23, AA$279=2), Cultivar_2_Cohort_Year_Selection=$V$278), ROUND(MAX(0,Z$416 - 1),0),
IF(AND(OR(AA$279=123, AA$279=13, AA$279=23, AA$279=3), Cultivar_3_Cohort_Year_Selection=$V$278), ROUND(MAX(0,Z$416 - 1),0),
ROUND(MAX(0,Z$416),0)))))))),""),""),"")</f>
        <v/>
      </c>
      <c r="AB439" s="95" t="str">
        <f>IF(ISNUMBER($B$417),
IF($C439&lt;&gt;"",
IF(AND(ISNUMBER(AA$416), AA$416&gt;0),
IF(AND(AB$279=123, Cultivar_1_Cohort_Year_Selection=$W$278,Cultivar_2_Cohort_Year_Selection=$W$278,Cultivar_3_Cohort_Year_Selection=$W$278), ROUND(MAX(0,AA$416 - 3),0),
IF(AND(OR(AB$279=123, AB$279=12), Cultivar_1_Cohort_Year_Selection=$W$278,Cultivar_2_Cohort_Year_Selection=$W$278), ROUND(MAX(0,AA$416 - 2),0),
IF(AND(OR(AB$279=123, AB$279=13), Cultivar_1_Cohort_Year_Selection=$W$278,Cultivar_3_Cohort_Year_Selection=$W$278), ROUND(MAX(0,AA$416 - 2),0),
IF(AND(OR(AB$279=123, AB$279=23), Cultivar_2_Cohort_Year_Selection=$W$278,Cultivar_3_Cohort_Year_Selection=$W$278), ROUND(MAX(0,AA$416 - 2),0),
IF(AND(OR(AB$279=123, AB$279=12, AB$279=13, AB$279=1), Cultivar_1_Cohort_Year_Selection=$W$278), ROUND(MAX(0,AA$416 - 1),0),
IF(AND(OR(AB$279=123, AB$279=12, AB$279=23, AB$279=2), Cultivar_2_Cohort_Year_Selection=$W$278), ROUND(MAX(0,AA$416 - 1),0),
IF(AND(OR(AB$279=123, AB$279=13, AB$279=23, AB$279=3), Cultivar_3_Cohort_Year_Selection=$W$278), ROUND(MAX(0,AA$416 - 1),0),
ROUND(MAX(0,AA$416),0)))))))),""),""),"")</f>
        <v/>
      </c>
      <c r="AC439" s="95" t="str">
        <f>IF(ISNUMBER($B$417),
IF($C439&lt;&gt;"",
IF(AND(ISNUMBER(AB$416), AB$416&gt;0),
IF(AND(AC$279=123, Cultivar_1_Cohort_Year_Selection=$X$278,Cultivar_2_Cohort_Year_Selection=$X$278,Cultivar_3_Cohort_Year_Selection=$X$278), ROUND(MAX(0,AB$416 - 3),0),
IF(AND(OR(AC$279=123, AC$279=12), Cultivar_1_Cohort_Year_Selection=$X$278,Cultivar_2_Cohort_Year_Selection=$X$278), ROUND(MAX(0,AB$416 - 2),0),
IF(AND(OR(AC$279=123, AC$279=13), Cultivar_1_Cohort_Year_Selection=$X$278,Cultivar_3_Cohort_Year_Selection=$X$278), ROUND(MAX(0,AB$416 - 2),0),
IF(AND(OR(AC$279=123, AC$279=23), Cultivar_2_Cohort_Year_Selection=$X$278,Cultivar_3_Cohort_Year_Selection=$X$278), ROUND(MAX(0,AB$416 - 2),0),
IF(AND(OR(AC$279=123, AC$279=12, AC$279=13, AC$279=1), Cultivar_1_Cohort_Year_Selection=$X$278), ROUND(MAX(0,AB$416 - 1),0),
IF(AND(OR(AC$279=123, AC$279=12, AC$279=23, AC$279=2), Cultivar_2_Cohort_Year_Selection=$X$278), ROUND(MAX(0,AB$416 - 1),0),
IF(AND(OR(AC$279=123, AC$279=13, AC$279=23, AC$279=3), Cultivar_3_Cohort_Year_Selection=$X$278), ROUND(MAX(0,AB$416 - 1),0),
ROUND(MAX(0,AB$416),0)))))))),""),""),"")</f>
        <v/>
      </c>
      <c r="AD439" s="95" t="str">
        <f>IF(ISNUMBER($B$417),
IF($C439&lt;&gt;"",
IF(AND(ISNUMBER(AC$416), AC$416&gt;0),
IF(AND(AD$279=123, Cultivar_1_Cohort_Year_Selection=$Y$278,Cultivar_2_Cohort_Year_Selection=$Y$278,Cultivar_3_Cohort_Year_Selection=$Y$278), ROUND(MAX(0,AC$416 - 3),0),
IF(AND(OR(AD$279=123, AD$279=12), Cultivar_1_Cohort_Year_Selection=$Y$278,Cultivar_2_Cohort_Year_Selection=$Y$278), ROUND(MAX(0,AC$416 - 2),0),
IF(AND(OR(AD$279=123, AD$279=13), Cultivar_1_Cohort_Year_Selection=$Y$278,Cultivar_3_Cohort_Year_Selection=$Y$278), ROUND(MAX(0,AC$416 - 2),0),
IF(AND(OR(AD$279=123, AD$279=23), Cultivar_2_Cohort_Year_Selection=$Y$278,Cultivar_3_Cohort_Year_Selection=$Y$278), ROUND(MAX(0,AC$416 - 2),0),
IF(AND(OR(AD$279=123, AD$279=12, AD$279=13, AD$279=1), Cultivar_1_Cohort_Year_Selection=$Y$278), ROUND(MAX(0,AC$416 - 1),0),
IF(AND(OR(AD$279=123, AD$279=12, AD$279=23, AD$279=2), Cultivar_2_Cohort_Year_Selection=$Y$278), ROUND(MAX(0,AC$416 - 1),0),
IF(AND(OR(AD$279=123, AD$279=13, AD$279=23, AD$279=3), Cultivar_3_Cohort_Year_Selection=$Y$278), ROUND(MAX(0,AC$416 - 1),0),
ROUND(MAX(0,AC$416),0)))))))),""),""),"")</f>
        <v/>
      </c>
      <c r="AE439" s="95" t="str">
        <f>IF(ISNUMBER($B$417),
IF($C439&lt;&gt;"",
IF(AND(ISNUMBER(AD$416), AD$416&gt;0),
IF(AND(AE$279=123, Cultivar_1_Cohort_Year_Selection=$Z$278,Cultivar_2_Cohort_Year_Selection=$Z$278,Cultivar_3_Cohort_Year_Selection=$Z$278), ROUND(MAX(0,AD$416 - 3),0),
IF(AND(OR(AE$279=123, AE$279=12), Cultivar_1_Cohort_Year_Selection=$Z$278,Cultivar_2_Cohort_Year_Selection=$Z$278), ROUND(MAX(0,AD$416 - 2),0),
IF(AND(OR(AE$279=123, AE$279=13), Cultivar_1_Cohort_Year_Selection=$Z$278,Cultivar_3_Cohort_Year_Selection=$Z$278), ROUND(MAX(0,AD$416 - 2),0),
IF(AND(OR(AE$279=123, AE$279=23), Cultivar_2_Cohort_Year_Selection=$Z$278,Cultivar_3_Cohort_Year_Selection=$Z$278), ROUND(MAX(0,AD$416 - 2),0),
IF(AND(OR(AE$279=123, AE$279=12, AE$279=13, AE$279=1), Cultivar_1_Cohort_Year_Selection=$Z$278), ROUND(MAX(0,AD$416 - 1),0),
IF(AND(OR(AE$279=123, AE$279=12, AE$279=23, AE$279=2), Cultivar_2_Cohort_Year_Selection=$Z$278), ROUND(MAX(0,AD$416 - 1),0),
IF(AND(OR(AE$279=123, AE$279=13, AE$279=23, AE$279=3), Cultivar_3_Cohort_Year_Selection=$Z$278), ROUND(MAX(0,AD$416 - 1),0),
ROUND(MAX(0,AD$416),0)))))))),""),""),"")</f>
        <v/>
      </c>
      <c r="AF439" s="95" t="str">
        <f>IF(ISNUMBER($B$417),
IF($C439&lt;&gt;"",
IF(AND(ISNUMBER(AE$416), AE$416&gt;0),
IF(AND(AF$279=123, Cultivar_1_Cohort_Year_Selection=$AA$278,Cultivar_2_Cohort_Year_Selection=$AA$278,Cultivar_3_Cohort_Year_Selection=$AA$278), ROUND(MAX(0,AE$416 - 3),0),
IF(AND(OR(AF$279=123, AF$279=12), Cultivar_1_Cohort_Year_Selection=$AA$278,Cultivar_2_Cohort_Year_Selection=$AA$278), ROUND(MAX(0,AE$416 - 2),0),
IF(AND(OR(AF$279=123, AF$279=13), Cultivar_1_Cohort_Year_Selection=$AA$278,Cultivar_3_Cohort_Year_Selection=$AA$278), ROUND(MAX(0,AE$416 - 2),0),
IF(AND(OR(AF$279=123, AF$279=23), Cultivar_2_Cohort_Year_Selection=$AA$278,Cultivar_3_Cohort_Year_Selection=$AA$278), ROUND(MAX(0,AE$416 - 2),0),
IF(AND(OR(AF$279=123, AF$279=12, AF$279=13, AF$279=1), Cultivar_1_Cohort_Year_Selection=$AA$278), ROUND(MAX(0,AE$416 - 1),0),
IF(AND(OR(AF$279=123, AF$279=12, AF$279=23, AF$279=2), Cultivar_2_Cohort_Year_Selection=$AA$278), ROUND(MAX(0,AE$416 - 1),0),
IF(AND(OR(AF$279=123, AF$279=13, AF$279=23, AF$279=3), Cultivar_3_Cohort_Year_Selection=$AA$278), ROUND(MAX(0,AE$416 - 1),0),
ROUND(MAX(0,AE$416),0)))))))),""),""),"")</f>
        <v/>
      </c>
      <c r="AG439" s="95" t="str">
        <f>IF(ISNUMBER($B$417),
IF($C439&lt;&gt;"",
IF(AND(ISNUMBER(AF$416), AF$416&gt;0),
IF(AND(AG$279=123, Cultivar_1_Cohort_Year_Selection=$AB$278,Cultivar_2_Cohort_Year_Selection=$AB$278,Cultivar_3_Cohort_Year_Selection=$AB$278), ROUND(MAX(0,AF$416 - 3),0),
IF(AND(OR(AG$279=123, AG$279=12), Cultivar_1_Cohort_Year_Selection=$AB$278,Cultivar_2_Cohort_Year_Selection=$AB$278), ROUND(MAX(0,AF$416 - 2),0),
IF(AND(OR(AG$279=123, AG$279=13), Cultivar_1_Cohort_Year_Selection=$AB$278,Cultivar_3_Cohort_Year_Selection=$AB$278), ROUND(MAX(0,AF$416 - 2),0),
IF(AND(OR(AG$279=123, AG$279=23), Cultivar_2_Cohort_Year_Selection=$AB$278,Cultivar_3_Cohort_Year_Selection=$AB$278), ROUND(MAX(0,AF$416 - 2),0),
IF(AND(OR(AG$279=123, AG$279=12, AG$279=13, AG$279=1), Cultivar_1_Cohort_Year_Selection=$AB$278), ROUND(MAX(0,AF$416 - 1),0),
IF(AND(OR(AG$279=123, AG$279=12, AG$279=23, AG$279=2), Cultivar_2_Cohort_Year_Selection=$AB$278), ROUND(MAX(0,AF$416 - 1),0),
IF(AND(OR(AG$279=123, AG$279=13, AG$279=23, AG$279=3), Cultivar_3_Cohort_Year_Selection=$AB$278), ROUND(MAX(0,AF$416 - 1),0),
ROUND(MAX(0,AF$416),0)))))))),""),""),"")</f>
        <v/>
      </c>
      <c r="AH439" s="95" t="str">
        <f>IF(ISNUMBER($B$417),
IF($C439&lt;&gt;"",
IF(AND(ISNUMBER(AG$416), AG$416&gt;0),
IF(AND(AH$279=123, Cultivar_1_Cohort_Year_Selection=$AC$278,Cultivar_2_Cohort_Year_Selection=$AC$278,Cultivar_3_Cohort_Year_Selection=$AC$278), ROUND(MAX(0,AG$416 - 3),0),
IF(AND(OR(AH$279=123, AH$279=12), Cultivar_1_Cohort_Year_Selection=$AC$278,Cultivar_2_Cohort_Year_Selection=$AC$278), ROUND(MAX(0,AG$416 - 2),0),
IF(AND(OR(AH$279=123, AH$279=13), Cultivar_1_Cohort_Year_Selection=$AC$278,Cultivar_3_Cohort_Year_Selection=$AC$278), ROUND(MAX(0,AG$416 - 2),0),
IF(AND(OR(AH$279=123, AH$279=23), Cultivar_2_Cohort_Year_Selection=$AC$278,Cultivar_3_Cohort_Year_Selection=$AC$278), ROUND(MAX(0,AG$416 - 2),0),
IF(AND(OR(AH$279=123, AH$279=12, AH$279=13, AH$279=1), Cultivar_1_Cohort_Year_Selection=$AC$278), ROUND(MAX(0,AG$416 - 1),0),
IF(AND(OR(AH$279=123, AH$279=12, AH$279=23, AH$279=2), Cultivar_2_Cohort_Year_Selection=$AC$278), ROUND(MAX(0,AG$416 - 1),0),
IF(AND(OR(AH$279=123, AH$279=13, AH$279=23, AH$279=3), Cultivar_3_Cohort_Year_Selection=$AC$278), ROUND(MAX(0,AG$416 - 1),0),
ROUND(MAX(0,AG$416),0)))))))),""),""),"")</f>
        <v/>
      </c>
      <c r="AI439" s="95" t="str">
        <f>IF(ISNUMBER($B$417),
IF($C439&lt;&gt;"",
IF(AND(ISNUMBER(AH$416), AH$416&gt;0),
IF(AND(AI$279=123, Cultivar_1_Cohort_Year_Selection=$AD$278,Cultivar_2_Cohort_Year_Selection=$AD$278,Cultivar_3_Cohort_Year_Selection=$AD$278), ROUND(MAX(0,AH$416 - 3),0),
IF(AND(OR(AI$279=123, AI$279=12), Cultivar_1_Cohort_Year_Selection=$AD$278,Cultivar_2_Cohort_Year_Selection=$AD$278), ROUND(MAX(0,AH$416 - 2),0),
IF(AND(OR(AI$279=123, AI$279=13), Cultivar_1_Cohort_Year_Selection=$AD$278,Cultivar_3_Cohort_Year_Selection=$AD$278), ROUND(MAX(0,AH$416 - 2),0),
IF(AND(OR(AI$279=123, AI$279=23), Cultivar_2_Cohort_Year_Selection=$AD$278,Cultivar_3_Cohort_Year_Selection=$AD$278), ROUND(MAX(0,AH$416 - 2),0),
IF(AND(OR(AI$279=123, AI$279=12, AI$279=13, AI$279=1), Cultivar_1_Cohort_Year_Selection=$AD$278), ROUND(MAX(0,AH$416 - 1),0),
IF(AND(OR(AI$279=123, AI$279=12, AI$279=23, AI$279=2), Cultivar_2_Cohort_Year_Selection=$AD$278), ROUND(MAX(0,AH$416 - 1),0),
IF(AND(OR(AI$279=123, AI$279=13, AI$279=23, AI$279=3), Cultivar_3_Cohort_Year_Selection=$AD$278), ROUND(MAX(0,AH$416 - 1),0),
ROUND(MAX(0,AH$416),0)))))))),""),""),"")</f>
        <v/>
      </c>
      <c r="AJ439" s="95" t="str">
        <f>IF(ISNUMBER($B$417),
IF($C439&lt;&gt;"",
IF(AND(ISNUMBER(AI$416), AI$416&gt;0),
IF(AND(AJ$279=123, Cultivar_1_Cohort_Year_Selection=$AE$278,Cultivar_2_Cohort_Year_Selection=$AE$278,Cultivar_3_Cohort_Year_Selection=$AE$278), ROUND(MAX(0,AI$416 - 3),0),
IF(AND(OR(AJ$279=123, AJ$279=12), Cultivar_1_Cohort_Year_Selection=$AE$278,Cultivar_2_Cohort_Year_Selection=$AE$278), ROUND(MAX(0,AI$416 - 2),0),
IF(AND(OR(AJ$279=123, AJ$279=13), Cultivar_1_Cohort_Year_Selection=$AE$278,Cultivar_3_Cohort_Year_Selection=$AE$278), ROUND(MAX(0,AI$416 - 2),0),
IF(AND(OR(AJ$279=123, AJ$279=23), Cultivar_2_Cohort_Year_Selection=$AE$278,Cultivar_3_Cohort_Year_Selection=$AE$278), ROUND(MAX(0,AI$416 - 2),0),
IF(AND(OR(AJ$279=123, AJ$279=12, AJ$279=13, AJ$279=1), Cultivar_1_Cohort_Year_Selection=$AE$278), ROUND(MAX(0,AI$416 - 1),0),
IF(AND(OR(AJ$279=123, AJ$279=12, AJ$279=23, AJ$279=2), Cultivar_2_Cohort_Year_Selection=$AE$278), ROUND(MAX(0,AI$416 - 1),0),
IF(AND(OR(AJ$279=123, AJ$279=13, AJ$279=23, AJ$279=3), Cultivar_3_Cohort_Year_Selection=$AE$278), ROUND(MAX(0,AI$416 - 1),0),
ROUND(MAX(0,AI$416),0)))))))),""),""),"")</f>
        <v/>
      </c>
      <c r="AK439" s="95" t="str">
        <f>IF(ISNUMBER($B$417),
IF($C439&lt;&gt;"",
IF(AND(ISNUMBER(AJ$416), AJ$416&gt;0),
IF(AND(AK$279=123, Cultivar_1_Cohort_Year_Selection=$AF$278,Cultivar_2_Cohort_Year_Selection=$AF$278,Cultivar_3_Cohort_Year_Selection=$AF$278), ROUND(MAX(0,AJ$416 - 3),0),
IF(AND(OR(AK$279=123, AK$279=12), Cultivar_1_Cohort_Year_Selection=$AF$278,Cultivar_2_Cohort_Year_Selection=$AF$278), ROUND(MAX(0,AJ$416 - 2),0),
IF(AND(OR(AK$279=123, AK$279=13), Cultivar_1_Cohort_Year_Selection=$AF$278,Cultivar_3_Cohort_Year_Selection=$AF$278), ROUND(MAX(0,AJ$416 - 2),0),
IF(AND(OR(AK$279=123, AK$279=23), Cultivar_2_Cohort_Year_Selection=$AF$278,Cultivar_3_Cohort_Year_Selection=$AF$278), ROUND(MAX(0,AJ$416 - 2),0),
IF(AND(OR(AK$279=123, AK$279=12, AK$279=13, AK$279=1), Cultivar_1_Cohort_Year_Selection=$AF$278), ROUND(MAX(0,AJ$416 - 1),0),
IF(AND(OR(AK$279=123, AK$279=12, AK$279=23, AK$279=2), Cultivar_2_Cohort_Year_Selection=$AF$278), ROUND(MAX(0,AJ$416 - 1),0),
IF(AND(OR(AK$279=123, AK$279=13, AK$279=23, AK$279=3), Cultivar_3_Cohort_Year_Selection=$AF$278), ROUND(MAX(0,AJ$416 - 1),0),
ROUND(MAX(0,AJ$416),0)))))))),""),""),"")</f>
        <v/>
      </c>
      <c r="AL439" s="95" t="str">
        <f>IF(ISNUMBER($B$417),
IF($C439&lt;&gt;"",
IF(AND(ISNUMBER(AK$416), AK$416&gt;0),
IF(AND(AL$279=123, Cultivar_1_Cohort_Year_Selection=$AG$278,Cultivar_2_Cohort_Year_Selection=$AG$278,Cultivar_3_Cohort_Year_Selection=$AG$278), ROUND(MAX(0,AK$416 - 3),0),
IF(AND(OR(AL$279=123, AL$279=12), Cultivar_1_Cohort_Year_Selection=$AG$278,Cultivar_2_Cohort_Year_Selection=$AG$278), ROUND(MAX(0,AK$416 - 2),0),
IF(AND(OR(AL$279=123, AL$279=13), Cultivar_1_Cohort_Year_Selection=$AG$278,Cultivar_3_Cohort_Year_Selection=$AG$278), ROUND(MAX(0,AK$416 - 2),0),
IF(AND(OR(AL$279=123, AL$279=23), Cultivar_2_Cohort_Year_Selection=$AG$278,Cultivar_3_Cohort_Year_Selection=$AG$278), ROUND(MAX(0,AK$416 - 2),0),
IF(AND(OR(AL$279=123, AL$279=12, AL$279=13, AL$279=1), Cultivar_1_Cohort_Year_Selection=$AG$278), ROUND(MAX(0,AK$416 - 1),0),
IF(AND(OR(AL$279=123, AL$279=12, AL$279=23, AL$279=2), Cultivar_2_Cohort_Year_Selection=$AG$278), ROUND(MAX(0,AK$416 - 1),0),
IF(AND(OR(AL$279=123, AL$279=13, AL$279=23, AL$279=3), Cultivar_3_Cohort_Year_Selection=$AG$278), ROUND(MAX(0,AK$416 - 1),0),
ROUND(MAX(0,AK$416),0)))))))),""),""),"")</f>
        <v/>
      </c>
      <c r="AM439" s="95" t="str">
        <f>IF(ISNUMBER($B$417),
IF($C439&lt;&gt;"",
IF(AND(ISNUMBER(AL$416), AL$416&gt;0),
IF(AND(AM$279=123, Cultivar_1_Cohort_Year_Selection=$AH$278,Cultivar_2_Cohort_Year_Selection=$AH$278,Cultivar_3_Cohort_Year_Selection=$AH$278), ROUND(MAX(0,AL$416 - 3),0),
IF(AND(OR(AM$279=123, AM$279=12), Cultivar_1_Cohort_Year_Selection=$AH$278,Cultivar_2_Cohort_Year_Selection=$AH$278), ROUND(MAX(0,AL$416 - 2),0),
IF(AND(OR(AM$279=123, AM$279=13), Cultivar_1_Cohort_Year_Selection=$AH$278,Cultivar_3_Cohort_Year_Selection=$AH$278), ROUND(MAX(0,AL$416 - 2),0),
IF(AND(OR(AM$279=123, AM$279=23), Cultivar_2_Cohort_Year_Selection=$AH$278,Cultivar_3_Cohort_Year_Selection=$AH$278), ROUND(MAX(0,AL$416 - 2),0),
IF(AND(OR(AM$279=123, AM$279=12, AM$279=13, AM$279=1), Cultivar_1_Cohort_Year_Selection=$AH$278), ROUND(MAX(0,AL$416 - 1),0),
IF(AND(OR(AM$279=123, AM$279=12, AM$279=23, AM$279=2), Cultivar_2_Cohort_Year_Selection=$AH$278), ROUND(MAX(0,AL$416 - 1),0),
IF(AND(OR(AM$279=123, AM$279=13, AM$279=23, AM$279=3), Cultivar_3_Cohort_Year_Selection=$AH$278), ROUND(MAX(0,AL$416 - 1),0),
ROUND(MAX(0,AL$416),0)))))))),""),""),"")</f>
        <v/>
      </c>
      <c r="AN439" s="95" t="str">
        <f>IF(ISNUMBER($B$417),
IF($C439&lt;&gt;"",
IF(AND(ISNUMBER(AM$416), AM$416&gt;0),
IF(AND(AN$279=123, Cultivar_1_Cohort_Year_Selection=$AI$278,Cultivar_2_Cohort_Year_Selection=$AI$278,Cultivar_3_Cohort_Year_Selection=$AI$278), ROUND(MAX(0,AM$416 - 3),0),
IF(AND(OR(AN$279=123, AN$279=12), Cultivar_1_Cohort_Year_Selection=$AI$278,Cultivar_2_Cohort_Year_Selection=$AI$278), ROUND(MAX(0,AM$416 - 2),0),
IF(AND(OR(AN$279=123, AN$279=13), Cultivar_1_Cohort_Year_Selection=$AI$278,Cultivar_3_Cohort_Year_Selection=$AI$278), ROUND(MAX(0,AM$416 - 2),0),
IF(AND(OR(AN$279=123, AN$279=23), Cultivar_2_Cohort_Year_Selection=$AI$278,Cultivar_3_Cohort_Year_Selection=$AI$278), ROUND(MAX(0,AM$416 - 2),0),
IF(AND(OR(AN$279=123, AN$279=12, AN$279=13, AN$279=1), Cultivar_1_Cohort_Year_Selection=$AI$278), ROUND(MAX(0,AM$416 - 1),0),
IF(AND(OR(AN$279=123, AN$279=12, AN$279=23, AN$279=2), Cultivar_2_Cohort_Year_Selection=$AI$278), ROUND(MAX(0,AM$416 - 1),0),
IF(AND(OR(AN$279=123, AN$279=13, AN$279=23, AN$279=3), Cultivar_3_Cohort_Year_Selection=$AI$278), ROUND(MAX(0,AM$416 - 1),0),
ROUND(MAX(0,AM$416),0)))))))),""),""),"")</f>
        <v/>
      </c>
      <c r="AO439" s="95" t="str">
        <f>IF(ISNUMBER($B$417),
IF($C439&lt;&gt;"",
IF(AND(ISNUMBER(AN$416), AN$416&gt;0),
IF(AND(AO$279=123, Cultivar_1_Cohort_Year_Selection=$AJ$278,Cultivar_2_Cohort_Year_Selection=$AJ$278,Cultivar_3_Cohort_Year_Selection=$AJ$278), ROUND(MAX(0,AN$416 - 3),0),
IF(AND(OR(AO$279=123, AO$279=12), Cultivar_1_Cohort_Year_Selection=$AJ$278,Cultivar_2_Cohort_Year_Selection=$AJ$278), ROUND(MAX(0,AN$416 - 2),0),
IF(AND(OR(AO$279=123, AO$279=13), Cultivar_1_Cohort_Year_Selection=$AJ$278,Cultivar_3_Cohort_Year_Selection=$AJ$278), ROUND(MAX(0,AN$416 - 2),0),
IF(AND(OR(AO$279=123, AO$279=23), Cultivar_2_Cohort_Year_Selection=$AJ$278,Cultivar_3_Cohort_Year_Selection=$AJ$278), ROUND(MAX(0,AN$416 - 2),0),
IF(AND(OR(AO$279=123, AO$279=12, AO$279=13, AO$279=1), Cultivar_1_Cohort_Year_Selection=$AJ$278), ROUND(MAX(0,AN$416 - 1),0),
IF(AND(OR(AO$279=123, AO$279=12, AO$279=23, AO$279=2), Cultivar_2_Cohort_Year_Selection=$AJ$278), ROUND(MAX(0,AN$416 - 1),0),
IF(AND(OR(AO$279=123, AO$279=13, AO$279=23, AO$279=3), Cultivar_3_Cohort_Year_Selection=$AJ$278), ROUND(MAX(0,AN$416 - 1),0),
ROUND(MAX(0,AN$416),0)))))))),""),""),"")</f>
        <v/>
      </c>
      <c r="AP439" s="95" t="str">
        <f>IF(ISNUMBER($B$417),
IF($C439&lt;&gt;"",
IF(AND(ISNUMBER(AO$416), AO$416&gt;0),
IF(AND(AP$279=123, Cultivar_1_Cohort_Year_Selection=$AK$278,Cultivar_2_Cohort_Year_Selection=$AK$278,Cultivar_3_Cohort_Year_Selection=$AK$278), ROUND(MAX(0,AO$416 - 3),0),
IF(AND(OR(AP$279=123, AP$279=12), Cultivar_1_Cohort_Year_Selection=$AK$278,Cultivar_2_Cohort_Year_Selection=$AK$278), ROUND(MAX(0,AO$416 - 2),0),
IF(AND(OR(AP$279=123, AP$279=13), Cultivar_1_Cohort_Year_Selection=$AK$278,Cultivar_3_Cohort_Year_Selection=$AK$278), ROUND(MAX(0,AO$416 - 2),0),
IF(AND(OR(AP$279=123, AP$279=23), Cultivar_2_Cohort_Year_Selection=$AK$278,Cultivar_3_Cohort_Year_Selection=$AK$278), ROUND(MAX(0,AO$416 - 2),0),
IF(AND(OR(AP$279=123, AP$279=12, AP$279=13, AP$279=1), Cultivar_1_Cohort_Year_Selection=$AK$278), ROUND(MAX(0,AO$416 - 1),0),
IF(AND(OR(AP$279=123, AP$279=12, AP$279=23, AP$279=2), Cultivar_2_Cohort_Year_Selection=$AK$278), ROUND(MAX(0,AO$416 - 1),0),
IF(AND(OR(AP$279=123, AP$279=13, AP$279=23, AP$279=3), Cultivar_3_Cohort_Year_Selection=$AK$278), ROUND(MAX(0,AO$416 - 1),0),
ROUND(MAX(0,AO$416),0)))))))),""),""),"")</f>
        <v/>
      </c>
      <c r="AQ439" s="95" t="str">
        <f>IF(ISNUMBER($B$417),
IF($C439&lt;&gt;"",
IF(AND(ISNUMBER(AP$416), AP$416&gt;0),
IF(AND(AQ$279=123, Cultivar_1_Cohort_Year_Selection=$AL$278,Cultivar_2_Cohort_Year_Selection=$AL$278,Cultivar_3_Cohort_Year_Selection=$AL$278), ROUND(MAX(0,AP$416 - 3),0),
IF(AND(OR(AQ$279=123, AQ$279=12), Cultivar_1_Cohort_Year_Selection=$AL$278,Cultivar_2_Cohort_Year_Selection=$AL$278), ROUND(MAX(0,AP$416 - 2),0),
IF(AND(OR(AQ$279=123, AQ$279=13), Cultivar_1_Cohort_Year_Selection=$AL$278,Cultivar_3_Cohort_Year_Selection=$AL$278), ROUND(MAX(0,AP$416 - 2),0),
IF(AND(OR(AQ$279=123, AQ$279=23), Cultivar_2_Cohort_Year_Selection=$AL$278,Cultivar_3_Cohort_Year_Selection=$AL$278), ROUND(MAX(0,AP$416 - 2),0),
IF(AND(OR(AQ$279=123, AQ$279=12, AQ$279=13, AQ$279=1), Cultivar_1_Cohort_Year_Selection=$AL$278), ROUND(MAX(0,AP$416 - 1),0),
IF(AND(OR(AQ$279=123, AQ$279=12, AQ$279=23, AQ$279=2), Cultivar_2_Cohort_Year_Selection=$AL$278), ROUND(MAX(0,AP$416 - 1),0),
IF(AND(OR(AQ$279=123, AQ$279=13, AQ$279=23, AQ$279=3), Cultivar_3_Cohort_Year_Selection=$AL$278), ROUND(MAX(0,AP$416 - 1),0),
ROUND(MAX(0,AP$416),0)))))))),""),""),"")</f>
        <v/>
      </c>
      <c r="AR439" s="95" t="str">
        <f>IF(ISNUMBER($B$417),
IF($C439&lt;&gt;"",
IF(AND(ISNUMBER(AQ$416), AQ$416&gt;0),
IF(AND(AR$279=123, Cultivar_1_Cohort_Year_Selection=$AM$278,Cultivar_2_Cohort_Year_Selection=$AM$278,Cultivar_3_Cohort_Year_Selection=$AM$278), ROUND(MAX(0,AQ$416 - 3),0),
IF(AND(OR(AR$279=123, AR$279=12), Cultivar_1_Cohort_Year_Selection=$AM$278,Cultivar_2_Cohort_Year_Selection=$AM$278), ROUND(MAX(0,AQ$416 - 2),0),
IF(AND(OR(AR$279=123, AR$279=13), Cultivar_1_Cohort_Year_Selection=$AM$278,Cultivar_3_Cohort_Year_Selection=$AM$278), ROUND(MAX(0,AQ$416 - 2),0),
IF(AND(OR(AR$279=123, AR$279=23), Cultivar_2_Cohort_Year_Selection=$AM$278,Cultivar_3_Cohort_Year_Selection=$AM$278), ROUND(MAX(0,AQ$416 - 2),0),
IF(AND(OR(AR$279=123, AR$279=12, AR$279=13, AR$279=1), Cultivar_1_Cohort_Year_Selection=$AM$278), ROUND(MAX(0,AQ$416 - 1),0),
IF(AND(OR(AR$279=123, AR$279=12, AR$279=23, AR$279=2), Cultivar_2_Cohort_Year_Selection=$AM$278), ROUND(MAX(0,AQ$416 - 1),0),
IF(AND(OR(AR$279=123, AR$279=13, AR$279=23, AR$279=3), Cultivar_3_Cohort_Year_Selection=$AM$278), ROUND(MAX(0,AQ$416 - 1),0),
ROUND(MAX(0,AQ$416),0)))))))),""),""),"")</f>
        <v/>
      </c>
      <c r="AS439" s="95" t="str">
        <f>IF(ISNUMBER($B$417),
IF($C439&lt;&gt;"",
IF(AND(ISNUMBER(AR$416), AR$416&gt;0),
IF(AND(AS$279=123, Cultivar_1_Cohort_Year_Selection=$AN$278,Cultivar_2_Cohort_Year_Selection=$AN$278,Cultivar_3_Cohort_Year_Selection=$AN$278), ROUND(MAX(0,AR$416 - 3),0),
IF(AND(OR(AS$279=123, AS$279=12), Cultivar_1_Cohort_Year_Selection=$AN$278,Cultivar_2_Cohort_Year_Selection=$AN$278), ROUND(MAX(0,AR$416 - 2),0),
IF(AND(OR(AS$279=123, AS$279=13), Cultivar_1_Cohort_Year_Selection=$AN$278,Cultivar_3_Cohort_Year_Selection=$AN$278), ROUND(MAX(0,AR$416 - 2),0),
IF(AND(OR(AS$279=123, AS$279=23), Cultivar_2_Cohort_Year_Selection=$AN$278,Cultivar_3_Cohort_Year_Selection=$AN$278), ROUND(MAX(0,AR$416 - 2),0),
IF(AND(OR(AS$279=123, AS$279=12, AS$279=13, AS$279=1), Cultivar_1_Cohort_Year_Selection=$AN$278), ROUND(MAX(0,AR$416 - 1),0),
IF(AND(OR(AS$279=123, AS$279=12, AS$279=23, AS$279=2), Cultivar_2_Cohort_Year_Selection=$AN$278), ROUND(MAX(0,AR$416 - 1),0),
IF(AND(OR(AS$279=123, AS$279=13, AS$279=23, AS$279=3), Cultivar_3_Cohort_Year_Selection=$AN$278), ROUND(MAX(0,AR$416 - 1),0),
ROUND(MAX(0,AR$416),0)))))))),""),""),"")</f>
        <v/>
      </c>
      <c r="AT439" s="95" t="str">
        <f>IF(ISNUMBER($B$417),
IF($C439&lt;&gt;"",
IF(AND(ISNUMBER(AS$416), AS$416&gt;0),
IF(AND(AT$279=123, Cultivar_1_Cohort_Year_Selection=$AO$278,Cultivar_2_Cohort_Year_Selection=$AO$278,Cultivar_3_Cohort_Year_Selection=$AO$278), ROUND(MAX(0,AS$416 - 3),0),
IF(AND(OR(AT$279=123, AT$279=12), Cultivar_1_Cohort_Year_Selection=$AO$278,Cultivar_2_Cohort_Year_Selection=$AO$278), ROUND(MAX(0,AS$416 - 2),0),
IF(AND(OR(AT$279=123, AT$279=13), Cultivar_1_Cohort_Year_Selection=$AO$278,Cultivar_3_Cohort_Year_Selection=$AO$278), ROUND(MAX(0,AS$416 - 2),0),
IF(AND(OR(AT$279=123, AT$279=23), Cultivar_2_Cohort_Year_Selection=$AO$278,Cultivar_3_Cohort_Year_Selection=$AO$278), ROUND(MAX(0,AS$416 - 2),0),
IF(AND(OR(AT$279=123, AT$279=12, AT$279=13, AT$279=1), Cultivar_1_Cohort_Year_Selection=$AO$278), ROUND(MAX(0,AS$416 - 1),0),
IF(AND(OR(AT$279=123, AT$279=12, AT$279=23, AT$279=2), Cultivar_2_Cohort_Year_Selection=$AO$278), ROUND(MAX(0,AS$416 - 1),0),
IF(AND(OR(AT$279=123, AT$279=13, AT$279=23, AT$279=3), Cultivar_3_Cohort_Year_Selection=$AO$278), ROUND(MAX(0,AS$416 - 1),0),
ROUND(MAX(0,AS$416),0)))))))),""),""),"")</f>
        <v/>
      </c>
      <c r="AU439" s="95" t="str">
        <f>IF(ISNUMBER($B$417),
IF($C439&lt;&gt;"",
IF(AND(ISNUMBER(AT$416), AT$416&gt;0),
IF(AND(AU$279=123, Cultivar_1_Cohort_Year_Selection=$AP$278,Cultivar_2_Cohort_Year_Selection=$AP$278,Cultivar_3_Cohort_Year_Selection=$AP$278), ROUND(MAX(0,AT$416 - 3),0),
IF(AND(OR(AU$279=123, AU$279=12), Cultivar_1_Cohort_Year_Selection=$AP$278,Cultivar_2_Cohort_Year_Selection=$AP$278), ROUND(MAX(0,AT$416 - 2),0),
IF(AND(OR(AU$279=123, AU$279=13), Cultivar_1_Cohort_Year_Selection=$AP$278,Cultivar_3_Cohort_Year_Selection=$AP$278), ROUND(MAX(0,AT$416 - 2),0),
IF(AND(OR(AU$279=123, AU$279=23), Cultivar_2_Cohort_Year_Selection=$AP$278,Cultivar_3_Cohort_Year_Selection=$AP$278), ROUND(MAX(0,AT$416 - 2),0),
IF(AND(OR(AU$279=123, AU$279=12, AU$279=13, AU$279=1), Cultivar_1_Cohort_Year_Selection=$AP$278), ROUND(MAX(0,AT$416 - 1),0),
IF(AND(OR(AU$279=123, AU$279=12, AU$279=23, AU$279=2), Cultivar_2_Cohort_Year_Selection=$AP$278), ROUND(MAX(0,AT$416 - 1),0),
IF(AND(OR(AU$279=123, AU$279=13, AU$279=23, AU$279=3), Cultivar_3_Cohort_Year_Selection=$AP$278), ROUND(MAX(0,AT$416 - 1),0),
ROUND(MAX(0,AT$416),0)))))))),""),""),"")</f>
        <v/>
      </c>
    </row>
    <row r="440" spans="1:48" ht="6.6" customHeight="1" thickBot="1" x14ac:dyDescent="0.3">
      <c r="A440" s="213"/>
      <c r="B440" s="281"/>
      <c r="C440" s="283"/>
      <c r="D440" s="114"/>
      <c r="E440" s="114"/>
      <c r="F440" s="114"/>
      <c r="G440" s="284"/>
      <c r="H440" s="114"/>
      <c r="I440" s="114"/>
      <c r="J440" s="114"/>
      <c r="K440" s="114"/>
      <c r="L440" s="285"/>
      <c r="M440" s="285"/>
      <c r="N440" s="99"/>
      <c r="O440" s="99"/>
      <c r="P440" s="99"/>
      <c r="Q440" s="99"/>
      <c r="R440" s="99"/>
      <c r="S440" s="286"/>
      <c r="T440" s="136" t="str">
        <f>IF(ISNUMBER($B$417),
IF(AND(ISNUMBER(S$416), S$416&gt;0),
IF(AND(T$279=123, Cultivar_1_Cohort_Year_Selection=$O$278,Cultivar_2_Cohort_Year_Selection=$O$278,Cultivar_3_Cohort_Year_Selection=$O$278), ROUND(MAX(0,(S$416-('Stage 2 Randomized Selection'!I$2*$M417)) - 3),0),
IF(AND(OR(T$279=123, T$279=12), Cultivar_1_Cohort_Year_Selection=$O$278,Cultivar_2_Cohort_Year_Selection=$O$278),  ROUND(MAX(0,(S$416-('Stage 2 Randomized Selection'!H$2*$M417)) - 2),0),
IF(AND(OR(T$279=123, T$279=13), Cultivar_1_Cohort_Year_Selection=$O$278,Cultivar_3_Cohort_Year_Selection=$O$278), ROUND(MAX(0,(S$416-('Stage 2 Randomized Selection'!H$2*$M417)) - 2),0),
IF(AND(OR(T$279=123, T$279=23), Cultivar_2_Cohort_Year_Selection=$O$278,Cultivar_3_Cohort_Year_Selection=$O$278), ROUND(MAX(0,(S$416-('Stage 2 Randomized Selection'!H$2*$M417)) - 2),0),
IF(AND(OR(T$279=123, T$279=12, T$279=13, T$279=1), Cultivar_1_Cohort_Year_Selection=$O$278), ROUND(MAX(0,(S$416-('Stage 2 Randomized Selection'!H$2*$M417)) - 1),0),
IF(AND(OR(T$279=123, T$279=12, T$279=23, T$279=2), Cultivar_2_Cohort_Year_Selection=$O$278), ROUND(MAX(0,(S$416-('Stage 2 Randomized Selection'!H$2*$M417)) - 1),0),
IF(AND(OR(T$279=123, T$279=13, T$279=23, T$279=3), Cultivar_3_Cohort_Year_Selection=$O$278), ROUND(MAX(0,(S$416-('Stage 2 Randomized Selection'!H$2*$M417)) - 1),0),
ROUND(MAX(0,(S$416-('Stage 2 Randomized Selection'!H$2*$M417))),0)))))))),0),"")</f>
        <v/>
      </c>
      <c r="U440" s="270" t="str">
        <f>IF(ISNUMBER($B$417),
IF(AND(ISNUMBER(T$416), T$416&gt;0),
IF(AND(U$279=123, Cultivar_1_Cohort_Year_Selection=$P$278,Cultivar_2_Cohort_Year_Selection=$P$278,Cultivar_3_Cohort_Year_Selection=$P$278), ROUND(MAX(0,(T$416-('Stage 2 Randomized Selection'!J$2*$M417)) - 3),0),
IF(AND(OR(U$279=123, U$279=12), Cultivar_1_Cohort_Year_Selection=$P$278,Cultivar_2_Cohort_Year_Selection=$P$278),  ROUND(MAX(0,(T$416-('Stage 2 Randomized Selection'!I$2*$M417)) - 2),0),
IF(AND(OR(U$279=123, U$279=13), Cultivar_1_Cohort_Year_Selection=$P$278,Cultivar_3_Cohort_Year_Selection=$P$278), ROUND(MAX(0,(T$416-('Stage 2 Randomized Selection'!I$2*$M417)) - 2),0),
IF(AND(OR(U$279=123, U$279=23), Cultivar_2_Cohort_Year_Selection=$P$278,Cultivar_3_Cohort_Year_Selection=$P$278), ROUND(MAX(0,(T$416-('Stage 2 Randomized Selection'!I$2*$M417)) - 2),0),
IF(AND(OR(U$279=123, U$279=12, U$279=13, U$279=1), Cultivar_1_Cohort_Year_Selection=$P$278), ROUND(MAX(0,(T$416-('Stage 2 Randomized Selection'!I$2*$M417)) - 1),0),
IF(AND(OR(U$279=123, U$279=12, U$279=23, U$279=2), Cultivar_2_Cohort_Year_Selection=$P$278), ROUND(MAX(0,(T$416-('Stage 2 Randomized Selection'!I$2*$M417)) - 1),0),
IF(AND(OR(U$279=123, U$279=13, U$279=23, U$279=3), Cultivar_3_Cohort_Year_Selection=$P$278), ROUND(MAX(0,(T$416-('Stage 2 Randomized Selection'!I$2*$M417)) - 1),0),
ROUND(MAX(0,(T$416-('Stage 2 Randomized Selection'!I$2*$M417))),0)))))))),0),"")</f>
        <v/>
      </c>
      <c r="V440" s="270" t="str">
        <f>IF(ISNUMBER($B$417),
IF(AND(ISNUMBER(U$416), U$416&gt;0),
IF(AND(V$279=123, Cultivar_1_Cohort_Year_Selection=$Q$278,Cultivar_2_Cohort_Year_Selection=$Q$278,Cultivar_3_Cohort_Year_Selection=$Q$278), ROUND(MAX(0,(U$416-('Stage 2 Randomized Selection'!K$2*$M417)) - 3),0),
IF(AND(OR(V$279=123, V$279=12), Cultivar_1_Cohort_Year_Selection=$Q$278,Cultivar_2_Cohort_Year_Selection=$Q$278),  ROUND(MAX(0,(U$416-('Stage 2 Randomized Selection'!J$2*$M417)) - 2),0),
IF(AND(OR(V$279=123, V$279=13), Cultivar_1_Cohort_Year_Selection=$Q$278,Cultivar_3_Cohort_Year_Selection=$Q$278), ROUND(MAX(0,(U$416-('Stage 2 Randomized Selection'!J$2*$M417)) - 2),0),
IF(AND(OR(V$279=123, V$279=23), Cultivar_2_Cohort_Year_Selection=$Q$278,Cultivar_3_Cohort_Year_Selection=$Q$278), ROUND(MAX(0,(U$416-('Stage 2 Randomized Selection'!J$2*$M417)) - 2),0),
IF(AND(OR(V$279=123, V$279=12, V$279=13, V$279=1), Cultivar_1_Cohort_Year_Selection=$Q$278), ROUND(MAX(0,(U$416-('Stage 2 Randomized Selection'!J$2*$M417)) - 1),0),
IF(AND(OR(V$279=123, V$279=12, V$279=23, V$279=2), Cultivar_2_Cohort_Year_Selection=$Q$278), ROUND(MAX(0,(U$416-('Stage 2 Randomized Selection'!J$2*$M417)) - 1),0),
IF(AND(OR(V$279=123, V$279=13, V$279=23, V$279=3), Cultivar_3_Cohort_Year_Selection=$Q$278), ROUND(MAX(0,(U$416-('Stage 2 Randomized Selection'!J$2*$M417)) - 1),0),
ROUND(MAX(0,(U$416-('Stage 2 Randomized Selection'!J$2*$M417))),0)))))))),0),"")</f>
        <v/>
      </c>
      <c r="W440" s="270" t="str">
        <f>IF(ISNUMBER($B$417),
IF(AND(ISNUMBER(V$416), V$416&gt;0),
IF(AND(W$279=123, Cultivar_1_Cohort_Year_Selection=$R$278,Cultivar_2_Cohort_Year_Selection=$R$278,Cultivar_3_Cohort_Year_Selection=$R$278), ROUND(MAX(0,(V$416-('Stage 2 Randomized Selection'!L$2*$M417)) - 3),0),
IF(AND(OR(W$279=123, W$279=12), Cultivar_1_Cohort_Year_Selection=$R$278,Cultivar_2_Cohort_Year_Selection=$R$278),  ROUND(MAX(0,(V$416-('Stage 2 Randomized Selection'!K$2*$M417)) - 2),0),
IF(AND(OR(W$279=123, W$279=13), Cultivar_1_Cohort_Year_Selection=$R$278,Cultivar_3_Cohort_Year_Selection=$R$278), ROUND(MAX(0,(V$416-('Stage 2 Randomized Selection'!K$2*$M417)) - 2),0),
IF(AND(OR(W$279=123, W$279=23), Cultivar_2_Cohort_Year_Selection=$R$278,Cultivar_3_Cohort_Year_Selection=$R$278), ROUND(MAX(0,(V$416-('Stage 2 Randomized Selection'!K$2*$M417)) - 2),0),
IF(AND(OR(W$279=123, W$279=12, W$279=13, W$279=1), Cultivar_1_Cohort_Year_Selection=$R$278), ROUND(MAX(0,(V$416-('Stage 2 Randomized Selection'!K$2*$M417)) - 1),0),
IF(AND(OR(W$279=123, W$279=12, W$279=23, W$279=2), Cultivar_2_Cohort_Year_Selection=$R$278), ROUND(MAX(0,(V$416-('Stage 2 Randomized Selection'!K$2*$M417)) - 1),0),
IF(AND(OR(W$279=123, W$279=13, W$279=23, W$279=3), Cultivar_3_Cohort_Year_Selection=$R$278), ROUND(MAX(0,(V$416-('Stage 2 Randomized Selection'!K$2*$M417)) - 1),0),
ROUND(MAX(0,(V$416-('Stage 2 Randomized Selection'!K$2*$M417))),0)))))))),0),"")</f>
        <v/>
      </c>
      <c r="X440" s="270" t="str">
        <f>IF(ISNUMBER($B$417),
IF(AND(ISNUMBER(W$416), W$416&gt;0),
IF(AND(X$279=123, Cultivar_1_Cohort_Year_Selection=$S$278,Cultivar_2_Cohort_Year_Selection=$S$278,Cultivar_3_Cohort_Year_Selection=$S$278), ROUND(MAX(0,(W$416-('Stage 2 Randomized Selection'!M$2*$M417)) - 3),0),
IF(AND(OR(X$279=123, X$279=12), Cultivar_1_Cohort_Year_Selection=$S$278,Cultivar_2_Cohort_Year_Selection=$S$278),  ROUND(MAX(0,(W$416-('Stage 2 Randomized Selection'!L$2*$M417)) - 2),0),
IF(AND(OR(X$279=123, X$279=13), Cultivar_1_Cohort_Year_Selection=$S$278,Cultivar_3_Cohort_Year_Selection=$S$278), ROUND(MAX(0,(W$416-('Stage 2 Randomized Selection'!L$2*$M417)) - 2),0),
IF(AND(OR(X$279=123, X$279=23), Cultivar_2_Cohort_Year_Selection=$S$278,Cultivar_3_Cohort_Year_Selection=$S$278), ROUND(MAX(0,(W$416-('Stage 2 Randomized Selection'!L$2*$M417)) - 2),0),
IF(AND(OR(X$279=123, X$279=12, X$279=13, X$279=1), Cultivar_1_Cohort_Year_Selection=$S$278), ROUND(MAX(0,(W$416-('Stage 2 Randomized Selection'!L$2*$M417)) - 1),0),
IF(AND(OR(X$279=123, X$279=12, X$279=23, X$279=2), Cultivar_2_Cohort_Year_Selection=$S$278), ROUND(MAX(0,(W$416-('Stage 2 Randomized Selection'!L$2*$M417)) - 1),0),
IF(AND(OR(X$279=123, X$279=13, X$279=23, X$279=3), Cultivar_3_Cohort_Year_Selection=$S$278), ROUND(MAX(0,(W$416-('Stage 2 Randomized Selection'!L$2*$M417)) - 1),0),
ROUND(MAX(0,(W$416-('Stage 2 Randomized Selection'!L$2*$M417))),0)))))))),0),"")</f>
        <v/>
      </c>
      <c r="Y440" s="270" t="str">
        <f>IF(ISNUMBER($B$417),
IF(AND(ISNUMBER(X$416), X$416&gt;0),
IF(AND(Y$279=123, Cultivar_1_Cohort_Year_Selection=$T$278,Cultivar_2_Cohort_Year_Selection=$T$278,Cultivar_3_Cohort_Year_Selection=$T$278), ROUND(MAX(0,(X$416-('Stage 2 Randomized Selection'!N$2*$M417)) - 3),0),
IF(AND(OR(Y$279=123, Y$279=12), Cultivar_1_Cohort_Year_Selection=$T$278,Cultivar_2_Cohort_Year_Selection=$T$278),  ROUND(MAX(0,(X$416-('Stage 2 Randomized Selection'!M$2*$M417)) - 2),0),
IF(AND(OR(Y$279=123, Y$279=13), Cultivar_1_Cohort_Year_Selection=$T$278,Cultivar_3_Cohort_Year_Selection=$T$278), ROUND(MAX(0,(X$416-('Stage 2 Randomized Selection'!M$2*$M417)) - 2),0),
IF(AND(OR(Y$279=123, Y$279=23), Cultivar_2_Cohort_Year_Selection=$T$278,Cultivar_3_Cohort_Year_Selection=$T$278), ROUND(MAX(0,(X$416-('Stage 2 Randomized Selection'!M$2*$M417)) - 2),0),
IF(AND(OR(Y$279=123, Y$279=12, Y$279=13, Y$279=1), Cultivar_1_Cohort_Year_Selection=$T$278), ROUND(MAX(0,(X$416-('Stage 2 Randomized Selection'!M$2*$M417)) - 1),0),
IF(AND(OR(Y$279=123, Y$279=12, Y$279=23, Y$279=2), Cultivar_2_Cohort_Year_Selection=$T$278), ROUND(MAX(0,(X$416-('Stage 2 Randomized Selection'!M$2*$M417)) - 1),0),
IF(AND(OR(Y$279=123, Y$279=13, Y$279=23, Y$279=3), Cultivar_3_Cohort_Year_Selection=$T$278), ROUND(MAX(0,(X$416-('Stage 2 Randomized Selection'!M$2*$M417)) - 1),0),
ROUND(MAX(0,(X$416-('Stage 2 Randomized Selection'!M$2*$M417))),0)))))))),0),"")</f>
        <v/>
      </c>
      <c r="Z440" s="270" t="str">
        <f>IF(ISNUMBER($B$417),
IF(AND(ISNUMBER(Y$416), Y$416&gt;0),
IF(AND(Z$279=123, Cultivar_1_Cohort_Year_Selection=$U$278,Cultivar_2_Cohort_Year_Selection=$U$278,Cultivar_3_Cohort_Year_Selection=$U$278), ROUND(MAX(0,(Y$416-('Stage 2 Randomized Selection'!O$2*$M417)) - 3),0),
IF(AND(OR(Z$279=123, Z$279=12), Cultivar_1_Cohort_Year_Selection=$U$278,Cultivar_2_Cohort_Year_Selection=$U$278),  ROUND(MAX(0,(Y$416-('Stage 2 Randomized Selection'!N$2*$M417)) - 2),0),
IF(AND(OR(Z$279=123, Z$279=13), Cultivar_1_Cohort_Year_Selection=$U$278,Cultivar_3_Cohort_Year_Selection=$U$278), ROUND(MAX(0,(Y$416-('Stage 2 Randomized Selection'!N$2*$M417)) - 2),0),
IF(AND(OR(Z$279=123, Z$279=23), Cultivar_2_Cohort_Year_Selection=$U$278,Cultivar_3_Cohort_Year_Selection=$U$278), ROUND(MAX(0,(Y$416-('Stage 2 Randomized Selection'!N$2*$M417)) - 2),0),
IF(AND(OR(Z$279=123, Z$279=12, Z$279=13, Z$279=1), Cultivar_1_Cohort_Year_Selection=$U$278), ROUND(MAX(0,(Y$416-('Stage 2 Randomized Selection'!N$2*$M417)) - 1),0),
IF(AND(OR(Z$279=123, Z$279=12, Z$279=23, Z$279=2), Cultivar_2_Cohort_Year_Selection=$U$278), ROUND(MAX(0,(Y$416-('Stage 2 Randomized Selection'!N$2*$M417)) - 1),0),
IF(AND(OR(Z$279=123, Z$279=13, Z$279=23, Z$279=3), Cultivar_3_Cohort_Year_Selection=$U$278), ROUND(MAX(0,(Y$416-('Stage 2 Randomized Selection'!N$2*$M417)) - 1),0),
ROUND(MAX(0,(Y$416-('Stage 2 Randomized Selection'!N$2*$M417))),0)))))))),0),"")</f>
        <v/>
      </c>
      <c r="AA440" s="270" t="str">
        <f>IF(ISNUMBER($B$417),
IF(AND(ISNUMBER(Z$416), Z$416&gt;0),
IF(AND(AA$279=123, Cultivar_1_Cohort_Year_Selection=$V$278,Cultivar_2_Cohort_Year_Selection=$V$278,Cultivar_3_Cohort_Year_Selection=$V$278), ROUND(MAX(0,(Z$416-('Stage 2 Randomized Selection'!P$2*$M417)) - 3),0),
IF(AND(OR(AA$279=123, AA$279=12), Cultivar_1_Cohort_Year_Selection=$V$278,Cultivar_2_Cohort_Year_Selection=$V$278),  ROUND(MAX(0,(Z$416-('Stage 2 Randomized Selection'!O$2*$M417)) - 2),0),
IF(AND(OR(AA$279=123, AA$279=13), Cultivar_1_Cohort_Year_Selection=$V$278,Cultivar_3_Cohort_Year_Selection=$V$278), ROUND(MAX(0,(Z$416-('Stage 2 Randomized Selection'!O$2*$M417)) - 2),0),
IF(AND(OR(AA$279=123, AA$279=23), Cultivar_2_Cohort_Year_Selection=$V$278,Cultivar_3_Cohort_Year_Selection=$V$278), ROUND(MAX(0,(Z$416-('Stage 2 Randomized Selection'!O$2*$M417)) - 2),0),
IF(AND(OR(AA$279=123, AA$279=12, AA$279=13, AA$279=1), Cultivar_1_Cohort_Year_Selection=$V$278), ROUND(MAX(0,(Z$416-('Stage 2 Randomized Selection'!O$2*$M417)) - 1),0),
IF(AND(OR(AA$279=123, AA$279=12, AA$279=23, AA$279=2), Cultivar_2_Cohort_Year_Selection=$V$278), ROUND(MAX(0,(Z$416-('Stage 2 Randomized Selection'!O$2*$M417)) - 1),0),
IF(AND(OR(AA$279=123, AA$279=13, AA$279=23, AA$279=3), Cultivar_3_Cohort_Year_Selection=$V$278), ROUND(MAX(0,(Z$416-('Stage 2 Randomized Selection'!O$2*$M417)) - 1),0),
ROUND(MAX(0,(Z$416-('Stage 2 Randomized Selection'!O$2*$M417))),0)))))))),0),"")</f>
        <v/>
      </c>
      <c r="AB440" s="270" t="str">
        <f>IF(ISNUMBER($B$417),
IF(AND(ISNUMBER(AA$416), AA$416&gt;0),
IF(AND(AB$279=123, Cultivar_1_Cohort_Year_Selection=$W$278,Cultivar_2_Cohort_Year_Selection=$W$278,Cultivar_3_Cohort_Year_Selection=$W$278), ROUND(MAX(0,(AA$416-('Stage 2 Randomized Selection'!Q$2*$M417)) - 3),0),
IF(AND(OR(AB$279=123, AB$279=12), Cultivar_1_Cohort_Year_Selection=$W$278,Cultivar_2_Cohort_Year_Selection=$W$278),  ROUND(MAX(0,(AA$416-('Stage 2 Randomized Selection'!P$2*$M417)) - 2),0),
IF(AND(OR(AB$279=123, AB$279=13), Cultivar_1_Cohort_Year_Selection=$W$278,Cultivar_3_Cohort_Year_Selection=$W$278), ROUND(MAX(0,(AA$416-('Stage 2 Randomized Selection'!P$2*$M417)) - 2),0),
IF(AND(OR(AB$279=123, AB$279=23), Cultivar_2_Cohort_Year_Selection=$W$278,Cultivar_3_Cohort_Year_Selection=$W$278), ROUND(MAX(0,(AA$416-('Stage 2 Randomized Selection'!P$2*$M417)) - 2),0),
IF(AND(OR(AB$279=123, AB$279=12, AB$279=13, AB$279=1), Cultivar_1_Cohort_Year_Selection=$W$278), ROUND(MAX(0,(AA$416-('Stage 2 Randomized Selection'!P$2*$M417)) - 1),0),
IF(AND(OR(AB$279=123, AB$279=12, AB$279=23, AB$279=2), Cultivar_2_Cohort_Year_Selection=$W$278), ROUND(MAX(0,(AA$416-('Stage 2 Randomized Selection'!P$2*$M417)) - 1),0),
IF(AND(OR(AB$279=123, AB$279=13, AB$279=23, AB$279=3), Cultivar_3_Cohort_Year_Selection=$W$278), ROUND(MAX(0,(AA$416-('Stage 2 Randomized Selection'!P$2*$M417)) - 1),0),
ROUND(MAX(0,(AA$416-('Stage 2 Randomized Selection'!P$2*$M417))),0)))))))),0),"")</f>
        <v/>
      </c>
      <c r="AC440" s="270" t="str">
        <f>IF(ISNUMBER($B$417),
IF(AND(ISNUMBER(AB$416), AB$416&gt;0),
IF(AND(AC$279=123, Cultivar_1_Cohort_Year_Selection=$X$278,Cultivar_2_Cohort_Year_Selection=$X$278,Cultivar_3_Cohort_Year_Selection=$X$278), ROUND(MAX(0,(AB$416-('Stage 2 Randomized Selection'!R$2*$M417)) - 3),0),
IF(AND(OR(AC$279=123, AC$279=12), Cultivar_1_Cohort_Year_Selection=$X$278,Cultivar_2_Cohort_Year_Selection=$X$278),  ROUND(MAX(0,(AB$416-('Stage 2 Randomized Selection'!Q$2*$M417)) - 2),0),
IF(AND(OR(AC$279=123, AC$279=13), Cultivar_1_Cohort_Year_Selection=$X$278,Cultivar_3_Cohort_Year_Selection=$X$278), ROUND(MAX(0,(AB$416-('Stage 2 Randomized Selection'!Q$2*$M417)) - 2),0),
IF(AND(OR(AC$279=123, AC$279=23), Cultivar_2_Cohort_Year_Selection=$X$278,Cultivar_3_Cohort_Year_Selection=$X$278), ROUND(MAX(0,(AB$416-('Stage 2 Randomized Selection'!Q$2*$M417)) - 2),0),
IF(AND(OR(AC$279=123, AC$279=12, AC$279=13, AC$279=1), Cultivar_1_Cohort_Year_Selection=$X$278), ROUND(MAX(0,(AB$416-('Stage 2 Randomized Selection'!Q$2*$M417)) - 1),0),
IF(AND(OR(AC$279=123, AC$279=12, AC$279=23, AC$279=2), Cultivar_2_Cohort_Year_Selection=$X$278), ROUND(MAX(0,(AB$416-('Stage 2 Randomized Selection'!Q$2*$M417)) - 1),0),
IF(AND(OR(AC$279=123, AC$279=13, AC$279=23, AC$279=3), Cultivar_3_Cohort_Year_Selection=$X$278), ROUND(MAX(0,(AB$416-('Stage 2 Randomized Selection'!Q$2*$M417)) - 1),0),
ROUND(MAX(0,(AB$416-('Stage 2 Randomized Selection'!Q$2*$M417))),0)))))))),0),"")</f>
        <v/>
      </c>
      <c r="AD440" s="270" t="str">
        <f>IF(ISNUMBER($B$417),
IF(AND(ISNUMBER(AC$416), AC$416&gt;0),
IF(AND(AD$279=123, Cultivar_1_Cohort_Year_Selection=$Y$278,Cultivar_2_Cohort_Year_Selection=$Y$278,Cultivar_3_Cohort_Year_Selection=$Y$278), ROUND(MAX(0,(AC$416-('Stage 2 Randomized Selection'!S$2*$M417)) - 3),0),
IF(AND(OR(AD$279=123, AD$279=12), Cultivar_1_Cohort_Year_Selection=$Y$278,Cultivar_2_Cohort_Year_Selection=$Y$278),  ROUND(MAX(0,(AC$416-('Stage 2 Randomized Selection'!R$2*$M417)) - 2),0),
IF(AND(OR(AD$279=123, AD$279=13), Cultivar_1_Cohort_Year_Selection=$Y$278,Cultivar_3_Cohort_Year_Selection=$Y$278), ROUND(MAX(0,(AC$416-('Stage 2 Randomized Selection'!R$2*$M417)) - 2),0),
IF(AND(OR(AD$279=123, AD$279=23), Cultivar_2_Cohort_Year_Selection=$Y$278,Cultivar_3_Cohort_Year_Selection=$Y$278), ROUND(MAX(0,(AC$416-('Stage 2 Randomized Selection'!R$2*$M417)) - 2),0),
IF(AND(OR(AD$279=123, AD$279=12, AD$279=13, AD$279=1), Cultivar_1_Cohort_Year_Selection=$Y$278), ROUND(MAX(0,(AC$416-('Stage 2 Randomized Selection'!R$2*$M417)) - 1),0),
IF(AND(OR(AD$279=123, AD$279=12, AD$279=23, AD$279=2), Cultivar_2_Cohort_Year_Selection=$Y$278), ROUND(MAX(0,(AC$416-('Stage 2 Randomized Selection'!R$2*$M417)) - 1),0),
IF(AND(OR(AD$279=123, AD$279=13, AD$279=23, AD$279=3), Cultivar_3_Cohort_Year_Selection=$Y$278), ROUND(MAX(0,(AC$416-('Stage 2 Randomized Selection'!R$2*$M417)) - 1),0),
ROUND(MAX(0,(AC$416-('Stage 2 Randomized Selection'!R$2*$M417))),0)))))))),0),"")</f>
        <v/>
      </c>
      <c r="AE440" s="270" t="str">
        <f>IF(ISNUMBER($B$417),
IF(AND(ISNUMBER(AD$416), AD$416&gt;0),
IF(AND(AE$279=123, Cultivar_1_Cohort_Year_Selection=$Z$278,Cultivar_2_Cohort_Year_Selection=$Z$278,Cultivar_3_Cohort_Year_Selection=$Z$278), ROUND(MAX(0,(AD$416-('Stage 2 Randomized Selection'!T$2*$M417)) - 3),0),
IF(AND(OR(AE$279=123, AE$279=12), Cultivar_1_Cohort_Year_Selection=$Z$278,Cultivar_2_Cohort_Year_Selection=$Z$278),  ROUND(MAX(0,(AD$416-('Stage 2 Randomized Selection'!S$2*$M417)) - 2),0),
IF(AND(OR(AE$279=123, AE$279=13), Cultivar_1_Cohort_Year_Selection=$Z$278,Cultivar_3_Cohort_Year_Selection=$Z$278), ROUND(MAX(0,(AD$416-('Stage 2 Randomized Selection'!S$2*$M417)) - 2),0),
IF(AND(OR(AE$279=123, AE$279=23), Cultivar_2_Cohort_Year_Selection=$Z$278,Cultivar_3_Cohort_Year_Selection=$Z$278), ROUND(MAX(0,(AD$416-('Stage 2 Randomized Selection'!S$2*$M417)) - 2),0),
IF(AND(OR(AE$279=123, AE$279=12, AE$279=13, AE$279=1), Cultivar_1_Cohort_Year_Selection=$Z$278), ROUND(MAX(0,(AD$416-('Stage 2 Randomized Selection'!S$2*$M417)) - 1),0),
IF(AND(OR(AE$279=123, AE$279=12, AE$279=23, AE$279=2), Cultivar_2_Cohort_Year_Selection=$Z$278), ROUND(MAX(0,(AD$416-('Stage 2 Randomized Selection'!S$2*$M417)) - 1),0),
IF(AND(OR(AE$279=123, AE$279=13, AE$279=23, AE$279=3), Cultivar_3_Cohort_Year_Selection=$Z$278), ROUND(MAX(0,(AD$416-('Stage 2 Randomized Selection'!S$2*$M417)) - 1),0),
ROUND(MAX(0,(AD$416-('Stage 2 Randomized Selection'!S$2*$M417))),0)))))))),0),"")</f>
        <v/>
      </c>
      <c r="AF440" s="270" t="str">
        <f>IF(ISNUMBER($B$417),
IF(AND(ISNUMBER(AE$416), AE$416&gt;0),
IF(AND(AF$279=123, Cultivar_1_Cohort_Year_Selection=$AA$278,Cultivar_2_Cohort_Year_Selection=$AA$278,Cultivar_3_Cohort_Year_Selection=$AA$278), ROUND(MAX(0,(AE$416-('Stage 2 Randomized Selection'!U$2*$M417)) - 3),0),
IF(AND(OR(AF$279=123, AF$279=12), Cultivar_1_Cohort_Year_Selection=$AA$278,Cultivar_2_Cohort_Year_Selection=$AA$278),  ROUND(MAX(0,(AE$416-('Stage 2 Randomized Selection'!T$2*$M417)) - 2),0),
IF(AND(OR(AF$279=123, AF$279=13), Cultivar_1_Cohort_Year_Selection=$AA$278,Cultivar_3_Cohort_Year_Selection=$AA$278), ROUND(MAX(0,(AE$416-('Stage 2 Randomized Selection'!T$2*$M417)) - 2),0),
IF(AND(OR(AF$279=123, AF$279=23), Cultivar_2_Cohort_Year_Selection=$AA$278,Cultivar_3_Cohort_Year_Selection=$AA$278), ROUND(MAX(0,(AE$416-('Stage 2 Randomized Selection'!T$2*$M417)) - 2),0),
IF(AND(OR(AF$279=123, AF$279=12, AF$279=13, AF$279=1), Cultivar_1_Cohort_Year_Selection=$AA$278), ROUND(MAX(0,(AE$416-('Stage 2 Randomized Selection'!T$2*$M417)) - 1),0),
IF(AND(OR(AF$279=123, AF$279=12, AF$279=23, AF$279=2), Cultivar_2_Cohort_Year_Selection=$AA$278), ROUND(MAX(0,(AE$416-('Stage 2 Randomized Selection'!T$2*$M417)) - 1),0),
IF(AND(OR(AF$279=123, AF$279=13, AF$279=23, AF$279=3), Cultivar_3_Cohort_Year_Selection=$AA$278), ROUND(MAX(0,(AE$416-('Stage 2 Randomized Selection'!T$2*$M417)) - 1),0),
ROUND(MAX(0,(AE$416-('Stage 2 Randomized Selection'!T$2*$M417))),0)))))))),0),"")</f>
        <v/>
      </c>
      <c r="AG440" s="270" t="str">
        <f>IF(ISNUMBER($B$417),
IF(AND(ISNUMBER(AF$416), AF$416&gt;0),
IF(AND(AG$279=123, Cultivar_1_Cohort_Year_Selection=$AB$278,Cultivar_2_Cohort_Year_Selection=$AB$278,Cultivar_3_Cohort_Year_Selection=$AB$278), ROUND(MAX(0,(AF$416-('Stage 2 Randomized Selection'!V$2*$M417)) - 3),0),
IF(AND(OR(AG$279=123, AG$279=12), Cultivar_1_Cohort_Year_Selection=$AB$278,Cultivar_2_Cohort_Year_Selection=$AB$278),  ROUND(MAX(0,(AF$416-('Stage 2 Randomized Selection'!U$2*$M417)) - 2),0),
IF(AND(OR(AG$279=123, AG$279=13), Cultivar_1_Cohort_Year_Selection=$AB$278,Cultivar_3_Cohort_Year_Selection=$AB$278), ROUND(MAX(0,(AF$416-('Stage 2 Randomized Selection'!U$2*$M417)) - 2),0),
IF(AND(OR(AG$279=123, AG$279=23), Cultivar_2_Cohort_Year_Selection=$AB$278,Cultivar_3_Cohort_Year_Selection=$AB$278), ROUND(MAX(0,(AF$416-('Stage 2 Randomized Selection'!U$2*$M417)) - 2),0),
IF(AND(OR(AG$279=123, AG$279=12, AG$279=13, AG$279=1), Cultivar_1_Cohort_Year_Selection=$AB$278), ROUND(MAX(0,(AF$416-('Stage 2 Randomized Selection'!U$2*$M417)) - 1),0),
IF(AND(OR(AG$279=123, AG$279=12, AG$279=23, AG$279=2), Cultivar_2_Cohort_Year_Selection=$AB$278), ROUND(MAX(0,(AF$416-('Stage 2 Randomized Selection'!U$2*$M417)) - 1),0),
IF(AND(OR(AG$279=123, AG$279=13, AG$279=23, AG$279=3), Cultivar_3_Cohort_Year_Selection=$AB$278), ROUND(MAX(0,(AF$416-('Stage 2 Randomized Selection'!U$2*$M417)) - 1),0),
ROUND(MAX(0,(AF$416-('Stage 2 Randomized Selection'!U$2*$M417))),0)))))))),0),"")</f>
        <v/>
      </c>
      <c r="AH440" s="270" t="str">
        <f>IF(ISNUMBER($B$417),
IF(AND(ISNUMBER(AG$416), AG$416&gt;0),
IF(AND(AH$279=123, Cultivar_1_Cohort_Year_Selection=$AC$278,Cultivar_2_Cohort_Year_Selection=$AC$278,Cultivar_3_Cohort_Year_Selection=$AC$278), ROUND(MAX(0,(AG$416-('Stage 2 Randomized Selection'!W$2*$M417)) - 3),0),
IF(AND(OR(AH$279=123, AH$279=12), Cultivar_1_Cohort_Year_Selection=$AC$278,Cultivar_2_Cohort_Year_Selection=$AC$278),  ROUND(MAX(0,(AG$416-('Stage 2 Randomized Selection'!V$2*$M417)) - 2),0),
IF(AND(OR(AH$279=123, AH$279=13), Cultivar_1_Cohort_Year_Selection=$AC$278,Cultivar_3_Cohort_Year_Selection=$AC$278), ROUND(MAX(0,(AG$416-('Stage 2 Randomized Selection'!V$2*$M417)) - 2),0),
IF(AND(OR(AH$279=123, AH$279=23), Cultivar_2_Cohort_Year_Selection=$AC$278,Cultivar_3_Cohort_Year_Selection=$AC$278), ROUND(MAX(0,(AG$416-('Stage 2 Randomized Selection'!V$2*$M417)) - 2),0),
IF(AND(OR(AH$279=123, AH$279=12, AH$279=13, AH$279=1), Cultivar_1_Cohort_Year_Selection=$AC$278), ROUND(MAX(0,(AG$416-('Stage 2 Randomized Selection'!V$2*$M417)) - 1),0),
IF(AND(OR(AH$279=123, AH$279=12, AH$279=23, AH$279=2), Cultivar_2_Cohort_Year_Selection=$AC$278), ROUND(MAX(0,(AG$416-('Stage 2 Randomized Selection'!V$2*$M417)) - 1),0),
IF(AND(OR(AH$279=123, AH$279=13, AH$279=23, AH$279=3), Cultivar_3_Cohort_Year_Selection=$AC$278), ROUND(MAX(0,(AG$416-('Stage 2 Randomized Selection'!V$2*$M417)) - 1),0),
ROUND(MAX(0,(AG$416-('Stage 2 Randomized Selection'!V$2*$M417))),0)))))))),0),"")</f>
        <v/>
      </c>
      <c r="AI440" s="270" t="str">
        <f>IF(ISNUMBER($B$417),
IF(AND(ISNUMBER(AH$416), AH$416&gt;0),
IF(AND(AI$279=123, Cultivar_1_Cohort_Year_Selection=$AD$278,Cultivar_2_Cohort_Year_Selection=$AD$278,Cultivar_3_Cohort_Year_Selection=$AD$278), ROUND(MAX(0,(AH$416-('Stage 2 Randomized Selection'!X$2*$M417)) - 3),0),
IF(AND(OR(AI$279=123, AI$279=12), Cultivar_1_Cohort_Year_Selection=$AD$278,Cultivar_2_Cohort_Year_Selection=$AD$278),  ROUND(MAX(0,(AH$416-('Stage 2 Randomized Selection'!W$2*$M417)) - 2),0),
IF(AND(OR(AI$279=123, AI$279=13), Cultivar_1_Cohort_Year_Selection=$AD$278,Cultivar_3_Cohort_Year_Selection=$AD$278), ROUND(MAX(0,(AH$416-('Stage 2 Randomized Selection'!W$2*$M417)) - 2),0),
IF(AND(OR(AI$279=123, AI$279=23), Cultivar_2_Cohort_Year_Selection=$AD$278,Cultivar_3_Cohort_Year_Selection=$AD$278), ROUND(MAX(0,(AH$416-('Stage 2 Randomized Selection'!W$2*$M417)) - 2),0),
IF(AND(OR(AI$279=123, AI$279=12, AI$279=13, AI$279=1), Cultivar_1_Cohort_Year_Selection=$AD$278), ROUND(MAX(0,(AH$416-('Stage 2 Randomized Selection'!W$2*$M417)) - 1),0),
IF(AND(OR(AI$279=123, AI$279=12, AI$279=23, AI$279=2), Cultivar_2_Cohort_Year_Selection=$AD$278), ROUND(MAX(0,(AH$416-('Stage 2 Randomized Selection'!W$2*$M417)) - 1),0),
IF(AND(OR(AI$279=123, AI$279=13, AI$279=23, AI$279=3), Cultivar_3_Cohort_Year_Selection=$AD$278), ROUND(MAX(0,(AH$416-('Stage 2 Randomized Selection'!W$2*$M417)) - 1),0),
ROUND(MAX(0,(AH$416-('Stage 2 Randomized Selection'!W$2*$M417))),0)))))))),0),"")</f>
        <v/>
      </c>
      <c r="AJ440" s="270" t="str">
        <f>IF(ISNUMBER($B$417),
IF(AND(ISNUMBER(AI$416), AI$416&gt;0),
IF(AND(AJ$279=123, Cultivar_1_Cohort_Year_Selection=$AE$278,Cultivar_2_Cohort_Year_Selection=$AE$278,Cultivar_3_Cohort_Year_Selection=$AE$278), ROUND(MAX(0,(AI$416-('Stage 2 Randomized Selection'!Y$2*$M417)) - 3),0),
IF(AND(OR(AJ$279=123, AJ$279=12), Cultivar_1_Cohort_Year_Selection=$AE$278,Cultivar_2_Cohort_Year_Selection=$AE$278),  ROUND(MAX(0,(AI$416-('Stage 2 Randomized Selection'!X$2*$M417)) - 2),0),
IF(AND(OR(AJ$279=123, AJ$279=13), Cultivar_1_Cohort_Year_Selection=$AE$278,Cultivar_3_Cohort_Year_Selection=$AE$278), ROUND(MAX(0,(AI$416-('Stage 2 Randomized Selection'!X$2*$M417)) - 2),0),
IF(AND(OR(AJ$279=123, AJ$279=23), Cultivar_2_Cohort_Year_Selection=$AE$278,Cultivar_3_Cohort_Year_Selection=$AE$278), ROUND(MAX(0,(AI$416-('Stage 2 Randomized Selection'!X$2*$M417)) - 2),0),
IF(AND(OR(AJ$279=123, AJ$279=12, AJ$279=13, AJ$279=1), Cultivar_1_Cohort_Year_Selection=$AE$278), ROUND(MAX(0,(AI$416-('Stage 2 Randomized Selection'!X$2*$M417)) - 1),0),
IF(AND(OR(AJ$279=123, AJ$279=12, AJ$279=23, AJ$279=2), Cultivar_2_Cohort_Year_Selection=$AE$278), ROUND(MAX(0,(AI$416-('Stage 2 Randomized Selection'!X$2*$M417)) - 1),0),
IF(AND(OR(AJ$279=123, AJ$279=13, AJ$279=23, AJ$279=3), Cultivar_3_Cohort_Year_Selection=$AE$278), ROUND(MAX(0,(AI$416-('Stage 2 Randomized Selection'!X$2*$M417)) - 1),0),
ROUND(MAX(0,(AI$416-('Stage 2 Randomized Selection'!X$2*$M417))),0)))))))),0),"")</f>
        <v/>
      </c>
      <c r="AK440" s="270" t="str">
        <f>IF(ISNUMBER($B$417),
IF(AND(ISNUMBER(AJ$416), AJ$416&gt;0),
IF(AND(AK$279=123, Cultivar_1_Cohort_Year_Selection=$AF$278,Cultivar_2_Cohort_Year_Selection=$AF$278,Cultivar_3_Cohort_Year_Selection=$AF$278), ROUND(MAX(0,(AJ$416-('Stage 2 Randomized Selection'!Z$2*$M417)) - 3),0),
IF(AND(OR(AK$279=123, AK$279=12), Cultivar_1_Cohort_Year_Selection=$AF$278,Cultivar_2_Cohort_Year_Selection=$AF$278),  ROUND(MAX(0,(AJ$416-('Stage 2 Randomized Selection'!Y$2*$M417)) - 2),0),
IF(AND(OR(AK$279=123, AK$279=13), Cultivar_1_Cohort_Year_Selection=$AF$278,Cultivar_3_Cohort_Year_Selection=$AF$278), ROUND(MAX(0,(AJ$416-('Stage 2 Randomized Selection'!Y$2*$M417)) - 2),0),
IF(AND(OR(AK$279=123, AK$279=23), Cultivar_2_Cohort_Year_Selection=$AF$278,Cultivar_3_Cohort_Year_Selection=$AF$278), ROUND(MAX(0,(AJ$416-('Stage 2 Randomized Selection'!Y$2*$M417)) - 2),0),
IF(AND(OR(AK$279=123, AK$279=12, AK$279=13, AK$279=1), Cultivar_1_Cohort_Year_Selection=$AF$278), ROUND(MAX(0,(AJ$416-('Stage 2 Randomized Selection'!Y$2*$M417)) - 1),0),
IF(AND(OR(AK$279=123, AK$279=12, AK$279=23, AK$279=2), Cultivar_2_Cohort_Year_Selection=$AF$278), ROUND(MAX(0,(AJ$416-('Stage 2 Randomized Selection'!Y$2*$M417)) - 1),0),
IF(AND(OR(AK$279=123, AK$279=13, AK$279=23, AK$279=3), Cultivar_3_Cohort_Year_Selection=$AF$278), ROUND(MAX(0,(AJ$416-('Stage 2 Randomized Selection'!Y$2*$M417)) - 1),0),
ROUND(MAX(0,(AJ$416-('Stage 2 Randomized Selection'!Y$2*$M417))),0)))))))),0),"")</f>
        <v/>
      </c>
      <c r="AL440" s="270" t="str">
        <f>IF(ISNUMBER($B$417),
IF(AND(ISNUMBER(AK$416), AK$416&gt;0),
IF(AND(AL$279=123, Cultivar_1_Cohort_Year_Selection=$AG$278,Cultivar_2_Cohort_Year_Selection=$AG$278,Cultivar_3_Cohort_Year_Selection=$AG$278), ROUND(MAX(0,(AK$416-('Stage 2 Randomized Selection'!AA$2*$M417)) - 3),0),
IF(AND(OR(AL$279=123, AL$279=12), Cultivar_1_Cohort_Year_Selection=$AG$278,Cultivar_2_Cohort_Year_Selection=$AG$278),  ROUND(MAX(0,(AK$416-('Stage 2 Randomized Selection'!Z$2*$M417)) - 2),0),
IF(AND(OR(AL$279=123, AL$279=13), Cultivar_1_Cohort_Year_Selection=$AG$278,Cultivar_3_Cohort_Year_Selection=$AG$278), ROUND(MAX(0,(AK$416-('Stage 2 Randomized Selection'!Z$2*$M417)) - 2),0),
IF(AND(OR(AL$279=123, AL$279=23), Cultivar_2_Cohort_Year_Selection=$AG$278,Cultivar_3_Cohort_Year_Selection=$AG$278), ROUND(MAX(0,(AK$416-('Stage 2 Randomized Selection'!Z$2*$M417)) - 2),0),
IF(AND(OR(AL$279=123, AL$279=12, AL$279=13, AL$279=1), Cultivar_1_Cohort_Year_Selection=$AG$278), ROUND(MAX(0,(AK$416-('Stage 2 Randomized Selection'!Z$2*$M417)) - 1),0),
IF(AND(OR(AL$279=123, AL$279=12, AL$279=23, AL$279=2), Cultivar_2_Cohort_Year_Selection=$AG$278), ROUND(MAX(0,(AK$416-('Stage 2 Randomized Selection'!Z$2*$M417)) - 1),0),
IF(AND(OR(AL$279=123, AL$279=13, AL$279=23, AL$279=3), Cultivar_3_Cohort_Year_Selection=$AG$278), ROUND(MAX(0,(AK$416-('Stage 2 Randomized Selection'!Z$2*$M417)) - 1),0),
ROUND(MAX(0,(AK$416-('Stage 2 Randomized Selection'!Z$2*$M417))),0)))))))),0),"")</f>
        <v/>
      </c>
      <c r="AM440" s="270" t="str">
        <f>IF(ISNUMBER($B$417),
IF(AND(ISNUMBER(AL$416), AL$416&gt;0),
IF(AND(AM$279=123, Cultivar_1_Cohort_Year_Selection=$AH$278,Cultivar_2_Cohort_Year_Selection=$AH$278,Cultivar_3_Cohort_Year_Selection=$AH$278), ROUND(MAX(0,(AL$416-('Stage 2 Randomized Selection'!AB$2*$M417)) - 3),0),
IF(AND(OR(AM$279=123, AM$279=12), Cultivar_1_Cohort_Year_Selection=$AH$278,Cultivar_2_Cohort_Year_Selection=$AH$278),  ROUND(MAX(0,(AL$416-('Stage 2 Randomized Selection'!AA$2*$M417)) - 2),0),
IF(AND(OR(AM$279=123, AM$279=13), Cultivar_1_Cohort_Year_Selection=$AH$278,Cultivar_3_Cohort_Year_Selection=$AH$278), ROUND(MAX(0,(AL$416-('Stage 2 Randomized Selection'!AA$2*$M417)) - 2),0),
IF(AND(OR(AM$279=123, AM$279=23), Cultivar_2_Cohort_Year_Selection=$AH$278,Cultivar_3_Cohort_Year_Selection=$AH$278), ROUND(MAX(0,(AL$416-('Stage 2 Randomized Selection'!AA$2*$M417)) - 2),0),
IF(AND(OR(AM$279=123, AM$279=12, AM$279=13, AM$279=1), Cultivar_1_Cohort_Year_Selection=$AH$278), ROUND(MAX(0,(AL$416-('Stage 2 Randomized Selection'!AA$2*$M417)) - 1),0),
IF(AND(OR(AM$279=123, AM$279=12, AM$279=23, AM$279=2), Cultivar_2_Cohort_Year_Selection=$AH$278), ROUND(MAX(0,(AL$416-('Stage 2 Randomized Selection'!AA$2*$M417)) - 1),0),
IF(AND(OR(AM$279=123, AM$279=13, AM$279=23, AM$279=3), Cultivar_3_Cohort_Year_Selection=$AH$278), ROUND(MAX(0,(AL$416-('Stage 2 Randomized Selection'!AA$2*$M417)) - 1),0),
ROUND(MAX(0,(AL$416-('Stage 2 Randomized Selection'!AA$2*$M417))),0)))))))),0),"")</f>
        <v/>
      </c>
      <c r="AN440" s="270" t="str">
        <f>IF(ISNUMBER($B$417),
IF(AND(ISNUMBER(AM$416), AM$416&gt;0),
IF(AND(AN$279=123, Cultivar_1_Cohort_Year_Selection=$AI$278,Cultivar_2_Cohort_Year_Selection=$AI$278,Cultivar_3_Cohort_Year_Selection=$AI$278), ROUND(MAX(0,(AM$416-('Stage 2 Randomized Selection'!AC$2*$M417)) - 3),0),
IF(AND(OR(AN$279=123, AN$279=12), Cultivar_1_Cohort_Year_Selection=$AI$278,Cultivar_2_Cohort_Year_Selection=$AI$278),  ROUND(MAX(0,(AM$416-('Stage 2 Randomized Selection'!AB$2*$M417)) - 2),0),
IF(AND(OR(AN$279=123, AN$279=13), Cultivar_1_Cohort_Year_Selection=$AI$278,Cultivar_3_Cohort_Year_Selection=$AI$278), ROUND(MAX(0,(AM$416-('Stage 2 Randomized Selection'!AB$2*$M417)) - 2),0),
IF(AND(OR(AN$279=123, AN$279=23), Cultivar_2_Cohort_Year_Selection=$AI$278,Cultivar_3_Cohort_Year_Selection=$AI$278), ROUND(MAX(0,(AM$416-('Stage 2 Randomized Selection'!AB$2*$M417)) - 2),0),
IF(AND(OR(AN$279=123, AN$279=12, AN$279=13, AN$279=1), Cultivar_1_Cohort_Year_Selection=$AI$278), ROUND(MAX(0,(AM$416-('Stage 2 Randomized Selection'!AB$2*$M417)) - 1),0),
IF(AND(OR(AN$279=123, AN$279=12, AN$279=23, AN$279=2), Cultivar_2_Cohort_Year_Selection=$AI$278), ROUND(MAX(0,(AM$416-('Stage 2 Randomized Selection'!AB$2*$M417)) - 1),0),
IF(AND(OR(AN$279=123, AN$279=13, AN$279=23, AN$279=3), Cultivar_3_Cohort_Year_Selection=$AI$278), ROUND(MAX(0,(AM$416-('Stage 2 Randomized Selection'!AB$2*$M417)) - 1),0),
ROUND(MAX(0,(AM$416-('Stage 2 Randomized Selection'!AB$2*$M417))),0)))))))),0),"")</f>
        <v/>
      </c>
      <c r="AO440" s="270" t="str">
        <f>IF(ISNUMBER($B$417),
IF(AND(ISNUMBER(AN$416), AN$416&gt;0),
IF(AND(AO$279=123, Cultivar_1_Cohort_Year_Selection=$AJ$278,Cultivar_2_Cohort_Year_Selection=$AJ$278,Cultivar_3_Cohort_Year_Selection=$AJ$278), ROUND(MAX(0,(AN$416-('Stage 2 Randomized Selection'!AD$2*$M417)) - 3),0),
IF(AND(OR(AO$279=123, AO$279=12), Cultivar_1_Cohort_Year_Selection=$AJ$278,Cultivar_2_Cohort_Year_Selection=$AJ$278),  ROUND(MAX(0,(AN$416-('Stage 2 Randomized Selection'!AC$2*$M417)) - 2),0),
IF(AND(OR(AO$279=123, AO$279=13), Cultivar_1_Cohort_Year_Selection=$AJ$278,Cultivar_3_Cohort_Year_Selection=$AJ$278), ROUND(MAX(0,(AN$416-('Stage 2 Randomized Selection'!AC$2*$M417)) - 2),0),
IF(AND(OR(AO$279=123, AO$279=23), Cultivar_2_Cohort_Year_Selection=$AJ$278,Cultivar_3_Cohort_Year_Selection=$AJ$278), ROUND(MAX(0,(AN$416-('Stage 2 Randomized Selection'!AC$2*$M417)) - 2),0),
IF(AND(OR(AO$279=123, AO$279=12, AO$279=13, AO$279=1), Cultivar_1_Cohort_Year_Selection=$AJ$278), ROUND(MAX(0,(AN$416-('Stage 2 Randomized Selection'!AC$2*$M417)) - 1),0),
IF(AND(OR(AO$279=123, AO$279=12, AO$279=23, AO$279=2), Cultivar_2_Cohort_Year_Selection=$AJ$278), ROUND(MAX(0,(AN$416-('Stage 2 Randomized Selection'!AC$2*$M417)) - 1),0),
IF(AND(OR(AO$279=123, AO$279=13, AO$279=23, AO$279=3), Cultivar_3_Cohort_Year_Selection=$AJ$278), ROUND(MAX(0,(AN$416-('Stage 2 Randomized Selection'!AC$2*$M417)) - 1),0),
ROUND(MAX(0,(AN$416-('Stage 2 Randomized Selection'!AC$2*$M417))),0)))))))),0),"")</f>
        <v/>
      </c>
      <c r="AP440" s="270" t="str">
        <f>IF(ISNUMBER($B$417),
IF(AND(ISNUMBER(AO$416), AO$416&gt;0),
IF(AND(AP$279=123, Cultivar_1_Cohort_Year_Selection=$AK$278,Cultivar_2_Cohort_Year_Selection=$AK$278,Cultivar_3_Cohort_Year_Selection=$AK$278), ROUND(MAX(0,(AO$416-('Stage 2 Randomized Selection'!AE$2*$M417)) - 3),0),
IF(AND(OR(AP$279=123, AP$279=12), Cultivar_1_Cohort_Year_Selection=$AK$278,Cultivar_2_Cohort_Year_Selection=$AK$278),  ROUND(MAX(0,(AO$416-('Stage 2 Randomized Selection'!AD$2*$M417)) - 2),0),
IF(AND(OR(AP$279=123, AP$279=13), Cultivar_1_Cohort_Year_Selection=$AK$278,Cultivar_3_Cohort_Year_Selection=$AK$278), ROUND(MAX(0,(AO$416-('Stage 2 Randomized Selection'!AD$2*$M417)) - 2),0),
IF(AND(OR(AP$279=123, AP$279=23), Cultivar_2_Cohort_Year_Selection=$AK$278,Cultivar_3_Cohort_Year_Selection=$AK$278), ROUND(MAX(0,(AO$416-('Stage 2 Randomized Selection'!AD$2*$M417)) - 2),0),
IF(AND(OR(AP$279=123, AP$279=12, AP$279=13, AP$279=1), Cultivar_1_Cohort_Year_Selection=$AK$278), ROUND(MAX(0,(AO$416-('Stage 2 Randomized Selection'!AD$2*$M417)) - 1),0),
IF(AND(OR(AP$279=123, AP$279=12, AP$279=23, AP$279=2), Cultivar_2_Cohort_Year_Selection=$AK$278), ROUND(MAX(0,(AO$416-('Stage 2 Randomized Selection'!AD$2*$M417)) - 1),0),
IF(AND(OR(AP$279=123, AP$279=13, AP$279=23, AP$279=3), Cultivar_3_Cohort_Year_Selection=$AK$278), ROUND(MAX(0,(AO$416-('Stage 2 Randomized Selection'!AD$2*$M417)) - 1),0),
ROUND(MAX(0,(AO$416-('Stage 2 Randomized Selection'!AD$2*$M417))),0)))))))),0),"")</f>
        <v/>
      </c>
      <c r="AQ440" s="270" t="str">
        <f>IF(ISNUMBER($B$417),
IF(AND(ISNUMBER(AP$416), AP$416&gt;0),
IF(AND(AQ$279=123, Cultivar_1_Cohort_Year_Selection=$AL$278,Cultivar_2_Cohort_Year_Selection=$AL$278,Cultivar_3_Cohort_Year_Selection=$AL$278), ROUND(MAX(0,(AP$416-('Stage 2 Randomized Selection'!AF$2*$M417)) - 3),0),
IF(AND(OR(AQ$279=123, AQ$279=12), Cultivar_1_Cohort_Year_Selection=$AL$278,Cultivar_2_Cohort_Year_Selection=$AL$278),  ROUND(MAX(0,(AP$416-('Stage 2 Randomized Selection'!AE$2*$M417)) - 2),0),
IF(AND(OR(AQ$279=123, AQ$279=13), Cultivar_1_Cohort_Year_Selection=$AL$278,Cultivar_3_Cohort_Year_Selection=$AL$278), ROUND(MAX(0,(AP$416-('Stage 2 Randomized Selection'!AE$2*$M417)) - 2),0),
IF(AND(OR(AQ$279=123, AQ$279=23), Cultivar_2_Cohort_Year_Selection=$AL$278,Cultivar_3_Cohort_Year_Selection=$AL$278), ROUND(MAX(0,(AP$416-('Stage 2 Randomized Selection'!AE$2*$M417)) - 2),0),
IF(AND(OR(AQ$279=123, AQ$279=12, AQ$279=13, AQ$279=1), Cultivar_1_Cohort_Year_Selection=$AL$278), ROUND(MAX(0,(AP$416-('Stage 2 Randomized Selection'!AE$2*$M417)) - 1),0),
IF(AND(OR(AQ$279=123, AQ$279=12, AQ$279=23, AQ$279=2), Cultivar_2_Cohort_Year_Selection=$AL$278), ROUND(MAX(0,(AP$416-('Stage 2 Randomized Selection'!AE$2*$M417)) - 1),0),
IF(AND(OR(AQ$279=123, AQ$279=13, AQ$279=23, AQ$279=3), Cultivar_3_Cohort_Year_Selection=$AL$278), ROUND(MAX(0,(AP$416-('Stage 2 Randomized Selection'!AE$2*$M417)) - 1),0),
ROUND(MAX(0,(AP$416-('Stage 2 Randomized Selection'!AE$2*$M417))),0)))))))),0),"")</f>
        <v/>
      </c>
      <c r="AR440" s="270" t="str">
        <f>IF(ISNUMBER($B$417),
IF(AND(ISNUMBER(AQ$416), AQ$416&gt;0),
IF(AND(AR$279=123, Cultivar_1_Cohort_Year_Selection=$AM$278,Cultivar_2_Cohort_Year_Selection=$AM$278,Cultivar_3_Cohort_Year_Selection=$AM$278), ROUND(MAX(0,(AQ$416-('Stage 2 Randomized Selection'!AG$2*$M417)) - 3),0),
IF(AND(OR(AR$279=123, AR$279=12), Cultivar_1_Cohort_Year_Selection=$AM$278,Cultivar_2_Cohort_Year_Selection=$AM$278),  ROUND(MAX(0,(AQ$416-('Stage 2 Randomized Selection'!AF$2*$M417)) - 2),0),
IF(AND(OR(AR$279=123, AR$279=13), Cultivar_1_Cohort_Year_Selection=$AM$278,Cultivar_3_Cohort_Year_Selection=$AM$278), ROUND(MAX(0,(AQ$416-('Stage 2 Randomized Selection'!AF$2*$M417)) - 2),0),
IF(AND(OR(AR$279=123, AR$279=23), Cultivar_2_Cohort_Year_Selection=$AM$278,Cultivar_3_Cohort_Year_Selection=$AM$278), ROUND(MAX(0,(AQ$416-('Stage 2 Randomized Selection'!AF$2*$M417)) - 2),0),
IF(AND(OR(AR$279=123, AR$279=12, AR$279=13, AR$279=1), Cultivar_1_Cohort_Year_Selection=$AM$278), ROUND(MAX(0,(AQ$416-('Stage 2 Randomized Selection'!AF$2*$M417)) - 1),0),
IF(AND(OR(AR$279=123, AR$279=12, AR$279=23, AR$279=2), Cultivar_2_Cohort_Year_Selection=$AM$278), ROUND(MAX(0,(AQ$416-('Stage 2 Randomized Selection'!AF$2*$M417)) - 1),0),
IF(AND(OR(AR$279=123, AR$279=13, AR$279=23, AR$279=3), Cultivar_3_Cohort_Year_Selection=$AM$278), ROUND(MAX(0,(AQ$416-('Stage 2 Randomized Selection'!AF$2*$M417)) - 1),0),
ROUND(MAX(0,(AQ$416-('Stage 2 Randomized Selection'!AF$2*$M417))),0)))))))),0),"")</f>
        <v/>
      </c>
      <c r="AS440" s="270" t="str">
        <f>IF(ISNUMBER($B$417),
IF(AND(ISNUMBER(AR$416), AR$416&gt;0),
IF(AND(AS$279=123, Cultivar_1_Cohort_Year_Selection=$AN$278,Cultivar_2_Cohort_Year_Selection=$AN$278,Cultivar_3_Cohort_Year_Selection=$AN$278), ROUND(MAX(0,(AR$416-('Stage 2 Randomized Selection'!AH$2*$M417)) - 3),0),
IF(AND(OR(AS$279=123, AS$279=12), Cultivar_1_Cohort_Year_Selection=$AN$278,Cultivar_2_Cohort_Year_Selection=$AN$278),  ROUND(MAX(0,(AR$416-('Stage 2 Randomized Selection'!AG$2*$M417)) - 2),0),
IF(AND(OR(AS$279=123, AS$279=13), Cultivar_1_Cohort_Year_Selection=$AN$278,Cultivar_3_Cohort_Year_Selection=$AN$278), ROUND(MAX(0,(AR$416-('Stage 2 Randomized Selection'!AG$2*$M417)) - 2),0),
IF(AND(OR(AS$279=123, AS$279=23), Cultivar_2_Cohort_Year_Selection=$AN$278,Cultivar_3_Cohort_Year_Selection=$AN$278), ROUND(MAX(0,(AR$416-('Stage 2 Randomized Selection'!AG$2*$M417)) - 2),0),
IF(AND(OR(AS$279=123, AS$279=12, AS$279=13, AS$279=1), Cultivar_1_Cohort_Year_Selection=$AN$278), ROUND(MAX(0,(AR$416-('Stage 2 Randomized Selection'!AG$2*$M417)) - 1),0),
IF(AND(OR(AS$279=123, AS$279=12, AS$279=23, AS$279=2), Cultivar_2_Cohort_Year_Selection=$AN$278), ROUND(MAX(0,(AR$416-('Stage 2 Randomized Selection'!AG$2*$M417)) - 1),0),
IF(AND(OR(AS$279=123, AS$279=13, AS$279=23, AS$279=3), Cultivar_3_Cohort_Year_Selection=$AN$278), ROUND(MAX(0,(AR$416-('Stage 2 Randomized Selection'!AG$2*$M417)) - 1),0),
ROUND(MAX(0,(AR$416-('Stage 2 Randomized Selection'!AG$2*$M417))),0)))))))),0),"")</f>
        <v/>
      </c>
      <c r="AT440" s="270" t="str">
        <f>IF(ISNUMBER($B$417),
IF(AND(ISNUMBER(AS$416), AS$416&gt;0),
IF(AND(AT$279=123, Cultivar_1_Cohort_Year_Selection=$AO$278,Cultivar_2_Cohort_Year_Selection=$AO$278,Cultivar_3_Cohort_Year_Selection=$AO$278), ROUND(MAX(0,(AS$416-('Stage 2 Randomized Selection'!AI$2*$M417)) - 3),0),
IF(AND(OR(AT$279=123, AT$279=12), Cultivar_1_Cohort_Year_Selection=$AO$278,Cultivar_2_Cohort_Year_Selection=$AO$278),  ROUND(MAX(0,(AS$416-('Stage 2 Randomized Selection'!AH$2*$M417)) - 2),0),
IF(AND(OR(AT$279=123, AT$279=13), Cultivar_1_Cohort_Year_Selection=$AO$278,Cultivar_3_Cohort_Year_Selection=$AO$278), ROUND(MAX(0,(AS$416-('Stage 2 Randomized Selection'!AH$2*$M417)) - 2),0),
IF(AND(OR(AT$279=123, AT$279=23), Cultivar_2_Cohort_Year_Selection=$AO$278,Cultivar_3_Cohort_Year_Selection=$AO$278), ROUND(MAX(0,(AS$416-('Stage 2 Randomized Selection'!AH$2*$M417)) - 2),0),
IF(AND(OR(AT$279=123, AT$279=12, AT$279=13, AT$279=1), Cultivar_1_Cohort_Year_Selection=$AO$278), ROUND(MAX(0,(AS$416-('Stage 2 Randomized Selection'!AH$2*$M417)) - 1),0),
IF(AND(OR(AT$279=123, AT$279=12, AT$279=23, AT$279=2), Cultivar_2_Cohort_Year_Selection=$AO$278), ROUND(MAX(0,(AS$416-('Stage 2 Randomized Selection'!AH$2*$M417)) - 1),0),
IF(AND(OR(AT$279=123, AT$279=13, AT$279=23, AT$279=3), Cultivar_3_Cohort_Year_Selection=$AO$278), ROUND(MAX(0,(AS$416-('Stage 2 Randomized Selection'!AH$2*$M417)) - 1),0),
ROUND(MAX(0,(AS$416-('Stage 2 Randomized Selection'!AH$2*$M417))),0)))))))),0),"")</f>
        <v/>
      </c>
      <c r="AU440" s="271" t="str">
        <f>IF(ISNUMBER($B$417),
IF(AND(ISNUMBER(AT$416), AT$416&gt;0),
IF(AND(AU$279=123, Cultivar_1_Cohort_Year_Selection=$AP$278,Cultivar_2_Cohort_Year_Selection=$AP$278,Cultivar_3_Cohort_Year_Selection=$AP$278), ROUND(MAX(0,(AT$416-('Stage 2 Randomized Selection'!AJ$2*$M417)) - 3),0),
IF(AND(OR(AU$279=123, AU$279=12), Cultivar_1_Cohort_Year_Selection=$AP$278,Cultivar_2_Cohort_Year_Selection=$AP$278),  ROUND(MAX(0,(AT$416-('Stage 2 Randomized Selection'!AI$2*$M417)) - 2),0),
IF(AND(OR(AU$279=123, AU$279=13), Cultivar_1_Cohort_Year_Selection=$AP$278,Cultivar_3_Cohort_Year_Selection=$AP$278), ROUND(MAX(0,(AT$416-('Stage 2 Randomized Selection'!AI$2*$M417)) - 2),0),
IF(AND(OR(AU$279=123, AU$279=23), Cultivar_2_Cohort_Year_Selection=$AP$278,Cultivar_3_Cohort_Year_Selection=$AP$278), ROUND(MAX(0,(AT$416-('Stage 2 Randomized Selection'!AI$2*$M417)) - 2),0),
IF(AND(OR(AU$279=123, AU$279=12, AU$279=13, AU$279=1), Cultivar_1_Cohort_Year_Selection=$AP$278), ROUND(MAX(0,(AT$416-('Stage 2 Randomized Selection'!AI$2*$M417)) - 1),0),
IF(AND(OR(AU$279=123, AU$279=12, AU$279=23, AU$279=2), Cultivar_2_Cohort_Year_Selection=$AP$278), ROUND(MAX(0,(AT$416-('Stage 2 Randomized Selection'!AI$2*$M417)) - 1),0),
IF(AND(OR(AU$279=123, AU$279=13, AU$279=23, AU$279=3), Cultivar_3_Cohort_Year_Selection=$AP$278), ROUND(MAX(0,(AT$416-('Stage 2 Randomized Selection'!AI$2*$M417)) - 1),0),
ROUND(MAX(0,(AT$416-('Stage 2 Randomized Selection'!AI$2*$M417))),0)))))))),0),"")</f>
        <v/>
      </c>
    </row>
    <row r="441" spans="1:48" ht="14.45" customHeight="1" x14ac:dyDescent="0.25">
      <c r="A441" s="518" t="str">
        <f>Fourth_Stage</f>
        <v>Stage 2 Clonal Test Plots</v>
      </c>
      <c r="B441" s="503" t="str">
        <f>'Breeding Inputs'!B95</f>
        <v/>
      </c>
      <c r="C441" s="521" t="str">
        <f>IF(ISNUMBER(B441), _4_3_0, "")</f>
        <v/>
      </c>
      <c r="D441" s="94" t="str">
        <f>IF(AND(C441&lt;&gt;"", 'Cost Inputs'!$G$105&lt;&gt;""), 'Cost Inputs'!$G$105, "")</f>
        <v/>
      </c>
      <c r="E441" s="94" t="str">
        <f>IF(AND(C441&lt;&gt;"", 'Cost Inputs'!$H$105&lt;&gt;""), 'Cost Inputs'!$H$105, "")</f>
        <v/>
      </c>
      <c r="F441" s="492" t="str">
        <f>IF(AND(C441&lt;&gt;"", 'Cost Inputs'!$I$105&lt;&gt;""), 'Cost Inputs'!$I$105, "")</f>
        <v/>
      </c>
      <c r="G441" s="102" t="str">
        <f t="shared" si="152"/>
        <v/>
      </c>
      <c r="H441" s="492" t="str">
        <f>IF(AND(C441&lt;&gt;"", 'Cost Inputs'!$J$105&lt;&gt;""), 'Cost Inputs'!$J$105, "")</f>
        <v/>
      </c>
      <c r="I441" s="102" t="str">
        <f>IF($C441&lt;&gt;"",IF(AND($E441&lt;&gt;"",H441&lt;&gt;""), H441/$E441, 0),"")</f>
        <v/>
      </c>
      <c r="J441" s="492" t="str">
        <f>IF(AND(C441&lt;&gt;"",('Cost Inputs'!$I$105+'Cost Inputs'!$J$105+'Cost Inputs'!$K$105)&gt;0), 'Cost Inputs'!$I$105+'Cost Inputs'!$J$105+'Cost Inputs'!$K$105, "")</f>
        <v/>
      </c>
      <c r="K441" s="102" t="str">
        <f>IF($C441&lt;&gt;"",IF(AND($E441&lt;&gt;"",J441&lt;&gt;""), J441/$E441, 0),"")</f>
        <v/>
      </c>
      <c r="L441" s="525" t="str">
        <f>IF(AND($B441&lt;&gt;"", 'Breeding Inputs'!$C$89&lt;&gt;""), INDEX('Breeding Inputs'!$C$89:$C$98, MATCH($B441,'Breeding Inputs'!$B$89:$B$98,0)), IF($B441="", "", 0%))</f>
        <v/>
      </c>
      <c r="M441" s="525" t="str">
        <f>IF(AND($B441&lt;&gt;"", 'Breeding Inputs'!$D$89&lt;&gt;""), INDEX('Breeding Inputs'!$D$89:$D$98, MATCH($B441,'Breeding Inputs'!$B$89:$B$98,0))+INDEX('Breeding Inputs'!$E$89:$E$98, MATCH($B441,'Breeding Inputs'!$B$89:$B$98,0)), IF($B441="", "", 0%))</f>
        <v/>
      </c>
      <c r="U441" s="495" t="str">
        <f>IF(ISNUMBER($B$441),
IF($C441&lt;&gt;"",
IF(AND(ISNUMBER(T$440), T$440&gt;0),
IF(AND(U$279=123, Cultivar_1_Cohort_Year_Selection=$O$278,Cultivar_2_Cohort_Year_Selection=$O$278,Cultivar_3_Cohort_Year_Selection=$O$278), ROUND(MAX(0,T$440 - 3),0),
IF(AND(OR(U$279=123, U$279=12), Cultivar_1_Cohort_Year_Selection=$O$278,Cultivar_2_Cohort_Year_Selection=$O$278), ROUND(MAX(0,T$440 - 2),0),
IF(AND(OR(U$279=123, U$279=13), Cultivar_1_Cohort_Year_Selection=$O$278,Cultivar_3_Cohort_Year_Selection=$O$278), ROUND(MAX(0,T$440 - 2),0),
IF(AND(OR(U$279=123, U$279=23), Cultivar_2_Cohort_Year_Selection=$O$278,Cultivar_3_Cohort_Year_Selection=$O$278), ROUND(MAX(0,T$440 - 2),0),
IF(AND(OR(U$279=123, U$279=12, U$279=13, U$279=1), Cultivar_1_Cohort_Year_Selection=$O$278), ROUND(MAX(0,T$440 - 1),0),
IF(AND(OR(U$279=123, U$279=12, U$279=23, U$279=2), Cultivar_2_Cohort_Year_Selection=$O$278), ROUND(MAX(0,T$440 - 1),0),
IF(AND(OR(U$279=123, U$279=13, U$279=23, U$279=3), Cultivar_3_Cohort_Year_Selection=$O$278), ROUND(MAX(0,T$440 - 1),0),
ROUND(MAX(0,T$440),0)))))))),""),""),"")</f>
        <v/>
      </c>
      <c r="V441" s="495" t="str">
        <f>IF(ISNUMBER($B$441),
IF($C441&lt;&gt;"",
IF(AND(ISNUMBER(U$440), U$440&gt;0),
IF(AND(V$279=123, Cultivar_1_Cohort_Year_Selection=$P$278,Cultivar_2_Cohort_Year_Selection=$P$278,Cultivar_3_Cohort_Year_Selection=$P$278), ROUND(MAX(0,U$440 - 3),0),
IF(AND(OR(V$279=123, V$279=12), Cultivar_1_Cohort_Year_Selection=$P$278,Cultivar_2_Cohort_Year_Selection=$P$278), ROUND(MAX(0,U$440 - 2),0),
IF(AND(OR(V$279=123, V$279=13), Cultivar_1_Cohort_Year_Selection=$P$278,Cultivar_3_Cohort_Year_Selection=$P$278), ROUND(MAX(0,U$440 - 2),0),
IF(AND(OR(V$279=123, V$279=23), Cultivar_2_Cohort_Year_Selection=$P$278,Cultivar_3_Cohort_Year_Selection=$P$278), ROUND(MAX(0,U$440 - 2),0),
IF(AND(OR(V$279=123, V$279=12, V$279=13, V$279=1), Cultivar_1_Cohort_Year_Selection=$P$278), ROUND(MAX(0,U$440 - 1),0),
IF(AND(OR(V$279=123, V$279=12, V$279=23, V$279=2), Cultivar_2_Cohort_Year_Selection=$P$278), ROUND(MAX(0,U$440 - 1),0),
IF(AND(OR(V$279=123, V$279=13, V$279=23, V$279=3), Cultivar_3_Cohort_Year_Selection=$P$278), ROUND(MAX(0,U$440 - 1),0),
ROUND(MAX(0,U$440),0)))))))),""),""),"")</f>
        <v/>
      </c>
      <c r="W441" s="495" t="str">
        <f>IF(ISNUMBER($B$441),
IF($C441&lt;&gt;"",
IF(AND(ISNUMBER(V$440), V$440&gt;0),
IF(AND(W$279=123, Cultivar_1_Cohort_Year_Selection=$Q$278,Cultivar_2_Cohort_Year_Selection=$Q$278,Cultivar_3_Cohort_Year_Selection=$Q$278), ROUND(MAX(0,V$440 - 3),0),
IF(AND(OR(W$279=123, W$279=12), Cultivar_1_Cohort_Year_Selection=$Q$278,Cultivar_2_Cohort_Year_Selection=$Q$278), ROUND(MAX(0,V$440 - 2),0),
IF(AND(OR(W$279=123, W$279=13), Cultivar_1_Cohort_Year_Selection=$Q$278,Cultivar_3_Cohort_Year_Selection=$Q$278), ROUND(MAX(0,V$440 - 2),0),
IF(AND(OR(W$279=123, W$279=23), Cultivar_2_Cohort_Year_Selection=$Q$278,Cultivar_3_Cohort_Year_Selection=$Q$278), ROUND(MAX(0,V$440 - 2),0),
IF(AND(OR(W$279=123, W$279=12, W$279=13, W$279=1), Cultivar_1_Cohort_Year_Selection=$Q$278), ROUND(MAX(0,V$440 - 1),0),
IF(AND(OR(W$279=123, W$279=12, W$279=23, W$279=2), Cultivar_2_Cohort_Year_Selection=$Q$278), ROUND(MAX(0,V$440 - 1),0),
IF(AND(OR(W$279=123, W$279=13, W$279=23, W$279=3), Cultivar_3_Cohort_Year_Selection=$Q$278), ROUND(MAX(0,V$440 - 1),0),
ROUND(MAX(0,V$440),0)))))))),""),""),"")</f>
        <v/>
      </c>
      <c r="X441" s="495" t="str">
        <f>IF(ISNUMBER($B$441),
IF($C441&lt;&gt;"",
IF(AND(ISNUMBER(W$440), W$440&gt;0),
IF(AND(X$279=123, Cultivar_1_Cohort_Year_Selection=$R$278,Cultivar_2_Cohort_Year_Selection=$R$278,Cultivar_3_Cohort_Year_Selection=$R$278), ROUND(MAX(0,W$440 - 3),0),
IF(AND(OR(X$279=123, X$279=12), Cultivar_1_Cohort_Year_Selection=$R$278,Cultivar_2_Cohort_Year_Selection=$R$278), ROUND(MAX(0,W$440 - 2),0),
IF(AND(OR(X$279=123, X$279=13), Cultivar_1_Cohort_Year_Selection=$R$278,Cultivar_3_Cohort_Year_Selection=$R$278), ROUND(MAX(0,W$440 - 2),0),
IF(AND(OR(X$279=123, X$279=23), Cultivar_2_Cohort_Year_Selection=$R$278,Cultivar_3_Cohort_Year_Selection=$R$278), ROUND(MAX(0,W$440 - 2),0),
IF(AND(OR(X$279=123, X$279=12, X$279=13, X$279=1), Cultivar_1_Cohort_Year_Selection=$R$278), ROUND(MAX(0,W$440 - 1),0),
IF(AND(OR(X$279=123, X$279=12, X$279=23, X$279=2), Cultivar_2_Cohort_Year_Selection=$R$278), ROUND(MAX(0,W$440 - 1),0),
IF(AND(OR(X$279=123, X$279=13, X$279=23, X$279=3), Cultivar_3_Cohort_Year_Selection=$R$278), ROUND(MAX(0,W$440 - 1),0),
ROUND(MAX(0,W$440),0)))))))),""),""),"")</f>
        <v/>
      </c>
      <c r="Y441" s="495" t="str">
        <f>IF(ISNUMBER($B$441),
IF($C441&lt;&gt;"",
IF(AND(ISNUMBER(X$440), X$440&gt;0),
IF(AND(Y$279=123, Cultivar_1_Cohort_Year_Selection=$S$278,Cultivar_2_Cohort_Year_Selection=$S$278,Cultivar_3_Cohort_Year_Selection=$S$278), ROUND(MAX(0,X$440 - 3),0),
IF(AND(OR(Y$279=123, Y$279=12), Cultivar_1_Cohort_Year_Selection=$S$278,Cultivar_2_Cohort_Year_Selection=$S$278), ROUND(MAX(0,X$440 - 2),0),
IF(AND(OR(Y$279=123, Y$279=13), Cultivar_1_Cohort_Year_Selection=$S$278,Cultivar_3_Cohort_Year_Selection=$S$278), ROUND(MAX(0,X$440 - 2),0),
IF(AND(OR(Y$279=123, Y$279=23), Cultivar_2_Cohort_Year_Selection=$S$278,Cultivar_3_Cohort_Year_Selection=$S$278), ROUND(MAX(0,X$440 - 2),0),
IF(AND(OR(Y$279=123, Y$279=12, Y$279=13, Y$279=1), Cultivar_1_Cohort_Year_Selection=$S$278), ROUND(MAX(0,X$440 - 1),0),
IF(AND(OR(Y$279=123, Y$279=12, Y$279=23, Y$279=2), Cultivar_2_Cohort_Year_Selection=$S$278), ROUND(MAX(0,X$440 - 1),0),
IF(AND(OR(Y$279=123, Y$279=13, Y$279=23, Y$279=3), Cultivar_3_Cohort_Year_Selection=$S$278), ROUND(MAX(0,X$440 - 1),0),
ROUND(MAX(0,X$440),0)))))))),""),""),"")</f>
        <v/>
      </c>
      <c r="Z441" s="495" t="str">
        <f>IF(ISNUMBER($B$441),
IF($C441&lt;&gt;"",
IF(AND(ISNUMBER(Y$440), Y$440&gt;0),
IF(AND(Z$279=123, Cultivar_1_Cohort_Year_Selection=$T$278,Cultivar_2_Cohort_Year_Selection=$T$278,Cultivar_3_Cohort_Year_Selection=$T$278), ROUND(MAX(0,Y$440 - 3),0),
IF(AND(OR(Z$279=123, Z$279=12), Cultivar_1_Cohort_Year_Selection=$T$278,Cultivar_2_Cohort_Year_Selection=$T$278), ROUND(MAX(0,Y$440 - 2),0),
IF(AND(OR(Z$279=123, Z$279=13), Cultivar_1_Cohort_Year_Selection=$T$278,Cultivar_3_Cohort_Year_Selection=$T$278), ROUND(MAX(0,Y$440 - 2),0),
IF(AND(OR(Z$279=123, Z$279=23), Cultivar_2_Cohort_Year_Selection=$T$278,Cultivar_3_Cohort_Year_Selection=$T$278), ROUND(MAX(0,Y$440 - 2),0),
IF(AND(OR(Z$279=123, Z$279=12, Z$279=13, Z$279=1), Cultivar_1_Cohort_Year_Selection=$T$278), ROUND(MAX(0,Y$440 - 1),0),
IF(AND(OR(Z$279=123, Z$279=12, Z$279=23, Z$279=2), Cultivar_2_Cohort_Year_Selection=$T$278), ROUND(MAX(0,Y$440 - 1),0),
IF(AND(OR(Z$279=123, Z$279=13, Z$279=23, Z$279=3), Cultivar_3_Cohort_Year_Selection=$T$278), ROUND(MAX(0,Y$440 - 1),0),
ROUND(MAX(0,Y$440),0)))))))),""),""),"")</f>
        <v/>
      </c>
      <c r="AA441" s="495" t="str">
        <f>IF(ISNUMBER($B$441),
IF($C441&lt;&gt;"",
IF(AND(ISNUMBER(Z$440), Z$440&gt;0),
IF(AND(AA$279=123, Cultivar_1_Cohort_Year_Selection=$U$278,Cultivar_2_Cohort_Year_Selection=$U$278,Cultivar_3_Cohort_Year_Selection=$U$278), ROUND(MAX(0,Z$440 - 3),0),
IF(AND(OR(AA$279=123, AA$279=12), Cultivar_1_Cohort_Year_Selection=$U$278,Cultivar_2_Cohort_Year_Selection=$U$278), ROUND(MAX(0,Z$440 - 2),0),
IF(AND(OR(AA$279=123, AA$279=13), Cultivar_1_Cohort_Year_Selection=$U$278,Cultivar_3_Cohort_Year_Selection=$U$278), ROUND(MAX(0,Z$440 - 2),0),
IF(AND(OR(AA$279=123, AA$279=23), Cultivar_2_Cohort_Year_Selection=$U$278,Cultivar_3_Cohort_Year_Selection=$U$278), ROUND(MAX(0,Z$440 - 2),0),
IF(AND(OR(AA$279=123, AA$279=12, AA$279=13, AA$279=1), Cultivar_1_Cohort_Year_Selection=$U$278), ROUND(MAX(0,Z$440 - 1),0),
IF(AND(OR(AA$279=123, AA$279=12, AA$279=23, AA$279=2), Cultivar_2_Cohort_Year_Selection=$U$278), ROUND(MAX(0,Z$440 - 1),0),
IF(AND(OR(AA$279=123, AA$279=13, AA$279=23, AA$279=3), Cultivar_3_Cohort_Year_Selection=$U$278), ROUND(MAX(0,Z$440 - 1),0),
ROUND(MAX(0,Z$440),0)))))))),""),""),"")</f>
        <v/>
      </c>
      <c r="AB441" s="495" t="str">
        <f>IF(ISNUMBER($B$441),
IF($C441&lt;&gt;"",
IF(AND(ISNUMBER(AA$440), AA$440&gt;0),
IF(AND(AB$279=123, Cultivar_1_Cohort_Year_Selection=$V$278,Cultivar_2_Cohort_Year_Selection=$V$278,Cultivar_3_Cohort_Year_Selection=$V$278), ROUND(MAX(0,AA$440 - 3),0),
IF(AND(OR(AB$279=123, AB$279=12), Cultivar_1_Cohort_Year_Selection=$V$278,Cultivar_2_Cohort_Year_Selection=$V$278), ROUND(MAX(0,AA$440 - 2),0),
IF(AND(OR(AB$279=123, AB$279=13), Cultivar_1_Cohort_Year_Selection=$V$278,Cultivar_3_Cohort_Year_Selection=$V$278), ROUND(MAX(0,AA$440 - 2),0),
IF(AND(OR(AB$279=123, AB$279=23), Cultivar_2_Cohort_Year_Selection=$V$278,Cultivar_3_Cohort_Year_Selection=$V$278), ROUND(MAX(0,AA$440 - 2),0),
IF(AND(OR(AB$279=123, AB$279=12, AB$279=13, AB$279=1), Cultivar_1_Cohort_Year_Selection=$V$278), ROUND(MAX(0,AA$440 - 1),0),
IF(AND(OR(AB$279=123, AB$279=12, AB$279=23, AB$279=2), Cultivar_2_Cohort_Year_Selection=$V$278), ROUND(MAX(0,AA$440 - 1),0),
IF(AND(OR(AB$279=123, AB$279=13, AB$279=23, AB$279=3), Cultivar_3_Cohort_Year_Selection=$V$278), ROUND(MAX(0,AA$440 - 1),0),
ROUND(MAX(0,AA$440),0)))))))),""),""),"")</f>
        <v/>
      </c>
      <c r="AC441" s="495" t="str">
        <f>IF(ISNUMBER($B$441),
IF($C441&lt;&gt;"",
IF(AND(ISNUMBER(AB$440), AB$440&gt;0),
IF(AND(AC$279=123, Cultivar_1_Cohort_Year_Selection=$W$278,Cultivar_2_Cohort_Year_Selection=$W$278,Cultivar_3_Cohort_Year_Selection=$W$278), ROUND(MAX(0,AB$440 - 3),0),
IF(AND(OR(AC$279=123, AC$279=12), Cultivar_1_Cohort_Year_Selection=$W$278,Cultivar_2_Cohort_Year_Selection=$W$278), ROUND(MAX(0,AB$440 - 2),0),
IF(AND(OR(AC$279=123, AC$279=13), Cultivar_1_Cohort_Year_Selection=$W$278,Cultivar_3_Cohort_Year_Selection=$W$278), ROUND(MAX(0,AB$440 - 2),0),
IF(AND(OR(AC$279=123, AC$279=23), Cultivar_2_Cohort_Year_Selection=$W$278,Cultivar_3_Cohort_Year_Selection=$W$278), ROUND(MAX(0,AB$440 - 2),0),
IF(AND(OR(AC$279=123, AC$279=12, AC$279=13, AC$279=1), Cultivar_1_Cohort_Year_Selection=$W$278), ROUND(MAX(0,AB$440 - 1),0),
IF(AND(OR(AC$279=123, AC$279=12, AC$279=23, AC$279=2), Cultivar_2_Cohort_Year_Selection=$W$278), ROUND(MAX(0,AB$440 - 1),0),
IF(AND(OR(AC$279=123, AC$279=13, AC$279=23, AC$279=3), Cultivar_3_Cohort_Year_Selection=$W$278), ROUND(MAX(0,AB$440 - 1),0),
ROUND(MAX(0,AB$440),0)))))))),""),""),"")</f>
        <v/>
      </c>
      <c r="AD441" s="495" t="str">
        <f>IF(ISNUMBER($B$441),
IF($C441&lt;&gt;"",
IF(AND(ISNUMBER(AC$440), AC$440&gt;0),
IF(AND(AD$279=123, Cultivar_1_Cohort_Year_Selection=$X$278,Cultivar_2_Cohort_Year_Selection=$X$278,Cultivar_3_Cohort_Year_Selection=$X$278), ROUND(MAX(0,AC$440 - 3),0),
IF(AND(OR(AD$279=123, AD$279=12), Cultivar_1_Cohort_Year_Selection=$X$278,Cultivar_2_Cohort_Year_Selection=$X$278), ROUND(MAX(0,AC$440 - 2),0),
IF(AND(OR(AD$279=123, AD$279=13), Cultivar_1_Cohort_Year_Selection=$X$278,Cultivar_3_Cohort_Year_Selection=$X$278), ROUND(MAX(0,AC$440 - 2),0),
IF(AND(OR(AD$279=123, AD$279=23), Cultivar_2_Cohort_Year_Selection=$X$278,Cultivar_3_Cohort_Year_Selection=$X$278), ROUND(MAX(0,AC$440 - 2),0),
IF(AND(OR(AD$279=123, AD$279=12, AD$279=13, AD$279=1), Cultivar_1_Cohort_Year_Selection=$X$278), ROUND(MAX(0,AC$440 - 1),0),
IF(AND(OR(AD$279=123, AD$279=12, AD$279=23, AD$279=2), Cultivar_2_Cohort_Year_Selection=$X$278), ROUND(MAX(0,AC$440 - 1),0),
IF(AND(OR(AD$279=123, AD$279=13, AD$279=23, AD$279=3), Cultivar_3_Cohort_Year_Selection=$X$278), ROUND(MAX(0,AC$440 - 1),0),
ROUND(MAX(0,AC$440),0)))))))),""),""),"")</f>
        <v/>
      </c>
      <c r="AE441" s="495" t="str">
        <f>IF(ISNUMBER($B$441),
IF($C441&lt;&gt;"",
IF(AND(ISNUMBER(AD$440), AD$440&gt;0),
IF(AND(AE$279=123, Cultivar_1_Cohort_Year_Selection=$Y$278,Cultivar_2_Cohort_Year_Selection=$Y$278,Cultivar_3_Cohort_Year_Selection=$Y$278), ROUND(MAX(0,AD$440 - 3),0),
IF(AND(OR(AE$279=123, AE$279=12), Cultivar_1_Cohort_Year_Selection=$Y$278,Cultivar_2_Cohort_Year_Selection=$Y$278), ROUND(MAX(0,AD$440 - 2),0),
IF(AND(OR(AE$279=123, AE$279=13), Cultivar_1_Cohort_Year_Selection=$Y$278,Cultivar_3_Cohort_Year_Selection=$Y$278), ROUND(MAX(0,AD$440 - 2),0),
IF(AND(OR(AE$279=123, AE$279=23), Cultivar_2_Cohort_Year_Selection=$Y$278,Cultivar_3_Cohort_Year_Selection=$Y$278), ROUND(MAX(0,AD$440 - 2),0),
IF(AND(OR(AE$279=123, AE$279=12, AE$279=13, AE$279=1), Cultivar_1_Cohort_Year_Selection=$Y$278), ROUND(MAX(0,AD$440 - 1),0),
IF(AND(OR(AE$279=123, AE$279=12, AE$279=23, AE$279=2), Cultivar_2_Cohort_Year_Selection=$Y$278), ROUND(MAX(0,AD$440 - 1),0),
IF(AND(OR(AE$279=123, AE$279=13, AE$279=23, AE$279=3), Cultivar_3_Cohort_Year_Selection=$Y$278), ROUND(MAX(0,AD$440 - 1),0),
ROUND(MAX(0,AD$440),0)))))))),""),""),"")</f>
        <v/>
      </c>
      <c r="AF441" s="495" t="str">
        <f>IF(ISNUMBER($B$441),
IF($C441&lt;&gt;"",
IF(AND(ISNUMBER(AE$440), AE$440&gt;0),
IF(AND(AF$279=123, Cultivar_1_Cohort_Year_Selection=$Z$278,Cultivar_2_Cohort_Year_Selection=$Z$278,Cultivar_3_Cohort_Year_Selection=$Z$278), ROUND(MAX(0,AE$440 - 3),0),
IF(AND(OR(AF$279=123, AF$279=12), Cultivar_1_Cohort_Year_Selection=$Z$278,Cultivar_2_Cohort_Year_Selection=$Z$278), ROUND(MAX(0,AE$440 - 2),0),
IF(AND(OR(AF$279=123, AF$279=13), Cultivar_1_Cohort_Year_Selection=$Z$278,Cultivar_3_Cohort_Year_Selection=$Z$278), ROUND(MAX(0,AE$440 - 2),0),
IF(AND(OR(AF$279=123, AF$279=23), Cultivar_2_Cohort_Year_Selection=$Z$278,Cultivar_3_Cohort_Year_Selection=$Z$278), ROUND(MAX(0,AE$440 - 2),0),
IF(AND(OR(AF$279=123, AF$279=12, AF$279=13, AF$279=1), Cultivar_1_Cohort_Year_Selection=$Z$278), ROUND(MAX(0,AE$440 - 1),0),
IF(AND(OR(AF$279=123, AF$279=12, AF$279=23, AF$279=2), Cultivar_2_Cohort_Year_Selection=$Z$278), ROUND(MAX(0,AE$440 - 1),0),
IF(AND(OR(AF$279=123, AF$279=13, AF$279=23, AF$279=3), Cultivar_3_Cohort_Year_Selection=$Z$278), ROUND(MAX(0,AE$440 - 1),0),
ROUND(MAX(0,AE$440),0)))))))),""),""),"")</f>
        <v/>
      </c>
      <c r="AG441" s="495" t="str">
        <f>IF(ISNUMBER($B$441),
IF($C441&lt;&gt;"",
IF(AND(ISNUMBER(AF$440), AF$440&gt;0),
IF(AND(AG$279=123, Cultivar_1_Cohort_Year_Selection=$AA$278,Cultivar_2_Cohort_Year_Selection=$AA$278,Cultivar_3_Cohort_Year_Selection=$AA$278), ROUND(MAX(0,AF$440 - 3),0),
IF(AND(OR(AG$279=123, AG$279=12), Cultivar_1_Cohort_Year_Selection=$AA$278,Cultivar_2_Cohort_Year_Selection=$AA$278), ROUND(MAX(0,AF$440 - 2),0),
IF(AND(OR(AG$279=123, AG$279=13), Cultivar_1_Cohort_Year_Selection=$AA$278,Cultivar_3_Cohort_Year_Selection=$AA$278), ROUND(MAX(0,AF$440 - 2),0),
IF(AND(OR(AG$279=123, AG$279=23), Cultivar_2_Cohort_Year_Selection=$AA$278,Cultivar_3_Cohort_Year_Selection=$AA$278), ROUND(MAX(0,AF$440 - 2),0),
IF(AND(OR(AG$279=123, AG$279=12, AG$279=13, AG$279=1), Cultivar_1_Cohort_Year_Selection=$AA$278), ROUND(MAX(0,AF$440 - 1),0),
IF(AND(OR(AG$279=123, AG$279=12, AG$279=23, AG$279=2), Cultivar_2_Cohort_Year_Selection=$AA$278), ROUND(MAX(0,AF$440 - 1),0),
IF(AND(OR(AG$279=123, AG$279=13, AG$279=23, AG$279=3), Cultivar_3_Cohort_Year_Selection=$AA$278), ROUND(MAX(0,AF$440 - 1),0),
ROUND(MAX(0,AF$440),0)))))))),""),""),"")</f>
        <v/>
      </c>
      <c r="AH441" s="495" t="str">
        <f>IF(ISNUMBER($B$441),
IF($C441&lt;&gt;"",
IF(AND(ISNUMBER(AG$440), AG$440&gt;0),
IF(AND(AH$279=123, Cultivar_1_Cohort_Year_Selection=$AB$278,Cultivar_2_Cohort_Year_Selection=$AB$278,Cultivar_3_Cohort_Year_Selection=$AB$278), ROUND(MAX(0,AG$440 - 3),0),
IF(AND(OR(AH$279=123, AH$279=12), Cultivar_1_Cohort_Year_Selection=$AB$278,Cultivar_2_Cohort_Year_Selection=$AB$278), ROUND(MAX(0,AG$440 - 2),0),
IF(AND(OR(AH$279=123, AH$279=13), Cultivar_1_Cohort_Year_Selection=$AB$278,Cultivar_3_Cohort_Year_Selection=$AB$278), ROUND(MAX(0,AG$440 - 2),0),
IF(AND(OR(AH$279=123, AH$279=23), Cultivar_2_Cohort_Year_Selection=$AB$278,Cultivar_3_Cohort_Year_Selection=$AB$278), ROUND(MAX(0,AG$440 - 2),0),
IF(AND(OR(AH$279=123, AH$279=12, AH$279=13, AH$279=1), Cultivar_1_Cohort_Year_Selection=$AB$278), ROUND(MAX(0,AG$440 - 1),0),
IF(AND(OR(AH$279=123, AH$279=12, AH$279=23, AH$279=2), Cultivar_2_Cohort_Year_Selection=$AB$278), ROUND(MAX(0,AG$440 - 1),0),
IF(AND(OR(AH$279=123, AH$279=13, AH$279=23, AH$279=3), Cultivar_3_Cohort_Year_Selection=$AB$278), ROUND(MAX(0,AG$440 - 1),0),
ROUND(MAX(0,AG$440),0)))))))),""),""),"")</f>
        <v/>
      </c>
      <c r="AI441" s="495" t="str">
        <f>IF(ISNUMBER($B$441),
IF($C441&lt;&gt;"",
IF(AND(ISNUMBER(AH$440), AH$440&gt;0),
IF(AND(AI$279=123, Cultivar_1_Cohort_Year_Selection=$AC$278,Cultivar_2_Cohort_Year_Selection=$AC$278,Cultivar_3_Cohort_Year_Selection=$AC$278), ROUND(MAX(0,AH$440 - 3),0),
IF(AND(OR(AI$279=123, AI$279=12), Cultivar_1_Cohort_Year_Selection=$AC$278,Cultivar_2_Cohort_Year_Selection=$AC$278), ROUND(MAX(0,AH$440 - 2),0),
IF(AND(OR(AI$279=123, AI$279=13), Cultivar_1_Cohort_Year_Selection=$AC$278,Cultivar_3_Cohort_Year_Selection=$AC$278), ROUND(MAX(0,AH$440 - 2),0),
IF(AND(OR(AI$279=123, AI$279=23), Cultivar_2_Cohort_Year_Selection=$AC$278,Cultivar_3_Cohort_Year_Selection=$AC$278), ROUND(MAX(0,AH$440 - 2),0),
IF(AND(OR(AI$279=123, AI$279=12, AI$279=13, AI$279=1), Cultivar_1_Cohort_Year_Selection=$AC$278), ROUND(MAX(0,AH$440 - 1),0),
IF(AND(OR(AI$279=123, AI$279=12, AI$279=23, AI$279=2), Cultivar_2_Cohort_Year_Selection=$AC$278), ROUND(MAX(0,AH$440 - 1),0),
IF(AND(OR(AI$279=123, AI$279=13, AI$279=23, AI$279=3), Cultivar_3_Cohort_Year_Selection=$AC$278), ROUND(MAX(0,AH$440 - 1),0),
ROUND(MAX(0,AH$440),0)))))))),""),""),"")</f>
        <v/>
      </c>
      <c r="AJ441" s="495" t="str">
        <f>IF(ISNUMBER($B$441),
IF($C441&lt;&gt;"",
IF(AND(ISNUMBER(AI$440), AI$440&gt;0),
IF(AND(AJ$279=123, Cultivar_1_Cohort_Year_Selection=$AD$278,Cultivar_2_Cohort_Year_Selection=$AD$278,Cultivar_3_Cohort_Year_Selection=$AD$278), ROUND(MAX(0,AI$440 - 3),0),
IF(AND(OR(AJ$279=123, AJ$279=12), Cultivar_1_Cohort_Year_Selection=$AD$278,Cultivar_2_Cohort_Year_Selection=$AD$278), ROUND(MAX(0,AI$440 - 2),0),
IF(AND(OR(AJ$279=123, AJ$279=13), Cultivar_1_Cohort_Year_Selection=$AD$278,Cultivar_3_Cohort_Year_Selection=$AD$278), ROUND(MAX(0,AI$440 - 2),0),
IF(AND(OR(AJ$279=123, AJ$279=23), Cultivar_2_Cohort_Year_Selection=$AD$278,Cultivar_3_Cohort_Year_Selection=$AD$278), ROUND(MAX(0,AI$440 - 2),0),
IF(AND(OR(AJ$279=123, AJ$279=12, AJ$279=13, AJ$279=1), Cultivar_1_Cohort_Year_Selection=$AD$278), ROUND(MAX(0,AI$440 - 1),0),
IF(AND(OR(AJ$279=123, AJ$279=12, AJ$279=23, AJ$279=2), Cultivar_2_Cohort_Year_Selection=$AD$278), ROUND(MAX(0,AI$440 - 1),0),
IF(AND(OR(AJ$279=123, AJ$279=13, AJ$279=23, AJ$279=3), Cultivar_3_Cohort_Year_Selection=$AD$278), ROUND(MAX(0,AI$440 - 1),0),
ROUND(MAX(0,AI$440),0)))))))),""),""),"")</f>
        <v/>
      </c>
      <c r="AK441" s="495" t="str">
        <f>IF(ISNUMBER($B$441),
IF($C441&lt;&gt;"",
IF(AND(ISNUMBER(AJ$440), AJ$440&gt;0),
IF(AND(AK$279=123, Cultivar_1_Cohort_Year_Selection=$AE$278,Cultivar_2_Cohort_Year_Selection=$AE$278,Cultivar_3_Cohort_Year_Selection=$AE$278), ROUND(MAX(0,AJ$440 - 3),0),
IF(AND(OR(AK$279=123, AK$279=12), Cultivar_1_Cohort_Year_Selection=$AE$278,Cultivar_2_Cohort_Year_Selection=$AE$278), ROUND(MAX(0,AJ$440 - 2),0),
IF(AND(OR(AK$279=123, AK$279=13), Cultivar_1_Cohort_Year_Selection=$AE$278,Cultivar_3_Cohort_Year_Selection=$AE$278), ROUND(MAX(0,AJ$440 - 2),0),
IF(AND(OR(AK$279=123, AK$279=23), Cultivar_2_Cohort_Year_Selection=$AE$278,Cultivar_3_Cohort_Year_Selection=$AE$278), ROUND(MAX(0,AJ$440 - 2),0),
IF(AND(OR(AK$279=123, AK$279=12, AK$279=13, AK$279=1), Cultivar_1_Cohort_Year_Selection=$AE$278), ROUND(MAX(0,AJ$440 - 1),0),
IF(AND(OR(AK$279=123, AK$279=12, AK$279=23, AK$279=2), Cultivar_2_Cohort_Year_Selection=$AE$278), ROUND(MAX(0,AJ$440 - 1),0),
IF(AND(OR(AK$279=123, AK$279=13, AK$279=23, AK$279=3), Cultivar_3_Cohort_Year_Selection=$AE$278), ROUND(MAX(0,AJ$440 - 1),0),
ROUND(MAX(0,AJ$440),0)))))))),""),""),"")</f>
        <v/>
      </c>
      <c r="AL441" s="495" t="str">
        <f>IF(ISNUMBER($B$441),
IF($C441&lt;&gt;"",
IF(AND(ISNUMBER(AK$440), AK$440&gt;0),
IF(AND(AL$279=123, Cultivar_1_Cohort_Year_Selection=$AF$278,Cultivar_2_Cohort_Year_Selection=$AF$278,Cultivar_3_Cohort_Year_Selection=$AF$278), ROUND(MAX(0,AK$440 - 3),0),
IF(AND(OR(AL$279=123, AL$279=12), Cultivar_1_Cohort_Year_Selection=$AF$278,Cultivar_2_Cohort_Year_Selection=$AF$278), ROUND(MAX(0,AK$440 - 2),0),
IF(AND(OR(AL$279=123, AL$279=13), Cultivar_1_Cohort_Year_Selection=$AF$278,Cultivar_3_Cohort_Year_Selection=$AF$278), ROUND(MAX(0,AK$440 - 2),0),
IF(AND(OR(AL$279=123, AL$279=23), Cultivar_2_Cohort_Year_Selection=$AF$278,Cultivar_3_Cohort_Year_Selection=$AF$278), ROUND(MAX(0,AK$440 - 2),0),
IF(AND(OR(AL$279=123, AL$279=12, AL$279=13, AL$279=1), Cultivar_1_Cohort_Year_Selection=$AF$278), ROUND(MAX(0,AK$440 - 1),0),
IF(AND(OR(AL$279=123, AL$279=12, AL$279=23, AL$279=2), Cultivar_2_Cohort_Year_Selection=$AF$278), ROUND(MAX(0,AK$440 - 1),0),
IF(AND(OR(AL$279=123, AL$279=13, AL$279=23, AL$279=3), Cultivar_3_Cohort_Year_Selection=$AF$278), ROUND(MAX(0,AK$440 - 1),0),
ROUND(MAX(0,AK$440),0)))))))),""),""),"")</f>
        <v/>
      </c>
      <c r="AM441" s="495" t="str">
        <f>IF(ISNUMBER($B$441),
IF($C441&lt;&gt;"",
IF(AND(ISNUMBER(AL$440), AL$440&gt;0),
IF(AND(AM$279=123, Cultivar_1_Cohort_Year_Selection=$AG$278,Cultivar_2_Cohort_Year_Selection=$AG$278,Cultivar_3_Cohort_Year_Selection=$AG$278), ROUND(MAX(0,AL$440 - 3),0),
IF(AND(OR(AM$279=123, AM$279=12), Cultivar_1_Cohort_Year_Selection=$AG$278,Cultivar_2_Cohort_Year_Selection=$AG$278), ROUND(MAX(0,AL$440 - 2),0),
IF(AND(OR(AM$279=123, AM$279=13), Cultivar_1_Cohort_Year_Selection=$AG$278,Cultivar_3_Cohort_Year_Selection=$AG$278), ROUND(MAX(0,AL$440 - 2),0),
IF(AND(OR(AM$279=123, AM$279=23), Cultivar_2_Cohort_Year_Selection=$AG$278,Cultivar_3_Cohort_Year_Selection=$AG$278), ROUND(MAX(0,AL$440 - 2),0),
IF(AND(OR(AM$279=123, AM$279=12, AM$279=13, AM$279=1), Cultivar_1_Cohort_Year_Selection=$AG$278), ROUND(MAX(0,AL$440 - 1),0),
IF(AND(OR(AM$279=123, AM$279=12, AM$279=23, AM$279=2), Cultivar_2_Cohort_Year_Selection=$AG$278), ROUND(MAX(0,AL$440 - 1),0),
IF(AND(OR(AM$279=123, AM$279=13, AM$279=23, AM$279=3), Cultivar_3_Cohort_Year_Selection=$AG$278), ROUND(MAX(0,AL$440 - 1),0),
ROUND(MAX(0,AL$440),0)))))))),""),""),"")</f>
        <v/>
      </c>
      <c r="AN441" s="495" t="str">
        <f>IF(ISNUMBER($B$441),
IF($C441&lt;&gt;"",
IF(AND(ISNUMBER(AM$440), AM$440&gt;0),
IF(AND(AN$279=123, Cultivar_1_Cohort_Year_Selection=$AH$278,Cultivar_2_Cohort_Year_Selection=$AH$278,Cultivar_3_Cohort_Year_Selection=$AH$278), ROUND(MAX(0,AM$440 - 3),0),
IF(AND(OR(AN$279=123, AN$279=12), Cultivar_1_Cohort_Year_Selection=$AH$278,Cultivar_2_Cohort_Year_Selection=$AH$278), ROUND(MAX(0,AM$440 - 2),0),
IF(AND(OR(AN$279=123, AN$279=13), Cultivar_1_Cohort_Year_Selection=$AH$278,Cultivar_3_Cohort_Year_Selection=$AH$278), ROUND(MAX(0,AM$440 - 2),0),
IF(AND(OR(AN$279=123, AN$279=23), Cultivar_2_Cohort_Year_Selection=$AH$278,Cultivar_3_Cohort_Year_Selection=$AH$278), ROUND(MAX(0,AM$440 - 2),0),
IF(AND(OR(AN$279=123, AN$279=12, AN$279=13, AN$279=1), Cultivar_1_Cohort_Year_Selection=$AH$278), ROUND(MAX(0,AM$440 - 1),0),
IF(AND(OR(AN$279=123, AN$279=12, AN$279=23, AN$279=2), Cultivar_2_Cohort_Year_Selection=$AH$278), ROUND(MAX(0,AM$440 - 1),0),
IF(AND(OR(AN$279=123, AN$279=13, AN$279=23, AN$279=3), Cultivar_3_Cohort_Year_Selection=$AH$278), ROUND(MAX(0,AM$440 - 1),0),
ROUND(MAX(0,AM$440),0)))))))),""),""),"")</f>
        <v/>
      </c>
      <c r="AO441" s="495" t="str">
        <f>IF(ISNUMBER($B$441),
IF($C441&lt;&gt;"",
IF(AND(ISNUMBER(AN$440), AN$440&gt;0),
IF(AND(AO$279=123, Cultivar_1_Cohort_Year_Selection=$AI$278,Cultivar_2_Cohort_Year_Selection=$AI$278,Cultivar_3_Cohort_Year_Selection=$AI$278), ROUND(MAX(0,AN$440 - 3),0),
IF(AND(OR(AO$279=123, AO$279=12), Cultivar_1_Cohort_Year_Selection=$AI$278,Cultivar_2_Cohort_Year_Selection=$AI$278), ROUND(MAX(0,AN$440 - 2),0),
IF(AND(OR(AO$279=123, AO$279=13), Cultivar_1_Cohort_Year_Selection=$AI$278,Cultivar_3_Cohort_Year_Selection=$AI$278), ROUND(MAX(0,AN$440 - 2),0),
IF(AND(OR(AO$279=123, AO$279=23), Cultivar_2_Cohort_Year_Selection=$AI$278,Cultivar_3_Cohort_Year_Selection=$AI$278), ROUND(MAX(0,AN$440 - 2),0),
IF(AND(OR(AO$279=123, AO$279=12, AO$279=13, AO$279=1), Cultivar_1_Cohort_Year_Selection=$AI$278), ROUND(MAX(0,AN$440 - 1),0),
IF(AND(OR(AO$279=123, AO$279=12, AO$279=23, AO$279=2), Cultivar_2_Cohort_Year_Selection=$AI$278), ROUND(MAX(0,AN$440 - 1),0),
IF(AND(OR(AO$279=123, AO$279=13, AO$279=23, AO$279=3), Cultivar_3_Cohort_Year_Selection=$AI$278), ROUND(MAX(0,AN$440 - 1),0),
ROUND(MAX(0,AN$440),0)))))))),""),""),"")</f>
        <v/>
      </c>
      <c r="AP441" s="495" t="str">
        <f>IF(ISNUMBER($B$441),
IF($C441&lt;&gt;"",
IF(AND(ISNUMBER(AO$440), AO$440&gt;0),
IF(AND(AP$279=123, Cultivar_1_Cohort_Year_Selection=$AJ$278,Cultivar_2_Cohort_Year_Selection=$AJ$278,Cultivar_3_Cohort_Year_Selection=$AJ$278), ROUND(MAX(0,AO$440 - 3),0),
IF(AND(OR(AP$279=123, AP$279=12), Cultivar_1_Cohort_Year_Selection=$AJ$278,Cultivar_2_Cohort_Year_Selection=$AJ$278), ROUND(MAX(0,AO$440 - 2),0),
IF(AND(OR(AP$279=123, AP$279=13), Cultivar_1_Cohort_Year_Selection=$AJ$278,Cultivar_3_Cohort_Year_Selection=$AJ$278), ROUND(MAX(0,AO$440 - 2),0),
IF(AND(OR(AP$279=123, AP$279=23), Cultivar_2_Cohort_Year_Selection=$AJ$278,Cultivar_3_Cohort_Year_Selection=$AJ$278), ROUND(MAX(0,AO$440 - 2),0),
IF(AND(OR(AP$279=123, AP$279=12, AP$279=13, AP$279=1), Cultivar_1_Cohort_Year_Selection=$AJ$278), ROUND(MAX(0,AO$440 - 1),0),
IF(AND(OR(AP$279=123, AP$279=12, AP$279=23, AP$279=2), Cultivar_2_Cohort_Year_Selection=$AJ$278), ROUND(MAX(0,AO$440 - 1),0),
IF(AND(OR(AP$279=123, AP$279=13, AP$279=23, AP$279=3), Cultivar_3_Cohort_Year_Selection=$AJ$278), ROUND(MAX(0,AO$440 - 1),0),
ROUND(MAX(0,AO$440),0)))))))),""),""),"")</f>
        <v/>
      </c>
      <c r="AQ441" s="495" t="str">
        <f>IF(ISNUMBER($B$441),
IF($C441&lt;&gt;"",
IF(AND(ISNUMBER(AP$440), AP$440&gt;0),
IF(AND(AQ$279=123, Cultivar_1_Cohort_Year_Selection=$AK$278,Cultivar_2_Cohort_Year_Selection=$AK$278,Cultivar_3_Cohort_Year_Selection=$AK$278), ROUND(MAX(0,AP$440 - 3),0),
IF(AND(OR(AQ$279=123, AQ$279=12), Cultivar_1_Cohort_Year_Selection=$AK$278,Cultivar_2_Cohort_Year_Selection=$AK$278), ROUND(MAX(0,AP$440 - 2),0),
IF(AND(OR(AQ$279=123, AQ$279=13), Cultivar_1_Cohort_Year_Selection=$AK$278,Cultivar_3_Cohort_Year_Selection=$AK$278), ROUND(MAX(0,AP$440 - 2),0),
IF(AND(OR(AQ$279=123, AQ$279=23), Cultivar_2_Cohort_Year_Selection=$AK$278,Cultivar_3_Cohort_Year_Selection=$AK$278), ROUND(MAX(0,AP$440 - 2),0),
IF(AND(OR(AQ$279=123, AQ$279=12, AQ$279=13, AQ$279=1), Cultivar_1_Cohort_Year_Selection=$AK$278), ROUND(MAX(0,AP$440 - 1),0),
IF(AND(OR(AQ$279=123, AQ$279=12, AQ$279=23, AQ$279=2), Cultivar_2_Cohort_Year_Selection=$AK$278), ROUND(MAX(0,AP$440 - 1),0),
IF(AND(OR(AQ$279=123, AQ$279=13, AQ$279=23, AQ$279=3), Cultivar_3_Cohort_Year_Selection=$AK$278), ROUND(MAX(0,AP$440 - 1),0),
ROUND(MAX(0,AP$440),0)))))))),""),""),"")</f>
        <v/>
      </c>
      <c r="AR441" s="495" t="str">
        <f>IF(ISNUMBER($B$441),
IF($C441&lt;&gt;"",
IF(AND(ISNUMBER(AQ$440), AQ$440&gt;0),
IF(AND(AR$279=123, Cultivar_1_Cohort_Year_Selection=$AL$278,Cultivar_2_Cohort_Year_Selection=$AL$278,Cultivar_3_Cohort_Year_Selection=$AL$278), ROUND(MAX(0,AQ$440 - 3),0),
IF(AND(OR(AR$279=123, AR$279=12), Cultivar_1_Cohort_Year_Selection=$AL$278,Cultivar_2_Cohort_Year_Selection=$AL$278), ROUND(MAX(0,AQ$440 - 2),0),
IF(AND(OR(AR$279=123, AR$279=13), Cultivar_1_Cohort_Year_Selection=$AL$278,Cultivar_3_Cohort_Year_Selection=$AL$278), ROUND(MAX(0,AQ$440 - 2),0),
IF(AND(OR(AR$279=123, AR$279=23), Cultivar_2_Cohort_Year_Selection=$AL$278,Cultivar_3_Cohort_Year_Selection=$AL$278), ROUND(MAX(0,AQ$440 - 2),0),
IF(AND(OR(AR$279=123, AR$279=12, AR$279=13, AR$279=1), Cultivar_1_Cohort_Year_Selection=$AL$278), ROUND(MAX(0,AQ$440 - 1),0),
IF(AND(OR(AR$279=123, AR$279=12, AR$279=23, AR$279=2), Cultivar_2_Cohort_Year_Selection=$AL$278), ROUND(MAX(0,AQ$440 - 1),0),
IF(AND(OR(AR$279=123, AR$279=13, AR$279=23, AR$279=3), Cultivar_3_Cohort_Year_Selection=$AL$278), ROUND(MAX(0,AQ$440 - 1),0),
ROUND(MAX(0,AQ$440),0)))))))),""),""),"")</f>
        <v/>
      </c>
      <c r="AS441" s="495" t="str">
        <f>IF(ISNUMBER($B$441),
IF($C441&lt;&gt;"",
IF(AND(ISNUMBER(AR$440), AR$440&gt;0),
IF(AND(AS$279=123, Cultivar_1_Cohort_Year_Selection=$AM$278,Cultivar_2_Cohort_Year_Selection=$AM$278,Cultivar_3_Cohort_Year_Selection=$AM$278), ROUND(MAX(0,AR$440 - 3),0),
IF(AND(OR(AS$279=123, AS$279=12), Cultivar_1_Cohort_Year_Selection=$AM$278,Cultivar_2_Cohort_Year_Selection=$AM$278), ROUND(MAX(0,AR$440 - 2),0),
IF(AND(OR(AS$279=123, AS$279=13), Cultivar_1_Cohort_Year_Selection=$AM$278,Cultivar_3_Cohort_Year_Selection=$AM$278), ROUND(MAX(0,AR$440 - 2),0),
IF(AND(OR(AS$279=123, AS$279=23), Cultivar_2_Cohort_Year_Selection=$AM$278,Cultivar_3_Cohort_Year_Selection=$AM$278), ROUND(MAX(0,AR$440 - 2),0),
IF(AND(OR(AS$279=123, AS$279=12, AS$279=13, AS$279=1), Cultivar_1_Cohort_Year_Selection=$AM$278), ROUND(MAX(0,AR$440 - 1),0),
IF(AND(OR(AS$279=123, AS$279=12, AS$279=23, AS$279=2), Cultivar_2_Cohort_Year_Selection=$AM$278), ROUND(MAX(0,AR$440 - 1),0),
IF(AND(OR(AS$279=123, AS$279=13, AS$279=23, AS$279=3), Cultivar_3_Cohort_Year_Selection=$AM$278), ROUND(MAX(0,AR$440 - 1),0),
ROUND(MAX(0,AR$440),0)))))))),""),""),"")</f>
        <v/>
      </c>
      <c r="AT441" s="495" t="str">
        <f>IF(ISNUMBER($B$441),
IF($C441&lt;&gt;"",
IF(AND(ISNUMBER(AS$440), AS$440&gt;0),
IF(AND(AT$279=123, Cultivar_1_Cohort_Year_Selection=$AN$278,Cultivar_2_Cohort_Year_Selection=$AN$278,Cultivar_3_Cohort_Year_Selection=$AN$278), ROUND(MAX(0,AS$440 - 3),0),
IF(AND(OR(AT$279=123, AT$279=12), Cultivar_1_Cohort_Year_Selection=$AN$278,Cultivar_2_Cohort_Year_Selection=$AN$278), ROUND(MAX(0,AS$440 - 2),0),
IF(AND(OR(AT$279=123, AT$279=13), Cultivar_1_Cohort_Year_Selection=$AN$278,Cultivar_3_Cohort_Year_Selection=$AN$278), ROUND(MAX(0,AS$440 - 2),0),
IF(AND(OR(AT$279=123, AT$279=23), Cultivar_2_Cohort_Year_Selection=$AN$278,Cultivar_3_Cohort_Year_Selection=$AN$278), ROUND(MAX(0,AS$440 - 2),0),
IF(AND(OR(AT$279=123, AT$279=12, AT$279=13, AT$279=1), Cultivar_1_Cohort_Year_Selection=$AN$278), ROUND(MAX(0,AS$440 - 1),0),
IF(AND(OR(AT$279=123, AT$279=12, AT$279=23, AT$279=2), Cultivar_2_Cohort_Year_Selection=$AN$278), ROUND(MAX(0,AS$440 - 1),0),
IF(AND(OR(AT$279=123, AT$279=13, AT$279=23, AT$279=3), Cultivar_3_Cohort_Year_Selection=$AN$278), ROUND(MAX(0,AS$440 - 1),0),
ROUND(MAX(0,AS$440),0)))))))),""),""),"")</f>
        <v/>
      </c>
      <c r="AU441" s="495" t="str">
        <f>IF(ISNUMBER($B$441),
IF($C441&lt;&gt;"",
IF(AND(ISNUMBER(AT$440), AT$440&gt;0),
IF(AND(AU$279=123, Cultivar_1_Cohort_Year_Selection=$AO$278,Cultivar_2_Cohort_Year_Selection=$AO$278,Cultivar_3_Cohort_Year_Selection=$AO$278), ROUND(MAX(0,AT$440 - 3),0),
IF(AND(OR(AU$279=123, AU$279=12), Cultivar_1_Cohort_Year_Selection=$AO$278,Cultivar_2_Cohort_Year_Selection=$AO$278), ROUND(MAX(0,AT$440 - 2),0),
IF(AND(OR(AU$279=123, AU$279=13), Cultivar_1_Cohort_Year_Selection=$AO$278,Cultivar_3_Cohort_Year_Selection=$AO$278), ROUND(MAX(0,AT$440 - 2),0),
IF(AND(OR(AU$279=123, AU$279=23), Cultivar_2_Cohort_Year_Selection=$AO$278,Cultivar_3_Cohort_Year_Selection=$AO$278), ROUND(MAX(0,AT$440 - 2),0),
IF(AND(OR(AU$279=123, AU$279=12, AU$279=13, AU$279=1), Cultivar_1_Cohort_Year_Selection=$AO$278), ROUND(MAX(0,AT$440 - 1),0),
IF(AND(OR(AU$279=123, AU$279=12, AU$279=23, AU$279=2), Cultivar_2_Cohort_Year_Selection=$AO$278), ROUND(MAX(0,AT$440 - 1),0),
IF(AND(OR(AU$279=123, AU$279=13, AU$279=23, AU$279=3), Cultivar_3_Cohort_Year_Selection=$AO$278), ROUND(MAX(0,AT$440 - 1),0),
ROUND(MAX(0,AT$440),0)))))))),""),""),"")</f>
        <v/>
      </c>
      <c r="AV441" s="495" t="str">
        <f>IF(ISNUMBER($B$441),
IF($C441&lt;&gt;"",
IF(AND(ISNUMBER(AU$440), AU$440&gt;0),
IF(AND(AV$279=123, Cultivar_1_Cohort_Year_Selection=$AP$278,Cultivar_2_Cohort_Year_Selection=$AP$278,Cultivar_3_Cohort_Year_Selection=$AP$278), ROUND(MAX(0,AU$440 - 3),0),
IF(AND(OR(AV$279=123, AV$279=12), Cultivar_1_Cohort_Year_Selection=$AP$278,Cultivar_2_Cohort_Year_Selection=$AP$278), ROUND(MAX(0,AU$440 - 2),0),
IF(AND(OR(AV$279=123, AV$279=13), Cultivar_1_Cohort_Year_Selection=$AP$278,Cultivar_3_Cohort_Year_Selection=$AP$278), ROUND(MAX(0,AU$440 - 2),0),
IF(AND(OR(AV$279=123, AV$279=23), Cultivar_2_Cohort_Year_Selection=$AP$278,Cultivar_3_Cohort_Year_Selection=$AP$278), ROUND(MAX(0,AU$440 - 2),0),
IF(AND(OR(AV$279=123, AV$279=12, AV$279=13, AV$279=1), Cultivar_1_Cohort_Year_Selection=$AP$278), ROUND(MAX(0,AU$440 - 1),0),
IF(AND(OR(AV$279=123, AV$279=12, AV$279=23, AV$279=2), Cultivar_2_Cohort_Year_Selection=$AP$278), ROUND(MAX(0,AU$440 - 1),0),
IF(AND(OR(AV$279=123, AV$279=13, AV$279=23, AV$279=3), Cultivar_3_Cohort_Year_Selection=$AP$278), ROUND(MAX(0,AU$440 - 1),0),
ROUND(MAX(0,AU$440),0)))))))),""),""),"")</f>
        <v/>
      </c>
    </row>
    <row r="442" spans="1:48" x14ac:dyDescent="0.25">
      <c r="A442" s="518"/>
      <c r="B442" s="504"/>
      <c r="C442" s="521"/>
      <c r="D442" s="94" t="str">
        <f>IF(AND(C441&lt;&gt;"", 'Cost Inputs'!$G$106&lt;&gt;""), 'Cost Inputs'!$G$106, "")</f>
        <v/>
      </c>
      <c r="E442" s="94" t="str">
        <f>IF(AND(C441&lt;&gt;"", 'Cost Inputs'!H257&lt;&gt;""), 'Cost Inputs'!H257, "")</f>
        <v/>
      </c>
      <c r="F442" s="492"/>
      <c r="G442" s="102" t="str">
        <f t="shared" si="152"/>
        <v/>
      </c>
      <c r="H442" s="492"/>
      <c r="I442" s="102" t="str">
        <f>IF($C441&lt;&gt;"", IF(AND($E442&lt;&gt;"", H441&lt;&gt;""), H441/($E441*$E442), 0), "")</f>
        <v/>
      </c>
      <c r="J442" s="492" t="str">
        <f>IF(AND(C442&lt;&gt;"",('Cost Inputs'!$I$86+'Cost Inputs'!$J$86+'Cost Inputs'!$K$86)&gt;0), 'Cost Inputs'!$I$86+'Cost Inputs'!$J$86+'Cost Inputs'!$K$86, "")</f>
        <v/>
      </c>
      <c r="K442" s="102" t="str">
        <f>IF($C441&lt;&gt;"", IF(AND($E442&lt;&gt;"", J441&lt;&gt;""), J441/($E441*$E442), 0), "")</f>
        <v/>
      </c>
      <c r="L442" s="525"/>
      <c r="M442" s="525"/>
      <c r="U442" s="496" t="str">
        <f t="shared" ref="U442" si="212">IF(ISNUMBER($B$345),
IF($C442&lt;&gt;"",
IF(AND(ISNUMBER(T$368), T$368&gt;0),
IF(AND(U$279=123, Cultivar_1_Cohort_Year_Selection=$O$278,Cultivar_2_Cohort_Year_Selection=$O$278,Cultivar_3_Cohort_Year_Selection=$O$278), ROUND(MAX(0,T$368 - 3),0),
IF(AND(OR(U$279=123, U$279=12), Cultivar_1_Cohort_Year_Selection=$O$278,Cultivar_2_Cohort_Year_Selection=$O$278), ROUND(MAX(0,T$368 - 2),0),
IF(AND(OR(U$279=123, U$279=13), Cultivar_1_Cohort_Year_Selection=$O$278,Cultivar_3_Cohort_Year_Selection=$O$278), ROUND(MAX(0,T$368 - 2),0),
IF(AND(OR(U$279=123, U$279=23), Cultivar_2_Cohort_Year_Selection=$O$278,Cultivar_3_Cohort_Year_Selection=$O$278), ROUND(MAX(0,T$368 - 2),0),
IF(AND(OR(U$279=123, U$279=12, U$279=13, U$279=1), Cultivar_1_Cohort_Year_Selection=$O$278), ROUND(MAX(0,T$368 - 1),0),
IF(AND(OR(U$279=123, U$279=12, U$279=23, U$279=2), Cultivar_2_Cohort_Year_Selection=$O$278), ROUND(MAX(0,T$368 - 1),0),
IF(AND(OR(U$279=123, U$279=13, U$279=23, U$279=3), Cultivar_3_Cohort_Year_Selection=$O$278), ROUND(MAX(0,T$368 - 1),0),
ROUND(MAX(0,T$368),0)))))))),""),""),"")</f>
        <v/>
      </c>
      <c r="V442" s="496" t="str">
        <f t="shared" ref="V442:AU442" si="213">IF(ISNUMBER($B$345),
IF($C442&lt;&gt;"",
IF(AND(ISNUMBER(U$368), U$368&gt;0),
IF(AND(V$279=123, Cultivar_1_Cohort_Year_Selection=$O$278,Cultivar_2_Cohort_Year_Selection=$O$278,Cultivar_3_Cohort_Year_Selection=$O$278), ROUND(MAX(0,U$368 - 3),0),
IF(AND(OR(V$279=123, V$279=12), Cultivar_1_Cohort_Year_Selection=$O$278,Cultivar_2_Cohort_Year_Selection=$O$278), ROUND(MAX(0,U$368 - 2),0),
IF(AND(OR(V$279=123, V$279=13), Cultivar_1_Cohort_Year_Selection=$O$278,Cultivar_3_Cohort_Year_Selection=$O$278), ROUND(MAX(0,U$368 - 2),0),
IF(AND(OR(V$279=123, V$279=23), Cultivar_2_Cohort_Year_Selection=$O$278,Cultivar_3_Cohort_Year_Selection=$O$278), ROUND(MAX(0,U$368 - 2),0),
IF(AND(OR(V$279=123, V$279=12, V$279=13, V$279=1), Cultivar_1_Cohort_Year_Selection=$O$278), ROUND(MAX(0,U$368 - 1),0),
IF(AND(OR(V$279=123, V$279=12, V$279=23, V$279=2), Cultivar_2_Cohort_Year_Selection=$O$278), ROUND(MAX(0,U$368 - 1),0),
IF(AND(OR(V$279=123, V$279=13, V$279=23, V$279=3), Cultivar_3_Cohort_Year_Selection=$O$278), ROUND(MAX(0,U$368 - 1),0),
ROUND(MAX(0,U$368),0)))))))),""),""),"")</f>
        <v/>
      </c>
      <c r="W442" s="496" t="str">
        <f t="shared" si="213"/>
        <v/>
      </c>
      <c r="X442" s="496" t="str">
        <f t="shared" si="213"/>
        <v/>
      </c>
      <c r="Y442" s="496" t="str">
        <f t="shared" si="213"/>
        <v/>
      </c>
      <c r="Z442" s="496" t="str">
        <f t="shared" si="213"/>
        <v/>
      </c>
      <c r="AA442" s="496" t="str">
        <f t="shared" si="213"/>
        <v/>
      </c>
      <c r="AB442" s="496" t="str">
        <f t="shared" si="213"/>
        <v/>
      </c>
      <c r="AC442" s="496" t="str">
        <f t="shared" si="213"/>
        <v/>
      </c>
      <c r="AD442" s="496" t="str">
        <f t="shared" si="213"/>
        <v/>
      </c>
      <c r="AE442" s="496" t="str">
        <f t="shared" si="213"/>
        <v/>
      </c>
      <c r="AF442" s="496" t="str">
        <f t="shared" si="213"/>
        <v/>
      </c>
      <c r="AG442" s="496" t="str">
        <f t="shared" si="213"/>
        <v/>
      </c>
      <c r="AH442" s="496" t="str">
        <f t="shared" si="213"/>
        <v/>
      </c>
      <c r="AI442" s="496" t="str">
        <f t="shared" si="213"/>
        <v/>
      </c>
      <c r="AJ442" s="496" t="str">
        <f t="shared" si="213"/>
        <v/>
      </c>
      <c r="AK442" s="496" t="str">
        <f t="shared" si="213"/>
        <v/>
      </c>
      <c r="AL442" s="496" t="str">
        <f t="shared" si="213"/>
        <v/>
      </c>
      <c r="AM442" s="496" t="str">
        <f t="shared" si="213"/>
        <v/>
      </c>
      <c r="AN442" s="496" t="str">
        <f t="shared" si="213"/>
        <v/>
      </c>
      <c r="AO442" s="496" t="str">
        <f t="shared" si="213"/>
        <v/>
      </c>
      <c r="AP442" s="496" t="str">
        <f t="shared" si="213"/>
        <v/>
      </c>
      <c r="AQ442" s="496" t="str">
        <f t="shared" si="213"/>
        <v/>
      </c>
      <c r="AR442" s="496" t="str">
        <f t="shared" si="213"/>
        <v/>
      </c>
      <c r="AS442" s="496" t="str">
        <f t="shared" si="213"/>
        <v/>
      </c>
      <c r="AT442" s="496" t="str">
        <f t="shared" si="213"/>
        <v/>
      </c>
      <c r="AU442" s="496" t="str">
        <f t="shared" si="213"/>
        <v/>
      </c>
      <c r="AV442" s="496" t="str">
        <f t="shared" ref="AV442" si="214">IF(ISNUMBER($B$345),
IF($C442&lt;&gt;"",
IF(AND(ISNUMBER(AU$368), AU$368&gt;0),
IF(AND(AV$279=123, Cultivar_1_Cohort_Year_Selection=$O$278,Cultivar_2_Cohort_Year_Selection=$O$278,Cultivar_3_Cohort_Year_Selection=$O$278), ROUND(MAX(0,AU$368 - 3),0),
IF(AND(OR(AV$279=123, AV$279=12), Cultivar_1_Cohort_Year_Selection=$O$278,Cultivar_2_Cohort_Year_Selection=$O$278), ROUND(MAX(0,AU$368 - 2),0),
IF(AND(OR(AV$279=123, AV$279=13), Cultivar_1_Cohort_Year_Selection=$O$278,Cultivar_3_Cohort_Year_Selection=$O$278), ROUND(MAX(0,AU$368 - 2),0),
IF(AND(OR(AV$279=123, AV$279=23), Cultivar_2_Cohort_Year_Selection=$O$278,Cultivar_3_Cohort_Year_Selection=$O$278), ROUND(MAX(0,AU$368 - 2),0),
IF(AND(OR(AV$279=123, AV$279=12, AV$279=13, AV$279=1), Cultivar_1_Cohort_Year_Selection=$O$278), ROUND(MAX(0,AU$368 - 1),0),
IF(AND(OR(AV$279=123, AV$279=12, AV$279=23, AV$279=2), Cultivar_2_Cohort_Year_Selection=$O$278), ROUND(MAX(0,AU$368 - 1),0),
IF(AND(OR(AV$279=123, AV$279=13, AV$279=23, AV$279=3), Cultivar_3_Cohort_Year_Selection=$O$278), ROUND(MAX(0,AU$368 - 1),0),
ROUND(MAX(0,AU$368),0)))))))),""),""),"")</f>
        <v/>
      </c>
    </row>
    <row r="443" spans="1:48" x14ac:dyDescent="0.25">
      <c r="A443" s="518"/>
      <c r="B443" s="504"/>
      <c r="C443" s="104" t="str">
        <f>IF(AND(ISNUMBER(B441), OR('Cost Inputs'!$H$107&lt;&gt;"", 'Cost Inputs'!$I$107&lt;&gt;"", 'Cost Inputs'!$J$107&lt;&gt;"")), _4_3_1, "")</f>
        <v/>
      </c>
      <c r="D443" s="17" t="str">
        <f>IF(AND(C443&lt;&gt;"", 'Cost Inputs'!$G$107&lt;&gt;""), 'Cost Inputs'!$G$107, "")</f>
        <v/>
      </c>
      <c r="E443" s="17" t="str">
        <f>IF(AND(C443&lt;&gt;"", 'Cost Inputs'!$H$107&lt;&gt;""), 'Cost Inputs'!$H$107, "")</f>
        <v/>
      </c>
      <c r="F443" s="17" t="str">
        <f>IF(AND(C443&lt;&gt;"", 'Cost Inputs'!$I$107&lt;&gt;""), 'Cost Inputs'!$I$107, "")</f>
        <v/>
      </c>
      <c r="G443" s="105" t="str">
        <f t="shared" si="152"/>
        <v/>
      </c>
      <c r="H443" s="17" t="str">
        <f>IF(AND(C443&lt;&gt;"", 'Cost Inputs'!$J$107&lt;&gt;""), 'Cost Inputs'!$J$107, "")</f>
        <v/>
      </c>
      <c r="I443" s="17" t="str">
        <f t="shared" ref="I443:I451" si="215">IF($C443&lt;&gt;"", IF(AND($E443&lt;&gt;"", H443&lt;&gt;""), H443/$E443, 0),"")</f>
        <v/>
      </c>
      <c r="J443" s="17" t="str">
        <f>IF(AND(C443&lt;&gt;"",('Cost Inputs'!$I$107+'Cost Inputs'!$J$107+'Cost Inputs'!$K$107)&gt;0), 'Cost Inputs'!$I$107+'Cost Inputs'!$J$107+'Cost Inputs'!$K$107, "")</f>
        <v/>
      </c>
      <c r="K443" s="17" t="str">
        <f t="shared" ref="K443:K451" si="216">IF($C443&lt;&gt;"", IF(AND($E443&lt;&gt;"", J443&lt;&gt;""), J443/$E443, 0),"")</f>
        <v/>
      </c>
      <c r="L443" s="525"/>
      <c r="M443" s="525"/>
      <c r="U443" s="17" t="str">
        <f t="shared" ref="U443:U451" si="217">IF(ISNUMBER($B$441),
IF($C443&lt;&gt;"",
IF(AND(ISNUMBER(T$440), T$440&gt;0),
IF(AND(U$279=123, Cultivar_1_Cohort_Year_Selection=$O$278,Cultivar_2_Cohort_Year_Selection=$O$278,Cultivar_3_Cohort_Year_Selection=$O$278), ROUND(MAX(0,T$440 - 3),0),
IF(AND(OR(U$279=123, U$279=12), Cultivar_1_Cohort_Year_Selection=$O$278,Cultivar_2_Cohort_Year_Selection=$O$278), ROUND(MAX(0,T$440 - 2),0),
IF(AND(OR(U$279=123, U$279=13), Cultivar_1_Cohort_Year_Selection=$O$278,Cultivar_3_Cohort_Year_Selection=$O$278), ROUND(MAX(0,T$440 - 2),0),
IF(AND(OR(U$279=123, U$279=23), Cultivar_2_Cohort_Year_Selection=$O$278,Cultivar_3_Cohort_Year_Selection=$O$278), ROUND(MAX(0,T$440 - 2),0),
IF(AND(OR(U$279=123, U$279=12, U$279=13, U$279=1), Cultivar_1_Cohort_Year_Selection=$O$278), ROUND(MAX(0,T$440 - 1),0),
IF(AND(OR(U$279=123, U$279=12, U$279=23, U$279=2), Cultivar_2_Cohort_Year_Selection=$O$278), ROUND(MAX(0,T$440 - 1),0),
IF(AND(OR(U$279=123, U$279=13, U$279=23, U$279=3), Cultivar_3_Cohort_Year_Selection=$O$278), ROUND(MAX(0,T$440 - 1),0),
ROUND(MAX(0,T$440),0)))))))),""),""),"")</f>
        <v/>
      </c>
      <c r="V443" s="17" t="str">
        <f t="shared" ref="V443:V451" si="218">IF(ISNUMBER($B$441),
IF($C443&lt;&gt;"",
IF(AND(ISNUMBER(U$440), U$440&gt;0),
IF(AND(V$279=123, Cultivar_1_Cohort_Year_Selection=$P$278,Cultivar_2_Cohort_Year_Selection=$P$278,Cultivar_3_Cohort_Year_Selection=$P$278), ROUND(MAX(0,U$440 - 3),0),
IF(AND(OR(V$279=123, V$279=12), Cultivar_1_Cohort_Year_Selection=$P$278,Cultivar_2_Cohort_Year_Selection=$P$278), ROUND(MAX(0,U$440 - 2),0),
IF(AND(OR(V$279=123, V$279=13), Cultivar_1_Cohort_Year_Selection=$P$278,Cultivar_3_Cohort_Year_Selection=$P$278), ROUND(MAX(0,U$440 - 2),0),
IF(AND(OR(V$279=123, V$279=23), Cultivar_2_Cohort_Year_Selection=$P$278,Cultivar_3_Cohort_Year_Selection=$P$278), ROUND(MAX(0,U$440 - 2),0),
IF(AND(OR(V$279=123, V$279=12, V$279=13, V$279=1), Cultivar_1_Cohort_Year_Selection=$P$278), ROUND(MAX(0,U$440 - 1),0),
IF(AND(OR(V$279=123, V$279=12, V$279=23, V$279=2), Cultivar_2_Cohort_Year_Selection=$P$278), ROUND(MAX(0,U$440 - 1),0),
IF(AND(OR(V$279=123, V$279=13, V$279=23, V$279=3), Cultivar_3_Cohort_Year_Selection=$P$278), ROUND(MAX(0,U$440 - 1),0),
ROUND(MAX(0,U$440),0)))))))),""),""),"")</f>
        <v/>
      </c>
      <c r="W443" s="17" t="str">
        <f t="shared" ref="W443:W451" si="219">IF(ISNUMBER($B$441),
IF($C443&lt;&gt;"",
IF(AND(ISNUMBER(V$440), V$440&gt;0),
IF(AND(W$279=123, Cultivar_1_Cohort_Year_Selection=$Q$278,Cultivar_2_Cohort_Year_Selection=$Q$278,Cultivar_3_Cohort_Year_Selection=$Q$278), ROUND(MAX(0,V$440 - 3),0),
IF(AND(OR(W$279=123, W$279=12), Cultivar_1_Cohort_Year_Selection=$Q$278,Cultivar_2_Cohort_Year_Selection=$Q$278), ROUND(MAX(0,V$440 - 2),0),
IF(AND(OR(W$279=123, W$279=13), Cultivar_1_Cohort_Year_Selection=$Q$278,Cultivar_3_Cohort_Year_Selection=$Q$278), ROUND(MAX(0,V$440 - 2),0),
IF(AND(OR(W$279=123, W$279=23), Cultivar_2_Cohort_Year_Selection=$Q$278,Cultivar_3_Cohort_Year_Selection=$Q$278), ROUND(MAX(0,V$440 - 2),0),
IF(AND(OR(W$279=123, W$279=12, W$279=13, W$279=1), Cultivar_1_Cohort_Year_Selection=$Q$278), ROUND(MAX(0,V$440 - 1),0),
IF(AND(OR(W$279=123, W$279=12, W$279=23, W$279=2), Cultivar_2_Cohort_Year_Selection=$Q$278), ROUND(MAX(0,V$440 - 1),0),
IF(AND(OR(W$279=123, W$279=13, W$279=23, W$279=3), Cultivar_3_Cohort_Year_Selection=$Q$278), ROUND(MAX(0,V$440 - 1),0),
ROUND(MAX(0,V$440),0)))))))),""),""),"")</f>
        <v/>
      </c>
      <c r="X443" s="17" t="str">
        <f t="shared" ref="X443:X451" si="220">IF(ISNUMBER($B$441),
IF($C443&lt;&gt;"",
IF(AND(ISNUMBER(W$440), W$440&gt;0),
IF(AND(X$279=123, Cultivar_1_Cohort_Year_Selection=$R$278,Cultivar_2_Cohort_Year_Selection=$R$278,Cultivar_3_Cohort_Year_Selection=$R$278), ROUND(MAX(0,W$440 - 3),0),
IF(AND(OR(X$279=123, X$279=12), Cultivar_1_Cohort_Year_Selection=$R$278,Cultivar_2_Cohort_Year_Selection=$R$278), ROUND(MAX(0,W$440 - 2),0),
IF(AND(OR(X$279=123, X$279=13), Cultivar_1_Cohort_Year_Selection=$R$278,Cultivar_3_Cohort_Year_Selection=$R$278), ROUND(MAX(0,W$440 - 2),0),
IF(AND(OR(X$279=123, X$279=23), Cultivar_2_Cohort_Year_Selection=$R$278,Cultivar_3_Cohort_Year_Selection=$R$278), ROUND(MAX(0,W$440 - 2),0),
IF(AND(OR(X$279=123, X$279=12, X$279=13, X$279=1), Cultivar_1_Cohort_Year_Selection=$R$278), ROUND(MAX(0,W$440 - 1),0),
IF(AND(OR(X$279=123, X$279=12, X$279=23, X$279=2), Cultivar_2_Cohort_Year_Selection=$R$278), ROUND(MAX(0,W$440 - 1),0),
IF(AND(OR(X$279=123, X$279=13, X$279=23, X$279=3), Cultivar_3_Cohort_Year_Selection=$R$278), ROUND(MAX(0,W$440 - 1),0),
ROUND(MAX(0,W$440),0)))))))),""),""),"")</f>
        <v/>
      </c>
      <c r="Y443" s="17" t="str">
        <f t="shared" ref="Y443:Y451" si="221">IF(ISNUMBER($B$441),
IF($C443&lt;&gt;"",
IF(AND(ISNUMBER(X$440), X$440&gt;0),
IF(AND(Y$279=123, Cultivar_1_Cohort_Year_Selection=$S$278,Cultivar_2_Cohort_Year_Selection=$S$278,Cultivar_3_Cohort_Year_Selection=$S$278), ROUND(MAX(0,X$440 - 3),0),
IF(AND(OR(Y$279=123, Y$279=12), Cultivar_1_Cohort_Year_Selection=$S$278,Cultivar_2_Cohort_Year_Selection=$S$278), ROUND(MAX(0,X$440 - 2),0),
IF(AND(OR(Y$279=123, Y$279=13), Cultivar_1_Cohort_Year_Selection=$S$278,Cultivar_3_Cohort_Year_Selection=$S$278), ROUND(MAX(0,X$440 - 2),0),
IF(AND(OR(Y$279=123, Y$279=23), Cultivar_2_Cohort_Year_Selection=$S$278,Cultivar_3_Cohort_Year_Selection=$S$278), ROUND(MAX(0,X$440 - 2),0),
IF(AND(OR(Y$279=123, Y$279=12, Y$279=13, Y$279=1), Cultivar_1_Cohort_Year_Selection=$S$278), ROUND(MAX(0,X$440 - 1),0),
IF(AND(OR(Y$279=123, Y$279=12, Y$279=23, Y$279=2), Cultivar_2_Cohort_Year_Selection=$S$278), ROUND(MAX(0,X$440 - 1),0),
IF(AND(OR(Y$279=123, Y$279=13, Y$279=23, Y$279=3), Cultivar_3_Cohort_Year_Selection=$S$278), ROUND(MAX(0,X$440 - 1),0),
ROUND(MAX(0,X$440),0)))))))),""),""),"")</f>
        <v/>
      </c>
      <c r="Z443" s="17" t="str">
        <f t="shared" ref="Z443:Z451" si="222">IF(ISNUMBER($B$441),
IF($C443&lt;&gt;"",
IF(AND(ISNUMBER(Y$440), Y$440&gt;0),
IF(AND(Z$279=123, Cultivar_1_Cohort_Year_Selection=$T$278,Cultivar_2_Cohort_Year_Selection=$T$278,Cultivar_3_Cohort_Year_Selection=$T$278), ROUND(MAX(0,Y$440 - 3),0),
IF(AND(OR(Z$279=123, Z$279=12), Cultivar_1_Cohort_Year_Selection=$T$278,Cultivar_2_Cohort_Year_Selection=$T$278), ROUND(MAX(0,Y$440 - 2),0),
IF(AND(OR(Z$279=123, Z$279=13), Cultivar_1_Cohort_Year_Selection=$T$278,Cultivar_3_Cohort_Year_Selection=$T$278), ROUND(MAX(0,Y$440 - 2),0),
IF(AND(OR(Z$279=123, Z$279=23), Cultivar_2_Cohort_Year_Selection=$T$278,Cultivar_3_Cohort_Year_Selection=$T$278), ROUND(MAX(0,Y$440 - 2),0),
IF(AND(OR(Z$279=123, Z$279=12, Z$279=13, Z$279=1), Cultivar_1_Cohort_Year_Selection=$T$278), ROUND(MAX(0,Y$440 - 1),0),
IF(AND(OR(Z$279=123, Z$279=12, Z$279=23, Z$279=2), Cultivar_2_Cohort_Year_Selection=$T$278), ROUND(MAX(0,Y$440 - 1),0),
IF(AND(OR(Z$279=123, Z$279=13, Z$279=23, Z$279=3), Cultivar_3_Cohort_Year_Selection=$T$278), ROUND(MAX(0,Y$440 - 1),0),
ROUND(MAX(0,Y$440),0)))))))),""),""),"")</f>
        <v/>
      </c>
      <c r="AA443" s="17" t="str">
        <f t="shared" ref="AA443:AA451" si="223">IF(ISNUMBER($B$441),
IF($C443&lt;&gt;"",
IF(AND(ISNUMBER(Z$440), Z$440&gt;0),
IF(AND(AA$279=123, Cultivar_1_Cohort_Year_Selection=$U$278,Cultivar_2_Cohort_Year_Selection=$U$278,Cultivar_3_Cohort_Year_Selection=$U$278), ROUND(MAX(0,Z$440 - 3),0),
IF(AND(OR(AA$279=123, AA$279=12), Cultivar_1_Cohort_Year_Selection=$U$278,Cultivar_2_Cohort_Year_Selection=$U$278), ROUND(MAX(0,Z$440 - 2),0),
IF(AND(OR(AA$279=123, AA$279=13), Cultivar_1_Cohort_Year_Selection=$U$278,Cultivar_3_Cohort_Year_Selection=$U$278), ROUND(MAX(0,Z$440 - 2),0),
IF(AND(OR(AA$279=123, AA$279=23), Cultivar_2_Cohort_Year_Selection=$U$278,Cultivar_3_Cohort_Year_Selection=$U$278), ROUND(MAX(0,Z$440 - 2),0),
IF(AND(OR(AA$279=123, AA$279=12, AA$279=13, AA$279=1), Cultivar_1_Cohort_Year_Selection=$U$278), ROUND(MAX(0,Z$440 - 1),0),
IF(AND(OR(AA$279=123, AA$279=12, AA$279=23, AA$279=2), Cultivar_2_Cohort_Year_Selection=$U$278), ROUND(MAX(0,Z$440 - 1),0),
IF(AND(OR(AA$279=123, AA$279=13, AA$279=23, AA$279=3), Cultivar_3_Cohort_Year_Selection=$U$278), ROUND(MAX(0,Z$440 - 1),0),
ROUND(MAX(0,Z$440),0)))))))),""),""),"")</f>
        <v/>
      </c>
      <c r="AB443" s="17" t="str">
        <f t="shared" ref="AB443:AB451" si="224">IF(ISNUMBER($B$441),
IF($C443&lt;&gt;"",
IF(AND(ISNUMBER(AA$440), AA$440&gt;0),
IF(AND(AB$279=123, Cultivar_1_Cohort_Year_Selection=$V$278,Cultivar_2_Cohort_Year_Selection=$V$278,Cultivar_3_Cohort_Year_Selection=$V$278), ROUND(MAX(0,AA$440 - 3),0),
IF(AND(OR(AB$279=123, AB$279=12), Cultivar_1_Cohort_Year_Selection=$V$278,Cultivar_2_Cohort_Year_Selection=$V$278), ROUND(MAX(0,AA$440 - 2),0),
IF(AND(OR(AB$279=123, AB$279=13), Cultivar_1_Cohort_Year_Selection=$V$278,Cultivar_3_Cohort_Year_Selection=$V$278), ROUND(MAX(0,AA$440 - 2),0),
IF(AND(OR(AB$279=123, AB$279=23), Cultivar_2_Cohort_Year_Selection=$V$278,Cultivar_3_Cohort_Year_Selection=$V$278), ROUND(MAX(0,AA$440 - 2),0),
IF(AND(OR(AB$279=123, AB$279=12, AB$279=13, AB$279=1), Cultivar_1_Cohort_Year_Selection=$V$278), ROUND(MAX(0,AA$440 - 1),0),
IF(AND(OR(AB$279=123, AB$279=12, AB$279=23, AB$279=2), Cultivar_2_Cohort_Year_Selection=$V$278), ROUND(MAX(0,AA$440 - 1),0),
IF(AND(OR(AB$279=123, AB$279=13, AB$279=23, AB$279=3), Cultivar_3_Cohort_Year_Selection=$V$278), ROUND(MAX(0,AA$440 - 1),0),
ROUND(MAX(0,AA$440),0)))))))),""),""),"")</f>
        <v/>
      </c>
      <c r="AC443" s="17" t="str">
        <f t="shared" ref="AC443:AC451" si="225">IF(ISNUMBER($B$441),
IF($C443&lt;&gt;"",
IF(AND(ISNUMBER(AB$440), AB$440&gt;0),
IF(AND(AC$279=123, Cultivar_1_Cohort_Year_Selection=$W$278,Cultivar_2_Cohort_Year_Selection=$W$278,Cultivar_3_Cohort_Year_Selection=$W$278), ROUND(MAX(0,AB$440 - 3),0),
IF(AND(OR(AC$279=123, AC$279=12), Cultivar_1_Cohort_Year_Selection=$W$278,Cultivar_2_Cohort_Year_Selection=$W$278), ROUND(MAX(0,AB$440 - 2),0),
IF(AND(OR(AC$279=123, AC$279=13), Cultivar_1_Cohort_Year_Selection=$W$278,Cultivar_3_Cohort_Year_Selection=$W$278), ROUND(MAX(0,AB$440 - 2),0),
IF(AND(OR(AC$279=123, AC$279=23), Cultivar_2_Cohort_Year_Selection=$W$278,Cultivar_3_Cohort_Year_Selection=$W$278), ROUND(MAX(0,AB$440 - 2),0),
IF(AND(OR(AC$279=123, AC$279=12, AC$279=13, AC$279=1), Cultivar_1_Cohort_Year_Selection=$W$278), ROUND(MAX(0,AB$440 - 1),0),
IF(AND(OR(AC$279=123, AC$279=12, AC$279=23, AC$279=2), Cultivar_2_Cohort_Year_Selection=$W$278), ROUND(MAX(0,AB$440 - 1),0),
IF(AND(OR(AC$279=123, AC$279=13, AC$279=23, AC$279=3), Cultivar_3_Cohort_Year_Selection=$W$278), ROUND(MAX(0,AB$440 - 1),0),
ROUND(MAX(0,AB$440),0)))))))),""),""),"")</f>
        <v/>
      </c>
      <c r="AD443" s="17" t="str">
        <f t="shared" ref="AD443:AD451" si="226">IF(ISNUMBER($B$441),
IF($C443&lt;&gt;"",
IF(AND(ISNUMBER(AC$440), AC$440&gt;0),
IF(AND(AD$279=123, Cultivar_1_Cohort_Year_Selection=$X$278,Cultivar_2_Cohort_Year_Selection=$X$278,Cultivar_3_Cohort_Year_Selection=$X$278), ROUND(MAX(0,AC$440 - 3),0),
IF(AND(OR(AD$279=123, AD$279=12), Cultivar_1_Cohort_Year_Selection=$X$278,Cultivar_2_Cohort_Year_Selection=$X$278), ROUND(MAX(0,AC$440 - 2),0),
IF(AND(OR(AD$279=123, AD$279=13), Cultivar_1_Cohort_Year_Selection=$X$278,Cultivar_3_Cohort_Year_Selection=$X$278), ROUND(MAX(0,AC$440 - 2),0),
IF(AND(OR(AD$279=123, AD$279=23), Cultivar_2_Cohort_Year_Selection=$X$278,Cultivar_3_Cohort_Year_Selection=$X$278), ROUND(MAX(0,AC$440 - 2),0),
IF(AND(OR(AD$279=123, AD$279=12, AD$279=13, AD$279=1), Cultivar_1_Cohort_Year_Selection=$X$278), ROUND(MAX(0,AC$440 - 1),0),
IF(AND(OR(AD$279=123, AD$279=12, AD$279=23, AD$279=2), Cultivar_2_Cohort_Year_Selection=$X$278), ROUND(MAX(0,AC$440 - 1),0),
IF(AND(OR(AD$279=123, AD$279=13, AD$279=23, AD$279=3), Cultivar_3_Cohort_Year_Selection=$X$278), ROUND(MAX(0,AC$440 - 1),0),
ROUND(MAX(0,AC$440),0)))))))),""),""),"")</f>
        <v/>
      </c>
      <c r="AE443" s="17" t="str">
        <f t="shared" ref="AE443:AE451" si="227">IF(ISNUMBER($B$441),
IF($C443&lt;&gt;"",
IF(AND(ISNUMBER(AD$440), AD$440&gt;0),
IF(AND(AE$279=123, Cultivar_1_Cohort_Year_Selection=$Y$278,Cultivar_2_Cohort_Year_Selection=$Y$278,Cultivar_3_Cohort_Year_Selection=$Y$278), ROUND(MAX(0,AD$440 - 3),0),
IF(AND(OR(AE$279=123, AE$279=12), Cultivar_1_Cohort_Year_Selection=$Y$278,Cultivar_2_Cohort_Year_Selection=$Y$278), ROUND(MAX(0,AD$440 - 2),0),
IF(AND(OR(AE$279=123, AE$279=13), Cultivar_1_Cohort_Year_Selection=$Y$278,Cultivar_3_Cohort_Year_Selection=$Y$278), ROUND(MAX(0,AD$440 - 2),0),
IF(AND(OR(AE$279=123, AE$279=23), Cultivar_2_Cohort_Year_Selection=$Y$278,Cultivar_3_Cohort_Year_Selection=$Y$278), ROUND(MAX(0,AD$440 - 2),0),
IF(AND(OR(AE$279=123, AE$279=12, AE$279=13, AE$279=1), Cultivar_1_Cohort_Year_Selection=$Y$278), ROUND(MAX(0,AD$440 - 1),0),
IF(AND(OR(AE$279=123, AE$279=12, AE$279=23, AE$279=2), Cultivar_2_Cohort_Year_Selection=$Y$278), ROUND(MAX(0,AD$440 - 1),0),
IF(AND(OR(AE$279=123, AE$279=13, AE$279=23, AE$279=3), Cultivar_3_Cohort_Year_Selection=$Y$278), ROUND(MAX(0,AD$440 - 1),0),
ROUND(MAX(0,AD$440),0)))))))),""),""),"")</f>
        <v/>
      </c>
      <c r="AF443" s="17" t="str">
        <f t="shared" ref="AF443:AF451" si="228">IF(ISNUMBER($B$441),
IF($C443&lt;&gt;"",
IF(AND(ISNUMBER(AE$440), AE$440&gt;0),
IF(AND(AF$279=123, Cultivar_1_Cohort_Year_Selection=$Z$278,Cultivar_2_Cohort_Year_Selection=$Z$278,Cultivar_3_Cohort_Year_Selection=$Z$278), ROUND(MAX(0,AE$440 - 3),0),
IF(AND(OR(AF$279=123, AF$279=12), Cultivar_1_Cohort_Year_Selection=$Z$278,Cultivar_2_Cohort_Year_Selection=$Z$278), ROUND(MAX(0,AE$440 - 2),0),
IF(AND(OR(AF$279=123, AF$279=13), Cultivar_1_Cohort_Year_Selection=$Z$278,Cultivar_3_Cohort_Year_Selection=$Z$278), ROUND(MAX(0,AE$440 - 2),0),
IF(AND(OR(AF$279=123, AF$279=23), Cultivar_2_Cohort_Year_Selection=$Z$278,Cultivar_3_Cohort_Year_Selection=$Z$278), ROUND(MAX(0,AE$440 - 2),0),
IF(AND(OR(AF$279=123, AF$279=12, AF$279=13, AF$279=1), Cultivar_1_Cohort_Year_Selection=$Z$278), ROUND(MAX(0,AE$440 - 1),0),
IF(AND(OR(AF$279=123, AF$279=12, AF$279=23, AF$279=2), Cultivar_2_Cohort_Year_Selection=$Z$278), ROUND(MAX(0,AE$440 - 1),0),
IF(AND(OR(AF$279=123, AF$279=13, AF$279=23, AF$279=3), Cultivar_3_Cohort_Year_Selection=$Z$278), ROUND(MAX(0,AE$440 - 1),0),
ROUND(MAX(0,AE$440),0)))))))),""),""),"")</f>
        <v/>
      </c>
      <c r="AG443" s="17" t="str">
        <f t="shared" ref="AG443:AG451" si="229">IF(ISNUMBER($B$441),
IF($C443&lt;&gt;"",
IF(AND(ISNUMBER(AF$440), AF$440&gt;0),
IF(AND(AG$279=123, Cultivar_1_Cohort_Year_Selection=$AA$278,Cultivar_2_Cohort_Year_Selection=$AA$278,Cultivar_3_Cohort_Year_Selection=$AA$278), ROUND(MAX(0,AF$440 - 3),0),
IF(AND(OR(AG$279=123, AG$279=12), Cultivar_1_Cohort_Year_Selection=$AA$278,Cultivar_2_Cohort_Year_Selection=$AA$278), ROUND(MAX(0,AF$440 - 2),0),
IF(AND(OR(AG$279=123, AG$279=13), Cultivar_1_Cohort_Year_Selection=$AA$278,Cultivar_3_Cohort_Year_Selection=$AA$278), ROUND(MAX(0,AF$440 - 2),0),
IF(AND(OR(AG$279=123, AG$279=23), Cultivar_2_Cohort_Year_Selection=$AA$278,Cultivar_3_Cohort_Year_Selection=$AA$278), ROUND(MAX(0,AF$440 - 2),0),
IF(AND(OR(AG$279=123, AG$279=12, AG$279=13, AG$279=1), Cultivar_1_Cohort_Year_Selection=$AA$278), ROUND(MAX(0,AF$440 - 1),0),
IF(AND(OR(AG$279=123, AG$279=12, AG$279=23, AG$279=2), Cultivar_2_Cohort_Year_Selection=$AA$278), ROUND(MAX(0,AF$440 - 1),0),
IF(AND(OR(AG$279=123, AG$279=13, AG$279=23, AG$279=3), Cultivar_3_Cohort_Year_Selection=$AA$278), ROUND(MAX(0,AF$440 - 1),0),
ROUND(MAX(0,AF$440),0)))))))),""),""),"")</f>
        <v/>
      </c>
      <c r="AH443" s="17" t="str">
        <f t="shared" ref="AH443:AH451" si="230">IF(ISNUMBER($B$441),
IF($C443&lt;&gt;"",
IF(AND(ISNUMBER(AG$440), AG$440&gt;0),
IF(AND(AH$279=123, Cultivar_1_Cohort_Year_Selection=$AB$278,Cultivar_2_Cohort_Year_Selection=$AB$278,Cultivar_3_Cohort_Year_Selection=$AB$278), ROUND(MAX(0,AG$440 - 3),0),
IF(AND(OR(AH$279=123, AH$279=12), Cultivar_1_Cohort_Year_Selection=$AB$278,Cultivar_2_Cohort_Year_Selection=$AB$278), ROUND(MAX(0,AG$440 - 2),0),
IF(AND(OR(AH$279=123, AH$279=13), Cultivar_1_Cohort_Year_Selection=$AB$278,Cultivar_3_Cohort_Year_Selection=$AB$278), ROUND(MAX(0,AG$440 - 2),0),
IF(AND(OR(AH$279=123, AH$279=23), Cultivar_2_Cohort_Year_Selection=$AB$278,Cultivar_3_Cohort_Year_Selection=$AB$278), ROUND(MAX(0,AG$440 - 2),0),
IF(AND(OR(AH$279=123, AH$279=12, AH$279=13, AH$279=1), Cultivar_1_Cohort_Year_Selection=$AB$278), ROUND(MAX(0,AG$440 - 1),0),
IF(AND(OR(AH$279=123, AH$279=12, AH$279=23, AH$279=2), Cultivar_2_Cohort_Year_Selection=$AB$278), ROUND(MAX(0,AG$440 - 1),0),
IF(AND(OR(AH$279=123, AH$279=13, AH$279=23, AH$279=3), Cultivar_3_Cohort_Year_Selection=$AB$278), ROUND(MAX(0,AG$440 - 1),0),
ROUND(MAX(0,AG$440),0)))))))),""),""),"")</f>
        <v/>
      </c>
      <c r="AI443" s="17" t="str">
        <f t="shared" ref="AI443:AI451" si="231">IF(ISNUMBER($B$441),
IF($C443&lt;&gt;"",
IF(AND(ISNUMBER(AH$440), AH$440&gt;0),
IF(AND(AI$279=123, Cultivar_1_Cohort_Year_Selection=$AC$278,Cultivar_2_Cohort_Year_Selection=$AC$278,Cultivar_3_Cohort_Year_Selection=$AC$278), ROUND(MAX(0,AH$440 - 3),0),
IF(AND(OR(AI$279=123, AI$279=12), Cultivar_1_Cohort_Year_Selection=$AC$278,Cultivar_2_Cohort_Year_Selection=$AC$278), ROUND(MAX(0,AH$440 - 2),0),
IF(AND(OR(AI$279=123, AI$279=13), Cultivar_1_Cohort_Year_Selection=$AC$278,Cultivar_3_Cohort_Year_Selection=$AC$278), ROUND(MAX(0,AH$440 - 2),0),
IF(AND(OR(AI$279=123, AI$279=23), Cultivar_2_Cohort_Year_Selection=$AC$278,Cultivar_3_Cohort_Year_Selection=$AC$278), ROUND(MAX(0,AH$440 - 2),0),
IF(AND(OR(AI$279=123, AI$279=12, AI$279=13, AI$279=1), Cultivar_1_Cohort_Year_Selection=$AC$278), ROUND(MAX(0,AH$440 - 1),0),
IF(AND(OR(AI$279=123, AI$279=12, AI$279=23, AI$279=2), Cultivar_2_Cohort_Year_Selection=$AC$278), ROUND(MAX(0,AH$440 - 1),0),
IF(AND(OR(AI$279=123, AI$279=13, AI$279=23, AI$279=3), Cultivar_3_Cohort_Year_Selection=$AC$278), ROUND(MAX(0,AH$440 - 1),0),
ROUND(MAX(0,AH$440),0)))))))),""),""),"")</f>
        <v/>
      </c>
      <c r="AJ443" s="17" t="str">
        <f t="shared" ref="AJ443:AJ451" si="232">IF(ISNUMBER($B$441),
IF($C443&lt;&gt;"",
IF(AND(ISNUMBER(AI$440), AI$440&gt;0),
IF(AND(AJ$279=123, Cultivar_1_Cohort_Year_Selection=$AD$278,Cultivar_2_Cohort_Year_Selection=$AD$278,Cultivar_3_Cohort_Year_Selection=$AD$278), ROUND(MAX(0,AI$440 - 3),0),
IF(AND(OR(AJ$279=123, AJ$279=12), Cultivar_1_Cohort_Year_Selection=$AD$278,Cultivar_2_Cohort_Year_Selection=$AD$278), ROUND(MAX(0,AI$440 - 2),0),
IF(AND(OR(AJ$279=123, AJ$279=13), Cultivar_1_Cohort_Year_Selection=$AD$278,Cultivar_3_Cohort_Year_Selection=$AD$278), ROUND(MAX(0,AI$440 - 2),0),
IF(AND(OR(AJ$279=123, AJ$279=23), Cultivar_2_Cohort_Year_Selection=$AD$278,Cultivar_3_Cohort_Year_Selection=$AD$278), ROUND(MAX(0,AI$440 - 2),0),
IF(AND(OR(AJ$279=123, AJ$279=12, AJ$279=13, AJ$279=1), Cultivar_1_Cohort_Year_Selection=$AD$278), ROUND(MAX(0,AI$440 - 1),0),
IF(AND(OR(AJ$279=123, AJ$279=12, AJ$279=23, AJ$279=2), Cultivar_2_Cohort_Year_Selection=$AD$278), ROUND(MAX(0,AI$440 - 1),0),
IF(AND(OR(AJ$279=123, AJ$279=13, AJ$279=23, AJ$279=3), Cultivar_3_Cohort_Year_Selection=$AD$278), ROUND(MAX(0,AI$440 - 1),0),
ROUND(MAX(0,AI$440),0)))))))),""),""),"")</f>
        <v/>
      </c>
      <c r="AK443" s="17" t="str">
        <f t="shared" ref="AK443:AK451" si="233">IF(ISNUMBER($B$441),
IF($C443&lt;&gt;"",
IF(AND(ISNUMBER(AJ$440), AJ$440&gt;0),
IF(AND(AK$279=123, Cultivar_1_Cohort_Year_Selection=$AE$278,Cultivar_2_Cohort_Year_Selection=$AE$278,Cultivar_3_Cohort_Year_Selection=$AE$278), ROUND(MAX(0,AJ$440 - 3),0),
IF(AND(OR(AK$279=123, AK$279=12), Cultivar_1_Cohort_Year_Selection=$AE$278,Cultivar_2_Cohort_Year_Selection=$AE$278), ROUND(MAX(0,AJ$440 - 2),0),
IF(AND(OR(AK$279=123, AK$279=13), Cultivar_1_Cohort_Year_Selection=$AE$278,Cultivar_3_Cohort_Year_Selection=$AE$278), ROUND(MAX(0,AJ$440 - 2),0),
IF(AND(OR(AK$279=123, AK$279=23), Cultivar_2_Cohort_Year_Selection=$AE$278,Cultivar_3_Cohort_Year_Selection=$AE$278), ROUND(MAX(0,AJ$440 - 2),0),
IF(AND(OR(AK$279=123, AK$279=12, AK$279=13, AK$279=1), Cultivar_1_Cohort_Year_Selection=$AE$278), ROUND(MAX(0,AJ$440 - 1),0),
IF(AND(OR(AK$279=123, AK$279=12, AK$279=23, AK$279=2), Cultivar_2_Cohort_Year_Selection=$AE$278), ROUND(MAX(0,AJ$440 - 1),0),
IF(AND(OR(AK$279=123, AK$279=13, AK$279=23, AK$279=3), Cultivar_3_Cohort_Year_Selection=$AE$278), ROUND(MAX(0,AJ$440 - 1),0),
ROUND(MAX(0,AJ$440),0)))))))),""),""),"")</f>
        <v/>
      </c>
      <c r="AL443" s="17" t="str">
        <f t="shared" ref="AL443:AL451" si="234">IF(ISNUMBER($B$441),
IF($C443&lt;&gt;"",
IF(AND(ISNUMBER(AK$440), AK$440&gt;0),
IF(AND(AL$279=123, Cultivar_1_Cohort_Year_Selection=$AF$278,Cultivar_2_Cohort_Year_Selection=$AF$278,Cultivar_3_Cohort_Year_Selection=$AF$278), ROUND(MAX(0,AK$440 - 3),0),
IF(AND(OR(AL$279=123, AL$279=12), Cultivar_1_Cohort_Year_Selection=$AF$278,Cultivar_2_Cohort_Year_Selection=$AF$278), ROUND(MAX(0,AK$440 - 2),0),
IF(AND(OR(AL$279=123, AL$279=13), Cultivar_1_Cohort_Year_Selection=$AF$278,Cultivar_3_Cohort_Year_Selection=$AF$278), ROUND(MAX(0,AK$440 - 2),0),
IF(AND(OR(AL$279=123, AL$279=23), Cultivar_2_Cohort_Year_Selection=$AF$278,Cultivar_3_Cohort_Year_Selection=$AF$278), ROUND(MAX(0,AK$440 - 2),0),
IF(AND(OR(AL$279=123, AL$279=12, AL$279=13, AL$279=1), Cultivar_1_Cohort_Year_Selection=$AF$278), ROUND(MAX(0,AK$440 - 1),0),
IF(AND(OR(AL$279=123, AL$279=12, AL$279=23, AL$279=2), Cultivar_2_Cohort_Year_Selection=$AF$278), ROUND(MAX(0,AK$440 - 1),0),
IF(AND(OR(AL$279=123, AL$279=13, AL$279=23, AL$279=3), Cultivar_3_Cohort_Year_Selection=$AF$278), ROUND(MAX(0,AK$440 - 1),0),
ROUND(MAX(0,AK$440),0)))))))),""),""),"")</f>
        <v/>
      </c>
      <c r="AM443" s="17" t="str">
        <f t="shared" ref="AM443:AM451" si="235">IF(ISNUMBER($B$441),
IF($C443&lt;&gt;"",
IF(AND(ISNUMBER(AL$440), AL$440&gt;0),
IF(AND(AM$279=123, Cultivar_1_Cohort_Year_Selection=$AG$278,Cultivar_2_Cohort_Year_Selection=$AG$278,Cultivar_3_Cohort_Year_Selection=$AG$278), ROUND(MAX(0,AL$440 - 3),0),
IF(AND(OR(AM$279=123, AM$279=12), Cultivar_1_Cohort_Year_Selection=$AG$278,Cultivar_2_Cohort_Year_Selection=$AG$278), ROUND(MAX(0,AL$440 - 2),0),
IF(AND(OR(AM$279=123, AM$279=13), Cultivar_1_Cohort_Year_Selection=$AG$278,Cultivar_3_Cohort_Year_Selection=$AG$278), ROUND(MAX(0,AL$440 - 2),0),
IF(AND(OR(AM$279=123, AM$279=23), Cultivar_2_Cohort_Year_Selection=$AG$278,Cultivar_3_Cohort_Year_Selection=$AG$278), ROUND(MAX(0,AL$440 - 2),0),
IF(AND(OR(AM$279=123, AM$279=12, AM$279=13, AM$279=1), Cultivar_1_Cohort_Year_Selection=$AG$278), ROUND(MAX(0,AL$440 - 1),0),
IF(AND(OR(AM$279=123, AM$279=12, AM$279=23, AM$279=2), Cultivar_2_Cohort_Year_Selection=$AG$278), ROUND(MAX(0,AL$440 - 1),0),
IF(AND(OR(AM$279=123, AM$279=13, AM$279=23, AM$279=3), Cultivar_3_Cohort_Year_Selection=$AG$278), ROUND(MAX(0,AL$440 - 1),0),
ROUND(MAX(0,AL$440),0)))))))),""),""),"")</f>
        <v/>
      </c>
      <c r="AN443" s="17" t="str">
        <f t="shared" ref="AN443:AN451" si="236">IF(ISNUMBER($B$441),
IF($C443&lt;&gt;"",
IF(AND(ISNUMBER(AM$440), AM$440&gt;0),
IF(AND(AN$279=123, Cultivar_1_Cohort_Year_Selection=$AH$278,Cultivar_2_Cohort_Year_Selection=$AH$278,Cultivar_3_Cohort_Year_Selection=$AH$278), ROUND(MAX(0,AM$440 - 3),0),
IF(AND(OR(AN$279=123, AN$279=12), Cultivar_1_Cohort_Year_Selection=$AH$278,Cultivar_2_Cohort_Year_Selection=$AH$278), ROUND(MAX(0,AM$440 - 2),0),
IF(AND(OR(AN$279=123, AN$279=13), Cultivar_1_Cohort_Year_Selection=$AH$278,Cultivar_3_Cohort_Year_Selection=$AH$278), ROUND(MAX(0,AM$440 - 2),0),
IF(AND(OR(AN$279=123, AN$279=23), Cultivar_2_Cohort_Year_Selection=$AH$278,Cultivar_3_Cohort_Year_Selection=$AH$278), ROUND(MAX(0,AM$440 - 2),0),
IF(AND(OR(AN$279=123, AN$279=12, AN$279=13, AN$279=1), Cultivar_1_Cohort_Year_Selection=$AH$278), ROUND(MAX(0,AM$440 - 1),0),
IF(AND(OR(AN$279=123, AN$279=12, AN$279=23, AN$279=2), Cultivar_2_Cohort_Year_Selection=$AH$278), ROUND(MAX(0,AM$440 - 1),0),
IF(AND(OR(AN$279=123, AN$279=13, AN$279=23, AN$279=3), Cultivar_3_Cohort_Year_Selection=$AH$278), ROUND(MAX(0,AM$440 - 1),0),
ROUND(MAX(0,AM$440),0)))))))),""),""),"")</f>
        <v/>
      </c>
      <c r="AO443" s="17" t="str">
        <f t="shared" ref="AO443:AO451" si="237">IF(ISNUMBER($B$441),
IF($C443&lt;&gt;"",
IF(AND(ISNUMBER(AN$440), AN$440&gt;0),
IF(AND(AO$279=123, Cultivar_1_Cohort_Year_Selection=$AI$278,Cultivar_2_Cohort_Year_Selection=$AI$278,Cultivar_3_Cohort_Year_Selection=$AI$278), ROUND(MAX(0,AN$440 - 3),0),
IF(AND(OR(AO$279=123, AO$279=12), Cultivar_1_Cohort_Year_Selection=$AI$278,Cultivar_2_Cohort_Year_Selection=$AI$278), ROUND(MAX(0,AN$440 - 2),0),
IF(AND(OR(AO$279=123, AO$279=13), Cultivar_1_Cohort_Year_Selection=$AI$278,Cultivar_3_Cohort_Year_Selection=$AI$278), ROUND(MAX(0,AN$440 - 2),0),
IF(AND(OR(AO$279=123, AO$279=23), Cultivar_2_Cohort_Year_Selection=$AI$278,Cultivar_3_Cohort_Year_Selection=$AI$278), ROUND(MAX(0,AN$440 - 2),0),
IF(AND(OR(AO$279=123, AO$279=12, AO$279=13, AO$279=1), Cultivar_1_Cohort_Year_Selection=$AI$278), ROUND(MAX(0,AN$440 - 1),0),
IF(AND(OR(AO$279=123, AO$279=12, AO$279=23, AO$279=2), Cultivar_2_Cohort_Year_Selection=$AI$278), ROUND(MAX(0,AN$440 - 1),0),
IF(AND(OR(AO$279=123, AO$279=13, AO$279=23, AO$279=3), Cultivar_3_Cohort_Year_Selection=$AI$278), ROUND(MAX(0,AN$440 - 1),0),
ROUND(MAX(0,AN$440),0)))))))),""),""),"")</f>
        <v/>
      </c>
      <c r="AP443" s="17" t="str">
        <f t="shared" ref="AP443:AP451" si="238">IF(ISNUMBER($B$441),
IF($C443&lt;&gt;"",
IF(AND(ISNUMBER(AO$440), AO$440&gt;0),
IF(AND(AP$279=123, Cultivar_1_Cohort_Year_Selection=$AJ$278,Cultivar_2_Cohort_Year_Selection=$AJ$278,Cultivar_3_Cohort_Year_Selection=$AJ$278), ROUND(MAX(0,AO$440 - 3),0),
IF(AND(OR(AP$279=123, AP$279=12), Cultivar_1_Cohort_Year_Selection=$AJ$278,Cultivar_2_Cohort_Year_Selection=$AJ$278), ROUND(MAX(0,AO$440 - 2),0),
IF(AND(OR(AP$279=123, AP$279=13), Cultivar_1_Cohort_Year_Selection=$AJ$278,Cultivar_3_Cohort_Year_Selection=$AJ$278), ROUND(MAX(0,AO$440 - 2),0),
IF(AND(OR(AP$279=123, AP$279=23), Cultivar_2_Cohort_Year_Selection=$AJ$278,Cultivar_3_Cohort_Year_Selection=$AJ$278), ROUND(MAX(0,AO$440 - 2),0),
IF(AND(OR(AP$279=123, AP$279=12, AP$279=13, AP$279=1), Cultivar_1_Cohort_Year_Selection=$AJ$278), ROUND(MAX(0,AO$440 - 1),0),
IF(AND(OR(AP$279=123, AP$279=12, AP$279=23, AP$279=2), Cultivar_2_Cohort_Year_Selection=$AJ$278), ROUND(MAX(0,AO$440 - 1),0),
IF(AND(OR(AP$279=123, AP$279=13, AP$279=23, AP$279=3), Cultivar_3_Cohort_Year_Selection=$AJ$278), ROUND(MAX(0,AO$440 - 1),0),
ROUND(MAX(0,AO$440),0)))))))),""),""),"")</f>
        <v/>
      </c>
      <c r="AQ443" s="17" t="str">
        <f t="shared" ref="AQ443:AQ451" si="239">IF(ISNUMBER($B$441),
IF($C443&lt;&gt;"",
IF(AND(ISNUMBER(AP$440), AP$440&gt;0),
IF(AND(AQ$279=123, Cultivar_1_Cohort_Year_Selection=$AK$278,Cultivar_2_Cohort_Year_Selection=$AK$278,Cultivar_3_Cohort_Year_Selection=$AK$278), ROUND(MAX(0,AP$440 - 3),0),
IF(AND(OR(AQ$279=123, AQ$279=12), Cultivar_1_Cohort_Year_Selection=$AK$278,Cultivar_2_Cohort_Year_Selection=$AK$278), ROUND(MAX(0,AP$440 - 2),0),
IF(AND(OR(AQ$279=123, AQ$279=13), Cultivar_1_Cohort_Year_Selection=$AK$278,Cultivar_3_Cohort_Year_Selection=$AK$278), ROUND(MAX(0,AP$440 - 2),0),
IF(AND(OR(AQ$279=123, AQ$279=23), Cultivar_2_Cohort_Year_Selection=$AK$278,Cultivar_3_Cohort_Year_Selection=$AK$278), ROUND(MAX(0,AP$440 - 2),0),
IF(AND(OR(AQ$279=123, AQ$279=12, AQ$279=13, AQ$279=1), Cultivar_1_Cohort_Year_Selection=$AK$278), ROUND(MAX(0,AP$440 - 1),0),
IF(AND(OR(AQ$279=123, AQ$279=12, AQ$279=23, AQ$279=2), Cultivar_2_Cohort_Year_Selection=$AK$278), ROUND(MAX(0,AP$440 - 1),0),
IF(AND(OR(AQ$279=123, AQ$279=13, AQ$279=23, AQ$279=3), Cultivar_3_Cohort_Year_Selection=$AK$278), ROUND(MAX(0,AP$440 - 1),0),
ROUND(MAX(0,AP$440),0)))))))),""),""),"")</f>
        <v/>
      </c>
      <c r="AR443" s="17" t="str">
        <f t="shared" ref="AR443:AR451" si="240">IF(ISNUMBER($B$441),
IF($C443&lt;&gt;"",
IF(AND(ISNUMBER(AQ$440), AQ$440&gt;0),
IF(AND(AR$279=123, Cultivar_1_Cohort_Year_Selection=$AL$278,Cultivar_2_Cohort_Year_Selection=$AL$278,Cultivar_3_Cohort_Year_Selection=$AL$278), ROUND(MAX(0,AQ$440 - 3),0),
IF(AND(OR(AR$279=123, AR$279=12), Cultivar_1_Cohort_Year_Selection=$AL$278,Cultivar_2_Cohort_Year_Selection=$AL$278), ROUND(MAX(0,AQ$440 - 2),0),
IF(AND(OR(AR$279=123, AR$279=13), Cultivar_1_Cohort_Year_Selection=$AL$278,Cultivar_3_Cohort_Year_Selection=$AL$278), ROUND(MAX(0,AQ$440 - 2),0),
IF(AND(OR(AR$279=123, AR$279=23), Cultivar_2_Cohort_Year_Selection=$AL$278,Cultivar_3_Cohort_Year_Selection=$AL$278), ROUND(MAX(0,AQ$440 - 2),0),
IF(AND(OR(AR$279=123, AR$279=12, AR$279=13, AR$279=1), Cultivar_1_Cohort_Year_Selection=$AL$278), ROUND(MAX(0,AQ$440 - 1),0),
IF(AND(OR(AR$279=123, AR$279=12, AR$279=23, AR$279=2), Cultivar_2_Cohort_Year_Selection=$AL$278), ROUND(MAX(0,AQ$440 - 1),0),
IF(AND(OR(AR$279=123, AR$279=13, AR$279=23, AR$279=3), Cultivar_3_Cohort_Year_Selection=$AL$278), ROUND(MAX(0,AQ$440 - 1),0),
ROUND(MAX(0,AQ$440),0)))))))),""),""),"")</f>
        <v/>
      </c>
      <c r="AS443" s="17" t="str">
        <f t="shared" ref="AS443:AS451" si="241">IF(ISNUMBER($B$441),
IF($C443&lt;&gt;"",
IF(AND(ISNUMBER(AR$440), AR$440&gt;0),
IF(AND(AS$279=123, Cultivar_1_Cohort_Year_Selection=$AM$278,Cultivar_2_Cohort_Year_Selection=$AM$278,Cultivar_3_Cohort_Year_Selection=$AM$278), ROUND(MAX(0,AR$440 - 3),0),
IF(AND(OR(AS$279=123, AS$279=12), Cultivar_1_Cohort_Year_Selection=$AM$278,Cultivar_2_Cohort_Year_Selection=$AM$278), ROUND(MAX(0,AR$440 - 2),0),
IF(AND(OR(AS$279=123, AS$279=13), Cultivar_1_Cohort_Year_Selection=$AM$278,Cultivar_3_Cohort_Year_Selection=$AM$278), ROUND(MAX(0,AR$440 - 2),0),
IF(AND(OR(AS$279=123, AS$279=23), Cultivar_2_Cohort_Year_Selection=$AM$278,Cultivar_3_Cohort_Year_Selection=$AM$278), ROUND(MAX(0,AR$440 - 2),0),
IF(AND(OR(AS$279=123, AS$279=12, AS$279=13, AS$279=1), Cultivar_1_Cohort_Year_Selection=$AM$278), ROUND(MAX(0,AR$440 - 1),0),
IF(AND(OR(AS$279=123, AS$279=12, AS$279=23, AS$279=2), Cultivar_2_Cohort_Year_Selection=$AM$278), ROUND(MAX(0,AR$440 - 1),0),
IF(AND(OR(AS$279=123, AS$279=13, AS$279=23, AS$279=3), Cultivar_3_Cohort_Year_Selection=$AM$278), ROUND(MAX(0,AR$440 - 1),0),
ROUND(MAX(0,AR$440),0)))))))),""),""),"")</f>
        <v/>
      </c>
      <c r="AT443" s="17" t="str">
        <f t="shared" ref="AT443:AT451" si="242">IF(ISNUMBER($B$441),
IF($C443&lt;&gt;"",
IF(AND(ISNUMBER(AS$440), AS$440&gt;0),
IF(AND(AT$279=123, Cultivar_1_Cohort_Year_Selection=$AN$278,Cultivar_2_Cohort_Year_Selection=$AN$278,Cultivar_3_Cohort_Year_Selection=$AN$278), ROUND(MAX(0,AS$440 - 3),0),
IF(AND(OR(AT$279=123, AT$279=12), Cultivar_1_Cohort_Year_Selection=$AN$278,Cultivar_2_Cohort_Year_Selection=$AN$278), ROUND(MAX(0,AS$440 - 2),0),
IF(AND(OR(AT$279=123, AT$279=13), Cultivar_1_Cohort_Year_Selection=$AN$278,Cultivar_3_Cohort_Year_Selection=$AN$278), ROUND(MAX(0,AS$440 - 2),0),
IF(AND(OR(AT$279=123, AT$279=23), Cultivar_2_Cohort_Year_Selection=$AN$278,Cultivar_3_Cohort_Year_Selection=$AN$278), ROUND(MAX(0,AS$440 - 2),0),
IF(AND(OR(AT$279=123, AT$279=12, AT$279=13, AT$279=1), Cultivar_1_Cohort_Year_Selection=$AN$278), ROUND(MAX(0,AS$440 - 1),0),
IF(AND(OR(AT$279=123, AT$279=12, AT$279=23, AT$279=2), Cultivar_2_Cohort_Year_Selection=$AN$278), ROUND(MAX(0,AS$440 - 1),0),
IF(AND(OR(AT$279=123, AT$279=13, AT$279=23, AT$279=3), Cultivar_3_Cohort_Year_Selection=$AN$278), ROUND(MAX(0,AS$440 - 1),0),
ROUND(MAX(0,AS$440),0)))))))),""),""),"")</f>
        <v/>
      </c>
      <c r="AU443" s="17" t="str">
        <f t="shared" ref="AU443:AU451" si="243">IF(ISNUMBER($B$441),
IF($C443&lt;&gt;"",
IF(AND(ISNUMBER(AT$440), AT$440&gt;0),
IF(AND(AU$279=123, Cultivar_1_Cohort_Year_Selection=$AO$278,Cultivar_2_Cohort_Year_Selection=$AO$278,Cultivar_3_Cohort_Year_Selection=$AO$278), ROUND(MAX(0,AT$440 - 3),0),
IF(AND(OR(AU$279=123, AU$279=12), Cultivar_1_Cohort_Year_Selection=$AO$278,Cultivar_2_Cohort_Year_Selection=$AO$278), ROUND(MAX(0,AT$440 - 2),0),
IF(AND(OR(AU$279=123, AU$279=13), Cultivar_1_Cohort_Year_Selection=$AO$278,Cultivar_3_Cohort_Year_Selection=$AO$278), ROUND(MAX(0,AT$440 - 2),0),
IF(AND(OR(AU$279=123, AU$279=23), Cultivar_2_Cohort_Year_Selection=$AO$278,Cultivar_3_Cohort_Year_Selection=$AO$278), ROUND(MAX(0,AT$440 - 2),0),
IF(AND(OR(AU$279=123, AU$279=12, AU$279=13, AU$279=1), Cultivar_1_Cohort_Year_Selection=$AO$278), ROUND(MAX(0,AT$440 - 1),0),
IF(AND(OR(AU$279=123, AU$279=12, AU$279=23, AU$279=2), Cultivar_2_Cohort_Year_Selection=$AO$278), ROUND(MAX(0,AT$440 - 1),0),
IF(AND(OR(AU$279=123, AU$279=13, AU$279=23, AU$279=3), Cultivar_3_Cohort_Year_Selection=$AO$278), ROUND(MAX(0,AT$440 - 1),0),
ROUND(MAX(0,AT$440),0)))))))),""),""),"")</f>
        <v/>
      </c>
      <c r="AV443" s="17" t="str">
        <f t="shared" ref="AV443:AV451" si="244">IF(ISNUMBER($B$441),
IF($C443&lt;&gt;"",
IF(AND(ISNUMBER(AU$440), AU$440&gt;0),
IF(AND(AV$279=123, Cultivar_1_Cohort_Year_Selection=$AP$278,Cultivar_2_Cohort_Year_Selection=$AP$278,Cultivar_3_Cohort_Year_Selection=$AP$278), ROUND(MAX(0,AU$440 - 3),0),
IF(AND(OR(AV$279=123, AV$279=12), Cultivar_1_Cohort_Year_Selection=$AP$278,Cultivar_2_Cohort_Year_Selection=$AP$278), ROUND(MAX(0,AU$440 - 2),0),
IF(AND(OR(AV$279=123, AV$279=13), Cultivar_1_Cohort_Year_Selection=$AP$278,Cultivar_3_Cohort_Year_Selection=$AP$278), ROUND(MAX(0,AU$440 - 2),0),
IF(AND(OR(AV$279=123, AV$279=23), Cultivar_2_Cohort_Year_Selection=$AP$278,Cultivar_3_Cohort_Year_Selection=$AP$278), ROUND(MAX(0,AU$440 - 2),0),
IF(AND(OR(AV$279=123, AV$279=12, AV$279=13, AV$279=1), Cultivar_1_Cohort_Year_Selection=$AP$278), ROUND(MAX(0,AU$440 - 1),0),
IF(AND(OR(AV$279=123, AV$279=12, AV$279=23, AV$279=2), Cultivar_2_Cohort_Year_Selection=$AP$278), ROUND(MAX(0,AU$440 - 1),0),
IF(AND(OR(AV$279=123, AV$279=13, AV$279=23, AV$279=3), Cultivar_3_Cohort_Year_Selection=$AP$278), ROUND(MAX(0,AU$440 - 1),0),
ROUND(MAX(0,AU$440),0)))))))),""),""),"")</f>
        <v/>
      </c>
    </row>
    <row r="444" spans="1:48" x14ac:dyDescent="0.25">
      <c r="A444" s="518"/>
      <c r="B444" s="504"/>
      <c r="C444" s="107" t="str">
        <f>IF(AND(ISNUMBER(B441), OR('Cost Inputs'!$H$108&lt;&gt;"", 'Cost Inputs'!$I$108&lt;&gt;"", 'Cost Inputs'!$J$108&lt;&gt;"")), _4_3_2, "")</f>
        <v/>
      </c>
      <c r="D444" s="93" t="str">
        <f>IF(AND(C444&lt;&gt;"", 'Cost Inputs'!$G$108&lt;&gt;""), 'Cost Inputs'!$G$108, "")</f>
        <v/>
      </c>
      <c r="E444" s="93" t="str">
        <f>IF(AND(C444&lt;&gt;"", 'Cost Inputs'!$H$108&lt;&gt;""), 'Cost Inputs'!$H$108, "")</f>
        <v/>
      </c>
      <c r="F444" s="93" t="str">
        <f>IF(AND(C444&lt;&gt;"", 'Cost Inputs'!$I$108&lt;&gt;""), 'Cost Inputs'!$I$108, "")</f>
        <v/>
      </c>
      <c r="G444" s="108" t="str">
        <f t="shared" si="152"/>
        <v/>
      </c>
      <c r="H444" s="93" t="str">
        <f>IF(AND(C444&lt;&gt;"", 'Cost Inputs'!$J$108&lt;&gt;""), 'Cost Inputs'!$J$108, "")</f>
        <v/>
      </c>
      <c r="I444" s="93" t="str">
        <f t="shared" si="215"/>
        <v/>
      </c>
      <c r="J444" s="93" t="str">
        <f>IF(AND(C444&lt;&gt;"",('Cost Inputs'!$I$108+'Cost Inputs'!$J$108+'Cost Inputs'!$K$108)&gt;0), 'Cost Inputs'!$I$108+'Cost Inputs'!$J$108+'Cost Inputs'!$K$108, "")</f>
        <v/>
      </c>
      <c r="K444" s="93" t="str">
        <f t="shared" si="216"/>
        <v/>
      </c>
      <c r="L444" s="525"/>
      <c r="M444" s="525"/>
      <c r="U444" s="93" t="str">
        <f t="shared" si="217"/>
        <v/>
      </c>
      <c r="V444" s="93" t="str">
        <f t="shared" si="218"/>
        <v/>
      </c>
      <c r="W444" s="93" t="str">
        <f t="shared" si="219"/>
        <v/>
      </c>
      <c r="X444" s="93" t="str">
        <f t="shared" si="220"/>
        <v/>
      </c>
      <c r="Y444" s="93" t="str">
        <f t="shared" si="221"/>
        <v/>
      </c>
      <c r="Z444" s="93" t="str">
        <f t="shared" si="222"/>
        <v/>
      </c>
      <c r="AA444" s="93" t="str">
        <f t="shared" si="223"/>
        <v/>
      </c>
      <c r="AB444" s="93" t="str">
        <f t="shared" si="224"/>
        <v/>
      </c>
      <c r="AC444" s="93" t="str">
        <f t="shared" si="225"/>
        <v/>
      </c>
      <c r="AD444" s="93" t="str">
        <f t="shared" si="226"/>
        <v/>
      </c>
      <c r="AE444" s="93" t="str">
        <f t="shared" si="227"/>
        <v/>
      </c>
      <c r="AF444" s="93" t="str">
        <f t="shared" si="228"/>
        <v/>
      </c>
      <c r="AG444" s="93" t="str">
        <f t="shared" si="229"/>
        <v/>
      </c>
      <c r="AH444" s="93" t="str">
        <f t="shared" si="230"/>
        <v/>
      </c>
      <c r="AI444" s="93" t="str">
        <f t="shared" si="231"/>
        <v/>
      </c>
      <c r="AJ444" s="93" t="str">
        <f t="shared" si="232"/>
        <v/>
      </c>
      <c r="AK444" s="93" t="str">
        <f t="shared" si="233"/>
        <v/>
      </c>
      <c r="AL444" s="93" t="str">
        <f t="shared" si="234"/>
        <v/>
      </c>
      <c r="AM444" s="93" t="str">
        <f t="shared" si="235"/>
        <v/>
      </c>
      <c r="AN444" s="93" t="str">
        <f t="shared" si="236"/>
        <v/>
      </c>
      <c r="AO444" s="93" t="str">
        <f t="shared" si="237"/>
        <v/>
      </c>
      <c r="AP444" s="93" t="str">
        <f t="shared" si="238"/>
        <v/>
      </c>
      <c r="AQ444" s="93" t="str">
        <f t="shared" si="239"/>
        <v/>
      </c>
      <c r="AR444" s="93" t="str">
        <f t="shared" si="240"/>
        <v/>
      </c>
      <c r="AS444" s="93" t="str">
        <f t="shared" si="241"/>
        <v/>
      </c>
      <c r="AT444" s="93" t="str">
        <f t="shared" si="242"/>
        <v/>
      </c>
      <c r="AU444" s="93" t="str">
        <f t="shared" si="243"/>
        <v/>
      </c>
      <c r="AV444" s="93" t="str">
        <f t="shared" si="244"/>
        <v/>
      </c>
    </row>
    <row r="445" spans="1:48" x14ac:dyDescent="0.25">
      <c r="A445" s="518"/>
      <c r="B445" s="504"/>
      <c r="C445" s="110" t="str">
        <f>IF(ISNUMBER(B441), _4_4_0, "")</f>
        <v/>
      </c>
      <c r="D445" s="94" t="str">
        <f>IF(AND(C445&lt;&gt;"", 'Cost Inputs'!$G$109&lt;&gt;""), 'Cost Inputs'!$G$109, "")</f>
        <v/>
      </c>
      <c r="E445" s="94" t="str">
        <f>IF(AND(C445&lt;&gt;"", 'Cost Inputs'!$H$109&lt;&gt;""), 'Cost Inputs'!$H$109, "")</f>
        <v/>
      </c>
      <c r="F445" s="94" t="str">
        <f>IF(AND(C445&lt;&gt;"", 'Cost Inputs'!$I$109&lt;&gt;""), 'Cost Inputs'!$I$109, "")</f>
        <v/>
      </c>
      <c r="G445" s="102" t="str">
        <f t="shared" si="152"/>
        <v/>
      </c>
      <c r="H445" s="102" t="str">
        <f>IF(AND(C445&lt;&gt;"", 'Cost Inputs'!$J$109&lt;&gt;""), 'Cost Inputs'!$J$109, "")</f>
        <v/>
      </c>
      <c r="I445" s="102" t="str">
        <f t="shared" si="215"/>
        <v/>
      </c>
      <c r="J445" s="102" t="str">
        <f>IF(AND(C445&lt;&gt;"",('Cost Inputs'!$I$109+'Cost Inputs'!$J$109+'Cost Inputs'!$K$109)&gt;0), 'Cost Inputs'!$I$109+'Cost Inputs'!$J$109+'Cost Inputs'!$K$109, "")</f>
        <v/>
      </c>
      <c r="K445" s="102" t="str">
        <f t="shared" si="216"/>
        <v/>
      </c>
      <c r="L445" s="525"/>
      <c r="M445" s="525"/>
      <c r="U445" s="102" t="str">
        <f t="shared" si="217"/>
        <v/>
      </c>
      <c r="V445" s="102" t="str">
        <f t="shared" si="218"/>
        <v/>
      </c>
      <c r="W445" s="102" t="str">
        <f t="shared" si="219"/>
        <v/>
      </c>
      <c r="X445" s="102" t="str">
        <f t="shared" si="220"/>
        <v/>
      </c>
      <c r="Y445" s="102" t="str">
        <f t="shared" si="221"/>
        <v/>
      </c>
      <c r="Z445" s="102" t="str">
        <f t="shared" si="222"/>
        <v/>
      </c>
      <c r="AA445" s="102" t="str">
        <f t="shared" si="223"/>
        <v/>
      </c>
      <c r="AB445" s="102" t="str">
        <f t="shared" si="224"/>
        <v/>
      </c>
      <c r="AC445" s="102" t="str">
        <f t="shared" si="225"/>
        <v/>
      </c>
      <c r="AD445" s="102" t="str">
        <f t="shared" si="226"/>
        <v/>
      </c>
      <c r="AE445" s="102" t="str">
        <f t="shared" si="227"/>
        <v/>
      </c>
      <c r="AF445" s="102" t="str">
        <f t="shared" si="228"/>
        <v/>
      </c>
      <c r="AG445" s="102" t="str">
        <f t="shared" si="229"/>
        <v/>
      </c>
      <c r="AH445" s="102" t="str">
        <f t="shared" si="230"/>
        <v/>
      </c>
      <c r="AI445" s="102" t="str">
        <f t="shared" si="231"/>
        <v/>
      </c>
      <c r="AJ445" s="102" t="str">
        <f t="shared" si="232"/>
        <v/>
      </c>
      <c r="AK445" s="102" t="str">
        <f t="shared" si="233"/>
        <v/>
      </c>
      <c r="AL445" s="102" t="str">
        <f t="shared" si="234"/>
        <v/>
      </c>
      <c r="AM445" s="102" t="str">
        <f t="shared" si="235"/>
        <v/>
      </c>
      <c r="AN445" s="102" t="str">
        <f t="shared" si="236"/>
        <v/>
      </c>
      <c r="AO445" s="102" t="str">
        <f t="shared" si="237"/>
        <v/>
      </c>
      <c r="AP445" s="102" t="str">
        <f t="shared" si="238"/>
        <v/>
      </c>
      <c r="AQ445" s="102" t="str">
        <f t="shared" si="239"/>
        <v/>
      </c>
      <c r="AR445" s="102" t="str">
        <f t="shared" si="240"/>
        <v/>
      </c>
      <c r="AS445" s="102" t="str">
        <f t="shared" si="241"/>
        <v/>
      </c>
      <c r="AT445" s="102" t="str">
        <f t="shared" si="242"/>
        <v/>
      </c>
      <c r="AU445" s="102" t="str">
        <f t="shared" si="243"/>
        <v/>
      </c>
      <c r="AV445" s="102" t="str">
        <f t="shared" si="244"/>
        <v/>
      </c>
    </row>
    <row r="446" spans="1:48" x14ac:dyDescent="0.25">
      <c r="A446" s="518"/>
      <c r="B446" s="504"/>
      <c r="C446" s="104" t="str">
        <f>IF(AND(ISNUMBER(B441), OR('Cost Inputs'!$H$110&lt;&gt;"", 'Cost Inputs'!$I$110&lt;&gt;"", 'Cost Inputs'!$J$110&lt;&gt;"")), _4_4_1, "")</f>
        <v/>
      </c>
      <c r="D446" s="17" t="str">
        <f>IF(AND(C446&lt;&gt;"", 'Cost Inputs'!$G$110&lt;&gt;""), 'Cost Inputs'!$G$110, "")</f>
        <v/>
      </c>
      <c r="E446" s="17" t="str">
        <f>IF(AND(C446&lt;&gt;"", 'Cost Inputs'!$H$110&lt;&gt;""), 'Cost Inputs'!$H$110, "")</f>
        <v/>
      </c>
      <c r="F446" s="17" t="str">
        <f>IF(AND(C446&lt;&gt;"", 'Cost Inputs'!$I$110&lt;&gt;""), 'Cost Inputs'!$I$110, "")</f>
        <v/>
      </c>
      <c r="G446" s="105" t="str">
        <f t="shared" si="152"/>
        <v/>
      </c>
      <c r="H446" s="17" t="str">
        <f>IF(AND(C446&lt;&gt;"", 'Cost Inputs'!$J$110&lt;&gt;""), 'Cost Inputs'!$J$110, "")</f>
        <v/>
      </c>
      <c r="I446" s="17" t="str">
        <f t="shared" si="215"/>
        <v/>
      </c>
      <c r="J446" s="17" t="str">
        <f>IF(AND(C446&lt;&gt;"",('Cost Inputs'!$I$110+'Cost Inputs'!$J$110+'Cost Inputs'!$K$110)&gt;0), 'Cost Inputs'!$I$110+'Cost Inputs'!$J$110+'Cost Inputs'!$K$110, "")</f>
        <v/>
      </c>
      <c r="K446" s="17" t="str">
        <f t="shared" si="216"/>
        <v/>
      </c>
      <c r="L446" s="525"/>
      <c r="M446" s="525"/>
      <c r="U446" s="17" t="str">
        <f t="shared" si="217"/>
        <v/>
      </c>
      <c r="V446" s="17" t="str">
        <f t="shared" si="218"/>
        <v/>
      </c>
      <c r="W446" s="17" t="str">
        <f t="shared" si="219"/>
        <v/>
      </c>
      <c r="X446" s="17" t="str">
        <f t="shared" si="220"/>
        <v/>
      </c>
      <c r="Y446" s="17" t="str">
        <f t="shared" si="221"/>
        <v/>
      </c>
      <c r="Z446" s="17" t="str">
        <f t="shared" si="222"/>
        <v/>
      </c>
      <c r="AA446" s="17" t="str">
        <f t="shared" si="223"/>
        <v/>
      </c>
      <c r="AB446" s="17" t="str">
        <f t="shared" si="224"/>
        <v/>
      </c>
      <c r="AC446" s="17" t="str">
        <f t="shared" si="225"/>
        <v/>
      </c>
      <c r="AD446" s="17" t="str">
        <f t="shared" si="226"/>
        <v/>
      </c>
      <c r="AE446" s="17" t="str">
        <f t="shared" si="227"/>
        <v/>
      </c>
      <c r="AF446" s="17" t="str">
        <f t="shared" si="228"/>
        <v/>
      </c>
      <c r="AG446" s="17" t="str">
        <f t="shared" si="229"/>
        <v/>
      </c>
      <c r="AH446" s="17" t="str">
        <f t="shared" si="230"/>
        <v/>
      </c>
      <c r="AI446" s="17" t="str">
        <f t="shared" si="231"/>
        <v/>
      </c>
      <c r="AJ446" s="17" t="str">
        <f t="shared" si="232"/>
        <v/>
      </c>
      <c r="AK446" s="17" t="str">
        <f t="shared" si="233"/>
        <v/>
      </c>
      <c r="AL446" s="17" t="str">
        <f t="shared" si="234"/>
        <v/>
      </c>
      <c r="AM446" s="17" t="str">
        <f t="shared" si="235"/>
        <v/>
      </c>
      <c r="AN446" s="17" t="str">
        <f t="shared" si="236"/>
        <v/>
      </c>
      <c r="AO446" s="17" t="str">
        <f t="shared" si="237"/>
        <v/>
      </c>
      <c r="AP446" s="17" t="str">
        <f t="shared" si="238"/>
        <v/>
      </c>
      <c r="AQ446" s="17" t="str">
        <f t="shared" si="239"/>
        <v/>
      </c>
      <c r="AR446" s="17" t="str">
        <f t="shared" si="240"/>
        <v/>
      </c>
      <c r="AS446" s="17" t="str">
        <f t="shared" si="241"/>
        <v/>
      </c>
      <c r="AT446" s="17" t="str">
        <f t="shared" si="242"/>
        <v/>
      </c>
      <c r="AU446" s="17" t="str">
        <f t="shared" si="243"/>
        <v/>
      </c>
      <c r="AV446" s="17" t="str">
        <f t="shared" si="244"/>
        <v/>
      </c>
    </row>
    <row r="447" spans="1:48" x14ac:dyDescent="0.25">
      <c r="A447" s="518"/>
      <c r="B447" s="504"/>
      <c r="C447" s="107" t="str">
        <f>IF(AND(ISNUMBER(B441), OR('Cost Inputs'!$H$111&lt;&gt;"", 'Cost Inputs'!$I$111&lt;&gt;"", 'Cost Inputs'!$J$111&lt;&gt;"")), _4_4_2, "")</f>
        <v/>
      </c>
      <c r="D447" s="93" t="str">
        <f>IF(AND(C447&lt;&gt;"", 'Cost Inputs'!$G$111&lt;&gt;""), 'Cost Inputs'!$G$111, "")</f>
        <v/>
      </c>
      <c r="E447" s="93" t="str">
        <f>IF(AND(C447&lt;&gt;"", 'Cost Inputs'!$H$111&lt;&gt;""), 'Cost Inputs'!$H$111, "")</f>
        <v/>
      </c>
      <c r="F447" s="93" t="str">
        <f>IF(AND(C447&lt;&gt;"", 'Cost Inputs'!$I$111&lt;&gt;""), 'Cost Inputs'!$I$111, "")</f>
        <v/>
      </c>
      <c r="G447" s="108" t="str">
        <f t="shared" si="152"/>
        <v/>
      </c>
      <c r="H447" s="93" t="str">
        <f>IF(AND(C447&lt;&gt;"", 'Cost Inputs'!$J$111&lt;&gt;""), 'Cost Inputs'!$J$111, "")</f>
        <v/>
      </c>
      <c r="I447" s="93" t="str">
        <f t="shared" si="215"/>
        <v/>
      </c>
      <c r="J447" s="93" t="str">
        <f>IF(AND(C447&lt;&gt;"",('Cost Inputs'!$I$111+'Cost Inputs'!$J$111+'Cost Inputs'!$K$111)&gt;0), 'Cost Inputs'!$I$111+'Cost Inputs'!$J$111+'Cost Inputs'!$K$111, "")</f>
        <v/>
      </c>
      <c r="K447" s="93" t="str">
        <f t="shared" si="216"/>
        <v/>
      </c>
      <c r="L447" s="525"/>
      <c r="M447" s="525"/>
      <c r="U447" s="93" t="str">
        <f t="shared" si="217"/>
        <v/>
      </c>
      <c r="V447" s="93" t="str">
        <f t="shared" si="218"/>
        <v/>
      </c>
      <c r="W447" s="93" t="str">
        <f t="shared" si="219"/>
        <v/>
      </c>
      <c r="X447" s="93" t="str">
        <f t="shared" si="220"/>
        <v/>
      </c>
      <c r="Y447" s="93" t="str">
        <f t="shared" si="221"/>
        <v/>
      </c>
      <c r="Z447" s="93" t="str">
        <f t="shared" si="222"/>
        <v/>
      </c>
      <c r="AA447" s="93" t="str">
        <f t="shared" si="223"/>
        <v/>
      </c>
      <c r="AB447" s="93" t="str">
        <f t="shared" si="224"/>
        <v/>
      </c>
      <c r="AC447" s="93" t="str">
        <f t="shared" si="225"/>
        <v/>
      </c>
      <c r="AD447" s="93" t="str">
        <f t="shared" si="226"/>
        <v/>
      </c>
      <c r="AE447" s="93" t="str">
        <f t="shared" si="227"/>
        <v/>
      </c>
      <c r="AF447" s="93" t="str">
        <f t="shared" si="228"/>
        <v/>
      </c>
      <c r="AG447" s="93" t="str">
        <f t="shared" si="229"/>
        <v/>
      </c>
      <c r="AH447" s="93" t="str">
        <f t="shared" si="230"/>
        <v/>
      </c>
      <c r="AI447" s="93" t="str">
        <f t="shared" si="231"/>
        <v/>
      </c>
      <c r="AJ447" s="93" t="str">
        <f t="shared" si="232"/>
        <v/>
      </c>
      <c r="AK447" s="93" t="str">
        <f t="shared" si="233"/>
        <v/>
      </c>
      <c r="AL447" s="93" t="str">
        <f t="shared" si="234"/>
        <v/>
      </c>
      <c r="AM447" s="93" t="str">
        <f t="shared" si="235"/>
        <v/>
      </c>
      <c r="AN447" s="93" t="str">
        <f t="shared" si="236"/>
        <v/>
      </c>
      <c r="AO447" s="93" t="str">
        <f t="shared" si="237"/>
        <v/>
      </c>
      <c r="AP447" s="93" t="str">
        <f t="shared" si="238"/>
        <v/>
      </c>
      <c r="AQ447" s="93" t="str">
        <f t="shared" si="239"/>
        <v/>
      </c>
      <c r="AR447" s="93" t="str">
        <f t="shared" si="240"/>
        <v/>
      </c>
      <c r="AS447" s="93" t="str">
        <f t="shared" si="241"/>
        <v/>
      </c>
      <c r="AT447" s="93" t="str">
        <f t="shared" si="242"/>
        <v/>
      </c>
      <c r="AU447" s="93" t="str">
        <f t="shared" si="243"/>
        <v/>
      </c>
      <c r="AV447" s="93" t="str">
        <f t="shared" si="244"/>
        <v/>
      </c>
    </row>
    <row r="448" spans="1:48" x14ac:dyDescent="0.25">
      <c r="A448" s="518"/>
      <c r="B448" s="504"/>
      <c r="C448" s="104" t="str">
        <f>IF(AND(ISNUMBER(B441), OR('Cost Inputs'!$H$112&lt;&gt;"", 'Cost Inputs'!$I$112&lt;&gt;"", 'Cost Inputs'!$J$112&lt;&gt;"")), _4_4_3, "")</f>
        <v/>
      </c>
      <c r="D448" s="17" t="str">
        <f>IF(AND(C448&lt;&gt;"", 'Cost Inputs'!$G$112&lt;&gt;""), 'Cost Inputs'!$G$112, "")</f>
        <v/>
      </c>
      <c r="E448" s="17" t="str">
        <f>IF(AND(C448&lt;&gt;"", 'Cost Inputs'!$H$112&lt;&gt;""), 'Cost Inputs'!$H$112, "")</f>
        <v/>
      </c>
      <c r="F448" s="17" t="str">
        <f>IF(AND(C448&lt;&gt;"", 'Cost Inputs'!$I$112&lt;&gt;""), 'Cost Inputs'!$I$112, "")</f>
        <v/>
      </c>
      <c r="G448" s="105" t="str">
        <f t="shared" si="152"/>
        <v/>
      </c>
      <c r="H448" s="17" t="str">
        <f>IF(AND(C448&lt;&gt;"", 'Cost Inputs'!$J$112&lt;&gt;""), 'Cost Inputs'!$J$112, "")</f>
        <v/>
      </c>
      <c r="I448" s="17" t="str">
        <f t="shared" si="215"/>
        <v/>
      </c>
      <c r="J448" s="17" t="str">
        <f>IF(AND(C448&lt;&gt;"",('Cost Inputs'!$I$112+'Cost Inputs'!$J$112+'Cost Inputs'!$K$112)&gt;0), 'Cost Inputs'!$I$112+'Cost Inputs'!$J$112+'Cost Inputs'!$K$112, "")</f>
        <v/>
      </c>
      <c r="K448" s="17" t="str">
        <f t="shared" si="216"/>
        <v/>
      </c>
      <c r="L448" s="525"/>
      <c r="M448" s="525"/>
      <c r="U448" s="17" t="str">
        <f t="shared" si="217"/>
        <v/>
      </c>
      <c r="V448" s="17" t="str">
        <f t="shared" si="218"/>
        <v/>
      </c>
      <c r="W448" s="17" t="str">
        <f t="shared" si="219"/>
        <v/>
      </c>
      <c r="X448" s="17" t="str">
        <f t="shared" si="220"/>
        <v/>
      </c>
      <c r="Y448" s="17" t="str">
        <f t="shared" si="221"/>
        <v/>
      </c>
      <c r="Z448" s="17" t="str">
        <f t="shared" si="222"/>
        <v/>
      </c>
      <c r="AA448" s="17" t="str">
        <f t="shared" si="223"/>
        <v/>
      </c>
      <c r="AB448" s="17" t="str">
        <f t="shared" si="224"/>
        <v/>
      </c>
      <c r="AC448" s="17" t="str">
        <f t="shared" si="225"/>
        <v/>
      </c>
      <c r="AD448" s="17" t="str">
        <f t="shared" si="226"/>
        <v/>
      </c>
      <c r="AE448" s="17" t="str">
        <f t="shared" si="227"/>
        <v/>
      </c>
      <c r="AF448" s="17" t="str">
        <f t="shared" si="228"/>
        <v/>
      </c>
      <c r="AG448" s="17" t="str">
        <f t="shared" si="229"/>
        <v/>
      </c>
      <c r="AH448" s="17" t="str">
        <f t="shared" si="230"/>
        <v/>
      </c>
      <c r="AI448" s="17" t="str">
        <f t="shared" si="231"/>
        <v/>
      </c>
      <c r="AJ448" s="17" t="str">
        <f t="shared" si="232"/>
        <v/>
      </c>
      <c r="AK448" s="17" t="str">
        <f t="shared" si="233"/>
        <v/>
      </c>
      <c r="AL448" s="17" t="str">
        <f t="shared" si="234"/>
        <v/>
      </c>
      <c r="AM448" s="17" t="str">
        <f t="shared" si="235"/>
        <v/>
      </c>
      <c r="AN448" s="17" t="str">
        <f t="shared" si="236"/>
        <v/>
      </c>
      <c r="AO448" s="17" t="str">
        <f t="shared" si="237"/>
        <v/>
      </c>
      <c r="AP448" s="17" t="str">
        <f t="shared" si="238"/>
        <v/>
      </c>
      <c r="AQ448" s="17" t="str">
        <f t="shared" si="239"/>
        <v/>
      </c>
      <c r="AR448" s="17" t="str">
        <f t="shared" si="240"/>
        <v/>
      </c>
      <c r="AS448" s="17" t="str">
        <f t="shared" si="241"/>
        <v/>
      </c>
      <c r="AT448" s="17" t="str">
        <f t="shared" si="242"/>
        <v/>
      </c>
      <c r="AU448" s="17" t="str">
        <f t="shared" si="243"/>
        <v/>
      </c>
      <c r="AV448" s="17" t="str">
        <f t="shared" si="244"/>
        <v/>
      </c>
    </row>
    <row r="449" spans="1:48" x14ac:dyDescent="0.25">
      <c r="A449" s="518"/>
      <c r="B449" s="504"/>
      <c r="C449" s="107" t="str">
        <f>IF(AND(ISNUMBER(B441), OR('Cost Inputs'!$H$113&lt;&gt;"", 'Cost Inputs'!$I$113&lt;&gt;"", 'Cost Inputs'!$J$113&lt;&gt;"")), _4_4_4, "")</f>
        <v/>
      </c>
      <c r="D449" s="93" t="str">
        <f>IF(AND(C449&lt;&gt;"", 'Cost Inputs'!$G$113&lt;&gt;""), 'Cost Inputs'!$G$113, "")</f>
        <v/>
      </c>
      <c r="E449" s="93" t="str">
        <f>IF(AND(C449&lt;&gt;"", 'Cost Inputs'!$H$113&lt;&gt;""), 'Cost Inputs'!$H$113, "")</f>
        <v/>
      </c>
      <c r="F449" s="93" t="str">
        <f>IF(AND(C449&lt;&gt;"", 'Cost Inputs'!$I$113&lt;&gt;""), 'Cost Inputs'!$I$113, "")</f>
        <v/>
      </c>
      <c r="G449" s="108" t="str">
        <f t="shared" si="152"/>
        <v/>
      </c>
      <c r="H449" s="93" t="str">
        <f>IF(AND(C449&lt;&gt;"", 'Cost Inputs'!$J$113&lt;&gt;""), 'Cost Inputs'!$J$113, "")</f>
        <v/>
      </c>
      <c r="I449" s="93" t="str">
        <f t="shared" si="215"/>
        <v/>
      </c>
      <c r="J449" s="93" t="str">
        <f>IF(AND(C449&lt;&gt;"",('Cost Inputs'!$I$113+'Cost Inputs'!$J$113+'Cost Inputs'!$K$113)&gt;0), 'Cost Inputs'!$I$113+'Cost Inputs'!$J$113+'Cost Inputs'!$K$113, "")</f>
        <v/>
      </c>
      <c r="K449" s="93" t="str">
        <f t="shared" si="216"/>
        <v/>
      </c>
      <c r="L449" s="525"/>
      <c r="M449" s="525"/>
      <c r="U449" s="93" t="str">
        <f t="shared" si="217"/>
        <v/>
      </c>
      <c r="V449" s="93" t="str">
        <f t="shared" si="218"/>
        <v/>
      </c>
      <c r="W449" s="93" t="str">
        <f t="shared" si="219"/>
        <v/>
      </c>
      <c r="X449" s="93" t="str">
        <f t="shared" si="220"/>
        <v/>
      </c>
      <c r="Y449" s="93" t="str">
        <f t="shared" si="221"/>
        <v/>
      </c>
      <c r="Z449" s="93" t="str">
        <f t="shared" si="222"/>
        <v/>
      </c>
      <c r="AA449" s="93" t="str">
        <f t="shared" si="223"/>
        <v/>
      </c>
      <c r="AB449" s="93" t="str">
        <f t="shared" si="224"/>
        <v/>
      </c>
      <c r="AC449" s="93" t="str">
        <f t="shared" si="225"/>
        <v/>
      </c>
      <c r="AD449" s="93" t="str">
        <f t="shared" si="226"/>
        <v/>
      </c>
      <c r="AE449" s="93" t="str">
        <f t="shared" si="227"/>
        <v/>
      </c>
      <c r="AF449" s="93" t="str">
        <f t="shared" si="228"/>
        <v/>
      </c>
      <c r="AG449" s="93" t="str">
        <f t="shared" si="229"/>
        <v/>
      </c>
      <c r="AH449" s="93" t="str">
        <f t="shared" si="230"/>
        <v/>
      </c>
      <c r="AI449" s="93" t="str">
        <f t="shared" si="231"/>
        <v/>
      </c>
      <c r="AJ449" s="93" t="str">
        <f t="shared" si="232"/>
        <v/>
      </c>
      <c r="AK449" s="93" t="str">
        <f t="shared" si="233"/>
        <v/>
      </c>
      <c r="AL449" s="93" t="str">
        <f t="shared" si="234"/>
        <v/>
      </c>
      <c r="AM449" s="93" t="str">
        <f t="shared" si="235"/>
        <v/>
      </c>
      <c r="AN449" s="93" t="str">
        <f t="shared" si="236"/>
        <v/>
      </c>
      <c r="AO449" s="93" t="str">
        <f t="shared" si="237"/>
        <v/>
      </c>
      <c r="AP449" s="93" t="str">
        <f t="shared" si="238"/>
        <v/>
      </c>
      <c r="AQ449" s="93" t="str">
        <f t="shared" si="239"/>
        <v/>
      </c>
      <c r="AR449" s="93" t="str">
        <f t="shared" si="240"/>
        <v/>
      </c>
      <c r="AS449" s="93" t="str">
        <f t="shared" si="241"/>
        <v/>
      </c>
      <c r="AT449" s="93" t="str">
        <f t="shared" si="242"/>
        <v/>
      </c>
      <c r="AU449" s="93" t="str">
        <f t="shared" si="243"/>
        <v/>
      </c>
      <c r="AV449" s="93" t="str">
        <f t="shared" si="244"/>
        <v/>
      </c>
    </row>
    <row r="450" spans="1:48" x14ac:dyDescent="0.25">
      <c r="A450" s="518"/>
      <c r="B450" s="504"/>
      <c r="C450" s="104" t="str">
        <f>IF(AND(ISNUMBER(B441), OR('Cost Inputs'!$H$114&lt;&gt;"", 'Cost Inputs'!$I$114&lt;&gt;"", 'Cost Inputs'!$J$114&lt;&gt;"")), _4_4_5, "")</f>
        <v/>
      </c>
      <c r="D450" s="17" t="str">
        <f>IF(AND(C450&lt;&gt;"", 'Cost Inputs'!$G$114&lt;&gt;""), 'Cost Inputs'!$G$114, "")</f>
        <v/>
      </c>
      <c r="E450" s="17" t="str">
        <f>IF(AND(C450&lt;&gt;"", 'Cost Inputs'!$H$114&lt;&gt;""), 'Cost Inputs'!$H$114, "")</f>
        <v/>
      </c>
      <c r="F450" s="17" t="str">
        <f>IF(AND(C450&lt;&gt;"", 'Cost Inputs'!$I$114&lt;&gt;""), 'Cost Inputs'!$I$114, "")</f>
        <v/>
      </c>
      <c r="G450" s="105" t="str">
        <f t="shared" si="152"/>
        <v/>
      </c>
      <c r="H450" s="17" t="str">
        <f>IF(AND(C450&lt;&gt;"", 'Cost Inputs'!$J$114&lt;&gt;""), 'Cost Inputs'!$J$114, "")</f>
        <v/>
      </c>
      <c r="I450" s="17" t="str">
        <f t="shared" si="215"/>
        <v/>
      </c>
      <c r="J450" s="17" t="str">
        <f>IF(AND(C450&lt;&gt;"",('Cost Inputs'!$I$114+'Cost Inputs'!$J$114+'Cost Inputs'!$K$114)&gt;0), 'Cost Inputs'!$I$114+'Cost Inputs'!$J$114+'Cost Inputs'!$K$114, "")</f>
        <v/>
      </c>
      <c r="K450" s="17" t="str">
        <f t="shared" si="216"/>
        <v/>
      </c>
      <c r="L450" s="525"/>
      <c r="M450" s="525"/>
      <c r="U450" s="17" t="str">
        <f t="shared" si="217"/>
        <v/>
      </c>
      <c r="V450" s="17" t="str">
        <f t="shared" si="218"/>
        <v/>
      </c>
      <c r="W450" s="17" t="str">
        <f t="shared" si="219"/>
        <v/>
      </c>
      <c r="X450" s="17" t="str">
        <f t="shared" si="220"/>
        <v/>
      </c>
      <c r="Y450" s="17" t="str">
        <f t="shared" si="221"/>
        <v/>
      </c>
      <c r="Z450" s="17" t="str">
        <f t="shared" si="222"/>
        <v/>
      </c>
      <c r="AA450" s="17" t="str">
        <f t="shared" si="223"/>
        <v/>
      </c>
      <c r="AB450" s="17" t="str">
        <f t="shared" si="224"/>
        <v/>
      </c>
      <c r="AC450" s="17" t="str">
        <f t="shared" si="225"/>
        <v/>
      </c>
      <c r="AD450" s="17" t="str">
        <f t="shared" si="226"/>
        <v/>
      </c>
      <c r="AE450" s="17" t="str">
        <f t="shared" si="227"/>
        <v/>
      </c>
      <c r="AF450" s="17" t="str">
        <f t="shared" si="228"/>
        <v/>
      </c>
      <c r="AG450" s="17" t="str">
        <f t="shared" si="229"/>
        <v/>
      </c>
      <c r="AH450" s="17" t="str">
        <f t="shared" si="230"/>
        <v/>
      </c>
      <c r="AI450" s="17" t="str">
        <f t="shared" si="231"/>
        <v/>
      </c>
      <c r="AJ450" s="17" t="str">
        <f t="shared" si="232"/>
        <v/>
      </c>
      <c r="AK450" s="17" t="str">
        <f t="shared" si="233"/>
        <v/>
      </c>
      <c r="AL450" s="17" t="str">
        <f t="shared" si="234"/>
        <v/>
      </c>
      <c r="AM450" s="17" t="str">
        <f t="shared" si="235"/>
        <v/>
      </c>
      <c r="AN450" s="17" t="str">
        <f t="shared" si="236"/>
        <v/>
      </c>
      <c r="AO450" s="17" t="str">
        <f t="shared" si="237"/>
        <v/>
      </c>
      <c r="AP450" s="17" t="str">
        <f t="shared" si="238"/>
        <v/>
      </c>
      <c r="AQ450" s="17" t="str">
        <f t="shared" si="239"/>
        <v/>
      </c>
      <c r="AR450" s="17" t="str">
        <f t="shared" si="240"/>
        <v/>
      </c>
      <c r="AS450" s="17" t="str">
        <f t="shared" si="241"/>
        <v/>
      </c>
      <c r="AT450" s="17" t="str">
        <f t="shared" si="242"/>
        <v/>
      </c>
      <c r="AU450" s="17" t="str">
        <f t="shared" si="243"/>
        <v/>
      </c>
      <c r="AV450" s="17" t="str">
        <f t="shared" si="244"/>
        <v/>
      </c>
    </row>
    <row r="451" spans="1:48" x14ac:dyDescent="0.25">
      <c r="A451" s="518"/>
      <c r="B451" s="504"/>
      <c r="C451" s="107" t="str">
        <f>IF(AND(ISNUMBER(B441), OR('Cost Inputs'!$H$115&lt;&gt;"", 'Cost Inputs'!$I$115&lt;&gt;"", 'Cost Inputs'!$J$115&lt;&gt;"")), _4_4_6, "")</f>
        <v/>
      </c>
      <c r="D451" s="93" t="str">
        <f>IF(AND(C451&lt;&gt;"", 'Cost Inputs'!$G$115&lt;&gt;""), 'Cost Inputs'!$G$115, "")</f>
        <v/>
      </c>
      <c r="E451" s="93" t="str">
        <f>IF(AND(C451&lt;&gt;"", 'Cost Inputs'!$H$115&lt;&gt;""), 'Cost Inputs'!$H$115, "")</f>
        <v/>
      </c>
      <c r="F451" s="93" t="str">
        <f>IF(AND(C451&lt;&gt;"", 'Cost Inputs'!$I$115&lt;&gt;""), 'Cost Inputs'!$I$115, "")</f>
        <v/>
      </c>
      <c r="G451" s="108" t="str">
        <f t="shared" si="152"/>
        <v/>
      </c>
      <c r="H451" s="93" t="str">
        <f>IF(AND(C451&lt;&gt;"", 'Cost Inputs'!$J$115&lt;&gt;""), 'Cost Inputs'!$J$115, "")</f>
        <v/>
      </c>
      <c r="I451" s="93" t="str">
        <f t="shared" si="215"/>
        <v/>
      </c>
      <c r="J451" s="93" t="str">
        <f>IF(AND(C451&lt;&gt;"",('Cost Inputs'!$I$115+'Cost Inputs'!$J$115+'Cost Inputs'!$K$115)&gt;0), 'Cost Inputs'!$I$115+'Cost Inputs'!$J$115+'Cost Inputs'!$K$115, "")</f>
        <v/>
      </c>
      <c r="K451" s="93" t="str">
        <f t="shared" si="216"/>
        <v/>
      </c>
      <c r="L451" s="525"/>
      <c r="M451" s="525"/>
      <c r="U451" s="93" t="str">
        <f t="shared" si="217"/>
        <v/>
      </c>
      <c r="V451" s="93" t="str">
        <f t="shared" si="218"/>
        <v/>
      </c>
      <c r="W451" s="93" t="str">
        <f t="shared" si="219"/>
        <v/>
      </c>
      <c r="X451" s="93" t="str">
        <f t="shared" si="220"/>
        <v/>
      </c>
      <c r="Y451" s="93" t="str">
        <f t="shared" si="221"/>
        <v/>
      </c>
      <c r="Z451" s="93" t="str">
        <f t="shared" si="222"/>
        <v/>
      </c>
      <c r="AA451" s="93" t="str">
        <f t="shared" si="223"/>
        <v/>
      </c>
      <c r="AB451" s="93" t="str">
        <f t="shared" si="224"/>
        <v/>
      </c>
      <c r="AC451" s="93" t="str">
        <f t="shared" si="225"/>
        <v/>
      </c>
      <c r="AD451" s="93" t="str">
        <f t="shared" si="226"/>
        <v/>
      </c>
      <c r="AE451" s="93" t="str">
        <f t="shared" si="227"/>
        <v/>
      </c>
      <c r="AF451" s="93" t="str">
        <f t="shared" si="228"/>
        <v/>
      </c>
      <c r="AG451" s="93" t="str">
        <f t="shared" si="229"/>
        <v/>
      </c>
      <c r="AH451" s="93" t="str">
        <f t="shared" si="230"/>
        <v/>
      </c>
      <c r="AI451" s="93" t="str">
        <f t="shared" si="231"/>
        <v/>
      </c>
      <c r="AJ451" s="93" t="str">
        <f t="shared" si="232"/>
        <v/>
      </c>
      <c r="AK451" s="93" t="str">
        <f t="shared" si="233"/>
        <v/>
      </c>
      <c r="AL451" s="93" t="str">
        <f t="shared" si="234"/>
        <v/>
      </c>
      <c r="AM451" s="93" t="str">
        <f t="shared" si="235"/>
        <v/>
      </c>
      <c r="AN451" s="93" t="str">
        <f t="shared" si="236"/>
        <v/>
      </c>
      <c r="AO451" s="93" t="str">
        <f t="shared" si="237"/>
        <v/>
      </c>
      <c r="AP451" s="93" t="str">
        <f t="shared" si="238"/>
        <v/>
      </c>
      <c r="AQ451" s="93" t="str">
        <f t="shared" si="239"/>
        <v/>
      </c>
      <c r="AR451" s="93" t="str">
        <f t="shared" si="240"/>
        <v/>
      </c>
      <c r="AS451" s="93" t="str">
        <f t="shared" si="241"/>
        <v/>
      </c>
      <c r="AT451" s="93" t="str">
        <f t="shared" si="242"/>
        <v/>
      </c>
      <c r="AU451" s="93" t="str">
        <f t="shared" si="243"/>
        <v/>
      </c>
      <c r="AV451" s="93" t="str">
        <f t="shared" si="244"/>
        <v/>
      </c>
    </row>
    <row r="452" spans="1:48" x14ac:dyDescent="0.25">
      <c r="A452" s="518"/>
      <c r="B452" s="504"/>
      <c r="C452" s="489" t="str">
        <f>IF('Model_ of_individuals'!C445&lt;&gt;"", "Percentage decrease in marker culling","")</f>
        <v/>
      </c>
      <c r="D452" s="490"/>
      <c r="E452" s="490"/>
      <c r="F452" s="490"/>
      <c r="G452" s="490"/>
      <c r="H452" s="490"/>
      <c r="I452" s="490"/>
      <c r="J452" s="490"/>
      <c r="K452" s="491"/>
      <c r="L452" s="525"/>
      <c r="M452" s="525"/>
      <c r="U452" s="17" t="str">
        <f>IF(OR('Breeding Inputs'!$I$17="Y",'Model_ of_individuals'!$C445&lt;&gt;""),
IF('Breeding Inputs'!$I$44="Y",
IF(OR('Breeding Inputs'!$I$45=1), 25%,
IF('Breeding Inputs'!$I$44="N",
IF('Breeding Inputs'!$I$45=1,
IF(ISNUMBER('Breeding Inputs'!$I$46),'Breeding Inputs'!$I$46,""),""),"")),""),"")</f>
        <v/>
      </c>
      <c r="V452" s="17" t="str">
        <f>IF(OR('Breeding Inputs'!$I$17="Y",'Model_ of_individuals'!$C445&lt;&gt;""),
IF('Breeding Inputs'!$I$44="Y",
IF(OR('Breeding Inputs'!$I$45=1), 25%,
IF(ISNUMBER(U452), U452,
IF('Breeding Inputs'!$I$44="N",
IF(OR('Breeding Inputs'!$I$45=1),
IF(ISNUMBER('Breeding Inputs'!$I$46),'Breeding Inputs'!$I$46,""),""),""))),""),"")</f>
        <v/>
      </c>
      <c r="W452" s="17" t="str">
        <f>IF(OR('Breeding Inputs'!$I$17="Y",'Model_ of_individuals'!$C445&lt;&gt;""),
IF('Breeding Inputs'!$I$44="Y",
IF(OR('Breeding Inputs'!$I$45=1, 'Breeding Inputs'!$I$45=2), 25%,
IF(ISNUMBER(V452), V452,
IF('Breeding Inputs'!$I$44="N",
IF(OR('Breeding Inputs'!$I$45=1, 'Breeding Inputs'!$I$45=2),
IF(ISNUMBER('Breeding Inputs'!$I$46),'Breeding Inputs'!$I$46,""),""),""))),""),"")</f>
        <v/>
      </c>
      <c r="X452" s="17" t="str">
        <f>IF(OR('Breeding Inputs'!$I$17="Y",'Model_ of_individuals'!$C445&lt;&gt;""),
IF('Breeding Inputs'!$I$44="Y",
IF(OR('Breeding Inputs'!$I$45=1, 'Breeding Inputs'!$I$45=3), 25%,
IF(ISNUMBER(W452), W452,
IF('Breeding Inputs'!$I$44="N",
IF(OR('Breeding Inputs'!$I$45=1, 'Breeding Inputs'!$I$45=3),
IF(ISNUMBER('Breeding Inputs'!$I$46),'Breeding Inputs'!$I$46,""),""),""))),""),"")</f>
        <v/>
      </c>
      <c r="Y452" s="17" t="str">
        <f>IF(OR('Breeding Inputs'!$I$17="Y",'Model_ of_individuals'!$C445&lt;&gt;""),
IF('Breeding Inputs'!$I$44="Y",
IF(OR('Breeding Inputs'!$I$45=1, 'Breeding Inputs'!$I$45=2, 'Breeding Inputs'!$I$45=4), 25%,
IF(ISNUMBER(X452), X452,
IF('Breeding Inputs'!$I$44="N",
IF(OR('Breeding Inputs'!$I$45=1, 'Breeding Inputs'!$I$45=2, 'Breeding Inputs'!$I$45=4),
IF(ISNUMBER('Breeding Inputs'!$I$46),'Breeding Inputs'!$I$46,""),""),""))),""),"")</f>
        <v/>
      </c>
      <c r="Z452" s="17" t="str">
        <f>IF(OR('Breeding Inputs'!$I$17="Y",'Model_ of_individuals'!$C445&lt;&gt;""),
IF('Breeding Inputs'!$I$44="Y",
IF(OR('Breeding Inputs'!$I$45=1, 'Breeding Inputs'!$I$45=5), 25%,
IF(ISNUMBER(Y452), Y452,
IF('Breeding Inputs'!$I$44="N",
IF(OR('Breeding Inputs'!$I$45=1, 'Breeding Inputs'!$I$45=5),
IF(ISNUMBER('Breeding Inputs'!$I$46),'Breeding Inputs'!$I$46,""),""),""))),""),"")</f>
        <v/>
      </c>
      <c r="AA452" s="17" t="str">
        <f>IF(OR('Breeding Inputs'!$I$17="Y",'Model_ of_individuals'!$C445&lt;&gt;""),
IF('Breeding Inputs'!$I$44="Y",
IF(OR('Breeding Inputs'!$I$45=1, 'Breeding Inputs'!$I$45=2, 'Breeding Inputs'!$I$45=3, 'Breeding Inputs'!$I$45=6), 25%,
IF(ISNUMBER(Z452), Z452,
IF('Breeding Inputs'!$I$44="N",
IF(OR('Breeding Inputs'!$I$45=1, 'Breeding Inputs'!$I$45=2, 'Breeding Inputs'!$I$45=3, 'Breeding Inputs'!$I$45=6),
IF(ISNUMBER('Breeding Inputs'!$I$46),'Breeding Inputs'!$I$46,""),""),""))),""),"")</f>
        <v/>
      </c>
      <c r="AB452" s="17" t="str">
        <f>IF(OR('Breeding Inputs'!$I$17="Y",'Model_ of_individuals'!$C445&lt;&gt;""),
IF('Breeding Inputs'!$I$44="Y",
IF(OR('Breeding Inputs'!$I$45=1, 'Breeding Inputs'!$I$45=7), 25%,
IF(ISNUMBER(AA452), AA452,
IF('Breeding Inputs'!$I$44="N",
IF(OR('Breeding Inputs'!$I$45=1, 'Breeding Inputs'!$I$45=7),
IF(ISNUMBER('Breeding Inputs'!$I$46),'Breeding Inputs'!$I$46,""),""),""))),""),"")</f>
        <v/>
      </c>
      <c r="AC452" s="17" t="str">
        <f>IF(OR('Breeding Inputs'!$I$17="Y",'Model_ of_individuals'!$C445&lt;&gt;""),
IF('Breeding Inputs'!$I$44="Y",
IF(OR('Breeding Inputs'!$I$45=1, 'Breeding Inputs'!$I$45=2, 'Breeding Inputs'!$I$45=4, 'Breeding Inputs'!$I$45=8), 25%,
IF(ISNUMBER(AB452), AB452,
IF('Breeding Inputs'!$I$44="N",
IF(OR('Breeding Inputs'!$I$45=1, 'Breeding Inputs'!$I$45=2, 'Breeding Inputs'!$I$45=4, 'Breeding Inputs'!$I$45=8),
IF(ISNUMBER('Breeding Inputs'!$I$46),'Breeding Inputs'!$I$46,""),""),""))),""),"")</f>
        <v/>
      </c>
      <c r="AD452" s="17" t="str">
        <f>IF(OR('Breeding Inputs'!$I$17="Y",'Model_ of_individuals'!$C445&lt;&gt;""),
IF('Breeding Inputs'!$I$44="Y",
IF(OR('Breeding Inputs'!$I$45=1, 'Breeding Inputs'!$I$45=3, 'Breeding Inputs'!$I$45=9), 25%,
IF(ISNUMBER(AC452), AC452,
IF('Breeding Inputs'!$I$44="N",
IF(OR('Breeding Inputs'!$I$45=1, 'Breeding Inputs'!$I$45=3, 'Breeding Inputs'!$I$45=9),
IF(ISNUMBER('Breeding Inputs'!$I$46),'Breeding Inputs'!$I$46,""),""),""))),""),"")</f>
        <v/>
      </c>
      <c r="AE452" s="17" t="str">
        <f>IF(OR('Breeding Inputs'!$I$17="Y",'Model_ of_individuals'!$C445&lt;&gt;""),
IF('Breeding Inputs'!$I$44="Y",
IF(OR('Breeding Inputs'!$I$45=1, 'Breeding Inputs'!$I$45=3, 'Breeding Inputs'!$I$45=9), 25%,
IF(ISNUMBER(AD452), AD452,
IF('Breeding Inputs'!$I$44="N",
IF(OR('Breeding Inputs'!$I$45=1, 'Breeding Inputs'!$I$45=3, 'Breeding Inputs'!$I$45=9),
IF(ISNUMBER('Breeding Inputs'!$I$46),'Breeding Inputs'!$I$46,""),""),""))),""),"")</f>
        <v/>
      </c>
      <c r="AF452" s="17" t="str">
        <f>IF(OR('Breeding Inputs'!$I$17="Y",'Model_ of_individuals'!$C445&lt;&gt;""),
IF('Breeding Inputs'!$I$44="Y",
IF(OR('Breeding Inputs'!$I$45=1, 'Breeding Inputs'!$I$45=3, 'Breeding Inputs'!$I$45=9), 25%,
IF(ISNUMBER(AE452), AE452,
IF('Breeding Inputs'!$I$44="N",
IF(OR('Breeding Inputs'!$I$45=1, 'Breeding Inputs'!$I$45=3, 'Breeding Inputs'!$I$45=9),
IF(ISNUMBER('Breeding Inputs'!$I$46),'Breeding Inputs'!$I$46,""),""),""))),""),"")</f>
        <v/>
      </c>
      <c r="AG452" s="17" t="str">
        <f>IF(OR('Breeding Inputs'!$I$17="Y",'Model_ of_individuals'!$C445&lt;&gt;""),
IF('Breeding Inputs'!$I$44="Y",
IF(OR('Breeding Inputs'!$I$45=1, 'Breeding Inputs'!$I$45=3, 'Breeding Inputs'!$I$45=9), 25%,
IF(ISNUMBER(AF452), AF452,
IF('Breeding Inputs'!$I$44="N",
IF(OR('Breeding Inputs'!$I$45=1, 'Breeding Inputs'!$I$45=3, 'Breeding Inputs'!$I$45=9),
IF(ISNUMBER('Breeding Inputs'!$I$46),'Breeding Inputs'!$I$46,""),""),""))),""),"")</f>
        <v/>
      </c>
      <c r="AH452" s="17" t="str">
        <f>IF(OR('Breeding Inputs'!$I$17="Y",'Model_ of_individuals'!$C445&lt;&gt;""),
IF('Breeding Inputs'!$I$44="Y",
IF(OR('Breeding Inputs'!$I$45=1, 'Breeding Inputs'!$I$45=3, 'Breeding Inputs'!$I$45=9), 25%,
IF(ISNUMBER(AG452), AG452,
IF('Breeding Inputs'!$I$44="N",
IF(OR('Breeding Inputs'!$I$45=1, 'Breeding Inputs'!$I$45=3, 'Breeding Inputs'!$I$45=9),
IF(ISNUMBER('Breeding Inputs'!$I$46),'Breeding Inputs'!$I$46,""),""),""))),""),"")</f>
        <v/>
      </c>
      <c r="AI452" s="17" t="str">
        <f>IF(OR('Breeding Inputs'!$I$17="Y",'Model_ of_individuals'!$C445&lt;&gt;""),
IF('Breeding Inputs'!$I$44="Y",
IF(OR('Breeding Inputs'!$I$45=1, 'Breeding Inputs'!$I$45=3, 'Breeding Inputs'!$I$45=9), 25%,
IF(ISNUMBER(AH452), AH452,
IF('Breeding Inputs'!$I$44="N",
IF(OR('Breeding Inputs'!$I$45=1, 'Breeding Inputs'!$I$45=3, 'Breeding Inputs'!$I$45=9),
IF(ISNUMBER('Breeding Inputs'!$I$46),'Breeding Inputs'!$I$46,""),""),""))),""),"")</f>
        <v/>
      </c>
      <c r="AJ452" s="17" t="str">
        <f>IF(OR('Breeding Inputs'!$I$17="Y",'Model_ of_individuals'!$C445&lt;&gt;""),
IF('Breeding Inputs'!$I$44="Y",
IF(OR('Breeding Inputs'!$I$45=1, 'Breeding Inputs'!$I$45=3, 'Breeding Inputs'!$I$45=9), 25%,
IF(ISNUMBER(AI452), AI452,
IF('Breeding Inputs'!$I$44="N",
IF(OR('Breeding Inputs'!$I$45=1, 'Breeding Inputs'!$I$45=3, 'Breeding Inputs'!$I$45=9),
IF(ISNUMBER('Breeding Inputs'!$I$46),'Breeding Inputs'!$I$46,""),""),""))),""),"")</f>
        <v/>
      </c>
      <c r="AK452" s="17" t="str">
        <f>IF(OR('Breeding Inputs'!$I$17="Y",'Model_ of_individuals'!$C445&lt;&gt;""),
IF('Breeding Inputs'!$I$44="Y",
IF(OR('Breeding Inputs'!$I$45=1, 'Breeding Inputs'!$I$45=3, 'Breeding Inputs'!$I$45=9), 25%,
IF(ISNUMBER(AJ452), AJ452,
IF('Breeding Inputs'!$I$44="N",
IF(OR('Breeding Inputs'!$I$45=1, 'Breeding Inputs'!$I$45=3, 'Breeding Inputs'!$I$45=9),
IF(ISNUMBER('Breeding Inputs'!$I$46),'Breeding Inputs'!$I$46,""),""),""))),""),"")</f>
        <v/>
      </c>
      <c r="AL452" s="17" t="str">
        <f>IF(OR('Breeding Inputs'!$I$17="Y",'Model_ of_individuals'!$C445&lt;&gt;""),
IF('Breeding Inputs'!$I$44="Y",
IF(OR('Breeding Inputs'!$I$45=1, 'Breeding Inputs'!$I$45=3, 'Breeding Inputs'!$I$45=9), 25%,
IF(ISNUMBER(AK452), AK452,
IF('Breeding Inputs'!$I$44="N",
IF(OR('Breeding Inputs'!$I$45=1, 'Breeding Inputs'!$I$45=3, 'Breeding Inputs'!$I$45=9),
IF(ISNUMBER('Breeding Inputs'!$I$46),'Breeding Inputs'!$I$46,""),""),""))),""),"")</f>
        <v/>
      </c>
      <c r="AM452" s="17" t="str">
        <f>IF(OR('Breeding Inputs'!$I$17="Y",'Model_ of_individuals'!$C445&lt;&gt;""),
IF('Breeding Inputs'!$I$44="Y",
IF(OR('Breeding Inputs'!$I$45=1, 'Breeding Inputs'!$I$45=3, 'Breeding Inputs'!$I$45=9), 25%,
IF(ISNUMBER(AL452), AL452,
IF('Breeding Inputs'!$I$44="N",
IF(OR('Breeding Inputs'!$I$45=1, 'Breeding Inputs'!$I$45=3, 'Breeding Inputs'!$I$45=9),
IF(ISNUMBER('Breeding Inputs'!$I$46),'Breeding Inputs'!$I$46,""),""),""))),""),"")</f>
        <v/>
      </c>
      <c r="AN452" s="17" t="str">
        <f>IF(OR('Breeding Inputs'!$I$17="Y",'Model_ of_individuals'!$C445&lt;&gt;""),
IF('Breeding Inputs'!$I$44="Y",
IF(OR('Breeding Inputs'!$I$45=1, 'Breeding Inputs'!$I$45=3, 'Breeding Inputs'!$I$45=9), 25%,
IF(ISNUMBER(AM452), AM452,
IF('Breeding Inputs'!$I$44="N",
IF(OR('Breeding Inputs'!$I$45=1, 'Breeding Inputs'!$I$45=3, 'Breeding Inputs'!$I$45=9),
IF(ISNUMBER('Breeding Inputs'!$I$46),'Breeding Inputs'!$I$46,""),""),""))),""),"")</f>
        <v/>
      </c>
      <c r="AO452" s="17" t="str">
        <f>IF(OR('Breeding Inputs'!$I$17="Y",'Model_ of_individuals'!$C445&lt;&gt;""),
IF('Breeding Inputs'!$I$44="Y",
IF(OR('Breeding Inputs'!$I$45=1, 'Breeding Inputs'!$I$45=3, 'Breeding Inputs'!$I$45=9), 25%,
IF(ISNUMBER(AN452), AN452,
IF('Breeding Inputs'!$I$44="N",
IF(OR('Breeding Inputs'!$I$45=1, 'Breeding Inputs'!$I$45=3, 'Breeding Inputs'!$I$45=9),
IF(ISNUMBER('Breeding Inputs'!$I$46),'Breeding Inputs'!$I$46,""),""),""))),""),"")</f>
        <v/>
      </c>
      <c r="AP452" s="17" t="str">
        <f>IF(OR('Breeding Inputs'!$I$17="Y",'Model_ of_individuals'!$C445&lt;&gt;""),
IF('Breeding Inputs'!$I$44="Y",
IF(OR('Breeding Inputs'!$I$45=1, 'Breeding Inputs'!$I$45=3, 'Breeding Inputs'!$I$45=9), 25%,
IF(ISNUMBER(AO452), AO452,
IF('Breeding Inputs'!$I$44="N",
IF(OR('Breeding Inputs'!$I$45=1, 'Breeding Inputs'!$I$45=3, 'Breeding Inputs'!$I$45=9),
IF(ISNUMBER('Breeding Inputs'!$I$46),'Breeding Inputs'!$I$46,""),""),""))),""),"")</f>
        <v/>
      </c>
      <c r="AQ452" s="17" t="str">
        <f>IF(OR('Breeding Inputs'!$I$17="Y",'Model_ of_individuals'!$C445&lt;&gt;""),
IF('Breeding Inputs'!$I$44="Y",
IF(OR('Breeding Inputs'!$I$45=1, 'Breeding Inputs'!$I$45=3, 'Breeding Inputs'!$I$45=9), 25%,
IF(ISNUMBER(AP452), AP452,
IF('Breeding Inputs'!$I$44="N",
IF(OR('Breeding Inputs'!$I$45=1, 'Breeding Inputs'!$I$45=3, 'Breeding Inputs'!$I$45=9),
IF(ISNUMBER('Breeding Inputs'!$I$46),'Breeding Inputs'!$I$46,""),""),""))),""),"")</f>
        <v/>
      </c>
      <c r="AR452" s="17" t="str">
        <f>IF(OR('Breeding Inputs'!$I$17="Y",'Model_ of_individuals'!$C445&lt;&gt;""),
IF('Breeding Inputs'!$I$44="Y",
IF(OR('Breeding Inputs'!$I$45=1, 'Breeding Inputs'!$I$45=3, 'Breeding Inputs'!$I$45=9), 25%,
IF(ISNUMBER(AQ452), AQ452,
IF('Breeding Inputs'!$I$44="N",
IF(OR('Breeding Inputs'!$I$45=1, 'Breeding Inputs'!$I$45=3, 'Breeding Inputs'!$I$45=9),
IF(ISNUMBER('Breeding Inputs'!$I$46),'Breeding Inputs'!$I$46,""),""),""))),""),"")</f>
        <v/>
      </c>
      <c r="AS452" s="17" t="str">
        <f>IF(OR('Breeding Inputs'!$I$17="Y",'Model_ of_individuals'!$C445&lt;&gt;""),
IF('Breeding Inputs'!$I$44="Y",
IF(OR('Breeding Inputs'!$I$45=1, 'Breeding Inputs'!$I$45=3, 'Breeding Inputs'!$I$45=9), 25%,
IF(ISNUMBER(AR452), AR452,
IF('Breeding Inputs'!$I$44="N",
IF(OR('Breeding Inputs'!$I$45=1, 'Breeding Inputs'!$I$45=3, 'Breeding Inputs'!$I$45=9),
IF(ISNUMBER('Breeding Inputs'!$I$46),'Breeding Inputs'!$I$46,""),""),""))),""),"")</f>
        <v/>
      </c>
      <c r="AT452" s="17" t="str">
        <f>IF(OR('Breeding Inputs'!$I$17="Y",'Model_ of_individuals'!$C445&lt;&gt;""),
IF('Breeding Inputs'!$I$44="Y",
IF(OR('Breeding Inputs'!$I$45=1, 'Breeding Inputs'!$I$45=3, 'Breeding Inputs'!$I$45=9), 25%,
IF(ISNUMBER(AS452), AS452,
IF('Breeding Inputs'!$I$44="N",
IF(OR('Breeding Inputs'!$I$45=1, 'Breeding Inputs'!$I$45=3, 'Breeding Inputs'!$I$45=9),
IF(ISNUMBER('Breeding Inputs'!$I$46),'Breeding Inputs'!$I$46,""),""),""))),""),"")</f>
        <v/>
      </c>
      <c r="AU452" s="17" t="str">
        <f>IF(OR('Breeding Inputs'!$I$17="Y",'Model_ of_individuals'!$C445&lt;&gt;""),
IF('Breeding Inputs'!$I$44="Y",
IF(OR('Breeding Inputs'!$I$45=1, 'Breeding Inputs'!$I$45=3, 'Breeding Inputs'!$I$45=9), 25%,
IF(ISNUMBER(AT452), AT452,
IF('Breeding Inputs'!$I$44="N",
IF(OR('Breeding Inputs'!$I$45=1, 'Breeding Inputs'!$I$45=3, 'Breeding Inputs'!$I$45=9),
IF(ISNUMBER('Breeding Inputs'!$I$46),'Breeding Inputs'!$I$46,""),""),""))),""),"")</f>
        <v/>
      </c>
      <c r="AV452" s="17" t="str">
        <f>IF(OR('Breeding Inputs'!$I$17="Y",'Model_ of_individuals'!$C445&lt;&gt;""),
IF('Breeding Inputs'!$I$44="Y",
IF(OR('Breeding Inputs'!$I$45=1, 'Breeding Inputs'!$I$45=3, 'Breeding Inputs'!$I$45=9), 25%,
IF(ISNUMBER(AU452), AU452,
IF('Breeding Inputs'!$I$44="N",
IF(OR('Breeding Inputs'!$I$45=1, 'Breeding Inputs'!$I$45=3, 'Breeding Inputs'!$I$45=9),
IF(ISNUMBER('Breeding Inputs'!$I$46),'Breeding Inputs'!$I$46,""),""),""))),""),"")</f>
        <v/>
      </c>
    </row>
    <row r="453" spans="1:48" x14ac:dyDescent="0.25">
      <c r="A453" s="518"/>
      <c r="B453" s="504"/>
      <c r="C453" s="521" t="str">
        <f>IF(AND(B441&lt;&gt;"", ISNUMBER(B441), ISNUMBER(Stage2EvaluationBegins)), IF((INDEX(ProgramYearStage2,MATCH(Stage2EvaluationBegins,Years_in_Stage2,0)))=B441, _4_5_0, IF(AND(B441&lt;&gt;"", C429&lt;&gt;""), _4_5_0, IF(AND(B441&lt;&gt;"", ISNUMBER(B441), OR(Stage2EvaluationBegins=0, Stage2EvaluationBegins="")),"", ""))),"")</f>
        <v/>
      </c>
      <c r="D453" s="94" t="str">
        <f>IF(AND(C453&lt;&gt;"", 'Cost Inputs'!$G$116&lt;&gt;""), 'Cost Inputs'!$G$116, "")</f>
        <v/>
      </c>
      <c r="E453" s="94" t="str">
        <f>IF(AND(C453&lt;&gt;"", 'Cost Inputs'!$H$116&lt;&gt;""), 'Cost Inputs'!$H$116, "")</f>
        <v/>
      </c>
      <c r="F453" s="492" t="str">
        <f>IF(AND(C453&lt;&gt;"", 'Cost Inputs'!$I$116&lt;&gt;""), 'Cost Inputs'!$I$116, "")</f>
        <v/>
      </c>
      <c r="G453" s="102" t="str">
        <f t="shared" si="152"/>
        <v/>
      </c>
      <c r="H453" s="492" t="str">
        <f>IF(AND(C453&lt;&gt;"", 'Cost Inputs'!$J$116&lt;&gt;""), 'Cost Inputs'!$J$116, "")</f>
        <v/>
      </c>
      <c r="I453" s="102" t="str">
        <f>IF($C453&lt;&gt;"",IF(AND($E453&lt;&gt;"",H453&lt;&gt;""), H453/$E453, 0),"")</f>
        <v/>
      </c>
      <c r="J453" s="492" t="str">
        <f>IF(AND(C453&lt;&gt;"",('Cost Inputs'!$I$116+'Cost Inputs'!$J$116+'Cost Inputs'!$K$116)&gt;0), 'Cost Inputs'!$I$116+'Cost Inputs'!$J$116+'Cost Inputs'!$K$116, "")</f>
        <v/>
      </c>
      <c r="K453" s="102" t="str">
        <f>IF($C453&lt;&gt;"",IF(AND($E453&lt;&gt;"",J453&lt;&gt;""), J453/$E453, 0),"")</f>
        <v/>
      </c>
      <c r="L453" s="525"/>
      <c r="M453" s="525"/>
      <c r="U453" s="496" t="str">
        <f t="shared" ref="U453:U460" si="245">IF(ISNUMBER($B$441),
IF($C453&lt;&gt;"",
IF(AND(ISNUMBER(T$440), T$440&gt;0),
IF(AND(U$279=123, Cultivar_1_Cohort_Year_Selection=$O$278,Cultivar_2_Cohort_Year_Selection=$O$278,Cultivar_3_Cohort_Year_Selection=$O$278), ROUND(MAX(0,T$440 - 3),0),
IF(AND(OR(U$279=123, U$279=12), Cultivar_1_Cohort_Year_Selection=$O$278,Cultivar_2_Cohort_Year_Selection=$O$278), ROUND(MAX(0,T$440 - 2),0),
IF(AND(OR(U$279=123, U$279=13), Cultivar_1_Cohort_Year_Selection=$O$278,Cultivar_3_Cohort_Year_Selection=$O$278), ROUND(MAX(0,T$440 - 2),0),
IF(AND(OR(U$279=123, U$279=23), Cultivar_2_Cohort_Year_Selection=$O$278,Cultivar_3_Cohort_Year_Selection=$O$278), ROUND(MAX(0,T$440 - 2),0),
IF(AND(OR(U$279=123, U$279=12, U$279=13, U$279=1), Cultivar_1_Cohort_Year_Selection=$O$278), ROUND(MAX(0,T$440 - 1),0),
IF(AND(OR(U$279=123, U$279=12, U$279=23, U$279=2), Cultivar_2_Cohort_Year_Selection=$O$278), ROUND(MAX(0,T$440 - 1),0),
IF(AND(OR(U$279=123, U$279=13, U$279=23, U$279=3), Cultivar_3_Cohort_Year_Selection=$O$278), ROUND(MAX(0,T$440 - 1),0),
ROUND(MAX(0,T$440),0)))))))),""),""),"")</f>
        <v/>
      </c>
      <c r="V453" s="496" t="str">
        <f t="shared" ref="V453:V460" si="246">IF(ISNUMBER($B$441),
IF($C453&lt;&gt;"",
IF(AND(ISNUMBER(U$440), U$440&gt;0),
IF(AND(V$279=123, Cultivar_1_Cohort_Year_Selection=$P$278,Cultivar_2_Cohort_Year_Selection=$P$278,Cultivar_3_Cohort_Year_Selection=$P$278), ROUND(MAX(0,U$440 - 3),0),
IF(AND(OR(V$279=123, V$279=12), Cultivar_1_Cohort_Year_Selection=$P$278,Cultivar_2_Cohort_Year_Selection=$P$278), ROUND(MAX(0,U$440 - 2),0),
IF(AND(OR(V$279=123, V$279=13), Cultivar_1_Cohort_Year_Selection=$P$278,Cultivar_3_Cohort_Year_Selection=$P$278), ROUND(MAX(0,U$440 - 2),0),
IF(AND(OR(V$279=123, V$279=23), Cultivar_2_Cohort_Year_Selection=$P$278,Cultivar_3_Cohort_Year_Selection=$P$278), ROUND(MAX(0,U$440 - 2),0),
IF(AND(OR(V$279=123, V$279=12, V$279=13, V$279=1), Cultivar_1_Cohort_Year_Selection=$P$278), ROUND(MAX(0,U$440 - 1),0),
IF(AND(OR(V$279=123, V$279=12, V$279=23, V$279=2), Cultivar_2_Cohort_Year_Selection=$P$278), ROUND(MAX(0,U$440 - 1),0),
IF(AND(OR(V$279=123, V$279=13, V$279=23, V$279=3), Cultivar_3_Cohort_Year_Selection=$P$278), ROUND(MAX(0,U$440 - 1),0),
ROUND(MAX(0,U$440),0)))))))),""),""),"")</f>
        <v/>
      </c>
      <c r="W453" s="496" t="str">
        <f t="shared" ref="W453:W460" si="247">IF(ISNUMBER($B$441),
IF($C453&lt;&gt;"",
IF(AND(ISNUMBER(V$440), V$440&gt;0),
IF(AND(W$279=123, Cultivar_1_Cohort_Year_Selection=$Q$278,Cultivar_2_Cohort_Year_Selection=$Q$278,Cultivar_3_Cohort_Year_Selection=$Q$278), ROUND(MAX(0,V$440 - 3),0),
IF(AND(OR(W$279=123, W$279=12), Cultivar_1_Cohort_Year_Selection=$Q$278,Cultivar_2_Cohort_Year_Selection=$Q$278), ROUND(MAX(0,V$440 - 2),0),
IF(AND(OR(W$279=123, W$279=13), Cultivar_1_Cohort_Year_Selection=$Q$278,Cultivar_3_Cohort_Year_Selection=$Q$278), ROUND(MAX(0,V$440 - 2),0),
IF(AND(OR(W$279=123, W$279=23), Cultivar_2_Cohort_Year_Selection=$Q$278,Cultivar_3_Cohort_Year_Selection=$Q$278), ROUND(MAX(0,V$440 - 2),0),
IF(AND(OR(W$279=123, W$279=12, W$279=13, W$279=1), Cultivar_1_Cohort_Year_Selection=$Q$278), ROUND(MAX(0,V$440 - 1),0),
IF(AND(OR(W$279=123, W$279=12, W$279=23, W$279=2), Cultivar_2_Cohort_Year_Selection=$Q$278), ROUND(MAX(0,V$440 - 1),0),
IF(AND(OR(W$279=123, W$279=13, W$279=23, W$279=3), Cultivar_3_Cohort_Year_Selection=$Q$278), ROUND(MAX(0,V$440 - 1),0),
ROUND(MAX(0,V$440),0)))))))),""),""),"")</f>
        <v/>
      </c>
      <c r="X453" s="496" t="str">
        <f t="shared" ref="X453:X460" si="248">IF(ISNUMBER($B$441),
IF($C453&lt;&gt;"",
IF(AND(ISNUMBER(W$440), W$440&gt;0),
IF(AND(X$279=123, Cultivar_1_Cohort_Year_Selection=$R$278,Cultivar_2_Cohort_Year_Selection=$R$278,Cultivar_3_Cohort_Year_Selection=$R$278), ROUND(MAX(0,W$440 - 3),0),
IF(AND(OR(X$279=123, X$279=12), Cultivar_1_Cohort_Year_Selection=$R$278,Cultivar_2_Cohort_Year_Selection=$R$278), ROUND(MAX(0,W$440 - 2),0),
IF(AND(OR(X$279=123, X$279=13), Cultivar_1_Cohort_Year_Selection=$R$278,Cultivar_3_Cohort_Year_Selection=$R$278), ROUND(MAX(0,W$440 - 2),0),
IF(AND(OR(X$279=123, X$279=23), Cultivar_2_Cohort_Year_Selection=$R$278,Cultivar_3_Cohort_Year_Selection=$R$278), ROUND(MAX(0,W$440 - 2),0),
IF(AND(OR(X$279=123, X$279=12, X$279=13, X$279=1), Cultivar_1_Cohort_Year_Selection=$R$278), ROUND(MAX(0,W$440 - 1),0),
IF(AND(OR(X$279=123, X$279=12, X$279=23, X$279=2), Cultivar_2_Cohort_Year_Selection=$R$278), ROUND(MAX(0,W$440 - 1),0),
IF(AND(OR(X$279=123, X$279=13, X$279=23, X$279=3), Cultivar_3_Cohort_Year_Selection=$R$278), ROUND(MAX(0,W$440 - 1),0),
ROUND(MAX(0,W$440),0)))))))),""),""),"")</f>
        <v/>
      </c>
      <c r="Y453" s="496" t="str">
        <f t="shared" ref="Y453:Y460" si="249">IF(ISNUMBER($B$441),
IF($C453&lt;&gt;"",
IF(AND(ISNUMBER(X$440), X$440&gt;0),
IF(AND(Y$279=123, Cultivar_1_Cohort_Year_Selection=$S$278,Cultivar_2_Cohort_Year_Selection=$S$278,Cultivar_3_Cohort_Year_Selection=$S$278), ROUND(MAX(0,X$440 - 3),0),
IF(AND(OR(Y$279=123, Y$279=12), Cultivar_1_Cohort_Year_Selection=$S$278,Cultivar_2_Cohort_Year_Selection=$S$278), ROUND(MAX(0,X$440 - 2),0),
IF(AND(OR(Y$279=123, Y$279=13), Cultivar_1_Cohort_Year_Selection=$S$278,Cultivar_3_Cohort_Year_Selection=$S$278), ROUND(MAX(0,X$440 - 2),0),
IF(AND(OR(Y$279=123, Y$279=23), Cultivar_2_Cohort_Year_Selection=$S$278,Cultivar_3_Cohort_Year_Selection=$S$278), ROUND(MAX(0,X$440 - 2),0),
IF(AND(OR(Y$279=123, Y$279=12, Y$279=13, Y$279=1), Cultivar_1_Cohort_Year_Selection=$S$278), ROUND(MAX(0,X$440 - 1),0),
IF(AND(OR(Y$279=123, Y$279=12, Y$279=23, Y$279=2), Cultivar_2_Cohort_Year_Selection=$S$278), ROUND(MAX(0,X$440 - 1),0),
IF(AND(OR(Y$279=123, Y$279=13, Y$279=23, Y$279=3), Cultivar_3_Cohort_Year_Selection=$S$278), ROUND(MAX(0,X$440 - 1),0),
ROUND(MAX(0,X$440),0)))))))),""),""),"")</f>
        <v/>
      </c>
      <c r="Z453" s="496" t="str">
        <f t="shared" ref="Z453:Z460" si="250">IF(ISNUMBER($B$441),
IF($C453&lt;&gt;"",
IF(AND(ISNUMBER(Y$440), Y$440&gt;0),
IF(AND(Z$279=123, Cultivar_1_Cohort_Year_Selection=$T$278,Cultivar_2_Cohort_Year_Selection=$T$278,Cultivar_3_Cohort_Year_Selection=$T$278), ROUND(MAX(0,Y$440 - 3),0),
IF(AND(OR(Z$279=123, Z$279=12), Cultivar_1_Cohort_Year_Selection=$T$278,Cultivar_2_Cohort_Year_Selection=$T$278), ROUND(MAX(0,Y$440 - 2),0),
IF(AND(OR(Z$279=123, Z$279=13), Cultivar_1_Cohort_Year_Selection=$T$278,Cultivar_3_Cohort_Year_Selection=$T$278), ROUND(MAX(0,Y$440 - 2),0),
IF(AND(OR(Z$279=123, Z$279=23), Cultivar_2_Cohort_Year_Selection=$T$278,Cultivar_3_Cohort_Year_Selection=$T$278), ROUND(MAX(0,Y$440 - 2),0),
IF(AND(OR(Z$279=123, Z$279=12, Z$279=13, Z$279=1), Cultivar_1_Cohort_Year_Selection=$T$278), ROUND(MAX(0,Y$440 - 1),0),
IF(AND(OR(Z$279=123, Z$279=12, Z$279=23, Z$279=2), Cultivar_2_Cohort_Year_Selection=$T$278), ROUND(MAX(0,Y$440 - 1),0),
IF(AND(OR(Z$279=123, Z$279=13, Z$279=23, Z$279=3), Cultivar_3_Cohort_Year_Selection=$T$278), ROUND(MAX(0,Y$440 - 1),0),
ROUND(MAX(0,Y$440),0)))))))),""),""),"")</f>
        <v/>
      </c>
      <c r="AA453" s="496" t="str">
        <f t="shared" ref="AA453:AA460" si="251">IF(ISNUMBER($B$441),
IF($C453&lt;&gt;"",
IF(AND(ISNUMBER(Z$440), Z$440&gt;0),
IF(AND(AA$279=123, Cultivar_1_Cohort_Year_Selection=$U$278,Cultivar_2_Cohort_Year_Selection=$U$278,Cultivar_3_Cohort_Year_Selection=$U$278), ROUND(MAX(0,Z$440 - 3),0),
IF(AND(OR(AA$279=123, AA$279=12), Cultivar_1_Cohort_Year_Selection=$U$278,Cultivar_2_Cohort_Year_Selection=$U$278), ROUND(MAX(0,Z$440 - 2),0),
IF(AND(OR(AA$279=123, AA$279=13), Cultivar_1_Cohort_Year_Selection=$U$278,Cultivar_3_Cohort_Year_Selection=$U$278), ROUND(MAX(0,Z$440 - 2),0),
IF(AND(OR(AA$279=123, AA$279=23), Cultivar_2_Cohort_Year_Selection=$U$278,Cultivar_3_Cohort_Year_Selection=$U$278), ROUND(MAX(0,Z$440 - 2),0),
IF(AND(OR(AA$279=123, AA$279=12, AA$279=13, AA$279=1), Cultivar_1_Cohort_Year_Selection=$U$278), ROUND(MAX(0,Z$440 - 1),0),
IF(AND(OR(AA$279=123, AA$279=12, AA$279=23, AA$279=2), Cultivar_2_Cohort_Year_Selection=$U$278), ROUND(MAX(0,Z$440 - 1),0),
IF(AND(OR(AA$279=123, AA$279=13, AA$279=23, AA$279=3), Cultivar_3_Cohort_Year_Selection=$U$278), ROUND(MAX(0,Z$440 - 1),0),
ROUND(MAX(0,Z$440),0)))))))),""),""),"")</f>
        <v/>
      </c>
      <c r="AB453" s="496" t="str">
        <f t="shared" ref="AB453:AB460" si="252">IF(ISNUMBER($B$441),
IF($C453&lt;&gt;"",
IF(AND(ISNUMBER(AA$440), AA$440&gt;0),
IF(AND(AB$279=123, Cultivar_1_Cohort_Year_Selection=$V$278,Cultivar_2_Cohort_Year_Selection=$V$278,Cultivar_3_Cohort_Year_Selection=$V$278), ROUND(MAX(0,AA$440 - 3),0),
IF(AND(OR(AB$279=123, AB$279=12), Cultivar_1_Cohort_Year_Selection=$V$278,Cultivar_2_Cohort_Year_Selection=$V$278), ROUND(MAX(0,AA$440 - 2),0),
IF(AND(OR(AB$279=123, AB$279=13), Cultivar_1_Cohort_Year_Selection=$V$278,Cultivar_3_Cohort_Year_Selection=$V$278), ROUND(MAX(0,AA$440 - 2),0),
IF(AND(OR(AB$279=123, AB$279=23), Cultivar_2_Cohort_Year_Selection=$V$278,Cultivar_3_Cohort_Year_Selection=$V$278), ROUND(MAX(0,AA$440 - 2),0),
IF(AND(OR(AB$279=123, AB$279=12, AB$279=13, AB$279=1), Cultivar_1_Cohort_Year_Selection=$V$278), ROUND(MAX(0,AA$440 - 1),0),
IF(AND(OR(AB$279=123, AB$279=12, AB$279=23, AB$279=2), Cultivar_2_Cohort_Year_Selection=$V$278), ROUND(MAX(0,AA$440 - 1),0),
IF(AND(OR(AB$279=123, AB$279=13, AB$279=23, AB$279=3), Cultivar_3_Cohort_Year_Selection=$V$278), ROUND(MAX(0,AA$440 - 1),0),
ROUND(MAX(0,AA$440),0)))))))),""),""),"")</f>
        <v/>
      </c>
      <c r="AC453" s="496" t="str">
        <f t="shared" ref="AC453:AC460" si="253">IF(ISNUMBER($B$441),
IF($C453&lt;&gt;"",
IF(AND(ISNUMBER(AB$440), AB$440&gt;0),
IF(AND(AC$279=123, Cultivar_1_Cohort_Year_Selection=$W$278,Cultivar_2_Cohort_Year_Selection=$W$278,Cultivar_3_Cohort_Year_Selection=$W$278), ROUND(MAX(0,AB$440 - 3),0),
IF(AND(OR(AC$279=123, AC$279=12), Cultivar_1_Cohort_Year_Selection=$W$278,Cultivar_2_Cohort_Year_Selection=$W$278), ROUND(MAX(0,AB$440 - 2),0),
IF(AND(OR(AC$279=123, AC$279=13), Cultivar_1_Cohort_Year_Selection=$W$278,Cultivar_3_Cohort_Year_Selection=$W$278), ROUND(MAX(0,AB$440 - 2),0),
IF(AND(OR(AC$279=123, AC$279=23), Cultivar_2_Cohort_Year_Selection=$W$278,Cultivar_3_Cohort_Year_Selection=$W$278), ROUND(MAX(0,AB$440 - 2),0),
IF(AND(OR(AC$279=123, AC$279=12, AC$279=13, AC$279=1), Cultivar_1_Cohort_Year_Selection=$W$278), ROUND(MAX(0,AB$440 - 1),0),
IF(AND(OR(AC$279=123, AC$279=12, AC$279=23, AC$279=2), Cultivar_2_Cohort_Year_Selection=$W$278), ROUND(MAX(0,AB$440 - 1),0),
IF(AND(OR(AC$279=123, AC$279=13, AC$279=23, AC$279=3), Cultivar_3_Cohort_Year_Selection=$W$278), ROUND(MAX(0,AB$440 - 1),0),
ROUND(MAX(0,AB$440),0)))))))),""),""),"")</f>
        <v/>
      </c>
      <c r="AD453" s="496" t="str">
        <f t="shared" ref="AD453:AD460" si="254">IF(ISNUMBER($B$441),
IF($C453&lt;&gt;"",
IF(AND(ISNUMBER(AC$440), AC$440&gt;0),
IF(AND(AD$279=123, Cultivar_1_Cohort_Year_Selection=$X$278,Cultivar_2_Cohort_Year_Selection=$X$278,Cultivar_3_Cohort_Year_Selection=$X$278), ROUND(MAX(0,AC$440 - 3),0),
IF(AND(OR(AD$279=123, AD$279=12), Cultivar_1_Cohort_Year_Selection=$X$278,Cultivar_2_Cohort_Year_Selection=$X$278), ROUND(MAX(0,AC$440 - 2),0),
IF(AND(OR(AD$279=123, AD$279=13), Cultivar_1_Cohort_Year_Selection=$X$278,Cultivar_3_Cohort_Year_Selection=$X$278), ROUND(MAX(0,AC$440 - 2),0),
IF(AND(OR(AD$279=123, AD$279=23), Cultivar_2_Cohort_Year_Selection=$X$278,Cultivar_3_Cohort_Year_Selection=$X$278), ROUND(MAX(0,AC$440 - 2),0),
IF(AND(OR(AD$279=123, AD$279=12, AD$279=13, AD$279=1), Cultivar_1_Cohort_Year_Selection=$X$278), ROUND(MAX(0,AC$440 - 1),0),
IF(AND(OR(AD$279=123, AD$279=12, AD$279=23, AD$279=2), Cultivar_2_Cohort_Year_Selection=$X$278), ROUND(MAX(0,AC$440 - 1),0),
IF(AND(OR(AD$279=123, AD$279=13, AD$279=23, AD$279=3), Cultivar_3_Cohort_Year_Selection=$X$278), ROUND(MAX(0,AC$440 - 1),0),
ROUND(MAX(0,AC$440),0)))))))),""),""),"")</f>
        <v/>
      </c>
      <c r="AE453" s="496" t="str">
        <f t="shared" ref="AE453:AE460" si="255">IF(ISNUMBER($B$441),
IF($C453&lt;&gt;"",
IF(AND(ISNUMBER(AD$440), AD$440&gt;0),
IF(AND(AE$279=123, Cultivar_1_Cohort_Year_Selection=$Y$278,Cultivar_2_Cohort_Year_Selection=$Y$278,Cultivar_3_Cohort_Year_Selection=$Y$278), ROUND(MAX(0,AD$440 - 3),0),
IF(AND(OR(AE$279=123, AE$279=12), Cultivar_1_Cohort_Year_Selection=$Y$278,Cultivar_2_Cohort_Year_Selection=$Y$278), ROUND(MAX(0,AD$440 - 2),0),
IF(AND(OR(AE$279=123, AE$279=13), Cultivar_1_Cohort_Year_Selection=$Y$278,Cultivar_3_Cohort_Year_Selection=$Y$278), ROUND(MAX(0,AD$440 - 2),0),
IF(AND(OR(AE$279=123, AE$279=23), Cultivar_2_Cohort_Year_Selection=$Y$278,Cultivar_3_Cohort_Year_Selection=$Y$278), ROUND(MAX(0,AD$440 - 2),0),
IF(AND(OR(AE$279=123, AE$279=12, AE$279=13, AE$279=1), Cultivar_1_Cohort_Year_Selection=$Y$278), ROUND(MAX(0,AD$440 - 1),0),
IF(AND(OR(AE$279=123, AE$279=12, AE$279=23, AE$279=2), Cultivar_2_Cohort_Year_Selection=$Y$278), ROUND(MAX(0,AD$440 - 1),0),
IF(AND(OR(AE$279=123, AE$279=13, AE$279=23, AE$279=3), Cultivar_3_Cohort_Year_Selection=$Y$278), ROUND(MAX(0,AD$440 - 1),0),
ROUND(MAX(0,AD$440),0)))))))),""),""),"")</f>
        <v/>
      </c>
      <c r="AF453" s="496" t="str">
        <f t="shared" ref="AF453:AF460" si="256">IF(ISNUMBER($B$441),
IF($C453&lt;&gt;"",
IF(AND(ISNUMBER(AE$440), AE$440&gt;0),
IF(AND(AF$279=123, Cultivar_1_Cohort_Year_Selection=$Z$278,Cultivar_2_Cohort_Year_Selection=$Z$278,Cultivar_3_Cohort_Year_Selection=$Z$278), ROUND(MAX(0,AE$440 - 3),0),
IF(AND(OR(AF$279=123, AF$279=12), Cultivar_1_Cohort_Year_Selection=$Z$278,Cultivar_2_Cohort_Year_Selection=$Z$278), ROUND(MAX(0,AE$440 - 2),0),
IF(AND(OR(AF$279=123, AF$279=13), Cultivar_1_Cohort_Year_Selection=$Z$278,Cultivar_3_Cohort_Year_Selection=$Z$278), ROUND(MAX(0,AE$440 - 2),0),
IF(AND(OR(AF$279=123, AF$279=23), Cultivar_2_Cohort_Year_Selection=$Z$278,Cultivar_3_Cohort_Year_Selection=$Z$278), ROUND(MAX(0,AE$440 - 2),0),
IF(AND(OR(AF$279=123, AF$279=12, AF$279=13, AF$279=1), Cultivar_1_Cohort_Year_Selection=$Z$278), ROUND(MAX(0,AE$440 - 1),0),
IF(AND(OR(AF$279=123, AF$279=12, AF$279=23, AF$279=2), Cultivar_2_Cohort_Year_Selection=$Z$278), ROUND(MAX(0,AE$440 - 1),0),
IF(AND(OR(AF$279=123, AF$279=13, AF$279=23, AF$279=3), Cultivar_3_Cohort_Year_Selection=$Z$278), ROUND(MAX(0,AE$440 - 1),0),
ROUND(MAX(0,AE$440),0)))))))),""),""),"")</f>
        <v/>
      </c>
      <c r="AG453" s="496" t="str">
        <f t="shared" ref="AG453:AG460" si="257">IF(ISNUMBER($B$441),
IF($C453&lt;&gt;"",
IF(AND(ISNUMBER(AF$440), AF$440&gt;0),
IF(AND(AG$279=123, Cultivar_1_Cohort_Year_Selection=$AA$278,Cultivar_2_Cohort_Year_Selection=$AA$278,Cultivar_3_Cohort_Year_Selection=$AA$278), ROUND(MAX(0,AF$440 - 3),0),
IF(AND(OR(AG$279=123, AG$279=12), Cultivar_1_Cohort_Year_Selection=$AA$278,Cultivar_2_Cohort_Year_Selection=$AA$278), ROUND(MAX(0,AF$440 - 2),0),
IF(AND(OR(AG$279=123, AG$279=13), Cultivar_1_Cohort_Year_Selection=$AA$278,Cultivar_3_Cohort_Year_Selection=$AA$278), ROUND(MAX(0,AF$440 - 2),0),
IF(AND(OR(AG$279=123, AG$279=23), Cultivar_2_Cohort_Year_Selection=$AA$278,Cultivar_3_Cohort_Year_Selection=$AA$278), ROUND(MAX(0,AF$440 - 2),0),
IF(AND(OR(AG$279=123, AG$279=12, AG$279=13, AG$279=1), Cultivar_1_Cohort_Year_Selection=$AA$278), ROUND(MAX(0,AF$440 - 1),0),
IF(AND(OR(AG$279=123, AG$279=12, AG$279=23, AG$279=2), Cultivar_2_Cohort_Year_Selection=$AA$278), ROUND(MAX(0,AF$440 - 1),0),
IF(AND(OR(AG$279=123, AG$279=13, AG$279=23, AG$279=3), Cultivar_3_Cohort_Year_Selection=$AA$278), ROUND(MAX(0,AF$440 - 1),0),
ROUND(MAX(0,AF$440),0)))))))),""),""),"")</f>
        <v/>
      </c>
      <c r="AH453" s="496" t="str">
        <f t="shared" ref="AH453:AH460" si="258">IF(ISNUMBER($B$441),
IF($C453&lt;&gt;"",
IF(AND(ISNUMBER(AG$440), AG$440&gt;0),
IF(AND(AH$279=123, Cultivar_1_Cohort_Year_Selection=$AB$278,Cultivar_2_Cohort_Year_Selection=$AB$278,Cultivar_3_Cohort_Year_Selection=$AB$278), ROUND(MAX(0,AG$440 - 3),0),
IF(AND(OR(AH$279=123, AH$279=12), Cultivar_1_Cohort_Year_Selection=$AB$278,Cultivar_2_Cohort_Year_Selection=$AB$278), ROUND(MAX(0,AG$440 - 2),0),
IF(AND(OR(AH$279=123, AH$279=13), Cultivar_1_Cohort_Year_Selection=$AB$278,Cultivar_3_Cohort_Year_Selection=$AB$278), ROUND(MAX(0,AG$440 - 2),0),
IF(AND(OR(AH$279=123, AH$279=23), Cultivar_2_Cohort_Year_Selection=$AB$278,Cultivar_3_Cohort_Year_Selection=$AB$278), ROUND(MAX(0,AG$440 - 2),0),
IF(AND(OR(AH$279=123, AH$279=12, AH$279=13, AH$279=1), Cultivar_1_Cohort_Year_Selection=$AB$278), ROUND(MAX(0,AG$440 - 1),0),
IF(AND(OR(AH$279=123, AH$279=12, AH$279=23, AH$279=2), Cultivar_2_Cohort_Year_Selection=$AB$278), ROUND(MAX(0,AG$440 - 1),0),
IF(AND(OR(AH$279=123, AH$279=13, AH$279=23, AH$279=3), Cultivar_3_Cohort_Year_Selection=$AB$278), ROUND(MAX(0,AG$440 - 1),0),
ROUND(MAX(0,AG$440),0)))))))),""),""),"")</f>
        <v/>
      </c>
      <c r="AI453" s="496" t="str">
        <f t="shared" ref="AI453:AI460" si="259">IF(ISNUMBER($B$441),
IF($C453&lt;&gt;"",
IF(AND(ISNUMBER(AH$440), AH$440&gt;0),
IF(AND(AI$279=123, Cultivar_1_Cohort_Year_Selection=$AC$278,Cultivar_2_Cohort_Year_Selection=$AC$278,Cultivar_3_Cohort_Year_Selection=$AC$278), ROUND(MAX(0,AH$440 - 3),0),
IF(AND(OR(AI$279=123, AI$279=12), Cultivar_1_Cohort_Year_Selection=$AC$278,Cultivar_2_Cohort_Year_Selection=$AC$278), ROUND(MAX(0,AH$440 - 2),0),
IF(AND(OR(AI$279=123, AI$279=13), Cultivar_1_Cohort_Year_Selection=$AC$278,Cultivar_3_Cohort_Year_Selection=$AC$278), ROUND(MAX(0,AH$440 - 2),0),
IF(AND(OR(AI$279=123, AI$279=23), Cultivar_2_Cohort_Year_Selection=$AC$278,Cultivar_3_Cohort_Year_Selection=$AC$278), ROUND(MAX(0,AH$440 - 2),0),
IF(AND(OR(AI$279=123, AI$279=12, AI$279=13, AI$279=1), Cultivar_1_Cohort_Year_Selection=$AC$278), ROUND(MAX(0,AH$440 - 1),0),
IF(AND(OR(AI$279=123, AI$279=12, AI$279=23, AI$279=2), Cultivar_2_Cohort_Year_Selection=$AC$278), ROUND(MAX(0,AH$440 - 1),0),
IF(AND(OR(AI$279=123, AI$279=13, AI$279=23, AI$279=3), Cultivar_3_Cohort_Year_Selection=$AC$278), ROUND(MAX(0,AH$440 - 1),0),
ROUND(MAX(0,AH$440),0)))))))),""),""),"")</f>
        <v/>
      </c>
      <c r="AJ453" s="496" t="str">
        <f t="shared" ref="AJ453:AJ460" si="260">IF(ISNUMBER($B$441),
IF($C453&lt;&gt;"",
IF(AND(ISNUMBER(AI$440), AI$440&gt;0),
IF(AND(AJ$279=123, Cultivar_1_Cohort_Year_Selection=$AD$278,Cultivar_2_Cohort_Year_Selection=$AD$278,Cultivar_3_Cohort_Year_Selection=$AD$278), ROUND(MAX(0,AI$440 - 3),0),
IF(AND(OR(AJ$279=123, AJ$279=12), Cultivar_1_Cohort_Year_Selection=$AD$278,Cultivar_2_Cohort_Year_Selection=$AD$278), ROUND(MAX(0,AI$440 - 2),0),
IF(AND(OR(AJ$279=123, AJ$279=13), Cultivar_1_Cohort_Year_Selection=$AD$278,Cultivar_3_Cohort_Year_Selection=$AD$278), ROUND(MAX(0,AI$440 - 2),0),
IF(AND(OR(AJ$279=123, AJ$279=23), Cultivar_2_Cohort_Year_Selection=$AD$278,Cultivar_3_Cohort_Year_Selection=$AD$278), ROUND(MAX(0,AI$440 - 2),0),
IF(AND(OR(AJ$279=123, AJ$279=12, AJ$279=13, AJ$279=1), Cultivar_1_Cohort_Year_Selection=$AD$278), ROUND(MAX(0,AI$440 - 1),0),
IF(AND(OR(AJ$279=123, AJ$279=12, AJ$279=23, AJ$279=2), Cultivar_2_Cohort_Year_Selection=$AD$278), ROUND(MAX(0,AI$440 - 1),0),
IF(AND(OR(AJ$279=123, AJ$279=13, AJ$279=23, AJ$279=3), Cultivar_3_Cohort_Year_Selection=$AD$278), ROUND(MAX(0,AI$440 - 1),0),
ROUND(MAX(0,AI$440),0)))))))),""),""),"")</f>
        <v/>
      </c>
      <c r="AK453" s="496" t="str">
        <f t="shared" ref="AK453:AK460" si="261">IF(ISNUMBER($B$441),
IF($C453&lt;&gt;"",
IF(AND(ISNUMBER(AJ$440), AJ$440&gt;0),
IF(AND(AK$279=123, Cultivar_1_Cohort_Year_Selection=$AE$278,Cultivar_2_Cohort_Year_Selection=$AE$278,Cultivar_3_Cohort_Year_Selection=$AE$278), ROUND(MAX(0,AJ$440 - 3),0),
IF(AND(OR(AK$279=123, AK$279=12), Cultivar_1_Cohort_Year_Selection=$AE$278,Cultivar_2_Cohort_Year_Selection=$AE$278), ROUND(MAX(0,AJ$440 - 2),0),
IF(AND(OR(AK$279=123, AK$279=13), Cultivar_1_Cohort_Year_Selection=$AE$278,Cultivar_3_Cohort_Year_Selection=$AE$278), ROUND(MAX(0,AJ$440 - 2),0),
IF(AND(OR(AK$279=123, AK$279=23), Cultivar_2_Cohort_Year_Selection=$AE$278,Cultivar_3_Cohort_Year_Selection=$AE$278), ROUND(MAX(0,AJ$440 - 2),0),
IF(AND(OR(AK$279=123, AK$279=12, AK$279=13, AK$279=1), Cultivar_1_Cohort_Year_Selection=$AE$278), ROUND(MAX(0,AJ$440 - 1),0),
IF(AND(OR(AK$279=123, AK$279=12, AK$279=23, AK$279=2), Cultivar_2_Cohort_Year_Selection=$AE$278), ROUND(MAX(0,AJ$440 - 1),0),
IF(AND(OR(AK$279=123, AK$279=13, AK$279=23, AK$279=3), Cultivar_3_Cohort_Year_Selection=$AE$278), ROUND(MAX(0,AJ$440 - 1),0),
ROUND(MAX(0,AJ$440),0)))))))),""),""),"")</f>
        <v/>
      </c>
      <c r="AL453" s="496" t="str">
        <f t="shared" ref="AL453:AL460" si="262">IF(ISNUMBER($B$441),
IF($C453&lt;&gt;"",
IF(AND(ISNUMBER(AK$440), AK$440&gt;0),
IF(AND(AL$279=123, Cultivar_1_Cohort_Year_Selection=$AF$278,Cultivar_2_Cohort_Year_Selection=$AF$278,Cultivar_3_Cohort_Year_Selection=$AF$278), ROUND(MAX(0,AK$440 - 3),0),
IF(AND(OR(AL$279=123, AL$279=12), Cultivar_1_Cohort_Year_Selection=$AF$278,Cultivar_2_Cohort_Year_Selection=$AF$278), ROUND(MAX(0,AK$440 - 2),0),
IF(AND(OR(AL$279=123, AL$279=13), Cultivar_1_Cohort_Year_Selection=$AF$278,Cultivar_3_Cohort_Year_Selection=$AF$278), ROUND(MAX(0,AK$440 - 2),0),
IF(AND(OR(AL$279=123, AL$279=23), Cultivar_2_Cohort_Year_Selection=$AF$278,Cultivar_3_Cohort_Year_Selection=$AF$278), ROUND(MAX(0,AK$440 - 2),0),
IF(AND(OR(AL$279=123, AL$279=12, AL$279=13, AL$279=1), Cultivar_1_Cohort_Year_Selection=$AF$278), ROUND(MAX(0,AK$440 - 1),0),
IF(AND(OR(AL$279=123, AL$279=12, AL$279=23, AL$279=2), Cultivar_2_Cohort_Year_Selection=$AF$278), ROUND(MAX(0,AK$440 - 1),0),
IF(AND(OR(AL$279=123, AL$279=13, AL$279=23, AL$279=3), Cultivar_3_Cohort_Year_Selection=$AF$278), ROUND(MAX(0,AK$440 - 1),0),
ROUND(MAX(0,AK$440),0)))))))),""),""),"")</f>
        <v/>
      </c>
      <c r="AM453" s="496" t="str">
        <f t="shared" ref="AM453:AM460" si="263">IF(ISNUMBER($B$441),
IF($C453&lt;&gt;"",
IF(AND(ISNUMBER(AL$440), AL$440&gt;0),
IF(AND(AM$279=123, Cultivar_1_Cohort_Year_Selection=$AG$278,Cultivar_2_Cohort_Year_Selection=$AG$278,Cultivar_3_Cohort_Year_Selection=$AG$278), ROUND(MAX(0,AL$440 - 3),0),
IF(AND(OR(AM$279=123, AM$279=12), Cultivar_1_Cohort_Year_Selection=$AG$278,Cultivar_2_Cohort_Year_Selection=$AG$278), ROUND(MAX(0,AL$440 - 2),0),
IF(AND(OR(AM$279=123, AM$279=13), Cultivar_1_Cohort_Year_Selection=$AG$278,Cultivar_3_Cohort_Year_Selection=$AG$278), ROUND(MAX(0,AL$440 - 2),0),
IF(AND(OR(AM$279=123, AM$279=23), Cultivar_2_Cohort_Year_Selection=$AG$278,Cultivar_3_Cohort_Year_Selection=$AG$278), ROUND(MAX(0,AL$440 - 2),0),
IF(AND(OR(AM$279=123, AM$279=12, AM$279=13, AM$279=1), Cultivar_1_Cohort_Year_Selection=$AG$278), ROUND(MAX(0,AL$440 - 1),0),
IF(AND(OR(AM$279=123, AM$279=12, AM$279=23, AM$279=2), Cultivar_2_Cohort_Year_Selection=$AG$278), ROUND(MAX(0,AL$440 - 1),0),
IF(AND(OR(AM$279=123, AM$279=13, AM$279=23, AM$279=3), Cultivar_3_Cohort_Year_Selection=$AG$278), ROUND(MAX(0,AL$440 - 1),0),
ROUND(MAX(0,AL$440),0)))))))),""),""),"")</f>
        <v/>
      </c>
      <c r="AN453" s="496" t="str">
        <f t="shared" ref="AN453:AN460" si="264">IF(ISNUMBER($B$441),
IF($C453&lt;&gt;"",
IF(AND(ISNUMBER(AM$440), AM$440&gt;0),
IF(AND(AN$279=123, Cultivar_1_Cohort_Year_Selection=$AH$278,Cultivar_2_Cohort_Year_Selection=$AH$278,Cultivar_3_Cohort_Year_Selection=$AH$278), ROUND(MAX(0,AM$440 - 3),0),
IF(AND(OR(AN$279=123, AN$279=12), Cultivar_1_Cohort_Year_Selection=$AH$278,Cultivar_2_Cohort_Year_Selection=$AH$278), ROUND(MAX(0,AM$440 - 2),0),
IF(AND(OR(AN$279=123, AN$279=13), Cultivar_1_Cohort_Year_Selection=$AH$278,Cultivar_3_Cohort_Year_Selection=$AH$278), ROUND(MAX(0,AM$440 - 2),0),
IF(AND(OR(AN$279=123, AN$279=23), Cultivar_2_Cohort_Year_Selection=$AH$278,Cultivar_3_Cohort_Year_Selection=$AH$278), ROUND(MAX(0,AM$440 - 2),0),
IF(AND(OR(AN$279=123, AN$279=12, AN$279=13, AN$279=1), Cultivar_1_Cohort_Year_Selection=$AH$278), ROUND(MAX(0,AM$440 - 1),0),
IF(AND(OR(AN$279=123, AN$279=12, AN$279=23, AN$279=2), Cultivar_2_Cohort_Year_Selection=$AH$278), ROUND(MAX(0,AM$440 - 1),0),
IF(AND(OR(AN$279=123, AN$279=13, AN$279=23, AN$279=3), Cultivar_3_Cohort_Year_Selection=$AH$278), ROUND(MAX(0,AM$440 - 1),0),
ROUND(MAX(0,AM$440),0)))))))),""),""),"")</f>
        <v/>
      </c>
      <c r="AO453" s="496" t="str">
        <f t="shared" ref="AO453:AO460" si="265">IF(ISNUMBER($B$441),
IF($C453&lt;&gt;"",
IF(AND(ISNUMBER(AN$440), AN$440&gt;0),
IF(AND(AO$279=123, Cultivar_1_Cohort_Year_Selection=$AI$278,Cultivar_2_Cohort_Year_Selection=$AI$278,Cultivar_3_Cohort_Year_Selection=$AI$278), ROUND(MAX(0,AN$440 - 3),0),
IF(AND(OR(AO$279=123, AO$279=12), Cultivar_1_Cohort_Year_Selection=$AI$278,Cultivar_2_Cohort_Year_Selection=$AI$278), ROUND(MAX(0,AN$440 - 2),0),
IF(AND(OR(AO$279=123, AO$279=13), Cultivar_1_Cohort_Year_Selection=$AI$278,Cultivar_3_Cohort_Year_Selection=$AI$278), ROUND(MAX(0,AN$440 - 2),0),
IF(AND(OR(AO$279=123, AO$279=23), Cultivar_2_Cohort_Year_Selection=$AI$278,Cultivar_3_Cohort_Year_Selection=$AI$278), ROUND(MAX(0,AN$440 - 2),0),
IF(AND(OR(AO$279=123, AO$279=12, AO$279=13, AO$279=1), Cultivar_1_Cohort_Year_Selection=$AI$278), ROUND(MAX(0,AN$440 - 1),0),
IF(AND(OR(AO$279=123, AO$279=12, AO$279=23, AO$279=2), Cultivar_2_Cohort_Year_Selection=$AI$278), ROUND(MAX(0,AN$440 - 1),0),
IF(AND(OR(AO$279=123, AO$279=13, AO$279=23, AO$279=3), Cultivar_3_Cohort_Year_Selection=$AI$278), ROUND(MAX(0,AN$440 - 1),0),
ROUND(MAX(0,AN$440),0)))))))),""),""),"")</f>
        <v/>
      </c>
      <c r="AP453" s="496" t="str">
        <f t="shared" ref="AP453:AP460" si="266">IF(ISNUMBER($B$441),
IF($C453&lt;&gt;"",
IF(AND(ISNUMBER(AO$440), AO$440&gt;0),
IF(AND(AP$279=123, Cultivar_1_Cohort_Year_Selection=$AJ$278,Cultivar_2_Cohort_Year_Selection=$AJ$278,Cultivar_3_Cohort_Year_Selection=$AJ$278), ROUND(MAX(0,AO$440 - 3),0),
IF(AND(OR(AP$279=123, AP$279=12), Cultivar_1_Cohort_Year_Selection=$AJ$278,Cultivar_2_Cohort_Year_Selection=$AJ$278), ROUND(MAX(0,AO$440 - 2),0),
IF(AND(OR(AP$279=123, AP$279=13), Cultivar_1_Cohort_Year_Selection=$AJ$278,Cultivar_3_Cohort_Year_Selection=$AJ$278), ROUND(MAX(0,AO$440 - 2),0),
IF(AND(OR(AP$279=123, AP$279=23), Cultivar_2_Cohort_Year_Selection=$AJ$278,Cultivar_3_Cohort_Year_Selection=$AJ$278), ROUND(MAX(0,AO$440 - 2),0),
IF(AND(OR(AP$279=123, AP$279=12, AP$279=13, AP$279=1), Cultivar_1_Cohort_Year_Selection=$AJ$278), ROUND(MAX(0,AO$440 - 1),0),
IF(AND(OR(AP$279=123, AP$279=12, AP$279=23, AP$279=2), Cultivar_2_Cohort_Year_Selection=$AJ$278), ROUND(MAX(0,AO$440 - 1),0),
IF(AND(OR(AP$279=123, AP$279=13, AP$279=23, AP$279=3), Cultivar_3_Cohort_Year_Selection=$AJ$278), ROUND(MAX(0,AO$440 - 1),0),
ROUND(MAX(0,AO$440),0)))))))),""),""),"")</f>
        <v/>
      </c>
      <c r="AQ453" s="496" t="str">
        <f t="shared" ref="AQ453:AQ460" si="267">IF(ISNUMBER($B$441),
IF($C453&lt;&gt;"",
IF(AND(ISNUMBER(AP$440), AP$440&gt;0),
IF(AND(AQ$279=123, Cultivar_1_Cohort_Year_Selection=$AK$278,Cultivar_2_Cohort_Year_Selection=$AK$278,Cultivar_3_Cohort_Year_Selection=$AK$278), ROUND(MAX(0,AP$440 - 3),0),
IF(AND(OR(AQ$279=123, AQ$279=12), Cultivar_1_Cohort_Year_Selection=$AK$278,Cultivar_2_Cohort_Year_Selection=$AK$278), ROUND(MAX(0,AP$440 - 2),0),
IF(AND(OR(AQ$279=123, AQ$279=13), Cultivar_1_Cohort_Year_Selection=$AK$278,Cultivar_3_Cohort_Year_Selection=$AK$278), ROUND(MAX(0,AP$440 - 2),0),
IF(AND(OR(AQ$279=123, AQ$279=23), Cultivar_2_Cohort_Year_Selection=$AK$278,Cultivar_3_Cohort_Year_Selection=$AK$278), ROUND(MAX(0,AP$440 - 2),0),
IF(AND(OR(AQ$279=123, AQ$279=12, AQ$279=13, AQ$279=1), Cultivar_1_Cohort_Year_Selection=$AK$278), ROUND(MAX(0,AP$440 - 1),0),
IF(AND(OR(AQ$279=123, AQ$279=12, AQ$279=23, AQ$279=2), Cultivar_2_Cohort_Year_Selection=$AK$278), ROUND(MAX(0,AP$440 - 1),0),
IF(AND(OR(AQ$279=123, AQ$279=13, AQ$279=23, AQ$279=3), Cultivar_3_Cohort_Year_Selection=$AK$278), ROUND(MAX(0,AP$440 - 1),0),
ROUND(MAX(0,AP$440),0)))))))),""),""),"")</f>
        <v/>
      </c>
      <c r="AR453" s="496" t="str">
        <f t="shared" ref="AR453:AR460" si="268">IF(ISNUMBER($B$441),
IF($C453&lt;&gt;"",
IF(AND(ISNUMBER(AQ$440), AQ$440&gt;0),
IF(AND(AR$279=123, Cultivar_1_Cohort_Year_Selection=$AL$278,Cultivar_2_Cohort_Year_Selection=$AL$278,Cultivar_3_Cohort_Year_Selection=$AL$278), ROUND(MAX(0,AQ$440 - 3),0),
IF(AND(OR(AR$279=123, AR$279=12), Cultivar_1_Cohort_Year_Selection=$AL$278,Cultivar_2_Cohort_Year_Selection=$AL$278), ROUND(MAX(0,AQ$440 - 2),0),
IF(AND(OR(AR$279=123, AR$279=13), Cultivar_1_Cohort_Year_Selection=$AL$278,Cultivar_3_Cohort_Year_Selection=$AL$278), ROUND(MAX(0,AQ$440 - 2),0),
IF(AND(OR(AR$279=123, AR$279=23), Cultivar_2_Cohort_Year_Selection=$AL$278,Cultivar_3_Cohort_Year_Selection=$AL$278), ROUND(MAX(0,AQ$440 - 2),0),
IF(AND(OR(AR$279=123, AR$279=12, AR$279=13, AR$279=1), Cultivar_1_Cohort_Year_Selection=$AL$278), ROUND(MAX(0,AQ$440 - 1),0),
IF(AND(OR(AR$279=123, AR$279=12, AR$279=23, AR$279=2), Cultivar_2_Cohort_Year_Selection=$AL$278), ROUND(MAX(0,AQ$440 - 1),0),
IF(AND(OR(AR$279=123, AR$279=13, AR$279=23, AR$279=3), Cultivar_3_Cohort_Year_Selection=$AL$278), ROUND(MAX(0,AQ$440 - 1),0),
ROUND(MAX(0,AQ$440),0)))))))),""),""),"")</f>
        <v/>
      </c>
      <c r="AS453" s="496" t="str">
        <f t="shared" ref="AS453:AS460" si="269">IF(ISNUMBER($B$441),
IF($C453&lt;&gt;"",
IF(AND(ISNUMBER(AR$440), AR$440&gt;0),
IF(AND(AS$279=123, Cultivar_1_Cohort_Year_Selection=$AM$278,Cultivar_2_Cohort_Year_Selection=$AM$278,Cultivar_3_Cohort_Year_Selection=$AM$278), ROUND(MAX(0,AR$440 - 3),0),
IF(AND(OR(AS$279=123, AS$279=12), Cultivar_1_Cohort_Year_Selection=$AM$278,Cultivar_2_Cohort_Year_Selection=$AM$278), ROUND(MAX(0,AR$440 - 2),0),
IF(AND(OR(AS$279=123, AS$279=13), Cultivar_1_Cohort_Year_Selection=$AM$278,Cultivar_3_Cohort_Year_Selection=$AM$278), ROUND(MAX(0,AR$440 - 2),0),
IF(AND(OR(AS$279=123, AS$279=23), Cultivar_2_Cohort_Year_Selection=$AM$278,Cultivar_3_Cohort_Year_Selection=$AM$278), ROUND(MAX(0,AR$440 - 2),0),
IF(AND(OR(AS$279=123, AS$279=12, AS$279=13, AS$279=1), Cultivar_1_Cohort_Year_Selection=$AM$278), ROUND(MAX(0,AR$440 - 1),0),
IF(AND(OR(AS$279=123, AS$279=12, AS$279=23, AS$279=2), Cultivar_2_Cohort_Year_Selection=$AM$278), ROUND(MAX(0,AR$440 - 1),0),
IF(AND(OR(AS$279=123, AS$279=13, AS$279=23, AS$279=3), Cultivar_3_Cohort_Year_Selection=$AM$278), ROUND(MAX(0,AR$440 - 1),0),
ROUND(MAX(0,AR$440),0)))))))),""),""),"")</f>
        <v/>
      </c>
      <c r="AT453" s="496" t="str">
        <f t="shared" ref="AT453:AT460" si="270">IF(ISNUMBER($B$441),
IF($C453&lt;&gt;"",
IF(AND(ISNUMBER(AS$440), AS$440&gt;0),
IF(AND(AT$279=123, Cultivar_1_Cohort_Year_Selection=$AN$278,Cultivar_2_Cohort_Year_Selection=$AN$278,Cultivar_3_Cohort_Year_Selection=$AN$278), ROUND(MAX(0,AS$440 - 3),0),
IF(AND(OR(AT$279=123, AT$279=12), Cultivar_1_Cohort_Year_Selection=$AN$278,Cultivar_2_Cohort_Year_Selection=$AN$278), ROUND(MAX(0,AS$440 - 2),0),
IF(AND(OR(AT$279=123, AT$279=13), Cultivar_1_Cohort_Year_Selection=$AN$278,Cultivar_3_Cohort_Year_Selection=$AN$278), ROUND(MAX(0,AS$440 - 2),0),
IF(AND(OR(AT$279=123, AT$279=23), Cultivar_2_Cohort_Year_Selection=$AN$278,Cultivar_3_Cohort_Year_Selection=$AN$278), ROUND(MAX(0,AS$440 - 2),0),
IF(AND(OR(AT$279=123, AT$279=12, AT$279=13, AT$279=1), Cultivar_1_Cohort_Year_Selection=$AN$278), ROUND(MAX(0,AS$440 - 1),0),
IF(AND(OR(AT$279=123, AT$279=12, AT$279=23, AT$279=2), Cultivar_2_Cohort_Year_Selection=$AN$278), ROUND(MAX(0,AS$440 - 1),0),
IF(AND(OR(AT$279=123, AT$279=13, AT$279=23, AT$279=3), Cultivar_3_Cohort_Year_Selection=$AN$278), ROUND(MAX(0,AS$440 - 1),0),
ROUND(MAX(0,AS$440),0)))))))),""),""),"")</f>
        <v/>
      </c>
      <c r="AU453" s="496" t="str">
        <f t="shared" ref="AU453:AU460" si="271">IF(ISNUMBER($B$441),
IF($C453&lt;&gt;"",
IF(AND(ISNUMBER(AT$440), AT$440&gt;0),
IF(AND(AU$279=123, Cultivar_1_Cohort_Year_Selection=$AO$278,Cultivar_2_Cohort_Year_Selection=$AO$278,Cultivar_3_Cohort_Year_Selection=$AO$278), ROUND(MAX(0,AT$440 - 3),0),
IF(AND(OR(AU$279=123, AU$279=12), Cultivar_1_Cohort_Year_Selection=$AO$278,Cultivar_2_Cohort_Year_Selection=$AO$278), ROUND(MAX(0,AT$440 - 2),0),
IF(AND(OR(AU$279=123, AU$279=13), Cultivar_1_Cohort_Year_Selection=$AO$278,Cultivar_3_Cohort_Year_Selection=$AO$278), ROUND(MAX(0,AT$440 - 2),0),
IF(AND(OR(AU$279=123, AU$279=23), Cultivar_2_Cohort_Year_Selection=$AO$278,Cultivar_3_Cohort_Year_Selection=$AO$278), ROUND(MAX(0,AT$440 - 2),0),
IF(AND(OR(AU$279=123, AU$279=12, AU$279=13, AU$279=1), Cultivar_1_Cohort_Year_Selection=$AO$278), ROUND(MAX(0,AT$440 - 1),0),
IF(AND(OR(AU$279=123, AU$279=12, AU$279=23, AU$279=2), Cultivar_2_Cohort_Year_Selection=$AO$278), ROUND(MAX(0,AT$440 - 1),0),
IF(AND(OR(AU$279=123, AU$279=13, AU$279=23, AU$279=3), Cultivar_3_Cohort_Year_Selection=$AO$278), ROUND(MAX(0,AT$440 - 1),0),
ROUND(MAX(0,AT$440),0)))))))),""),""),"")</f>
        <v/>
      </c>
      <c r="AV453" s="496" t="str">
        <f t="shared" ref="AV453:AV460" si="272">IF(ISNUMBER($B$441),
IF($C453&lt;&gt;"",
IF(AND(ISNUMBER(AU$440), AU$440&gt;0),
IF(AND(AV$279=123, Cultivar_1_Cohort_Year_Selection=$AP$278,Cultivar_2_Cohort_Year_Selection=$AP$278,Cultivar_3_Cohort_Year_Selection=$AP$278), ROUND(MAX(0,AU$440 - 3),0),
IF(AND(OR(AV$279=123, AV$279=12), Cultivar_1_Cohort_Year_Selection=$AP$278,Cultivar_2_Cohort_Year_Selection=$AP$278), ROUND(MAX(0,AU$440 - 2),0),
IF(AND(OR(AV$279=123, AV$279=13), Cultivar_1_Cohort_Year_Selection=$AP$278,Cultivar_3_Cohort_Year_Selection=$AP$278), ROUND(MAX(0,AU$440 - 2),0),
IF(AND(OR(AV$279=123, AV$279=23), Cultivar_2_Cohort_Year_Selection=$AP$278,Cultivar_3_Cohort_Year_Selection=$AP$278), ROUND(MAX(0,AU$440 - 2),0),
IF(AND(OR(AV$279=123, AV$279=12, AV$279=13, AV$279=1), Cultivar_1_Cohort_Year_Selection=$AP$278), ROUND(MAX(0,AU$440 - 1),0),
IF(AND(OR(AV$279=123, AV$279=12, AV$279=23, AV$279=2), Cultivar_2_Cohort_Year_Selection=$AP$278), ROUND(MAX(0,AU$440 - 1),0),
IF(AND(OR(AV$279=123, AV$279=13, AV$279=23, AV$279=3), Cultivar_3_Cohort_Year_Selection=$AP$278), ROUND(MAX(0,AU$440 - 1),0),
ROUND(MAX(0,AU$440),0)))))))),""),""),"")</f>
        <v/>
      </c>
    </row>
    <row r="454" spans="1:48" x14ac:dyDescent="0.25">
      <c r="A454" s="518"/>
      <c r="B454" s="504"/>
      <c r="C454" s="521"/>
      <c r="D454" s="94" t="str">
        <f>IF(AND(C453&lt;&gt;"", 'Cost Inputs'!$G$117&lt;&gt;""), 'Cost Inputs'!$G$117, "")</f>
        <v/>
      </c>
      <c r="E454" s="94" t="str">
        <f>IF(AND(C453&lt;&gt;"", 'Cost Inputs'!$H$117&lt;&gt;""), 'Cost Inputs'!$H$117, "")</f>
        <v/>
      </c>
      <c r="F454" s="492"/>
      <c r="G454" s="102" t="str">
        <f t="shared" si="152"/>
        <v/>
      </c>
      <c r="H454" s="492"/>
      <c r="I454" s="102" t="str">
        <f>IF($C453&lt;&gt;"", IF(AND($E454&lt;&gt;"", H453&lt;&gt;""), H453/($E453*$E454), 0), "")</f>
        <v/>
      </c>
      <c r="J454" s="492" t="str">
        <f>IF(AND(C454&lt;&gt;"",('Cost Inputs'!$I$86+'Cost Inputs'!$J$86+'Cost Inputs'!$K$86)&gt;0), 'Cost Inputs'!$I$86+'Cost Inputs'!$J$86+'Cost Inputs'!$K$86, "")</f>
        <v/>
      </c>
      <c r="K454" s="102" t="str">
        <f>IF($C453&lt;&gt;"", IF(AND($E454&lt;&gt;"", J453&lt;&gt;""), J453/($E453*$E454), 0), "")</f>
        <v/>
      </c>
      <c r="L454" s="525"/>
      <c r="M454" s="525"/>
      <c r="U454" s="496" t="str">
        <f t="shared" si="245"/>
        <v/>
      </c>
      <c r="V454" s="496" t="str">
        <f t="shared" si="246"/>
        <v/>
      </c>
      <c r="W454" s="496" t="str">
        <f t="shared" si="247"/>
        <v/>
      </c>
      <c r="X454" s="496" t="str">
        <f t="shared" si="248"/>
        <v/>
      </c>
      <c r="Y454" s="496" t="str">
        <f t="shared" si="249"/>
        <v/>
      </c>
      <c r="Z454" s="496" t="str">
        <f t="shared" si="250"/>
        <v/>
      </c>
      <c r="AA454" s="496" t="str">
        <f t="shared" si="251"/>
        <v/>
      </c>
      <c r="AB454" s="496" t="str">
        <f t="shared" si="252"/>
        <v/>
      </c>
      <c r="AC454" s="496" t="str">
        <f t="shared" si="253"/>
        <v/>
      </c>
      <c r="AD454" s="496" t="str">
        <f t="shared" si="254"/>
        <v/>
      </c>
      <c r="AE454" s="496" t="str">
        <f t="shared" si="255"/>
        <v/>
      </c>
      <c r="AF454" s="496" t="str">
        <f t="shared" si="256"/>
        <v/>
      </c>
      <c r="AG454" s="496" t="str">
        <f t="shared" si="257"/>
        <v/>
      </c>
      <c r="AH454" s="496" t="str">
        <f t="shared" si="258"/>
        <v/>
      </c>
      <c r="AI454" s="496" t="str">
        <f t="shared" si="259"/>
        <v/>
      </c>
      <c r="AJ454" s="496" t="str">
        <f t="shared" si="260"/>
        <v/>
      </c>
      <c r="AK454" s="496" t="str">
        <f t="shared" si="261"/>
        <v/>
      </c>
      <c r="AL454" s="496" t="str">
        <f t="shared" si="262"/>
        <v/>
      </c>
      <c r="AM454" s="496" t="str">
        <f t="shared" si="263"/>
        <v/>
      </c>
      <c r="AN454" s="496" t="str">
        <f t="shared" si="264"/>
        <v/>
      </c>
      <c r="AO454" s="496" t="str">
        <f t="shared" si="265"/>
        <v/>
      </c>
      <c r="AP454" s="496" t="str">
        <f t="shared" si="266"/>
        <v/>
      </c>
      <c r="AQ454" s="496" t="str">
        <f t="shared" si="267"/>
        <v/>
      </c>
      <c r="AR454" s="496" t="str">
        <f t="shared" si="268"/>
        <v/>
      </c>
      <c r="AS454" s="496" t="str">
        <f t="shared" si="269"/>
        <v/>
      </c>
      <c r="AT454" s="496" t="str">
        <f t="shared" si="270"/>
        <v/>
      </c>
      <c r="AU454" s="496" t="str">
        <f t="shared" si="271"/>
        <v/>
      </c>
      <c r="AV454" s="496" t="str">
        <f t="shared" si="272"/>
        <v/>
      </c>
    </row>
    <row r="455" spans="1:48" x14ac:dyDescent="0.25">
      <c r="A455" s="518"/>
      <c r="B455" s="504"/>
      <c r="C455" s="376" t="str">
        <f>IF(AND(ISNUMBER(B441), C453&lt;&gt;"", OR('Cost Inputs'!$H$118&lt;&gt;"", 'Cost Inputs'!$I$118&lt;&gt;"", 'Cost Inputs'!$J$118&lt;&gt;"")), _4_5_1, "")</f>
        <v/>
      </c>
      <c r="D455" s="17" t="str">
        <f>IF(AND(C455&lt;&gt;"", 'Cost Inputs'!$G$118&lt;&gt;""), 'Cost Inputs'!$G$118, "")</f>
        <v/>
      </c>
      <c r="E455" s="17" t="str">
        <f>IF(AND(C455&lt;&gt;"", 'Cost Inputs'!$H$118&lt;&gt;""), 'Cost Inputs'!$H$118, "")</f>
        <v/>
      </c>
      <c r="F455" s="493" t="str">
        <f>IF(AND(C455&lt;&gt;"", 'Cost Inputs'!$I$118&lt;&gt;""), 'Cost Inputs'!$I$118, "")</f>
        <v/>
      </c>
      <c r="G455" s="105" t="str">
        <f t="shared" si="152"/>
        <v/>
      </c>
      <c r="H455" s="493" t="str">
        <f>IF(AND(C455&lt;&gt;"", 'Cost Inputs'!$J$118&lt;&gt;""), 'Cost Inputs'!$J$118, "")</f>
        <v/>
      </c>
      <c r="I455" s="105" t="str">
        <f>IF($C455&lt;&gt;"",IF(AND($E455&lt;&gt;"",H455&lt;&gt;""), H455/$E455, 0),"")</f>
        <v/>
      </c>
      <c r="J455" s="493" t="str">
        <f>IF(AND(C455&lt;&gt;"",('Cost Inputs'!$I$118+'Cost Inputs'!$J$118+'Cost Inputs'!$K$118)&gt;0), 'Cost Inputs'!$I$118+'Cost Inputs'!$J$118+'Cost Inputs'!$K$118, "")</f>
        <v/>
      </c>
      <c r="K455" s="105" t="str">
        <f>IF($C455&lt;&gt;"",IF(AND($E455&lt;&gt;"",J455&lt;&gt;""), J455/$E455, 0),"")</f>
        <v/>
      </c>
      <c r="L455" s="525"/>
      <c r="M455" s="525"/>
      <c r="U455" s="497" t="str">
        <f t="shared" si="245"/>
        <v/>
      </c>
      <c r="V455" s="497" t="str">
        <f t="shared" si="246"/>
        <v/>
      </c>
      <c r="W455" s="497" t="str">
        <f t="shared" si="247"/>
        <v/>
      </c>
      <c r="X455" s="497" t="str">
        <f t="shared" si="248"/>
        <v/>
      </c>
      <c r="Y455" s="497" t="str">
        <f t="shared" si="249"/>
        <v/>
      </c>
      <c r="Z455" s="497" t="str">
        <f t="shared" si="250"/>
        <v/>
      </c>
      <c r="AA455" s="497" t="str">
        <f t="shared" si="251"/>
        <v/>
      </c>
      <c r="AB455" s="497" t="str">
        <f t="shared" si="252"/>
        <v/>
      </c>
      <c r="AC455" s="497" t="str">
        <f t="shared" si="253"/>
        <v/>
      </c>
      <c r="AD455" s="497" t="str">
        <f t="shared" si="254"/>
        <v/>
      </c>
      <c r="AE455" s="497" t="str">
        <f t="shared" si="255"/>
        <v/>
      </c>
      <c r="AF455" s="497" t="str">
        <f t="shared" si="256"/>
        <v/>
      </c>
      <c r="AG455" s="497" t="str">
        <f t="shared" si="257"/>
        <v/>
      </c>
      <c r="AH455" s="497" t="str">
        <f t="shared" si="258"/>
        <v/>
      </c>
      <c r="AI455" s="497" t="str">
        <f t="shared" si="259"/>
        <v/>
      </c>
      <c r="AJ455" s="497" t="str">
        <f t="shared" si="260"/>
        <v/>
      </c>
      <c r="AK455" s="497" t="str">
        <f t="shared" si="261"/>
        <v/>
      </c>
      <c r="AL455" s="497" t="str">
        <f t="shared" si="262"/>
        <v/>
      </c>
      <c r="AM455" s="497" t="str">
        <f t="shared" si="263"/>
        <v/>
      </c>
      <c r="AN455" s="497" t="str">
        <f t="shared" si="264"/>
        <v/>
      </c>
      <c r="AO455" s="497" t="str">
        <f t="shared" si="265"/>
        <v/>
      </c>
      <c r="AP455" s="497" t="str">
        <f t="shared" si="266"/>
        <v/>
      </c>
      <c r="AQ455" s="497" t="str">
        <f t="shared" si="267"/>
        <v/>
      </c>
      <c r="AR455" s="497" t="str">
        <f t="shared" si="268"/>
        <v/>
      </c>
      <c r="AS455" s="497" t="str">
        <f t="shared" si="269"/>
        <v/>
      </c>
      <c r="AT455" s="497" t="str">
        <f t="shared" si="270"/>
        <v/>
      </c>
      <c r="AU455" s="497" t="str">
        <f t="shared" si="271"/>
        <v/>
      </c>
      <c r="AV455" s="497" t="str">
        <f t="shared" si="272"/>
        <v/>
      </c>
    </row>
    <row r="456" spans="1:48" x14ac:dyDescent="0.25">
      <c r="A456" s="518"/>
      <c r="B456" s="504"/>
      <c r="C456" s="376" t="str">
        <f>IF(AND(ISNUMBER(B436), OR('Cost Inputs'!$H$85&lt;&gt;"", 'Cost Inputs'!$I$85&lt;&gt;"", 'Cost Inputs'!$J$85&lt;&gt;"")), _3_5_1, "")</f>
        <v/>
      </c>
      <c r="D456" s="17" t="str">
        <f>IF(AND(C455&lt;&gt;"", 'Cost Inputs'!$G$119&lt;&gt;""), 'Cost Inputs'!$G$119, "")</f>
        <v/>
      </c>
      <c r="E456" s="17" t="str">
        <f>IF(AND(C455&lt;&gt;"", 'Cost Inputs'!$H$119&lt;&gt;""), 'Cost Inputs'!$H$119, "")</f>
        <v/>
      </c>
      <c r="F456" s="493"/>
      <c r="G456" s="105" t="str">
        <f t="shared" si="152"/>
        <v/>
      </c>
      <c r="H456" s="493"/>
      <c r="I456" s="105" t="str">
        <f>IF($C455&lt;&gt;"", IF(AND($E456&lt;&gt;"", H455&lt;&gt;""), H455/($E455*$E456), 0), "")</f>
        <v/>
      </c>
      <c r="J456" s="493" t="str">
        <f>IF(AND(C456&lt;&gt;"",('Cost Inputs'!$I$86+'Cost Inputs'!$J$86+'Cost Inputs'!$K$86)&gt;0), 'Cost Inputs'!$I$86+'Cost Inputs'!$J$86+'Cost Inputs'!$K$86, "")</f>
        <v/>
      </c>
      <c r="K456" s="105" t="str">
        <f>IF($C455&lt;&gt;"", IF(AND($E456&lt;&gt;"", J455&lt;&gt;""), J455/($E455*$E456), 0), "")</f>
        <v/>
      </c>
      <c r="L456" s="525"/>
      <c r="M456" s="525"/>
      <c r="U456" s="497" t="str">
        <f t="shared" si="245"/>
        <v/>
      </c>
      <c r="V456" s="497" t="str">
        <f t="shared" si="246"/>
        <v/>
      </c>
      <c r="W456" s="497" t="str">
        <f t="shared" si="247"/>
        <v/>
      </c>
      <c r="X456" s="497" t="str">
        <f t="shared" si="248"/>
        <v/>
      </c>
      <c r="Y456" s="497" t="str">
        <f t="shared" si="249"/>
        <v/>
      </c>
      <c r="Z456" s="497" t="str">
        <f t="shared" si="250"/>
        <v/>
      </c>
      <c r="AA456" s="497" t="str">
        <f t="shared" si="251"/>
        <v/>
      </c>
      <c r="AB456" s="497" t="str">
        <f t="shared" si="252"/>
        <v/>
      </c>
      <c r="AC456" s="497" t="str">
        <f t="shared" si="253"/>
        <v/>
      </c>
      <c r="AD456" s="497" t="str">
        <f t="shared" si="254"/>
        <v/>
      </c>
      <c r="AE456" s="497" t="str">
        <f t="shared" si="255"/>
        <v/>
      </c>
      <c r="AF456" s="497" t="str">
        <f t="shared" si="256"/>
        <v/>
      </c>
      <c r="AG456" s="497" t="str">
        <f t="shared" si="257"/>
        <v/>
      </c>
      <c r="AH456" s="497" t="str">
        <f t="shared" si="258"/>
        <v/>
      </c>
      <c r="AI456" s="497" t="str">
        <f t="shared" si="259"/>
        <v/>
      </c>
      <c r="AJ456" s="497" t="str">
        <f t="shared" si="260"/>
        <v/>
      </c>
      <c r="AK456" s="497" t="str">
        <f t="shared" si="261"/>
        <v/>
      </c>
      <c r="AL456" s="497" t="str">
        <f t="shared" si="262"/>
        <v/>
      </c>
      <c r="AM456" s="497" t="str">
        <f t="shared" si="263"/>
        <v/>
      </c>
      <c r="AN456" s="497" t="str">
        <f t="shared" si="264"/>
        <v/>
      </c>
      <c r="AO456" s="497" t="str">
        <f t="shared" si="265"/>
        <v/>
      </c>
      <c r="AP456" s="497" t="str">
        <f t="shared" si="266"/>
        <v/>
      </c>
      <c r="AQ456" s="497" t="str">
        <f t="shared" si="267"/>
        <v/>
      </c>
      <c r="AR456" s="497" t="str">
        <f t="shared" si="268"/>
        <v/>
      </c>
      <c r="AS456" s="497" t="str">
        <f t="shared" si="269"/>
        <v/>
      </c>
      <c r="AT456" s="497" t="str">
        <f t="shared" si="270"/>
        <v/>
      </c>
      <c r="AU456" s="497" t="str">
        <f t="shared" si="271"/>
        <v/>
      </c>
      <c r="AV456" s="497" t="str">
        <f t="shared" si="272"/>
        <v/>
      </c>
    </row>
    <row r="457" spans="1:48" x14ac:dyDescent="0.25">
      <c r="A457" s="518"/>
      <c r="B457" s="504"/>
      <c r="C457" s="107" t="str">
        <f>IF(AND(ISNUMBER(B441), C453&lt;&gt;"", OR('Cost Inputs'!$H$120&lt;&gt;"", 'Cost Inputs'!$I$120&lt;&gt;"", 'Cost Inputs'!$J$120&lt;&gt;"")), _4_5_2, "")</f>
        <v/>
      </c>
      <c r="D457" s="93" t="str">
        <f>IF(AND(C457&lt;&gt;"", 'Cost Inputs'!$G$120&lt;&gt;""), 'Cost Inputs'!$G$120, "")</f>
        <v/>
      </c>
      <c r="E457" s="93" t="str">
        <f>IF(AND(C457&lt;&gt;"", 'Cost Inputs'!$H$120&lt;&gt;""), 'Cost Inputs'!$H$120, "")</f>
        <v/>
      </c>
      <c r="F457" s="93" t="str">
        <f>IF(AND(C457&lt;&gt;"", 'Cost Inputs'!$I$120&lt;&gt;""), 'Cost Inputs'!$I$120, "")</f>
        <v/>
      </c>
      <c r="G457" s="108" t="str">
        <f t="shared" si="152"/>
        <v/>
      </c>
      <c r="H457" s="93" t="str">
        <f>IF(AND(C457&lt;&gt;"", 'Cost Inputs'!$J$120&lt;&gt;""), 'Cost Inputs'!$J$120, "")</f>
        <v/>
      </c>
      <c r="I457" s="93" t="str">
        <f>IF($C457&lt;&gt;"", IF(AND($E457&lt;&gt;"", H457&lt;&gt;""), H457/$E457, 0),"")</f>
        <v/>
      </c>
      <c r="J457" s="93" t="str">
        <f>IF(AND(C457&lt;&gt;"",('Cost Inputs'!$I$120+'Cost Inputs'!$J$120+'Cost Inputs'!$K$120)&gt;0), 'Cost Inputs'!$I$120+'Cost Inputs'!$J$120+'Cost Inputs'!$K$120, "")</f>
        <v/>
      </c>
      <c r="K457" s="93" t="str">
        <f>IF($C457&lt;&gt;"", IF(AND($E457&lt;&gt;"", J457&lt;&gt;""), J457/$E457, 0),"")</f>
        <v/>
      </c>
      <c r="L457" s="525"/>
      <c r="M457" s="525"/>
      <c r="U457" s="93" t="str">
        <f t="shared" si="245"/>
        <v/>
      </c>
      <c r="V457" s="93" t="str">
        <f t="shared" si="246"/>
        <v/>
      </c>
      <c r="W457" s="93" t="str">
        <f t="shared" si="247"/>
        <v/>
      </c>
      <c r="X457" s="93" t="str">
        <f t="shared" si="248"/>
        <v/>
      </c>
      <c r="Y457" s="93" t="str">
        <f t="shared" si="249"/>
        <v/>
      </c>
      <c r="Z457" s="93" t="str">
        <f t="shared" si="250"/>
        <v/>
      </c>
      <c r="AA457" s="93" t="str">
        <f t="shared" si="251"/>
        <v/>
      </c>
      <c r="AB457" s="93" t="str">
        <f t="shared" si="252"/>
        <v/>
      </c>
      <c r="AC457" s="93" t="str">
        <f t="shared" si="253"/>
        <v/>
      </c>
      <c r="AD457" s="93" t="str">
        <f t="shared" si="254"/>
        <v/>
      </c>
      <c r="AE457" s="93" t="str">
        <f t="shared" si="255"/>
        <v/>
      </c>
      <c r="AF457" s="93" t="str">
        <f t="shared" si="256"/>
        <v/>
      </c>
      <c r="AG457" s="93" t="str">
        <f t="shared" si="257"/>
        <v/>
      </c>
      <c r="AH457" s="93" t="str">
        <f t="shared" si="258"/>
        <v/>
      </c>
      <c r="AI457" s="93" t="str">
        <f t="shared" si="259"/>
        <v/>
      </c>
      <c r="AJ457" s="93" t="str">
        <f t="shared" si="260"/>
        <v/>
      </c>
      <c r="AK457" s="93" t="str">
        <f t="shared" si="261"/>
        <v/>
      </c>
      <c r="AL457" s="93" t="str">
        <f t="shared" si="262"/>
        <v/>
      </c>
      <c r="AM457" s="93" t="str">
        <f t="shared" si="263"/>
        <v/>
      </c>
      <c r="AN457" s="93" t="str">
        <f t="shared" si="264"/>
        <v/>
      </c>
      <c r="AO457" s="93" t="str">
        <f t="shared" si="265"/>
        <v/>
      </c>
      <c r="AP457" s="93" t="str">
        <f t="shared" si="266"/>
        <v/>
      </c>
      <c r="AQ457" s="93" t="str">
        <f t="shared" si="267"/>
        <v/>
      </c>
      <c r="AR457" s="93" t="str">
        <f t="shared" si="268"/>
        <v/>
      </c>
      <c r="AS457" s="93" t="str">
        <f t="shared" si="269"/>
        <v/>
      </c>
      <c r="AT457" s="93" t="str">
        <f t="shared" si="270"/>
        <v/>
      </c>
      <c r="AU457" s="93" t="str">
        <f t="shared" si="271"/>
        <v/>
      </c>
      <c r="AV457" s="93" t="str">
        <f t="shared" si="272"/>
        <v/>
      </c>
    </row>
    <row r="458" spans="1:48" x14ac:dyDescent="0.25">
      <c r="A458" s="518"/>
      <c r="B458" s="504"/>
      <c r="C458" s="104" t="str">
        <f>IF(AND(ISNUMBER(B441), C453&lt;&gt;"", OR('Cost Inputs'!$H$121&lt;&gt;"", 'Cost Inputs'!$I$121&lt;&gt;"", 'Cost Inputs'!$J$121&lt;&gt;"")), _4_5_3, "")</f>
        <v/>
      </c>
      <c r="D458" s="17" t="str">
        <f>IF(AND(C458&lt;&gt;"", 'Cost Inputs'!$G$121&lt;&gt;""), 'Cost Inputs'!$G$121, "")</f>
        <v/>
      </c>
      <c r="E458" s="17" t="str">
        <f>IF(AND(C458&lt;&gt;"", 'Cost Inputs'!$H$121&lt;&gt;""), 'Cost Inputs'!$H$121, "")</f>
        <v/>
      </c>
      <c r="F458" s="17" t="str">
        <f>IF(AND(C458&lt;&gt;"", 'Cost Inputs'!$I$121&lt;&gt;""), 'Cost Inputs'!$I$121, "")</f>
        <v/>
      </c>
      <c r="G458" s="105" t="str">
        <f t="shared" si="152"/>
        <v/>
      </c>
      <c r="H458" s="17" t="str">
        <f>IF(AND(C458&lt;&gt;"", 'Cost Inputs'!$J$121&lt;&gt;""), 'Cost Inputs'!$J$121, "")</f>
        <v/>
      </c>
      <c r="I458" s="17" t="str">
        <f>IF($C458&lt;&gt;"", IF(AND($E458&lt;&gt;"", H458&lt;&gt;""), H458/$E458, 0),"")</f>
        <v/>
      </c>
      <c r="J458" s="17" t="str">
        <f>IF(AND(C458&lt;&gt;"",('Cost Inputs'!$I$121+'Cost Inputs'!$J$121+'Cost Inputs'!$K$121)&gt;0), 'Cost Inputs'!$I$121+'Cost Inputs'!$J$121+'Cost Inputs'!$K$121, "")</f>
        <v/>
      </c>
      <c r="K458" s="17" t="str">
        <f>IF($C458&lt;&gt;"", IF(AND($E458&lt;&gt;"", J458&lt;&gt;""), J458/$E458, 0),"")</f>
        <v/>
      </c>
      <c r="L458" s="525"/>
      <c r="M458" s="525"/>
      <c r="U458" s="17" t="str">
        <f t="shared" si="245"/>
        <v/>
      </c>
      <c r="V458" s="17" t="str">
        <f t="shared" si="246"/>
        <v/>
      </c>
      <c r="W458" s="17" t="str">
        <f t="shared" si="247"/>
        <v/>
      </c>
      <c r="X458" s="17" t="str">
        <f t="shared" si="248"/>
        <v/>
      </c>
      <c r="Y458" s="17" t="str">
        <f t="shared" si="249"/>
        <v/>
      </c>
      <c r="Z458" s="17" t="str">
        <f t="shared" si="250"/>
        <v/>
      </c>
      <c r="AA458" s="17" t="str">
        <f t="shared" si="251"/>
        <v/>
      </c>
      <c r="AB458" s="17" t="str">
        <f t="shared" si="252"/>
        <v/>
      </c>
      <c r="AC458" s="17" t="str">
        <f t="shared" si="253"/>
        <v/>
      </c>
      <c r="AD458" s="17" t="str">
        <f t="shared" si="254"/>
        <v/>
      </c>
      <c r="AE458" s="17" t="str">
        <f t="shared" si="255"/>
        <v/>
      </c>
      <c r="AF458" s="17" t="str">
        <f t="shared" si="256"/>
        <v/>
      </c>
      <c r="AG458" s="17" t="str">
        <f t="shared" si="257"/>
        <v/>
      </c>
      <c r="AH458" s="17" t="str">
        <f t="shared" si="258"/>
        <v/>
      </c>
      <c r="AI458" s="17" t="str">
        <f t="shared" si="259"/>
        <v/>
      </c>
      <c r="AJ458" s="17" t="str">
        <f t="shared" si="260"/>
        <v/>
      </c>
      <c r="AK458" s="17" t="str">
        <f t="shared" si="261"/>
        <v/>
      </c>
      <c r="AL458" s="17" t="str">
        <f t="shared" si="262"/>
        <v/>
      </c>
      <c r="AM458" s="17" t="str">
        <f t="shared" si="263"/>
        <v/>
      </c>
      <c r="AN458" s="17" t="str">
        <f t="shared" si="264"/>
        <v/>
      </c>
      <c r="AO458" s="17" t="str">
        <f t="shared" si="265"/>
        <v/>
      </c>
      <c r="AP458" s="17" t="str">
        <f t="shared" si="266"/>
        <v/>
      </c>
      <c r="AQ458" s="17" t="str">
        <f t="shared" si="267"/>
        <v/>
      </c>
      <c r="AR458" s="17" t="str">
        <f t="shared" si="268"/>
        <v/>
      </c>
      <c r="AS458" s="17" t="str">
        <f t="shared" si="269"/>
        <v/>
      </c>
      <c r="AT458" s="17" t="str">
        <f t="shared" si="270"/>
        <v/>
      </c>
      <c r="AU458" s="17" t="str">
        <f t="shared" si="271"/>
        <v/>
      </c>
      <c r="AV458" s="17" t="str">
        <f t="shared" si="272"/>
        <v/>
      </c>
    </row>
    <row r="459" spans="1:48" x14ac:dyDescent="0.25">
      <c r="A459" s="518"/>
      <c r="B459" s="504"/>
      <c r="C459" s="107" t="str">
        <f>IF(AND(ISNUMBER(B441), C453&lt;&gt;"", OR('Cost Inputs'!$H$122&lt;&gt;"", 'Cost Inputs'!$I$122&lt;&gt;"", 'Cost Inputs'!$J$122&lt;&gt;"")), _4_5_2, "")</f>
        <v/>
      </c>
      <c r="D459" s="93" t="str">
        <f>IF(AND(C459&lt;&gt;"", 'Cost Inputs'!$G$122&lt;&gt;""), 'Cost Inputs'!$G$122, "")</f>
        <v/>
      </c>
      <c r="E459" s="93" t="str">
        <f>IF(AND(C459&lt;&gt;"", 'Cost Inputs'!$H$122&lt;&gt;""), 'Cost Inputs'!$H$122, "")</f>
        <v/>
      </c>
      <c r="F459" s="93" t="str">
        <f>IF(AND(C459&lt;&gt;"", 'Cost Inputs'!$I$122&lt;&gt;""), 'Cost Inputs'!$I$122, "")</f>
        <v/>
      </c>
      <c r="G459" s="108" t="str">
        <f t="shared" si="152"/>
        <v/>
      </c>
      <c r="H459" s="93" t="str">
        <f>IF(AND(C459&lt;&gt;"", 'Cost Inputs'!$J$122&lt;&gt;""), 'Cost Inputs'!$J$122, "")</f>
        <v/>
      </c>
      <c r="I459" s="93" t="str">
        <f>IF($C459&lt;&gt;"", IF(AND($E459&lt;&gt;"", H459&lt;&gt;""), H459/$E459, 0),"")</f>
        <v/>
      </c>
      <c r="J459" s="93" t="str">
        <f>IF(AND(C459&lt;&gt;"",('Cost Inputs'!$I$122+'Cost Inputs'!$J$122+'Cost Inputs'!$K$122)&gt;0), 'Cost Inputs'!$I$122+'Cost Inputs'!$J$122+'Cost Inputs'!$K$122, "")</f>
        <v/>
      </c>
      <c r="K459" s="93" t="str">
        <f>IF($C459&lt;&gt;"", IF(AND($E459&lt;&gt;"", J459&lt;&gt;""), J459/$E459, 0),"")</f>
        <v/>
      </c>
      <c r="L459" s="525"/>
      <c r="M459" s="525"/>
      <c r="U459" s="93" t="str">
        <f t="shared" si="245"/>
        <v/>
      </c>
      <c r="V459" s="93" t="str">
        <f t="shared" si="246"/>
        <v/>
      </c>
      <c r="W459" s="93" t="str">
        <f t="shared" si="247"/>
        <v/>
      </c>
      <c r="X459" s="93" t="str">
        <f t="shared" si="248"/>
        <v/>
      </c>
      <c r="Y459" s="93" t="str">
        <f t="shared" si="249"/>
        <v/>
      </c>
      <c r="Z459" s="93" t="str">
        <f t="shared" si="250"/>
        <v/>
      </c>
      <c r="AA459" s="93" t="str">
        <f t="shared" si="251"/>
        <v/>
      </c>
      <c r="AB459" s="93" t="str">
        <f t="shared" si="252"/>
        <v/>
      </c>
      <c r="AC459" s="93" t="str">
        <f t="shared" si="253"/>
        <v/>
      </c>
      <c r="AD459" s="93" t="str">
        <f t="shared" si="254"/>
        <v/>
      </c>
      <c r="AE459" s="93" t="str">
        <f t="shared" si="255"/>
        <v/>
      </c>
      <c r="AF459" s="93" t="str">
        <f t="shared" si="256"/>
        <v/>
      </c>
      <c r="AG459" s="93" t="str">
        <f t="shared" si="257"/>
        <v/>
      </c>
      <c r="AH459" s="93" t="str">
        <f t="shared" si="258"/>
        <v/>
      </c>
      <c r="AI459" s="93" t="str">
        <f t="shared" si="259"/>
        <v/>
      </c>
      <c r="AJ459" s="93" t="str">
        <f t="shared" si="260"/>
        <v/>
      </c>
      <c r="AK459" s="93" t="str">
        <f t="shared" si="261"/>
        <v/>
      </c>
      <c r="AL459" s="93" t="str">
        <f t="shared" si="262"/>
        <v/>
      </c>
      <c r="AM459" s="93" t="str">
        <f t="shared" si="263"/>
        <v/>
      </c>
      <c r="AN459" s="93" t="str">
        <f t="shared" si="264"/>
        <v/>
      </c>
      <c r="AO459" s="93" t="str">
        <f t="shared" si="265"/>
        <v/>
      </c>
      <c r="AP459" s="93" t="str">
        <f t="shared" si="266"/>
        <v/>
      </c>
      <c r="AQ459" s="93" t="str">
        <f t="shared" si="267"/>
        <v/>
      </c>
      <c r="AR459" s="93" t="str">
        <f t="shared" si="268"/>
        <v/>
      </c>
      <c r="AS459" s="93" t="str">
        <f t="shared" si="269"/>
        <v/>
      </c>
      <c r="AT459" s="93" t="str">
        <f t="shared" si="270"/>
        <v/>
      </c>
      <c r="AU459" s="93" t="str">
        <f t="shared" si="271"/>
        <v/>
      </c>
      <c r="AV459" s="93" t="str">
        <f t="shared" si="272"/>
        <v/>
      </c>
    </row>
    <row r="460" spans="1:48" x14ac:dyDescent="0.25">
      <c r="A460" s="518"/>
      <c r="B460" s="504"/>
      <c r="C460" s="104" t="str">
        <f>IF(AND(ISNUMBER(B441), C453&lt;&gt;"", OR('Cost Inputs'!$H$123&lt;&gt;"", 'Cost Inputs'!$I$123&lt;&gt;"", 'Cost Inputs'!$J$123&lt;&gt;"")), _4_5_3, "")</f>
        <v/>
      </c>
      <c r="D460" s="17" t="str">
        <f>IF(AND(C460&lt;&gt;"", 'Cost Inputs'!$G$123&lt;&gt;""), 'Cost Inputs'!$G$123, "")</f>
        <v/>
      </c>
      <c r="E460" s="17" t="str">
        <f>IF(AND(C460&lt;&gt;"", 'Cost Inputs'!$H$123&lt;&gt;""), 'Cost Inputs'!$H$123, "")</f>
        <v/>
      </c>
      <c r="F460" s="17" t="str">
        <f>IF(AND(C460&lt;&gt;"", 'Cost Inputs'!$I$123&lt;&gt;""), 'Cost Inputs'!$I$123, "")</f>
        <v/>
      </c>
      <c r="G460" s="105" t="str">
        <f t="shared" si="152"/>
        <v/>
      </c>
      <c r="H460" s="17" t="str">
        <f>IF(AND(C460&lt;&gt;"", 'Cost Inputs'!$J$123&lt;&gt;""), 'Cost Inputs'!$J$123, "")</f>
        <v/>
      </c>
      <c r="I460" s="17" t="str">
        <f>IF($C460&lt;&gt;"", IF(AND($E460&lt;&gt;"", H460&lt;&gt;""), H460/$E460, 0),"")</f>
        <v/>
      </c>
      <c r="J460" s="17" t="str">
        <f>IF(AND(C460&lt;&gt;"",('Cost Inputs'!$I$123+'Cost Inputs'!$J$123+'Cost Inputs'!$K$123)&gt;0), 'Cost Inputs'!$I$123+'Cost Inputs'!$J$123+'Cost Inputs'!$K$123, "")</f>
        <v/>
      </c>
      <c r="K460" s="17" t="str">
        <f>IF($C460&lt;&gt;"", IF(AND($E460&lt;&gt;"", J460&lt;&gt;""), J460/$E460, 0),"")</f>
        <v/>
      </c>
      <c r="L460" s="525"/>
      <c r="M460" s="525"/>
      <c r="U460" s="17" t="str">
        <f t="shared" si="245"/>
        <v/>
      </c>
      <c r="V460" s="17" t="str">
        <f t="shared" si="246"/>
        <v/>
      </c>
      <c r="W460" s="17" t="str">
        <f t="shared" si="247"/>
        <v/>
      </c>
      <c r="X460" s="17" t="str">
        <f t="shared" si="248"/>
        <v/>
      </c>
      <c r="Y460" s="17" t="str">
        <f t="shared" si="249"/>
        <v/>
      </c>
      <c r="Z460" s="17" t="str">
        <f t="shared" si="250"/>
        <v/>
      </c>
      <c r="AA460" s="17" t="str">
        <f t="shared" si="251"/>
        <v/>
      </c>
      <c r="AB460" s="17" t="str">
        <f t="shared" si="252"/>
        <v/>
      </c>
      <c r="AC460" s="17" t="str">
        <f t="shared" si="253"/>
        <v/>
      </c>
      <c r="AD460" s="17" t="str">
        <f t="shared" si="254"/>
        <v/>
      </c>
      <c r="AE460" s="17" t="str">
        <f t="shared" si="255"/>
        <v/>
      </c>
      <c r="AF460" s="17" t="str">
        <f t="shared" si="256"/>
        <v/>
      </c>
      <c r="AG460" s="17" t="str">
        <f t="shared" si="257"/>
        <v/>
      </c>
      <c r="AH460" s="17" t="str">
        <f t="shared" si="258"/>
        <v/>
      </c>
      <c r="AI460" s="17" t="str">
        <f t="shared" si="259"/>
        <v/>
      </c>
      <c r="AJ460" s="17" t="str">
        <f t="shared" si="260"/>
        <v/>
      </c>
      <c r="AK460" s="17" t="str">
        <f t="shared" si="261"/>
        <v/>
      </c>
      <c r="AL460" s="17" t="str">
        <f t="shared" si="262"/>
        <v/>
      </c>
      <c r="AM460" s="17" t="str">
        <f t="shared" si="263"/>
        <v/>
      </c>
      <c r="AN460" s="17" t="str">
        <f t="shared" si="264"/>
        <v/>
      </c>
      <c r="AO460" s="17" t="str">
        <f t="shared" si="265"/>
        <v/>
      </c>
      <c r="AP460" s="17" t="str">
        <f t="shared" si="266"/>
        <v/>
      </c>
      <c r="AQ460" s="17" t="str">
        <f t="shared" si="267"/>
        <v/>
      </c>
      <c r="AR460" s="17" t="str">
        <f t="shared" si="268"/>
        <v/>
      </c>
      <c r="AS460" s="17" t="str">
        <f t="shared" si="269"/>
        <v/>
      </c>
      <c r="AT460" s="17" t="str">
        <f t="shared" si="270"/>
        <v/>
      </c>
      <c r="AU460" s="17" t="str">
        <f t="shared" si="271"/>
        <v/>
      </c>
      <c r="AV460" s="17" t="str">
        <f t="shared" si="272"/>
        <v/>
      </c>
    </row>
    <row r="461" spans="1:48" x14ac:dyDescent="0.25">
      <c r="A461" s="518"/>
      <c r="B461" s="504"/>
      <c r="C461" s="110" t="str">
        <f>IF(ISNUMBER(B441), _4_6_0, "")</f>
        <v/>
      </c>
      <c r="D461" s="94" t="str">
        <f>IF(AND(C461&lt;&gt;"", 'Cost Inputs'!$G$124&lt;&gt;""), 'Cost Inputs'!$G$124, "")</f>
        <v/>
      </c>
      <c r="E461" s="94" t="str">
        <f>IF(AND(C461&lt;&gt;"", 'Cost Inputs'!$H$124&lt;&gt;""), 'Cost Inputs'!$H$124, "")</f>
        <v/>
      </c>
      <c r="F461" s="94" t="str">
        <f>IF(AND(C461&lt;&gt;"", 'Cost Inputs'!$I$124&lt;&gt;""), 'Cost Inputs'!$I$124, "")</f>
        <v/>
      </c>
      <c r="G461" s="102" t="str">
        <f t="shared" si="152"/>
        <v/>
      </c>
      <c r="H461" s="94" t="str">
        <f>IF(AND(C461&lt;&gt;"", 'Cost Inputs'!$J$124&lt;&gt;""), 'Cost Inputs'!$J$124, "")</f>
        <v/>
      </c>
      <c r="I461" s="102" t="str">
        <f>IF($C461&lt;&gt;"",IF(AND($E461&lt;&gt;"",H461&lt;&gt;""), H461/$E461, 0),"")</f>
        <v/>
      </c>
      <c r="J461" s="94" t="str">
        <f>IF(AND(C461&lt;&gt;"",('Cost Inputs'!$I$124+'Cost Inputs'!$J$124+'Cost Inputs'!$K$124)&gt;0), 'Cost Inputs'!$I$124+'Cost Inputs'!$J$124+'Cost Inputs'!$K$124, "")</f>
        <v/>
      </c>
      <c r="K461" s="102" t="str">
        <f>IF($C461&lt;&gt;"",IF(AND($E461&lt;&gt;"",J461&lt;&gt;""), J461/$E461, 0),"")</f>
        <v/>
      </c>
      <c r="L461" s="525"/>
      <c r="M461" s="525"/>
      <c r="U461" s="102" t="str">
        <f>IF(ISNUMBER($B$441), IF($C461&lt;&gt;"", IF(AND(ISNUMBER('Stage 2 Randomized Selection'!E$2),'Stage 2 Randomized Selection'!E$2&gt;0),'Stage 2 Randomized Selection'!E$2*$M441, ""),""),"")</f>
        <v/>
      </c>
      <c r="V461" s="102" t="str">
        <f>IF(ISNUMBER($B$441), IF($C461&lt;&gt;"", IF(AND(ISNUMBER('Stage 2 Randomized Selection'!F$2),'Stage 2 Randomized Selection'!F$2&gt;0),'Stage 2 Randomized Selection'!F$2*$M441, ""),""),"")</f>
        <v/>
      </c>
      <c r="W461" s="102" t="str">
        <f>IF(ISNUMBER($B$441), IF($C461&lt;&gt;"", IF(AND(ISNUMBER('Stage 2 Randomized Selection'!G$2),'Stage 2 Randomized Selection'!G$2&gt;0),'Stage 2 Randomized Selection'!G$2*$M441, ""),""),"")</f>
        <v/>
      </c>
      <c r="X461" s="102" t="str">
        <f>IF(ISNUMBER($B$441), IF($C461&lt;&gt;"", IF(AND(ISNUMBER('Stage 2 Randomized Selection'!H$2),'Stage 2 Randomized Selection'!H$2&gt;0),'Stage 2 Randomized Selection'!H$2*$M441, ""),""),"")</f>
        <v/>
      </c>
      <c r="Y461" s="102" t="str">
        <f>IF(ISNUMBER($B$441), IF($C461&lt;&gt;"", IF(AND(ISNUMBER('Stage 2 Randomized Selection'!I$2),'Stage 2 Randomized Selection'!I$2&gt;0),'Stage 2 Randomized Selection'!I$2*$M441, ""),""),"")</f>
        <v/>
      </c>
      <c r="Z461" s="102" t="str">
        <f>IF(ISNUMBER($B$441), IF($C461&lt;&gt;"", IF(AND(ISNUMBER('Stage 2 Randomized Selection'!J$2),'Stage 2 Randomized Selection'!J$2&gt;0),'Stage 2 Randomized Selection'!J$2*$M441, ""),""),"")</f>
        <v/>
      </c>
      <c r="AA461" s="102" t="str">
        <f>IF(ISNUMBER($B$441), IF($C461&lt;&gt;"", IF(AND(ISNUMBER('Stage 2 Randomized Selection'!K$2),'Stage 2 Randomized Selection'!K$2&gt;0),'Stage 2 Randomized Selection'!K$2*$M441, ""),""),"")</f>
        <v/>
      </c>
      <c r="AB461" s="102" t="str">
        <f>IF(ISNUMBER($B$441), IF($C461&lt;&gt;"", IF(AND(ISNUMBER('Stage 2 Randomized Selection'!L$2),'Stage 2 Randomized Selection'!L$2&gt;0),'Stage 2 Randomized Selection'!L$2*$M441, ""),""),"")</f>
        <v/>
      </c>
      <c r="AC461" s="102" t="str">
        <f>IF(ISNUMBER($B$441), IF($C461&lt;&gt;"", IF(AND(ISNUMBER('Stage 2 Randomized Selection'!M$2),'Stage 2 Randomized Selection'!M$2&gt;0),'Stage 2 Randomized Selection'!M$2*$M441, ""),""),"")</f>
        <v/>
      </c>
      <c r="AD461" s="102" t="str">
        <f>IF(ISNUMBER($B$441), IF($C461&lt;&gt;"", IF(AND(ISNUMBER('Stage 2 Randomized Selection'!N$2),'Stage 2 Randomized Selection'!N$2&gt;0),'Stage 2 Randomized Selection'!N$2*$M441, ""),""),"")</f>
        <v/>
      </c>
      <c r="AE461" s="102" t="str">
        <f>IF(ISNUMBER($B$441), IF($C461&lt;&gt;"", IF(AND(ISNUMBER('Stage 2 Randomized Selection'!O$2),'Stage 2 Randomized Selection'!O$2&gt;0),'Stage 2 Randomized Selection'!O$2*$M441, ""),""),"")</f>
        <v/>
      </c>
      <c r="AF461" s="102" t="str">
        <f>IF(ISNUMBER($B$441), IF($C461&lt;&gt;"", IF(AND(ISNUMBER('Stage 2 Randomized Selection'!P$2),'Stage 2 Randomized Selection'!P$2&gt;0),'Stage 2 Randomized Selection'!P$2*$M441, ""),""),"")</f>
        <v/>
      </c>
      <c r="AG461" s="102" t="str">
        <f>IF(ISNUMBER($B$441), IF($C461&lt;&gt;"", IF(AND(ISNUMBER('Stage 2 Randomized Selection'!Q$2),'Stage 2 Randomized Selection'!Q$2&gt;0),'Stage 2 Randomized Selection'!Q$2*$M441, ""),""),"")</f>
        <v/>
      </c>
      <c r="AH461" s="102" t="str">
        <f>IF(ISNUMBER($B$441), IF($C461&lt;&gt;"", IF(AND(ISNUMBER('Stage 2 Randomized Selection'!R$2),'Stage 2 Randomized Selection'!R$2&gt;0),'Stage 2 Randomized Selection'!R$2*$M441, ""),""),"")</f>
        <v/>
      </c>
      <c r="AI461" s="102" t="str">
        <f>IF(ISNUMBER($B$441), IF($C461&lt;&gt;"", IF(AND(ISNUMBER('Stage 2 Randomized Selection'!S$2),'Stage 2 Randomized Selection'!S$2&gt;0),'Stage 2 Randomized Selection'!S$2*$M441, ""),""),"")</f>
        <v/>
      </c>
      <c r="AJ461" s="102" t="str">
        <f>IF(ISNUMBER($B$441), IF($C461&lt;&gt;"", IF(AND(ISNUMBER('Stage 2 Randomized Selection'!T$2),'Stage 2 Randomized Selection'!T$2&gt;0),'Stage 2 Randomized Selection'!T$2*$M441, ""),""),"")</f>
        <v/>
      </c>
      <c r="AK461" s="102" t="str">
        <f>IF(ISNUMBER($B$441), IF($C461&lt;&gt;"", IF(AND(ISNUMBER('Stage 2 Randomized Selection'!U$2),'Stage 2 Randomized Selection'!U$2&gt;0),'Stage 2 Randomized Selection'!U$2*$M441, ""),""),"")</f>
        <v/>
      </c>
      <c r="AL461" s="102" t="str">
        <f>IF(ISNUMBER($B$441), IF($C461&lt;&gt;"", IF(AND(ISNUMBER('Stage 2 Randomized Selection'!V$2),'Stage 2 Randomized Selection'!V$2&gt;0),'Stage 2 Randomized Selection'!V$2*$M441, ""),""),"")</f>
        <v/>
      </c>
      <c r="AM461" s="102" t="str">
        <f>IF(ISNUMBER($B$441), IF($C461&lt;&gt;"", IF(AND(ISNUMBER('Stage 2 Randomized Selection'!W$2),'Stage 2 Randomized Selection'!W$2&gt;0),'Stage 2 Randomized Selection'!W$2*$M441, ""),""),"")</f>
        <v/>
      </c>
      <c r="AN461" s="102" t="str">
        <f>IF(ISNUMBER($B$441), IF($C461&lt;&gt;"", IF(AND(ISNUMBER('Stage 2 Randomized Selection'!X$2),'Stage 2 Randomized Selection'!X$2&gt;0),'Stage 2 Randomized Selection'!X$2*$M441, ""),""),"")</f>
        <v/>
      </c>
      <c r="AO461" s="102" t="str">
        <f>IF(ISNUMBER($B$441), IF($C461&lt;&gt;"", IF(AND(ISNUMBER('Stage 2 Randomized Selection'!Y$2),'Stage 2 Randomized Selection'!Y$2&gt;0),'Stage 2 Randomized Selection'!Y$2*$M441, ""),""),"")</f>
        <v/>
      </c>
      <c r="AP461" s="102" t="str">
        <f>IF(ISNUMBER($B$441), IF($C461&lt;&gt;"", IF(AND(ISNUMBER('Stage 2 Randomized Selection'!Z$2),'Stage 2 Randomized Selection'!Z$2&gt;0),'Stage 2 Randomized Selection'!Z$2*$M441, ""),""),"")</f>
        <v/>
      </c>
      <c r="AQ461" s="102" t="str">
        <f>IF(ISNUMBER($B$441), IF($C461&lt;&gt;"", IF(AND(ISNUMBER('Stage 2 Randomized Selection'!AA$2),'Stage 2 Randomized Selection'!AA$2&gt;0),'Stage 2 Randomized Selection'!AA$2*$M441, ""),""),"")</f>
        <v/>
      </c>
      <c r="AR461" s="102" t="str">
        <f>IF(ISNUMBER($B$441), IF($C461&lt;&gt;"", IF(AND(ISNUMBER('Stage 2 Randomized Selection'!AB$2),'Stage 2 Randomized Selection'!AB$2&gt;0),'Stage 2 Randomized Selection'!AB$2*$M441, ""),""),"")</f>
        <v/>
      </c>
      <c r="AS461" s="102" t="str">
        <f>IF(ISNUMBER($B$441), IF($C461&lt;&gt;"", IF(AND(ISNUMBER('Stage 2 Randomized Selection'!AC$2),'Stage 2 Randomized Selection'!AC$2&gt;0),'Stage 2 Randomized Selection'!AC$2*$M441, ""),""),"")</f>
        <v/>
      </c>
      <c r="AT461" s="102" t="str">
        <f>IF(ISNUMBER($B$441), IF($C461&lt;&gt;"", IF(AND(ISNUMBER('Stage 2 Randomized Selection'!AD$2),'Stage 2 Randomized Selection'!AD$2&gt;0),'Stage 2 Randomized Selection'!AD$2*$M441, ""),""),"")</f>
        <v/>
      </c>
      <c r="AU461" s="102" t="str">
        <f>IF(ISNUMBER($B$441), IF($C461&lt;&gt;"", IF(AND(ISNUMBER('Stage 2 Randomized Selection'!AE$2),'Stage 2 Randomized Selection'!AE$2&gt;0),'Stage 2 Randomized Selection'!AE$2*$M441, ""),""),"")</f>
        <v/>
      </c>
      <c r="AV461" s="102" t="str">
        <f>IF(ISNUMBER($B$441), IF($C461&lt;&gt;"", IF(AND(ISNUMBER('Stage 2 Randomized Selection'!AF$2),'Stage 2 Randomized Selection'!AF$2&gt;0),'Stage 2 Randomized Selection'!AF$2*$M441, ""),""),"")</f>
        <v/>
      </c>
    </row>
    <row r="462" spans="1:48" x14ac:dyDescent="0.25">
      <c r="A462" s="518"/>
      <c r="B462" s="504"/>
      <c r="C462" s="104" t="str">
        <f>IF(AND(ISNUMBER(B441), OR('Cost Inputs'!$H$125&lt;&gt;"", 'Cost Inputs'!$I$125&lt;&gt;"", 'Cost Inputs'!$J$125&lt;&gt;"")), _4_5_3, "")</f>
        <v/>
      </c>
      <c r="D462" s="17" t="str">
        <f>IF(AND(C462&lt;&gt;"", 'Cost Inputs'!$G$125&lt;&gt;""), 'Cost Inputs'!$G$125, "")</f>
        <v/>
      </c>
      <c r="E462" s="17" t="str">
        <f>IF(AND(C462&lt;&gt;"", 'Cost Inputs'!$H$125&lt;&gt;""), 'Cost Inputs'!$H$125, "")</f>
        <v/>
      </c>
      <c r="F462" s="17" t="str">
        <f>IF(AND(C462&lt;&gt;"", 'Cost Inputs'!$I$125&lt;&gt;""), 'Cost Inputs'!$I$125, "")</f>
        <v/>
      </c>
      <c r="G462" s="105" t="str">
        <f t="shared" si="152"/>
        <v/>
      </c>
      <c r="H462" s="17" t="str">
        <f>IF(AND(C462&lt;&gt;"", 'Cost Inputs'!$J$125&lt;&gt;""), 'Cost Inputs'!$J$125, "")</f>
        <v/>
      </c>
      <c r="I462" s="17" t="str">
        <f>IF($C462&lt;&gt;"", IF(AND($E462&lt;&gt;"", H462&lt;&gt;""), H462/$E462, 0),"")</f>
        <v/>
      </c>
      <c r="J462" s="17" t="str">
        <f>IF(AND(C462&lt;&gt;"",('Cost Inputs'!$I$125+'Cost Inputs'!$J$125+'Cost Inputs'!$K$125)&gt;0), 'Cost Inputs'!$I$125+'Cost Inputs'!$J$125+'Cost Inputs'!$K$125, "")</f>
        <v/>
      </c>
      <c r="K462" s="17" t="str">
        <f>IF($C462&lt;&gt;"", IF(AND($E462&lt;&gt;"", J462&lt;&gt;""), J462/$E462, 0),"")</f>
        <v/>
      </c>
      <c r="L462" s="525"/>
      <c r="M462" s="525"/>
      <c r="U462" s="17" t="str">
        <f>IF(ISNUMBER($B$441),
IF($C462&lt;&gt;"",
IF(AND(ISNUMBER(T$440), T$440&gt;0),
IF(AND(U$279=123, Cultivar_1_Cohort_Year_Selection=$O$278,Cultivar_2_Cohort_Year_Selection=$O$278,Cultivar_3_Cohort_Year_Selection=$O$278), ROUND(MAX(0,T$440 - 3),0),
IF(AND(OR(U$279=123, U$279=12), Cultivar_1_Cohort_Year_Selection=$O$278,Cultivar_2_Cohort_Year_Selection=$O$278), ROUND(MAX(0,T$440 - 2),0),
IF(AND(OR(U$279=123, U$279=13), Cultivar_1_Cohort_Year_Selection=$O$278,Cultivar_3_Cohort_Year_Selection=$O$278), ROUND(MAX(0,T$440 - 2),0),
IF(AND(OR(U$279=123, U$279=23), Cultivar_2_Cohort_Year_Selection=$O$278,Cultivar_3_Cohort_Year_Selection=$O$278), ROUND(MAX(0,T$440 - 2),0),
IF(AND(OR(U$279=123, U$279=12, U$279=13, U$279=1), Cultivar_1_Cohort_Year_Selection=$O$278), ROUND(MAX(0,T$440 - 1),0),
IF(AND(OR(U$279=123, U$279=12, U$279=23, U$279=2), Cultivar_2_Cohort_Year_Selection=$O$278), ROUND(MAX(0,T$440 - 1),0),
IF(AND(OR(U$279=123, U$279=13, U$279=23, U$279=3), Cultivar_3_Cohort_Year_Selection=$O$278), ROUND(MAX(0,T$440 - 1),0),
ROUND(MAX(0,T$440),0)))))))),""),""),"")</f>
        <v/>
      </c>
      <c r="V462" s="17" t="str">
        <f>IF(ISNUMBER($B$441),
IF($C462&lt;&gt;"",
IF(AND(ISNUMBER(U$440), U$440&gt;0),
IF(AND(V$279=123, Cultivar_1_Cohort_Year_Selection=$P$278,Cultivar_2_Cohort_Year_Selection=$P$278,Cultivar_3_Cohort_Year_Selection=$P$278), ROUND(MAX(0,U$440 - 3),0),
IF(AND(OR(V$279=123, V$279=12), Cultivar_1_Cohort_Year_Selection=$P$278,Cultivar_2_Cohort_Year_Selection=$P$278), ROUND(MAX(0,U$440 - 2),0),
IF(AND(OR(V$279=123, V$279=13), Cultivar_1_Cohort_Year_Selection=$P$278,Cultivar_3_Cohort_Year_Selection=$P$278), ROUND(MAX(0,U$440 - 2),0),
IF(AND(OR(V$279=123, V$279=23), Cultivar_2_Cohort_Year_Selection=$P$278,Cultivar_3_Cohort_Year_Selection=$P$278), ROUND(MAX(0,U$440 - 2),0),
IF(AND(OR(V$279=123, V$279=12, V$279=13, V$279=1), Cultivar_1_Cohort_Year_Selection=$P$278), ROUND(MAX(0,U$440 - 1),0),
IF(AND(OR(V$279=123, V$279=12, V$279=23, V$279=2), Cultivar_2_Cohort_Year_Selection=$P$278), ROUND(MAX(0,U$440 - 1),0),
IF(AND(OR(V$279=123, V$279=13, V$279=23, V$279=3), Cultivar_3_Cohort_Year_Selection=$P$278), ROUND(MAX(0,U$440 - 1),0),
ROUND(MAX(0,U$440),0)))))))),""),""),"")</f>
        <v/>
      </c>
      <c r="W462" s="17" t="str">
        <f>IF(ISNUMBER($B$441),
IF($C462&lt;&gt;"",
IF(AND(ISNUMBER(V$440), V$440&gt;0),
IF(AND(W$279=123, Cultivar_1_Cohort_Year_Selection=$Q$278,Cultivar_2_Cohort_Year_Selection=$Q$278,Cultivar_3_Cohort_Year_Selection=$Q$278), ROUND(MAX(0,V$440 - 3),0),
IF(AND(OR(W$279=123, W$279=12), Cultivar_1_Cohort_Year_Selection=$Q$278,Cultivar_2_Cohort_Year_Selection=$Q$278), ROUND(MAX(0,V$440 - 2),0),
IF(AND(OR(W$279=123, W$279=13), Cultivar_1_Cohort_Year_Selection=$Q$278,Cultivar_3_Cohort_Year_Selection=$Q$278), ROUND(MAX(0,V$440 - 2),0),
IF(AND(OR(W$279=123, W$279=23), Cultivar_2_Cohort_Year_Selection=$Q$278,Cultivar_3_Cohort_Year_Selection=$Q$278), ROUND(MAX(0,V$440 - 2),0),
IF(AND(OR(W$279=123, W$279=12, W$279=13, W$279=1), Cultivar_1_Cohort_Year_Selection=$Q$278), ROUND(MAX(0,V$440 - 1),0),
IF(AND(OR(W$279=123, W$279=12, W$279=23, W$279=2), Cultivar_2_Cohort_Year_Selection=$Q$278), ROUND(MAX(0,V$440 - 1),0),
IF(AND(OR(W$279=123, W$279=13, W$279=23, W$279=3), Cultivar_3_Cohort_Year_Selection=$Q$278), ROUND(MAX(0,V$440 - 1),0),
ROUND(MAX(0,V$440),0)))))))),""),""),"")</f>
        <v/>
      </c>
      <c r="X462" s="17" t="str">
        <f>IF(ISNUMBER($B$441),
IF($C462&lt;&gt;"",
IF(AND(ISNUMBER(W$440), W$440&gt;0),
IF(AND(X$279=123, Cultivar_1_Cohort_Year_Selection=$R$278,Cultivar_2_Cohort_Year_Selection=$R$278,Cultivar_3_Cohort_Year_Selection=$R$278), ROUND(MAX(0,W$440 - 3),0),
IF(AND(OR(X$279=123, X$279=12), Cultivar_1_Cohort_Year_Selection=$R$278,Cultivar_2_Cohort_Year_Selection=$R$278), ROUND(MAX(0,W$440 - 2),0),
IF(AND(OR(X$279=123, X$279=13), Cultivar_1_Cohort_Year_Selection=$R$278,Cultivar_3_Cohort_Year_Selection=$R$278), ROUND(MAX(0,W$440 - 2),0),
IF(AND(OR(X$279=123, X$279=23), Cultivar_2_Cohort_Year_Selection=$R$278,Cultivar_3_Cohort_Year_Selection=$R$278), ROUND(MAX(0,W$440 - 2),0),
IF(AND(OR(X$279=123, X$279=12, X$279=13, X$279=1), Cultivar_1_Cohort_Year_Selection=$R$278), ROUND(MAX(0,W$440 - 1),0),
IF(AND(OR(X$279=123, X$279=12, X$279=23, X$279=2), Cultivar_2_Cohort_Year_Selection=$R$278), ROUND(MAX(0,W$440 - 1),0),
IF(AND(OR(X$279=123, X$279=13, X$279=23, X$279=3), Cultivar_3_Cohort_Year_Selection=$R$278), ROUND(MAX(0,W$440 - 1),0),
ROUND(MAX(0,W$440),0)))))))),""),""),"")</f>
        <v/>
      </c>
      <c r="Y462" s="17" t="str">
        <f>IF(ISNUMBER($B$441),
IF($C462&lt;&gt;"",
IF(AND(ISNUMBER(X$440), X$440&gt;0),
IF(AND(Y$279=123, Cultivar_1_Cohort_Year_Selection=$S$278,Cultivar_2_Cohort_Year_Selection=$S$278,Cultivar_3_Cohort_Year_Selection=$S$278), ROUND(MAX(0,X$440 - 3),0),
IF(AND(OR(Y$279=123, Y$279=12), Cultivar_1_Cohort_Year_Selection=$S$278,Cultivar_2_Cohort_Year_Selection=$S$278), ROUND(MAX(0,X$440 - 2),0),
IF(AND(OR(Y$279=123, Y$279=13), Cultivar_1_Cohort_Year_Selection=$S$278,Cultivar_3_Cohort_Year_Selection=$S$278), ROUND(MAX(0,X$440 - 2),0),
IF(AND(OR(Y$279=123, Y$279=23), Cultivar_2_Cohort_Year_Selection=$S$278,Cultivar_3_Cohort_Year_Selection=$S$278), ROUND(MAX(0,X$440 - 2),0),
IF(AND(OR(Y$279=123, Y$279=12, Y$279=13, Y$279=1), Cultivar_1_Cohort_Year_Selection=$S$278), ROUND(MAX(0,X$440 - 1),0),
IF(AND(OR(Y$279=123, Y$279=12, Y$279=23, Y$279=2), Cultivar_2_Cohort_Year_Selection=$S$278), ROUND(MAX(0,X$440 - 1),0),
IF(AND(OR(Y$279=123, Y$279=13, Y$279=23, Y$279=3), Cultivar_3_Cohort_Year_Selection=$S$278), ROUND(MAX(0,X$440 - 1),0),
ROUND(MAX(0,X$440),0)))))))),""),""),"")</f>
        <v/>
      </c>
      <c r="Z462" s="17" t="str">
        <f>IF(ISNUMBER($B$441),
IF($C462&lt;&gt;"",
IF(AND(ISNUMBER(Y$440), Y$440&gt;0),
IF(AND(Z$279=123, Cultivar_1_Cohort_Year_Selection=$T$278,Cultivar_2_Cohort_Year_Selection=$T$278,Cultivar_3_Cohort_Year_Selection=$T$278), ROUND(MAX(0,Y$440 - 3),0),
IF(AND(OR(Z$279=123, Z$279=12), Cultivar_1_Cohort_Year_Selection=$T$278,Cultivar_2_Cohort_Year_Selection=$T$278), ROUND(MAX(0,Y$440 - 2),0),
IF(AND(OR(Z$279=123, Z$279=13), Cultivar_1_Cohort_Year_Selection=$T$278,Cultivar_3_Cohort_Year_Selection=$T$278), ROUND(MAX(0,Y$440 - 2),0),
IF(AND(OR(Z$279=123, Z$279=23), Cultivar_2_Cohort_Year_Selection=$T$278,Cultivar_3_Cohort_Year_Selection=$T$278), ROUND(MAX(0,Y$440 - 2),0),
IF(AND(OR(Z$279=123, Z$279=12, Z$279=13, Z$279=1), Cultivar_1_Cohort_Year_Selection=$T$278), ROUND(MAX(0,Y$440 - 1),0),
IF(AND(OR(Z$279=123, Z$279=12, Z$279=23, Z$279=2), Cultivar_2_Cohort_Year_Selection=$T$278), ROUND(MAX(0,Y$440 - 1),0),
IF(AND(OR(Z$279=123, Z$279=13, Z$279=23, Z$279=3), Cultivar_3_Cohort_Year_Selection=$T$278), ROUND(MAX(0,Y$440 - 1),0),
ROUND(MAX(0,Y$440),0)))))))),""),""),"")</f>
        <v/>
      </c>
      <c r="AA462" s="17" t="str">
        <f>IF(ISNUMBER($B$441),
IF($C462&lt;&gt;"",
IF(AND(ISNUMBER(Z$440), Z$440&gt;0),
IF(AND(AA$279=123, Cultivar_1_Cohort_Year_Selection=$U$278,Cultivar_2_Cohort_Year_Selection=$U$278,Cultivar_3_Cohort_Year_Selection=$U$278), ROUND(MAX(0,Z$440 - 3),0),
IF(AND(OR(AA$279=123, AA$279=12), Cultivar_1_Cohort_Year_Selection=$U$278,Cultivar_2_Cohort_Year_Selection=$U$278), ROUND(MAX(0,Z$440 - 2),0),
IF(AND(OR(AA$279=123, AA$279=13), Cultivar_1_Cohort_Year_Selection=$U$278,Cultivar_3_Cohort_Year_Selection=$U$278), ROUND(MAX(0,Z$440 - 2),0),
IF(AND(OR(AA$279=123, AA$279=23), Cultivar_2_Cohort_Year_Selection=$U$278,Cultivar_3_Cohort_Year_Selection=$U$278), ROUND(MAX(0,Z$440 - 2),0),
IF(AND(OR(AA$279=123, AA$279=12, AA$279=13, AA$279=1), Cultivar_1_Cohort_Year_Selection=$U$278), ROUND(MAX(0,Z$440 - 1),0),
IF(AND(OR(AA$279=123, AA$279=12, AA$279=23, AA$279=2), Cultivar_2_Cohort_Year_Selection=$U$278), ROUND(MAX(0,Z$440 - 1),0),
IF(AND(OR(AA$279=123, AA$279=13, AA$279=23, AA$279=3), Cultivar_3_Cohort_Year_Selection=$U$278), ROUND(MAX(0,Z$440 - 1),0),
ROUND(MAX(0,Z$440),0)))))))),""),""),"")</f>
        <v/>
      </c>
      <c r="AB462" s="17" t="str">
        <f>IF(ISNUMBER($B$441),
IF($C462&lt;&gt;"",
IF(AND(ISNUMBER(AA$440), AA$440&gt;0),
IF(AND(AB$279=123, Cultivar_1_Cohort_Year_Selection=$V$278,Cultivar_2_Cohort_Year_Selection=$V$278,Cultivar_3_Cohort_Year_Selection=$V$278), ROUND(MAX(0,AA$440 - 3),0),
IF(AND(OR(AB$279=123, AB$279=12), Cultivar_1_Cohort_Year_Selection=$V$278,Cultivar_2_Cohort_Year_Selection=$V$278), ROUND(MAX(0,AA$440 - 2),0),
IF(AND(OR(AB$279=123, AB$279=13), Cultivar_1_Cohort_Year_Selection=$V$278,Cultivar_3_Cohort_Year_Selection=$V$278), ROUND(MAX(0,AA$440 - 2),0),
IF(AND(OR(AB$279=123, AB$279=23), Cultivar_2_Cohort_Year_Selection=$V$278,Cultivar_3_Cohort_Year_Selection=$V$278), ROUND(MAX(0,AA$440 - 2),0),
IF(AND(OR(AB$279=123, AB$279=12, AB$279=13, AB$279=1), Cultivar_1_Cohort_Year_Selection=$V$278), ROUND(MAX(0,AA$440 - 1),0),
IF(AND(OR(AB$279=123, AB$279=12, AB$279=23, AB$279=2), Cultivar_2_Cohort_Year_Selection=$V$278), ROUND(MAX(0,AA$440 - 1),0),
IF(AND(OR(AB$279=123, AB$279=13, AB$279=23, AB$279=3), Cultivar_3_Cohort_Year_Selection=$V$278), ROUND(MAX(0,AA$440 - 1),0),
ROUND(MAX(0,AA$440),0)))))))),""),""),"")</f>
        <v/>
      </c>
      <c r="AC462" s="17" t="str">
        <f>IF(ISNUMBER($B$441),
IF($C462&lt;&gt;"",
IF(AND(ISNUMBER(AB$440), AB$440&gt;0),
IF(AND(AC$279=123, Cultivar_1_Cohort_Year_Selection=$W$278,Cultivar_2_Cohort_Year_Selection=$W$278,Cultivar_3_Cohort_Year_Selection=$W$278), ROUND(MAX(0,AB$440 - 3),0),
IF(AND(OR(AC$279=123, AC$279=12), Cultivar_1_Cohort_Year_Selection=$W$278,Cultivar_2_Cohort_Year_Selection=$W$278), ROUND(MAX(0,AB$440 - 2),0),
IF(AND(OR(AC$279=123, AC$279=13), Cultivar_1_Cohort_Year_Selection=$W$278,Cultivar_3_Cohort_Year_Selection=$W$278), ROUND(MAX(0,AB$440 - 2),0),
IF(AND(OR(AC$279=123, AC$279=23), Cultivar_2_Cohort_Year_Selection=$W$278,Cultivar_3_Cohort_Year_Selection=$W$278), ROUND(MAX(0,AB$440 - 2),0),
IF(AND(OR(AC$279=123, AC$279=12, AC$279=13, AC$279=1), Cultivar_1_Cohort_Year_Selection=$W$278), ROUND(MAX(0,AB$440 - 1),0),
IF(AND(OR(AC$279=123, AC$279=12, AC$279=23, AC$279=2), Cultivar_2_Cohort_Year_Selection=$W$278), ROUND(MAX(0,AB$440 - 1),0),
IF(AND(OR(AC$279=123, AC$279=13, AC$279=23, AC$279=3), Cultivar_3_Cohort_Year_Selection=$W$278), ROUND(MAX(0,AB$440 - 1),0),
ROUND(MAX(0,AB$440),0)))))))),""),""),"")</f>
        <v/>
      </c>
      <c r="AD462" s="17" t="str">
        <f>IF(ISNUMBER($B$441),
IF($C462&lt;&gt;"",
IF(AND(ISNUMBER(AC$440), AC$440&gt;0),
IF(AND(AD$279=123, Cultivar_1_Cohort_Year_Selection=$X$278,Cultivar_2_Cohort_Year_Selection=$X$278,Cultivar_3_Cohort_Year_Selection=$X$278), ROUND(MAX(0,AC$440 - 3),0),
IF(AND(OR(AD$279=123, AD$279=12), Cultivar_1_Cohort_Year_Selection=$X$278,Cultivar_2_Cohort_Year_Selection=$X$278), ROUND(MAX(0,AC$440 - 2),0),
IF(AND(OR(AD$279=123, AD$279=13), Cultivar_1_Cohort_Year_Selection=$X$278,Cultivar_3_Cohort_Year_Selection=$X$278), ROUND(MAX(0,AC$440 - 2),0),
IF(AND(OR(AD$279=123, AD$279=23), Cultivar_2_Cohort_Year_Selection=$X$278,Cultivar_3_Cohort_Year_Selection=$X$278), ROUND(MAX(0,AC$440 - 2),0),
IF(AND(OR(AD$279=123, AD$279=12, AD$279=13, AD$279=1), Cultivar_1_Cohort_Year_Selection=$X$278), ROUND(MAX(0,AC$440 - 1),0),
IF(AND(OR(AD$279=123, AD$279=12, AD$279=23, AD$279=2), Cultivar_2_Cohort_Year_Selection=$X$278), ROUND(MAX(0,AC$440 - 1),0),
IF(AND(OR(AD$279=123, AD$279=13, AD$279=23, AD$279=3), Cultivar_3_Cohort_Year_Selection=$X$278), ROUND(MAX(0,AC$440 - 1),0),
ROUND(MAX(0,AC$440),0)))))))),""),""),"")</f>
        <v/>
      </c>
      <c r="AE462" s="17" t="str">
        <f>IF(ISNUMBER($B$441),
IF($C462&lt;&gt;"",
IF(AND(ISNUMBER(AD$440), AD$440&gt;0),
IF(AND(AE$279=123, Cultivar_1_Cohort_Year_Selection=$Y$278,Cultivar_2_Cohort_Year_Selection=$Y$278,Cultivar_3_Cohort_Year_Selection=$Y$278), ROUND(MAX(0,AD$440 - 3),0),
IF(AND(OR(AE$279=123, AE$279=12), Cultivar_1_Cohort_Year_Selection=$Y$278,Cultivar_2_Cohort_Year_Selection=$Y$278), ROUND(MAX(0,AD$440 - 2),0),
IF(AND(OR(AE$279=123, AE$279=13), Cultivar_1_Cohort_Year_Selection=$Y$278,Cultivar_3_Cohort_Year_Selection=$Y$278), ROUND(MAX(0,AD$440 - 2),0),
IF(AND(OR(AE$279=123, AE$279=23), Cultivar_2_Cohort_Year_Selection=$Y$278,Cultivar_3_Cohort_Year_Selection=$Y$278), ROUND(MAX(0,AD$440 - 2),0),
IF(AND(OR(AE$279=123, AE$279=12, AE$279=13, AE$279=1), Cultivar_1_Cohort_Year_Selection=$Y$278), ROUND(MAX(0,AD$440 - 1),0),
IF(AND(OR(AE$279=123, AE$279=12, AE$279=23, AE$279=2), Cultivar_2_Cohort_Year_Selection=$Y$278), ROUND(MAX(0,AD$440 - 1),0),
IF(AND(OR(AE$279=123, AE$279=13, AE$279=23, AE$279=3), Cultivar_3_Cohort_Year_Selection=$Y$278), ROUND(MAX(0,AD$440 - 1),0),
ROUND(MAX(0,AD$440),0)))))))),""),""),"")</f>
        <v/>
      </c>
      <c r="AF462" s="17" t="str">
        <f>IF(ISNUMBER($B$441),
IF($C462&lt;&gt;"",
IF(AND(ISNUMBER(AE$440), AE$440&gt;0),
IF(AND(AF$279=123, Cultivar_1_Cohort_Year_Selection=$Z$278,Cultivar_2_Cohort_Year_Selection=$Z$278,Cultivar_3_Cohort_Year_Selection=$Z$278), ROUND(MAX(0,AE$440 - 3),0),
IF(AND(OR(AF$279=123, AF$279=12), Cultivar_1_Cohort_Year_Selection=$Z$278,Cultivar_2_Cohort_Year_Selection=$Z$278), ROUND(MAX(0,AE$440 - 2),0),
IF(AND(OR(AF$279=123, AF$279=13), Cultivar_1_Cohort_Year_Selection=$Z$278,Cultivar_3_Cohort_Year_Selection=$Z$278), ROUND(MAX(0,AE$440 - 2),0),
IF(AND(OR(AF$279=123, AF$279=23), Cultivar_2_Cohort_Year_Selection=$Z$278,Cultivar_3_Cohort_Year_Selection=$Z$278), ROUND(MAX(0,AE$440 - 2),0),
IF(AND(OR(AF$279=123, AF$279=12, AF$279=13, AF$279=1), Cultivar_1_Cohort_Year_Selection=$Z$278), ROUND(MAX(0,AE$440 - 1),0),
IF(AND(OR(AF$279=123, AF$279=12, AF$279=23, AF$279=2), Cultivar_2_Cohort_Year_Selection=$Z$278), ROUND(MAX(0,AE$440 - 1),0),
IF(AND(OR(AF$279=123, AF$279=13, AF$279=23, AF$279=3), Cultivar_3_Cohort_Year_Selection=$Z$278), ROUND(MAX(0,AE$440 - 1),0),
ROUND(MAX(0,AE$440),0)))))))),""),""),"")</f>
        <v/>
      </c>
      <c r="AG462" s="17" t="str">
        <f>IF(ISNUMBER($B$441),
IF($C462&lt;&gt;"",
IF(AND(ISNUMBER(AF$440), AF$440&gt;0),
IF(AND(AG$279=123, Cultivar_1_Cohort_Year_Selection=$AA$278,Cultivar_2_Cohort_Year_Selection=$AA$278,Cultivar_3_Cohort_Year_Selection=$AA$278), ROUND(MAX(0,AF$440 - 3),0),
IF(AND(OR(AG$279=123, AG$279=12), Cultivar_1_Cohort_Year_Selection=$AA$278,Cultivar_2_Cohort_Year_Selection=$AA$278), ROUND(MAX(0,AF$440 - 2),0),
IF(AND(OR(AG$279=123, AG$279=13), Cultivar_1_Cohort_Year_Selection=$AA$278,Cultivar_3_Cohort_Year_Selection=$AA$278), ROUND(MAX(0,AF$440 - 2),0),
IF(AND(OR(AG$279=123, AG$279=23), Cultivar_2_Cohort_Year_Selection=$AA$278,Cultivar_3_Cohort_Year_Selection=$AA$278), ROUND(MAX(0,AF$440 - 2),0),
IF(AND(OR(AG$279=123, AG$279=12, AG$279=13, AG$279=1), Cultivar_1_Cohort_Year_Selection=$AA$278), ROUND(MAX(0,AF$440 - 1),0),
IF(AND(OR(AG$279=123, AG$279=12, AG$279=23, AG$279=2), Cultivar_2_Cohort_Year_Selection=$AA$278), ROUND(MAX(0,AF$440 - 1),0),
IF(AND(OR(AG$279=123, AG$279=13, AG$279=23, AG$279=3), Cultivar_3_Cohort_Year_Selection=$AA$278), ROUND(MAX(0,AF$440 - 1),0),
ROUND(MAX(0,AF$440),0)))))))),""),""),"")</f>
        <v/>
      </c>
      <c r="AH462" s="17" t="str">
        <f>IF(ISNUMBER($B$441),
IF($C462&lt;&gt;"",
IF(AND(ISNUMBER(AG$440), AG$440&gt;0),
IF(AND(AH$279=123, Cultivar_1_Cohort_Year_Selection=$AB$278,Cultivar_2_Cohort_Year_Selection=$AB$278,Cultivar_3_Cohort_Year_Selection=$AB$278), ROUND(MAX(0,AG$440 - 3),0),
IF(AND(OR(AH$279=123, AH$279=12), Cultivar_1_Cohort_Year_Selection=$AB$278,Cultivar_2_Cohort_Year_Selection=$AB$278), ROUND(MAX(0,AG$440 - 2),0),
IF(AND(OR(AH$279=123, AH$279=13), Cultivar_1_Cohort_Year_Selection=$AB$278,Cultivar_3_Cohort_Year_Selection=$AB$278), ROUND(MAX(0,AG$440 - 2),0),
IF(AND(OR(AH$279=123, AH$279=23), Cultivar_2_Cohort_Year_Selection=$AB$278,Cultivar_3_Cohort_Year_Selection=$AB$278), ROUND(MAX(0,AG$440 - 2),0),
IF(AND(OR(AH$279=123, AH$279=12, AH$279=13, AH$279=1), Cultivar_1_Cohort_Year_Selection=$AB$278), ROUND(MAX(0,AG$440 - 1),0),
IF(AND(OR(AH$279=123, AH$279=12, AH$279=23, AH$279=2), Cultivar_2_Cohort_Year_Selection=$AB$278), ROUND(MAX(0,AG$440 - 1),0),
IF(AND(OR(AH$279=123, AH$279=13, AH$279=23, AH$279=3), Cultivar_3_Cohort_Year_Selection=$AB$278), ROUND(MAX(0,AG$440 - 1),0),
ROUND(MAX(0,AG$440),0)))))))),""),""),"")</f>
        <v/>
      </c>
      <c r="AI462" s="17" t="str">
        <f>IF(ISNUMBER($B$441),
IF($C462&lt;&gt;"",
IF(AND(ISNUMBER(AH$440), AH$440&gt;0),
IF(AND(AI$279=123, Cultivar_1_Cohort_Year_Selection=$AC$278,Cultivar_2_Cohort_Year_Selection=$AC$278,Cultivar_3_Cohort_Year_Selection=$AC$278), ROUND(MAX(0,AH$440 - 3),0),
IF(AND(OR(AI$279=123, AI$279=12), Cultivar_1_Cohort_Year_Selection=$AC$278,Cultivar_2_Cohort_Year_Selection=$AC$278), ROUND(MAX(0,AH$440 - 2),0),
IF(AND(OR(AI$279=123, AI$279=13), Cultivar_1_Cohort_Year_Selection=$AC$278,Cultivar_3_Cohort_Year_Selection=$AC$278), ROUND(MAX(0,AH$440 - 2),0),
IF(AND(OR(AI$279=123, AI$279=23), Cultivar_2_Cohort_Year_Selection=$AC$278,Cultivar_3_Cohort_Year_Selection=$AC$278), ROUND(MAX(0,AH$440 - 2),0),
IF(AND(OR(AI$279=123, AI$279=12, AI$279=13, AI$279=1), Cultivar_1_Cohort_Year_Selection=$AC$278), ROUND(MAX(0,AH$440 - 1),0),
IF(AND(OR(AI$279=123, AI$279=12, AI$279=23, AI$279=2), Cultivar_2_Cohort_Year_Selection=$AC$278), ROUND(MAX(0,AH$440 - 1),0),
IF(AND(OR(AI$279=123, AI$279=13, AI$279=23, AI$279=3), Cultivar_3_Cohort_Year_Selection=$AC$278), ROUND(MAX(0,AH$440 - 1),0),
ROUND(MAX(0,AH$440),0)))))))),""),""),"")</f>
        <v/>
      </c>
      <c r="AJ462" s="17" t="str">
        <f>IF(ISNUMBER($B$441),
IF($C462&lt;&gt;"",
IF(AND(ISNUMBER(AI$440), AI$440&gt;0),
IF(AND(AJ$279=123, Cultivar_1_Cohort_Year_Selection=$AD$278,Cultivar_2_Cohort_Year_Selection=$AD$278,Cultivar_3_Cohort_Year_Selection=$AD$278), ROUND(MAX(0,AI$440 - 3),0),
IF(AND(OR(AJ$279=123, AJ$279=12), Cultivar_1_Cohort_Year_Selection=$AD$278,Cultivar_2_Cohort_Year_Selection=$AD$278), ROUND(MAX(0,AI$440 - 2),0),
IF(AND(OR(AJ$279=123, AJ$279=13), Cultivar_1_Cohort_Year_Selection=$AD$278,Cultivar_3_Cohort_Year_Selection=$AD$278), ROUND(MAX(0,AI$440 - 2),0),
IF(AND(OR(AJ$279=123, AJ$279=23), Cultivar_2_Cohort_Year_Selection=$AD$278,Cultivar_3_Cohort_Year_Selection=$AD$278), ROUND(MAX(0,AI$440 - 2),0),
IF(AND(OR(AJ$279=123, AJ$279=12, AJ$279=13, AJ$279=1), Cultivar_1_Cohort_Year_Selection=$AD$278), ROUND(MAX(0,AI$440 - 1),0),
IF(AND(OR(AJ$279=123, AJ$279=12, AJ$279=23, AJ$279=2), Cultivar_2_Cohort_Year_Selection=$AD$278), ROUND(MAX(0,AI$440 - 1),0),
IF(AND(OR(AJ$279=123, AJ$279=13, AJ$279=23, AJ$279=3), Cultivar_3_Cohort_Year_Selection=$AD$278), ROUND(MAX(0,AI$440 - 1),0),
ROUND(MAX(0,AI$440),0)))))))),""),""),"")</f>
        <v/>
      </c>
      <c r="AK462" s="17" t="str">
        <f>IF(ISNUMBER($B$441),
IF($C462&lt;&gt;"",
IF(AND(ISNUMBER(AJ$440), AJ$440&gt;0),
IF(AND(AK$279=123, Cultivar_1_Cohort_Year_Selection=$AE$278,Cultivar_2_Cohort_Year_Selection=$AE$278,Cultivar_3_Cohort_Year_Selection=$AE$278), ROUND(MAX(0,AJ$440 - 3),0),
IF(AND(OR(AK$279=123, AK$279=12), Cultivar_1_Cohort_Year_Selection=$AE$278,Cultivar_2_Cohort_Year_Selection=$AE$278), ROUND(MAX(0,AJ$440 - 2),0),
IF(AND(OR(AK$279=123, AK$279=13), Cultivar_1_Cohort_Year_Selection=$AE$278,Cultivar_3_Cohort_Year_Selection=$AE$278), ROUND(MAX(0,AJ$440 - 2),0),
IF(AND(OR(AK$279=123, AK$279=23), Cultivar_2_Cohort_Year_Selection=$AE$278,Cultivar_3_Cohort_Year_Selection=$AE$278), ROUND(MAX(0,AJ$440 - 2),0),
IF(AND(OR(AK$279=123, AK$279=12, AK$279=13, AK$279=1), Cultivar_1_Cohort_Year_Selection=$AE$278), ROUND(MAX(0,AJ$440 - 1),0),
IF(AND(OR(AK$279=123, AK$279=12, AK$279=23, AK$279=2), Cultivar_2_Cohort_Year_Selection=$AE$278), ROUND(MAX(0,AJ$440 - 1),0),
IF(AND(OR(AK$279=123, AK$279=13, AK$279=23, AK$279=3), Cultivar_3_Cohort_Year_Selection=$AE$278), ROUND(MAX(0,AJ$440 - 1),0),
ROUND(MAX(0,AJ$440),0)))))))),""),""),"")</f>
        <v/>
      </c>
      <c r="AL462" s="17" t="str">
        <f>IF(ISNUMBER($B$441),
IF($C462&lt;&gt;"",
IF(AND(ISNUMBER(AK$440), AK$440&gt;0),
IF(AND(AL$279=123, Cultivar_1_Cohort_Year_Selection=$AF$278,Cultivar_2_Cohort_Year_Selection=$AF$278,Cultivar_3_Cohort_Year_Selection=$AF$278), ROUND(MAX(0,AK$440 - 3),0),
IF(AND(OR(AL$279=123, AL$279=12), Cultivar_1_Cohort_Year_Selection=$AF$278,Cultivar_2_Cohort_Year_Selection=$AF$278), ROUND(MAX(0,AK$440 - 2),0),
IF(AND(OR(AL$279=123, AL$279=13), Cultivar_1_Cohort_Year_Selection=$AF$278,Cultivar_3_Cohort_Year_Selection=$AF$278), ROUND(MAX(0,AK$440 - 2),0),
IF(AND(OR(AL$279=123, AL$279=23), Cultivar_2_Cohort_Year_Selection=$AF$278,Cultivar_3_Cohort_Year_Selection=$AF$278), ROUND(MAX(0,AK$440 - 2),0),
IF(AND(OR(AL$279=123, AL$279=12, AL$279=13, AL$279=1), Cultivar_1_Cohort_Year_Selection=$AF$278), ROUND(MAX(0,AK$440 - 1),0),
IF(AND(OR(AL$279=123, AL$279=12, AL$279=23, AL$279=2), Cultivar_2_Cohort_Year_Selection=$AF$278), ROUND(MAX(0,AK$440 - 1),0),
IF(AND(OR(AL$279=123, AL$279=13, AL$279=23, AL$279=3), Cultivar_3_Cohort_Year_Selection=$AF$278), ROUND(MAX(0,AK$440 - 1),0),
ROUND(MAX(0,AK$440),0)))))))),""),""),"")</f>
        <v/>
      </c>
      <c r="AM462" s="17" t="str">
        <f>IF(ISNUMBER($B$441),
IF($C462&lt;&gt;"",
IF(AND(ISNUMBER(AL$440), AL$440&gt;0),
IF(AND(AM$279=123, Cultivar_1_Cohort_Year_Selection=$AG$278,Cultivar_2_Cohort_Year_Selection=$AG$278,Cultivar_3_Cohort_Year_Selection=$AG$278), ROUND(MAX(0,AL$440 - 3),0),
IF(AND(OR(AM$279=123, AM$279=12), Cultivar_1_Cohort_Year_Selection=$AG$278,Cultivar_2_Cohort_Year_Selection=$AG$278), ROUND(MAX(0,AL$440 - 2),0),
IF(AND(OR(AM$279=123, AM$279=13), Cultivar_1_Cohort_Year_Selection=$AG$278,Cultivar_3_Cohort_Year_Selection=$AG$278), ROUND(MAX(0,AL$440 - 2),0),
IF(AND(OR(AM$279=123, AM$279=23), Cultivar_2_Cohort_Year_Selection=$AG$278,Cultivar_3_Cohort_Year_Selection=$AG$278), ROUND(MAX(0,AL$440 - 2),0),
IF(AND(OR(AM$279=123, AM$279=12, AM$279=13, AM$279=1), Cultivar_1_Cohort_Year_Selection=$AG$278), ROUND(MAX(0,AL$440 - 1),0),
IF(AND(OR(AM$279=123, AM$279=12, AM$279=23, AM$279=2), Cultivar_2_Cohort_Year_Selection=$AG$278), ROUND(MAX(0,AL$440 - 1),0),
IF(AND(OR(AM$279=123, AM$279=13, AM$279=23, AM$279=3), Cultivar_3_Cohort_Year_Selection=$AG$278), ROUND(MAX(0,AL$440 - 1),0),
ROUND(MAX(0,AL$440),0)))))))),""),""),"")</f>
        <v/>
      </c>
      <c r="AN462" s="17" t="str">
        <f>IF(ISNUMBER($B$441),
IF($C462&lt;&gt;"",
IF(AND(ISNUMBER(AM$440), AM$440&gt;0),
IF(AND(AN$279=123, Cultivar_1_Cohort_Year_Selection=$AH$278,Cultivar_2_Cohort_Year_Selection=$AH$278,Cultivar_3_Cohort_Year_Selection=$AH$278), ROUND(MAX(0,AM$440 - 3),0),
IF(AND(OR(AN$279=123, AN$279=12), Cultivar_1_Cohort_Year_Selection=$AH$278,Cultivar_2_Cohort_Year_Selection=$AH$278), ROUND(MAX(0,AM$440 - 2),0),
IF(AND(OR(AN$279=123, AN$279=13), Cultivar_1_Cohort_Year_Selection=$AH$278,Cultivar_3_Cohort_Year_Selection=$AH$278), ROUND(MAX(0,AM$440 - 2),0),
IF(AND(OR(AN$279=123, AN$279=23), Cultivar_2_Cohort_Year_Selection=$AH$278,Cultivar_3_Cohort_Year_Selection=$AH$278), ROUND(MAX(0,AM$440 - 2),0),
IF(AND(OR(AN$279=123, AN$279=12, AN$279=13, AN$279=1), Cultivar_1_Cohort_Year_Selection=$AH$278), ROUND(MAX(0,AM$440 - 1),0),
IF(AND(OR(AN$279=123, AN$279=12, AN$279=23, AN$279=2), Cultivar_2_Cohort_Year_Selection=$AH$278), ROUND(MAX(0,AM$440 - 1),0),
IF(AND(OR(AN$279=123, AN$279=13, AN$279=23, AN$279=3), Cultivar_3_Cohort_Year_Selection=$AH$278), ROUND(MAX(0,AM$440 - 1),0),
ROUND(MAX(0,AM$440),0)))))))),""),""),"")</f>
        <v/>
      </c>
      <c r="AO462" s="17" t="str">
        <f>IF(ISNUMBER($B$441),
IF($C462&lt;&gt;"",
IF(AND(ISNUMBER(AN$440), AN$440&gt;0),
IF(AND(AO$279=123, Cultivar_1_Cohort_Year_Selection=$AI$278,Cultivar_2_Cohort_Year_Selection=$AI$278,Cultivar_3_Cohort_Year_Selection=$AI$278), ROUND(MAX(0,AN$440 - 3),0),
IF(AND(OR(AO$279=123, AO$279=12), Cultivar_1_Cohort_Year_Selection=$AI$278,Cultivar_2_Cohort_Year_Selection=$AI$278), ROUND(MAX(0,AN$440 - 2),0),
IF(AND(OR(AO$279=123, AO$279=13), Cultivar_1_Cohort_Year_Selection=$AI$278,Cultivar_3_Cohort_Year_Selection=$AI$278), ROUND(MAX(0,AN$440 - 2),0),
IF(AND(OR(AO$279=123, AO$279=23), Cultivar_2_Cohort_Year_Selection=$AI$278,Cultivar_3_Cohort_Year_Selection=$AI$278), ROUND(MAX(0,AN$440 - 2),0),
IF(AND(OR(AO$279=123, AO$279=12, AO$279=13, AO$279=1), Cultivar_1_Cohort_Year_Selection=$AI$278), ROUND(MAX(0,AN$440 - 1),0),
IF(AND(OR(AO$279=123, AO$279=12, AO$279=23, AO$279=2), Cultivar_2_Cohort_Year_Selection=$AI$278), ROUND(MAX(0,AN$440 - 1),0),
IF(AND(OR(AO$279=123, AO$279=13, AO$279=23, AO$279=3), Cultivar_3_Cohort_Year_Selection=$AI$278), ROUND(MAX(0,AN$440 - 1),0),
ROUND(MAX(0,AN$440),0)))))))),""),""),"")</f>
        <v/>
      </c>
      <c r="AP462" s="17" t="str">
        <f>IF(ISNUMBER($B$441),
IF($C462&lt;&gt;"",
IF(AND(ISNUMBER(AO$440), AO$440&gt;0),
IF(AND(AP$279=123, Cultivar_1_Cohort_Year_Selection=$AJ$278,Cultivar_2_Cohort_Year_Selection=$AJ$278,Cultivar_3_Cohort_Year_Selection=$AJ$278), ROUND(MAX(0,AO$440 - 3),0),
IF(AND(OR(AP$279=123, AP$279=12), Cultivar_1_Cohort_Year_Selection=$AJ$278,Cultivar_2_Cohort_Year_Selection=$AJ$278), ROUND(MAX(0,AO$440 - 2),0),
IF(AND(OR(AP$279=123, AP$279=13), Cultivar_1_Cohort_Year_Selection=$AJ$278,Cultivar_3_Cohort_Year_Selection=$AJ$278), ROUND(MAX(0,AO$440 - 2),0),
IF(AND(OR(AP$279=123, AP$279=23), Cultivar_2_Cohort_Year_Selection=$AJ$278,Cultivar_3_Cohort_Year_Selection=$AJ$278), ROUND(MAX(0,AO$440 - 2),0),
IF(AND(OR(AP$279=123, AP$279=12, AP$279=13, AP$279=1), Cultivar_1_Cohort_Year_Selection=$AJ$278), ROUND(MAX(0,AO$440 - 1),0),
IF(AND(OR(AP$279=123, AP$279=12, AP$279=23, AP$279=2), Cultivar_2_Cohort_Year_Selection=$AJ$278), ROUND(MAX(0,AO$440 - 1),0),
IF(AND(OR(AP$279=123, AP$279=13, AP$279=23, AP$279=3), Cultivar_3_Cohort_Year_Selection=$AJ$278), ROUND(MAX(0,AO$440 - 1),0),
ROUND(MAX(0,AO$440),0)))))))),""),""),"")</f>
        <v/>
      </c>
      <c r="AQ462" s="17" t="str">
        <f>IF(ISNUMBER($B$441),
IF($C462&lt;&gt;"",
IF(AND(ISNUMBER(AP$440), AP$440&gt;0),
IF(AND(AQ$279=123, Cultivar_1_Cohort_Year_Selection=$AK$278,Cultivar_2_Cohort_Year_Selection=$AK$278,Cultivar_3_Cohort_Year_Selection=$AK$278), ROUND(MAX(0,AP$440 - 3),0),
IF(AND(OR(AQ$279=123, AQ$279=12), Cultivar_1_Cohort_Year_Selection=$AK$278,Cultivar_2_Cohort_Year_Selection=$AK$278), ROUND(MAX(0,AP$440 - 2),0),
IF(AND(OR(AQ$279=123, AQ$279=13), Cultivar_1_Cohort_Year_Selection=$AK$278,Cultivar_3_Cohort_Year_Selection=$AK$278), ROUND(MAX(0,AP$440 - 2),0),
IF(AND(OR(AQ$279=123, AQ$279=23), Cultivar_2_Cohort_Year_Selection=$AK$278,Cultivar_3_Cohort_Year_Selection=$AK$278), ROUND(MAX(0,AP$440 - 2),0),
IF(AND(OR(AQ$279=123, AQ$279=12, AQ$279=13, AQ$279=1), Cultivar_1_Cohort_Year_Selection=$AK$278), ROUND(MAX(0,AP$440 - 1),0),
IF(AND(OR(AQ$279=123, AQ$279=12, AQ$279=23, AQ$279=2), Cultivar_2_Cohort_Year_Selection=$AK$278), ROUND(MAX(0,AP$440 - 1),0),
IF(AND(OR(AQ$279=123, AQ$279=13, AQ$279=23, AQ$279=3), Cultivar_3_Cohort_Year_Selection=$AK$278), ROUND(MAX(0,AP$440 - 1),0),
ROUND(MAX(0,AP$440),0)))))))),""),""),"")</f>
        <v/>
      </c>
      <c r="AR462" s="17" t="str">
        <f>IF(ISNUMBER($B$441),
IF($C462&lt;&gt;"",
IF(AND(ISNUMBER(AQ$440), AQ$440&gt;0),
IF(AND(AR$279=123, Cultivar_1_Cohort_Year_Selection=$AL$278,Cultivar_2_Cohort_Year_Selection=$AL$278,Cultivar_3_Cohort_Year_Selection=$AL$278), ROUND(MAX(0,AQ$440 - 3),0),
IF(AND(OR(AR$279=123, AR$279=12), Cultivar_1_Cohort_Year_Selection=$AL$278,Cultivar_2_Cohort_Year_Selection=$AL$278), ROUND(MAX(0,AQ$440 - 2),0),
IF(AND(OR(AR$279=123, AR$279=13), Cultivar_1_Cohort_Year_Selection=$AL$278,Cultivar_3_Cohort_Year_Selection=$AL$278), ROUND(MAX(0,AQ$440 - 2),0),
IF(AND(OR(AR$279=123, AR$279=23), Cultivar_2_Cohort_Year_Selection=$AL$278,Cultivar_3_Cohort_Year_Selection=$AL$278), ROUND(MAX(0,AQ$440 - 2),0),
IF(AND(OR(AR$279=123, AR$279=12, AR$279=13, AR$279=1), Cultivar_1_Cohort_Year_Selection=$AL$278), ROUND(MAX(0,AQ$440 - 1),0),
IF(AND(OR(AR$279=123, AR$279=12, AR$279=23, AR$279=2), Cultivar_2_Cohort_Year_Selection=$AL$278), ROUND(MAX(0,AQ$440 - 1),0),
IF(AND(OR(AR$279=123, AR$279=13, AR$279=23, AR$279=3), Cultivar_3_Cohort_Year_Selection=$AL$278), ROUND(MAX(0,AQ$440 - 1),0),
ROUND(MAX(0,AQ$440),0)))))))),""),""),"")</f>
        <v/>
      </c>
      <c r="AS462" s="17" t="str">
        <f>IF(ISNUMBER($B$441),
IF($C462&lt;&gt;"",
IF(AND(ISNUMBER(AR$440), AR$440&gt;0),
IF(AND(AS$279=123, Cultivar_1_Cohort_Year_Selection=$AM$278,Cultivar_2_Cohort_Year_Selection=$AM$278,Cultivar_3_Cohort_Year_Selection=$AM$278), ROUND(MAX(0,AR$440 - 3),0),
IF(AND(OR(AS$279=123, AS$279=12), Cultivar_1_Cohort_Year_Selection=$AM$278,Cultivar_2_Cohort_Year_Selection=$AM$278), ROUND(MAX(0,AR$440 - 2),0),
IF(AND(OR(AS$279=123, AS$279=13), Cultivar_1_Cohort_Year_Selection=$AM$278,Cultivar_3_Cohort_Year_Selection=$AM$278), ROUND(MAX(0,AR$440 - 2),0),
IF(AND(OR(AS$279=123, AS$279=23), Cultivar_2_Cohort_Year_Selection=$AM$278,Cultivar_3_Cohort_Year_Selection=$AM$278), ROUND(MAX(0,AR$440 - 2),0),
IF(AND(OR(AS$279=123, AS$279=12, AS$279=13, AS$279=1), Cultivar_1_Cohort_Year_Selection=$AM$278), ROUND(MAX(0,AR$440 - 1),0),
IF(AND(OR(AS$279=123, AS$279=12, AS$279=23, AS$279=2), Cultivar_2_Cohort_Year_Selection=$AM$278), ROUND(MAX(0,AR$440 - 1),0),
IF(AND(OR(AS$279=123, AS$279=13, AS$279=23, AS$279=3), Cultivar_3_Cohort_Year_Selection=$AM$278), ROUND(MAX(0,AR$440 - 1),0),
ROUND(MAX(0,AR$440),0)))))))),""),""),"")</f>
        <v/>
      </c>
      <c r="AT462" s="17" t="str">
        <f>IF(ISNUMBER($B$441),
IF($C462&lt;&gt;"",
IF(AND(ISNUMBER(AS$440), AS$440&gt;0),
IF(AND(AT$279=123, Cultivar_1_Cohort_Year_Selection=$AN$278,Cultivar_2_Cohort_Year_Selection=$AN$278,Cultivar_3_Cohort_Year_Selection=$AN$278), ROUND(MAX(0,AS$440 - 3),0),
IF(AND(OR(AT$279=123, AT$279=12), Cultivar_1_Cohort_Year_Selection=$AN$278,Cultivar_2_Cohort_Year_Selection=$AN$278), ROUND(MAX(0,AS$440 - 2),0),
IF(AND(OR(AT$279=123, AT$279=13), Cultivar_1_Cohort_Year_Selection=$AN$278,Cultivar_3_Cohort_Year_Selection=$AN$278), ROUND(MAX(0,AS$440 - 2),0),
IF(AND(OR(AT$279=123, AT$279=23), Cultivar_2_Cohort_Year_Selection=$AN$278,Cultivar_3_Cohort_Year_Selection=$AN$278), ROUND(MAX(0,AS$440 - 2),0),
IF(AND(OR(AT$279=123, AT$279=12, AT$279=13, AT$279=1), Cultivar_1_Cohort_Year_Selection=$AN$278), ROUND(MAX(0,AS$440 - 1),0),
IF(AND(OR(AT$279=123, AT$279=12, AT$279=23, AT$279=2), Cultivar_2_Cohort_Year_Selection=$AN$278), ROUND(MAX(0,AS$440 - 1),0),
IF(AND(OR(AT$279=123, AT$279=13, AT$279=23, AT$279=3), Cultivar_3_Cohort_Year_Selection=$AN$278), ROUND(MAX(0,AS$440 - 1),0),
ROUND(MAX(0,AS$440),0)))))))),""),""),"")</f>
        <v/>
      </c>
      <c r="AU462" s="17" t="str">
        <f>IF(ISNUMBER($B$441),
IF($C462&lt;&gt;"",
IF(AND(ISNUMBER(AT$440), AT$440&gt;0),
IF(AND(AU$279=123, Cultivar_1_Cohort_Year_Selection=$AO$278,Cultivar_2_Cohort_Year_Selection=$AO$278,Cultivar_3_Cohort_Year_Selection=$AO$278), ROUND(MAX(0,AT$440 - 3),0),
IF(AND(OR(AU$279=123, AU$279=12), Cultivar_1_Cohort_Year_Selection=$AO$278,Cultivar_2_Cohort_Year_Selection=$AO$278), ROUND(MAX(0,AT$440 - 2),0),
IF(AND(OR(AU$279=123, AU$279=13), Cultivar_1_Cohort_Year_Selection=$AO$278,Cultivar_3_Cohort_Year_Selection=$AO$278), ROUND(MAX(0,AT$440 - 2),0),
IF(AND(OR(AU$279=123, AU$279=23), Cultivar_2_Cohort_Year_Selection=$AO$278,Cultivar_3_Cohort_Year_Selection=$AO$278), ROUND(MAX(0,AT$440 - 2),0),
IF(AND(OR(AU$279=123, AU$279=12, AU$279=13, AU$279=1), Cultivar_1_Cohort_Year_Selection=$AO$278), ROUND(MAX(0,AT$440 - 1),0),
IF(AND(OR(AU$279=123, AU$279=12, AU$279=23, AU$279=2), Cultivar_2_Cohort_Year_Selection=$AO$278), ROUND(MAX(0,AT$440 - 1),0),
IF(AND(OR(AU$279=123, AU$279=13, AU$279=23, AU$279=3), Cultivar_3_Cohort_Year_Selection=$AO$278), ROUND(MAX(0,AT$440 - 1),0),
ROUND(MAX(0,AT$440),0)))))))),""),""),"")</f>
        <v/>
      </c>
      <c r="AV462" s="17" t="str">
        <f>IF(ISNUMBER($B$441),
IF($C462&lt;&gt;"",
IF(AND(ISNUMBER(AU$440), AU$440&gt;0),
IF(AND(AV$279=123, Cultivar_1_Cohort_Year_Selection=$AP$278,Cultivar_2_Cohort_Year_Selection=$AP$278,Cultivar_3_Cohort_Year_Selection=$AP$278), ROUND(MAX(0,AU$440 - 3),0),
IF(AND(OR(AV$279=123, AV$279=12), Cultivar_1_Cohort_Year_Selection=$AP$278,Cultivar_2_Cohort_Year_Selection=$AP$278), ROUND(MAX(0,AU$440 - 2),0),
IF(AND(OR(AV$279=123, AV$279=13), Cultivar_1_Cohort_Year_Selection=$AP$278,Cultivar_3_Cohort_Year_Selection=$AP$278), ROUND(MAX(0,AU$440 - 2),0),
IF(AND(OR(AV$279=123, AV$279=23), Cultivar_2_Cohort_Year_Selection=$AP$278,Cultivar_3_Cohort_Year_Selection=$AP$278), ROUND(MAX(0,AU$440 - 2),0),
IF(AND(OR(AV$279=123, AV$279=12, AV$279=13, AV$279=1), Cultivar_1_Cohort_Year_Selection=$AP$278), ROUND(MAX(0,AU$440 - 1),0),
IF(AND(OR(AV$279=123, AV$279=12, AV$279=23, AV$279=2), Cultivar_2_Cohort_Year_Selection=$AP$278), ROUND(MAX(0,AU$440 - 1),0),
IF(AND(OR(AV$279=123, AV$279=13, AV$279=23, AV$279=3), Cultivar_3_Cohort_Year_Selection=$AP$278), ROUND(MAX(0,AU$440 - 1),0),
ROUND(MAX(0,AU$440),0)))))))),""),""),"")</f>
        <v/>
      </c>
    </row>
    <row r="463" spans="1:48" ht="15.75" thickBot="1" x14ac:dyDescent="0.3">
      <c r="A463" s="518"/>
      <c r="B463" s="504"/>
      <c r="C463" s="107" t="str">
        <f>IF(AND(ISNUMBER(B441), OR('Cost Inputs'!$H$126&lt;&gt;"", 'Cost Inputs'!$I$126&lt;&gt;"", 'Cost Inputs'!$J$126&lt;&gt;"")), _4_5_2, "")</f>
        <v/>
      </c>
      <c r="D463" s="93" t="str">
        <f>IF(AND(C463&lt;&gt;"", 'Cost Inputs'!$G$126&lt;&gt;""), 'Cost Inputs'!$G$126, "")</f>
        <v/>
      </c>
      <c r="E463" s="93" t="str">
        <f>IF(AND(C463&lt;&gt;"", 'Cost Inputs'!$H$126&lt;&gt;""), 'Cost Inputs'!$H$126, "")</f>
        <v/>
      </c>
      <c r="F463" s="93" t="str">
        <f>IF(AND(C463&lt;&gt;"", 'Cost Inputs'!$I$126&lt;&gt;""), 'Cost Inputs'!$I$126, "")</f>
        <v/>
      </c>
      <c r="G463" s="108" t="str">
        <f t="shared" si="152"/>
        <v/>
      </c>
      <c r="H463" s="93" t="str">
        <f>IF(AND(C463&lt;&gt;"", 'Cost Inputs'!$J$126&lt;&gt;""), 'Cost Inputs'!$J$126, "")</f>
        <v/>
      </c>
      <c r="I463" s="93" t="str">
        <f>IF($C463&lt;&gt;"", IF(AND($E463&lt;&gt;"", H463&lt;&gt;""), H463/$E463, 0),"")</f>
        <v/>
      </c>
      <c r="J463" s="93" t="str">
        <f>IF(AND(C463&lt;&gt;"",('Cost Inputs'!$I$126+'Cost Inputs'!$J$126+'Cost Inputs'!$K$126)&gt;0), 'Cost Inputs'!$I$126+'Cost Inputs'!$J$126+'Cost Inputs'!$K$126, "")</f>
        <v/>
      </c>
      <c r="K463" s="93" t="str">
        <f>IF($C463&lt;&gt;"", IF(AND($E463&lt;&gt;"", J463&lt;&gt;""), J463/$E463, 0),"")</f>
        <v/>
      </c>
      <c r="L463" s="525"/>
      <c r="M463" s="525"/>
      <c r="U463" s="95" t="str">
        <f>IF(ISNUMBER($B$441),
IF($C463&lt;&gt;"",
IF(AND(ISNUMBER(T$440), T$440&gt;0),
IF(AND(U$279=123, Cultivar_1_Cohort_Year_Selection=$O$278,Cultivar_2_Cohort_Year_Selection=$O$278,Cultivar_3_Cohort_Year_Selection=$O$278), ROUND(MAX(0,T$440 - 3),0),
IF(AND(OR(U$279=123, U$279=12), Cultivar_1_Cohort_Year_Selection=$O$278,Cultivar_2_Cohort_Year_Selection=$O$278), ROUND(MAX(0,T$440 - 2),0),
IF(AND(OR(U$279=123, U$279=13), Cultivar_1_Cohort_Year_Selection=$O$278,Cultivar_3_Cohort_Year_Selection=$O$278), ROUND(MAX(0,T$440 - 2),0),
IF(AND(OR(U$279=123, U$279=23), Cultivar_2_Cohort_Year_Selection=$O$278,Cultivar_3_Cohort_Year_Selection=$O$278), ROUND(MAX(0,T$440 - 2),0),
IF(AND(OR(U$279=123, U$279=12, U$279=13, U$279=1), Cultivar_1_Cohort_Year_Selection=$O$278), ROUND(MAX(0,T$440 - 1),0),
IF(AND(OR(U$279=123, U$279=12, U$279=23, U$279=2), Cultivar_2_Cohort_Year_Selection=$O$278), ROUND(MAX(0,T$440 - 1),0),
IF(AND(OR(U$279=123, U$279=13, U$279=23, U$279=3), Cultivar_3_Cohort_Year_Selection=$O$278), ROUND(MAX(0,T$440 - 1),0),
ROUND(MAX(0,T$440),0)))))))),""),""),"")</f>
        <v/>
      </c>
      <c r="V463" s="95" t="str">
        <f>IF(ISNUMBER($B$441),
IF($C463&lt;&gt;"",
IF(AND(ISNUMBER(U$440), U$440&gt;0),
IF(AND(V$279=123, Cultivar_1_Cohort_Year_Selection=$P$278,Cultivar_2_Cohort_Year_Selection=$P$278,Cultivar_3_Cohort_Year_Selection=$P$278), ROUND(MAX(0,U$440 - 3),0),
IF(AND(OR(V$279=123, V$279=12), Cultivar_1_Cohort_Year_Selection=$P$278,Cultivar_2_Cohort_Year_Selection=$P$278), ROUND(MAX(0,U$440 - 2),0),
IF(AND(OR(V$279=123, V$279=13), Cultivar_1_Cohort_Year_Selection=$P$278,Cultivar_3_Cohort_Year_Selection=$P$278), ROUND(MAX(0,U$440 - 2),0),
IF(AND(OR(V$279=123, V$279=23), Cultivar_2_Cohort_Year_Selection=$P$278,Cultivar_3_Cohort_Year_Selection=$P$278), ROUND(MAX(0,U$440 - 2),0),
IF(AND(OR(V$279=123, V$279=12, V$279=13, V$279=1), Cultivar_1_Cohort_Year_Selection=$P$278), ROUND(MAX(0,U$440 - 1),0),
IF(AND(OR(V$279=123, V$279=12, V$279=23, V$279=2), Cultivar_2_Cohort_Year_Selection=$P$278), ROUND(MAX(0,U$440 - 1),0),
IF(AND(OR(V$279=123, V$279=13, V$279=23, V$279=3), Cultivar_3_Cohort_Year_Selection=$P$278), ROUND(MAX(0,U$440 - 1),0),
ROUND(MAX(0,U$440),0)))))))),""),""),"")</f>
        <v/>
      </c>
      <c r="W463" s="95" t="str">
        <f>IF(ISNUMBER($B$441),
IF($C463&lt;&gt;"",
IF(AND(ISNUMBER(V$440), V$440&gt;0),
IF(AND(W$279=123, Cultivar_1_Cohort_Year_Selection=$Q$278,Cultivar_2_Cohort_Year_Selection=$Q$278,Cultivar_3_Cohort_Year_Selection=$Q$278), ROUND(MAX(0,V$440 - 3),0),
IF(AND(OR(W$279=123, W$279=12), Cultivar_1_Cohort_Year_Selection=$Q$278,Cultivar_2_Cohort_Year_Selection=$Q$278), ROUND(MAX(0,V$440 - 2),0),
IF(AND(OR(W$279=123, W$279=13), Cultivar_1_Cohort_Year_Selection=$Q$278,Cultivar_3_Cohort_Year_Selection=$Q$278), ROUND(MAX(0,V$440 - 2),0),
IF(AND(OR(W$279=123, W$279=23), Cultivar_2_Cohort_Year_Selection=$Q$278,Cultivar_3_Cohort_Year_Selection=$Q$278), ROUND(MAX(0,V$440 - 2),0),
IF(AND(OR(W$279=123, W$279=12, W$279=13, W$279=1), Cultivar_1_Cohort_Year_Selection=$Q$278), ROUND(MAX(0,V$440 - 1),0),
IF(AND(OR(W$279=123, W$279=12, W$279=23, W$279=2), Cultivar_2_Cohort_Year_Selection=$Q$278), ROUND(MAX(0,V$440 - 1),0),
IF(AND(OR(W$279=123, W$279=13, W$279=23, W$279=3), Cultivar_3_Cohort_Year_Selection=$Q$278), ROUND(MAX(0,V$440 - 1),0),
ROUND(MAX(0,V$440),0)))))))),""),""),"")</f>
        <v/>
      </c>
      <c r="X463" s="95" t="str">
        <f>IF(ISNUMBER($B$441),
IF($C463&lt;&gt;"",
IF(AND(ISNUMBER(W$440), W$440&gt;0),
IF(AND(X$279=123, Cultivar_1_Cohort_Year_Selection=$R$278,Cultivar_2_Cohort_Year_Selection=$R$278,Cultivar_3_Cohort_Year_Selection=$R$278), ROUND(MAX(0,W$440 - 3),0),
IF(AND(OR(X$279=123, X$279=12), Cultivar_1_Cohort_Year_Selection=$R$278,Cultivar_2_Cohort_Year_Selection=$R$278), ROUND(MAX(0,W$440 - 2),0),
IF(AND(OR(X$279=123, X$279=13), Cultivar_1_Cohort_Year_Selection=$R$278,Cultivar_3_Cohort_Year_Selection=$R$278), ROUND(MAX(0,W$440 - 2),0),
IF(AND(OR(X$279=123, X$279=23), Cultivar_2_Cohort_Year_Selection=$R$278,Cultivar_3_Cohort_Year_Selection=$R$278), ROUND(MAX(0,W$440 - 2),0),
IF(AND(OR(X$279=123, X$279=12, X$279=13, X$279=1), Cultivar_1_Cohort_Year_Selection=$R$278), ROUND(MAX(0,W$440 - 1),0),
IF(AND(OR(X$279=123, X$279=12, X$279=23, X$279=2), Cultivar_2_Cohort_Year_Selection=$R$278), ROUND(MAX(0,W$440 - 1),0),
IF(AND(OR(X$279=123, X$279=13, X$279=23, X$279=3), Cultivar_3_Cohort_Year_Selection=$R$278), ROUND(MAX(0,W$440 - 1),0),
ROUND(MAX(0,W$440),0)))))))),""),""),"")</f>
        <v/>
      </c>
      <c r="Y463" s="95" t="str">
        <f>IF(ISNUMBER($B$441),
IF($C463&lt;&gt;"",
IF(AND(ISNUMBER(X$440), X$440&gt;0),
IF(AND(Y$279=123, Cultivar_1_Cohort_Year_Selection=$S$278,Cultivar_2_Cohort_Year_Selection=$S$278,Cultivar_3_Cohort_Year_Selection=$S$278), ROUND(MAX(0,X$440 - 3),0),
IF(AND(OR(Y$279=123, Y$279=12), Cultivar_1_Cohort_Year_Selection=$S$278,Cultivar_2_Cohort_Year_Selection=$S$278), ROUND(MAX(0,X$440 - 2),0),
IF(AND(OR(Y$279=123, Y$279=13), Cultivar_1_Cohort_Year_Selection=$S$278,Cultivar_3_Cohort_Year_Selection=$S$278), ROUND(MAX(0,X$440 - 2),0),
IF(AND(OR(Y$279=123, Y$279=23), Cultivar_2_Cohort_Year_Selection=$S$278,Cultivar_3_Cohort_Year_Selection=$S$278), ROUND(MAX(0,X$440 - 2),0),
IF(AND(OR(Y$279=123, Y$279=12, Y$279=13, Y$279=1), Cultivar_1_Cohort_Year_Selection=$S$278), ROUND(MAX(0,X$440 - 1),0),
IF(AND(OR(Y$279=123, Y$279=12, Y$279=23, Y$279=2), Cultivar_2_Cohort_Year_Selection=$S$278), ROUND(MAX(0,X$440 - 1),0),
IF(AND(OR(Y$279=123, Y$279=13, Y$279=23, Y$279=3), Cultivar_3_Cohort_Year_Selection=$S$278), ROUND(MAX(0,X$440 - 1),0),
ROUND(MAX(0,X$440),0)))))))),""),""),"")</f>
        <v/>
      </c>
      <c r="Z463" s="95" t="str">
        <f>IF(ISNUMBER($B$441),
IF($C463&lt;&gt;"",
IF(AND(ISNUMBER(Y$440), Y$440&gt;0),
IF(AND(Z$279=123, Cultivar_1_Cohort_Year_Selection=$T$278,Cultivar_2_Cohort_Year_Selection=$T$278,Cultivar_3_Cohort_Year_Selection=$T$278), ROUND(MAX(0,Y$440 - 3),0),
IF(AND(OR(Z$279=123, Z$279=12), Cultivar_1_Cohort_Year_Selection=$T$278,Cultivar_2_Cohort_Year_Selection=$T$278), ROUND(MAX(0,Y$440 - 2),0),
IF(AND(OR(Z$279=123, Z$279=13), Cultivar_1_Cohort_Year_Selection=$T$278,Cultivar_3_Cohort_Year_Selection=$T$278), ROUND(MAX(0,Y$440 - 2),0),
IF(AND(OR(Z$279=123, Z$279=23), Cultivar_2_Cohort_Year_Selection=$T$278,Cultivar_3_Cohort_Year_Selection=$T$278), ROUND(MAX(0,Y$440 - 2),0),
IF(AND(OR(Z$279=123, Z$279=12, Z$279=13, Z$279=1), Cultivar_1_Cohort_Year_Selection=$T$278), ROUND(MAX(0,Y$440 - 1),0),
IF(AND(OR(Z$279=123, Z$279=12, Z$279=23, Z$279=2), Cultivar_2_Cohort_Year_Selection=$T$278), ROUND(MAX(0,Y$440 - 1),0),
IF(AND(OR(Z$279=123, Z$279=13, Z$279=23, Z$279=3), Cultivar_3_Cohort_Year_Selection=$T$278), ROUND(MAX(0,Y$440 - 1),0),
ROUND(MAX(0,Y$440),0)))))))),""),""),"")</f>
        <v/>
      </c>
      <c r="AA463" s="95" t="str">
        <f>IF(ISNUMBER($B$441),
IF($C463&lt;&gt;"",
IF(AND(ISNUMBER(Z$440), Z$440&gt;0),
IF(AND(AA$279=123, Cultivar_1_Cohort_Year_Selection=$U$278,Cultivar_2_Cohort_Year_Selection=$U$278,Cultivar_3_Cohort_Year_Selection=$U$278), ROUND(MAX(0,Z$440 - 3),0),
IF(AND(OR(AA$279=123, AA$279=12), Cultivar_1_Cohort_Year_Selection=$U$278,Cultivar_2_Cohort_Year_Selection=$U$278), ROUND(MAX(0,Z$440 - 2),0),
IF(AND(OR(AA$279=123, AA$279=13), Cultivar_1_Cohort_Year_Selection=$U$278,Cultivar_3_Cohort_Year_Selection=$U$278), ROUND(MAX(0,Z$440 - 2),0),
IF(AND(OR(AA$279=123, AA$279=23), Cultivar_2_Cohort_Year_Selection=$U$278,Cultivar_3_Cohort_Year_Selection=$U$278), ROUND(MAX(0,Z$440 - 2),0),
IF(AND(OR(AA$279=123, AA$279=12, AA$279=13, AA$279=1), Cultivar_1_Cohort_Year_Selection=$U$278), ROUND(MAX(0,Z$440 - 1),0),
IF(AND(OR(AA$279=123, AA$279=12, AA$279=23, AA$279=2), Cultivar_2_Cohort_Year_Selection=$U$278), ROUND(MAX(0,Z$440 - 1),0),
IF(AND(OR(AA$279=123, AA$279=13, AA$279=23, AA$279=3), Cultivar_3_Cohort_Year_Selection=$U$278), ROUND(MAX(0,Z$440 - 1),0),
ROUND(MAX(0,Z$440),0)))))))),""),""),"")</f>
        <v/>
      </c>
      <c r="AB463" s="95" t="str">
        <f>IF(ISNUMBER($B$441),
IF($C463&lt;&gt;"",
IF(AND(ISNUMBER(AA$440), AA$440&gt;0),
IF(AND(AB$279=123, Cultivar_1_Cohort_Year_Selection=$V$278,Cultivar_2_Cohort_Year_Selection=$V$278,Cultivar_3_Cohort_Year_Selection=$V$278), ROUND(MAX(0,AA$440 - 3),0),
IF(AND(OR(AB$279=123, AB$279=12), Cultivar_1_Cohort_Year_Selection=$V$278,Cultivar_2_Cohort_Year_Selection=$V$278), ROUND(MAX(0,AA$440 - 2),0),
IF(AND(OR(AB$279=123, AB$279=13), Cultivar_1_Cohort_Year_Selection=$V$278,Cultivar_3_Cohort_Year_Selection=$V$278), ROUND(MAX(0,AA$440 - 2),0),
IF(AND(OR(AB$279=123, AB$279=23), Cultivar_2_Cohort_Year_Selection=$V$278,Cultivar_3_Cohort_Year_Selection=$V$278), ROUND(MAX(0,AA$440 - 2),0),
IF(AND(OR(AB$279=123, AB$279=12, AB$279=13, AB$279=1), Cultivar_1_Cohort_Year_Selection=$V$278), ROUND(MAX(0,AA$440 - 1),0),
IF(AND(OR(AB$279=123, AB$279=12, AB$279=23, AB$279=2), Cultivar_2_Cohort_Year_Selection=$V$278), ROUND(MAX(0,AA$440 - 1),0),
IF(AND(OR(AB$279=123, AB$279=13, AB$279=23, AB$279=3), Cultivar_3_Cohort_Year_Selection=$V$278), ROUND(MAX(0,AA$440 - 1),0),
ROUND(MAX(0,AA$440),0)))))))),""),""),"")</f>
        <v/>
      </c>
      <c r="AC463" s="95" t="str">
        <f>IF(ISNUMBER($B$441),
IF($C463&lt;&gt;"",
IF(AND(ISNUMBER(AB$440), AB$440&gt;0),
IF(AND(AC$279=123, Cultivar_1_Cohort_Year_Selection=$W$278,Cultivar_2_Cohort_Year_Selection=$W$278,Cultivar_3_Cohort_Year_Selection=$W$278), ROUND(MAX(0,AB$440 - 3),0),
IF(AND(OR(AC$279=123, AC$279=12), Cultivar_1_Cohort_Year_Selection=$W$278,Cultivar_2_Cohort_Year_Selection=$W$278), ROUND(MAX(0,AB$440 - 2),0),
IF(AND(OR(AC$279=123, AC$279=13), Cultivar_1_Cohort_Year_Selection=$W$278,Cultivar_3_Cohort_Year_Selection=$W$278), ROUND(MAX(0,AB$440 - 2),0),
IF(AND(OR(AC$279=123, AC$279=23), Cultivar_2_Cohort_Year_Selection=$W$278,Cultivar_3_Cohort_Year_Selection=$W$278), ROUND(MAX(0,AB$440 - 2),0),
IF(AND(OR(AC$279=123, AC$279=12, AC$279=13, AC$279=1), Cultivar_1_Cohort_Year_Selection=$W$278), ROUND(MAX(0,AB$440 - 1),0),
IF(AND(OR(AC$279=123, AC$279=12, AC$279=23, AC$279=2), Cultivar_2_Cohort_Year_Selection=$W$278), ROUND(MAX(0,AB$440 - 1),0),
IF(AND(OR(AC$279=123, AC$279=13, AC$279=23, AC$279=3), Cultivar_3_Cohort_Year_Selection=$W$278), ROUND(MAX(0,AB$440 - 1),0),
ROUND(MAX(0,AB$440),0)))))))),""),""),"")</f>
        <v/>
      </c>
      <c r="AD463" s="95" t="str">
        <f>IF(ISNUMBER($B$441),
IF($C463&lt;&gt;"",
IF(AND(ISNUMBER(AC$440), AC$440&gt;0),
IF(AND(AD$279=123, Cultivar_1_Cohort_Year_Selection=$X$278,Cultivar_2_Cohort_Year_Selection=$X$278,Cultivar_3_Cohort_Year_Selection=$X$278), ROUND(MAX(0,AC$440 - 3),0),
IF(AND(OR(AD$279=123, AD$279=12), Cultivar_1_Cohort_Year_Selection=$X$278,Cultivar_2_Cohort_Year_Selection=$X$278), ROUND(MAX(0,AC$440 - 2),0),
IF(AND(OR(AD$279=123, AD$279=13), Cultivar_1_Cohort_Year_Selection=$X$278,Cultivar_3_Cohort_Year_Selection=$X$278), ROUND(MAX(0,AC$440 - 2),0),
IF(AND(OR(AD$279=123, AD$279=23), Cultivar_2_Cohort_Year_Selection=$X$278,Cultivar_3_Cohort_Year_Selection=$X$278), ROUND(MAX(0,AC$440 - 2),0),
IF(AND(OR(AD$279=123, AD$279=12, AD$279=13, AD$279=1), Cultivar_1_Cohort_Year_Selection=$X$278), ROUND(MAX(0,AC$440 - 1),0),
IF(AND(OR(AD$279=123, AD$279=12, AD$279=23, AD$279=2), Cultivar_2_Cohort_Year_Selection=$X$278), ROUND(MAX(0,AC$440 - 1),0),
IF(AND(OR(AD$279=123, AD$279=13, AD$279=23, AD$279=3), Cultivar_3_Cohort_Year_Selection=$X$278), ROUND(MAX(0,AC$440 - 1),0),
ROUND(MAX(0,AC$440),0)))))))),""),""),"")</f>
        <v/>
      </c>
      <c r="AE463" s="95" t="str">
        <f>IF(ISNUMBER($B$441),
IF($C463&lt;&gt;"",
IF(AND(ISNUMBER(AD$440), AD$440&gt;0),
IF(AND(AE$279=123, Cultivar_1_Cohort_Year_Selection=$Y$278,Cultivar_2_Cohort_Year_Selection=$Y$278,Cultivar_3_Cohort_Year_Selection=$Y$278), ROUND(MAX(0,AD$440 - 3),0),
IF(AND(OR(AE$279=123, AE$279=12), Cultivar_1_Cohort_Year_Selection=$Y$278,Cultivar_2_Cohort_Year_Selection=$Y$278), ROUND(MAX(0,AD$440 - 2),0),
IF(AND(OR(AE$279=123, AE$279=13), Cultivar_1_Cohort_Year_Selection=$Y$278,Cultivar_3_Cohort_Year_Selection=$Y$278), ROUND(MAX(0,AD$440 - 2),0),
IF(AND(OR(AE$279=123, AE$279=23), Cultivar_2_Cohort_Year_Selection=$Y$278,Cultivar_3_Cohort_Year_Selection=$Y$278), ROUND(MAX(0,AD$440 - 2),0),
IF(AND(OR(AE$279=123, AE$279=12, AE$279=13, AE$279=1), Cultivar_1_Cohort_Year_Selection=$Y$278), ROUND(MAX(0,AD$440 - 1),0),
IF(AND(OR(AE$279=123, AE$279=12, AE$279=23, AE$279=2), Cultivar_2_Cohort_Year_Selection=$Y$278), ROUND(MAX(0,AD$440 - 1),0),
IF(AND(OR(AE$279=123, AE$279=13, AE$279=23, AE$279=3), Cultivar_3_Cohort_Year_Selection=$Y$278), ROUND(MAX(0,AD$440 - 1),0),
ROUND(MAX(0,AD$440),0)))))))),""),""),"")</f>
        <v/>
      </c>
      <c r="AF463" s="95" t="str">
        <f>IF(ISNUMBER($B$441),
IF($C463&lt;&gt;"",
IF(AND(ISNUMBER(AE$440), AE$440&gt;0),
IF(AND(AF$279=123, Cultivar_1_Cohort_Year_Selection=$Z$278,Cultivar_2_Cohort_Year_Selection=$Z$278,Cultivar_3_Cohort_Year_Selection=$Z$278), ROUND(MAX(0,AE$440 - 3),0),
IF(AND(OR(AF$279=123, AF$279=12), Cultivar_1_Cohort_Year_Selection=$Z$278,Cultivar_2_Cohort_Year_Selection=$Z$278), ROUND(MAX(0,AE$440 - 2),0),
IF(AND(OR(AF$279=123, AF$279=13), Cultivar_1_Cohort_Year_Selection=$Z$278,Cultivar_3_Cohort_Year_Selection=$Z$278), ROUND(MAX(0,AE$440 - 2),0),
IF(AND(OR(AF$279=123, AF$279=23), Cultivar_2_Cohort_Year_Selection=$Z$278,Cultivar_3_Cohort_Year_Selection=$Z$278), ROUND(MAX(0,AE$440 - 2),0),
IF(AND(OR(AF$279=123, AF$279=12, AF$279=13, AF$279=1), Cultivar_1_Cohort_Year_Selection=$Z$278), ROUND(MAX(0,AE$440 - 1),0),
IF(AND(OR(AF$279=123, AF$279=12, AF$279=23, AF$279=2), Cultivar_2_Cohort_Year_Selection=$Z$278), ROUND(MAX(0,AE$440 - 1),0),
IF(AND(OR(AF$279=123, AF$279=13, AF$279=23, AF$279=3), Cultivar_3_Cohort_Year_Selection=$Z$278), ROUND(MAX(0,AE$440 - 1),0),
ROUND(MAX(0,AE$440),0)))))))),""),""),"")</f>
        <v/>
      </c>
      <c r="AG463" s="95" t="str">
        <f>IF(ISNUMBER($B$441),
IF($C463&lt;&gt;"",
IF(AND(ISNUMBER(AF$440), AF$440&gt;0),
IF(AND(AG$279=123, Cultivar_1_Cohort_Year_Selection=$AA$278,Cultivar_2_Cohort_Year_Selection=$AA$278,Cultivar_3_Cohort_Year_Selection=$AA$278), ROUND(MAX(0,AF$440 - 3),0),
IF(AND(OR(AG$279=123, AG$279=12), Cultivar_1_Cohort_Year_Selection=$AA$278,Cultivar_2_Cohort_Year_Selection=$AA$278), ROUND(MAX(0,AF$440 - 2),0),
IF(AND(OR(AG$279=123, AG$279=13), Cultivar_1_Cohort_Year_Selection=$AA$278,Cultivar_3_Cohort_Year_Selection=$AA$278), ROUND(MAX(0,AF$440 - 2),0),
IF(AND(OR(AG$279=123, AG$279=23), Cultivar_2_Cohort_Year_Selection=$AA$278,Cultivar_3_Cohort_Year_Selection=$AA$278), ROUND(MAX(0,AF$440 - 2),0),
IF(AND(OR(AG$279=123, AG$279=12, AG$279=13, AG$279=1), Cultivar_1_Cohort_Year_Selection=$AA$278), ROUND(MAX(0,AF$440 - 1),0),
IF(AND(OR(AG$279=123, AG$279=12, AG$279=23, AG$279=2), Cultivar_2_Cohort_Year_Selection=$AA$278), ROUND(MAX(0,AF$440 - 1),0),
IF(AND(OR(AG$279=123, AG$279=13, AG$279=23, AG$279=3), Cultivar_3_Cohort_Year_Selection=$AA$278), ROUND(MAX(0,AF$440 - 1),0),
ROUND(MAX(0,AF$440),0)))))))),""),""),"")</f>
        <v/>
      </c>
      <c r="AH463" s="95" t="str">
        <f>IF(ISNUMBER($B$441),
IF($C463&lt;&gt;"",
IF(AND(ISNUMBER(AG$440), AG$440&gt;0),
IF(AND(AH$279=123, Cultivar_1_Cohort_Year_Selection=$AB$278,Cultivar_2_Cohort_Year_Selection=$AB$278,Cultivar_3_Cohort_Year_Selection=$AB$278), ROUND(MAX(0,AG$440 - 3),0),
IF(AND(OR(AH$279=123, AH$279=12), Cultivar_1_Cohort_Year_Selection=$AB$278,Cultivar_2_Cohort_Year_Selection=$AB$278), ROUND(MAX(0,AG$440 - 2),0),
IF(AND(OR(AH$279=123, AH$279=13), Cultivar_1_Cohort_Year_Selection=$AB$278,Cultivar_3_Cohort_Year_Selection=$AB$278), ROUND(MAX(0,AG$440 - 2),0),
IF(AND(OR(AH$279=123, AH$279=23), Cultivar_2_Cohort_Year_Selection=$AB$278,Cultivar_3_Cohort_Year_Selection=$AB$278), ROUND(MAX(0,AG$440 - 2),0),
IF(AND(OR(AH$279=123, AH$279=12, AH$279=13, AH$279=1), Cultivar_1_Cohort_Year_Selection=$AB$278), ROUND(MAX(0,AG$440 - 1),0),
IF(AND(OR(AH$279=123, AH$279=12, AH$279=23, AH$279=2), Cultivar_2_Cohort_Year_Selection=$AB$278), ROUND(MAX(0,AG$440 - 1),0),
IF(AND(OR(AH$279=123, AH$279=13, AH$279=23, AH$279=3), Cultivar_3_Cohort_Year_Selection=$AB$278), ROUND(MAX(0,AG$440 - 1),0),
ROUND(MAX(0,AG$440),0)))))))),""),""),"")</f>
        <v/>
      </c>
      <c r="AI463" s="95" t="str">
        <f>IF(ISNUMBER($B$441),
IF($C463&lt;&gt;"",
IF(AND(ISNUMBER(AH$440), AH$440&gt;0),
IF(AND(AI$279=123, Cultivar_1_Cohort_Year_Selection=$AC$278,Cultivar_2_Cohort_Year_Selection=$AC$278,Cultivar_3_Cohort_Year_Selection=$AC$278), ROUND(MAX(0,AH$440 - 3),0),
IF(AND(OR(AI$279=123, AI$279=12), Cultivar_1_Cohort_Year_Selection=$AC$278,Cultivar_2_Cohort_Year_Selection=$AC$278), ROUND(MAX(0,AH$440 - 2),0),
IF(AND(OR(AI$279=123, AI$279=13), Cultivar_1_Cohort_Year_Selection=$AC$278,Cultivar_3_Cohort_Year_Selection=$AC$278), ROUND(MAX(0,AH$440 - 2),0),
IF(AND(OR(AI$279=123, AI$279=23), Cultivar_2_Cohort_Year_Selection=$AC$278,Cultivar_3_Cohort_Year_Selection=$AC$278), ROUND(MAX(0,AH$440 - 2),0),
IF(AND(OR(AI$279=123, AI$279=12, AI$279=13, AI$279=1), Cultivar_1_Cohort_Year_Selection=$AC$278), ROUND(MAX(0,AH$440 - 1),0),
IF(AND(OR(AI$279=123, AI$279=12, AI$279=23, AI$279=2), Cultivar_2_Cohort_Year_Selection=$AC$278), ROUND(MAX(0,AH$440 - 1),0),
IF(AND(OR(AI$279=123, AI$279=13, AI$279=23, AI$279=3), Cultivar_3_Cohort_Year_Selection=$AC$278), ROUND(MAX(0,AH$440 - 1),0),
ROUND(MAX(0,AH$440),0)))))))),""),""),"")</f>
        <v/>
      </c>
      <c r="AJ463" s="95" t="str">
        <f>IF(ISNUMBER($B$441),
IF($C463&lt;&gt;"",
IF(AND(ISNUMBER(AI$440), AI$440&gt;0),
IF(AND(AJ$279=123, Cultivar_1_Cohort_Year_Selection=$AD$278,Cultivar_2_Cohort_Year_Selection=$AD$278,Cultivar_3_Cohort_Year_Selection=$AD$278), ROUND(MAX(0,AI$440 - 3),0),
IF(AND(OR(AJ$279=123, AJ$279=12), Cultivar_1_Cohort_Year_Selection=$AD$278,Cultivar_2_Cohort_Year_Selection=$AD$278), ROUND(MAX(0,AI$440 - 2),0),
IF(AND(OR(AJ$279=123, AJ$279=13), Cultivar_1_Cohort_Year_Selection=$AD$278,Cultivar_3_Cohort_Year_Selection=$AD$278), ROUND(MAX(0,AI$440 - 2),0),
IF(AND(OR(AJ$279=123, AJ$279=23), Cultivar_2_Cohort_Year_Selection=$AD$278,Cultivar_3_Cohort_Year_Selection=$AD$278), ROUND(MAX(0,AI$440 - 2),0),
IF(AND(OR(AJ$279=123, AJ$279=12, AJ$279=13, AJ$279=1), Cultivar_1_Cohort_Year_Selection=$AD$278), ROUND(MAX(0,AI$440 - 1),0),
IF(AND(OR(AJ$279=123, AJ$279=12, AJ$279=23, AJ$279=2), Cultivar_2_Cohort_Year_Selection=$AD$278), ROUND(MAX(0,AI$440 - 1),0),
IF(AND(OR(AJ$279=123, AJ$279=13, AJ$279=23, AJ$279=3), Cultivar_3_Cohort_Year_Selection=$AD$278), ROUND(MAX(0,AI$440 - 1),0),
ROUND(MAX(0,AI$440),0)))))))),""),""),"")</f>
        <v/>
      </c>
      <c r="AK463" s="95" t="str">
        <f>IF(ISNUMBER($B$441),
IF($C463&lt;&gt;"",
IF(AND(ISNUMBER(AJ$440), AJ$440&gt;0),
IF(AND(AK$279=123, Cultivar_1_Cohort_Year_Selection=$AE$278,Cultivar_2_Cohort_Year_Selection=$AE$278,Cultivar_3_Cohort_Year_Selection=$AE$278), ROUND(MAX(0,AJ$440 - 3),0),
IF(AND(OR(AK$279=123, AK$279=12), Cultivar_1_Cohort_Year_Selection=$AE$278,Cultivar_2_Cohort_Year_Selection=$AE$278), ROUND(MAX(0,AJ$440 - 2),0),
IF(AND(OR(AK$279=123, AK$279=13), Cultivar_1_Cohort_Year_Selection=$AE$278,Cultivar_3_Cohort_Year_Selection=$AE$278), ROUND(MAX(0,AJ$440 - 2),0),
IF(AND(OR(AK$279=123, AK$279=23), Cultivar_2_Cohort_Year_Selection=$AE$278,Cultivar_3_Cohort_Year_Selection=$AE$278), ROUND(MAX(0,AJ$440 - 2),0),
IF(AND(OR(AK$279=123, AK$279=12, AK$279=13, AK$279=1), Cultivar_1_Cohort_Year_Selection=$AE$278), ROUND(MAX(0,AJ$440 - 1),0),
IF(AND(OR(AK$279=123, AK$279=12, AK$279=23, AK$279=2), Cultivar_2_Cohort_Year_Selection=$AE$278), ROUND(MAX(0,AJ$440 - 1),0),
IF(AND(OR(AK$279=123, AK$279=13, AK$279=23, AK$279=3), Cultivar_3_Cohort_Year_Selection=$AE$278), ROUND(MAX(0,AJ$440 - 1),0),
ROUND(MAX(0,AJ$440),0)))))))),""),""),"")</f>
        <v/>
      </c>
      <c r="AL463" s="95" t="str">
        <f>IF(ISNUMBER($B$441),
IF($C463&lt;&gt;"",
IF(AND(ISNUMBER(AK$440), AK$440&gt;0),
IF(AND(AL$279=123, Cultivar_1_Cohort_Year_Selection=$AF$278,Cultivar_2_Cohort_Year_Selection=$AF$278,Cultivar_3_Cohort_Year_Selection=$AF$278), ROUND(MAX(0,AK$440 - 3),0),
IF(AND(OR(AL$279=123, AL$279=12), Cultivar_1_Cohort_Year_Selection=$AF$278,Cultivar_2_Cohort_Year_Selection=$AF$278), ROUND(MAX(0,AK$440 - 2),0),
IF(AND(OR(AL$279=123, AL$279=13), Cultivar_1_Cohort_Year_Selection=$AF$278,Cultivar_3_Cohort_Year_Selection=$AF$278), ROUND(MAX(0,AK$440 - 2),0),
IF(AND(OR(AL$279=123, AL$279=23), Cultivar_2_Cohort_Year_Selection=$AF$278,Cultivar_3_Cohort_Year_Selection=$AF$278), ROUND(MAX(0,AK$440 - 2),0),
IF(AND(OR(AL$279=123, AL$279=12, AL$279=13, AL$279=1), Cultivar_1_Cohort_Year_Selection=$AF$278), ROUND(MAX(0,AK$440 - 1),0),
IF(AND(OR(AL$279=123, AL$279=12, AL$279=23, AL$279=2), Cultivar_2_Cohort_Year_Selection=$AF$278), ROUND(MAX(0,AK$440 - 1),0),
IF(AND(OR(AL$279=123, AL$279=13, AL$279=23, AL$279=3), Cultivar_3_Cohort_Year_Selection=$AF$278), ROUND(MAX(0,AK$440 - 1),0),
ROUND(MAX(0,AK$440),0)))))))),""),""),"")</f>
        <v/>
      </c>
      <c r="AM463" s="95" t="str">
        <f>IF(ISNUMBER($B$441),
IF($C463&lt;&gt;"",
IF(AND(ISNUMBER(AL$440), AL$440&gt;0),
IF(AND(AM$279=123, Cultivar_1_Cohort_Year_Selection=$AG$278,Cultivar_2_Cohort_Year_Selection=$AG$278,Cultivar_3_Cohort_Year_Selection=$AG$278), ROUND(MAX(0,AL$440 - 3),0),
IF(AND(OR(AM$279=123, AM$279=12), Cultivar_1_Cohort_Year_Selection=$AG$278,Cultivar_2_Cohort_Year_Selection=$AG$278), ROUND(MAX(0,AL$440 - 2),0),
IF(AND(OR(AM$279=123, AM$279=13), Cultivar_1_Cohort_Year_Selection=$AG$278,Cultivar_3_Cohort_Year_Selection=$AG$278), ROUND(MAX(0,AL$440 - 2),0),
IF(AND(OR(AM$279=123, AM$279=23), Cultivar_2_Cohort_Year_Selection=$AG$278,Cultivar_3_Cohort_Year_Selection=$AG$278), ROUND(MAX(0,AL$440 - 2),0),
IF(AND(OR(AM$279=123, AM$279=12, AM$279=13, AM$279=1), Cultivar_1_Cohort_Year_Selection=$AG$278), ROUND(MAX(0,AL$440 - 1),0),
IF(AND(OR(AM$279=123, AM$279=12, AM$279=23, AM$279=2), Cultivar_2_Cohort_Year_Selection=$AG$278), ROUND(MAX(0,AL$440 - 1),0),
IF(AND(OR(AM$279=123, AM$279=13, AM$279=23, AM$279=3), Cultivar_3_Cohort_Year_Selection=$AG$278), ROUND(MAX(0,AL$440 - 1),0),
ROUND(MAX(0,AL$440),0)))))))),""),""),"")</f>
        <v/>
      </c>
      <c r="AN463" s="95" t="str">
        <f>IF(ISNUMBER($B$441),
IF($C463&lt;&gt;"",
IF(AND(ISNUMBER(AM$440), AM$440&gt;0),
IF(AND(AN$279=123, Cultivar_1_Cohort_Year_Selection=$AH$278,Cultivar_2_Cohort_Year_Selection=$AH$278,Cultivar_3_Cohort_Year_Selection=$AH$278), ROUND(MAX(0,AM$440 - 3),0),
IF(AND(OR(AN$279=123, AN$279=12), Cultivar_1_Cohort_Year_Selection=$AH$278,Cultivar_2_Cohort_Year_Selection=$AH$278), ROUND(MAX(0,AM$440 - 2),0),
IF(AND(OR(AN$279=123, AN$279=13), Cultivar_1_Cohort_Year_Selection=$AH$278,Cultivar_3_Cohort_Year_Selection=$AH$278), ROUND(MAX(0,AM$440 - 2),0),
IF(AND(OR(AN$279=123, AN$279=23), Cultivar_2_Cohort_Year_Selection=$AH$278,Cultivar_3_Cohort_Year_Selection=$AH$278), ROUND(MAX(0,AM$440 - 2),0),
IF(AND(OR(AN$279=123, AN$279=12, AN$279=13, AN$279=1), Cultivar_1_Cohort_Year_Selection=$AH$278), ROUND(MAX(0,AM$440 - 1),0),
IF(AND(OR(AN$279=123, AN$279=12, AN$279=23, AN$279=2), Cultivar_2_Cohort_Year_Selection=$AH$278), ROUND(MAX(0,AM$440 - 1),0),
IF(AND(OR(AN$279=123, AN$279=13, AN$279=23, AN$279=3), Cultivar_3_Cohort_Year_Selection=$AH$278), ROUND(MAX(0,AM$440 - 1),0),
ROUND(MAX(0,AM$440),0)))))))),""),""),"")</f>
        <v/>
      </c>
      <c r="AO463" s="95" t="str">
        <f>IF(ISNUMBER($B$441),
IF($C463&lt;&gt;"",
IF(AND(ISNUMBER(AN$440), AN$440&gt;0),
IF(AND(AO$279=123, Cultivar_1_Cohort_Year_Selection=$AI$278,Cultivar_2_Cohort_Year_Selection=$AI$278,Cultivar_3_Cohort_Year_Selection=$AI$278), ROUND(MAX(0,AN$440 - 3),0),
IF(AND(OR(AO$279=123, AO$279=12), Cultivar_1_Cohort_Year_Selection=$AI$278,Cultivar_2_Cohort_Year_Selection=$AI$278), ROUND(MAX(0,AN$440 - 2),0),
IF(AND(OR(AO$279=123, AO$279=13), Cultivar_1_Cohort_Year_Selection=$AI$278,Cultivar_3_Cohort_Year_Selection=$AI$278), ROUND(MAX(0,AN$440 - 2),0),
IF(AND(OR(AO$279=123, AO$279=23), Cultivar_2_Cohort_Year_Selection=$AI$278,Cultivar_3_Cohort_Year_Selection=$AI$278), ROUND(MAX(0,AN$440 - 2),0),
IF(AND(OR(AO$279=123, AO$279=12, AO$279=13, AO$279=1), Cultivar_1_Cohort_Year_Selection=$AI$278), ROUND(MAX(0,AN$440 - 1),0),
IF(AND(OR(AO$279=123, AO$279=12, AO$279=23, AO$279=2), Cultivar_2_Cohort_Year_Selection=$AI$278), ROUND(MAX(0,AN$440 - 1),0),
IF(AND(OR(AO$279=123, AO$279=13, AO$279=23, AO$279=3), Cultivar_3_Cohort_Year_Selection=$AI$278), ROUND(MAX(0,AN$440 - 1),0),
ROUND(MAX(0,AN$440),0)))))))),""),""),"")</f>
        <v/>
      </c>
      <c r="AP463" s="95" t="str">
        <f>IF(ISNUMBER($B$441),
IF($C463&lt;&gt;"",
IF(AND(ISNUMBER(AO$440), AO$440&gt;0),
IF(AND(AP$279=123, Cultivar_1_Cohort_Year_Selection=$AJ$278,Cultivar_2_Cohort_Year_Selection=$AJ$278,Cultivar_3_Cohort_Year_Selection=$AJ$278), ROUND(MAX(0,AO$440 - 3),0),
IF(AND(OR(AP$279=123, AP$279=12), Cultivar_1_Cohort_Year_Selection=$AJ$278,Cultivar_2_Cohort_Year_Selection=$AJ$278), ROUND(MAX(0,AO$440 - 2),0),
IF(AND(OR(AP$279=123, AP$279=13), Cultivar_1_Cohort_Year_Selection=$AJ$278,Cultivar_3_Cohort_Year_Selection=$AJ$278), ROUND(MAX(0,AO$440 - 2),0),
IF(AND(OR(AP$279=123, AP$279=23), Cultivar_2_Cohort_Year_Selection=$AJ$278,Cultivar_3_Cohort_Year_Selection=$AJ$278), ROUND(MAX(0,AO$440 - 2),0),
IF(AND(OR(AP$279=123, AP$279=12, AP$279=13, AP$279=1), Cultivar_1_Cohort_Year_Selection=$AJ$278), ROUND(MAX(0,AO$440 - 1),0),
IF(AND(OR(AP$279=123, AP$279=12, AP$279=23, AP$279=2), Cultivar_2_Cohort_Year_Selection=$AJ$278), ROUND(MAX(0,AO$440 - 1),0),
IF(AND(OR(AP$279=123, AP$279=13, AP$279=23, AP$279=3), Cultivar_3_Cohort_Year_Selection=$AJ$278), ROUND(MAX(0,AO$440 - 1),0),
ROUND(MAX(0,AO$440),0)))))))),""),""),"")</f>
        <v/>
      </c>
      <c r="AQ463" s="95" t="str">
        <f>IF(ISNUMBER($B$441),
IF($C463&lt;&gt;"",
IF(AND(ISNUMBER(AP$440), AP$440&gt;0),
IF(AND(AQ$279=123, Cultivar_1_Cohort_Year_Selection=$AK$278,Cultivar_2_Cohort_Year_Selection=$AK$278,Cultivar_3_Cohort_Year_Selection=$AK$278), ROUND(MAX(0,AP$440 - 3),0),
IF(AND(OR(AQ$279=123, AQ$279=12), Cultivar_1_Cohort_Year_Selection=$AK$278,Cultivar_2_Cohort_Year_Selection=$AK$278), ROUND(MAX(0,AP$440 - 2),0),
IF(AND(OR(AQ$279=123, AQ$279=13), Cultivar_1_Cohort_Year_Selection=$AK$278,Cultivar_3_Cohort_Year_Selection=$AK$278), ROUND(MAX(0,AP$440 - 2),0),
IF(AND(OR(AQ$279=123, AQ$279=23), Cultivar_2_Cohort_Year_Selection=$AK$278,Cultivar_3_Cohort_Year_Selection=$AK$278), ROUND(MAX(0,AP$440 - 2),0),
IF(AND(OR(AQ$279=123, AQ$279=12, AQ$279=13, AQ$279=1), Cultivar_1_Cohort_Year_Selection=$AK$278), ROUND(MAX(0,AP$440 - 1),0),
IF(AND(OR(AQ$279=123, AQ$279=12, AQ$279=23, AQ$279=2), Cultivar_2_Cohort_Year_Selection=$AK$278), ROUND(MAX(0,AP$440 - 1),0),
IF(AND(OR(AQ$279=123, AQ$279=13, AQ$279=23, AQ$279=3), Cultivar_3_Cohort_Year_Selection=$AK$278), ROUND(MAX(0,AP$440 - 1),0),
ROUND(MAX(0,AP$440),0)))))))),""),""),"")</f>
        <v/>
      </c>
      <c r="AR463" s="95" t="str">
        <f>IF(ISNUMBER($B$441),
IF($C463&lt;&gt;"",
IF(AND(ISNUMBER(AQ$440), AQ$440&gt;0),
IF(AND(AR$279=123, Cultivar_1_Cohort_Year_Selection=$AL$278,Cultivar_2_Cohort_Year_Selection=$AL$278,Cultivar_3_Cohort_Year_Selection=$AL$278), ROUND(MAX(0,AQ$440 - 3),0),
IF(AND(OR(AR$279=123, AR$279=12), Cultivar_1_Cohort_Year_Selection=$AL$278,Cultivar_2_Cohort_Year_Selection=$AL$278), ROUND(MAX(0,AQ$440 - 2),0),
IF(AND(OR(AR$279=123, AR$279=13), Cultivar_1_Cohort_Year_Selection=$AL$278,Cultivar_3_Cohort_Year_Selection=$AL$278), ROUND(MAX(0,AQ$440 - 2),0),
IF(AND(OR(AR$279=123, AR$279=23), Cultivar_2_Cohort_Year_Selection=$AL$278,Cultivar_3_Cohort_Year_Selection=$AL$278), ROUND(MAX(0,AQ$440 - 2),0),
IF(AND(OR(AR$279=123, AR$279=12, AR$279=13, AR$279=1), Cultivar_1_Cohort_Year_Selection=$AL$278), ROUND(MAX(0,AQ$440 - 1),0),
IF(AND(OR(AR$279=123, AR$279=12, AR$279=23, AR$279=2), Cultivar_2_Cohort_Year_Selection=$AL$278), ROUND(MAX(0,AQ$440 - 1),0),
IF(AND(OR(AR$279=123, AR$279=13, AR$279=23, AR$279=3), Cultivar_3_Cohort_Year_Selection=$AL$278), ROUND(MAX(0,AQ$440 - 1),0),
ROUND(MAX(0,AQ$440),0)))))))),""),""),"")</f>
        <v/>
      </c>
      <c r="AS463" s="95" t="str">
        <f>IF(ISNUMBER($B$441),
IF($C463&lt;&gt;"",
IF(AND(ISNUMBER(AR$440), AR$440&gt;0),
IF(AND(AS$279=123, Cultivar_1_Cohort_Year_Selection=$AM$278,Cultivar_2_Cohort_Year_Selection=$AM$278,Cultivar_3_Cohort_Year_Selection=$AM$278), ROUND(MAX(0,AR$440 - 3),0),
IF(AND(OR(AS$279=123, AS$279=12), Cultivar_1_Cohort_Year_Selection=$AM$278,Cultivar_2_Cohort_Year_Selection=$AM$278), ROUND(MAX(0,AR$440 - 2),0),
IF(AND(OR(AS$279=123, AS$279=13), Cultivar_1_Cohort_Year_Selection=$AM$278,Cultivar_3_Cohort_Year_Selection=$AM$278), ROUND(MAX(0,AR$440 - 2),0),
IF(AND(OR(AS$279=123, AS$279=23), Cultivar_2_Cohort_Year_Selection=$AM$278,Cultivar_3_Cohort_Year_Selection=$AM$278), ROUND(MAX(0,AR$440 - 2),0),
IF(AND(OR(AS$279=123, AS$279=12, AS$279=13, AS$279=1), Cultivar_1_Cohort_Year_Selection=$AM$278), ROUND(MAX(0,AR$440 - 1),0),
IF(AND(OR(AS$279=123, AS$279=12, AS$279=23, AS$279=2), Cultivar_2_Cohort_Year_Selection=$AM$278), ROUND(MAX(0,AR$440 - 1),0),
IF(AND(OR(AS$279=123, AS$279=13, AS$279=23, AS$279=3), Cultivar_3_Cohort_Year_Selection=$AM$278), ROUND(MAX(0,AR$440 - 1),0),
ROUND(MAX(0,AR$440),0)))))))),""),""),"")</f>
        <v/>
      </c>
      <c r="AT463" s="95" t="str">
        <f>IF(ISNUMBER($B$441),
IF($C463&lt;&gt;"",
IF(AND(ISNUMBER(AS$440), AS$440&gt;0),
IF(AND(AT$279=123, Cultivar_1_Cohort_Year_Selection=$AN$278,Cultivar_2_Cohort_Year_Selection=$AN$278,Cultivar_3_Cohort_Year_Selection=$AN$278), ROUND(MAX(0,AS$440 - 3),0),
IF(AND(OR(AT$279=123, AT$279=12), Cultivar_1_Cohort_Year_Selection=$AN$278,Cultivar_2_Cohort_Year_Selection=$AN$278), ROUND(MAX(0,AS$440 - 2),0),
IF(AND(OR(AT$279=123, AT$279=13), Cultivar_1_Cohort_Year_Selection=$AN$278,Cultivar_3_Cohort_Year_Selection=$AN$278), ROUND(MAX(0,AS$440 - 2),0),
IF(AND(OR(AT$279=123, AT$279=23), Cultivar_2_Cohort_Year_Selection=$AN$278,Cultivar_3_Cohort_Year_Selection=$AN$278), ROUND(MAX(0,AS$440 - 2),0),
IF(AND(OR(AT$279=123, AT$279=12, AT$279=13, AT$279=1), Cultivar_1_Cohort_Year_Selection=$AN$278), ROUND(MAX(0,AS$440 - 1),0),
IF(AND(OR(AT$279=123, AT$279=12, AT$279=23, AT$279=2), Cultivar_2_Cohort_Year_Selection=$AN$278), ROUND(MAX(0,AS$440 - 1),0),
IF(AND(OR(AT$279=123, AT$279=13, AT$279=23, AT$279=3), Cultivar_3_Cohort_Year_Selection=$AN$278), ROUND(MAX(0,AS$440 - 1),0),
ROUND(MAX(0,AS$440),0)))))))),""),""),"")</f>
        <v/>
      </c>
      <c r="AU463" s="95" t="str">
        <f>IF(ISNUMBER($B$441),
IF($C463&lt;&gt;"",
IF(AND(ISNUMBER(AT$440), AT$440&gt;0),
IF(AND(AU$279=123, Cultivar_1_Cohort_Year_Selection=$AO$278,Cultivar_2_Cohort_Year_Selection=$AO$278,Cultivar_3_Cohort_Year_Selection=$AO$278), ROUND(MAX(0,AT$440 - 3),0),
IF(AND(OR(AU$279=123, AU$279=12), Cultivar_1_Cohort_Year_Selection=$AO$278,Cultivar_2_Cohort_Year_Selection=$AO$278), ROUND(MAX(0,AT$440 - 2),0),
IF(AND(OR(AU$279=123, AU$279=13), Cultivar_1_Cohort_Year_Selection=$AO$278,Cultivar_3_Cohort_Year_Selection=$AO$278), ROUND(MAX(0,AT$440 - 2),0),
IF(AND(OR(AU$279=123, AU$279=23), Cultivar_2_Cohort_Year_Selection=$AO$278,Cultivar_3_Cohort_Year_Selection=$AO$278), ROUND(MAX(0,AT$440 - 2),0),
IF(AND(OR(AU$279=123, AU$279=12, AU$279=13, AU$279=1), Cultivar_1_Cohort_Year_Selection=$AO$278), ROUND(MAX(0,AT$440 - 1),0),
IF(AND(OR(AU$279=123, AU$279=12, AU$279=23, AU$279=2), Cultivar_2_Cohort_Year_Selection=$AO$278), ROUND(MAX(0,AT$440 - 1),0),
IF(AND(OR(AU$279=123, AU$279=13, AU$279=23, AU$279=3), Cultivar_3_Cohort_Year_Selection=$AO$278), ROUND(MAX(0,AT$440 - 1),0),
ROUND(MAX(0,AT$440),0)))))))),""),""),"")</f>
        <v/>
      </c>
      <c r="AV463" s="95" t="str">
        <f>IF(ISNUMBER($B$441),
IF($C463&lt;&gt;"",
IF(AND(ISNUMBER(AU$440), AU$440&gt;0),
IF(AND(AV$279=123, Cultivar_1_Cohort_Year_Selection=$AP$278,Cultivar_2_Cohort_Year_Selection=$AP$278,Cultivar_3_Cohort_Year_Selection=$AP$278), ROUND(MAX(0,AU$440 - 3),0),
IF(AND(OR(AV$279=123, AV$279=12), Cultivar_1_Cohort_Year_Selection=$AP$278,Cultivar_2_Cohort_Year_Selection=$AP$278), ROUND(MAX(0,AU$440 - 2),0),
IF(AND(OR(AV$279=123, AV$279=13), Cultivar_1_Cohort_Year_Selection=$AP$278,Cultivar_3_Cohort_Year_Selection=$AP$278), ROUND(MAX(0,AU$440 - 2),0),
IF(AND(OR(AV$279=123, AV$279=23), Cultivar_2_Cohort_Year_Selection=$AP$278,Cultivar_3_Cohort_Year_Selection=$AP$278), ROUND(MAX(0,AU$440 - 2),0),
IF(AND(OR(AV$279=123, AV$279=12, AV$279=13, AV$279=1), Cultivar_1_Cohort_Year_Selection=$AP$278), ROUND(MAX(0,AU$440 - 1),0),
IF(AND(OR(AV$279=123, AV$279=12, AV$279=23, AV$279=2), Cultivar_2_Cohort_Year_Selection=$AP$278), ROUND(MAX(0,AU$440 - 1),0),
IF(AND(OR(AV$279=123, AV$279=13, AV$279=23, AV$279=3), Cultivar_3_Cohort_Year_Selection=$AP$278), ROUND(MAX(0,AU$440 - 1),0),
ROUND(MAX(0,AU$440),0)))))))),""),""),"")</f>
        <v/>
      </c>
    </row>
    <row r="464" spans="1:48" ht="6.6" customHeight="1" thickBot="1" x14ac:dyDescent="0.3">
      <c r="A464" s="213"/>
      <c r="B464" s="282"/>
      <c r="C464" s="283"/>
      <c r="D464" s="114"/>
      <c r="E464" s="114"/>
      <c r="F464" s="114"/>
      <c r="G464" s="284"/>
      <c r="H464" s="114"/>
      <c r="I464" s="114"/>
      <c r="J464" s="114"/>
      <c r="K464" s="114"/>
      <c r="L464" s="285"/>
      <c r="M464" s="285"/>
      <c r="N464" s="99"/>
      <c r="O464" s="99"/>
      <c r="P464" s="99"/>
      <c r="Q464" s="99"/>
      <c r="R464" s="99"/>
      <c r="S464" s="99"/>
      <c r="T464" s="286"/>
      <c r="U464" s="136" t="str">
        <f>IF(ISNUMBER($B$441),
IF(AND(ISNUMBER(T$440), T$440&gt;0),
IF(AND(U$279=123, Cultivar_1_Cohort_Year_Selection=$O$278,Cultivar_2_Cohort_Year_Selection=$O$278,Cultivar_3_Cohort_Year_Selection=$O$278), ROUND(MAX(0,(T$440-('Stage 2 Randomized Selection'!J$2*$M441)) - 3),0),
IF(AND(OR(U$279=123, U$279=12), Cultivar_1_Cohort_Year_Selection=$O$278,Cultivar_2_Cohort_Year_Selection=$O$278),  ROUND(MAX(0,(T$440-('Stage 2 Randomized Selection'!I$2*$M441)) - 2),0),
IF(AND(OR(U$279=123, U$279=13), Cultivar_1_Cohort_Year_Selection=$O$278,Cultivar_3_Cohort_Year_Selection=$O$278), ROUND(MAX(0,(T$440-('Stage 2 Randomized Selection'!I$2*$M441)) - 2),0),
IF(AND(OR(U$279=123, U$279=23), Cultivar_2_Cohort_Year_Selection=$O$278,Cultivar_3_Cohort_Year_Selection=$O$278), ROUND(MAX(0,(T$440-('Stage 2 Randomized Selection'!I$2*$M441)) - 2),0),
IF(AND(OR(U$279=123, U$279=12, U$279=13, U$279=1), Cultivar_1_Cohort_Year_Selection=$O$278), ROUND(MAX(0,(T$440-('Stage 2 Randomized Selection'!I$2*$M441)) - 1),0),
IF(AND(OR(U$279=123, U$279=12, U$279=23, U$279=2), Cultivar_2_Cohort_Year_Selection=$O$278), ROUND(MAX(0,(T$440-('Stage 2 Randomized Selection'!I$2*$M441)) - 1),0),
IF(AND(OR(U$279=123, U$279=13, U$279=23, U$279=3), Cultivar_3_Cohort_Year_Selection=$O$278), ROUND(MAX(0,(T$440-('Stage 2 Randomized Selection'!I$2*$M441)) - 1),0),
ROUND(MAX(0,(T$440-('Stage 2 Randomized Selection'!I$2*$M441))),0)))))))),0),"")</f>
        <v/>
      </c>
      <c r="V464" s="136" t="str">
        <f>IF(ISNUMBER($B$441),
IF(AND(ISNUMBER(U$440), U$440&gt;0),
IF(AND(V$279=123, Cultivar_1_Cohort_Year_Selection=$P$278,Cultivar_2_Cohort_Year_Selection=$P$278,Cultivar_3_Cohort_Year_Selection=$P$278), ROUND(MAX(0,(U$440-('Stage 2 Randomized Selection'!K$2*$M441)) - 3),0),
IF(AND(OR(V$279=123, V$279=12), Cultivar_1_Cohort_Year_Selection=$P$278,Cultivar_2_Cohort_Year_Selection=$P$278),  ROUND(MAX(0,(U$440-('Stage 2 Randomized Selection'!J$2*$M441)) - 2),0),
IF(AND(OR(V$279=123, V$279=13), Cultivar_1_Cohort_Year_Selection=$P$278,Cultivar_3_Cohort_Year_Selection=$P$278), ROUND(MAX(0,(U$440-('Stage 2 Randomized Selection'!J$2*$M441)) - 2),0),
IF(AND(OR(V$279=123, V$279=23), Cultivar_2_Cohort_Year_Selection=$P$278,Cultivar_3_Cohort_Year_Selection=$P$278), ROUND(MAX(0,(U$440-('Stage 2 Randomized Selection'!J$2*$M441)) - 2),0),
IF(AND(OR(V$279=123, V$279=12, V$279=13, V$279=1), Cultivar_1_Cohort_Year_Selection=$P$278), ROUND(MAX(0,(U$440-('Stage 2 Randomized Selection'!J$2*$M441)) - 1),0),
IF(AND(OR(V$279=123, V$279=12, V$279=23, V$279=2), Cultivar_2_Cohort_Year_Selection=$P$278), ROUND(MAX(0,(U$440-('Stage 2 Randomized Selection'!J$2*$M441)) - 1),0),
IF(AND(OR(V$279=123, V$279=13, V$279=23, V$279=3), Cultivar_3_Cohort_Year_Selection=$P$278), ROUND(MAX(0,(U$440-('Stage 2 Randomized Selection'!J$2*$M441)) - 1),0),
ROUND(MAX(0,(U$440-('Stage 2 Randomized Selection'!J$2*$M441))),0)))))))),0),"")</f>
        <v/>
      </c>
      <c r="W464" s="136" t="str">
        <f>IF(ISNUMBER($B$441),
IF(AND(ISNUMBER(V$440), V$440&gt;0),
IF(AND(W$279=123, Cultivar_1_Cohort_Year_Selection=$Q$278,Cultivar_2_Cohort_Year_Selection=$Q$278,Cultivar_3_Cohort_Year_Selection=$Q$278), ROUND(MAX(0,(V$440-('Stage 2 Randomized Selection'!L$2*$M441)) - 3),0),
IF(AND(OR(W$279=123, W$279=12), Cultivar_1_Cohort_Year_Selection=$Q$278,Cultivar_2_Cohort_Year_Selection=$Q$278),  ROUND(MAX(0,(V$440-('Stage 2 Randomized Selection'!K$2*$M441)) - 2),0),
IF(AND(OR(W$279=123, W$279=13), Cultivar_1_Cohort_Year_Selection=$Q$278,Cultivar_3_Cohort_Year_Selection=$Q$278), ROUND(MAX(0,(V$440-('Stage 2 Randomized Selection'!K$2*$M441)) - 2),0),
IF(AND(OR(W$279=123, W$279=23), Cultivar_2_Cohort_Year_Selection=$Q$278,Cultivar_3_Cohort_Year_Selection=$Q$278), ROUND(MAX(0,(V$440-('Stage 2 Randomized Selection'!K$2*$M441)) - 2),0),
IF(AND(OR(W$279=123, W$279=12, W$279=13, W$279=1), Cultivar_1_Cohort_Year_Selection=$Q$278), ROUND(MAX(0,(V$440-('Stage 2 Randomized Selection'!K$2*$M441)) - 1),0),
IF(AND(OR(W$279=123, W$279=12, W$279=23, W$279=2), Cultivar_2_Cohort_Year_Selection=$Q$278), ROUND(MAX(0,(V$440-('Stage 2 Randomized Selection'!K$2*$M441)) - 1),0),
IF(AND(OR(W$279=123, W$279=13, W$279=23, W$279=3), Cultivar_3_Cohort_Year_Selection=$Q$278), ROUND(MAX(0,(V$440-('Stage 2 Randomized Selection'!K$2*$M441)) - 1),0),
ROUND(MAX(0,(V$440-('Stage 2 Randomized Selection'!K$2*$M441))),0)))))))),0),"")</f>
        <v/>
      </c>
      <c r="X464" s="136" t="str">
        <f>IF(ISNUMBER($B$441),
IF(AND(ISNUMBER(W$440), W$440&gt;0),
IF(AND(X$279=123, Cultivar_1_Cohort_Year_Selection=$R$278,Cultivar_2_Cohort_Year_Selection=$R$278,Cultivar_3_Cohort_Year_Selection=$R$278), ROUND(MAX(0,(W$440-('Stage 2 Randomized Selection'!M$2*$M441)) - 3),0),
IF(AND(OR(X$279=123, X$279=12), Cultivar_1_Cohort_Year_Selection=$R$278,Cultivar_2_Cohort_Year_Selection=$R$278),  ROUND(MAX(0,(W$440-('Stage 2 Randomized Selection'!L$2*$M441)) - 2),0),
IF(AND(OR(X$279=123, X$279=13), Cultivar_1_Cohort_Year_Selection=$R$278,Cultivar_3_Cohort_Year_Selection=$R$278), ROUND(MAX(0,(W$440-('Stage 2 Randomized Selection'!L$2*$M441)) - 2),0),
IF(AND(OR(X$279=123, X$279=23), Cultivar_2_Cohort_Year_Selection=$R$278,Cultivar_3_Cohort_Year_Selection=$R$278), ROUND(MAX(0,(W$440-('Stage 2 Randomized Selection'!L$2*$M441)) - 2),0),
IF(AND(OR(X$279=123, X$279=12, X$279=13, X$279=1), Cultivar_1_Cohort_Year_Selection=$R$278), ROUND(MAX(0,(W$440-('Stage 2 Randomized Selection'!L$2*$M441)) - 1),0),
IF(AND(OR(X$279=123, X$279=12, X$279=23, X$279=2), Cultivar_2_Cohort_Year_Selection=$R$278), ROUND(MAX(0,(W$440-('Stage 2 Randomized Selection'!L$2*$M441)) - 1),0),
IF(AND(OR(X$279=123, X$279=13, X$279=23, X$279=3), Cultivar_3_Cohort_Year_Selection=$R$278), ROUND(MAX(0,(W$440-('Stage 2 Randomized Selection'!L$2*$M441)) - 1),0),
ROUND(MAX(0,(W$440-('Stage 2 Randomized Selection'!L$2*$M441))),0)))))))),0),"")</f>
        <v/>
      </c>
      <c r="Y464" s="136" t="str">
        <f>IF(ISNUMBER($B$441),
IF(AND(ISNUMBER(X$440), X$440&gt;0),
IF(AND(Y$279=123, Cultivar_1_Cohort_Year_Selection=$S$278,Cultivar_2_Cohort_Year_Selection=$S$278,Cultivar_3_Cohort_Year_Selection=$S$278), ROUND(MAX(0,(X$440-('Stage 2 Randomized Selection'!N$2*$M441)) - 3),0),
IF(AND(OR(Y$279=123, Y$279=12), Cultivar_1_Cohort_Year_Selection=$S$278,Cultivar_2_Cohort_Year_Selection=$S$278),  ROUND(MAX(0,(X$440-('Stage 2 Randomized Selection'!M$2*$M441)) - 2),0),
IF(AND(OR(Y$279=123, Y$279=13), Cultivar_1_Cohort_Year_Selection=$S$278,Cultivar_3_Cohort_Year_Selection=$S$278), ROUND(MAX(0,(X$440-('Stage 2 Randomized Selection'!M$2*$M441)) - 2),0),
IF(AND(OR(Y$279=123, Y$279=23), Cultivar_2_Cohort_Year_Selection=$S$278,Cultivar_3_Cohort_Year_Selection=$S$278), ROUND(MAX(0,(X$440-('Stage 2 Randomized Selection'!M$2*$M441)) - 2),0),
IF(AND(OR(Y$279=123, Y$279=12, Y$279=13, Y$279=1), Cultivar_1_Cohort_Year_Selection=$S$278), ROUND(MAX(0,(X$440-('Stage 2 Randomized Selection'!M$2*$M441)) - 1),0),
IF(AND(OR(Y$279=123, Y$279=12, Y$279=23, Y$279=2), Cultivar_2_Cohort_Year_Selection=$S$278), ROUND(MAX(0,(X$440-('Stage 2 Randomized Selection'!M$2*$M441)) - 1),0),
IF(AND(OR(Y$279=123, Y$279=13, Y$279=23, Y$279=3), Cultivar_3_Cohort_Year_Selection=$S$278), ROUND(MAX(0,(X$440-('Stage 2 Randomized Selection'!M$2*$M441)) - 1),0),
ROUND(MAX(0,(X$440-('Stage 2 Randomized Selection'!M$2*$M441))),0)))))))),0),"")</f>
        <v/>
      </c>
      <c r="Z464" s="136" t="str">
        <f>IF(ISNUMBER($B$441),
IF(AND(ISNUMBER(Y$440), Y$440&gt;0),
IF(AND(Z$279=123, Cultivar_1_Cohort_Year_Selection=$T$278,Cultivar_2_Cohort_Year_Selection=$T$278,Cultivar_3_Cohort_Year_Selection=$T$278), ROUND(MAX(0,(Y$440-('Stage 2 Randomized Selection'!O$2*$M441)) - 3),0),
IF(AND(OR(Z$279=123, Z$279=12), Cultivar_1_Cohort_Year_Selection=$T$278,Cultivar_2_Cohort_Year_Selection=$T$278),  ROUND(MAX(0,(Y$440-('Stage 2 Randomized Selection'!N$2*$M441)) - 2),0),
IF(AND(OR(Z$279=123, Z$279=13), Cultivar_1_Cohort_Year_Selection=$T$278,Cultivar_3_Cohort_Year_Selection=$T$278), ROUND(MAX(0,(Y$440-('Stage 2 Randomized Selection'!N$2*$M441)) - 2),0),
IF(AND(OR(Z$279=123, Z$279=23), Cultivar_2_Cohort_Year_Selection=$T$278,Cultivar_3_Cohort_Year_Selection=$T$278), ROUND(MAX(0,(Y$440-('Stage 2 Randomized Selection'!N$2*$M441)) - 2),0),
IF(AND(OR(Z$279=123, Z$279=12, Z$279=13, Z$279=1), Cultivar_1_Cohort_Year_Selection=$T$278), ROUND(MAX(0,(Y$440-('Stage 2 Randomized Selection'!N$2*$M441)) - 1),0),
IF(AND(OR(Z$279=123, Z$279=12, Z$279=23, Z$279=2), Cultivar_2_Cohort_Year_Selection=$T$278), ROUND(MAX(0,(Y$440-('Stage 2 Randomized Selection'!N$2*$M441)) - 1),0),
IF(AND(OR(Z$279=123, Z$279=13, Z$279=23, Z$279=3), Cultivar_3_Cohort_Year_Selection=$T$278), ROUND(MAX(0,(Y$440-('Stage 2 Randomized Selection'!N$2*$M441)) - 1),0),
ROUND(MAX(0,(Y$440-('Stage 2 Randomized Selection'!N$2*$M441))),0)))))))),0),"")</f>
        <v/>
      </c>
      <c r="AA464" s="136" t="str">
        <f>IF(ISNUMBER($B$441),
IF(AND(ISNUMBER(Z$440), Z$440&gt;0),
IF(AND(AA$279=123, Cultivar_1_Cohort_Year_Selection=$U$278,Cultivar_2_Cohort_Year_Selection=$U$278,Cultivar_3_Cohort_Year_Selection=$U$278), ROUND(MAX(0,(Z$440-('Stage 2 Randomized Selection'!P$2*$M441)) - 3),0),
IF(AND(OR(AA$279=123, AA$279=12), Cultivar_1_Cohort_Year_Selection=$U$278,Cultivar_2_Cohort_Year_Selection=$U$278),  ROUND(MAX(0,(Z$440-('Stage 2 Randomized Selection'!O$2*$M441)) - 2),0),
IF(AND(OR(AA$279=123, AA$279=13), Cultivar_1_Cohort_Year_Selection=$U$278,Cultivar_3_Cohort_Year_Selection=$U$278), ROUND(MAX(0,(Z$440-('Stage 2 Randomized Selection'!O$2*$M441)) - 2),0),
IF(AND(OR(AA$279=123, AA$279=23), Cultivar_2_Cohort_Year_Selection=$U$278,Cultivar_3_Cohort_Year_Selection=$U$278), ROUND(MAX(0,(Z$440-('Stage 2 Randomized Selection'!O$2*$M441)) - 2),0),
IF(AND(OR(AA$279=123, AA$279=12, AA$279=13, AA$279=1), Cultivar_1_Cohort_Year_Selection=$U$278), ROUND(MAX(0,(Z$440-('Stage 2 Randomized Selection'!O$2*$M441)) - 1),0),
IF(AND(OR(AA$279=123, AA$279=12, AA$279=23, AA$279=2), Cultivar_2_Cohort_Year_Selection=$U$278), ROUND(MAX(0,(Z$440-('Stage 2 Randomized Selection'!O$2*$M441)) - 1),0),
IF(AND(OR(AA$279=123, AA$279=13, AA$279=23, AA$279=3), Cultivar_3_Cohort_Year_Selection=$U$278), ROUND(MAX(0,(Z$440-('Stage 2 Randomized Selection'!O$2*$M441)) - 1),0),
ROUND(MAX(0,(Z$440-('Stage 2 Randomized Selection'!O$2*$M441))),0)))))))),0),"")</f>
        <v/>
      </c>
      <c r="AB464" s="136" t="str">
        <f>IF(ISNUMBER($B$441),
IF(AND(ISNUMBER(AA$440), AA$440&gt;0),
IF(AND(AB$279=123, Cultivar_1_Cohort_Year_Selection=$V$278,Cultivar_2_Cohort_Year_Selection=$V$278,Cultivar_3_Cohort_Year_Selection=$V$278), ROUND(MAX(0,(AA$440-('Stage 2 Randomized Selection'!Q$2*$M441)) - 3),0),
IF(AND(OR(AB$279=123, AB$279=12), Cultivar_1_Cohort_Year_Selection=$V$278,Cultivar_2_Cohort_Year_Selection=$V$278),  ROUND(MAX(0,(AA$440-('Stage 2 Randomized Selection'!P$2*$M441)) - 2),0),
IF(AND(OR(AB$279=123, AB$279=13), Cultivar_1_Cohort_Year_Selection=$V$278,Cultivar_3_Cohort_Year_Selection=$V$278), ROUND(MAX(0,(AA$440-('Stage 2 Randomized Selection'!P$2*$M441)) - 2),0),
IF(AND(OR(AB$279=123, AB$279=23), Cultivar_2_Cohort_Year_Selection=$V$278,Cultivar_3_Cohort_Year_Selection=$V$278), ROUND(MAX(0,(AA$440-('Stage 2 Randomized Selection'!P$2*$M441)) - 2),0),
IF(AND(OR(AB$279=123, AB$279=12, AB$279=13, AB$279=1), Cultivar_1_Cohort_Year_Selection=$V$278), ROUND(MAX(0,(AA$440-('Stage 2 Randomized Selection'!P$2*$M441)) - 1),0),
IF(AND(OR(AB$279=123, AB$279=12, AB$279=23, AB$279=2), Cultivar_2_Cohort_Year_Selection=$V$278), ROUND(MAX(0,(AA$440-('Stage 2 Randomized Selection'!P$2*$M441)) - 1),0),
IF(AND(OR(AB$279=123, AB$279=13, AB$279=23, AB$279=3), Cultivar_3_Cohort_Year_Selection=$V$278), ROUND(MAX(0,(AA$440-('Stage 2 Randomized Selection'!P$2*$M441)) - 1),0),
ROUND(MAX(0,(AA$440-('Stage 2 Randomized Selection'!P$2*$M441))),0)))))))),0),"")</f>
        <v/>
      </c>
      <c r="AC464" s="136" t="str">
        <f>IF(ISNUMBER($B$441),
IF(AND(ISNUMBER(AB$440), AB$440&gt;0),
IF(AND(AC$279=123, Cultivar_1_Cohort_Year_Selection=$W$278,Cultivar_2_Cohort_Year_Selection=$W$278,Cultivar_3_Cohort_Year_Selection=$W$278), ROUND(MAX(0,(AB$440-('Stage 2 Randomized Selection'!R$2*$M441)) - 3),0),
IF(AND(OR(AC$279=123, AC$279=12), Cultivar_1_Cohort_Year_Selection=$W$278,Cultivar_2_Cohort_Year_Selection=$W$278),  ROUND(MAX(0,(AB$440-('Stage 2 Randomized Selection'!Q$2*$M441)) - 2),0),
IF(AND(OR(AC$279=123, AC$279=13), Cultivar_1_Cohort_Year_Selection=$W$278,Cultivar_3_Cohort_Year_Selection=$W$278), ROUND(MAX(0,(AB$440-('Stage 2 Randomized Selection'!Q$2*$M441)) - 2),0),
IF(AND(OR(AC$279=123, AC$279=23), Cultivar_2_Cohort_Year_Selection=$W$278,Cultivar_3_Cohort_Year_Selection=$W$278), ROUND(MAX(0,(AB$440-('Stage 2 Randomized Selection'!Q$2*$M441)) - 2),0),
IF(AND(OR(AC$279=123, AC$279=12, AC$279=13, AC$279=1), Cultivar_1_Cohort_Year_Selection=$W$278), ROUND(MAX(0,(AB$440-('Stage 2 Randomized Selection'!Q$2*$M441)) - 1),0),
IF(AND(OR(AC$279=123, AC$279=12, AC$279=23, AC$279=2), Cultivar_2_Cohort_Year_Selection=$W$278), ROUND(MAX(0,(AB$440-('Stage 2 Randomized Selection'!Q$2*$M441)) - 1),0),
IF(AND(OR(AC$279=123, AC$279=13, AC$279=23, AC$279=3), Cultivar_3_Cohort_Year_Selection=$W$278), ROUND(MAX(0,(AB$440-('Stage 2 Randomized Selection'!Q$2*$M441)) - 1),0),
ROUND(MAX(0,(AB$440-('Stage 2 Randomized Selection'!Q$2*$M441))),0)))))))),0),"")</f>
        <v/>
      </c>
      <c r="AD464" s="136" t="str">
        <f>IF(ISNUMBER($B$441),
IF(AND(ISNUMBER(AC$440), AC$440&gt;0),
IF(AND(AD$279=123, Cultivar_1_Cohort_Year_Selection=$X$278,Cultivar_2_Cohort_Year_Selection=$X$278,Cultivar_3_Cohort_Year_Selection=$X$278), ROUND(MAX(0,(AC$440-('Stage 2 Randomized Selection'!S$2*$M441)) - 3),0),
IF(AND(OR(AD$279=123, AD$279=12), Cultivar_1_Cohort_Year_Selection=$X$278,Cultivar_2_Cohort_Year_Selection=$X$278),  ROUND(MAX(0,(AC$440-('Stage 2 Randomized Selection'!R$2*$M441)) - 2),0),
IF(AND(OR(AD$279=123, AD$279=13), Cultivar_1_Cohort_Year_Selection=$X$278,Cultivar_3_Cohort_Year_Selection=$X$278), ROUND(MAX(0,(AC$440-('Stage 2 Randomized Selection'!R$2*$M441)) - 2),0),
IF(AND(OR(AD$279=123, AD$279=23), Cultivar_2_Cohort_Year_Selection=$X$278,Cultivar_3_Cohort_Year_Selection=$X$278), ROUND(MAX(0,(AC$440-('Stage 2 Randomized Selection'!R$2*$M441)) - 2),0),
IF(AND(OR(AD$279=123, AD$279=12, AD$279=13, AD$279=1), Cultivar_1_Cohort_Year_Selection=$X$278), ROUND(MAX(0,(AC$440-('Stage 2 Randomized Selection'!R$2*$M441)) - 1),0),
IF(AND(OR(AD$279=123, AD$279=12, AD$279=23, AD$279=2), Cultivar_2_Cohort_Year_Selection=$X$278), ROUND(MAX(0,(AC$440-('Stage 2 Randomized Selection'!R$2*$M441)) - 1),0),
IF(AND(OR(AD$279=123, AD$279=13, AD$279=23, AD$279=3), Cultivar_3_Cohort_Year_Selection=$X$278), ROUND(MAX(0,(AC$440-('Stage 2 Randomized Selection'!R$2*$M441)) - 1),0),
ROUND(MAX(0,(AC$440-('Stage 2 Randomized Selection'!R$2*$M441))),0)))))))),0),"")</f>
        <v/>
      </c>
      <c r="AE464" s="136" t="str">
        <f>IF(ISNUMBER($B$441),
IF(AND(ISNUMBER(AD$440), AD$440&gt;0),
IF(AND(AE$279=123, Cultivar_1_Cohort_Year_Selection=$Y$278,Cultivar_2_Cohort_Year_Selection=$Y$278,Cultivar_3_Cohort_Year_Selection=$Y$278), ROUND(MAX(0,(AD$440-('Stage 2 Randomized Selection'!T$2*$M441)) - 3),0),
IF(AND(OR(AE$279=123, AE$279=12), Cultivar_1_Cohort_Year_Selection=$Y$278,Cultivar_2_Cohort_Year_Selection=$Y$278),  ROUND(MAX(0,(AD$440-('Stage 2 Randomized Selection'!S$2*$M441)) - 2),0),
IF(AND(OR(AE$279=123, AE$279=13), Cultivar_1_Cohort_Year_Selection=$Y$278,Cultivar_3_Cohort_Year_Selection=$Y$278), ROUND(MAX(0,(AD$440-('Stage 2 Randomized Selection'!S$2*$M441)) - 2),0),
IF(AND(OR(AE$279=123, AE$279=23), Cultivar_2_Cohort_Year_Selection=$Y$278,Cultivar_3_Cohort_Year_Selection=$Y$278), ROUND(MAX(0,(AD$440-('Stage 2 Randomized Selection'!S$2*$M441)) - 2),0),
IF(AND(OR(AE$279=123, AE$279=12, AE$279=13, AE$279=1), Cultivar_1_Cohort_Year_Selection=$Y$278), ROUND(MAX(0,(AD$440-('Stage 2 Randomized Selection'!S$2*$M441)) - 1),0),
IF(AND(OR(AE$279=123, AE$279=12, AE$279=23, AE$279=2), Cultivar_2_Cohort_Year_Selection=$Y$278), ROUND(MAX(0,(AD$440-('Stage 2 Randomized Selection'!S$2*$M441)) - 1),0),
IF(AND(OR(AE$279=123, AE$279=13, AE$279=23, AE$279=3), Cultivar_3_Cohort_Year_Selection=$Y$278), ROUND(MAX(0,(AD$440-('Stage 2 Randomized Selection'!S$2*$M441)) - 1),0),
ROUND(MAX(0,(AD$440-('Stage 2 Randomized Selection'!S$2*$M441))),0)))))))),0),"")</f>
        <v/>
      </c>
      <c r="AF464" s="136" t="str">
        <f>IF(ISNUMBER($B$441),
IF(AND(ISNUMBER(AE$440), AE$440&gt;0),
IF(AND(AF$279=123, Cultivar_1_Cohort_Year_Selection=$Z$278,Cultivar_2_Cohort_Year_Selection=$Z$278,Cultivar_3_Cohort_Year_Selection=$Z$278), ROUND(MAX(0,(AE$440-('Stage 2 Randomized Selection'!U$2*$M441)) - 3),0),
IF(AND(OR(AF$279=123, AF$279=12), Cultivar_1_Cohort_Year_Selection=$Z$278,Cultivar_2_Cohort_Year_Selection=$Z$278),  ROUND(MAX(0,(AE$440-('Stage 2 Randomized Selection'!T$2*$M441)) - 2),0),
IF(AND(OR(AF$279=123, AF$279=13), Cultivar_1_Cohort_Year_Selection=$Z$278,Cultivar_3_Cohort_Year_Selection=$Z$278), ROUND(MAX(0,(AE$440-('Stage 2 Randomized Selection'!T$2*$M441)) - 2),0),
IF(AND(OR(AF$279=123, AF$279=23), Cultivar_2_Cohort_Year_Selection=$Z$278,Cultivar_3_Cohort_Year_Selection=$Z$278), ROUND(MAX(0,(AE$440-('Stage 2 Randomized Selection'!T$2*$M441)) - 2),0),
IF(AND(OR(AF$279=123, AF$279=12, AF$279=13, AF$279=1), Cultivar_1_Cohort_Year_Selection=$Z$278), ROUND(MAX(0,(AE$440-('Stage 2 Randomized Selection'!T$2*$M441)) - 1),0),
IF(AND(OR(AF$279=123, AF$279=12, AF$279=23, AF$279=2), Cultivar_2_Cohort_Year_Selection=$Z$278), ROUND(MAX(0,(AE$440-('Stage 2 Randomized Selection'!T$2*$M441)) - 1),0),
IF(AND(OR(AF$279=123, AF$279=13, AF$279=23, AF$279=3), Cultivar_3_Cohort_Year_Selection=$Z$278), ROUND(MAX(0,(AE$440-('Stage 2 Randomized Selection'!T$2*$M441)) - 1),0),
ROUND(MAX(0,(AE$440-('Stage 2 Randomized Selection'!T$2*$M441))),0)))))))),0),"")</f>
        <v/>
      </c>
      <c r="AG464" s="136" t="str">
        <f>IF(ISNUMBER($B$441),
IF(AND(ISNUMBER(AF$440), AF$440&gt;0),
IF(AND(AG$279=123, Cultivar_1_Cohort_Year_Selection=$AA$278,Cultivar_2_Cohort_Year_Selection=$AA$278,Cultivar_3_Cohort_Year_Selection=$AA$278), ROUND(MAX(0,(AF$440-('Stage 2 Randomized Selection'!V$2*$M441)) - 3),0),
IF(AND(OR(AG$279=123, AG$279=12), Cultivar_1_Cohort_Year_Selection=$AA$278,Cultivar_2_Cohort_Year_Selection=$AA$278),  ROUND(MAX(0,(AF$440-('Stage 2 Randomized Selection'!U$2*$M441)) - 2),0),
IF(AND(OR(AG$279=123, AG$279=13), Cultivar_1_Cohort_Year_Selection=$AA$278,Cultivar_3_Cohort_Year_Selection=$AA$278), ROUND(MAX(0,(AF$440-('Stage 2 Randomized Selection'!U$2*$M441)) - 2),0),
IF(AND(OR(AG$279=123, AG$279=23), Cultivar_2_Cohort_Year_Selection=$AA$278,Cultivar_3_Cohort_Year_Selection=$AA$278), ROUND(MAX(0,(AF$440-('Stage 2 Randomized Selection'!U$2*$M441)) - 2),0),
IF(AND(OR(AG$279=123, AG$279=12, AG$279=13, AG$279=1), Cultivar_1_Cohort_Year_Selection=$AA$278), ROUND(MAX(0,(AF$440-('Stage 2 Randomized Selection'!U$2*$M441)) - 1),0),
IF(AND(OR(AG$279=123, AG$279=12, AG$279=23, AG$279=2), Cultivar_2_Cohort_Year_Selection=$AA$278), ROUND(MAX(0,(AF$440-('Stage 2 Randomized Selection'!U$2*$M441)) - 1),0),
IF(AND(OR(AG$279=123, AG$279=13, AG$279=23, AG$279=3), Cultivar_3_Cohort_Year_Selection=$AA$278), ROUND(MAX(0,(AF$440-('Stage 2 Randomized Selection'!U$2*$M441)) - 1),0),
ROUND(MAX(0,(AF$440-('Stage 2 Randomized Selection'!U$2*$M441))),0)))))))),0),"")</f>
        <v/>
      </c>
      <c r="AH464" s="136" t="str">
        <f>IF(ISNUMBER($B$441),
IF(AND(ISNUMBER(AG$440), AG$440&gt;0),
IF(AND(AH$279=123, Cultivar_1_Cohort_Year_Selection=$AB$278,Cultivar_2_Cohort_Year_Selection=$AB$278,Cultivar_3_Cohort_Year_Selection=$AB$278), ROUND(MAX(0,(AG$440-('Stage 2 Randomized Selection'!W$2*$M441)) - 3),0),
IF(AND(OR(AH$279=123, AH$279=12), Cultivar_1_Cohort_Year_Selection=$AB$278,Cultivar_2_Cohort_Year_Selection=$AB$278),  ROUND(MAX(0,(AG$440-('Stage 2 Randomized Selection'!V$2*$M441)) - 2),0),
IF(AND(OR(AH$279=123, AH$279=13), Cultivar_1_Cohort_Year_Selection=$AB$278,Cultivar_3_Cohort_Year_Selection=$AB$278), ROUND(MAX(0,(AG$440-('Stage 2 Randomized Selection'!V$2*$M441)) - 2),0),
IF(AND(OR(AH$279=123, AH$279=23), Cultivar_2_Cohort_Year_Selection=$AB$278,Cultivar_3_Cohort_Year_Selection=$AB$278), ROUND(MAX(0,(AG$440-('Stage 2 Randomized Selection'!V$2*$M441)) - 2),0),
IF(AND(OR(AH$279=123, AH$279=12, AH$279=13, AH$279=1), Cultivar_1_Cohort_Year_Selection=$AB$278), ROUND(MAX(0,(AG$440-('Stage 2 Randomized Selection'!V$2*$M441)) - 1),0),
IF(AND(OR(AH$279=123, AH$279=12, AH$279=23, AH$279=2), Cultivar_2_Cohort_Year_Selection=$AB$278), ROUND(MAX(0,(AG$440-('Stage 2 Randomized Selection'!V$2*$M441)) - 1),0),
IF(AND(OR(AH$279=123, AH$279=13, AH$279=23, AH$279=3), Cultivar_3_Cohort_Year_Selection=$AB$278), ROUND(MAX(0,(AG$440-('Stage 2 Randomized Selection'!V$2*$M441)) - 1),0),
ROUND(MAX(0,(AG$440-('Stage 2 Randomized Selection'!V$2*$M441))),0)))))))),0),"")</f>
        <v/>
      </c>
      <c r="AI464" s="136" t="str">
        <f>IF(ISNUMBER($B$441),
IF(AND(ISNUMBER(AH$440), AH$440&gt;0),
IF(AND(AI$279=123, Cultivar_1_Cohort_Year_Selection=$AC$278,Cultivar_2_Cohort_Year_Selection=$AC$278,Cultivar_3_Cohort_Year_Selection=$AC$278), ROUND(MAX(0,(AH$440-('Stage 2 Randomized Selection'!X$2*$M441)) - 3),0),
IF(AND(OR(AI$279=123, AI$279=12), Cultivar_1_Cohort_Year_Selection=$AC$278,Cultivar_2_Cohort_Year_Selection=$AC$278),  ROUND(MAX(0,(AH$440-('Stage 2 Randomized Selection'!W$2*$M441)) - 2),0),
IF(AND(OR(AI$279=123, AI$279=13), Cultivar_1_Cohort_Year_Selection=$AC$278,Cultivar_3_Cohort_Year_Selection=$AC$278), ROUND(MAX(0,(AH$440-('Stage 2 Randomized Selection'!W$2*$M441)) - 2),0),
IF(AND(OR(AI$279=123, AI$279=23), Cultivar_2_Cohort_Year_Selection=$AC$278,Cultivar_3_Cohort_Year_Selection=$AC$278), ROUND(MAX(0,(AH$440-('Stage 2 Randomized Selection'!W$2*$M441)) - 2),0),
IF(AND(OR(AI$279=123, AI$279=12, AI$279=13, AI$279=1), Cultivar_1_Cohort_Year_Selection=$AC$278), ROUND(MAX(0,(AH$440-('Stage 2 Randomized Selection'!W$2*$M441)) - 1),0),
IF(AND(OR(AI$279=123, AI$279=12, AI$279=23, AI$279=2), Cultivar_2_Cohort_Year_Selection=$AC$278), ROUND(MAX(0,(AH$440-('Stage 2 Randomized Selection'!W$2*$M441)) - 1),0),
IF(AND(OR(AI$279=123, AI$279=13, AI$279=23, AI$279=3), Cultivar_3_Cohort_Year_Selection=$AC$278), ROUND(MAX(0,(AH$440-('Stage 2 Randomized Selection'!W$2*$M441)) - 1),0),
ROUND(MAX(0,(AH$440-('Stage 2 Randomized Selection'!W$2*$M441))),0)))))))),0),"")</f>
        <v/>
      </c>
      <c r="AJ464" s="136" t="str">
        <f>IF(ISNUMBER($B$441),
IF(AND(ISNUMBER(AI$440), AI$440&gt;0),
IF(AND(AJ$279=123, Cultivar_1_Cohort_Year_Selection=$AD$278,Cultivar_2_Cohort_Year_Selection=$AD$278,Cultivar_3_Cohort_Year_Selection=$AD$278), ROUND(MAX(0,(AI$440-('Stage 2 Randomized Selection'!Y$2*$M441)) - 3),0),
IF(AND(OR(AJ$279=123, AJ$279=12), Cultivar_1_Cohort_Year_Selection=$AD$278,Cultivar_2_Cohort_Year_Selection=$AD$278),  ROUND(MAX(0,(AI$440-('Stage 2 Randomized Selection'!X$2*$M441)) - 2),0),
IF(AND(OR(AJ$279=123, AJ$279=13), Cultivar_1_Cohort_Year_Selection=$AD$278,Cultivar_3_Cohort_Year_Selection=$AD$278), ROUND(MAX(0,(AI$440-('Stage 2 Randomized Selection'!X$2*$M441)) - 2),0),
IF(AND(OR(AJ$279=123, AJ$279=23), Cultivar_2_Cohort_Year_Selection=$AD$278,Cultivar_3_Cohort_Year_Selection=$AD$278), ROUND(MAX(0,(AI$440-('Stage 2 Randomized Selection'!X$2*$M441)) - 2),0),
IF(AND(OR(AJ$279=123, AJ$279=12, AJ$279=13, AJ$279=1), Cultivar_1_Cohort_Year_Selection=$AD$278), ROUND(MAX(0,(AI$440-('Stage 2 Randomized Selection'!X$2*$M441)) - 1),0),
IF(AND(OR(AJ$279=123, AJ$279=12, AJ$279=23, AJ$279=2), Cultivar_2_Cohort_Year_Selection=$AD$278), ROUND(MAX(0,(AI$440-('Stage 2 Randomized Selection'!X$2*$M441)) - 1),0),
IF(AND(OR(AJ$279=123, AJ$279=13, AJ$279=23, AJ$279=3), Cultivar_3_Cohort_Year_Selection=$AD$278), ROUND(MAX(0,(AI$440-('Stage 2 Randomized Selection'!X$2*$M441)) - 1),0),
ROUND(MAX(0,(AI$440-('Stage 2 Randomized Selection'!X$2*$M441))),0)))))))),0),"")</f>
        <v/>
      </c>
      <c r="AK464" s="136" t="str">
        <f>IF(ISNUMBER($B$441),
IF(AND(ISNUMBER(AJ$440), AJ$440&gt;0),
IF(AND(AK$279=123, Cultivar_1_Cohort_Year_Selection=$AE$278,Cultivar_2_Cohort_Year_Selection=$AE$278,Cultivar_3_Cohort_Year_Selection=$AE$278), ROUND(MAX(0,(AJ$440-('Stage 2 Randomized Selection'!Z$2*$M441)) - 3),0),
IF(AND(OR(AK$279=123, AK$279=12), Cultivar_1_Cohort_Year_Selection=$AE$278,Cultivar_2_Cohort_Year_Selection=$AE$278),  ROUND(MAX(0,(AJ$440-('Stage 2 Randomized Selection'!Y$2*$M441)) - 2),0),
IF(AND(OR(AK$279=123, AK$279=13), Cultivar_1_Cohort_Year_Selection=$AE$278,Cultivar_3_Cohort_Year_Selection=$AE$278), ROUND(MAX(0,(AJ$440-('Stage 2 Randomized Selection'!Y$2*$M441)) - 2),0),
IF(AND(OR(AK$279=123, AK$279=23), Cultivar_2_Cohort_Year_Selection=$AE$278,Cultivar_3_Cohort_Year_Selection=$AE$278), ROUND(MAX(0,(AJ$440-('Stage 2 Randomized Selection'!Y$2*$M441)) - 2),0),
IF(AND(OR(AK$279=123, AK$279=12, AK$279=13, AK$279=1), Cultivar_1_Cohort_Year_Selection=$AE$278), ROUND(MAX(0,(AJ$440-('Stage 2 Randomized Selection'!Y$2*$M441)) - 1),0),
IF(AND(OR(AK$279=123, AK$279=12, AK$279=23, AK$279=2), Cultivar_2_Cohort_Year_Selection=$AE$278), ROUND(MAX(0,(AJ$440-('Stage 2 Randomized Selection'!Y$2*$M441)) - 1),0),
IF(AND(OR(AK$279=123, AK$279=13, AK$279=23, AK$279=3), Cultivar_3_Cohort_Year_Selection=$AE$278), ROUND(MAX(0,(AJ$440-('Stage 2 Randomized Selection'!Y$2*$M441)) - 1),0),
ROUND(MAX(0,(AJ$440-('Stage 2 Randomized Selection'!Y$2*$M441))),0)))))))),0),"")</f>
        <v/>
      </c>
      <c r="AL464" s="136" t="str">
        <f>IF(ISNUMBER($B$441),
IF(AND(ISNUMBER(AK$440), AK$440&gt;0),
IF(AND(AL$279=123, Cultivar_1_Cohort_Year_Selection=$AF$278,Cultivar_2_Cohort_Year_Selection=$AF$278,Cultivar_3_Cohort_Year_Selection=$AF$278), ROUND(MAX(0,(AK$440-('Stage 2 Randomized Selection'!AA$2*$M441)) - 3),0),
IF(AND(OR(AL$279=123, AL$279=12), Cultivar_1_Cohort_Year_Selection=$AF$278,Cultivar_2_Cohort_Year_Selection=$AF$278),  ROUND(MAX(0,(AK$440-('Stage 2 Randomized Selection'!Z$2*$M441)) - 2),0),
IF(AND(OR(AL$279=123, AL$279=13), Cultivar_1_Cohort_Year_Selection=$AF$278,Cultivar_3_Cohort_Year_Selection=$AF$278), ROUND(MAX(0,(AK$440-('Stage 2 Randomized Selection'!Z$2*$M441)) - 2),0),
IF(AND(OR(AL$279=123, AL$279=23), Cultivar_2_Cohort_Year_Selection=$AF$278,Cultivar_3_Cohort_Year_Selection=$AF$278), ROUND(MAX(0,(AK$440-('Stage 2 Randomized Selection'!Z$2*$M441)) - 2),0),
IF(AND(OR(AL$279=123, AL$279=12, AL$279=13, AL$279=1), Cultivar_1_Cohort_Year_Selection=$AF$278), ROUND(MAX(0,(AK$440-('Stage 2 Randomized Selection'!Z$2*$M441)) - 1),0),
IF(AND(OR(AL$279=123, AL$279=12, AL$279=23, AL$279=2), Cultivar_2_Cohort_Year_Selection=$AF$278), ROUND(MAX(0,(AK$440-('Stage 2 Randomized Selection'!Z$2*$M441)) - 1),0),
IF(AND(OR(AL$279=123, AL$279=13, AL$279=23, AL$279=3), Cultivar_3_Cohort_Year_Selection=$AF$278), ROUND(MAX(0,(AK$440-('Stage 2 Randomized Selection'!Z$2*$M441)) - 1),0),
ROUND(MAX(0,(AK$440-('Stage 2 Randomized Selection'!Z$2*$M441))),0)))))))),0),"")</f>
        <v/>
      </c>
      <c r="AM464" s="136" t="str">
        <f>IF(ISNUMBER($B$441),
IF(AND(ISNUMBER(AL$440), AL$440&gt;0),
IF(AND(AM$279=123, Cultivar_1_Cohort_Year_Selection=$AG$278,Cultivar_2_Cohort_Year_Selection=$AG$278,Cultivar_3_Cohort_Year_Selection=$AG$278), ROUND(MAX(0,(AL$440-('Stage 2 Randomized Selection'!AB$2*$M441)) - 3),0),
IF(AND(OR(AM$279=123, AM$279=12), Cultivar_1_Cohort_Year_Selection=$AG$278,Cultivar_2_Cohort_Year_Selection=$AG$278),  ROUND(MAX(0,(AL$440-('Stage 2 Randomized Selection'!AA$2*$M441)) - 2),0),
IF(AND(OR(AM$279=123, AM$279=13), Cultivar_1_Cohort_Year_Selection=$AG$278,Cultivar_3_Cohort_Year_Selection=$AG$278), ROUND(MAX(0,(AL$440-('Stage 2 Randomized Selection'!AA$2*$M441)) - 2),0),
IF(AND(OR(AM$279=123, AM$279=23), Cultivar_2_Cohort_Year_Selection=$AG$278,Cultivar_3_Cohort_Year_Selection=$AG$278), ROUND(MAX(0,(AL$440-('Stage 2 Randomized Selection'!AA$2*$M441)) - 2),0),
IF(AND(OR(AM$279=123, AM$279=12, AM$279=13, AM$279=1), Cultivar_1_Cohort_Year_Selection=$AG$278), ROUND(MAX(0,(AL$440-('Stage 2 Randomized Selection'!AA$2*$M441)) - 1),0),
IF(AND(OR(AM$279=123, AM$279=12, AM$279=23, AM$279=2), Cultivar_2_Cohort_Year_Selection=$AG$278), ROUND(MAX(0,(AL$440-('Stage 2 Randomized Selection'!AA$2*$M441)) - 1),0),
IF(AND(OR(AM$279=123, AM$279=13, AM$279=23, AM$279=3), Cultivar_3_Cohort_Year_Selection=$AG$278), ROUND(MAX(0,(AL$440-('Stage 2 Randomized Selection'!AA$2*$M441)) - 1),0),
ROUND(MAX(0,(AL$440-('Stage 2 Randomized Selection'!AA$2*$M441))),0)))))))),0),"")</f>
        <v/>
      </c>
      <c r="AN464" s="136" t="str">
        <f>IF(ISNUMBER($B$441),
IF(AND(ISNUMBER(AM$440), AM$440&gt;0),
IF(AND(AN$279=123, Cultivar_1_Cohort_Year_Selection=$AH$278,Cultivar_2_Cohort_Year_Selection=$AH$278,Cultivar_3_Cohort_Year_Selection=$AH$278), ROUND(MAX(0,(AM$440-('Stage 2 Randomized Selection'!AC$2*$M441)) - 3),0),
IF(AND(OR(AN$279=123, AN$279=12), Cultivar_1_Cohort_Year_Selection=$AH$278,Cultivar_2_Cohort_Year_Selection=$AH$278),  ROUND(MAX(0,(AM$440-('Stage 2 Randomized Selection'!AB$2*$M441)) - 2),0),
IF(AND(OR(AN$279=123, AN$279=13), Cultivar_1_Cohort_Year_Selection=$AH$278,Cultivar_3_Cohort_Year_Selection=$AH$278), ROUND(MAX(0,(AM$440-('Stage 2 Randomized Selection'!AB$2*$M441)) - 2),0),
IF(AND(OR(AN$279=123, AN$279=23), Cultivar_2_Cohort_Year_Selection=$AH$278,Cultivar_3_Cohort_Year_Selection=$AH$278), ROUND(MAX(0,(AM$440-('Stage 2 Randomized Selection'!AB$2*$M441)) - 2),0),
IF(AND(OR(AN$279=123, AN$279=12, AN$279=13, AN$279=1), Cultivar_1_Cohort_Year_Selection=$AH$278), ROUND(MAX(0,(AM$440-('Stage 2 Randomized Selection'!AB$2*$M441)) - 1),0),
IF(AND(OR(AN$279=123, AN$279=12, AN$279=23, AN$279=2), Cultivar_2_Cohort_Year_Selection=$AH$278), ROUND(MAX(0,(AM$440-('Stage 2 Randomized Selection'!AB$2*$M441)) - 1),0),
IF(AND(OR(AN$279=123, AN$279=13, AN$279=23, AN$279=3), Cultivar_3_Cohort_Year_Selection=$AH$278), ROUND(MAX(0,(AM$440-('Stage 2 Randomized Selection'!AB$2*$M441)) - 1),0),
ROUND(MAX(0,(AM$440-('Stage 2 Randomized Selection'!AB$2*$M441))),0)))))))),0),"")</f>
        <v/>
      </c>
      <c r="AO464" s="136" t="str">
        <f>IF(ISNUMBER($B$441),
IF(AND(ISNUMBER(AN$440), AN$440&gt;0),
IF(AND(AO$279=123, Cultivar_1_Cohort_Year_Selection=$AI$278,Cultivar_2_Cohort_Year_Selection=$AI$278,Cultivar_3_Cohort_Year_Selection=$AI$278), ROUND(MAX(0,(AN$440-('Stage 2 Randomized Selection'!AD$2*$M441)) - 3),0),
IF(AND(OR(AO$279=123, AO$279=12), Cultivar_1_Cohort_Year_Selection=$AI$278,Cultivar_2_Cohort_Year_Selection=$AI$278),  ROUND(MAX(0,(AN$440-('Stage 2 Randomized Selection'!AC$2*$M441)) - 2),0),
IF(AND(OR(AO$279=123, AO$279=13), Cultivar_1_Cohort_Year_Selection=$AI$278,Cultivar_3_Cohort_Year_Selection=$AI$278), ROUND(MAX(0,(AN$440-('Stage 2 Randomized Selection'!AC$2*$M441)) - 2),0),
IF(AND(OR(AO$279=123, AO$279=23), Cultivar_2_Cohort_Year_Selection=$AI$278,Cultivar_3_Cohort_Year_Selection=$AI$278), ROUND(MAX(0,(AN$440-('Stage 2 Randomized Selection'!AC$2*$M441)) - 2),0),
IF(AND(OR(AO$279=123, AO$279=12, AO$279=13, AO$279=1), Cultivar_1_Cohort_Year_Selection=$AI$278), ROUND(MAX(0,(AN$440-('Stage 2 Randomized Selection'!AC$2*$M441)) - 1),0),
IF(AND(OR(AO$279=123, AO$279=12, AO$279=23, AO$279=2), Cultivar_2_Cohort_Year_Selection=$AI$278), ROUND(MAX(0,(AN$440-('Stage 2 Randomized Selection'!AC$2*$M441)) - 1),0),
IF(AND(OR(AO$279=123, AO$279=13, AO$279=23, AO$279=3), Cultivar_3_Cohort_Year_Selection=$AI$278), ROUND(MAX(0,(AN$440-('Stage 2 Randomized Selection'!AC$2*$M441)) - 1),0),
ROUND(MAX(0,(AN$440-('Stage 2 Randomized Selection'!AC$2*$M441))),0)))))))),0),"")</f>
        <v/>
      </c>
      <c r="AP464" s="136" t="str">
        <f>IF(ISNUMBER($B$441),
IF(AND(ISNUMBER(AO$440), AO$440&gt;0),
IF(AND(AP$279=123, Cultivar_1_Cohort_Year_Selection=$AJ$278,Cultivar_2_Cohort_Year_Selection=$AJ$278,Cultivar_3_Cohort_Year_Selection=$AJ$278), ROUND(MAX(0,(AO$440-('Stage 2 Randomized Selection'!AE$2*$M441)) - 3),0),
IF(AND(OR(AP$279=123, AP$279=12), Cultivar_1_Cohort_Year_Selection=$AJ$278,Cultivar_2_Cohort_Year_Selection=$AJ$278),  ROUND(MAX(0,(AO$440-('Stage 2 Randomized Selection'!AD$2*$M441)) - 2),0),
IF(AND(OR(AP$279=123, AP$279=13), Cultivar_1_Cohort_Year_Selection=$AJ$278,Cultivar_3_Cohort_Year_Selection=$AJ$278), ROUND(MAX(0,(AO$440-('Stage 2 Randomized Selection'!AD$2*$M441)) - 2),0),
IF(AND(OR(AP$279=123, AP$279=23), Cultivar_2_Cohort_Year_Selection=$AJ$278,Cultivar_3_Cohort_Year_Selection=$AJ$278), ROUND(MAX(0,(AO$440-('Stage 2 Randomized Selection'!AD$2*$M441)) - 2),0),
IF(AND(OR(AP$279=123, AP$279=12, AP$279=13, AP$279=1), Cultivar_1_Cohort_Year_Selection=$AJ$278), ROUND(MAX(0,(AO$440-('Stage 2 Randomized Selection'!AD$2*$M441)) - 1),0),
IF(AND(OR(AP$279=123, AP$279=12, AP$279=23, AP$279=2), Cultivar_2_Cohort_Year_Selection=$AJ$278), ROUND(MAX(0,(AO$440-('Stage 2 Randomized Selection'!AD$2*$M441)) - 1),0),
IF(AND(OR(AP$279=123, AP$279=13, AP$279=23, AP$279=3), Cultivar_3_Cohort_Year_Selection=$AJ$278), ROUND(MAX(0,(AO$440-('Stage 2 Randomized Selection'!AD$2*$M441)) - 1),0),
ROUND(MAX(0,(AO$440-('Stage 2 Randomized Selection'!AD$2*$M441))),0)))))))),0),"")</f>
        <v/>
      </c>
      <c r="AQ464" s="136" t="str">
        <f>IF(ISNUMBER($B$441),
IF(AND(ISNUMBER(AP$440), AP$440&gt;0),
IF(AND(AQ$279=123, Cultivar_1_Cohort_Year_Selection=$AK$278,Cultivar_2_Cohort_Year_Selection=$AK$278,Cultivar_3_Cohort_Year_Selection=$AK$278), ROUND(MAX(0,(AP$440-('Stage 2 Randomized Selection'!AF$2*$M441)) - 3),0),
IF(AND(OR(AQ$279=123, AQ$279=12), Cultivar_1_Cohort_Year_Selection=$AK$278,Cultivar_2_Cohort_Year_Selection=$AK$278),  ROUND(MAX(0,(AP$440-('Stage 2 Randomized Selection'!AE$2*$M441)) - 2),0),
IF(AND(OR(AQ$279=123, AQ$279=13), Cultivar_1_Cohort_Year_Selection=$AK$278,Cultivar_3_Cohort_Year_Selection=$AK$278), ROUND(MAX(0,(AP$440-('Stage 2 Randomized Selection'!AE$2*$M441)) - 2),0),
IF(AND(OR(AQ$279=123, AQ$279=23), Cultivar_2_Cohort_Year_Selection=$AK$278,Cultivar_3_Cohort_Year_Selection=$AK$278), ROUND(MAX(0,(AP$440-('Stage 2 Randomized Selection'!AE$2*$M441)) - 2),0),
IF(AND(OR(AQ$279=123, AQ$279=12, AQ$279=13, AQ$279=1), Cultivar_1_Cohort_Year_Selection=$AK$278), ROUND(MAX(0,(AP$440-('Stage 2 Randomized Selection'!AE$2*$M441)) - 1),0),
IF(AND(OR(AQ$279=123, AQ$279=12, AQ$279=23, AQ$279=2), Cultivar_2_Cohort_Year_Selection=$AK$278), ROUND(MAX(0,(AP$440-('Stage 2 Randomized Selection'!AE$2*$M441)) - 1),0),
IF(AND(OR(AQ$279=123, AQ$279=13, AQ$279=23, AQ$279=3), Cultivar_3_Cohort_Year_Selection=$AK$278), ROUND(MAX(0,(AP$440-('Stage 2 Randomized Selection'!AE$2*$M441)) - 1),0),
ROUND(MAX(0,(AP$440-('Stage 2 Randomized Selection'!AE$2*$M441))),0)))))))),0),"")</f>
        <v/>
      </c>
      <c r="AR464" s="136" t="str">
        <f>IF(ISNUMBER($B$441),
IF(AND(ISNUMBER(AQ$440), AQ$440&gt;0),
IF(AND(AR$279=123, Cultivar_1_Cohort_Year_Selection=$AL$278,Cultivar_2_Cohort_Year_Selection=$AL$278,Cultivar_3_Cohort_Year_Selection=$AL$278), ROUND(MAX(0,(AQ$440-('Stage 2 Randomized Selection'!AG$2*$M441)) - 3),0),
IF(AND(OR(AR$279=123, AR$279=12), Cultivar_1_Cohort_Year_Selection=$AL$278,Cultivar_2_Cohort_Year_Selection=$AL$278),  ROUND(MAX(0,(AQ$440-('Stage 2 Randomized Selection'!AF$2*$M441)) - 2),0),
IF(AND(OR(AR$279=123, AR$279=13), Cultivar_1_Cohort_Year_Selection=$AL$278,Cultivar_3_Cohort_Year_Selection=$AL$278), ROUND(MAX(0,(AQ$440-('Stage 2 Randomized Selection'!AF$2*$M441)) - 2),0),
IF(AND(OR(AR$279=123, AR$279=23), Cultivar_2_Cohort_Year_Selection=$AL$278,Cultivar_3_Cohort_Year_Selection=$AL$278), ROUND(MAX(0,(AQ$440-('Stage 2 Randomized Selection'!AF$2*$M441)) - 2),0),
IF(AND(OR(AR$279=123, AR$279=12, AR$279=13, AR$279=1), Cultivar_1_Cohort_Year_Selection=$AL$278), ROUND(MAX(0,(AQ$440-('Stage 2 Randomized Selection'!AF$2*$M441)) - 1),0),
IF(AND(OR(AR$279=123, AR$279=12, AR$279=23, AR$279=2), Cultivar_2_Cohort_Year_Selection=$AL$278), ROUND(MAX(0,(AQ$440-('Stage 2 Randomized Selection'!AF$2*$M441)) - 1),0),
IF(AND(OR(AR$279=123, AR$279=13, AR$279=23, AR$279=3), Cultivar_3_Cohort_Year_Selection=$AL$278), ROUND(MAX(0,(AQ$440-('Stage 2 Randomized Selection'!AF$2*$M441)) - 1),0),
ROUND(MAX(0,(AQ$440-('Stage 2 Randomized Selection'!AF$2*$M441))),0)))))))),0),"")</f>
        <v/>
      </c>
      <c r="AS464" s="136" t="str">
        <f>IF(ISNUMBER($B$441),
IF(AND(ISNUMBER(AR$440), AR$440&gt;0),
IF(AND(AS$279=123, Cultivar_1_Cohort_Year_Selection=$AM$278,Cultivar_2_Cohort_Year_Selection=$AM$278,Cultivar_3_Cohort_Year_Selection=$AM$278), ROUND(MAX(0,(AR$440-('Stage 2 Randomized Selection'!AH$2*$M441)) - 3),0),
IF(AND(OR(AS$279=123, AS$279=12), Cultivar_1_Cohort_Year_Selection=$AM$278,Cultivar_2_Cohort_Year_Selection=$AM$278),  ROUND(MAX(0,(AR$440-('Stage 2 Randomized Selection'!AG$2*$M441)) - 2),0),
IF(AND(OR(AS$279=123, AS$279=13), Cultivar_1_Cohort_Year_Selection=$AM$278,Cultivar_3_Cohort_Year_Selection=$AM$278), ROUND(MAX(0,(AR$440-('Stage 2 Randomized Selection'!AG$2*$M441)) - 2),0),
IF(AND(OR(AS$279=123, AS$279=23), Cultivar_2_Cohort_Year_Selection=$AM$278,Cultivar_3_Cohort_Year_Selection=$AM$278), ROUND(MAX(0,(AR$440-('Stage 2 Randomized Selection'!AG$2*$M441)) - 2),0),
IF(AND(OR(AS$279=123, AS$279=12, AS$279=13, AS$279=1), Cultivar_1_Cohort_Year_Selection=$AM$278), ROUND(MAX(0,(AR$440-('Stage 2 Randomized Selection'!AG$2*$M441)) - 1),0),
IF(AND(OR(AS$279=123, AS$279=12, AS$279=23, AS$279=2), Cultivar_2_Cohort_Year_Selection=$AM$278), ROUND(MAX(0,(AR$440-('Stage 2 Randomized Selection'!AG$2*$M441)) - 1),0),
IF(AND(OR(AS$279=123, AS$279=13, AS$279=23, AS$279=3), Cultivar_3_Cohort_Year_Selection=$AM$278), ROUND(MAX(0,(AR$440-('Stage 2 Randomized Selection'!AG$2*$M441)) - 1),0),
ROUND(MAX(0,(AR$440-('Stage 2 Randomized Selection'!AG$2*$M441))),0)))))))),0),"")</f>
        <v/>
      </c>
      <c r="AT464" s="136" t="str">
        <f>IF(ISNUMBER($B$441),
IF(AND(ISNUMBER(AS$440), AS$440&gt;0),
IF(AND(AT$279=123, Cultivar_1_Cohort_Year_Selection=$AN$278,Cultivar_2_Cohort_Year_Selection=$AN$278,Cultivar_3_Cohort_Year_Selection=$AN$278), ROUND(MAX(0,(AS$440-('Stage 2 Randomized Selection'!AI$2*$M441)) - 3),0),
IF(AND(OR(AT$279=123, AT$279=12), Cultivar_1_Cohort_Year_Selection=$AN$278,Cultivar_2_Cohort_Year_Selection=$AN$278),  ROUND(MAX(0,(AS$440-('Stage 2 Randomized Selection'!AH$2*$M441)) - 2),0),
IF(AND(OR(AT$279=123, AT$279=13), Cultivar_1_Cohort_Year_Selection=$AN$278,Cultivar_3_Cohort_Year_Selection=$AN$278), ROUND(MAX(0,(AS$440-('Stage 2 Randomized Selection'!AH$2*$M441)) - 2),0),
IF(AND(OR(AT$279=123, AT$279=23), Cultivar_2_Cohort_Year_Selection=$AN$278,Cultivar_3_Cohort_Year_Selection=$AN$278), ROUND(MAX(0,(AS$440-('Stage 2 Randomized Selection'!AH$2*$M441)) - 2),0),
IF(AND(OR(AT$279=123, AT$279=12, AT$279=13, AT$279=1), Cultivar_1_Cohort_Year_Selection=$AN$278), ROUND(MAX(0,(AS$440-('Stage 2 Randomized Selection'!AH$2*$M441)) - 1),0),
IF(AND(OR(AT$279=123, AT$279=12, AT$279=23, AT$279=2), Cultivar_2_Cohort_Year_Selection=$AN$278), ROUND(MAX(0,(AS$440-('Stage 2 Randomized Selection'!AH$2*$M441)) - 1),0),
IF(AND(OR(AT$279=123, AT$279=13, AT$279=23, AT$279=3), Cultivar_3_Cohort_Year_Selection=$AN$278), ROUND(MAX(0,(AS$440-('Stage 2 Randomized Selection'!AH$2*$M441)) - 1),0),
ROUND(MAX(0,(AS$440-('Stage 2 Randomized Selection'!AH$2*$M441))),0)))))))),0),"")</f>
        <v/>
      </c>
      <c r="AU464" s="136" t="str">
        <f>IF(ISNUMBER($B$441),
IF(AND(ISNUMBER(AT$440), AT$440&gt;0),
IF(AND(AU$279=123, Cultivar_1_Cohort_Year_Selection=$AO$278,Cultivar_2_Cohort_Year_Selection=$AO$278,Cultivar_3_Cohort_Year_Selection=$AO$278), ROUND(MAX(0,(AT$440-('Stage 2 Randomized Selection'!AJ$2*$M441)) - 3),0),
IF(AND(OR(AU$279=123, AU$279=12), Cultivar_1_Cohort_Year_Selection=$AO$278,Cultivar_2_Cohort_Year_Selection=$AO$278),  ROUND(MAX(0,(AT$440-('Stage 2 Randomized Selection'!AI$2*$M441)) - 2),0),
IF(AND(OR(AU$279=123, AU$279=13), Cultivar_1_Cohort_Year_Selection=$AO$278,Cultivar_3_Cohort_Year_Selection=$AO$278), ROUND(MAX(0,(AT$440-('Stage 2 Randomized Selection'!AI$2*$M441)) - 2),0),
IF(AND(OR(AU$279=123, AU$279=23), Cultivar_2_Cohort_Year_Selection=$AO$278,Cultivar_3_Cohort_Year_Selection=$AO$278), ROUND(MAX(0,(AT$440-('Stage 2 Randomized Selection'!AI$2*$M441)) - 2),0),
IF(AND(OR(AU$279=123, AU$279=12, AU$279=13, AU$279=1), Cultivar_1_Cohort_Year_Selection=$AO$278), ROUND(MAX(0,(AT$440-('Stage 2 Randomized Selection'!AI$2*$M441)) - 1),0),
IF(AND(OR(AU$279=123, AU$279=12, AU$279=23, AU$279=2), Cultivar_2_Cohort_Year_Selection=$AO$278), ROUND(MAX(0,(AT$440-('Stage 2 Randomized Selection'!AI$2*$M441)) - 1),0),
IF(AND(OR(AU$279=123, AU$279=13, AU$279=23, AU$279=3), Cultivar_3_Cohort_Year_Selection=$AO$278), ROUND(MAX(0,(AT$440-('Stage 2 Randomized Selection'!AI$2*$M441)) - 1),0),
ROUND(MAX(0,(AT$440-('Stage 2 Randomized Selection'!AI$2*$M441))),0)))))))),0),"")</f>
        <v/>
      </c>
      <c r="AV464" s="288" t="str">
        <f>IF(ISNUMBER($B$441),
IF(AND(ISNUMBER(AU$440), AU$440&gt;0),
IF(AND(AV$279=123, Cultivar_1_Cohort_Year_Selection=$AP$278,Cultivar_2_Cohort_Year_Selection=$AP$278,Cultivar_3_Cohort_Year_Selection=$AP$278), ROUND(MAX(0,(AU$440-('Stage 2 Randomized Selection'!AK$2*$M441)) - 3),0),
IF(AND(OR(AV$279=123, AV$279=12), Cultivar_1_Cohort_Year_Selection=$AP$278,Cultivar_2_Cohort_Year_Selection=$AP$278),  ROUND(MAX(0,(AU$440-('Stage 2 Randomized Selection'!AJ$2*$M441)) - 2),0),
IF(AND(OR(AV$279=123, AV$279=13), Cultivar_1_Cohort_Year_Selection=$AP$278,Cultivar_3_Cohort_Year_Selection=$AP$278), ROUND(MAX(0,(AU$440-('Stage 2 Randomized Selection'!AJ$2*$M441)) - 2),0),
IF(AND(OR(AV$279=123, AV$279=23), Cultivar_2_Cohort_Year_Selection=$AP$278,Cultivar_3_Cohort_Year_Selection=$AP$278), ROUND(MAX(0,(AU$440-('Stage 2 Randomized Selection'!AJ$2*$M441)) - 2),0),
IF(AND(OR(AV$279=123, AV$279=12, AV$279=13, AV$279=1), Cultivar_1_Cohort_Year_Selection=$AP$278), ROUND(MAX(0,(AU$440-('Stage 2 Randomized Selection'!AJ$2*$M441)) - 1),0),
IF(AND(OR(AV$279=123, AV$279=12, AV$279=23, AV$279=2), Cultivar_2_Cohort_Year_Selection=$AP$278), ROUND(MAX(0,(AU$440-('Stage 2 Randomized Selection'!AJ$2*$M441)) - 1),0),
IF(AND(OR(AV$279=123, AV$279=13, AV$279=23, AV$279=3), Cultivar_3_Cohort_Year_Selection=$AP$278), ROUND(MAX(0,(AU$440-('Stage 2 Randomized Selection'!AJ$2*$M441)) - 1),0),
ROUND(MAX(0,(AU$440-('Stage 2 Randomized Selection'!AJ$2*$M441))),0)))))))),0),"")</f>
        <v/>
      </c>
    </row>
    <row r="465" spans="1:49" ht="14.45" customHeight="1" x14ac:dyDescent="0.25">
      <c r="A465" s="518" t="str">
        <f>Fourth_Stage</f>
        <v>Stage 2 Clonal Test Plots</v>
      </c>
      <c r="B465" s="504" t="str">
        <f>'Breeding Inputs'!B96</f>
        <v/>
      </c>
      <c r="C465" s="521" t="str">
        <f>IF(ISNUMBER(B465), _4_3_0, "")</f>
        <v/>
      </c>
      <c r="D465" s="94" t="str">
        <f>IF(AND(C465&lt;&gt;"", 'Cost Inputs'!$G$105&lt;&gt;""), 'Cost Inputs'!$G$105, "")</f>
        <v/>
      </c>
      <c r="E465" s="94" t="str">
        <f>IF(AND(C465&lt;&gt;"", 'Cost Inputs'!$H$105&lt;&gt;""), 'Cost Inputs'!$H$105, "")</f>
        <v/>
      </c>
      <c r="F465" s="492" t="str">
        <f>IF(AND(C465&lt;&gt;"", 'Cost Inputs'!$I$105&lt;&gt;""), 'Cost Inputs'!$I$105, "")</f>
        <v/>
      </c>
      <c r="G465" s="102" t="str">
        <f t="shared" si="152"/>
        <v/>
      </c>
      <c r="H465" s="492" t="str">
        <f>IF(AND(C465&lt;&gt;"", 'Cost Inputs'!$J$105&lt;&gt;""), 'Cost Inputs'!$J$105, "")</f>
        <v/>
      </c>
      <c r="I465" s="102" t="str">
        <f>IF($C465&lt;&gt;"",IF(AND($E465&lt;&gt;"",H465&lt;&gt;""), H465/$E465, 0),"")</f>
        <v/>
      </c>
      <c r="J465" s="492" t="str">
        <f>IF(AND(C465&lt;&gt;"",('Cost Inputs'!$I$105+'Cost Inputs'!$J$105+'Cost Inputs'!$K$105)&gt;0), 'Cost Inputs'!$I$105+'Cost Inputs'!$J$105+'Cost Inputs'!$K$105, "")</f>
        <v/>
      </c>
      <c r="K465" s="102" t="str">
        <f>IF($C465&lt;&gt;"",IF(AND($E465&lt;&gt;"",J465&lt;&gt;""), J465/$E465, 0),"")</f>
        <v/>
      </c>
      <c r="L465" s="525" t="str">
        <f>IF(AND($B465&lt;&gt;"", 'Breeding Inputs'!$C$89&lt;&gt;""), INDEX('Breeding Inputs'!$C$89:$C$98, MATCH($B465,'Breeding Inputs'!$B$89:$B$98,0)), IF($B465="", "", 0%))</f>
        <v/>
      </c>
      <c r="M465" s="525" t="str">
        <f>IF(AND($B465&lt;&gt;"", 'Breeding Inputs'!$D$89&lt;&gt;""), INDEX('Breeding Inputs'!$D$89:$D$98, MATCH($B465,'Breeding Inputs'!$B$89:$B$98,0))+INDEX('Breeding Inputs'!$E$89:$E$98, MATCH($B465,'Breeding Inputs'!$B$89:$B$98,0)), IF($B465="", "", 0%))</f>
        <v/>
      </c>
      <c r="V465" s="495" t="str">
        <f>IF(ISNUMBER($B$465),
IF($C465&lt;&gt;"",
IF(AND(ISNUMBER(U$464), U$464&gt;0),
IF(AND(V$279=123, Cultivar_1_Cohort_Year_Selection=$O$278,Cultivar_2_Cohort_Year_Selection=$O$278,Cultivar_3_Cohort_Year_Selection=$O$278), ROUND(MAX(0,U$464 - 3),0),
IF(AND(OR(V$279=123, V$279=12), Cultivar_1_Cohort_Year_Selection=$O$278,Cultivar_2_Cohort_Year_Selection=$O$278), ROUND(MAX(0,U$464 - 2),0),
IF(AND(OR(V$279=123, V$279=13), Cultivar_1_Cohort_Year_Selection=$O$278,Cultivar_3_Cohort_Year_Selection=$O$278), ROUND(MAX(0,U$464 - 2),0),
IF(AND(OR(V$279=123, V$279=23), Cultivar_2_Cohort_Year_Selection=$O$278,Cultivar_3_Cohort_Year_Selection=$O$278), ROUND(MAX(0,U$464 - 2),0),
IF(AND(OR(V$279=123, V$279=12, V$279=13, V$279=1), Cultivar_1_Cohort_Year_Selection=$O$278), ROUND(MAX(0,U$464 - 1),0),
IF(AND(OR(V$279=123, V$279=12, V$279=23, V$279=2), Cultivar_2_Cohort_Year_Selection=$O$278), ROUND(MAX(0,U$464 - 1),0),
IF(AND(OR(V$279=123, V$279=13, V$279=23, V$279=3), Cultivar_3_Cohort_Year_Selection=$O$278), ROUND(MAX(0,U$464 - 1),0),
ROUND(MAX(0,U$464),0)))))))),""),""),"")</f>
        <v/>
      </c>
      <c r="W465" s="495" t="str">
        <f>IF(ISNUMBER($B$465),
IF($C465&lt;&gt;"",
IF(AND(ISNUMBER(V$464), V$464&gt;0),
IF(AND(W$279=123, Cultivar_1_Cohort_Year_Selection=$P$278,Cultivar_2_Cohort_Year_Selection=$P$278,Cultivar_3_Cohort_Year_Selection=$P$278), ROUND(MAX(0,V$464 - 3),0),
IF(AND(OR(W$279=123, W$279=12), Cultivar_1_Cohort_Year_Selection=$P$278,Cultivar_2_Cohort_Year_Selection=$P$278), ROUND(MAX(0,V$464 - 2),0),
IF(AND(OR(W$279=123, W$279=13), Cultivar_1_Cohort_Year_Selection=$P$278,Cultivar_3_Cohort_Year_Selection=$P$278), ROUND(MAX(0,V$464 - 2),0),
IF(AND(OR(W$279=123, W$279=23), Cultivar_2_Cohort_Year_Selection=$P$278,Cultivar_3_Cohort_Year_Selection=$P$278), ROUND(MAX(0,V$464 - 2),0),
IF(AND(OR(W$279=123, W$279=12, W$279=13, W$279=1), Cultivar_1_Cohort_Year_Selection=$P$278), ROUND(MAX(0,V$464 - 1),0),
IF(AND(OR(W$279=123, W$279=12, W$279=23, W$279=2), Cultivar_2_Cohort_Year_Selection=$P$278), ROUND(MAX(0,V$464 - 1),0),
IF(AND(OR(W$279=123, W$279=13, W$279=23, W$279=3), Cultivar_3_Cohort_Year_Selection=$P$278), ROUND(MAX(0,V$464 - 1),0),
ROUND(MAX(0,V$464),0)))))))),""),""),"")</f>
        <v/>
      </c>
      <c r="X465" s="495" t="str">
        <f>IF(ISNUMBER($B$465),
IF($C465&lt;&gt;"",
IF(AND(ISNUMBER(W$464), W$464&gt;0),
IF(AND(X$279=123, Cultivar_1_Cohort_Year_Selection=$Q$278,Cultivar_2_Cohort_Year_Selection=$Q$278,Cultivar_3_Cohort_Year_Selection=$Q$278), ROUND(MAX(0,W$464 - 3),0),
IF(AND(OR(X$279=123, X$279=12), Cultivar_1_Cohort_Year_Selection=$Q$278,Cultivar_2_Cohort_Year_Selection=$Q$278), ROUND(MAX(0,W$464 - 2),0),
IF(AND(OR(X$279=123, X$279=13), Cultivar_1_Cohort_Year_Selection=$Q$278,Cultivar_3_Cohort_Year_Selection=$Q$278), ROUND(MAX(0,W$464 - 2),0),
IF(AND(OR(X$279=123, X$279=23), Cultivar_2_Cohort_Year_Selection=$Q$278,Cultivar_3_Cohort_Year_Selection=$Q$278), ROUND(MAX(0,W$464 - 2),0),
IF(AND(OR(X$279=123, X$279=12, X$279=13, X$279=1), Cultivar_1_Cohort_Year_Selection=$Q$278), ROUND(MAX(0,W$464 - 1),0),
IF(AND(OR(X$279=123, X$279=12, X$279=23, X$279=2), Cultivar_2_Cohort_Year_Selection=$Q$278), ROUND(MAX(0,W$464 - 1),0),
IF(AND(OR(X$279=123, X$279=13, X$279=23, X$279=3), Cultivar_3_Cohort_Year_Selection=$Q$278), ROUND(MAX(0,W$464 - 1),0),
ROUND(MAX(0,W$464),0)))))))),""),""),"")</f>
        <v/>
      </c>
      <c r="Y465" s="495" t="str">
        <f>IF(ISNUMBER($B$465),
IF($C465&lt;&gt;"",
IF(AND(ISNUMBER(X$464), X$464&gt;0),
IF(AND(Y$279=123, Cultivar_1_Cohort_Year_Selection=$R$278,Cultivar_2_Cohort_Year_Selection=$R$278,Cultivar_3_Cohort_Year_Selection=$R$278), ROUND(MAX(0,X$464 - 3),0),
IF(AND(OR(Y$279=123, Y$279=12), Cultivar_1_Cohort_Year_Selection=$R$278,Cultivar_2_Cohort_Year_Selection=$R$278), ROUND(MAX(0,X$464 - 2),0),
IF(AND(OR(Y$279=123, Y$279=13), Cultivar_1_Cohort_Year_Selection=$R$278,Cultivar_3_Cohort_Year_Selection=$R$278), ROUND(MAX(0,X$464 - 2),0),
IF(AND(OR(Y$279=123, Y$279=23), Cultivar_2_Cohort_Year_Selection=$R$278,Cultivar_3_Cohort_Year_Selection=$R$278), ROUND(MAX(0,X$464 - 2),0),
IF(AND(OR(Y$279=123, Y$279=12, Y$279=13, Y$279=1), Cultivar_1_Cohort_Year_Selection=$R$278), ROUND(MAX(0,X$464 - 1),0),
IF(AND(OR(Y$279=123, Y$279=12, Y$279=23, Y$279=2), Cultivar_2_Cohort_Year_Selection=$R$278), ROUND(MAX(0,X$464 - 1),0),
IF(AND(OR(Y$279=123, Y$279=13, Y$279=23, Y$279=3), Cultivar_3_Cohort_Year_Selection=$R$278), ROUND(MAX(0,X$464 - 1),0),
ROUND(MAX(0,X$464),0)))))))),""),""),"")</f>
        <v/>
      </c>
      <c r="Z465" s="495" t="str">
        <f>IF(ISNUMBER($B$465),
IF($C465&lt;&gt;"",
IF(AND(ISNUMBER(Y$464), Y$464&gt;0),
IF(AND(Z$279=123, Cultivar_1_Cohort_Year_Selection=$S$278,Cultivar_2_Cohort_Year_Selection=$S$278,Cultivar_3_Cohort_Year_Selection=$S$278), ROUND(MAX(0,Y$464 - 3),0),
IF(AND(OR(Z$279=123, Z$279=12), Cultivar_1_Cohort_Year_Selection=$S$278,Cultivar_2_Cohort_Year_Selection=$S$278), ROUND(MAX(0,Y$464 - 2),0),
IF(AND(OR(Z$279=123, Z$279=13), Cultivar_1_Cohort_Year_Selection=$S$278,Cultivar_3_Cohort_Year_Selection=$S$278), ROUND(MAX(0,Y$464 - 2),0),
IF(AND(OR(Z$279=123, Z$279=23), Cultivar_2_Cohort_Year_Selection=$S$278,Cultivar_3_Cohort_Year_Selection=$S$278), ROUND(MAX(0,Y$464 - 2),0),
IF(AND(OR(Z$279=123, Z$279=12, Z$279=13, Z$279=1), Cultivar_1_Cohort_Year_Selection=$S$278), ROUND(MAX(0,Y$464 - 1),0),
IF(AND(OR(Z$279=123, Z$279=12, Z$279=23, Z$279=2), Cultivar_2_Cohort_Year_Selection=$S$278), ROUND(MAX(0,Y$464 - 1),0),
IF(AND(OR(Z$279=123, Z$279=13, Z$279=23, Z$279=3), Cultivar_3_Cohort_Year_Selection=$S$278), ROUND(MAX(0,Y$464 - 1),0),
ROUND(MAX(0,Y$464),0)))))))),""),""),"")</f>
        <v/>
      </c>
      <c r="AA465" s="495" t="str">
        <f>IF(ISNUMBER($B$465),
IF($C465&lt;&gt;"",
IF(AND(ISNUMBER(Z$464), Z$464&gt;0),
IF(AND(AA$279=123, Cultivar_1_Cohort_Year_Selection=$T$278,Cultivar_2_Cohort_Year_Selection=$T$278,Cultivar_3_Cohort_Year_Selection=$T$278), ROUND(MAX(0,Z$464 - 3),0),
IF(AND(OR(AA$279=123, AA$279=12), Cultivar_1_Cohort_Year_Selection=$T$278,Cultivar_2_Cohort_Year_Selection=$T$278), ROUND(MAX(0,Z$464 - 2),0),
IF(AND(OR(AA$279=123, AA$279=13), Cultivar_1_Cohort_Year_Selection=$T$278,Cultivar_3_Cohort_Year_Selection=$T$278), ROUND(MAX(0,Z$464 - 2),0),
IF(AND(OR(AA$279=123, AA$279=23), Cultivar_2_Cohort_Year_Selection=$T$278,Cultivar_3_Cohort_Year_Selection=$T$278), ROUND(MAX(0,Z$464 - 2),0),
IF(AND(OR(AA$279=123, AA$279=12, AA$279=13, AA$279=1), Cultivar_1_Cohort_Year_Selection=$T$278), ROUND(MAX(0,Z$464 - 1),0),
IF(AND(OR(AA$279=123, AA$279=12, AA$279=23, AA$279=2), Cultivar_2_Cohort_Year_Selection=$T$278), ROUND(MAX(0,Z$464 - 1),0),
IF(AND(OR(AA$279=123, AA$279=13, AA$279=23, AA$279=3), Cultivar_3_Cohort_Year_Selection=$T$278), ROUND(MAX(0,Z$464 - 1),0),
ROUND(MAX(0,Z$464),0)))))))),""),""),"")</f>
        <v/>
      </c>
      <c r="AB465" s="495" t="str">
        <f>IF(ISNUMBER($B$465),
IF($C465&lt;&gt;"",
IF(AND(ISNUMBER(AA$464), AA$464&gt;0),
IF(AND(AB$279=123, Cultivar_1_Cohort_Year_Selection=$U$278,Cultivar_2_Cohort_Year_Selection=$U$278,Cultivar_3_Cohort_Year_Selection=$U$278), ROUND(MAX(0,AA$464 - 3),0),
IF(AND(OR(AB$279=123, AB$279=12), Cultivar_1_Cohort_Year_Selection=$U$278,Cultivar_2_Cohort_Year_Selection=$U$278), ROUND(MAX(0,AA$464 - 2),0),
IF(AND(OR(AB$279=123, AB$279=13), Cultivar_1_Cohort_Year_Selection=$U$278,Cultivar_3_Cohort_Year_Selection=$U$278), ROUND(MAX(0,AA$464 - 2),0),
IF(AND(OR(AB$279=123, AB$279=23), Cultivar_2_Cohort_Year_Selection=$U$278,Cultivar_3_Cohort_Year_Selection=$U$278), ROUND(MAX(0,AA$464 - 2),0),
IF(AND(OR(AB$279=123, AB$279=12, AB$279=13, AB$279=1), Cultivar_1_Cohort_Year_Selection=$U$278), ROUND(MAX(0,AA$464 - 1),0),
IF(AND(OR(AB$279=123, AB$279=12, AB$279=23, AB$279=2), Cultivar_2_Cohort_Year_Selection=$U$278), ROUND(MAX(0,AA$464 - 1),0),
IF(AND(OR(AB$279=123, AB$279=13, AB$279=23, AB$279=3), Cultivar_3_Cohort_Year_Selection=$U$278), ROUND(MAX(0,AA$464 - 1),0),
ROUND(MAX(0,AA$464),0)))))))),""),""),"")</f>
        <v/>
      </c>
      <c r="AC465" s="495" t="str">
        <f>IF(ISNUMBER($B$465),
IF($C465&lt;&gt;"",
IF(AND(ISNUMBER(AB$464), AB$464&gt;0),
IF(AND(AC$279=123, Cultivar_1_Cohort_Year_Selection=$V$278,Cultivar_2_Cohort_Year_Selection=$V$278,Cultivar_3_Cohort_Year_Selection=$V$278), ROUND(MAX(0,AB$464 - 3),0),
IF(AND(OR(AC$279=123, AC$279=12), Cultivar_1_Cohort_Year_Selection=$V$278,Cultivar_2_Cohort_Year_Selection=$V$278), ROUND(MAX(0,AB$464 - 2),0),
IF(AND(OR(AC$279=123, AC$279=13), Cultivar_1_Cohort_Year_Selection=$V$278,Cultivar_3_Cohort_Year_Selection=$V$278), ROUND(MAX(0,AB$464 - 2),0),
IF(AND(OR(AC$279=123, AC$279=23), Cultivar_2_Cohort_Year_Selection=$V$278,Cultivar_3_Cohort_Year_Selection=$V$278), ROUND(MAX(0,AB$464 - 2),0),
IF(AND(OR(AC$279=123, AC$279=12, AC$279=13, AC$279=1), Cultivar_1_Cohort_Year_Selection=$V$278), ROUND(MAX(0,AB$464 - 1),0),
IF(AND(OR(AC$279=123, AC$279=12, AC$279=23, AC$279=2), Cultivar_2_Cohort_Year_Selection=$V$278), ROUND(MAX(0,AB$464 - 1),0),
IF(AND(OR(AC$279=123, AC$279=13, AC$279=23, AC$279=3), Cultivar_3_Cohort_Year_Selection=$V$278), ROUND(MAX(0,AB$464 - 1),0),
ROUND(MAX(0,AB$464),0)))))))),""),""),"")</f>
        <v/>
      </c>
      <c r="AD465" s="495" t="str">
        <f>IF(ISNUMBER($B$465),
IF($C465&lt;&gt;"",
IF(AND(ISNUMBER(AC$464), AC$464&gt;0),
IF(AND(AD$279=123, Cultivar_1_Cohort_Year_Selection=$W$278,Cultivar_2_Cohort_Year_Selection=$W$278,Cultivar_3_Cohort_Year_Selection=$W$278), ROUND(MAX(0,AC$464 - 3),0),
IF(AND(OR(AD$279=123, AD$279=12), Cultivar_1_Cohort_Year_Selection=$W$278,Cultivar_2_Cohort_Year_Selection=$W$278), ROUND(MAX(0,AC$464 - 2),0),
IF(AND(OR(AD$279=123, AD$279=13), Cultivar_1_Cohort_Year_Selection=$W$278,Cultivar_3_Cohort_Year_Selection=$W$278), ROUND(MAX(0,AC$464 - 2),0),
IF(AND(OR(AD$279=123, AD$279=23), Cultivar_2_Cohort_Year_Selection=$W$278,Cultivar_3_Cohort_Year_Selection=$W$278), ROUND(MAX(0,AC$464 - 2),0),
IF(AND(OR(AD$279=123, AD$279=12, AD$279=13, AD$279=1), Cultivar_1_Cohort_Year_Selection=$W$278), ROUND(MAX(0,AC$464 - 1),0),
IF(AND(OR(AD$279=123, AD$279=12, AD$279=23, AD$279=2), Cultivar_2_Cohort_Year_Selection=$W$278), ROUND(MAX(0,AC$464 - 1),0),
IF(AND(OR(AD$279=123, AD$279=13, AD$279=23, AD$279=3), Cultivar_3_Cohort_Year_Selection=$W$278), ROUND(MAX(0,AC$464 - 1),0),
ROUND(MAX(0,AC$464),0)))))))),""),""),"")</f>
        <v/>
      </c>
      <c r="AE465" s="495" t="str">
        <f>IF(ISNUMBER($B$465),
IF($C465&lt;&gt;"",
IF(AND(ISNUMBER(AD$464), AD$464&gt;0),
IF(AND(AE$279=123, Cultivar_1_Cohort_Year_Selection=$X$278,Cultivar_2_Cohort_Year_Selection=$X$278,Cultivar_3_Cohort_Year_Selection=$X$278), ROUND(MAX(0,AD$464 - 3),0),
IF(AND(OR(AE$279=123, AE$279=12), Cultivar_1_Cohort_Year_Selection=$X$278,Cultivar_2_Cohort_Year_Selection=$X$278), ROUND(MAX(0,AD$464 - 2),0),
IF(AND(OR(AE$279=123, AE$279=13), Cultivar_1_Cohort_Year_Selection=$X$278,Cultivar_3_Cohort_Year_Selection=$X$278), ROUND(MAX(0,AD$464 - 2),0),
IF(AND(OR(AE$279=123, AE$279=23), Cultivar_2_Cohort_Year_Selection=$X$278,Cultivar_3_Cohort_Year_Selection=$X$278), ROUND(MAX(0,AD$464 - 2),0),
IF(AND(OR(AE$279=123, AE$279=12, AE$279=13, AE$279=1), Cultivar_1_Cohort_Year_Selection=$X$278), ROUND(MAX(0,AD$464 - 1),0),
IF(AND(OR(AE$279=123, AE$279=12, AE$279=23, AE$279=2), Cultivar_2_Cohort_Year_Selection=$X$278), ROUND(MAX(0,AD$464 - 1),0),
IF(AND(OR(AE$279=123, AE$279=13, AE$279=23, AE$279=3), Cultivar_3_Cohort_Year_Selection=$X$278), ROUND(MAX(0,AD$464 - 1),0),
ROUND(MAX(0,AD$464),0)))))))),""),""),"")</f>
        <v/>
      </c>
      <c r="AF465" s="495" t="str">
        <f>IF(ISNUMBER($B$465),
IF($C465&lt;&gt;"",
IF(AND(ISNUMBER(AE$464), AE$464&gt;0),
IF(AND(AF$279=123, Cultivar_1_Cohort_Year_Selection=$Y$278,Cultivar_2_Cohort_Year_Selection=$Y$278,Cultivar_3_Cohort_Year_Selection=$Y$278), ROUND(MAX(0,AE$464 - 3),0),
IF(AND(OR(AF$279=123, AF$279=12), Cultivar_1_Cohort_Year_Selection=$Y$278,Cultivar_2_Cohort_Year_Selection=$Y$278), ROUND(MAX(0,AE$464 - 2),0),
IF(AND(OR(AF$279=123, AF$279=13), Cultivar_1_Cohort_Year_Selection=$Y$278,Cultivar_3_Cohort_Year_Selection=$Y$278), ROUND(MAX(0,AE$464 - 2),0),
IF(AND(OR(AF$279=123, AF$279=23), Cultivar_2_Cohort_Year_Selection=$Y$278,Cultivar_3_Cohort_Year_Selection=$Y$278), ROUND(MAX(0,AE$464 - 2),0),
IF(AND(OR(AF$279=123, AF$279=12, AF$279=13, AF$279=1), Cultivar_1_Cohort_Year_Selection=$Y$278), ROUND(MAX(0,AE$464 - 1),0),
IF(AND(OR(AF$279=123, AF$279=12, AF$279=23, AF$279=2), Cultivar_2_Cohort_Year_Selection=$Y$278), ROUND(MAX(0,AE$464 - 1),0),
IF(AND(OR(AF$279=123, AF$279=13, AF$279=23, AF$279=3), Cultivar_3_Cohort_Year_Selection=$Y$278), ROUND(MAX(0,AE$464 - 1),0),
ROUND(MAX(0,AE$464),0)))))))),""),""),"")</f>
        <v/>
      </c>
      <c r="AG465" s="495" t="str">
        <f>IF(ISNUMBER($B$465),
IF($C465&lt;&gt;"",
IF(AND(ISNUMBER(AF$464), AF$464&gt;0),
IF(AND(AG$279=123, Cultivar_1_Cohort_Year_Selection=$Z$278,Cultivar_2_Cohort_Year_Selection=$Z$278,Cultivar_3_Cohort_Year_Selection=$Z$278), ROUND(MAX(0,AF$464 - 3),0),
IF(AND(OR(AG$279=123, AG$279=12), Cultivar_1_Cohort_Year_Selection=$Z$278,Cultivar_2_Cohort_Year_Selection=$Z$278), ROUND(MAX(0,AF$464 - 2),0),
IF(AND(OR(AG$279=123, AG$279=13), Cultivar_1_Cohort_Year_Selection=$Z$278,Cultivar_3_Cohort_Year_Selection=$Z$278), ROUND(MAX(0,AF$464 - 2),0),
IF(AND(OR(AG$279=123, AG$279=23), Cultivar_2_Cohort_Year_Selection=$Z$278,Cultivar_3_Cohort_Year_Selection=$Z$278), ROUND(MAX(0,AF$464 - 2),0),
IF(AND(OR(AG$279=123, AG$279=12, AG$279=13, AG$279=1), Cultivar_1_Cohort_Year_Selection=$Z$278), ROUND(MAX(0,AF$464 - 1),0),
IF(AND(OR(AG$279=123, AG$279=12, AG$279=23, AG$279=2), Cultivar_2_Cohort_Year_Selection=$Z$278), ROUND(MAX(0,AF$464 - 1),0),
IF(AND(OR(AG$279=123, AG$279=13, AG$279=23, AG$279=3), Cultivar_3_Cohort_Year_Selection=$Z$278), ROUND(MAX(0,AF$464 - 1),0),
ROUND(MAX(0,AF$464),0)))))))),""),""),"")</f>
        <v/>
      </c>
      <c r="AH465" s="495" t="str">
        <f>IF(ISNUMBER($B$465),
IF($C465&lt;&gt;"",
IF(AND(ISNUMBER(AG$464), AG$464&gt;0),
IF(AND(AH$279=123, Cultivar_1_Cohort_Year_Selection=$AA$278,Cultivar_2_Cohort_Year_Selection=$AA$278,Cultivar_3_Cohort_Year_Selection=$AA$278), ROUND(MAX(0,AG$464 - 3),0),
IF(AND(OR(AH$279=123, AH$279=12), Cultivar_1_Cohort_Year_Selection=$AA$278,Cultivar_2_Cohort_Year_Selection=$AA$278), ROUND(MAX(0,AG$464 - 2),0),
IF(AND(OR(AH$279=123, AH$279=13), Cultivar_1_Cohort_Year_Selection=$AA$278,Cultivar_3_Cohort_Year_Selection=$AA$278), ROUND(MAX(0,AG$464 - 2),0),
IF(AND(OR(AH$279=123, AH$279=23), Cultivar_2_Cohort_Year_Selection=$AA$278,Cultivar_3_Cohort_Year_Selection=$AA$278), ROUND(MAX(0,AG$464 - 2),0),
IF(AND(OR(AH$279=123, AH$279=12, AH$279=13, AH$279=1), Cultivar_1_Cohort_Year_Selection=$AA$278), ROUND(MAX(0,AG$464 - 1),0),
IF(AND(OR(AH$279=123, AH$279=12, AH$279=23, AH$279=2), Cultivar_2_Cohort_Year_Selection=$AA$278), ROUND(MAX(0,AG$464 - 1),0),
IF(AND(OR(AH$279=123, AH$279=13, AH$279=23, AH$279=3), Cultivar_3_Cohort_Year_Selection=$AA$278), ROUND(MAX(0,AG$464 - 1),0),
ROUND(MAX(0,AG$464),0)))))))),""),""),"")</f>
        <v/>
      </c>
      <c r="AI465" s="495" t="str">
        <f>IF(ISNUMBER($B$465),
IF($C465&lt;&gt;"",
IF(AND(ISNUMBER(AH$464), AH$464&gt;0),
IF(AND(AI$279=123, Cultivar_1_Cohort_Year_Selection=$AB$278,Cultivar_2_Cohort_Year_Selection=$AB$278,Cultivar_3_Cohort_Year_Selection=$AB$278), ROUND(MAX(0,AH$464 - 3),0),
IF(AND(OR(AI$279=123, AI$279=12), Cultivar_1_Cohort_Year_Selection=$AB$278,Cultivar_2_Cohort_Year_Selection=$AB$278), ROUND(MAX(0,AH$464 - 2),0),
IF(AND(OR(AI$279=123, AI$279=13), Cultivar_1_Cohort_Year_Selection=$AB$278,Cultivar_3_Cohort_Year_Selection=$AB$278), ROUND(MAX(0,AH$464 - 2),0),
IF(AND(OR(AI$279=123, AI$279=23), Cultivar_2_Cohort_Year_Selection=$AB$278,Cultivar_3_Cohort_Year_Selection=$AB$278), ROUND(MAX(0,AH$464 - 2),0),
IF(AND(OR(AI$279=123, AI$279=12, AI$279=13, AI$279=1), Cultivar_1_Cohort_Year_Selection=$AB$278), ROUND(MAX(0,AH$464 - 1),0),
IF(AND(OR(AI$279=123, AI$279=12, AI$279=23, AI$279=2), Cultivar_2_Cohort_Year_Selection=$AB$278), ROUND(MAX(0,AH$464 - 1),0),
IF(AND(OR(AI$279=123, AI$279=13, AI$279=23, AI$279=3), Cultivar_3_Cohort_Year_Selection=$AB$278), ROUND(MAX(0,AH$464 - 1),0),
ROUND(MAX(0,AH$464),0)))))))),""),""),"")</f>
        <v/>
      </c>
      <c r="AJ465" s="495" t="str">
        <f>IF(ISNUMBER($B$465),
IF($C465&lt;&gt;"",
IF(AND(ISNUMBER(AI$464), AI$464&gt;0),
IF(AND(AJ$279=123, Cultivar_1_Cohort_Year_Selection=$AC$278,Cultivar_2_Cohort_Year_Selection=$AC$278,Cultivar_3_Cohort_Year_Selection=$AC$278), ROUND(MAX(0,AI$464 - 3),0),
IF(AND(OR(AJ$279=123, AJ$279=12), Cultivar_1_Cohort_Year_Selection=$AC$278,Cultivar_2_Cohort_Year_Selection=$AC$278), ROUND(MAX(0,AI$464 - 2),0),
IF(AND(OR(AJ$279=123, AJ$279=13), Cultivar_1_Cohort_Year_Selection=$AC$278,Cultivar_3_Cohort_Year_Selection=$AC$278), ROUND(MAX(0,AI$464 - 2),0),
IF(AND(OR(AJ$279=123, AJ$279=23), Cultivar_2_Cohort_Year_Selection=$AC$278,Cultivar_3_Cohort_Year_Selection=$AC$278), ROUND(MAX(0,AI$464 - 2),0),
IF(AND(OR(AJ$279=123, AJ$279=12, AJ$279=13, AJ$279=1), Cultivar_1_Cohort_Year_Selection=$AC$278), ROUND(MAX(0,AI$464 - 1),0),
IF(AND(OR(AJ$279=123, AJ$279=12, AJ$279=23, AJ$279=2), Cultivar_2_Cohort_Year_Selection=$AC$278), ROUND(MAX(0,AI$464 - 1),0),
IF(AND(OR(AJ$279=123, AJ$279=13, AJ$279=23, AJ$279=3), Cultivar_3_Cohort_Year_Selection=$AC$278), ROUND(MAX(0,AI$464 - 1),0),
ROUND(MAX(0,AI$464),0)))))))),""),""),"")</f>
        <v/>
      </c>
      <c r="AK465" s="495" t="str">
        <f>IF(ISNUMBER($B$465),
IF($C465&lt;&gt;"",
IF(AND(ISNUMBER(AJ$464), AJ$464&gt;0),
IF(AND(AK$279=123, Cultivar_1_Cohort_Year_Selection=$AD$278,Cultivar_2_Cohort_Year_Selection=$AD$278,Cultivar_3_Cohort_Year_Selection=$AD$278), ROUND(MAX(0,AJ$464 - 3),0),
IF(AND(OR(AK$279=123, AK$279=12), Cultivar_1_Cohort_Year_Selection=$AD$278,Cultivar_2_Cohort_Year_Selection=$AD$278), ROUND(MAX(0,AJ$464 - 2),0),
IF(AND(OR(AK$279=123, AK$279=13), Cultivar_1_Cohort_Year_Selection=$AD$278,Cultivar_3_Cohort_Year_Selection=$AD$278), ROUND(MAX(0,AJ$464 - 2),0),
IF(AND(OR(AK$279=123, AK$279=23), Cultivar_2_Cohort_Year_Selection=$AD$278,Cultivar_3_Cohort_Year_Selection=$AD$278), ROUND(MAX(0,AJ$464 - 2),0),
IF(AND(OR(AK$279=123, AK$279=12, AK$279=13, AK$279=1), Cultivar_1_Cohort_Year_Selection=$AD$278), ROUND(MAX(0,AJ$464 - 1),0),
IF(AND(OR(AK$279=123, AK$279=12, AK$279=23, AK$279=2), Cultivar_2_Cohort_Year_Selection=$AD$278), ROUND(MAX(0,AJ$464 - 1),0),
IF(AND(OR(AK$279=123, AK$279=13, AK$279=23, AK$279=3), Cultivar_3_Cohort_Year_Selection=$AD$278), ROUND(MAX(0,AJ$464 - 1),0),
ROUND(MAX(0,AJ$464),0)))))))),""),""),"")</f>
        <v/>
      </c>
      <c r="AL465" s="495" t="str">
        <f>IF(ISNUMBER($B$465),
IF($C465&lt;&gt;"",
IF(AND(ISNUMBER(AK$464), AK$464&gt;0),
IF(AND(AL$279=123, Cultivar_1_Cohort_Year_Selection=$AE$278,Cultivar_2_Cohort_Year_Selection=$AE$278,Cultivar_3_Cohort_Year_Selection=$AE$278), ROUND(MAX(0,AK$464 - 3),0),
IF(AND(OR(AL$279=123, AL$279=12), Cultivar_1_Cohort_Year_Selection=$AE$278,Cultivar_2_Cohort_Year_Selection=$AE$278), ROUND(MAX(0,AK$464 - 2),0),
IF(AND(OR(AL$279=123, AL$279=13), Cultivar_1_Cohort_Year_Selection=$AE$278,Cultivar_3_Cohort_Year_Selection=$AE$278), ROUND(MAX(0,AK$464 - 2),0),
IF(AND(OR(AL$279=123, AL$279=23), Cultivar_2_Cohort_Year_Selection=$AE$278,Cultivar_3_Cohort_Year_Selection=$AE$278), ROUND(MAX(0,AK$464 - 2),0),
IF(AND(OR(AL$279=123, AL$279=12, AL$279=13, AL$279=1), Cultivar_1_Cohort_Year_Selection=$AE$278), ROUND(MAX(0,AK$464 - 1),0),
IF(AND(OR(AL$279=123, AL$279=12, AL$279=23, AL$279=2), Cultivar_2_Cohort_Year_Selection=$AE$278), ROUND(MAX(0,AK$464 - 1),0),
IF(AND(OR(AL$279=123, AL$279=13, AL$279=23, AL$279=3), Cultivar_3_Cohort_Year_Selection=$AE$278), ROUND(MAX(0,AK$464 - 1),0),
ROUND(MAX(0,AK$464),0)))))))),""),""),"")</f>
        <v/>
      </c>
      <c r="AM465" s="495" t="str">
        <f>IF(ISNUMBER($B$465),
IF($C465&lt;&gt;"",
IF(AND(ISNUMBER(AL$464), AL$464&gt;0),
IF(AND(AM$279=123, Cultivar_1_Cohort_Year_Selection=$AF$278,Cultivar_2_Cohort_Year_Selection=$AF$278,Cultivar_3_Cohort_Year_Selection=$AF$278), ROUND(MAX(0,AL$464 - 3),0),
IF(AND(OR(AM$279=123, AM$279=12), Cultivar_1_Cohort_Year_Selection=$AF$278,Cultivar_2_Cohort_Year_Selection=$AF$278), ROUND(MAX(0,AL$464 - 2),0),
IF(AND(OR(AM$279=123, AM$279=13), Cultivar_1_Cohort_Year_Selection=$AF$278,Cultivar_3_Cohort_Year_Selection=$AF$278), ROUND(MAX(0,AL$464 - 2),0),
IF(AND(OR(AM$279=123, AM$279=23), Cultivar_2_Cohort_Year_Selection=$AF$278,Cultivar_3_Cohort_Year_Selection=$AF$278), ROUND(MAX(0,AL$464 - 2),0),
IF(AND(OR(AM$279=123, AM$279=12, AM$279=13, AM$279=1), Cultivar_1_Cohort_Year_Selection=$AF$278), ROUND(MAX(0,AL$464 - 1),0),
IF(AND(OR(AM$279=123, AM$279=12, AM$279=23, AM$279=2), Cultivar_2_Cohort_Year_Selection=$AF$278), ROUND(MAX(0,AL$464 - 1),0),
IF(AND(OR(AM$279=123, AM$279=13, AM$279=23, AM$279=3), Cultivar_3_Cohort_Year_Selection=$AF$278), ROUND(MAX(0,AL$464 - 1),0),
ROUND(MAX(0,AL$464),0)))))))),""),""),"")</f>
        <v/>
      </c>
      <c r="AN465" s="495" t="str">
        <f>IF(ISNUMBER($B$465),
IF($C465&lt;&gt;"",
IF(AND(ISNUMBER(AM$464), AM$464&gt;0),
IF(AND(AN$279=123, Cultivar_1_Cohort_Year_Selection=$AG$278,Cultivar_2_Cohort_Year_Selection=$AG$278,Cultivar_3_Cohort_Year_Selection=$AG$278), ROUND(MAX(0,AM$464 - 3),0),
IF(AND(OR(AN$279=123, AN$279=12), Cultivar_1_Cohort_Year_Selection=$AG$278,Cultivar_2_Cohort_Year_Selection=$AG$278), ROUND(MAX(0,AM$464 - 2),0),
IF(AND(OR(AN$279=123, AN$279=13), Cultivar_1_Cohort_Year_Selection=$AG$278,Cultivar_3_Cohort_Year_Selection=$AG$278), ROUND(MAX(0,AM$464 - 2),0),
IF(AND(OR(AN$279=123, AN$279=23), Cultivar_2_Cohort_Year_Selection=$AG$278,Cultivar_3_Cohort_Year_Selection=$AG$278), ROUND(MAX(0,AM$464 - 2),0),
IF(AND(OR(AN$279=123, AN$279=12, AN$279=13, AN$279=1), Cultivar_1_Cohort_Year_Selection=$AG$278), ROUND(MAX(0,AM$464 - 1),0),
IF(AND(OR(AN$279=123, AN$279=12, AN$279=23, AN$279=2), Cultivar_2_Cohort_Year_Selection=$AG$278), ROUND(MAX(0,AM$464 - 1),0),
IF(AND(OR(AN$279=123, AN$279=13, AN$279=23, AN$279=3), Cultivar_3_Cohort_Year_Selection=$AG$278), ROUND(MAX(0,AM$464 - 1),0),
ROUND(MAX(0,AM$464),0)))))))),""),""),"")</f>
        <v/>
      </c>
      <c r="AO465" s="495" t="str">
        <f>IF(ISNUMBER($B$465),
IF($C465&lt;&gt;"",
IF(AND(ISNUMBER(AN$464), AN$464&gt;0),
IF(AND(AO$279=123, Cultivar_1_Cohort_Year_Selection=$AH$278,Cultivar_2_Cohort_Year_Selection=$AH$278,Cultivar_3_Cohort_Year_Selection=$AH$278), ROUND(MAX(0,AN$464 - 3),0),
IF(AND(OR(AO$279=123, AO$279=12), Cultivar_1_Cohort_Year_Selection=$AH$278,Cultivar_2_Cohort_Year_Selection=$AH$278), ROUND(MAX(0,AN$464 - 2),0),
IF(AND(OR(AO$279=123, AO$279=13), Cultivar_1_Cohort_Year_Selection=$AH$278,Cultivar_3_Cohort_Year_Selection=$AH$278), ROUND(MAX(0,AN$464 - 2),0),
IF(AND(OR(AO$279=123, AO$279=23), Cultivar_2_Cohort_Year_Selection=$AH$278,Cultivar_3_Cohort_Year_Selection=$AH$278), ROUND(MAX(0,AN$464 - 2),0),
IF(AND(OR(AO$279=123, AO$279=12, AO$279=13, AO$279=1), Cultivar_1_Cohort_Year_Selection=$AH$278), ROUND(MAX(0,AN$464 - 1),0),
IF(AND(OR(AO$279=123, AO$279=12, AO$279=23, AO$279=2), Cultivar_2_Cohort_Year_Selection=$AH$278), ROUND(MAX(0,AN$464 - 1),0),
IF(AND(OR(AO$279=123, AO$279=13, AO$279=23, AO$279=3), Cultivar_3_Cohort_Year_Selection=$AH$278), ROUND(MAX(0,AN$464 - 1),0),
ROUND(MAX(0,AN$464),0)))))))),""),""),"")</f>
        <v/>
      </c>
      <c r="AP465" s="495" t="str">
        <f>IF(ISNUMBER($B$465),
IF($C465&lt;&gt;"",
IF(AND(ISNUMBER(AO$464), AO$464&gt;0),
IF(AND(AP$279=123, Cultivar_1_Cohort_Year_Selection=$AI$278,Cultivar_2_Cohort_Year_Selection=$AI$278,Cultivar_3_Cohort_Year_Selection=$AI$278), ROUND(MAX(0,AO$464 - 3),0),
IF(AND(OR(AP$279=123, AP$279=12), Cultivar_1_Cohort_Year_Selection=$AI$278,Cultivar_2_Cohort_Year_Selection=$AI$278), ROUND(MAX(0,AO$464 - 2),0),
IF(AND(OR(AP$279=123, AP$279=13), Cultivar_1_Cohort_Year_Selection=$AI$278,Cultivar_3_Cohort_Year_Selection=$AI$278), ROUND(MAX(0,AO$464 - 2),0),
IF(AND(OR(AP$279=123, AP$279=23), Cultivar_2_Cohort_Year_Selection=$AI$278,Cultivar_3_Cohort_Year_Selection=$AI$278), ROUND(MAX(0,AO$464 - 2),0),
IF(AND(OR(AP$279=123, AP$279=12, AP$279=13, AP$279=1), Cultivar_1_Cohort_Year_Selection=$AI$278), ROUND(MAX(0,AO$464 - 1),0),
IF(AND(OR(AP$279=123, AP$279=12, AP$279=23, AP$279=2), Cultivar_2_Cohort_Year_Selection=$AI$278), ROUND(MAX(0,AO$464 - 1),0),
IF(AND(OR(AP$279=123, AP$279=13, AP$279=23, AP$279=3), Cultivar_3_Cohort_Year_Selection=$AI$278), ROUND(MAX(0,AO$464 - 1),0),
ROUND(MAX(0,AO$464),0)))))))),""),""),"")</f>
        <v/>
      </c>
      <c r="AQ465" s="495" t="str">
        <f>IF(ISNUMBER($B$465),
IF($C465&lt;&gt;"",
IF(AND(ISNUMBER(AP$464), AP$464&gt;0),
IF(AND(AQ$279=123, Cultivar_1_Cohort_Year_Selection=$AJ$278,Cultivar_2_Cohort_Year_Selection=$AJ$278,Cultivar_3_Cohort_Year_Selection=$AJ$278), ROUND(MAX(0,AP$464 - 3),0),
IF(AND(OR(AQ$279=123, AQ$279=12), Cultivar_1_Cohort_Year_Selection=$AJ$278,Cultivar_2_Cohort_Year_Selection=$AJ$278), ROUND(MAX(0,AP$464 - 2),0),
IF(AND(OR(AQ$279=123, AQ$279=13), Cultivar_1_Cohort_Year_Selection=$AJ$278,Cultivar_3_Cohort_Year_Selection=$AJ$278), ROUND(MAX(0,AP$464 - 2),0),
IF(AND(OR(AQ$279=123, AQ$279=23), Cultivar_2_Cohort_Year_Selection=$AJ$278,Cultivar_3_Cohort_Year_Selection=$AJ$278), ROUND(MAX(0,AP$464 - 2),0),
IF(AND(OR(AQ$279=123, AQ$279=12, AQ$279=13, AQ$279=1), Cultivar_1_Cohort_Year_Selection=$AJ$278), ROUND(MAX(0,AP$464 - 1),0),
IF(AND(OR(AQ$279=123, AQ$279=12, AQ$279=23, AQ$279=2), Cultivar_2_Cohort_Year_Selection=$AJ$278), ROUND(MAX(0,AP$464 - 1),0),
IF(AND(OR(AQ$279=123, AQ$279=13, AQ$279=23, AQ$279=3), Cultivar_3_Cohort_Year_Selection=$AJ$278), ROUND(MAX(0,AP$464 - 1),0),
ROUND(MAX(0,AP$464),0)))))))),""),""),"")</f>
        <v/>
      </c>
      <c r="AR465" s="495" t="str">
        <f>IF(ISNUMBER($B$465),
IF($C465&lt;&gt;"",
IF(AND(ISNUMBER(AQ$464), AQ$464&gt;0),
IF(AND(AR$279=123, Cultivar_1_Cohort_Year_Selection=$AK$278,Cultivar_2_Cohort_Year_Selection=$AK$278,Cultivar_3_Cohort_Year_Selection=$AK$278), ROUND(MAX(0,AQ$464 - 3),0),
IF(AND(OR(AR$279=123, AR$279=12), Cultivar_1_Cohort_Year_Selection=$AK$278,Cultivar_2_Cohort_Year_Selection=$AK$278), ROUND(MAX(0,AQ$464 - 2),0),
IF(AND(OR(AR$279=123, AR$279=13), Cultivar_1_Cohort_Year_Selection=$AK$278,Cultivar_3_Cohort_Year_Selection=$AK$278), ROUND(MAX(0,AQ$464 - 2),0),
IF(AND(OR(AR$279=123, AR$279=23), Cultivar_2_Cohort_Year_Selection=$AK$278,Cultivar_3_Cohort_Year_Selection=$AK$278), ROUND(MAX(0,AQ$464 - 2),0),
IF(AND(OR(AR$279=123, AR$279=12, AR$279=13, AR$279=1), Cultivar_1_Cohort_Year_Selection=$AK$278), ROUND(MAX(0,AQ$464 - 1),0),
IF(AND(OR(AR$279=123, AR$279=12, AR$279=23, AR$279=2), Cultivar_2_Cohort_Year_Selection=$AK$278), ROUND(MAX(0,AQ$464 - 1),0),
IF(AND(OR(AR$279=123, AR$279=13, AR$279=23, AR$279=3), Cultivar_3_Cohort_Year_Selection=$AK$278), ROUND(MAX(0,AQ$464 - 1),0),
ROUND(MAX(0,AQ$464),0)))))))),""),""),"")</f>
        <v/>
      </c>
      <c r="AS465" s="495" t="str">
        <f>IF(ISNUMBER($B$465),
IF($C465&lt;&gt;"",
IF(AND(ISNUMBER(AR$464), AR$464&gt;0),
IF(AND(AS$279=123, Cultivar_1_Cohort_Year_Selection=$AL$278,Cultivar_2_Cohort_Year_Selection=$AL$278,Cultivar_3_Cohort_Year_Selection=$AL$278), ROUND(MAX(0,AR$464 - 3),0),
IF(AND(OR(AS$279=123, AS$279=12), Cultivar_1_Cohort_Year_Selection=$AL$278,Cultivar_2_Cohort_Year_Selection=$AL$278), ROUND(MAX(0,AR$464 - 2),0),
IF(AND(OR(AS$279=123, AS$279=13), Cultivar_1_Cohort_Year_Selection=$AL$278,Cultivar_3_Cohort_Year_Selection=$AL$278), ROUND(MAX(0,AR$464 - 2),0),
IF(AND(OR(AS$279=123, AS$279=23), Cultivar_2_Cohort_Year_Selection=$AL$278,Cultivar_3_Cohort_Year_Selection=$AL$278), ROUND(MAX(0,AR$464 - 2),0),
IF(AND(OR(AS$279=123, AS$279=12, AS$279=13, AS$279=1), Cultivar_1_Cohort_Year_Selection=$AL$278), ROUND(MAX(0,AR$464 - 1),0),
IF(AND(OR(AS$279=123, AS$279=12, AS$279=23, AS$279=2), Cultivar_2_Cohort_Year_Selection=$AL$278), ROUND(MAX(0,AR$464 - 1),0),
IF(AND(OR(AS$279=123, AS$279=13, AS$279=23, AS$279=3), Cultivar_3_Cohort_Year_Selection=$AL$278), ROUND(MAX(0,AR$464 - 1),0),
ROUND(MAX(0,AR$464),0)))))))),""),""),"")</f>
        <v/>
      </c>
      <c r="AT465" s="495" t="str">
        <f>IF(ISNUMBER($B$465),
IF($C465&lt;&gt;"",
IF(AND(ISNUMBER(AS$464), AS$464&gt;0),
IF(AND(AT$279=123, Cultivar_1_Cohort_Year_Selection=$AM$278,Cultivar_2_Cohort_Year_Selection=$AM$278,Cultivar_3_Cohort_Year_Selection=$AM$278), ROUND(MAX(0,AS$464 - 3),0),
IF(AND(OR(AT$279=123, AT$279=12), Cultivar_1_Cohort_Year_Selection=$AM$278,Cultivar_2_Cohort_Year_Selection=$AM$278), ROUND(MAX(0,AS$464 - 2),0),
IF(AND(OR(AT$279=123, AT$279=13), Cultivar_1_Cohort_Year_Selection=$AM$278,Cultivar_3_Cohort_Year_Selection=$AM$278), ROUND(MAX(0,AS$464 - 2),0),
IF(AND(OR(AT$279=123, AT$279=23), Cultivar_2_Cohort_Year_Selection=$AM$278,Cultivar_3_Cohort_Year_Selection=$AM$278), ROUND(MAX(0,AS$464 - 2),0),
IF(AND(OR(AT$279=123, AT$279=12, AT$279=13, AT$279=1), Cultivar_1_Cohort_Year_Selection=$AM$278), ROUND(MAX(0,AS$464 - 1),0),
IF(AND(OR(AT$279=123, AT$279=12, AT$279=23, AT$279=2), Cultivar_2_Cohort_Year_Selection=$AM$278), ROUND(MAX(0,AS$464 - 1),0),
IF(AND(OR(AT$279=123, AT$279=13, AT$279=23, AT$279=3), Cultivar_3_Cohort_Year_Selection=$AM$278), ROUND(MAX(0,AS$464 - 1),0),
ROUND(MAX(0,AS$464),0)))))))),""),""),"")</f>
        <v/>
      </c>
      <c r="AU465" s="495" t="str">
        <f>IF(ISNUMBER($B$465),
IF($C465&lt;&gt;"",
IF(AND(ISNUMBER(AT$464), AT$464&gt;0),
IF(AND(AU$279=123, Cultivar_1_Cohort_Year_Selection=$AN$278,Cultivar_2_Cohort_Year_Selection=$AN$278,Cultivar_3_Cohort_Year_Selection=$AN$278), ROUND(MAX(0,AT$464 - 3),0),
IF(AND(OR(AU$279=123, AU$279=12), Cultivar_1_Cohort_Year_Selection=$AN$278,Cultivar_2_Cohort_Year_Selection=$AN$278), ROUND(MAX(0,AT$464 - 2),0),
IF(AND(OR(AU$279=123, AU$279=13), Cultivar_1_Cohort_Year_Selection=$AN$278,Cultivar_3_Cohort_Year_Selection=$AN$278), ROUND(MAX(0,AT$464 - 2),0),
IF(AND(OR(AU$279=123, AU$279=23), Cultivar_2_Cohort_Year_Selection=$AN$278,Cultivar_3_Cohort_Year_Selection=$AN$278), ROUND(MAX(0,AT$464 - 2),0),
IF(AND(OR(AU$279=123, AU$279=12, AU$279=13, AU$279=1), Cultivar_1_Cohort_Year_Selection=$AN$278), ROUND(MAX(0,AT$464 - 1),0),
IF(AND(OR(AU$279=123, AU$279=12, AU$279=23, AU$279=2), Cultivar_2_Cohort_Year_Selection=$AN$278), ROUND(MAX(0,AT$464 - 1),0),
IF(AND(OR(AU$279=123, AU$279=13, AU$279=23, AU$279=3), Cultivar_3_Cohort_Year_Selection=$AN$278), ROUND(MAX(0,AT$464 - 1),0),
ROUND(MAX(0,AT$464),0)))))))),""),""),"")</f>
        <v/>
      </c>
      <c r="AV465" s="495" t="str">
        <f>IF(ISNUMBER($B$465),
IF($C465&lt;&gt;"",
IF(AND(ISNUMBER(AU$464), AU$464&gt;0),
IF(AND(AV$279=123, Cultivar_1_Cohort_Year_Selection=$AO$278,Cultivar_2_Cohort_Year_Selection=$AO$278,Cultivar_3_Cohort_Year_Selection=$AO$278), ROUND(MAX(0,AU$464 - 3),0),
IF(AND(OR(AV$279=123, AV$279=12), Cultivar_1_Cohort_Year_Selection=$AO$278,Cultivar_2_Cohort_Year_Selection=$AO$278), ROUND(MAX(0,AU$464 - 2),0),
IF(AND(OR(AV$279=123, AV$279=13), Cultivar_1_Cohort_Year_Selection=$AO$278,Cultivar_3_Cohort_Year_Selection=$AO$278), ROUND(MAX(0,AU$464 - 2),0),
IF(AND(OR(AV$279=123, AV$279=23), Cultivar_2_Cohort_Year_Selection=$AO$278,Cultivar_3_Cohort_Year_Selection=$AO$278), ROUND(MAX(0,AU$464 - 2),0),
IF(AND(OR(AV$279=123, AV$279=12, AV$279=13, AV$279=1), Cultivar_1_Cohort_Year_Selection=$AO$278), ROUND(MAX(0,AU$464 - 1),0),
IF(AND(OR(AV$279=123, AV$279=12, AV$279=23, AV$279=2), Cultivar_2_Cohort_Year_Selection=$AO$278), ROUND(MAX(0,AU$464 - 1),0),
IF(AND(OR(AV$279=123, AV$279=13, AV$279=23, AV$279=3), Cultivar_3_Cohort_Year_Selection=$AO$278), ROUND(MAX(0,AU$464 - 1),0),
ROUND(MAX(0,AU$464),0)))))))),""),""),"")</f>
        <v/>
      </c>
      <c r="AW465" s="495" t="str">
        <f>IF(ISNUMBER($B$465),
IF($C465&lt;&gt;"",
IF(AND(ISNUMBER(AV$464), AV$464&gt;0),
IF(AND(AW$279=123, Cultivar_1_Cohort_Year_Selection=$AP$278,Cultivar_2_Cohort_Year_Selection=$AP$278,Cultivar_3_Cohort_Year_Selection=$AP$278), ROUND(MAX(0,AV$464 - 3),0),
IF(AND(OR(AW$279=123, AW$279=12), Cultivar_1_Cohort_Year_Selection=$AP$278,Cultivar_2_Cohort_Year_Selection=$AP$278), ROUND(MAX(0,AV$464 - 2),0),
IF(AND(OR(AW$279=123, AW$279=13), Cultivar_1_Cohort_Year_Selection=$AP$278,Cultivar_3_Cohort_Year_Selection=$AP$278), ROUND(MAX(0,AV$464 - 2),0),
IF(AND(OR(AW$279=123, AW$279=23), Cultivar_2_Cohort_Year_Selection=$AP$278,Cultivar_3_Cohort_Year_Selection=$AP$278), ROUND(MAX(0,AV$464 - 2),0),
IF(AND(OR(AW$279=123, AW$279=12, AW$279=13, AW$279=1), Cultivar_1_Cohort_Year_Selection=$AP$278), ROUND(MAX(0,AV$464 - 1),0),
IF(AND(OR(AW$279=123, AW$279=12, AW$279=23, AW$279=2), Cultivar_2_Cohort_Year_Selection=$AP$278), ROUND(MAX(0,AV$464 - 1),0),
IF(AND(OR(AW$279=123, AW$279=13, AW$279=23, AW$279=3), Cultivar_3_Cohort_Year_Selection=$AP$278), ROUND(MAX(0,AV$464 - 1),0),
ROUND(MAX(0,AV$464),0)))))))),""),""),"")</f>
        <v/>
      </c>
    </row>
    <row r="466" spans="1:49" x14ac:dyDescent="0.25">
      <c r="A466" s="518"/>
      <c r="B466" s="504"/>
      <c r="C466" s="521"/>
      <c r="D466" s="94" t="str">
        <f>IF(AND(C465&lt;&gt;"", 'Cost Inputs'!$G$106&lt;&gt;""), 'Cost Inputs'!$G$106, "")</f>
        <v/>
      </c>
      <c r="E466" s="94" t="str">
        <f>IF(AND(C465&lt;&gt;"", 'Cost Inputs'!H279&lt;&gt;""), 'Cost Inputs'!H279, "")</f>
        <v/>
      </c>
      <c r="F466" s="492"/>
      <c r="G466" s="102" t="str">
        <f t="shared" si="152"/>
        <v/>
      </c>
      <c r="H466" s="492"/>
      <c r="I466" s="102" t="str">
        <f>IF($C465&lt;&gt;"", IF(AND($E466&lt;&gt;"", H465&lt;&gt;""), H465/($E465*$E466), 0), "")</f>
        <v/>
      </c>
      <c r="J466" s="492" t="str">
        <f>IF(AND(C466&lt;&gt;"",('Cost Inputs'!$I$86+'Cost Inputs'!$J$86+'Cost Inputs'!$K$86)&gt;0), 'Cost Inputs'!$I$86+'Cost Inputs'!$J$86+'Cost Inputs'!$K$86, "")</f>
        <v/>
      </c>
      <c r="K466" s="102" t="str">
        <f>IF($C465&lt;&gt;"", IF(AND($E466&lt;&gt;"", J465&lt;&gt;""), J465/($E465*$E466), 0), "")</f>
        <v/>
      </c>
      <c r="L466" s="525"/>
      <c r="M466" s="525"/>
      <c r="V466" s="496" t="str">
        <f t="shared" ref="V466" si="273">IF(ISNUMBER($B$345),
IF($C466&lt;&gt;"",
IF(AND(ISNUMBER(U$368), U$368&gt;0),
IF(AND(V$279=123, Cultivar_1_Cohort_Year_Selection=$O$278,Cultivar_2_Cohort_Year_Selection=$O$278,Cultivar_3_Cohort_Year_Selection=$O$278), ROUND(MAX(0,U$368 - 3),0),
IF(AND(OR(V$279=123, V$279=12), Cultivar_1_Cohort_Year_Selection=$O$278,Cultivar_2_Cohort_Year_Selection=$O$278), ROUND(MAX(0,U$368 - 2),0),
IF(AND(OR(V$279=123, V$279=13), Cultivar_1_Cohort_Year_Selection=$O$278,Cultivar_3_Cohort_Year_Selection=$O$278), ROUND(MAX(0,U$368 - 2),0),
IF(AND(OR(V$279=123, V$279=23), Cultivar_2_Cohort_Year_Selection=$O$278,Cultivar_3_Cohort_Year_Selection=$O$278), ROUND(MAX(0,U$368 - 2),0),
IF(AND(OR(V$279=123, V$279=12, V$279=13, V$279=1), Cultivar_1_Cohort_Year_Selection=$O$278), ROUND(MAX(0,U$368 - 1),0),
IF(AND(OR(V$279=123, V$279=12, V$279=23, V$279=2), Cultivar_2_Cohort_Year_Selection=$O$278), ROUND(MAX(0,U$368 - 1),0),
IF(AND(OR(V$279=123, V$279=13, V$279=23, V$279=3), Cultivar_3_Cohort_Year_Selection=$O$278), ROUND(MAX(0,U$368 - 1),0),
ROUND(MAX(0,U$368),0)))))))),""),""),"")</f>
        <v/>
      </c>
      <c r="W466" s="496" t="str">
        <f t="shared" ref="W466:AW466" si="274">IF(ISNUMBER($B$345),
IF($C466&lt;&gt;"",
IF(AND(ISNUMBER(V$368), V$368&gt;0),
IF(AND(W$279=123, Cultivar_1_Cohort_Year_Selection=$O$278,Cultivar_2_Cohort_Year_Selection=$O$278,Cultivar_3_Cohort_Year_Selection=$O$278), ROUND(MAX(0,V$368 - 3),0),
IF(AND(OR(W$279=123, W$279=12), Cultivar_1_Cohort_Year_Selection=$O$278,Cultivar_2_Cohort_Year_Selection=$O$278), ROUND(MAX(0,V$368 - 2),0),
IF(AND(OR(W$279=123, W$279=13), Cultivar_1_Cohort_Year_Selection=$O$278,Cultivar_3_Cohort_Year_Selection=$O$278), ROUND(MAX(0,V$368 - 2),0),
IF(AND(OR(W$279=123, W$279=23), Cultivar_2_Cohort_Year_Selection=$O$278,Cultivar_3_Cohort_Year_Selection=$O$278), ROUND(MAX(0,V$368 - 2),0),
IF(AND(OR(W$279=123, W$279=12, W$279=13, W$279=1), Cultivar_1_Cohort_Year_Selection=$O$278), ROUND(MAX(0,V$368 - 1),0),
IF(AND(OR(W$279=123, W$279=12, W$279=23, W$279=2), Cultivar_2_Cohort_Year_Selection=$O$278), ROUND(MAX(0,V$368 - 1),0),
IF(AND(OR(W$279=123, W$279=13, W$279=23, W$279=3), Cultivar_3_Cohort_Year_Selection=$O$278), ROUND(MAX(0,V$368 - 1),0),
ROUND(MAX(0,V$368),0)))))))),""),""),"")</f>
        <v/>
      </c>
      <c r="X466" s="496" t="str">
        <f t="shared" si="274"/>
        <v/>
      </c>
      <c r="Y466" s="496" t="str">
        <f t="shared" si="274"/>
        <v/>
      </c>
      <c r="Z466" s="496" t="str">
        <f t="shared" si="274"/>
        <v/>
      </c>
      <c r="AA466" s="496" t="str">
        <f t="shared" si="274"/>
        <v/>
      </c>
      <c r="AB466" s="496" t="str">
        <f t="shared" si="274"/>
        <v/>
      </c>
      <c r="AC466" s="496" t="str">
        <f t="shared" si="274"/>
        <v/>
      </c>
      <c r="AD466" s="496" t="str">
        <f t="shared" si="274"/>
        <v/>
      </c>
      <c r="AE466" s="496" t="str">
        <f t="shared" si="274"/>
        <v/>
      </c>
      <c r="AF466" s="496" t="str">
        <f t="shared" si="274"/>
        <v/>
      </c>
      <c r="AG466" s="496" t="str">
        <f t="shared" si="274"/>
        <v/>
      </c>
      <c r="AH466" s="496" t="str">
        <f t="shared" si="274"/>
        <v/>
      </c>
      <c r="AI466" s="496" t="str">
        <f t="shared" si="274"/>
        <v/>
      </c>
      <c r="AJ466" s="496" t="str">
        <f t="shared" si="274"/>
        <v/>
      </c>
      <c r="AK466" s="496" t="str">
        <f t="shared" si="274"/>
        <v/>
      </c>
      <c r="AL466" s="496" t="str">
        <f t="shared" si="274"/>
        <v/>
      </c>
      <c r="AM466" s="496" t="str">
        <f t="shared" si="274"/>
        <v/>
      </c>
      <c r="AN466" s="496" t="str">
        <f t="shared" si="274"/>
        <v/>
      </c>
      <c r="AO466" s="496" t="str">
        <f t="shared" si="274"/>
        <v/>
      </c>
      <c r="AP466" s="496" t="str">
        <f t="shared" si="274"/>
        <v/>
      </c>
      <c r="AQ466" s="496" t="str">
        <f t="shared" si="274"/>
        <v/>
      </c>
      <c r="AR466" s="496" t="str">
        <f t="shared" si="274"/>
        <v/>
      </c>
      <c r="AS466" s="496" t="str">
        <f t="shared" si="274"/>
        <v/>
      </c>
      <c r="AT466" s="496" t="str">
        <f t="shared" si="274"/>
        <v/>
      </c>
      <c r="AU466" s="496" t="str">
        <f t="shared" si="274"/>
        <v/>
      </c>
      <c r="AV466" s="496" t="str">
        <f t="shared" si="274"/>
        <v/>
      </c>
      <c r="AW466" s="496" t="str">
        <f t="shared" si="274"/>
        <v/>
      </c>
    </row>
    <row r="467" spans="1:49" x14ac:dyDescent="0.25">
      <c r="A467" s="518"/>
      <c r="B467" s="504"/>
      <c r="C467" s="104" t="str">
        <f>IF(AND(ISNUMBER(B465), OR('Cost Inputs'!$H$107&lt;&gt;"", 'Cost Inputs'!$I$107&lt;&gt;"", 'Cost Inputs'!$J$107&lt;&gt;"")), _4_3_1, "")</f>
        <v/>
      </c>
      <c r="D467" s="17" t="str">
        <f>IF(AND(C467&lt;&gt;"", 'Cost Inputs'!$G$107&lt;&gt;""), 'Cost Inputs'!$G$107, "")</f>
        <v/>
      </c>
      <c r="E467" s="17" t="str">
        <f>IF(AND(C467&lt;&gt;"", 'Cost Inputs'!$H$107&lt;&gt;""), 'Cost Inputs'!$H$107, "")</f>
        <v/>
      </c>
      <c r="F467" s="17" t="str">
        <f>IF(AND(C467&lt;&gt;"", 'Cost Inputs'!$I$107&lt;&gt;""), 'Cost Inputs'!$I$107, "")</f>
        <v/>
      </c>
      <c r="G467" s="105" t="str">
        <f t="shared" si="152"/>
        <v/>
      </c>
      <c r="H467" s="17" t="str">
        <f>IF(AND(C467&lt;&gt;"", 'Cost Inputs'!$J$107&lt;&gt;""), 'Cost Inputs'!$J$107, "")</f>
        <v/>
      </c>
      <c r="I467" s="17" t="str">
        <f t="shared" ref="I467:I475" si="275">IF($C467&lt;&gt;"", IF(AND($E467&lt;&gt;"", H467&lt;&gt;""), H467/$E467, 0),"")</f>
        <v/>
      </c>
      <c r="J467" s="17" t="str">
        <f>IF(AND(C467&lt;&gt;"",('Cost Inputs'!$I$107+'Cost Inputs'!$J$107+'Cost Inputs'!$K$107)&gt;0), 'Cost Inputs'!$I$107+'Cost Inputs'!$J$107+'Cost Inputs'!$K$107, "")</f>
        <v/>
      </c>
      <c r="K467" s="17" t="str">
        <f t="shared" ref="K467:K475" si="276">IF($C467&lt;&gt;"", IF(AND($E467&lt;&gt;"", J467&lt;&gt;""), J467/$E467, 0),"")</f>
        <v/>
      </c>
      <c r="L467" s="525"/>
      <c r="M467" s="525"/>
      <c r="V467" s="17" t="str">
        <f t="shared" ref="V467:V475" si="277">IF(ISNUMBER($B$465),
IF($C467&lt;&gt;"",
IF(AND(ISNUMBER(U$464), U$464&gt;0),
IF(AND(V$279=123, Cultivar_1_Cohort_Year_Selection=$O$278,Cultivar_2_Cohort_Year_Selection=$O$278,Cultivar_3_Cohort_Year_Selection=$O$278), ROUND(MAX(0,U$464 - 3),0),
IF(AND(OR(V$279=123, V$279=12), Cultivar_1_Cohort_Year_Selection=$O$278,Cultivar_2_Cohort_Year_Selection=$O$278), ROUND(MAX(0,U$464 - 2),0),
IF(AND(OR(V$279=123, V$279=13), Cultivar_1_Cohort_Year_Selection=$O$278,Cultivar_3_Cohort_Year_Selection=$O$278), ROUND(MAX(0,U$464 - 2),0),
IF(AND(OR(V$279=123, V$279=23), Cultivar_2_Cohort_Year_Selection=$O$278,Cultivar_3_Cohort_Year_Selection=$O$278), ROUND(MAX(0,U$464 - 2),0),
IF(AND(OR(V$279=123, V$279=12, V$279=13, V$279=1), Cultivar_1_Cohort_Year_Selection=$O$278), ROUND(MAX(0,U$464 - 1),0),
IF(AND(OR(V$279=123, V$279=12, V$279=23, V$279=2), Cultivar_2_Cohort_Year_Selection=$O$278), ROUND(MAX(0,U$464 - 1),0),
IF(AND(OR(V$279=123, V$279=13, V$279=23, V$279=3), Cultivar_3_Cohort_Year_Selection=$O$278), ROUND(MAX(0,U$464 - 1),0),
ROUND(MAX(0,U$464),0)))))))),""),""),"")</f>
        <v/>
      </c>
      <c r="W467" s="17" t="str">
        <f t="shared" ref="W467:W475" si="278">IF(ISNUMBER($B$465),
IF($C467&lt;&gt;"",
IF(AND(ISNUMBER(V$464), V$464&gt;0),
IF(AND(W$279=123, Cultivar_1_Cohort_Year_Selection=$P$278,Cultivar_2_Cohort_Year_Selection=$P$278,Cultivar_3_Cohort_Year_Selection=$P$278), ROUND(MAX(0,V$464 - 3),0),
IF(AND(OR(W$279=123, W$279=12), Cultivar_1_Cohort_Year_Selection=$P$278,Cultivar_2_Cohort_Year_Selection=$P$278), ROUND(MAX(0,V$464 - 2),0),
IF(AND(OR(W$279=123, W$279=13), Cultivar_1_Cohort_Year_Selection=$P$278,Cultivar_3_Cohort_Year_Selection=$P$278), ROUND(MAX(0,V$464 - 2),0),
IF(AND(OR(W$279=123, W$279=23), Cultivar_2_Cohort_Year_Selection=$P$278,Cultivar_3_Cohort_Year_Selection=$P$278), ROUND(MAX(0,V$464 - 2),0),
IF(AND(OR(W$279=123, W$279=12, W$279=13, W$279=1), Cultivar_1_Cohort_Year_Selection=$P$278), ROUND(MAX(0,V$464 - 1),0),
IF(AND(OR(W$279=123, W$279=12, W$279=23, W$279=2), Cultivar_2_Cohort_Year_Selection=$P$278), ROUND(MAX(0,V$464 - 1),0),
IF(AND(OR(W$279=123, W$279=13, W$279=23, W$279=3), Cultivar_3_Cohort_Year_Selection=$P$278), ROUND(MAX(0,V$464 - 1),0),
ROUND(MAX(0,V$464),0)))))))),""),""),"")</f>
        <v/>
      </c>
      <c r="X467" s="17" t="str">
        <f t="shared" ref="X467:X475" si="279">IF(ISNUMBER($B$465),
IF($C467&lt;&gt;"",
IF(AND(ISNUMBER(W$464), W$464&gt;0),
IF(AND(X$279=123, Cultivar_1_Cohort_Year_Selection=$Q$278,Cultivar_2_Cohort_Year_Selection=$Q$278,Cultivar_3_Cohort_Year_Selection=$Q$278), ROUND(MAX(0,W$464 - 3),0),
IF(AND(OR(X$279=123, X$279=12), Cultivar_1_Cohort_Year_Selection=$Q$278,Cultivar_2_Cohort_Year_Selection=$Q$278), ROUND(MAX(0,W$464 - 2),0),
IF(AND(OR(X$279=123, X$279=13), Cultivar_1_Cohort_Year_Selection=$Q$278,Cultivar_3_Cohort_Year_Selection=$Q$278), ROUND(MAX(0,W$464 - 2),0),
IF(AND(OR(X$279=123, X$279=23), Cultivar_2_Cohort_Year_Selection=$Q$278,Cultivar_3_Cohort_Year_Selection=$Q$278), ROUND(MAX(0,W$464 - 2),0),
IF(AND(OR(X$279=123, X$279=12, X$279=13, X$279=1), Cultivar_1_Cohort_Year_Selection=$Q$278), ROUND(MAX(0,W$464 - 1),0),
IF(AND(OR(X$279=123, X$279=12, X$279=23, X$279=2), Cultivar_2_Cohort_Year_Selection=$Q$278), ROUND(MAX(0,W$464 - 1),0),
IF(AND(OR(X$279=123, X$279=13, X$279=23, X$279=3), Cultivar_3_Cohort_Year_Selection=$Q$278), ROUND(MAX(0,W$464 - 1),0),
ROUND(MAX(0,W$464),0)))))))),""),""),"")</f>
        <v/>
      </c>
      <c r="Y467" s="17" t="str">
        <f t="shared" ref="Y467:Y475" si="280">IF(ISNUMBER($B$465),
IF($C467&lt;&gt;"",
IF(AND(ISNUMBER(X$464), X$464&gt;0),
IF(AND(Y$279=123, Cultivar_1_Cohort_Year_Selection=$R$278,Cultivar_2_Cohort_Year_Selection=$R$278,Cultivar_3_Cohort_Year_Selection=$R$278), ROUND(MAX(0,X$464 - 3),0),
IF(AND(OR(Y$279=123, Y$279=12), Cultivar_1_Cohort_Year_Selection=$R$278,Cultivar_2_Cohort_Year_Selection=$R$278), ROUND(MAX(0,X$464 - 2),0),
IF(AND(OR(Y$279=123, Y$279=13), Cultivar_1_Cohort_Year_Selection=$R$278,Cultivar_3_Cohort_Year_Selection=$R$278), ROUND(MAX(0,X$464 - 2),0),
IF(AND(OR(Y$279=123, Y$279=23), Cultivar_2_Cohort_Year_Selection=$R$278,Cultivar_3_Cohort_Year_Selection=$R$278), ROUND(MAX(0,X$464 - 2),0),
IF(AND(OR(Y$279=123, Y$279=12, Y$279=13, Y$279=1), Cultivar_1_Cohort_Year_Selection=$R$278), ROUND(MAX(0,X$464 - 1),0),
IF(AND(OR(Y$279=123, Y$279=12, Y$279=23, Y$279=2), Cultivar_2_Cohort_Year_Selection=$R$278), ROUND(MAX(0,X$464 - 1),0),
IF(AND(OR(Y$279=123, Y$279=13, Y$279=23, Y$279=3), Cultivar_3_Cohort_Year_Selection=$R$278), ROUND(MAX(0,X$464 - 1),0),
ROUND(MAX(0,X$464),0)))))))),""),""),"")</f>
        <v/>
      </c>
      <c r="Z467" s="17" t="str">
        <f t="shared" ref="Z467:Z475" si="281">IF(ISNUMBER($B$465),
IF($C467&lt;&gt;"",
IF(AND(ISNUMBER(Y$464), Y$464&gt;0),
IF(AND(Z$279=123, Cultivar_1_Cohort_Year_Selection=$S$278,Cultivar_2_Cohort_Year_Selection=$S$278,Cultivar_3_Cohort_Year_Selection=$S$278), ROUND(MAX(0,Y$464 - 3),0),
IF(AND(OR(Z$279=123, Z$279=12), Cultivar_1_Cohort_Year_Selection=$S$278,Cultivar_2_Cohort_Year_Selection=$S$278), ROUND(MAX(0,Y$464 - 2),0),
IF(AND(OR(Z$279=123, Z$279=13), Cultivar_1_Cohort_Year_Selection=$S$278,Cultivar_3_Cohort_Year_Selection=$S$278), ROUND(MAX(0,Y$464 - 2),0),
IF(AND(OR(Z$279=123, Z$279=23), Cultivar_2_Cohort_Year_Selection=$S$278,Cultivar_3_Cohort_Year_Selection=$S$278), ROUND(MAX(0,Y$464 - 2),0),
IF(AND(OR(Z$279=123, Z$279=12, Z$279=13, Z$279=1), Cultivar_1_Cohort_Year_Selection=$S$278), ROUND(MAX(0,Y$464 - 1),0),
IF(AND(OR(Z$279=123, Z$279=12, Z$279=23, Z$279=2), Cultivar_2_Cohort_Year_Selection=$S$278), ROUND(MAX(0,Y$464 - 1),0),
IF(AND(OR(Z$279=123, Z$279=13, Z$279=23, Z$279=3), Cultivar_3_Cohort_Year_Selection=$S$278), ROUND(MAX(0,Y$464 - 1),0),
ROUND(MAX(0,Y$464),0)))))))),""),""),"")</f>
        <v/>
      </c>
      <c r="AA467" s="17" t="str">
        <f t="shared" ref="AA467:AA475" si="282">IF(ISNUMBER($B$465),
IF($C467&lt;&gt;"",
IF(AND(ISNUMBER(Z$464), Z$464&gt;0),
IF(AND(AA$279=123, Cultivar_1_Cohort_Year_Selection=$T$278,Cultivar_2_Cohort_Year_Selection=$T$278,Cultivar_3_Cohort_Year_Selection=$T$278), ROUND(MAX(0,Z$464 - 3),0),
IF(AND(OR(AA$279=123, AA$279=12), Cultivar_1_Cohort_Year_Selection=$T$278,Cultivar_2_Cohort_Year_Selection=$T$278), ROUND(MAX(0,Z$464 - 2),0),
IF(AND(OR(AA$279=123, AA$279=13), Cultivar_1_Cohort_Year_Selection=$T$278,Cultivar_3_Cohort_Year_Selection=$T$278), ROUND(MAX(0,Z$464 - 2),0),
IF(AND(OR(AA$279=123, AA$279=23), Cultivar_2_Cohort_Year_Selection=$T$278,Cultivar_3_Cohort_Year_Selection=$T$278), ROUND(MAX(0,Z$464 - 2),0),
IF(AND(OR(AA$279=123, AA$279=12, AA$279=13, AA$279=1), Cultivar_1_Cohort_Year_Selection=$T$278), ROUND(MAX(0,Z$464 - 1),0),
IF(AND(OR(AA$279=123, AA$279=12, AA$279=23, AA$279=2), Cultivar_2_Cohort_Year_Selection=$T$278), ROUND(MAX(0,Z$464 - 1),0),
IF(AND(OR(AA$279=123, AA$279=13, AA$279=23, AA$279=3), Cultivar_3_Cohort_Year_Selection=$T$278), ROUND(MAX(0,Z$464 - 1),0),
ROUND(MAX(0,Z$464),0)))))))),""),""),"")</f>
        <v/>
      </c>
      <c r="AB467" s="17" t="str">
        <f t="shared" ref="AB467:AB475" si="283">IF(ISNUMBER($B$465),
IF($C467&lt;&gt;"",
IF(AND(ISNUMBER(AA$464), AA$464&gt;0),
IF(AND(AB$279=123, Cultivar_1_Cohort_Year_Selection=$U$278,Cultivar_2_Cohort_Year_Selection=$U$278,Cultivar_3_Cohort_Year_Selection=$U$278), ROUND(MAX(0,AA$464 - 3),0),
IF(AND(OR(AB$279=123, AB$279=12), Cultivar_1_Cohort_Year_Selection=$U$278,Cultivar_2_Cohort_Year_Selection=$U$278), ROUND(MAX(0,AA$464 - 2),0),
IF(AND(OR(AB$279=123, AB$279=13), Cultivar_1_Cohort_Year_Selection=$U$278,Cultivar_3_Cohort_Year_Selection=$U$278), ROUND(MAX(0,AA$464 - 2),0),
IF(AND(OR(AB$279=123, AB$279=23), Cultivar_2_Cohort_Year_Selection=$U$278,Cultivar_3_Cohort_Year_Selection=$U$278), ROUND(MAX(0,AA$464 - 2),0),
IF(AND(OR(AB$279=123, AB$279=12, AB$279=13, AB$279=1), Cultivar_1_Cohort_Year_Selection=$U$278), ROUND(MAX(0,AA$464 - 1),0),
IF(AND(OR(AB$279=123, AB$279=12, AB$279=23, AB$279=2), Cultivar_2_Cohort_Year_Selection=$U$278), ROUND(MAX(0,AA$464 - 1),0),
IF(AND(OR(AB$279=123, AB$279=13, AB$279=23, AB$279=3), Cultivar_3_Cohort_Year_Selection=$U$278), ROUND(MAX(0,AA$464 - 1),0),
ROUND(MAX(0,AA$464),0)))))))),""),""),"")</f>
        <v/>
      </c>
      <c r="AC467" s="17" t="str">
        <f t="shared" ref="AC467:AC475" si="284">IF(ISNUMBER($B$465),
IF($C467&lt;&gt;"",
IF(AND(ISNUMBER(AB$464), AB$464&gt;0),
IF(AND(AC$279=123, Cultivar_1_Cohort_Year_Selection=$V$278,Cultivar_2_Cohort_Year_Selection=$V$278,Cultivar_3_Cohort_Year_Selection=$V$278), ROUND(MAX(0,AB$464 - 3),0),
IF(AND(OR(AC$279=123, AC$279=12), Cultivar_1_Cohort_Year_Selection=$V$278,Cultivar_2_Cohort_Year_Selection=$V$278), ROUND(MAX(0,AB$464 - 2),0),
IF(AND(OR(AC$279=123, AC$279=13), Cultivar_1_Cohort_Year_Selection=$V$278,Cultivar_3_Cohort_Year_Selection=$V$278), ROUND(MAX(0,AB$464 - 2),0),
IF(AND(OR(AC$279=123, AC$279=23), Cultivar_2_Cohort_Year_Selection=$V$278,Cultivar_3_Cohort_Year_Selection=$V$278), ROUND(MAX(0,AB$464 - 2),0),
IF(AND(OR(AC$279=123, AC$279=12, AC$279=13, AC$279=1), Cultivar_1_Cohort_Year_Selection=$V$278), ROUND(MAX(0,AB$464 - 1),0),
IF(AND(OR(AC$279=123, AC$279=12, AC$279=23, AC$279=2), Cultivar_2_Cohort_Year_Selection=$V$278), ROUND(MAX(0,AB$464 - 1),0),
IF(AND(OR(AC$279=123, AC$279=13, AC$279=23, AC$279=3), Cultivar_3_Cohort_Year_Selection=$V$278), ROUND(MAX(0,AB$464 - 1),0),
ROUND(MAX(0,AB$464),0)))))))),""),""),"")</f>
        <v/>
      </c>
      <c r="AD467" s="17" t="str">
        <f t="shared" ref="AD467:AD475" si="285">IF(ISNUMBER($B$465),
IF($C467&lt;&gt;"",
IF(AND(ISNUMBER(AC$464), AC$464&gt;0),
IF(AND(AD$279=123, Cultivar_1_Cohort_Year_Selection=$W$278,Cultivar_2_Cohort_Year_Selection=$W$278,Cultivar_3_Cohort_Year_Selection=$W$278), ROUND(MAX(0,AC$464 - 3),0),
IF(AND(OR(AD$279=123, AD$279=12), Cultivar_1_Cohort_Year_Selection=$W$278,Cultivar_2_Cohort_Year_Selection=$W$278), ROUND(MAX(0,AC$464 - 2),0),
IF(AND(OR(AD$279=123, AD$279=13), Cultivar_1_Cohort_Year_Selection=$W$278,Cultivar_3_Cohort_Year_Selection=$W$278), ROUND(MAX(0,AC$464 - 2),0),
IF(AND(OR(AD$279=123, AD$279=23), Cultivar_2_Cohort_Year_Selection=$W$278,Cultivar_3_Cohort_Year_Selection=$W$278), ROUND(MAX(0,AC$464 - 2),0),
IF(AND(OR(AD$279=123, AD$279=12, AD$279=13, AD$279=1), Cultivar_1_Cohort_Year_Selection=$W$278), ROUND(MAX(0,AC$464 - 1),0),
IF(AND(OR(AD$279=123, AD$279=12, AD$279=23, AD$279=2), Cultivar_2_Cohort_Year_Selection=$W$278), ROUND(MAX(0,AC$464 - 1),0),
IF(AND(OR(AD$279=123, AD$279=13, AD$279=23, AD$279=3), Cultivar_3_Cohort_Year_Selection=$W$278), ROUND(MAX(0,AC$464 - 1),0),
ROUND(MAX(0,AC$464),0)))))))),""),""),"")</f>
        <v/>
      </c>
      <c r="AE467" s="17" t="str">
        <f t="shared" ref="AE467:AE475" si="286">IF(ISNUMBER($B$465),
IF($C467&lt;&gt;"",
IF(AND(ISNUMBER(AD$464), AD$464&gt;0),
IF(AND(AE$279=123, Cultivar_1_Cohort_Year_Selection=$X$278,Cultivar_2_Cohort_Year_Selection=$X$278,Cultivar_3_Cohort_Year_Selection=$X$278), ROUND(MAX(0,AD$464 - 3),0),
IF(AND(OR(AE$279=123, AE$279=12), Cultivar_1_Cohort_Year_Selection=$X$278,Cultivar_2_Cohort_Year_Selection=$X$278), ROUND(MAX(0,AD$464 - 2),0),
IF(AND(OR(AE$279=123, AE$279=13), Cultivar_1_Cohort_Year_Selection=$X$278,Cultivar_3_Cohort_Year_Selection=$X$278), ROUND(MAX(0,AD$464 - 2),0),
IF(AND(OR(AE$279=123, AE$279=23), Cultivar_2_Cohort_Year_Selection=$X$278,Cultivar_3_Cohort_Year_Selection=$X$278), ROUND(MAX(0,AD$464 - 2),0),
IF(AND(OR(AE$279=123, AE$279=12, AE$279=13, AE$279=1), Cultivar_1_Cohort_Year_Selection=$X$278), ROUND(MAX(0,AD$464 - 1),0),
IF(AND(OR(AE$279=123, AE$279=12, AE$279=23, AE$279=2), Cultivar_2_Cohort_Year_Selection=$X$278), ROUND(MAX(0,AD$464 - 1),0),
IF(AND(OR(AE$279=123, AE$279=13, AE$279=23, AE$279=3), Cultivar_3_Cohort_Year_Selection=$X$278), ROUND(MAX(0,AD$464 - 1),0),
ROUND(MAX(0,AD$464),0)))))))),""),""),"")</f>
        <v/>
      </c>
      <c r="AF467" s="17" t="str">
        <f t="shared" ref="AF467:AF475" si="287">IF(ISNUMBER($B$465),
IF($C467&lt;&gt;"",
IF(AND(ISNUMBER(AE$464), AE$464&gt;0),
IF(AND(AF$279=123, Cultivar_1_Cohort_Year_Selection=$Y$278,Cultivar_2_Cohort_Year_Selection=$Y$278,Cultivar_3_Cohort_Year_Selection=$Y$278), ROUND(MAX(0,AE$464 - 3),0),
IF(AND(OR(AF$279=123, AF$279=12), Cultivar_1_Cohort_Year_Selection=$Y$278,Cultivar_2_Cohort_Year_Selection=$Y$278), ROUND(MAX(0,AE$464 - 2),0),
IF(AND(OR(AF$279=123, AF$279=13), Cultivar_1_Cohort_Year_Selection=$Y$278,Cultivar_3_Cohort_Year_Selection=$Y$278), ROUND(MAX(0,AE$464 - 2),0),
IF(AND(OR(AF$279=123, AF$279=23), Cultivar_2_Cohort_Year_Selection=$Y$278,Cultivar_3_Cohort_Year_Selection=$Y$278), ROUND(MAX(0,AE$464 - 2),0),
IF(AND(OR(AF$279=123, AF$279=12, AF$279=13, AF$279=1), Cultivar_1_Cohort_Year_Selection=$Y$278), ROUND(MAX(0,AE$464 - 1),0),
IF(AND(OR(AF$279=123, AF$279=12, AF$279=23, AF$279=2), Cultivar_2_Cohort_Year_Selection=$Y$278), ROUND(MAX(0,AE$464 - 1),0),
IF(AND(OR(AF$279=123, AF$279=13, AF$279=23, AF$279=3), Cultivar_3_Cohort_Year_Selection=$Y$278), ROUND(MAX(0,AE$464 - 1),0),
ROUND(MAX(0,AE$464),0)))))))),""),""),"")</f>
        <v/>
      </c>
      <c r="AG467" s="17" t="str">
        <f t="shared" ref="AG467:AG475" si="288">IF(ISNUMBER($B$465),
IF($C467&lt;&gt;"",
IF(AND(ISNUMBER(AF$464), AF$464&gt;0),
IF(AND(AG$279=123, Cultivar_1_Cohort_Year_Selection=$Z$278,Cultivar_2_Cohort_Year_Selection=$Z$278,Cultivar_3_Cohort_Year_Selection=$Z$278), ROUND(MAX(0,AF$464 - 3),0),
IF(AND(OR(AG$279=123, AG$279=12), Cultivar_1_Cohort_Year_Selection=$Z$278,Cultivar_2_Cohort_Year_Selection=$Z$278), ROUND(MAX(0,AF$464 - 2),0),
IF(AND(OR(AG$279=123, AG$279=13), Cultivar_1_Cohort_Year_Selection=$Z$278,Cultivar_3_Cohort_Year_Selection=$Z$278), ROUND(MAX(0,AF$464 - 2),0),
IF(AND(OR(AG$279=123, AG$279=23), Cultivar_2_Cohort_Year_Selection=$Z$278,Cultivar_3_Cohort_Year_Selection=$Z$278), ROUND(MAX(0,AF$464 - 2),0),
IF(AND(OR(AG$279=123, AG$279=12, AG$279=13, AG$279=1), Cultivar_1_Cohort_Year_Selection=$Z$278), ROUND(MAX(0,AF$464 - 1),0),
IF(AND(OR(AG$279=123, AG$279=12, AG$279=23, AG$279=2), Cultivar_2_Cohort_Year_Selection=$Z$278), ROUND(MAX(0,AF$464 - 1),0),
IF(AND(OR(AG$279=123, AG$279=13, AG$279=23, AG$279=3), Cultivar_3_Cohort_Year_Selection=$Z$278), ROUND(MAX(0,AF$464 - 1),0),
ROUND(MAX(0,AF$464),0)))))))),""),""),"")</f>
        <v/>
      </c>
      <c r="AH467" s="17" t="str">
        <f t="shared" ref="AH467:AH475" si="289">IF(ISNUMBER($B$465),
IF($C467&lt;&gt;"",
IF(AND(ISNUMBER(AG$464), AG$464&gt;0),
IF(AND(AH$279=123, Cultivar_1_Cohort_Year_Selection=$AA$278,Cultivar_2_Cohort_Year_Selection=$AA$278,Cultivar_3_Cohort_Year_Selection=$AA$278), ROUND(MAX(0,AG$464 - 3),0),
IF(AND(OR(AH$279=123, AH$279=12), Cultivar_1_Cohort_Year_Selection=$AA$278,Cultivar_2_Cohort_Year_Selection=$AA$278), ROUND(MAX(0,AG$464 - 2),0),
IF(AND(OR(AH$279=123, AH$279=13), Cultivar_1_Cohort_Year_Selection=$AA$278,Cultivar_3_Cohort_Year_Selection=$AA$278), ROUND(MAX(0,AG$464 - 2),0),
IF(AND(OR(AH$279=123, AH$279=23), Cultivar_2_Cohort_Year_Selection=$AA$278,Cultivar_3_Cohort_Year_Selection=$AA$278), ROUND(MAX(0,AG$464 - 2),0),
IF(AND(OR(AH$279=123, AH$279=12, AH$279=13, AH$279=1), Cultivar_1_Cohort_Year_Selection=$AA$278), ROUND(MAX(0,AG$464 - 1),0),
IF(AND(OR(AH$279=123, AH$279=12, AH$279=23, AH$279=2), Cultivar_2_Cohort_Year_Selection=$AA$278), ROUND(MAX(0,AG$464 - 1),0),
IF(AND(OR(AH$279=123, AH$279=13, AH$279=23, AH$279=3), Cultivar_3_Cohort_Year_Selection=$AA$278), ROUND(MAX(0,AG$464 - 1),0),
ROUND(MAX(0,AG$464),0)))))))),""),""),"")</f>
        <v/>
      </c>
      <c r="AI467" s="17" t="str">
        <f t="shared" ref="AI467:AI475" si="290">IF(ISNUMBER($B$465),
IF($C467&lt;&gt;"",
IF(AND(ISNUMBER(AH$464), AH$464&gt;0),
IF(AND(AI$279=123, Cultivar_1_Cohort_Year_Selection=$AB$278,Cultivar_2_Cohort_Year_Selection=$AB$278,Cultivar_3_Cohort_Year_Selection=$AB$278), ROUND(MAX(0,AH$464 - 3),0),
IF(AND(OR(AI$279=123, AI$279=12), Cultivar_1_Cohort_Year_Selection=$AB$278,Cultivar_2_Cohort_Year_Selection=$AB$278), ROUND(MAX(0,AH$464 - 2),0),
IF(AND(OR(AI$279=123, AI$279=13), Cultivar_1_Cohort_Year_Selection=$AB$278,Cultivar_3_Cohort_Year_Selection=$AB$278), ROUND(MAX(0,AH$464 - 2),0),
IF(AND(OR(AI$279=123, AI$279=23), Cultivar_2_Cohort_Year_Selection=$AB$278,Cultivar_3_Cohort_Year_Selection=$AB$278), ROUND(MAX(0,AH$464 - 2),0),
IF(AND(OR(AI$279=123, AI$279=12, AI$279=13, AI$279=1), Cultivar_1_Cohort_Year_Selection=$AB$278), ROUND(MAX(0,AH$464 - 1),0),
IF(AND(OR(AI$279=123, AI$279=12, AI$279=23, AI$279=2), Cultivar_2_Cohort_Year_Selection=$AB$278), ROUND(MAX(0,AH$464 - 1),0),
IF(AND(OR(AI$279=123, AI$279=13, AI$279=23, AI$279=3), Cultivar_3_Cohort_Year_Selection=$AB$278), ROUND(MAX(0,AH$464 - 1),0),
ROUND(MAX(0,AH$464),0)))))))),""),""),"")</f>
        <v/>
      </c>
      <c r="AJ467" s="17" t="str">
        <f t="shared" ref="AJ467:AJ475" si="291">IF(ISNUMBER($B$465),
IF($C467&lt;&gt;"",
IF(AND(ISNUMBER(AI$464), AI$464&gt;0),
IF(AND(AJ$279=123, Cultivar_1_Cohort_Year_Selection=$AC$278,Cultivar_2_Cohort_Year_Selection=$AC$278,Cultivar_3_Cohort_Year_Selection=$AC$278), ROUND(MAX(0,AI$464 - 3),0),
IF(AND(OR(AJ$279=123, AJ$279=12), Cultivar_1_Cohort_Year_Selection=$AC$278,Cultivar_2_Cohort_Year_Selection=$AC$278), ROUND(MAX(0,AI$464 - 2),0),
IF(AND(OR(AJ$279=123, AJ$279=13), Cultivar_1_Cohort_Year_Selection=$AC$278,Cultivar_3_Cohort_Year_Selection=$AC$278), ROUND(MAX(0,AI$464 - 2),0),
IF(AND(OR(AJ$279=123, AJ$279=23), Cultivar_2_Cohort_Year_Selection=$AC$278,Cultivar_3_Cohort_Year_Selection=$AC$278), ROUND(MAX(0,AI$464 - 2),0),
IF(AND(OR(AJ$279=123, AJ$279=12, AJ$279=13, AJ$279=1), Cultivar_1_Cohort_Year_Selection=$AC$278), ROUND(MAX(0,AI$464 - 1),0),
IF(AND(OR(AJ$279=123, AJ$279=12, AJ$279=23, AJ$279=2), Cultivar_2_Cohort_Year_Selection=$AC$278), ROUND(MAX(0,AI$464 - 1),0),
IF(AND(OR(AJ$279=123, AJ$279=13, AJ$279=23, AJ$279=3), Cultivar_3_Cohort_Year_Selection=$AC$278), ROUND(MAX(0,AI$464 - 1),0),
ROUND(MAX(0,AI$464),0)))))))),""),""),"")</f>
        <v/>
      </c>
      <c r="AK467" s="17" t="str">
        <f t="shared" ref="AK467:AK475" si="292">IF(ISNUMBER($B$465),
IF($C467&lt;&gt;"",
IF(AND(ISNUMBER(AJ$464), AJ$464&gt;0),
IF(AND(AK$279=123, Cultivar_1_Cohort_Year_Selection=$AD$278,Cultivar_2_Cohort_Year_Selection=$AD$278,Cultivar_3_Cohort_Year_Selection=$AD$278), ROUND(MAX(0,AJ$464 - 3),0),
IF(AND(OR(AK$279=123, AK$279=12), Cultivar_1_Cohort_Year_Selection=$AD$278,Cultivar_2_Cohort_Year_Selection=$AD$278), ROUND(MAX(0,AJ$464 - 2),0),
IF(AND(OR(AK$279=123, AK$279=13), Cultivar_1_Cohort_Year_Selection=$AD$278,Cultivar_3_Cohort_Year_Selection=$AD$278), ROUND(MAX(0,AJ$464 - 2),0),
IF(AND(OR(AK$279=123, AK$279=23), Cultivar_2_Cohort_Year_Selection=$AD$278,Cultivar_3_Cohort_Year_Selection=$AD$278), ROUND(MAX(0,AJ$464 - 2),0),
IF(AND(OR(AK$279=123, AK$279=12, AK$279=13, AK$279=1), Cultivar_1_Cohort_Year_Selection=$AD$278), ROUND(MAX(0,AJ$464 - 1),0),
IF(AND(OR(AK$279=123, AK$279=12, AK$279=23, AK$279=2), Cultivar_2_Cohort_Year_Selection=$AD$278), ROUND(MAX(0,AJ$464 - 1),0),
IF(AND(OR(AK$279=123, AK$279=13, AK$279=23, AK$279=3), Cultivar_3_Cohort_Year_Selection=$AD$278), ROUND(MAX(0,AJ$464 - 1),0),
ROUND(MAX(0,AJ$464),0)))))))),""),""),"")</f>
        <v/>
      </c>
      <c r="AL467" s="17" t="str">
        <f t="shared" ref="AL467:AL475" si="293">IF(ISNUMBER($B$465),
IF($C467&lt;&gt;"",
IF(AND(ISNUMBER(AK$464), AK$464&gt;0),
IF(AND(AL$279=123, Cultivar_1_Cohort_Year_Selection=$AE$278,Cultivar_2_Cohort_Year_Selection=$AE$278,Cultivar_3_Cohort_Year_Selection=$AE$278), ROUND(MAX(0,AK$464 - 3),0),
IF(AND(OR(AL$279=123, AL$279=12), Cultivar_1_Cohort_Year_Selection=$AE$278,Cultivar_2_Cohort_Year_Selection=$AE$278), ROUND(MAX(0,AK$464 - 2),0),
IF(AND(OR(AL$279=123, AL$279=13), Cultivar_1_Cohort_Year_Selection=$AE$278,Cultivar_3_Cohort_Year_Selection=$AE$278), ROUND(MAX(0,AK$464 - 2),0),
IF(AND(OR(AL$279=123, AL$279=23), Cultivar_2_Cohort_Year_Selection=$AE$278,Cultivar_3_Cohort_Year_Selection=$AE$278), ROUND(MAX(0,AK$464 - 2),0),
IF(AND(OR(AL$279=123, AL$279=12, AL$279=13, AL$279=1), Cultivar_1_Cohort_Year_Selection=$AE$278), ROUND(MAX(0,AK$464 - 1),0),
IF(AND(OR(AL$279=123, AL$279=12, AL$279=23, AL$279=2), Cultivar_2_Cohort_Year_Selection=$AE$278), ROUND(MAX(0,AK$464 - 1),0),
IF(AND(OR(AL$279=123, AL$279=13, AL$279=23, AL$279=3), Cultivar_3_Cohort_Year_Selection=$AE$278), ROUND(MAX(0,AK$464 - 1),0),
ROUND(MAX(0,AK$464),0)))))))),""),""),"")</f>
        <v/>
      </c>
      <c r="AM467" s="17" t="str">
        <f t="shared" ref="AM467:AM475" si="294">IF(ISNUMBER($B$465),
IF($C467&lt;&gt;"",
IF(AND(ISNUMBER(AL$464), AL$464&gt;0),
IF(AND(AM$279=123, Cultivar_1_Cohort_Year_Selection=$AF$278,Cultivar_2_Cohort_Year_Selection=$AF$278,Cultivar_3_Cohort_Year_Selection=$AF$278), ROUND(MAX(0,AL$464 - 3),0),
IF(AND(OR(AM$279=123, AM$279=12), Cultivar_1_Cohort_Year_Selection=$AF$278,Cultivar_2_Cohort_Year_Selection=$AF$278), ROUND(MAX(0,AL$464 - 2),0),
IF(AND(OR(AM$279=123, AM$279=13), Cultivar_1_Cohort_Year_Selection=$AF$278,Cultivar_3_Cohort_Year_Selection=$AF$278), ROUND(MAX(0,AL$464 - 2),0),
IF(AND(OR(AM$279=123, AM$279=23), Cultivar_2_Cohort_Year_Selection=$AF$278,Cultivar_3_Cohort_Year_Selection=$AF$278), ROUND(MAX(0,AL$464 - 2),0),
IF(AND(OR(AM$279=123, AM$279=12, AM$279=13, AM$279=1), Cultivar_1_Cohort_Year_Selection=$AF$278), ROUND(MAX(0,AL$464 - 1),0),
IF(AND(OR(AM$279=123, AM$279=12, AM$279=23, AM$279=2), Cultivar_2_Cohort_Year_Selection=$AF$278), ROUND(MAX(0,AL$464 - 1),0),
IF(AND(OR(AM$279=123, AM$279=13, AM$279=23, AM$279=3), Cultivar_3_Cohort_Year_Selection=$AF$278), ROUND(MAX(0,AL$464 - 1),0),
ROUND(MAX(0,AL$464),0)))))))),""),""),"")</f>
        <v/>
      </c>
      <c r="AN467" s="17" t="str">
        <f t="shared" ref="AN467:AN475" si="295">IF(ISNUMBER($B$465),
IF($C467&lt;&gt;"",
IF(AND(ISNUMBER(AM$464), AM$464&gt;0),
IF(AND(AN$279=123, Cultivar_1_Cohort_Year_Selection=$AG$278,Cultivar_2_Cohort_Year_Selection=$AG$278,Cultivar_3_Cohort_Year_Selection=$AG$278), ROUND(MAX(0,AM$464 - 3),0),
IF(AND(OR(AN$279=123, AN$279=12), Cultivar_1_Cohort_Year_Selection=$AG$278,Cultivar_2_Cohort_Year_Selection=$AG$278), ROUND(MAX(0,AM$464 - 2),0),
IF(AND(OR(AN$279=123, AN$279=13), Cultivar_1_Cohort_Year_Selection=$AG$278,Cultivar_3_Cohort_Year_Selection=$AG$278), ROUND(MAX(0,AM$464 - 2),0),
IF(AND(OR(AN$279=123, AN$279=23), Cultivar_2_Cohort_Year_Selection=$AG$278,Cultivar_3_Cohort_Year_Selection=$AG$278), ROUND(MAX(0,AM$464 - 2),0),
IF(AND(OR(AN$279=123, AN$279=12, AN$279=13, AN$279=1), Cultivar_1_Cohort_Year_Selection=$AG$278), ROUND(MAX(0,AM$464 - 1),0),
IF(AND(OR(AN$279=123, AN$279=12, AN$279=23, AN$279=2), Cultivar_2_Cohort_Year_Selection=$AG$278), ROUND(MAX(0,AM$464 - 1),0),
IF(AND(OR(AN$279=123, AN$279=13, AN$279=23, AN$279=3), Cultivar_3_Cohort_Year_Selection=$AG$278), ROUND(MAX(0,AM$464 - 1),0),
ROUND(MAX(0,AM$464),0)))))))),""),""),"")</f>
        <v/>
      </c>
      <c r="AO467" s="17" t="str">
        <f t="shared" ref="AO467:AO475" si="296">IF(ISNUMBER($B$465),
IF($C467&lt;&gt;"",
IF(AND(ISNUMBER(AN$464), AN$464&gt;0),
IF(AND(AO$279=123, Cultivar_1_Cohort_Year_Selection=$AH$278,Cultivar_2_Cohort_Year_Selection=$AH$278,Cultivar_3_Cohort_Year_Selection=$AH$278), ROUND(MAX(0,AN$464 - 3),0),
IF(AND(OR(AO$279=123, AO$279=12), Cultivar_1_Cohort_Year_Selection=$AH$278,Cultivar_2_Cohort_Year_Selection=$AH$278), ROUND(MAX(0,AN$464 - 2),0),
IF(AND(OR(AO$279=123, AO$279=13), Cultivar_1_Cohort_Year_Selection=$AH$278,Cultivar_3_Cohort_Year_Selection=$AH$278), ROUND(MAX(0,AN$464 - 2),0),
IF(AND(OR(AO$279=123, AO$279=23), Cultivar_2_Cohort_Year_Selection=$AH$278,Cultivar_3_Cohort_Year_Selection=$AH$278), ROUND(MAX(0,AN$464 - 2),0),
IF(AND(OR(AO$279=123, AO$279=12, AO$279=13, AO$279=1), Cultivar_1_Cohort_Year_Selection=$AH$278), ROUND(MAX(0,AN$464 - 1),0),
IF(AND(OR(AO$279=123, AO$279=12, AO$279=23, AO$279=2), Cultivar_2_Cohort_Year_Selection=$AH$278), ROUND(MAX(0,AN$464 - 1),0),
IF(AND(OR(AO$279=123, AO$279=13, AO$279=23, AO$279=3), Cultivar_3_Cohort_Year_Selection=$AH$278), ROUND(MAX(0,AN$464 - 1),0),
ROUND(MAX(0,AN$464),0)))))))),""),""),"")</f>
        <v/>
      </c>
      <c r="AP467" s="17" t="str">
        <f t="shared" ref="AP467:AP475" si="297">IF(ISNUMBER($B$465),
IF($C467&lt;&gt;"",
IF(AND(ISNUMBER(AO$464), AO$464&gt;0),
IF(AND(AP$279=123, Cultivar_1_Cohort_Year_Selection=$AI$278,Cultivar_2_Cohort_Year_Selection=$AI$278,Cultivar_3_Cohort_Year_Selection=$AI$278), ROUND(MAX(0,AO$464 - 3),0),
IF(AND(OR(AP$279=123, AP$279=12), Cultivar_1_Cohort_Year_Selection=$AI$278,Cultivar_2_Cohort_Year_Selection=$AI$278), ROUND(MAX(0,AO$464 - 2),0),
IF(AND(OR(AP$279=123, AP$279=13), Cultivar_1_Cohort_Year_Selection=$AI$278,Cultivar_3_Cohort_Year_Selection=$AI$278), ROUND(MAX(0,AO$464 - 2),0),
IF(AND(OR(AP$279=123, AP$279=23), Cultivar_2_Cohort_Year_Selection=$AI$278,Cultivar_3_Cohort_Year_Selection=$AI$278), ROUND(MAX(0,AO$464 - 2),0),
IF(AND(OR(AP$279=123, AP$279=12, AP$279=13, AP$279=1), Cultivar_1_Cohort_Year_Selection=$AI$278), ROUND(MAX(0,AO$464 - 1),0),
IF(AND(OR(AP$279=123, AP$279=12, AP$279=23, AP$279=2), Cultivar_2_Cohort_Year_Selection=$AI$278), ROUND(MAX(0,AO$464 - 1),0),
IF(AND(OR(AP$279=123, AP$279=13, AP$279=23, AP$279=3), Cultivar_3_Cohort_Year_Selection=$AI$278), ROUND(MAX(0,AO$464 - 1),0),
ROUND(MAX(0,AO$464),0)))))))),""),""),"")</f>
        <v/>
      </c>
      <c r="AQ467" s="17" t="str">
        <f t="shared" ref="AQ467:AQ475" si="298">IF(ISNUMBER($B$465),
IF($C467&lt;&gt;"",
IF(AND(ISNUMBER(AP$464), AP$464&gt;0),
IF(AND(AQ$279=123, Cultivar_1_Cohort_Year_Selection=$AJ$278,Cultivar_2_Cohort_Year_Selection=$AJ$278,Cultivar_3_Cohort_Year_Selection=$AJ$278), ROUND(MAX(0,AP$464 - 3),0),
IF(AND(OR(AQ$279=123, AQ$279=12), Cultivar_1_Cohort_Year_Selection=$AJ$278,Cultivar_2_Cohort_Year_Selection=$AJ$278), ROUND(MAX(0,AP$464 - 2),0),
IF(AND(OR(AQ$279=123, AQ$279=13), Cultivar_1_Cohort_Year_Selection=$AJ$278,Cultivar_3_Cohort_Year_Selection=$AJ$278), ROUND(MAX(0,AP$464 - 2),0),
IF(AND(OR(AQ$279=123, AQ$279=23), Cultivar_2_Cohort_Year_Selection=$AJ$278,Cultivar_3_Cohort_Year_Selection=$AJ$278), ROUND(MAX(0,AP$464 - 2),0),
IF(AND(OR(AQ$279=123, AQ$279=12, AQ$279=13, AQ$279=1), Cultivar_1_Cohort_Year_Selection=$AJ$278), ROUND(MAX(0,AP$464 - 1),0),
IF(AND(OR(AQ$279=123, AQ$279=12, AQ$279=23, AQ$279=2), Cultivar_2_Cohort_Year_Selection=$AJ$278), ROUND(MAX(0,AP$464 - 1),0),
IF(AND(OR(AQ$279=123, AQ$279=13, AQ$279=23, AQ$279=3), Cultivar_3_Cohort_Year_Selection=$AJ$278), ROUND(MAX(0,AP$464 - 1),0),
ROUND(MAX(0,AP$464),0)))))))),""),""),"")</f>
        <v/>
      </c>
      <c r="AR467" s="17" t="str">
        <f t="shared" ref="AR467:AR475" si="299">IF(ISNUMBER($B$465),
IF($C467&lt;&gt;"",
IF(AND(ISNUMBER(AQ$464), AQ$464&gt;0),
IF(AND(AR$279=123, Cultivar_1_Cohort_Year_Selection=$AK$278,Cultivar_2_Cohort_Year_Selection=$AK$278,Cultivar_3_Cohort_Year_Selection=$AK$278), ROUND(MAX(0,AQ$464 - 3),0),
IF(AND(OR(AR$279=123, AR$279=12), Cultivar_1_Cohort_Year_Selection=$AK$278,Cultivar_2_Cohort_Year_Selection=$AK$278), ROUND(MAX(0,AQ$464 - 2),0),
IF(AND(OR(AR$279=123, AR$279=13), Cultivar_1_Cohort_Year_Selection=$AK$278,Cultivar_3_Cohort_Year_Selection=$AK$278), ROUND(MAX(0,AQ$464 - 2),0),
IF(AND(OR(AR$279=123, AR$279=23), Cultivar_2_Cohort_Year_Selection=$AK$278,Cultivar_3_Cohort_Year_Selection=$AK$278), ROUND(MAX(0,AQ$464 - 2),0),
IF(AND(OR(AR$279=123, AR$279=12, AR$279=13, AR$279=1), Cultivar_1_Cohort_Year_Selection=$AK$278), ROUND(MAX(0,AQ$464 - 1),0),
IF(AND(OR(AR$279=123, AR$279=12, AR$279=23, AR$279=2), Cultivar_2_Cohort_Year_Selection=$AK$278), ROUND(MAX(0,AQ$464 - 1),0),
IF(AND(OR(AR$279=123, AR$279=13, AR$279=23, AR$279=3), Cultivar_3_Cohort_Year_Selection=$AK$278), ROUND(MAX(0,AQ$464 - 1),0),
ROUND(MAX(0,AQ$464),0)))))))),""),""),"")</f>
        <v/>
      </c>
      <c r="AS467" s="17" t="str">
        <f t="shared" ref="AS467:AS475" si="300">IF(ISNUMBER($B$465),
IF($C467&lt;&gt;"",
IF(AND(ISNUMBER(AR$464), AR$464&gt;0),
IF(AND(AS$279=123, Cultivar_1_Cohort_Year_Selection=$AL$278,Cultivar_2_Cohort_Year_Selection=$AL$278,Cultivar_3_Cohort_Year_Selection=$AL$278), ROUND(MAX(0,AR$464 - 3),0),
IF(AND(OR(AS$279=123, AS$279=12), Cultivar_1_Cohort_Year_Selection=$AL$278,Cultivar_2_Cohort_Year_Selection=$AL$278), ROUND(MAX(0,AR$464 - 2),0),
IF(AND(OR(AS$279=123, AS$279=13), Cultivar_1_Cohort_Year_Selection=$AL$278,Cultivar_3_Cohort_Year_Selection=$AL$278), ROUND(MAX(0,AR$464 - 2),0),
IF(AND(OR(AS$279=123, AS$279=23), Cultivar_2_Cohort_Year_Selection=$AL$278,Cultivar_3_Cohort_Year_Selection=$AL$278), ROUND(MAX(0,AR$464 - 2),0),
IF(AND(OR(AS$279=123, AS$279=12, AS$279=13, AS$279=1), Cultivar_1_Cohort_Year_Selection=$AL$278), ROUND(MAX(0,AR$464 - 1),0),
IF(AND(OR(AS$279=123, AS$279=12, AS$279=23, AS$279=2), Cultivar_2_Cohort_Year_Selection=$AL$278), ROUND(MAX(0,AR$464 - 1),0),
IF(AND(OR(AS$279=123, AS$279=13, AS$279=23, AS$279=3), Cultivar_3_Cohort_Year_Selection=$AL$278), ROUND(MAX(0,AR$464 - 1),0),
ROUND(MAX(0,AR$464),0)))))))),""),""),"")</f>
        <v/>
      </c>
      <c r="AT467" s="17" t="str">
        <f t="shared" ref="AT467:AT475" si="301">IF(ISNUMBER($B$465),
IF($C467&lt;&gt;"",
IF(AND(ISNUMBER(AS$464), AS$464&gt;0),
IF(AND(AT$279=123, Cultivar_1_Cohort_Year_Selection=$AM$278,Cultivar_2_Cohort_Year_Selection=$AM$278,Cultivar_3_Cohort_Year_Selection=$AM$278), ROUND(MAX(0,AS$464 - 3),0),
IF(AND(OR(AT$279=123, AT$279=12), Cultivar_1_Cohort_Year_Selection=$AM$278,Cultivar_2_Cohort_Year_Selection=$AM$278), ROUND(MAX(0,AS$464 - 2),0),
IF(AND(OR(AT$279=123, AT$279=13), Cultivar_1_Cohort_Year_Selection=$AM$278,Cultivar_3_Cohort_Year_Selection=$AM$278), ROUND(MAX(0,AS$464 - 2),0),
IF(AND(OR(AT$279=123, AT$279=23), Cultivar_2_Cohort_Year_Selection=$AM$278,Cultivar_3_Cohort_Year_Selection=$AM$278), ROUND(MAX(0,AS$464 - 2),0),
IF(AND(OR(AT$279=123, AT$279=12, AT$279=13, AT$279=1), Cultivar_1_Cohort_Year_Selection=$AM$278), ROUND(MAX(0,AS$464 - 1),0),
IF(AND(OR(AT$279=123, AT$279=12, AT$279=23, AT$279=2), Cultivar_2_Cohort_Year_Selection=$AM$278), ROUND(MAX(0,AS$464 - 1),0),
IF(AND(OR(AT$279=123, AT$279=13, AT$279=23, AT$279=3), Cultivar_3_Cohort_Year_Selection=$AM$278), ROUND(MAX(0,AS$464 - 1),0),
ROUND(MAX(0,AS$464),0)))))))),""),""),"")</f>
        <v/>
      </c>
      <c r="AU467" s="17" t="str">
        <f t="shared" ref="AU467:AU475" si="302">IF(ISNUMBER($B$465),
IF($C467&lt;&gt;"",
IF(AND(ISNUMBER(AT$464), AT$464&gt;0),
IF(AND(AU$279=123, Cultivar_1_Cohort_Year_Selection=$AN$278,Cultivar_2_Cohort_Year_Selection=$AN$278,Cultivar_3_Cohort_Year_Selection=$AN$278), ROUND(MAX(0,AT$464 - 3),0),
IF(AND(OR(AU$279=123, AU$279=12), Cultivar_1_Cohort_Year_Selection=$AN$278,Cultivar_2_Cohort_Year_Selection=$AN$278), ROUND(MAX(0,AT$464 - 2),0),
IF(AND(OR(AU$279=123, AU$279=13), Cultivar_1_Cohort_Year_Selection=$AN$278,Cultivar_3_Cohort_Year_Selection=$AN$278), ROUND(MAX(0,AT$464 - 2),0),
IF(AND(OR(AU$279=123, AU$279=23), Cultivar_2_Cohort_Year_Selection=$AN$278,Cultivar_3_Cohort_Year_Selection=$AN$278), ROUND(MAX(0,AT$464 - 2),0),
IF(AND(OR(AU$279=123, AU$279=12, AU$279=13, AU$279=1), Cultivar_1_Cohort_Year_Selection=$AN$278), ROUND(MAX(0,AT$464 - 1),0),
IF(AND(OR(AU$279=123, AU$279=12, AU$279=23, AU$279=2), Cultivar_2_Cohort_Year_Selection=$AN$278), ROUND(MAX(0,AT$464 - 1),0),
IF(AND(OR(AU$279=123, AU$279=13, AU$279=23, AU$279=3), Cultivar_3_Cohort_Year_Selection=$AN$278), ROUND(MAX(0,AT$464 - 1),0),
ROUND(MAX(0,AT$464),0)))))))),""),""),"")</f>
        <v/>
      </c>
      <c r="AV467" s="17" t="str">
        <f t="shared" ref="AV467:AV475" si="303">IF(ISNUMBER($B$465),
IF($C467&lt;&gt;"",
IF(AND(ISNUMBER(AU$464), AU$464&gt;0),
IF(AND(AV$279=123, Cultivar_1_Cohort_Year_Selection=$AO$278,Cultivar_2_Cohort_Year_Selection=$AO$278,Cultivar_3_Cohort_Year_Selection=$AO$278), ROUND(MAX(0,AU$464 - 3),0),
IF(AND(OR(AV$279=123, AV$279=12), Cultivar_1_Cohort_Year_Selection=$AO$278,Cultivar_2_Cohort_Year_Selection=$AO$278), ROUND(MAX(0,AU$464 - 2),0),
IF(AND(OR(AV$279=123, AV$279=13), Cultivar_1_Cohort_Year_Selection=$AO$278,Cultivar_3_Cohort_Year_Selection=$AO$278), ROUND(MAX(0,AU$464 - 2),0),
IF(AND(OR(AV$279=123, AV$279=23), Cultivar_2_Cohort_Year_Selection=$AO$278,Cultivar_3_Cohort_Year_Selection=$AO$278), ROUND(MAX(0,AU$464 - 2),0),
IF(AND(OR(AV$279=123, AV$279=12, AV$279=13, AV$279=1), Cultivar_1_Cohort_Year_Selection=$AO$278), ROUND(MAX(0,AU$464 - 1),0),
IF(AND(OR(AV$279=123, AV$279=12, AV$279=23, AV$279=2), Cultivar_2_Cohort_Year_Selection=$AO$278), ROUND(MAX(0,AU$464 - 1),0),
IF(AND(OR(AV$279=123, AV$279=13, AV$279=23, AV$279=3), Cultivar_3_Cohort_Year_Selection=$AO$278), ROUND(MAX(0,AU$464 - 1),0),
ROUND(MAX(0,AU$464),0)))))))),""),""),"")</f>
        <v/>
      </c>
      <c r="AW467" s="17" t="str">
        <f t="shared" ref="AW467:AW475" si="304">IF(ISNUMBER($B$465),
IF($C467&lt;&gt;"",
IF(AND(ISNUMBER(AV$464), AV$464&gt;0),
IF(AND(AW$279=123, Cultivar_1_Cohort_Year_Selection=$AP$278,Cultivar_2_Cohort_Year_Selection=$AP$278,Cultivar_3_Cohort_Year_Selection=$AP$278), ROUND(MAX(0,AV$464 - 3),0),
IF(AND(OR(AW$279=123, AW$279=12), Cultivar_1_Cohort_Year_Selection=$AP$278,Cultivar_2_Cohort_Year_Selection=$AP$278), ROUND(MAX(0,AV$464 - 2),0),
IF(AND(OR(AW$279=123, AW$279=13), Cultivar_1_Cohort_Year_Selection=$AP$278,Cultivar_3_Cohort_Year_Selection=$AP$278), ROUND(MAX(0,AV$464 - 2),0),
IF(AND(OR(AW$279=123, AW$279=23), Cultivar_2_Cohort_Year_Selection=$AP$278,Cultivar_3_Cohort_Year_Selection=$AP$278), ROUND(MAX(0,AV$464 - 2),0),
IF(AND(OR(AW$279=123, AW$279=12, AW$279=13, AW$279=1), Cultivar_1_Cohort_Year_Selection=$AP$278), ROUND(MAX(0,AV$464 - 1),0),
IF(AND(OR(AW$279=123, AW$279=12, AW$279=23, AW$279=2), Cultivar_2_Cohort_Year_Selection=$AP$278), ROUND(MAX(0,AV$464 - 1),0),
IF(AND(OR(AW$279=123, AW$279=13, AW$279=23, AW$279=3), Cultivar_3_Cohort_Year_Selection=$AP$278), ROUND(MAX(0,AV$464 - 1),0),
ROUND(MAX(0,AV$464),0)))))))),""),""),"")</f>
        <v/>
      </c>
    </row>
    <row r="468" spans="1:49" x14ac:dyDescent="0.25">
      <c r="A468" s="518"/>
      <c r="B468" s="504"/>
      <c r="C468" s="107" t="str">
        <f>IF(AND(ISNUMBER(B465), OR('Cost Inputs'!$H$108&lt;&gt;"", 'Cost Inputs'!$I$108&lt;&gt;"", 'Cost Inputs'!$J$108&lt;&gt;"")), _4_3_2, "")</f>
        <v/>
      </c>
      <c r="D468" s="93" t="str">
        <f>IF(AND(C468&lt;&gt;"", 'Cost Inputs'!$G$108&lt;&gt;""), 'Cost Inputs'!$G$108, "")</f>
        <v/>
      </c>
      <c r="E468" s="93" t="str">
        <f>IF(AND(C468&lt;&gt;"", 'Cost Inputs'!$H$108&lt;&gt;""), 'Cost Inputs'!$H$108, "")</f>
        <v/>
      </c>
      <c r="F468" s="93" t="str">
        <f>IF(AND(C468&lt;&gt;"", 'Cost Inputs'!$I$108&lt;&gt;""), 'Cost Inputs'!$I$108, "")</f>
        <v/>
      </c>
      <c r="G468" s="108" t="str">
        <f t="shared" si="152"/>
        <v/>
      </c>
      <c r="H468" s="93" t="str">
        <f>IF(AND(C468&lt;&gt;"", 'Cost Inputs'!$J$108&lt;&gt;""), 'Cost Inputs'!$J$108, "")</f>
        <v/>
      </c>
      <c r="I468" s="93" t="str">
        <f t="shared" si="275"/>
        <v/>
      </c>
      <c r="J468" s="93" t="str">
        <f>IF(AND(C468&lt;&gt;"",('Cost Inputs'!$I$108+'Cost Inputs'!$J$108+'Cost Inputs'!$K$108)&gt;0), 'Cost Inputs'!$I$108+'Cost Inputs'!$J$108+'Cost Inputs'!$K$108, "")</f>
        <v/>
      </c>
      <c r="K468" s="93" t="str">
        <f t="shared" si="276"/>
        <v/>
      </c>
      <c r="L468" s="525"/>
      <c r="M468" s="525"/>
      <c r="V468" s="93" t="str">
        <f t="shared" si="277"/>
        <v/>
      </c>
      <c r="W468" s="93" t="str">
        <f t="shared" si="278"/>
        <v/>
      </c>
      <c r="X468" s="93" t="str">
        <f t="shared" si="279"/>
        <v/>
      </c>
      <c r="Y468" s="93" t="str">
        <f t="shared" si="280"/>
        <v/>
      </c>
      <c r="Z468" s="93" t="str">
        <f t="shared" si="281"/>
        <v/>
      </c>
      <c r="AA468" s="93" t="str">
        <f t="shared" si="282"/>
        <v/>
      </c>
      <c r="AB468" s="93" t="str">
        <f t="shared" si="283"/>
        <v/>
      </c>
      <c r="AC468" s="93" t="str">
        <f t="shared" si="284"/>
        <v/>
      </c>
      <c r="AD468" s="93" t="str">
        <f t="shared" si="285"/>
        <v/>
      </c>
      <c r="AE468" s="93" t="str">
        <f t="shared" si="286"/>
        <v/>
      </c>
      <c r="AF468" s="93" t="str">
        <f t="shared" si="287"/>
        <v/>
      </c>
      <c r="AG468" s="93" t="str">
        <f t="shared" si="288"/>
        <v/>
      </c>
      <c r="AH468" s="93" t="str">
        <f t="shared" si="289"/>
        <v/>
      </c>
      <c r="AI468" s="93" t="str">
        <f t="shared" si="290"/>
        <v/>
      </c>
      <c r="AJ468" s="93" t="str">
        <f t="shared" si="291"/>
        <v/>
      </c>
      <c r="AK468" s="93" t="str">
        <f t="shared" si="292"/>
        <v/>
      </c>
      <c r="AL468" s="93" t="str">
        <f t="shared" si="293"/>
        <v/>
      </c>
      <c r="AM468" s="93" t="str">
        <f t="shared" si="294"/>
        <v/>
      </c>
      <c r="AN468" s="93" t="str">
        <f t="shared" si="295"/>
        <v/>
      </c>
      <c r="AO468" s="93" t="str">
        <f t="shared" si="296"/>
        <v/>
      </c>
      <c r="AP468" s="93" t="str">
        <f t="shared" si="297"/>
        <v/>
      </c>
      <c r="AQ468" s="93" t="str">
        <f t="shared" si="298"/>
        <v/>
      </c>
      <c r="AR468" s="93" t="str">
        <f t="shared" si="299"/>
        <v/>
      </c>
      <c r="AS468" s="93" t="str">
        <f t="shared" si="300"/>
        <v/>
      </c>
      <c r="AT468" s="93" t="str">
        <f t="shared" si="301"/>
        <v/>
      </c>
      <c r="AU468" s="93" t="str">
        <f t="shared" si="302"/>
        <v/>
      </c>
      <c r="AV468" s="93" t="str">
        <f t="shared" si="303"/>
        <v/>
      </c>
      <c r="AW468" s="93" t="str">
        <f t="shared" si="304"/>
        <v/>
      </c>
    </row>
    <row r="469" spans="1:49" x14ac:dyDescent="0.25">
      <c r="A469" s="518"/>
      <c r="B469" s="504"/>
      <c r="C469" s="110" t="str">
        <f>IF(ISNUMBER(B465), _4_4_0, "")</f>
        <v/>
      </c>
      <c r="D469" s="94" t="str">
        <f>IF(AND(C469&lt;&gt;"", 'Cost Inputs'!$G$109&lt;&gt;""), 'Cost Inputs'!$G$109, "")</f>
        <v/>
      </c>
      <c r="E469" s="94" t="str">
        <f>IF(AND(C469&lt;&gt;"", 'Cost Inputs'!$H$109&lt;&gt;""), 'Cost Inputs'!$H$109, "")</f>
        <v/>
      </c>
      <c r="F469" s="94" t="str">
        <f>IF(AND(C469&lt;&gt;"", 'Cost Inputs'!$I$109&lt;&gt;""), 'Cost Inputs'!$I$109, "")</f>
        <v/>
      </c>
      <c r="G469" s="102" t="str">
        <f t="shared" si="152"/>
        <v/>
      </c>
      <c r="H469" s="102" t="str">
        <f>IF(AND(C469&lt;&gt;"", 'Cost Inputs'!$J$109&lt;&gt;""), 'Cost Inputs'!$J$109, "")</f>
        <v/>
      </c>
      <c r="I469" s="102" t="str">
        <f t="shared" si="275"/>
        <v/>
      </c>
      <c r="J469" s="102" t="str">
        <f>IF(AND(C469&lt;&gt;"",('Cost Inputs'!$I$109+'Cost Inputs'!$J$109+'Cost Inputs'!$K$109)&gt;0), 'Cost Inputs'!$I$109+'Cost Inputs'!$J$109+'Cost Inputs'!$K$109, "")</f>
        <v/>
      </c>
      <c r="K469" s="102" t="str">
        <f t="shared" si="276"/>
        <v/>
      </c>
      <c r="L469" s="525"/>
      <c r="M469" s="525"/>
      <c r="V469" s="102" t="str">
        <f t="shared" si="277"/>
        <v/>
      </c>
      <c r="W469" s="102" t="str">
        <f t="shared" si="278"/>
        <v/>
      </c>
      <c r="X469" s="102" t="str">
        <f t="shared" si="279"/>
        <v/>
      </c>
      <c r="Y469" s="102" t="str">
        <f t="shared" si="280"/>
        <v/>
      </c>
      <c r="Z469" s="102" t="str">
        <f t="shared" si="281"/>
        <v/>
      </c>
      <c r="AA469" s="102" t="str">
        <f t="shared" si="282"/>
        <v/>
      </c>
      <c r="AB469" s="102" t="str">
        <f t="shared" si="283"/>
        <v/>
      </c>
      <c r="AC469" s="102" t="str">
        <f t="shared" si="284"/>
        <v/>
      </c>
      <c r="AD469" s="102" t="str">
        <f t="shared" si="285"/>
        <v/>
      </c>
      <c r="AE469" s="102" t="str">
        <f t="shared" si="286"/>
        <v/>
      </c>
      <c r="AF469" s="102" t="str">
        <f t="shared" si="287"/>
        <v/>
      </c>
      <c r="AG469" s="102" t="str">
        <f t="shared" si="288"/>
        <v/>
      </c>
      <c r="AH469" s="102" t="str">
        <f t="shared" si="289"/>
        <v/>
      </c>
      <c r="AI469" s="102" t="str">
        <f t="shared" si="290"/>
        <v/>
      </c>
      <c r="AJ469" s="102" t="str">
        <f t="shared" si="291"/>
        <v/>
      </c>
      <c r="AK469" s="102" t="str">
        <f t="shared" si="292"/>
        <v/>
      </c>
      <c r="AL469" s="102" t="str">
        <f t="shared" si="293"/>
        <v/>
      </c>
      <c r="AM469" s="102" t="str">
        <f t="shared" si="294"/>
        <v/>
      </c>
      <c r="AN469" s="102" t="str">
        <f t="shared" si="295"/>
        <v/>
      </c>
      <c r="AO469" s="102" t="str">
        <f t="shared" si="296"/>
        <v/>
      </c>
      <c r="AP469" s="102" t="str">
        <f t="shared" si="297"/>
        <v/>
      </c>
      <c r="AQ469" s="102" t="str">
        <f t="shared" si="298"/>
        <v/>
      </c>
      <c r="AR469" s="102" t="str">
        <f t="shared" si="299"/>
        <v/>
      </c>
      <c r="AS469" s="102" t="str">
        <f t="shared" si="300"/>
        <v/>
      </c>
      <c r="AT469" s="102" t="str">
        <f t="shared" si="301"/>
        <v/>
      </c>
      <c r="AU469" s="102" t="str">
        <f t="shared" si="302"/>
        <v/>
      </c>
      <c r="AV469" s="102" t="str">
        <f t="shared" si="303"/>
        <v/>
      </c>
      <c r="AW469" s="102" t="str">
        <f t="shared" si="304"/>
        <v/>
      </c>
    </row>
    <row r="470" spans="1:49" x14ac:dyDescent="0.25">
      <c r="A470" s="518"/>
      <c r="B470" s="504"/>
      <c r="C470" s="104" t="str">
        <f>IF(AND(ISNUMBER(B465), OR('Cost Inputs'!$H$110&lt;&gt;"", 'Cost Inputs'!$I$110&lt;&gt;"", 'Cost Inputs'!$J$110&lt;&gt;"")), _4_4_1, "")</f>
        <v/>
      </c>
      <c r="D470" s="17" t="str">
        <f>IF(AND(C470&lt;&gt;"", 'Cost Inputs'!$G$110&lt;&gt;""), 'Cost Inputs'!$G$110, "")</f>
        <v/>
      </c>
      <c r="E470" s="17" t="str">
        <f>IF(AND(C470&lt;&gt;"", 'Cost Inputs'!$H$110&lt;&gt;""), 'Cost Inputs'!$H$110, "")</f>
        <v/>
      </c>
      <c r="F470" s="17" t="str">
        <f>IF(AND(C470&lt;&gt;"", 'Cost Inputs'!$I$110&lt;&gt;""), 'Cost Inputs'!$I$110, "")</f>
        <v/>
      </c>
      <c r="G470" s="105" t="str">
        <f t="shared" si="152"/>
        <v/>
      </c>
      <c r="H470" s="17" t="str">
        <f>IF(AND(C470&lt;&gt;"", 'Cost Inputs'!$J$110&lt;&gt;""), 'Cost Inputs'!$J$110, "")</f>
        <v/>
      </c>
      <c r="I470" s="17" t="str">
        <f t="shared" si="275"/>
        <v/>
      </c>
      <c r="J470" s="17" t="str">
        <f>IF(AND(C470&lt;&gt;"",('Cost Inputs'!$I$110+'Cost Inputs'!$J$110+'Cost Inputs'!$K$110)&gt;0), 'Cost Inputs'!$I$110+'Cost Inputs'!$J$110+'Cost Inputs'!$K$110, "")</f>
        <v/>
      </c>
      <c r="K470" s="17" t="str">
        <f t="shared" si="276"/>
        <v/>
      </c>
      <c r="L470" s="525"/>
      <c r="M470" s="525"/>
      <c r="V470" s="17" t="str">
        <f t="shared" si="277"/>
        <v/>
      </c>
      <c r="W470" s="17" t="str">
        <f t="shared" si="278"/>
        <v/>
      </c>
      <c r="X470" s="17" t="str">
        <f t="shared" si="279"/>
        <v/>
      </c>
      <c r="Y470" s="17" t="str">
        <f t="shared" si="280"/>
        <v/>
      </c>
      <c r="Z470" s="17" t="str">
        <f t="shared" si="281"/>
        <v/>
      </c>
      <c r="AA470" s="17" t="str">
        <f t="shared" si="282"/>
        <v/>
      </c>
      <c r="AB470" s="17" t="str">
        <f t="shared" si="283"/>
        <v/>
      </c>
      <c r="AC470" s="17" t="str">
        <f t="shared" si="284"/>
        <v/>
      </c>
      <c r="AD470" s="17" t="str">
        <f t="shared" si="285"/>
        <v/>
      </c>
      <c r="AE470" s="17" t="str">
        <f t="shared" si="286"/>
        <v/>
      </c>
      <c r="AF470" s="17" t="str">
        <f t="shared" si="287"/>
        <v/>
      </c>
      <c r="AG470" s="17" t="str">
        <f t="shared" si="288"/>
        <v/>
      </c>
      <c r="AH470" s="17" t="str">
        <f t="shared" si="289"/>
        <v/>
      </c>
      <c r="AI470" s="17" t="str">
        <f t="shared" si="290"/>
        <v/>
      </c>
      <c r="AJ470" s="17" t="str">
        <f t="shared" si="291"/>
        <v/>
      </c>
      <c r="AK470" s="17" t="str">
        <f t="shared" si="292"/>
        <v/>
      </c>
      <c r="AL470" s="17" t="str">
        <f t="shared" si="293"/>
        <v/>
      </c>
      <c r="AM470" s="17" t="str">
        <f t="shared" si="294"/>
        <v/>
      </c>
      <c r="AN470" s="17" t="str">
        <f t="shared" si="295"/>
        <v/>
      </c>
      <c r="AO470" s="17" t="str">
        <f t="shared" si="296"/>
        <v/>
      </c>
      <c r="AP470" s="17" t="str">
        <f t="shared" si="297"/>
        <v/>
      </c>
      <c r="AQ470" s="17" t="str">
        <f t="shared" si="298"/>
        <v/>
      </c>
      <c r="AR470" s="17" t="str">
        <f t="shared" si="299"/>
        <v/>
      </c>
      <c r="AS470" s="17" t="str">
        <f t="shared" si="300"/>
        <v/>
      </c>
      <c r="AT470" s="17" t="str">
        <f t="shared" si="301"/>
        <v/>
      </c>
      <c r="AU470" s="17" t="str">
        <f t="shared" si="302"/>
        <v/>
      </c>
      <c r="AV470" s="17" t="str">
        <f t="shared" si="303"/>
        <v/>
      </c>
      <c r="AW470" s="17" t="str">
        <f t="shared" si="304"/>
        <v/>
      </c>
    </row>
    <row r="471" spans="1:49" x14ac:dyDescent="0.25">
      <c r="A471" s="518"/>
      <c r="B471" s="504"/>
      <c r="C471" s="107" t="str">
        <f>IF(AND(ISNUMBER(B465), OR('Cost Inputs'!$H$111&lt;&gt;"", 'Cost Inputs'!$I$111&lt;&gt;"", 'Cost Inputs'!$J$111&lt;&gt;"")), _4_4_2, "")</f>
        <v/>
      </c>
      <c r="D471" s="93" t="str">
        <f>IF(AND(C471&lt;&gt;"", 'Cost Inputs'!$G$111&lt;&gt;""), 'Cost Inputs'!$G$111, "")</f>
        <v/>
      </c>
      <c r="E471" s="93" t="str">
        <f>IF(AND(C471&lt;&gt;"", 'Cost Inputs'!$H$111&lt;&gt;""), 'Cost Inputs'!$H$111, "")</f>
        <v/>
      </c>
      <c r="F471" s="93" t="str">
        <f>IF(AND(C471&lt;&gt;"", 'Cost Inputs'!$I$111&lt;&gt;""), 'Cost Inputs'!$I$111, "")</f>
        <v/>
      </c>
      <c r="G471" s="108" t="str">
        <f t="shared" si="152"/>
        <v/>
      </c>
      <c r="H471" s="93" t="str">
        <f>IF(AND(C471&lt;&gt;"", 'Cost Inputs'!$J$111&lt;&gt;""), 'Cost Inputs'!$J$111, "")</f>
        <v/>
      </c>
      <c r="I471" s="93" t="str">
        <f t="shared" si="275"/>
        <v/>
      </c>
      <c r="J471" s="93" t="str">
        <f>IF(AND(C471&lt;&gt;"",('Cost Inputs'!$I$111+'Cost Inputs'!$J$111+'Cost Inputs'!$K$111)&gt;0), 'Cost Inputs'!$I$111+'Cost Inputs'!$J$111+'Cost Inputs'!$K$111, "")</f>
        <v/>
      </c>
      <c r="K471" s="93" t="str">
        <f t="shared" si="276"/>
        <v/>
      </c>
      <c r="L471" s="525"/>
      <c r="M471" s="525"/>
      <c r="V471" s="93" t="str">
        <f t="shared" si="277"/>
        <v/>
      </c>
      <c r="W471" s="93" t="str">
        <f t="shared" si="278"/>
        <v/>
      </c>
      <c r="X471" s="93" t="str">
        <f t="shared" si="279"/>
        <v/>
      </c>
      <c r="Y471" s="93" t="str">
        <f t="shared" si="280"/>
        <v/>
      </c>
      <c r="Z471" s="93" t="str">
        <f t="shared" si="281"/>
        <v/>
      </c>
      <c r="AA471" s="93" t="str">
        <f t="shared" si="282"/>
        <v/>
      </c>
      <c r="AB471" s="93" t="str">
        <f t="shared" si="283"/>
        <v/>
      </c>
      <c r="AC471" s="93" t="str">
        <f t="shared" si="284"/>
        <v/>
      </c>
      <c r="AD471" s="93" t="str">
        <f t="shared" si="285"/>
        <v/>
      </c>
      <c r="AE471" s="93" t="str">
        <f t="shared" si="286"/>
        <v/>
      </c>
      <c r="AF471" s="93" t="str">
        <f t="shared" si="287"/>
        <v/>
      </c>
      <c r="AG471" s="93" t="str">
        <f t="shared" si="288"/>
        <v/>
      </c>
      <c r="AH471" s="93" t="str">
        <f t="shared" si="289"/>
        <v/>
      </c>
      <c r="AI471" s="93" t="str">
        <f t="shared" si="290"/>
        <v/>
      </c>
      <c r="AJ471" s="93" t="str">
        <f t="shared" si="291"/>
        <v/>
      </c>
      <c r="AK471" s="93" t="str">
        <f t="shared" si="292"/>
        <v/>
      </c>
      <c r="AL471" s="93" t="str">
        <f t="shared" si="293"/>
        <v/>
      </c>
      <c r="AM471" s="93" t="str">
        <f t="shared" si="294"/>
        <v/>
      </c>
      <c r="AN471" s="93" t="str">
        <f t="shared" si="295"/>
        <v/>
      </c>
      <c r="AO471" s="93" t="str">
        <f t="shared" si="296"/>
        <v/>
      </c>
      <c r="AP471" s="93" t="str">
        <f t="shared" si="297"/>
        <v/>
      </c>
      <c r="AQ471" s="93" t="str">
        <f t="shared" si="298"/>
        <v/>
      </c>
      <c r="AR471" s="93" t="str">
        <f t="shared" si="299"/>
        <v/>
      </c>
      <c r="AS471" s="93" t="str">
        <f t="shared" si="300"/>
        <v/>
      </c>
      <c r="AT471" s="93" t="str">
        <f t="shared" si="301"/>
        <v/>
      </c>
      <c r="AU471" s="93" t="str">
        <f t="shared" si="302"/>
        <v/>
      </c>
      <c r="AV471" s="93" t="str">
        <f t="shared" si="303"/>
        <v/>
      </c>
      <c r="AW471" s="93" t="str">
        <f t="shared" si="304"/>
        <v/>
      </c>
    </row>
    <row r="472" spans="1:49" x14ac:dyDescent="0.25">
      <c r="A472" s="518"/>
      <c r="B472" s="504"/>
      <c r="C472" s="104" t="str">
        <f>IF(AND(ISNUMBER(B465), OR('Cost Inputs'!$H$112&lt;&gt;"", 'Cost Inputs'!$I$112&lt;&gt;"", 'Cost Inputs'!$J$112&lt;&gt;"")), _4_4_3, "")</f>
        <v/>
      </c>
      <c r="D472" s="17" t="str">
        <f>IF(AND(C472&lt;&gt;"", 'Cost Inputs'!$G$112&lt;&gt;""), 'Cost Inputs'!$G$112, "")</f>
        <v/>
      </c>
      <c r="E472" s="17" t="str">
        <f>IF(AND(C472&lt;&gt;"", 'Cost Inputs'!$H$112&lt;&gt;""), 'Cost Inputs'!$H$112, "")</f>
        <v/>
      </c>
      <c r="F472" s="17" t="str">
        <f>IF(AND(C472&lt;&gt;"", 'Cost Inputs'!$I$112&lt;&gt;""), 'Cost Inputs'!$I$112, "")</f>
        <v/>
      </c>
      <c r="G472" s="105" t="str">
        <f t="shared" si="152"/>
        <v/>
      </c>
      <c r="H472" s="17" t="str">
        <f>IF(AND(C472&lt;&gt;"", 'Cost Inputs'!$J$112&lt;&gt;""), 'Cost Inputs'!$J$112, "")</f>
        <v/>
      </c>
      <c r="I472" s="17" t="str">
        <f t="shared" si="275"/>
        <v/>
      </c>
      <c r="J472" s="17" t="str">
        <f>IF(AND(C472&lt;&gt;"",('Cost Inputs'!$I$112+'Cost Inputs'!$J$112+'Cost Inputs'!$K$112)&gt;0), 'Cost Inputs'!$I$112+'Cost Inputs'!$J$112+'Cost Inputs'!$K$112, "")</f>
        <v/>
      </c>
      <c r="K472" s="17" t="str">
        <f t="shared" si="276"/>
        <v/>
      </c>
      <c r="L472" s="525"/>
      <c r="M472" s="525"/>
      <c r="V472" s="17" t="str">
        <f t="shared" si="277"/>
        <v/>
      </c>
      <c r="W472" s="17" t="str">
        <f t="shared" si="278"/>
        <v/>
      </c>
      <c r="X472" s="17" t="str">
        <f t="shared" si="279"/>
        <v/>
      </c>
      <c r="Y472" s="17" t="str">
        <f t="shared" si="280"/>
        <v/>
      </c>
      <c r="Z472" s="17" t="str">
        <f t="shared" si="281"/>
        <v/>
      </c>
      <c r="AA472" s="17" t="str">
        <f t="shared" si="282"/>
        <v/>
      </c>
      <c r="AB472" s="17" t="str">
        <f t="shared" si="283"/>
        <v/>
      </c>
      <c r="AC472" s="17" t="str">
        <f t="shared" si="284"/>
        <v/>
      </c>
      <c r="AD472" s="17" t="str">
        <f t="shared" si="285"/>
        <v/>
      </c>
      <c r="AE472" s="17" t="str">
        <f t="shared" si="286"/>
        <v/>
      </c>
      <c r="AF472" s="17" t="str">
        <f t="shared" si="287"/>
        <v/>
      </c>
      <c r="AG472" s="17" t="str">
        <f t="shared" si="288"/>
        <v/>
      </c>
      <c r="AH472" s="17" t="str">
        <f t="shared" si="289"/>
        <v/>
      </c>
      <c r="AI472" s="17" t="str">
        <f t="shared" si="290"/>
        <v/>
      </c>
      <c r="AJ472" s="17" t="str">
        <f t="shared" si="291"/>
        <v/>
      </c>
      <c r="AK472" s="17" t="str">
        <f t="shared" si="292"/>
        <v/>
      </c>
      <c r="AL472" s="17" t="str">
        <f t="shared" si="293"/>
        <v/>
      </c>
      <c r="AM472" s="17" t="str">
        <f t="shared" si="294"/>
        <v/>
      </c>
      <c r="AN472" s="17" t="str">
        <f t="shared" si="295"/>
        <v/>
      </c>
      <c r="AO472" s="17" t="str">
        <f t="shared" si="296"/>
        <v/>
      </c>
      <c r="AP472" s="17" t="str">
        <f t="shared" si="297"/>
        <v/>
      </c>
      <c r="AQ472" s="17" t="str">
        <f t="shared" si="298"/>
        <v/>
      </c>
      <c r="AR472" s="17" t="str">
        <f t="shared" si="299"/>
        <v/>
      </c>
      <c r="AS472" s="17" t="str">
        <f t="shared" si="300"/>
        <v/>
      </c>
      <c r="AT472" s="17" t="str">
        <f t="shared" si="301"/>
        <v/>
      </c>
      <c r="AU472" s="17" t="str">
        <f t="shared" si="302"/>
        <v/>
      </c>
      <c r="AV472" s="17" t="str">
        <f t="shared" si="303"/>
        <v/>
      </c>
      <c r="AW472" s="17" t="str">
        <f t="shared" si="304"/>
        <v/>
      </c>
    </row>
    <row r="473" spans="1:49" x14ac:dyDescent="0.25">
      <c r="A473" s="518"/>
      <c r="B473" s="504"/>
      <c r="C473" s="107" t="str">
        <f>IF(AND(ISNUMBER(B465), OR('Cost Inputs'!$H$113&lt;&gt;"", 'Cost Inputs'!$I$113&lt;&gt;"", 'Cost Inputs'!$J$113&lt;&gt;"")), _4_4_4, "")</f>
        <v/>
      </c>
      <c r="D473" s="93" t="str">
        <f>IF(AND(C473&lt;&gt;"", 'Cost Inputs'!$G$113&lt;&gt;""), 'Cost Inputs'!$G$113, "")</f>
        <v/>
      </c>
      <c r="E473" s="93" t="str">
        <f>IF(AND(C473&lt;&gt;"", 'Cost Inputs'!$H$113&lt;&gt;""), 'Cost Inputs'!$H$113, "")</f>
        <v/>
      </c>
      <c r="F473" s="93" t="str">
        <f>IF(AND(C473&lt;&gt;"", 'Cost Inputs'!$I$113&lt;&gt;""), 'Cost Inputs'!$I$113, "")</f>
        <v/>
      </c>
      <c r="G473" s="108" t="str">
        <f t="shared" si="152"/>
        <v/>
      </c>
      <c r="H473" s="93" t="str">
        <f>IF(AND(C473&lt;&gt;"", 'Cost Inputs'!$J$113&lt;&gt;""), 'Cost Inputs'!$J$113, "")</f>
        <v/>
      </c>
      <c r="I473" s="93" t="str">
        <f t="shared" si="275"/>
        <v/>
      </c>
      <c r="J473" s="93" t="str">
        <f>IF(AND(C473&lt;&gt;"",('Cost Inputs'!$I$113+'Cost Inputs'!$J$113+'Cost Inputs'!$K$113)&gt;0), 'Cost Inputs'!$I$113+'Cost Inputs'!$J$113+'Cost Inputs'!$K$113, "")</f>
        <v/>
      </c>
      <c r="K473" s="93" t="str">
        <f t="shared" si="276"/>
        <v/>
      </c>
      <c r="L473" s="525"/>
      <c r="M473" s="525"/>
      <c r="V473" s="93" t="str">
        <f t="shared" si="277"/>
        <v/>
      </c>
      <c r="W473" s="93" t="str">
        <f t="shared" si="278"/>
        <v/>
      </c>
      <c r="X473" s="93" t="str">
        <f t="shared" si="279"/>
        <v/>
      </c>
      <c r="Y473" s="93" t="str">
        <f t="shared" si="280"/>
        <v/>
      </c>
      <c r="Z473" s="93" t="str">
        <f t="shared" si="281"/>
        <v/>
      </c>
      <c r="AA473" s="93" t="str">
        <f t="shared" si="282"/>
        <v/>
      </c>
      <c r="AB473" s="93" t="str">
        <f t="shared" si="283"/>
        <v/>
      </c>
      <c r="AC473" s="93" t="str">
        <f t="shared" si="284"/>
        <v/>
      </c>
      <c r="AD473" s="93" t="str">
        <f t="shared" si="285"/>
        <v/>
      </c>
      <c r="AE473" s="93" t="str">
        <f t="shared" si="286"/>
        <v/>
      </c>
      <c r="AF473" s="93" t="str">
        <f t="shared" si="287"/>
        <v/>
      </c>
      <c r="AG473" s="93" t="str">
        <f t="shared" si="288"/>
        <v/>
      </c>
      <c r="AH473" s="93" t="str">
        <f t="shared" si="289"/>
        <v/>
      </c>
      <c r="AI473" s="93" t="str">
        <f t="shared" si="290"/>
        <v/>
      </c>
      <c r="AJ473" s="93" t="str">
        <f t="shared" si="291"/>
        <v/>
      </c>
      <c r="AK473" s="93" t="str">
        <f t="shared" si="292"/>
        <v/>
      </c>
      <c r="AL473" s="93" t="str">
        <f t="shared" si="293"/>
        <v/>
      </c>
      <c r="AM473" s="93" t="str">
        <f t="shared" si="294"/>
        <v/>
      </c>
      <c r="AN473" s="93" t="str">
        <f t="shared" si="295"/>
        <v/>
      </c>
      <c r="AO473" s="93" t="str">
        <f t="shared" si="296"/>
        <v/>
      </c>
      <c r="AP473" s="93" t="str">
        <f t="shared" si="297"/>
        <v/>
      </c>
      <c r="AQ473" s="93" t="str">
        <f t="shared" si="298"/>
        <v/>
      </c>
      <c r="AR473" s="93" t="str">
        <f t="shared" si="299"/>
        <v/>
      </c>
      <c r="AS473" s="93" t="str">
        <f t="shared" si="300"/>
        <v/>
      </c>
      <c r="AT473" s="93" t="str">
        <f t="shared" si="301"/>
        <v/>
      </c>
      <c r="AU473" s="93" t="str">
        <f t="shared" si="302"/>
        <v/>
      </c>
      <c r="AV473" s="93" t="str">
        <f t="shared" si="303"/>
        <v/>
      </c>
      <c r="AW473" s="93" t="str">
        <f t="shared" si="304"/>
        <v/>
      </c>
    </row>
    <row r="474" spans="1:49" x14ac:dyDescent="0.25">
      <c r="A474" s="518"/>
      <c r="B474" s="504"/>
      <c r="C474" s="104" t="str">
        <f>IF(AND(ISNUMBER(B465), OR('Cost Inputs'!$H$114&lt;&gt;"", 'Cost Inputs'!$I$114&lt;&gt;"", 'Cost Inputs'!$J$114&lt;&gt;"")), _4_4_5, "")</f>
        <v/>
      </c>
      <c r="D474" s="17" t="str">
        <f>IF(AND(C474&lt;&gt;"", 'Cost Inputs'!$G$114&lt;&gt;""), 'Cost Inputs'!$G$114, "")</f>
        <v/>
      </c>
      <c r="E474" s="17" t="str">
        <f>IF(AND(C474&lt;&gt;"", 'Cost Inputs'!$H$114&lt;&gt;""), 'Cost Inputs'!$H$114, "")</f>
        <v/>
      </c>
      <c r="F474" s="17" t="str">
        <f>IF(AND(C474&lt;&gt;"", 'Cost Inputs'!$I$114&lt;&gt;""), 'Cost Inputs'!$I$114, "")</f>
        <v/>
      </c>
      <c r="G474" s="105" t="str">
        <f t="shared" si="152"/>
        <v/>
      </c>
      <c r="H474" s="17" t="str">
        <f>IF(AND(C474&lt;&gt;"", 'Cost Inputs'!$J$114&lt;&gt;""), 'Cost Inputs'!$J$114, "")</f>
        <v/>
      </c>
      <c r="I474" s="17" t="str">
        <f t="shared" si="275"/>
        <v/>
      </c>
      <c r="J474" s="17" t="str">
        <f>IF(AND(C474&lt;&gt;"",('Cost Inputs'!$I$114+'Cost Inputs'!$J$114+'Cost Inputs'!$K$114)&gt;0), 'Cost Inputs'!$I$114+'Cost Inputs'!$J$114+'Cost Inputs'!$K$114, "")</f>
        <v/>
      </c>
      <c r="K474" s="17" t="str">
        <f t="shared" si="276"/>
        <v/>
      </c>
      <c r="L474" s="525"/>
      <c r="M474" s="525"/>
      <c r="V474" s="17" t="str">
        <f t="shared" si="277"/>
        <v/>
      </c>
      <c r="W474" s="17" t="str">
        <f t="shared" si="278"/>
        <v/>
      </c>
      <c r="X474" s="17" t="str">
        <f t="shared" si="279"/>
        <v/>
      </c>
      <c r="Y474" s="17" t="str">
        <f t="shared" si="280"/>
        <v/>
      </c>
      <c r="Z474" s="17" t="str">
        <f t="shared" si="281"/>
        <v/>
      </c>
      <c r="AA474" s="17" t="str">
        <f t="shared" si="282"/>
        <v/>
      </c>
      <c r="AB474" s="17" t="str">
        <f t="shared" si="283"/>
        <v/>
      </c>
      <c r="AC474" s="17" t="str">
        <f t="shared" si="284"/>
        <v/>
      </c>
      <c r="AD474" s="17" t="str">
        <f t="shared" si="285"/>
        <v/>
      </c>
      <c r="AE474" s="17" t="str">
        <f t="shared" si="286"/>
        <v/>
      </c>
      <c r="AF474" s="17" t="str">
        <f t="shared" si="287"/>
        <v/>
      </c>
      <c r="AG474" s="17" t="str">
        <f t="shared" si="288"/>
        <v/>
      </c>
      <c r="AH474" s="17" t="str">
        <f t="shared" si="289"/>
        <v/>
      </c>
      <c r="AI474" s="17" t="str">
        <f t="shared" si="290"/>
        <v/>
      </c>
      <c r="AJ474" s="17" t="str">
        <f t="shared" si="291"/>
        <v/>
      </c>
      <c r="AK474" s="17" t="str">
        <f t="shared" si="292"/>
        <v/>
      </c>
      <c r="AL474" s="17" t="str">
        <f t="shared" si="293"/>
        <v/>
      </c>
      <c r="AM474" s="17" t="str">
        <f t="shared" si="294"/>
        <v/>
      </c>
      <c r="AN474" s="17" t="str">
        <f t="shared" si="295"/>
        <v/>
      </c>
      <c r="AO474" s="17" t="str">
        <f t="shared" si="296"/>
        <v/>
      </c>
      <c r="AP474" s="17" t="str">
        <f t="shared" si="297"/>
        <v/>
      </c>
      <c r="AQ474" s="17" t="str">
        <f t="shared" si="298"/>
        <v/>
      </c>
      <c r="AR474" s="17" t="str">
        <f t="shared" si="299"/>
        <v/>
      </c>
      <c r="AS474" s="17" t="str">
        <f t="shared" si="300"/>
        <v/>
      </c>
      <c r="AT474" s="17" t="str">
        <f t="shared" si="301"/>
        <v/>
      </c>
      <c r="AU474" s="17" t="str">
        <f t="shared" si="302"/>
        <v/>
      </c>
      <c r="AV474" s="17" t="str">
        <f t="shared" si="303"/>
        <v/>
      </c>
      <c r="AW474" s="17" t="str">
        <f t="shared" si="304"/>
        <v/>
      </c>
    </row>
    <row r="475" spans="1:49" x14ac:dyDescent="0.25">
      <c r="A475" s="518"/>
      <c r="B475" s="504"/>
      <c r="C475" s="107" t="str">
        <f>IF(AND(ISNUMBER(B465), OR('Cost Inputs'!$H$115&lt;&gt;"", 'Cost Inputs'!$I$115&lt;&gt;"", 'Cost Inputs'!$J$115&lt;&gt;"")), _4_4_6, "")</f>
        <v/>
      </c>
      <c r="D475" s="93" t="str">
        <f>IF(AND(C475&lt;&gt;"", 'Cost Inputs'!$G$115&lt;&gt;""), 'Cost Inputs'!$G$115, "")</f>
        <v/>
      </c>
      <c r="E475" s="93" t="str">
        <f>IF(AND(C475&lt;&gt;"", 'Cost Inputs'!$H$115&lt;&gt;""), 'Cost Inputs'!$H$115, "")</f>
        <v/>
      </c>
      <c r="F475" s="93" t="str">
        <f>IF(AND(C475&lt;&gt;"", 'Cost Inputs'!$I$115&lt;&gt;""), 'Cost Inputs'!$I$115, "")</f>
        <v/>
      </c>
      <c r="G475" s="108" t="str">
        <f t="shared" si="152"/>
        <v/>
      </c>
      <c r="H475" s="93" t="str">
        <f>IF(AND(C475&lt;&gt;"", 'Cost Inputs'!$J$115&lt;&gt;""), 'Cost Inputs'!$J$115, "")</f>
        <v/>
      </c>
      <c r="I475" s="93" t="str">
        <f t="shared" si="275"/>
        <v/>
      </c>
      <c r="J475" s="93" t="str">
        <f>IF(AND(C475&lt;&gt;"",('Cost Inputs'!$I$115+'Cost Inputs'!$J$115+'Cost Inputs'!$K$115)&gt;0), 'Cost Inputs'!$I$115+'Cost Inputs'!$J$115+'Cost Inputs'!$K$115, "")</f>
        <v/>
      </c>
      <c r="K475" s="93" t="str">
        <f t="shared" si="276"/>
        <v/>
      </c>
      <c r="L475" s="525"/>
      <c r="M475" s="525"/>
      <c r="V475" s="93" t="str">
        <f t="shared" si="277"/>
        <v/>
      </c>
      <c r="W475" s="93" t="str">
        <f t="shared" si="278"/>
        <v/>
      </c>
      <c r="X475" s="93" t="str">
        <f t="shared" si="279"/>
        <v/>
      </c>
      <c r="Y475" s="93" t="str">
        <f t="shared" si="280"/>
        <v/>
      </c>
      <c r="Z475" s="93" t="str">
        <f t="shared" si="281"/>
        <v/>
      </c>
      <c r="AA475" s="93" t="str">
        <f t="shared" si="282"/>
        <v/>
      </c>
      <c r="AB475" s="93" t="str">
        <f t="shared" si="283"/>
        <v/>
      </c>
      <c r="AC475" s="93" t="str">
        <f t="shared" si="284"/>
        <v/>
      </c>
      <c r="AD475" s="93" t="str">
        <f t="shared" si="285"/>
        <v/>
      </c>
      <c r="AE475" s="93" t="str">
        <f t="shared" si="286"/>
        <v/>
      </c>
      <c r="AF475" s="93" t="str">
        <f t="shared" si="287"/>
        <v/>
      </c>
      <c r="AG475" s="93" t="str">
        <f t="shared" si="288"/>
        <v/>
      </c>
      <c r="AH475" s="93" t="str">
        <f t="shared" si="289"/>
        <v/>
      </c>
      <c r="AI475" s="93" t="str">
        <f t="shared" si="290"/>
        <v/>
      </c>
      <c r="AJ475" s="93" t="str">
        <f t="shared" si="291"/>
        <v/>
      </c>
      <c r="AK475" s="93" t="str">
        <f t="shared" si="292"/>
        <v/>
      </c>
      <c r="AL475" s="93" t="str">
        <f t="shared" si="293"/>
        <v/>
      </c>
      <c r="AM475" s="93" t="str">
        <f t="shared" si="294"/>
        <v/>
      </c>
      <c r="AN475" s="93" t="str">
        <f t="shared" si="295"/>
        <v/>
      </c>
      <c r="AO475" s="93" t="str">
        <f t="shared" si="296"/>
        <v/>
      </c>
      <c r="AP475" s="93" t="str">
        <f t="shared" si="297"/>
        <v/>
      </c>
      <c r="AQ475" s="93" t="str">
        <f t="shared" si="298"/>
        <v/>
      </c>
      <c r="AR475" s="93" t="str">
        <f t="shared" si="299"/>
        <v/>
      </c>
      <c r="AS475" s="93" t="str">
        <f t="shared" si="300"/>
        <v/>
      </c>
      <c r="AT475" s="93" t="str">
        <f t="shared" si="301"/>
        <v/>
      </c>
      <c r="AU475" s="93" t="str">
        <f t="shared" si="302"/>
        <v/>
      </c>
      <c r="AV475" s="93" t="str">
        <f t="shared" si="303"/>
        <v/>
      </c>
      <c r="AW475" s="93" t="str">
        <f t="shared" si="304"/>
        <v/>
      </c>
    </row>
    <row r="476" spans="1:49" x14ac:dyDescent="0.25">
      <c r="A476" s="518"/>
      <c r="B476" s="504"/>
      <c r="C476" s="489" t="str">
        <f>IF('Model_ of_individuals'!C469&lt;&gt;"", "Percentage decrease in marker culling","")</f>
        <v/>
      </c>
      <c r="D476" s="490"/>
      <c r="E476" s="490"/>
      <c r="F476" s="490"/>
      <c r="G476" s="490"/>
      <c r="H476" s="490"/>
      <c r="I476" s="490"/>
      <c r="J476" s="490"/>
      <c r="K476" s="491"/>
      <c r="L476" s="525"/>
      <c r="M476" s="525"/>
      <c r="V476" s="17" t="str">
        <f>IF(OR('Breeding Inputs'!$I$17="Y",'Model_ of_individuals'!$C469&lt;&gt;""),
IF('Breeding Inputs'!$I$44="Y",
IF(OR('Breeding Inputs'!$I$45=1), 25%,
IF('Breeding Inputs'!$I$44="N",
IF('Breeding Inputs'!$I$45=1,
IF(ISNUMBER('Breeding Inputs'!$I$46),'Breeding Inputs'!$I$46,""),""),"")),""),"")</f>
        <v/>
      </c>
      <c r="W476" s="17" t="str">
        <f>IF(OR('Breeding Inputs'!$I$17="Y",'Model_ of_individuals'!$C469&lt;&gt;""),
IF('Breeding Inputs'!$I$44="Y",
IF(OR('Breeding Inputs'!$I$45=1), 25%,
IF(ISNUMBER(V476), V476,
IF('Breeding Inputs'!$I$44="N",
IF(OR('Breeding Inputs'!$I$45=1),
IF(ISNUMBER('Breeding Inputs'!$I$46),'Breeding Inputs'!$I$46,""),""),""))),""),"")</f>
        <v/>
      </c>
      <c r="X476" s="17" t="str">
        <f>IF(OR('Breeding Inputs'!$I$17="Y",'Model_ of_individuals'!$C469&lt;&gt;""),
IF('Breeding Inputs'!$I$44="Y",
IF(OR('Breeding Inputs'!$I$45=1, 'Breeding Inputs'!$I$45=2), 25%,
IF(ISNUMBER(W476), W476,
IF('Breeding Inputs'!$I$44="N",
IF(OR('Breeding Inputs'!$I$45=1, 'Breeding Inputs'!$I$45=2),
IF(ISNUMBER('Breeding Inputs'!$I$46),'Breeding Inputs'!$I$46,""),""),""))),""),"")</f>
        <v/>
      </c>
      <c r="Y476" s="17" t="str">
        <f>IF(OR('Breeding Inputs'!$I$17="Y",'Model_ of_individuals'!$C469&lt;&gt;""),
IF('Breeding Inputs'!$I$44="Y",
IF(OR('Breeding Inputs'!$I$45=1, 'Breeding Inputs'!$I$45=3), 25%,
IF(ISNUMBER(X476), X476,
IF('Breeding Inputs'!$I$44="N",
IF(OR('Breeding Inputs'!$I$45=1, 'Breeding Inputs'!$I$45=3),
IF(ISNUMBER('Breeding Inputs'!$I$46),'Breeding Inputs'!$I$46,""),""),""))),""),"")</f>
        <v/>
      </c>
      <c r="Z476" s="17" t="str">
        <f>IF(OR('Breeding Inputs'!$I$17="Y",'Model_ of_individuals'!$C469&lt;&gt;""),
IF('Breeding Inputs'!$I$44="Y",
IF(OR('Breeding Inputs'!$I$45=1, 'Breeding Inputs'!$I$45=2, 'Breeding Inputs'!$I$45=4), 25%,
IF(ISNUMBER(Y476), Y476,
IF('Breeding Inputs'!$I$44="N",
IF(OR('Breeding Inputs'!$I$45=1, 'Breeding Inputs'!$I$45=2, 'Breeding Inputs'!$I$45=4),
IF(ISNUMBER('Breeding Inputs'!$I$46),'Breeding Inputs'!$I$46,""),""),""))),""),"")</f>
        <v/>
      </c>
      <c r="AA476" s="17" t="str">
        <f>IF(OR('Breeding Inputs'!$I$17="Y",'Model_ of_individuals'!$C469&lt;&gt;""),
IF('Breeding Inputs'!$I$44="Y",
IF(OR('Breeding Inputs'!$I$45=1, 'Breeding Inputs'!$I$45=5), 25%,
IF(ISNUMBER(Z476), Z476,
IF('Breeding Inputs'!$I$44="N",
IF(OR('Breeding Inputs'!$I$45=1, 'Breeding Inputs'!$I$45=5),
IF(ISNUMBER('Breeding Inputs'!$I$46),'Breeding Inputs'!$I$46,""),""),""))),""),"")</f>
        <v/>
      </c>
      <c r="AB476" s="17" t="str">
        <f>IF(OR('Breeding Inputs'!$I$17="Y",'Model_ of_individuals'!$C469&lt;&gt;""),
IF('Breeding Inputs'!$I$44="Y",
IF(OR('Breeding Inputs'!$I$45=1, 'Breeding Inputs'!$I$45=2, 'Breeding Inputs'!$I$45=3, 'Breeding Inputs'!$I$45=6), 25%,
IF(ISNUMBER(AA476), AA476,
IF('Breeding Inputs'!$I$44="N",
IF(OR('Breeding Inputs'!$I$45=1, 'Breeding Inputs'!$I$45=2, 'Breeding Inputs'!$I$45=3, 'Breeding Inputs'!$I$45=6),
IF(ISNUMBER('Breeding Inputs'!$I$46),'Breeding Inputs'!$I$46,""),""),""))),""),"")</f>
        <v/>
      </c>
      <c r="AC476" s="17" t="str">
        <f>IF(OR('Breeding Inputs'!$I$17="Y",'Model_ of_individuals'!$C469&lt;&gt;""),
IF('Breeding Inputs'!$I$44="Y",
IF(OR('Breeding Inputs'!$I$45=1, 'Breeding Inputs'!$I$45=7), 25%,
IF(ISNUMBER(AB476), AB476,
IF('Breeding Inputs'!$I$44="N",
IF(OR('Breeding Inputs'!$I$45=1, 'Breeding Inputs'!$I$45=7),
IF(ISNUMBER('Breeding Inputs'!$I$46),'Breeding Inputs'!$I$46,""),""),""))),""),"")</f>
        <v/>
      </c>
      <c r="AD476" s="17" t="str">
        <f>IF(OR('Breeding Inputs'!$I$17="Y",'Model_ of_individuals'!$C469&lt;&gt;""),
IF('Breeding Inputs'!$I$44="Y",
IF(OR('Breeding Inputs'!$I$45=1, 'Breeding Inputs'!$I$45=2, 'Breeding Inputs'!$I$45=4, 'Breeding Inputs'!$I$45=8), 25%,
IF(ISNUMBER(AC476), AC476,
IF('Breeding Inputs'!$I$44="N",
IF(OR('Breeding Inputs'!$I$45=1, 'Breeding Inputs'!$I$45=2, 'Breeding Inputs'!$I$45=4, 'Breeding Inputs'!$I$45=8),
IF(ISNUMBER('Breeding Inputs'!$I$46),'Breeding Inputs'!$I$46,""),""),""))),""),"")</f>
        <v/>
      </c>
      <c r="AE476" s="17" t="str">
        <f>IF(OR('Breeding Inputs'!$I$17="Y",'Model_ of_individuals'!$C469&lt;&gt;""),
IF('Breeding Inputs'!$I$44="Y",
IF(OR('Breeding Inputs'!$I$45=1, 'Breeding Inputs'!$I$45=3, 'Breeding Inputs'!$I$45=9), 25%,
IF(ISNUMBER(AD476), AD476,
IF('Breeding Inputs'!$I$44="N",
IF(OR('Breeding Inputs'!$I$45=1, 'Breeding Inputs'!$I$45=3, 'Breeding Inputs'!$I$45=9),
IF(ISNUMBER('Breeding Inputs'!$I$46),'Breeding Inputs'!$I$46,""),""),""))),""),"")</f>
        <v/>
      </c>
      <c r="AF476" s="17" t="str">
        <f>IF(OR('Breeding Inputs'!$I$17="Y",'Model_ of_individuals'!$C469&lt;&gt;""),
IF('Breeding Inputs'!$I$44="Y",
IF(OR('Breeding Inputs'!$I$45=1, 'Breeding Inputs'!$I$45=3, 'Breeding Inputs'!$I$45=9), 25%,
IF(ISNUMBER(AE476), AE476,
IF('Breeding Inputs'!$I$44="N",
IF(OR('Breeding Inputs'!$I$45=1, 'Breeding Inputs'!$I$45=3, 'Breeding Inputs'!$I$45=9),
IF(ISNUMBER('Breeding Inputs'!$I$46),'Breeding Inputs'!$I$46,""),""),""))),""),"")</f>
        <v/>
      </c>
      <c r="AG476" s="17" t="str">
        <f>IF(OR('Breeding Inputs'!$I$17="Y",'Model_ of_individuals'!$C469&lt;&gt;""),
IF('Breeding Inputs'!$I$44="Y",
IF(OR('Breeding Inputs'!$I$45=1, 'Breeding Inputs'!$I$45=3, 'Breeding Inputs'!$I$45=9), 25%,
IF(ISNUMBER(AF476), AF476,
IF('Breeding Inputs'!$I$44="N",
IF(OR('Breeding Inputs'!$I$45=1, 'Breeding Inputs'!$I$45=3, 'Breeding Inputs'!$I$45=9),
IF(ISNUMBER('Breeding Inputs'!$I$46),'Breeding Inputs'!$I$46,""),""),""))),""),"")</f>
        <v/>
      </c>
      <c r="AH476" s="17" t="str">
        <f>IF(OR('Breeding Inputs'!$I$17="Y",'Model_ of_individuals'!$C469&lt;&gt;""),
IF('Breeding Inputs'!$I$44="Y",
IF(OR('Breeding Inputs'!$I$45=1, 'Breeding Inputs'!$I$45=3, 'Breeding Inputs'!$I$45=9), 25%,
IF(ISNUMBER(AG476), AG476,
IF('Breeding Inputs'!$I$44="N",
IF(OR('Breeding Inputs'!$I$45=1, 'Breeding Inputs'!$I$45=3, 'Breeding Inputs'!$I$45=9),
IF(ISNUMBER('Breeding Inputs'!$I$46),'Breeding Inputs'!$I$46,""),""),""))),""),"")</f>
        <v/>
      </c>
      <c r="AI476" s="17" t="str">
        <f>IF(OR('Breeding Inputs'!$I$17="Y",'Model_ of_individuals'!$C469&lt;&gt;""),
IF('Breeding Inputs'!$I$44="Y",
IF(OR('Breeding Inputs'!$I$45=1, 'Breeding Inputs'!$I$45=3, 'Breeding Inputs'!$I$45=9), 25%,
IF(ISNUMBER(AH476), AH476,
IF('Breeding Inputs'!$I$44="N",
IF(OR('Breeding Inputs'!$I$45=1, 'Breeding Inputs'!$I$45=3, 'Breeding Inputs'!$I$45=9),
IF(ISNUMBER('Breeding Inputs'!$I$46),'Breeding Inputs'!$I$46,""),""),""))),""),"")</f>
        <v/>
      </c>
      <c r="AJ476" s="17" t="str">
        <f>IF(OR('Breeding Inputs'!$I$17="Y",'Model_ of_individuals'!$C469&lt;&gt;""),
IF('Breeding Inputs'!$I$44="Y",
IF(OR('Breeding Inputs'!$I$45=1, 'Breeding Inputs'!$I$45=3, 'Breeding Inputs'!$I$45=9), 25%,
IF(ISNUMBER(AI476), AI476,
IF('Breeding Inputs'!$I$44="N",
IF(OR('Breeding Inputs'!$I$45=1, 'Breeding Inputs'!$I$45=3, 'Breeding Inputs'!$I$45=9),
IF(ISNUMBER('Breeding Inputs'!$I$46),'Breeding Inputs'!$I$46,""),""),""))),""),"")</f>
        <v/>
      </c>
      <c r="AK476" s="17" t="str">
        <f>IF(OR('Breeding Inputs'!$I$17="Y",'Model_ of_individuals'!$C469&lt;&gt;""),
IF('Breeding Inputs'!$I$44="Y",
IF(OR('Breeding Inputs'!$I$45=1, 'Breeding Inputs'!$I$45=3, 'Breeding Inputs'!$I$45=9), 25%,
IF(ISNUMBER(AJ476), AJ476,
IF('Breeding Inputs'!$I$44="N",
IF(OR('Breeding Inputs'!$I$45=1, 'Breeding Inputs'!$I$45=3, 'Breeding Inputs'!$I$45=9),
IF(ISNUMBER('Breeding Inputs'!$I$46),'Breeding Inputs'!$I$46,""),""),""))),""),"")</f>
        <v/>
      </c>
      <c r="AL476" s="17" t="str">
        <f>IF(OR('Breeding Inputs'!$I$17="Y",'Model_ of_individuals'!$C469&lt;&gt;""),
IF('Breeding Inputs'!$I$44="Y",
IF(OR('Breeding Inputs'!$I$45=1, 'Breeding Inputs'!$I$45=3, 'Breeding Inputs'!$I$45=9), 25%,
IF(ISNUMBER(AK476), AK476,
IF('Breeding Inputs'!$I$44="N",
IF(OR('Breeding Inputs'!$I$45=1, 'Breeding Inputs'!$I$45=3, 'Breeding Inputs'!$I$45=9),
IF(ISNUMBER('Breeding Inputs'!$I$46),'Breeding Inputs'!$I$46,""),""),""))),""),"")</f>
        <v/>
      </c>
      <c r="AM476" s="17" t="str">
        <f>IF(OR('Breeding Inputs'!$I$17="Y",'Model_ of_individuals'!$C469&lt;&gt;""),
IF('Breeding Inputs'!$I$44="Y",
IF(OR('Breeding Inputs'!$I$45=1, 'Breeding Inputs'!$I$45=3, 'Breeding Inputs'!$I$45=9), 25%,
IF(ISNUMBER(AL476), AL476,
IF('Breeding Inputs'!$I$44="N",
IF(OR('Breeding Inputs'!$I$45=1, 'Breeding Inputs'!$I$45=3, 'Breeding Inputs'!$I$45=9),
IF(ISNUMBER('Breeding Inputs'!$I$46),'Breeding Inputs'!$I$46,""),""),""))),""),"")</f>
        <v/>
      </c>
      <c r="AN476" s="17" t="str">
        <f>IF(OR('Breeding Inputs'!$I$17="Y",'Model_ of_individuals'!$C469&lt;&gt;""),
IF('Breeding Inputs'!$I$44="Y",
IF(OR('Breeding Inputs'!$I$45=1, 'Breeding Inputs'!$I$45=3, 'Breeding Inputs'!$I$45=9), 25%,
IF(ISNUMBER(AM476), AM476,
IF('Breeding Inputs'!$I$44="N",
IF(OR('Breeding Inputs'!$I$45=1, 'Breeding Inputs'!$I$45=3, 'Breeding Inputs'!$I$45=9),
IF(ISNUMBER('Breeding Inputs'!$I$46),'Breeding Inputs'!$I$46,""),""),""))),""),"")</f>
        <v/>
      </c>
      <c r="AO476" s="17" t="str">
        <f>IF(OR('Breeding Inputs'!$I$17="Y",'Model_ of_individuals'!$C469&lt;&gt;""),
IF('Breeding Inputs'!$I$44="Y",
IF(OR('Breeding Inputs'!$I$45=1, 'Breeding Inputs'!$I$45=3, 'Breeding Inputs'!$I$45=9), 25%,
IF(ISNUMBER(AN476), AN476,
IF('Breeding Inputs'!$I$44="N",
IF(OR('Breeding Inputs'!$I$45=1, 'Breeding Inputs'!$I$45=3, 'Breeding Inputs'!$I$45=9),
IF(ISNUMBER('Breeding Inputs'!$I$46),'Breeding Inputs'!$I$46,""),""),""))),""),"")</f>
        <v/>
      </c>
      <c r="AP476" s="17" t="str">
        <f>IF(OR('Breeding Inputs'!$I$17="Y",'Model_ of_individuals'!$C469&lt;&gt;""),
IF('Breeding Inputs'!$I$44="Y",
IF(OR('Breeding Inputs'!$I$45=1, 'Breeding Inputs'!$I$45=3, 'Breeding Inputs'!$I$45=9), 25%,
IF(ISNUMBER(AO476), AO476,
IF('Breeding Inputs'!$I$44="N",
IF(OR('Breeding Inputs'!$I$45=1, 'Breeding Inputs'!$I$45=3, 'Breeding Inputs'!$I$45=9),
IF(ISNUMBER('Breeding Inputs'!$I$46),'Breeding Inputs'!$I$46,""),""),""))),""),"")</f>
        <v/>
      </c>
      <c r="AQ476" s="17" t="str">
        <f>IF(OR('Breeding Inputs'!$I$17="Y",'Model_ of_individuals'!$C469&lt;&gt;""),
IF('Breeding Inputs'!$I$44="Y",
IF(OR('Breeding Inputs'!$I$45=1, 'Breeding Inputs'!$I$45=3, 'Breeding Inputs'!$I$45=9), 25%,
IF(ISNUMBER(AP476), AP476,
IF('Breeding Inputs'!$I$44="N",
IF(OR('Breeding Inputs'!$I$45=1, 'Breeding Inputs'!$I$45=3, 'Breeding Inputs'!$I$45=9),
IF(ISNUMBER('Breeding Inputs'!$I$46),'Breeding Inputs'!$I$46,""),""),""))),""),"")</f>
        <v/>
      </c>
      <c r="AR476" s="17" t="str">
        <f>IF(OR('Breeding Inputs'!$I$17="Y",'Model_ of_individuals'!$C469&lt;&gt;""),
IF('Breeding Inputs'!$I$44="Y",
IF(OR('Breeding Inputs'!$I$45=1, 'Breeding Inputs'!$I$45=3, 'Breeding Inputs'!$I$45=9), 25%,
IF(ISNUMBER(AQ476), AQ476,
IF('Breeding Inputs'!$I$44="N",
IF(OR('Breeding Inputs'!$I$45=1, 'Breeding Inputs'!$I$45=3, 'Breeding Inputs'!$I$45=9),
IF(ISNUMBER('Breeding Inputs'!$I$46),'Breeding Inputs'!$I$46,""),""),""))),""),"")</f>
        <v/>
      </c>
      <c r="AS476" s="17" t="str">
        <f>IF(OR('Breeding Inputs'!$I$17="Y",'Model_ of_individuals'!$C469&lt;&gt;""),
IF('Breeding Inputs'!$I$44="Y",
IF(OR('Breeding Inputs'!$I$45=1, 'Breeding Inputs'!$I$45=3, 'Breeding Inputs'!$I$45=9), 25%,
IF(ISNUMBER(AR476), AR476,
IF('Breeding Inputs'!$I$44="N",
IF(OR('Breeding Inputs'!$I$45=1, 'Breeding Inputs'!$I$45=3, 'Breeding Inputs'!$I$45=9),
IF(ISNUMBER('Breeding Inputs'!$I$46),'Breeding Inputs'!$I$46,""),""),""))),""),"")</f>
        <v/>
      </c>
      <c r="AT476" s="17" t="str">
        <f>IF(OR('Breeding Inputs'!$I$17="Y",'Model_ of_individuals'!$C469&lt;&gt;""),
IF('Breeding Inputs'!$I$44="Y",
IF(OR('Breeding Inputs'!$I$45=1, 'Breeding Inputs'!$I$45=3, 'Breeding Inputs'!$I$45=9), 25%,
IF(ISNUMBER(AS476), AS476,
IF('Breeding Inputs'!$I$44="N",
IF(OR('Breeding Inputs'!$I$45=1, 'Breeding Inputs'!$I$45=3, 'Breeding Inputs'!$I$45=9),
IF(ISNUMBER('Breeding Inputs'!$I$46),'Breeding Inputs'!$I$46,""),""),""))),""),"")</f>
        <v/>
      </c>
      <c r="AU476" s="17" t="str">
        <f>IF(OR('Breeding Inputs'!$I$17="Y",'Model_ of_individuals'!$C469&lt;&gt;""),
IF('Breeding Inputs'!$I$44="Y",
IF(OR('Breeding Inputs'!$I$45=1, 'Breeding Inputs'!$I$45=3, 'Breeding Inputs'!$I$45=9), 25%,
IF(ISNUMBER(AT476), AT476,
IF('Breeding Inputs'!$I$44="N",
IF(OR('Breeding Inputs'!$I$45=1, 'Breeding Inputs'!$I$45=3, 'Breeding Inputs'!$I$45=9),
IF(ISNUMBER('Breeding Inputs'!$I$46),'Breeding Inputs'!$I$46,""),""),""))),""),"")</f>
        <v/>
      </c>
      <c r="AV476" s="17" t="str">
        <f>IF(OR('Breeding Inputs'!$I$17="Y",'Model_ of_individuals'!$C469&lt;&gt;""),
IF('Breeding Inputs'!$I$44="Y",
IF(OR('Breeding Inputs'!$I$45=1, 'Breeding Inputs'!$I$45=3, 'Breeding Inputs'!$I$45=9), 25%,
IF(ISNUMBER(AU476), AU476,
IF('Breeding Inputs'!$I$44="N",
IF(OR('Breeding Inputs'!$I$45=1, 'Breeding Inputs'!$I$45=3, 'Breeding Inputs'!$I$45=9),
IF(ISNUMBER('Breeding Inputs'!$I$46),'Breeding Inputs'!$I$46,""),""),""))),""),"")</f>
        <v/>
      </c>
      <c r="AW476" s="17" t="str">
        <f>IF(OR('Breeding Inputs'!$I$17="Y",'Model_ of_individuals'!$C469&lt;&gt;""),
IF('Breeding Inputs'!$I$44="Y",
IF(OR('Breeding Inputs'!$I$45=1, 'Breeding Inputs'!$I$45=3, 'Breeding Inputs'!$I$45=9), 25%,
IF(ISNUMBER(AV476), AV476,
IF('Breeding Inputs'!$I$44="N",
IF(OR('Breeding Inputs'!$I$45=1, 'Breeding Inputs'!$I$45=3, 'Breeding Inputs'!$I$45=9),
IF(ISNUMBER('Breeding Inputs'!$I$46),'Breeding Inputs'!$I$46,""),""),""))),""),"")</f>
        <v/>
      </c>
    </row>
    <row r="477" spans="1:49" x14ac:dyDescent="0.25">
      <c r="A477" s="518"/>
      <c r="B477" s="504"/>
      <c r="C477" s="521" t="str">
        <f>IF(AND(B465&lt;&gt;"", ISNUMBER(B465), ISNUMBER(Stage2EvaluationBegins)), IF((INDEX(ProgramYearStage2,MATCH(Stage2EvaluationBegins,Years_in_Stage2,0)))=B465, _4_5_0, IF(AND(B465&lt;&gt;"", C453&lt;&gt;""), _4_5_0, IF(AND(B465&lt;&gt;"", ISNUMBER(B465), OR(Stage2EvaluationBegins=0, Stage2EvaluationBegins="")),"", ""))),"")</f>
        <v/>
      </c>
      <c r="D477" s="94" t="str">
        <f>IF(AND(C477&lt;&gt;"", 'Cost Inputs'!$G$116&lt;&gt;""), 'Cost Inputs'!$G$116, "")</f>
        <v/>
      </c>
      <c r="E477" s="94" t="str">
        <f>IF(AND(C477&lt;&gt;"", 'Cost Inputs'!$H$116&lt;&gt;""), 'Cost Inputs'!$H$116, "")</f>
        <v/>
      </c>
      <c r="F477" s="492" t="str">
        <f>IF(AND(C477&lt;&gt;"", 'Cost Inputs'!$I$116&lt;&gt;""), 'Cost Inputs'!$I$116, "")</f>
        <v/>
      </c>
      <c r="G477" s="102" t="str">
        <f t="shared" si="152"/>
        <v/>
      </c>
      <c r="H477" s="492" t="str">
        <f>IF(AND(C477&lt;&gt;"", 'Cost Inputs'!$J$116&lt;&gt;""), 'Cost Inputs'!$J$116, "")</f>
        <v/>
      </c>
      <c r="I477" s="102" t="str">
        <f>IF($C477&lt;&gt;"",IF(AND($E477&lt;&gt;"",H477&lt;&gt;""), H477/$E477, 0),"")</f>
        <v/>
      </c>
      <c r="J477" s="492" t="str">
        <f>IF(AND(C477&lt;&gt;"",('Cost Inputs'!$I$116+'Cost Inputs'!$J$116+'Cost Inputs'!$K$116)&gt;0), 'Cost Inputs'!$I$116+'Cost Inputs'!$J$116+'Cost Inputs'!$K$116, "")</f>
        <v/>
      </c>
      <c r="K477" s="102" t="str">
        <f>IF($C477&lt;&gt;"",IF(AND($E477&lt;&gt;"",J477&lt;&gt;""), J477/$E477, 0),"")</f>
        <v/>
      </c>
      <c r="L477" s="525"/>
      <c r="M477" s="525"/>
      <c r="V477" s="496" t="str">
        <f t="shared" ref="V477:V484" si="305">IF(ISNUMBER($B$465),
IF($C477&lt;&gt;"",
IF(AND(ISNUMBER(U$464), U$464&gt;0),
IF(AND(V$279=123, Cultivar_1_Cohort_Year_Selection=$O$278,Cultivar_2_Cohort_Year_Selection=$O$278,Cultivar_3_Cohort_Year_Selection=$O$278), ROUND(MAX(0,U$464 - 3),0),
IF(AND(OR(V$279=123, V$279=12), Cultivar_1_Cohort_Year_Selection=$O$278,Cultivar_2_Cohort_Year_Selection=$O$278), ROUND(MAX(0,U$464 - 2),0),
IF(AND(OR(V$279=123, V$279=13), Cultivar_1_Cohort_Year_Selection=$O$278,Cultivar_3_Cohort_Year_Selection=$O$278), ROUND(MAX(0,U$464 - 2),0),
IF(AND(OR(V$279=123, V$279=23), Cultivar_2_Cohort_Year_Selection=$O$278,Cultivar_3_Cohort_Year_Selection=$O$278), ROUND(MAX(0,U$464 - 2),0),
IF(AND(OR(V$279=123, V$279=12, V$279=13, V$279=1), Cultivar_1_Cohort_Year_Selection=$O$278), ROUND(MAX(0,U$464 - 1),0),
IF(AND(OR(V$279=123, V$279=12, V$279=23, V$279=2), Cultivar_2_Cohort_Year_Selection=$O$278), ROUND(MAX(0,U$464 - 1),0),
IF(AND(OR(V$279=123, V$279=13, V$279=23, V$279=3), Cultivar_3_Cohort_Year_Selection=$O$278), ROUND(MAX(0,U$464 - 1),0),
ROUND(MAX(0,U$464),0)))))))),""),""),"")</f>
        <v/>
      </c>
      <c r="W477" s="496" t="str">
        <f t="shared" ref="W477:W484" si="306">IF(ISNUMBER($B$465),
IF($C477&lt;&gt;"",
IF(AND(ISNUMBER(V$464), V$464&gt;0),
IF(AND(W$279=123, Cultivar_1_Cohort_Year_Selection=$P$278,Cultivar_2_Cohort_Year_Selection=$P$278,Cultivar_3_Cohort_Year_Selection=$P$278), ROUND(MAX(0,V$464 - 3),0),
IF(AND(OR(W$279=123, W$279=12), Cultivar_1_Cohort_Year_Selection=$P$278,Cultivar_2_Cohort_Year_Selection=$P$278), ROUND(MAX(0,V$464 - 2),0),
IF(AND(OR(W$279=123, W$279=13), Cultivar_1_Cohort_Year_Selection=$P$278,Cultivar_3_Cohort_Year_Selection=$P$278), ROUND(MAX(0,V$464 - 2),0),
IF(AND(OR(W$279=123, W$279=23), Cultivar_2_Cohort_Year_Selection=$P$278,Cultivar_3_Cohort_Year_Selection=$P$278), ROUND(MAX(0,V$464 - 2),0),
IF(AND(OR(W$279=123, W$279=12, W$279=13, W$279=1), Cultivar_1_Cohort_Year_Selection=$P$278), ROUND(MAX(0,V$464 - 1),0),
IF(AND(OR(W$279=123, W$279=12, W$279=23, W$279=2), Cultivar_2_Cohort_Year_Selection=$P$278), ROUND(MAX(0,V$464 - 1),0),
IF(AND(OR(W$279=123, W$279=13, W$279=23, W$279=3), Cultivar_3_Cohort_Year_Selection=$P$278), ROUND(MAX(0,V$464 - 1),0),
ROUND(MAX(0,V$464),0)))))))),""),""),"")</f>
        <v/>
      </c>
      <c r="X477" s="496" t="str">
        <f t="shared" ref="X477:X484" si="307">IF(ISNUMBER($B$465),
IF($C477&lt;&gt;"",
IF(AND(ISNUMBER(W$464), W$464&gt;0),
IF(AND(X$279=123, Cultivar_1_Cohort_Year_Selection=$Q$278,Cultivar_2_Cohort_Year_Selection=$Q$278,Cultivar_3_Cohort_Year_Selection=$Q$278), ROUND(MAX(0,W$464 - 3),0),
IF(AND(OR(X$279=123, X$279=12), Cultivar_1_Cohort_Year_Selection=$Q$278,Cultivar_2_Cohort_Year_Selection=$Q$278), ROUND(MAX(0,W$464 - 2),0),
IF(AND(OR(X$279=123, X$279=13), Cultivar_1_Cohort_Year_Selection=$Q$278,Cultivar_3_Cohort_Year_Selection=$Q$278), ROUND(MAX(0,W$464 - 2),0),
IF(AND(OR(X$279=123, X$279=23), Cultivar_2_Cohort_Year_Selection=$Q$278,Cultivar_3_Cohort_Year_Selection=$Q$278), ROUND(MAX(0,W$464 - 2),0),
IF(AND(OR(X$279=123, X$279=12, X$279=13, X$279=1), Cultivar_1_Cohort_Year_Selection=$Q$278), ROUND(MAX(0,W$464 - 1),0),
IF(AND(OR(X$279=123, X$279=12, X$279=23, X$279=2), Cultivar_2_Cohort_Year_Selection=$Q$278), ROUND(MAX(0,W$464 - 1),0),
IF(AND(OR(X$279=123, X$279=13, X$279=23, X$279=3), Cultivar_3_Cohort_Year_Selection=$Q$278), ROUND(MAX(0,W$464 - 1),0),
ROUND(MAX(0,W$464),0)))))))),""),""),"")</f>
        <v/>
      </c>
      <c r="Y477" s="496" t="str">
        <f t="shared" ref="Y477:Y484" si="308">IF(ISNUMBER($B$465),
IF($C477&lt;&gt;"",
IF(AND(ISNUMBER(X$464), X$464&gt;0),
IF(AND(Y$279=123, Cultivar_1_Cohort_Year_Selection=$R$278,Cultivar_2_Cohort_Year_Selection=$R$278,Cultivar_3_Cohort_Year_Selection=$R$278), ROUND(MAX(0,X$464 - 3),0),
IF(AND(OR(Y$279=123, Y$279=12), Cultivar_1_Cohort_Year_Selection=$R$278,Cultivar_2_Cohort_Year_Selection=$R$278), ROUND(MAX(0,X$464 - 2),0),
IF(AND(OR(Y$279=123, Y$279=13), Cultivar_1_Cohort_Year_Selection=$R$278,Cultivar_3_Cohort_Year_Selection=$R$278), ROUND(MAX(0,X$464 - 2),0),
IF(AND(OR(Y$279=123, Y$279=23), Cultivar_2_Cohort_Year_Selection=$R$278,Cultivar_3_Cohort_Year_Selection=$R$278), ROUND(MAX(0,X$464 - 2),0),
IF(AND(OR(Y$279=123, Y$279=12, Y$279=13, Y$279=1), Cultivar_1_Cohort_Year_Selection=$R$278), ROUND(MAX(0,X$464 - 1),0),
IF(AND(OR(Y$279=123, Y$279=12, Y$279=23, Y$279=2), Cultivar_2_Cohort_Year_Selection=$R$278), ROUND(MAX(0,X$464 - 1),0),
IF(AND(OR(Y$279=123, Y$279=13, Y$279=23, Y$279=3), Cultivar_3_Cohort_Year_Selection=$R$278), ROUND(MAX(0,X$464 - 1),0),
ROUND(MAX(0,X$464),0)))))))),""),""),"")</f>
        <v/>
      </c>
      <c r="Z477" s="496" t="str">
        <f t="shared" ref="Z477:Z484" si="309">IF(ISNUMBER($B$465),
IF($C477&lt;&gt;"",
IF(AND(ISNUMBER(Y$464), Y$464&gt;0),
IF(AND(Z$279=123, Cultivar_1_Cohort_Year_Selection=$S$278,Cultivar_2_Cohort_Year_Selection=$S$278,Cultivar_3_Cohort_Year_Selection=$S$278), ROUND(MAX(0,Y$464 - 3),0),
IF(AND(OR(Z$279=123, Z$279=12), Cultivar_1_Cohort_Year_Selection=$S$278,Cultivar_2_Cohort_Year_Selection=$S$278), ROUND(MAX(0,Y$464 - 2),0),
IF(AND(OR(Z$279=123, Z$279=13), Cultivar_1_Cohort_Year_Selection=$S$278,Cultivar_3_Cohort_Year_Selection=$S$278), ROUND(MAX(0,Y$464 - 2),0),
IF(AND(OR(Z$279=123, Z$279=23), Cultivar_2_Cohort_Year_Selection=$S$278,Cultivar_3_Cohort_Year_Selection=$S$278), ROUND(MAX(0,Y$464 - 2),0),
IF(AND(OR(Z$279=123, Z$279=12, Z$279=13, Z$279=1), Cultivar_1_Cohort_Year_Selection=$S$278), ROUND(MAX(0,Y$464 - 1),0),
IF(AND(OR(Z$279=123, Z$279=12, Z$279=23, Z$279=2), Cultivar_2_Cohort_Year_Selection=$S$278), ROUND(MAX(0,Y$464 - 1),0),
IF(AND(OR(Z$279=123, Z$279=13, Z$279=23, Z$279=3), Cultivar_3_Cohort_Year_Selection=$S$278), ROUND(MAX(0,Y$464 - 1),0),
ROUND(MAX(0,Y$464),0)))))))),""),""),"")</f>
        <v/>
      </c>
      <c r="AA477" s="496" t="str">
        <f t="shared" ref="AA477:AA484" si="310">IF(ISNUMBER($B$465),
IF($C477&lt;&gt;"",
IF(AND(ISNUMBER(Z$464), Z$464&gt;0),
IF(AND(AA$279=123, Cultivar_1_Cohort_Year_Selection=$T$278,Cultivar_2_Cohort_Year_Selection=$T$278,Cultivar_3_Cohort_Year_Selection=$T$278), ROUND(MAX(0,Z$464 - 3),0),
IF(AND(OR(AA$279=123, AA$279=12), Cultivar_1_Cohort_Year_Selection=$T$278,Cultivar_2_Cohort_Year_Selection=$T$278), ROUND(MAX(0,Z$464 - 2),0),
IF(AND(OR(AA$279=123, AA$279=13), Cultivar_1_Cohort_Year_Selection=$T$278,Cultivar_3_Cohort_Year_Selection=$T$278), ROUND(MAX(0,Z$464 - 2),0),
IF(AND(OR(AA$279=123, AA$279=23), Cultivar_2_Cohort_Year_Selection=$T$278,Cultivar_3_Cohort_Year_Selection=$T$278), ROUND(MAX(0,Z$464 - 2),0),
IF(AND(OR(AA$279=123, AA$279=12, AA$279=13, AA$279=1), Cultivar_1_Cohort_Year_Selection=$T$278), ROUND(MAX(0,Z$464 - 1),0),
IF(AND(OR(AA$279=123, AA$279=12, AA$279=23, AA$279=2), Cultivar_2_Cohort_Year_Selection=$T$278), ROUND(MAX(0,Z$464 - 1),0),
IF(AND(OR(AA$279=123, AA$279=13, AA$279=23, AA$279=3), Cultivar_3_Cohort_Year_Selection=$T$278), ROUND(MAX(0,Z$464 - 1),0),
ROUND(MAX(0,Z$464),0)))))))),""),""),"")</f>
        <v/>
      </c>
      <c r="AB477" s="496" t="str">
        <f t="shared" ref="AB477:AB484" si="311">IF(ISNUMBER($B$465),
IF($C477&lt;&gt;"",
IF(AND(ISNUMBER(AA$464), AA$464&gt;0),
IF(AND(AB$279=123, Cultivar_1_Cohort_Year_Selection=$U$278,Cultivar_2_Cohort_Year_Selection=$U$278,Cultivar_3_Cohort_Year_Selection=$U$278), ROUND(MAX(0,AA$464 - 3),0),
IF(AND(OR(AB$279=123, AB$279=12), Cultivar_1_Cohort_Year_Selection=$U$278,Cultivar_2_Cohort_Year_Selection=$U$278), ROUND(MAX(0,AA$464 - 2),0),
IF(AND(OR(AB$279=123, AB$279=13), Cultivar_1_Cohort_Year_Selection=$U$278,Cultivar_3_Cohort_Year_Selection=$U$278), ROUND(MAX(0,AA$464 - 2),0),
IF(AND(OR(AB$279=123, AB$279=23), Cultivar_2_Cohort_Year_Selection=$U$278,Cultivar_3_Cohort_Year_Selection=$U$278), ROUND(MAX(0,AA$464 - 2),0),
IF(AND(OR(AB$279=123, AB$279=12, AB$279=13, AB$279=1), Cultivar_1_Cohort_Year_Selection=$U$278), ROUND(MAX(0,AA$464 - 1),0),
IF(AND(OR(AB$279=123, AB$279=12, AB$279=23, AB$279=2), Cultivar_2_Cohort_Year_Selection=$U$278), ROUND(MAX(0,AA$464 - 1),0),
IF(AND(OR(AB$279=123, AB$279=13, AB$279=23, AB$279=3), Cultivar_3_Cohort_Year_Selection=$U$278), ROUND(MAX(0,AA$464 - 1),0),
ROUND(MAX(0,AA$464),0)))))))),""),""),"")</f>
        <v/>
      </c>
      <c r="AC477" s="496" t="str">
        <f t="shared" ref="AC477:AC484" si="312">IF(ISNUMBER($B$465),
IF($C477&lt;&gt;"",
IF(AND(ISNUMBER(AB$464), AB$464&gt;0),
IF(AND(AC$279=123, Cultivar_1_Cohort_Year_Selection=$V$278,Cultivar_2_Cohort_Year_Selection=$V$278,Cultivar_3_Cohort_Year_Selection=$V$278), ROUND(MAX(0,AB$464 - 3),0),
IF(AND(OR(AC$279=123, AC$279=12), Cultivar_1_Cohort_Year_Selection=$V$278,Cultivar_2_Cohort_Year_Selection=$V$278), ROUND(MAX(0,AB$464 - 2),0),
IF(AND(OR(AC$279=123, AC$279=13), Cultivar_1_Cohort_Year_Selection=$V$278,Cultivar_3_Cohort_Year_Selection=$V$278), ROUND(MAX(0,AB$464 - 2),0),
IF(AND(OR(AC$279=123, AC$279=23), Cultivar_2_Cohort_Year_Selection=$V$278,Cultivar_3_Cohort_Year_Selection=$V$278), ROUND(MAX(0,AB$464 - 2),0),
IF(AND(OR(AC$279=123, AC$279=12, AC$279=13, AC$279=1), Cultivar_1_Cohort_Year_Selection=$V$278), ROUND(MAX(0,AB$464 - 1),0),
IF(AND(OR(AC$279=123, AC$279=12, AC$279=23, AC$279=2), Cultivar_2_Cohort_Year_Selection=$V$278), ROUND(MAX(0,AB$464 - 1),0),
IF(AND(OR(AC$279=123, AC$279=13, AC$279=23, AC$279=3), Cultivar_3_Cohort_Year_Selection=$V$278), ROUND(MAX(0,AB$464 - 1),0),
ROUND(MAX(0,AB$464),0)))))))),""),""),"")</f>
        <v/>
      </c>
      <c r="AD477" s="496" t="str">
        <f t="shared" ref="AD477:AD484" si="313">IF(ISNUMBER($B$465),
IF($C477&lt;&gt;"",
IF(AND(ISNUMBER(AC$464), AC$464&gt;0),
IF(AND(AD$279=123, Cultivar_1_Cohort_Year_Selection=$W$278,Cultivar_2_Cohort_Year_Selection=$W$278,Cultivar_3_Cohort_Year_Selection=$W$278), ROUND(MAX(0,AC$464 - 3),0),
IF(AND(OR(AD$279=123, AD$279=12), Cultivar_1_Cohort_Year_Selection=$W$278,Cultivar_2_Cohort_Year_Selection=$W$278), ROUND(MAX(0,AC$464 - 2),0),
IF(AND(OR(AD$279=123, AD$279=13), Cultivar_1_Cohort_Year_Selection=$W$278,Cultivar_3_Cohort_Year_Selection=$W$278), ROUND(MAX(0,AC$464 - 2),0),
IF(AND(OR(AD$279=123, AD$279=23), Cultivar_2_Cohort_Year_Selection=$W$278,Cultivar_3_Cohort_Year_Selection=$W$278), ROUND(MAX(0,AC$464 - 2),0),
IF(AND(OR(AD$279=123, AD$279=12, AD$279=13, AD$279=1), Cultivar_1_Cohort_Year_Selection=$W$278), ROUND(MAX(0,AC$464 - 1),0),
IF(AND(OR(AD$279=123, AD$279=12, AD$279=23, AD$279=2), Cultivar_2_Cohort_Year_Selection=$W$278), ROUND(MAX(0,AC$464 - 1),0),
IF(AND(OR(AD$279=123, AD$279=13, AD$279=23, AD$279=3), Cultivar_3_Cohort_Year_Selection=$W$278), ROUND(MAX(0,AC$464 - 1),0),
ROUND(MAX(0,AC$464),0)))))))),""),""),"")</f>
        <v/>
      </c>
      <c r="AE477" s="496" t="str">
        <f t="shared" ref="AE477:AE484" si="314">IF(ISNUMBER($B$465),
IF($C477&lt;&gt;"",
IF(AND(ISNUMBER(AD$464), AD$464&gt;0),
IF(AND(AE$279=123, Cultivar_1_Cohort_Year_Selection=$X$278,Cultivar_2_Cohort_Year_Selection=$X$278,Cultivar_3_Cohort_Year_Selection=$X$278), ROUND(MAX(0,AD$464 - 3),0),
IF(AND(OR(AE$279=123, AE$279=12), Cultivar_1_Cohort_Year_Selection=$X$278,Cultivar_2_Cohort_Year_Selection=$X$278), ROUND(MAX(0,AD$464 - 2),0),
IF(AND(OR(AE$279=123, AE$279=13), Cultivar_1_Cohort_Year_Selection=$X$278,Cultivar_3_Cohort_Year_Selection=$X$278), ROUND(MAX(0,AD$464 - 2),0),
IF(AND(OR(AE$279=123, AE$279=23), Cultivar_2_Cohort_Year_Selection=$X$278,Cultivar_3_Cohort_Year_Selection=$X$278), ROUND(MAX(0,AD$464 - 2),0),
IF(AND(OR(AE$279=123, AE$279=12, AE$279=13, AE$279=1), Cultivar_1_Cohort_Year_Selection=$X$278), ROUND(MAX(0,AD$464 - 1),0),
IF(AND(OR(AE$279=123, AE$279=12, AE$279=23, AE$279=2), Cultivar_2_Cohort_Year_Selection=$X$278), ROUND(MAX(0,AD$464 - 1),0),
IF(AND(OR(AE$279=123, AE$279=13, AE$279=23, AE$279=3), Cultivar_3_Cohort_Year_Selection=$X$278), ROUND(MAX(0,AD$464 - 1),0),
ROUND(MAX(0,AD$464),0)))))))),""),""),"")</f>
        <v/>
      </c>
      <c r="AF477" s="496" t="str">
        <f t="shared" ref="AF477:AF484" si="315">IF(ISNUMBER($B$465),
IF($C477&lt;&gt;"",
IF(AND(ISNUMBER(AE$464), AE$464&gt;0),
IF(AND(AF$279=123, Cultivar_1_Cohort_Year_Selection=$Y$278,Cultivar_2_Cohort_Year_Selection=$Y$278,Cultivar_3_Cohort_Year_Selection=$Y$278), ROUND(MAX(0,AE$464 - 3),0),
IF(AND(OR(AF$279=123, AF$279=12), Cultivar_1_Cohort_Year_Selection=$Y$278,Cultivar_2_Cohort_Year_Selection=$Y$278), ROUND(MAX(0,AE$464 - 2),0),
IF(AND(OR(AF$279=123, AF$279=13), Cultivar_1_Cohort_Year_Selection=$Y$278,Cultivar_3_Cohort_Year_Selection=$Y$278), ROUND(MAX(0,AE$464 - 2),0),
IF(AND(OR(AF$279=123, AF$279=23), Cultivar_2_Cohort_Year_Selection=$Y$278,Cultivar_3_Cohort_Year_Selection=$Y$278), ROUND(MAX(0,AE$464 - 2),0),
IF(AND(OR(AF$279=123, AF$279=12, AF$279=13, AF$279=1), Cultivar_1_Cohort_Year_Selection=$Y$278), ROUND(MAX(0,AE$464 - 1),0),
IF(AND(OR(AF$279=123, AF$279=12, AF$279=23, AF$279=2), Cultivar_2_Cohort_Year_Selection=$Y$278), ROUND(MAX(0,AE$464 - 1),0),
IF(AND(OR(AF$279=123, AF$279=13, AF$279=23, AF$279=3), Cultivar_3_Cohort_Year_Selection=$Y$278), ROUND(MAX(0,AE$464 - 1),0),
ROUND(MAX(0,AE$464),0)))))))),""),""),"")</f>
        <v/>
      </c>
      <c r="AG477" s="496" t="str">
        <f t="shared" ref="AG477:AG484" si="316">IF(ISNUMBER($B$465),
IF($C477&lt;&gt;"",
IF(AND(ISNUMBER(AF$464), AF$464&gt;0),
IF(AND(AG$279=123, Cultivar_1_Cohort_Year_Selection=$Z$278,Cultivar_2_Cohort_Year_Selection=$Z$278,Cultivar_3_Cohort_Year_Selection=$Z$278), ROUND(MAX(0,AF$464 - 3),0),
IF(AND(OR(AG$279=123, AG$279=12), Cultivar_1_Cohort_Year_Selection=$Z$278,Cultivar_2_Cohort_Year_Selection=$Z$278), ROUND(MAX(0,AF$464 - 2),0),
IF(AND(OR(AG$279=123, AG$279=13), Cultivar_1_Cohort_Year_Selection=$Z$278,Cultivar_3_Cohort_Year_Selection=$Z$278), ROUND(MAX(0,AF$464 - 2),0),
IF(AND(OR(AG$279=123, AG$279=23), Cultivar_2_Cohort_Year_Selection=$Z$278,Cultivar_3_Cohort_Year_Selection=$Z$278), ROUND(MAX(0,AF$464 - 2),0),
IF(AND(OR(AG$279=123, AG$279=12, AG$279=13, AG$279=1), Cultivar_1_Cohort_Year_Selection=$Z$278), ROUND(MAX(0,AF$464 - 1),0),
IF(AND(OR(AG$279=123, AG$279=12, AG$279=23, AG$279=2), Cultivar_2_Cohort_Year_Selection=$Z$278), ROUND(MAX(0,AF$464 - 1),0),
IF(AND(OR(AG$279=123, AG$279=13, AG$279=23, AG$279=3), Cultivar_3_Cohort_Year_Selection=$Z$278), ROUND(MAX(0,AF$464 - 1),0),
ROUND(MAX(0,AF$464),0)))))))),""),""),"")</f>
        <v/>
      </c>
      <c r="AH477" s="496" t="str">
        <f t="shared" ref="AH477:AH484" si="317">IF(ISNUMBER($B$465),
IF($C477&lt;&gt;"",
IF(AND(ISNUMBER(AG$464), AG$464&gt;0),
IF(AND(AH$279=123, Cultivar_1_Cohort_Year_Selection=$AA$278,Cultivar_2_Cohort_Year_Selection=$AA$278,Cultivar_3_Cohort_Year_Selection=$AA$278), ROUND(MAX(0,AG$464 - 3),0),
IF(AND(OR(AH$279=123, AH$279=12), Cultivar_1_Cohort_Year_Selection=$AA$278,Cultivar_2_Cohort_Year_Selection=$AA$278), ROUND(MAX(0,AG$464 - 2),0),
IF(AND(OR(AH$279=123, AH$279=13), Cultivar_1_Cohort_Year_Selection=$AA$278,Cultivar_3_Cohort_Year_Selection=$AA$278), ROUND(MAX(0,AG$464 - 2),0),
IF(AND(OR(AH$279=123, AH$279=23), Cultivar_2_Cohort_Year_Selection=$AA$278,Cultivar_3_Cohort_Year_Selection=$AA$278), ROUND(MAX(0,AG$464 - 2),0),
IF(AND(OR(AH$279=123, AH$279=12, AH$279=13, AH$279=1), Cultivar_1_Cohort_Year_Selection=$AA$278), ROUND(MAX(0,AG$464 - 1),0),
IF(AND(OR(AH$279=123, AH$279=12, AH$279=23, AH$279=2), Cultivar_2_Cohort_Year_Selection=$AA$278), ROUND(MAX(0,AG$464 - 1),0),
IF(AND(OR(AH$279=123, AH$279=13, AH$279=23, AH$279=3), Cultivar_3_Cohort_Year_Selection=$AA$278), ROUND(MAX(0,AG$464 - 1),0),
ROUND(MAX(0,AG$464),0)))))))),""),""),"")</f>
        <v/>
      </c>
      <c r="AI477" s="496" t="str">
        <f t="shared" ref="AI477:AI484" si="318">IF(ISNUMBER($B$465),
IF($C477&lt;&gt;"",
IF(AND(ISNUMBER(AH$464), AH$464&gt;0),
IF(AND(AI$279=123, Cultivar_1_Cohort_Year_Selection=$AB$278,Cultivar_2_Cohort_Year_Selection=$AB$278,Cultivar_3_Cohort_Year_Selection=$AB$278), ROUND(MAX(0,AH$464 - 3),0),
IF(AND(OR(AI$279=123, AI$279=12), Cultivar_1_Cohort_Year_Selection=$AB$278,Cultivar_2_Cohort_Year_Selection=$AB$278), ROUND(MAX(0,AH$464 - 2),0),
IF(AND(OR(AI$279=123, AI$279=13), Cultivar_1_Cohort_Year_Selection=$AB$278,Cultivar_3_Cohort_Year_Selection=$AB$278), ROUND(MAX(0,AH$464 - 2),0),
IF(AND(OR(AI$279=123, AI$279=23), Cultivar_2_Cohort_Year_Selection=$AB$278,Cultivar_3_Cohort_Year_Selection=$AB$278), ROUND(MAX(0,AH$464 - 2),0),
IF(AND(OR(AI$279=123, AI$279=12, AI$279=13, AI$279=1), Cultivar_1_Cohort_Year_Selection=$AB$278), ROUND(MAX(0,AH$464 - 1),0),
IF(AND(OR(AI$279=123, AI$279=12, AI$279=23, AI$279=2), Cultivar_2_Cohort_Year_Selection=$AB$278), ROUND(MAX(0,AH$464 - 1),0),
IF(AND(OR(AI$279=123, AI$279=13, AI$279=23, AI$279=3), Cultivar_3_Cohort_Year_Selection=$AB$278), ROUND(MAX(0,AH$464 - 1),0),
ROUND(MAX(0,AH$464),0)))))))),""),""),"")</f>
        <v/>
      </c>
      <c r="AJ477" s="496" t="str">
        <f t="shared" ref="AJ477:AJ484" si="319">IF(ISNUMBER($B$465),
IF($C477&lt;&gt;"",
IF(AND(ISNUMBER(AI$464), AI$464&gt;0),
IF(AND(AJ$279=123, Cultivar_1_Cohort_Year_Selection=$AC$278,Cultivar_2_Cohort_Year_Selection=$AC$278,Cultivar_3_Cohort_Year_Selection=$AC$278), ROUND(MAX(0,AI$464 - 3),0),
IF(AND(OR(AJ$279=123, AJ$279=12), Cultivar_1_Cohort_Year_Selection=$AC$278,Cultivar_2_Cohort_Year_Selection=$AC$278), ROUND(MAX(0,AI$464 - 2),0),
IF(AND(OR(AJ$279=123, AJ$279=13), Cultivar_1_Cohort_Year_Selection=$AC$278,Cultivar_3_Cohort_Year_Selection=$AC$278), ROUND(MAX(0,AI$464 - 2),0),
IF(AND(OR(AJ$279=123, AJ$279=23), Cultivar_2_Cohort_Year_Selection=$AC$278,Cultivar_3_Cohort_Year_Selection=$AC$278), ROUND(MAX(0,AI$464 - 2),0),
IF(AND(OR(AJ$279=123, AJ$279=12, AJ$279=13, AJ$279=1), Cultivar_1_Cohort_Year_Selection=$AC$278), ROUND(MAX(0,AI$464 - 1),0),
IF(AND(OR(AJ$279=123, AJ$279=12, AJ$279=23, AJ$279=2), Cultivar_2_Cohort_Year_Selection=$AC$278), ROUND(MAX(0,AI$464 - 1),0),
IF(AND(OR(AJ$279=123, AJ$279=13, AJ$279=23, AJ$279=3), Cultivar_3_Cohort_Year_Selection=$AC$278), ROUND(MAX(0,AI$464 - 1),0),
ROUND(MAX(0,AI$464),0)))))))),""),""),"")</f>
        <v/>
      </c>
      <c r="AK477" s="496" t="str">
        <f t="shared" ref="AK477:AK484" si="320">IF(ISNUMBER($B$465),
IF($C477&lt;&gt;"",
IF(AND(ISNUMBER(AJ$464), AJ$464&gt;0),
IF(AND(AK$279=123, Cultivar_1_Cohort_Year_Selection=$AD$278,Cultivar_2_Cohort_Year_Selection=$AD$278,Cultivar_3_Cohort_Year_Selection=$AD$278), ROUND(MAX(0,AJ$464 - 3),0),
IF(AND(OR(AK$279=123, AK$279=12), Cultivar_1_Cohort_Year_Selection=$AD$278,Cultivar_2_Cohort_Year_Selection=$AD$278), ROUND(MAX(0,AJ$464 - 2),0),
IF(AND(OR(AK$279=123, AK$279=13), Cultivar_1_Cohort_Year_Selection=$AD$278,Cultivar_3_Cohort_Year_Selection=$AD$278), ROUND(MAX(0,AJ$464 - 2),0),
IF(AND(OR(AK$279=123, AK$279=23), Cultivar_2_Cohort_Year_Selection=$AD$278,Cultivar_3_Cohort_Year_Selection=$AD$278), ROUND(MAX(0,AJ$464 - 2),0),
IF(AND(OR(AK$279=123, AK$279=12, AK$279=13, AK$279=1), Cultivar_1_Cohort_Year_Selection=$AD$278), ROUND(MAX(0,AJ$464 - 1),0),
IF(AND(OR(AK$279=123, AK$279=12, AK$279=23, AK$279=2), Cultivar_2_Cohort_Year_Selection=$AD$278), ROUND(MAX(0,AJ$464 - 1),0),
IF(AND(OR(AK$279=123, AK$279=13, AK$279=23, AK$279=3), Cultivar_3_Cohort_Year_Selection=$AD$278), ROUND(MAX(0,AJ$464 - 1),0),
ROUND(MAX(0,AJ$464),0)))))))),""),""),"")</f>
        <v/>
      </c>
      <c r="AL477" s="496" t="str">
        <f t="shared" ref="AL477:AL484" si="321">IF(ISNUMBER($B$465),
IF($C477&lt;&gt;"",
IF(AND(ISNUMBER(AK$464), AK$464&gt;0),
IF(AND(AL$279=123, Cultivar_1_Cohort_Year_Selection=$AE$278,Cultivar_2_Cohort_Year_Selection=$AE$278,Cultivar_3_Cohort_Year_Selection=$AE$278), ROUND(MAX(0,AK$464 - 3),0),
IF(AND(OR(AL$279=123, AL$279=12), Cultivar_1_Cohort_Year_Selection=$AE$278,Cultivar_2_Cohort_Year_Selection=$AE$278), ROUND(MAX(0,AK$464 - 2),0),
IF(AND(OR(AL$279=123, AL$279=13), Cultivar_1_Cohort_Year_Selection=$AE$278,Cultivar_3_Cohort_Year_Selection=$AE$278), ROUND(MAX(0,AK$464 - 2),0),
IF(AND(OR(AL$279=123, AL$279=23), Cultivar_2_Cohort_Year_Selection=$AE$278,Cultivar_3_Cohort_Year_Selection=$AE$278), ROUND(MAX(0,AK$464 - 2),0),
IF(AND(OR(AL$279=123, AL$279=12, AL$279=13, AL$279=1), Cultivar_1_Cohort_Year_Selection=$AE$278), ROUND(MAX(0,AK$464 - 1),0),
IF(AND(OR(AL$279=123, AL$279=12, AL$279=23, AL$279=2), Cultivar_2_Cohort_Year_Selection=$AE$278), ROUND(MAX(0,AK$464 - 1),0),
IF(AND(OR(AL$279=123, AL$279=13, AL$279=23, AL$279=3), Cultivar_3_Cohort_Year_Selection=$AE$278), ROUND(MAX(0,AK$464 - 1),0),
ROUND(MAX(0,AK$464),0)))))))),""),""),"")</f>
        <v/>
      </c>
      <c r="AM477" s="496" t="str">
        <f t="shared" ref="AM477:AM484" si="322">IF(ISNUMBER($B$465),
IF($C477&lt;&gt;"",
IF(AND(ISNUMBER(AL$464), AL$464&gt;0),
IF(AND(AM$279=123, Cultivar_1_Cohort_Year_Selection=$AF$278,Cultivar_2_Cohort_Year_Selection=$AF$278,Cultivar_3_Cohort_Year_Selection=$AF$278), ROUND(MAX(0,AL$464 - 3),0),
IF(AND(OR(AM$279=123, AM$279=12), Cultivar_1_Cohort_Year_Selection=$AF$278,Cultivar_2_Cohort_Year_Selection=$AF$278), ROUND(MAX(0,AL$464 - 2),0),
IF(AND(OR(AM$279=123, AM$279=13), Cultivar_1_Cohort_Year_Selection=$AF$278,Cultivar_3_Cohort_Year_Selection=$AF$278), ROUND(MAX(0,AL$464 - 2),0),
IF(AND(OR(AM$279=123, AM$279=23), Cultivar_2_Cohort_Year_Selection=$AF$278,Cultivar_3_Cohort_Year_Selection=$AF$278), ROUND(MAX(0,AL$464 - 2),0),
IF(AND(OR(AM$279=123, AM$279=12, AM$279=13, AM$279=1), Cultivar_1_Cohort_Year_Selection=$AF$278), ROUND(MAX(0,AL$464 - 1),0),
IF(AND(OR(AM$279=123, AM$279=12, AM$279=23, AM$279=2), Cultivar_2_Cohort_Year_Selection=$AF$278), ROUND(MAX(0,AL$464 - 1),0),
IF(AND(OR(AM$279=123, AM$279=13, AM$279=23, AM$279=3), Cultivar_3_Cohort_Year_Selection=$AF$278), ROUND(MAX(0,AL$464 - 1),0),
ROUND(MAX(0,AL$464),0)))))))),""),""),"")</f>
        <v/>
      </c>
      <c r="AN477" s="496" t="str">
        <f t="shared" ref="AN477:AN484" si="323">IF(ISNUMBER($B$465),
IF($C477&lt;&gt;"",
IF(AND(ISNUMBER(AM$464), AM$464&gt;0),
IF(AND(AN$279=123, Cultivar_1_Cohort_Year_Selection=$AG$278,Cultivar_2_Cohort_Year_Selection=$AG$278,Cultivar_3_Cohort_Year_Selection=$AG$278), ROUND(MAX(0,AM$464 - 3),0),
IF(AND(OR(AN$279=123, AN$279=12), Cultivar_1_Cohort_Year_Selection=$AG$278,Cultivar_2_Cohort_Year_Selection=$AG$278), ROUND(MAX(0,AM$464 - 2),0),
IF(AND(OR(AN$279=123, AN$279=13), Cultivar_1_Cohort_Year_Selection=$AG$278,Cultivar_3_Cohort_Year_Selection=$AG$278), ROUND(MAX(0,AM$464 - 2),0),
IF(AND(OR(AN$279=123, AN$279=23), Cultivar_2_Cohort_Year_Selection=$AG$278,Cultivar_3_Cohort_Year_Selection=$AG$278), ROUND(MAX(0,AM$464 - 2),0),
IF(AND(OR(AN$279=123, AN$279=12, AN$279=13, AN$279=1), Cultivar_1_Cohort_Year_Selection=$AG$278), ROUND(MAX(0,AM$464 - 1),0),
IF(AND(OR(AN$279=123, AN$279=12, AN$279=23, AN$279=2), Cultivar_2_Cohort_Year_Selection=$AG$278), ROUND(MAX(0,AM$464 - 1),0),
IF(AND(OR(AN$279=123, AN$279=13, AN$279=23, AN$279=3), Cultivar_3_Cohort_Year_Selection=$AG$278), ROUND(MAX(0,AM$464 - 1),0),
ROUND(MAX(0,AM$464),0)))))))),""),""),"")</f>
        <v/>
      </c>
      <c r="AO477" s="496" t="str">
        <f t="shared" ref="AO477:AO484" si="324">IF(ISNUMBER($B$465),
IF($C477&lt;&gt;"",
IF(AND(ISNUMBER(AN$464), AN$464&gt;0),
IF(AND(AO$279=123, Cultivar_1_Cohort_Year_Selection=$AH$278,Cultivar_2_Cohort_Year_Selection=$AH$278,Cultivar_3_Cohort_Year_Selection=$AH$278), ROUND(MAX(0,AN$464 - 3),0),
IF(AND(OR(AO$279=123, AO$279=12), Cultivar_1_Cohort_Year_Selection=$AH$278,Cultivar_2_Cohort_Year_Selection=$AH$278), ROUND(MAX(0,AN$464 - 2),0),
IF(AND(OR(AO$279=123, AO$279=13), Cultivar_1_Cohort_Year_Selection=$AH$278,Cultivar_3_Cohort_Year_Selection=$AH$278), ROUND(MAX(0,AN$464 - 2),0),
IF(AND(OR(AO$279=123, AO$279=23), Cultivar_2_Cohort_Year_Selection=$AH$278,Cultivar_3_Cohort_Year_Selection=$AH$278), ROUND(MAX(0,AN$464 - 2),0),
IF(AND(OR(AO$279=123, AO$279=12, AO$279=13, AO$279=1), Cultivar_1_Cohort_Year_Selection=$AH$278), ROUND(MAX(0,AN$464 - 1),0),
IF(AND(OR(AO$279=123, AO$279=12, AO$279=23, AO$279=2), Cultivar_2_Cohort_Year_Selection=$AH$278), ROUND(MAX(0,AN$464 - 1),0),
IF(AND(OR(AO$279=123, AO$279=13, AO$279=23, AO$279=3), Cultivar_3_Cohort_Year_Selection=$AH$278), ROUND(MAX(0,AN$464 - 1),0),
ROUND(MAX(0,AN$464),0)))))))),""),""),"")</f>
        <v/>
      </c>
      <c r="AP477" s="496" t="str">
        <f t="shared" ref="AP477:AP484" si="325">IF(ISNUMBER($B$465),
IF($C477&lt;&gt;"",
IF(AND(ISNUMBER(AO$464), AO$464&gt;0),
IF(AND(AP$279=123, Cultivar_1_Cohort_Year_Selection=$AI$278,Cultivar_2_Cohort_Year_Selection=$AI$278,Cultivar_3_Cohort_Year_Selection=$AI$278), ROUND(MAX(0,AO$464 - 3),0),
IF(AND(OR(AP$279=123, AP$279=12), Cultivar_1_Cohort_Year_Selection=$AI$278,Cultivar_2_Cohort_Year_Selection=$AI$278), ROUND(MAX(0,AO$464 - 2),0),
IF(AND(OR(AP$279=123, AP$279=13), Cultivar_1_Cohort_Year_Selection=$AI$278,Cultivar_3_Cohort_Year_Selection=$AI$278), ROUND(MAX(0,AO$464 - 2),0),
IF(AND(OR(AP$279=123, AP$279=23), Cultivar_2_Cohort_Year_Selection=$AI$278,Cultivar_3_Cohort_Year_Selection=$AI$278), ROUND(MAX(0,AO$464 - 2),0),
IF(AND(OR(AP$279=123, AP$279=12, AP$279=13, AP$279=1), Cultivar_1_Cohort_Year_Selection=$AI$278), ROUND(MAX(0,AO$464 - 1),0),
IF(AND(OR(AP$279=123, AP$279=12, AP$279=23, AP$279=2), Cultivar_2_Cohort_Year_Selection=$AI$278), ROUND(MAX(0,AO$464 - 1),0),
IF(AND(OR(AP$279=123, AP$279=13, AP$279=23, AP$279=3), Cultivar_3_Cohort_Year_Selection=$AI$278), ROUND(MAX(0,AO$464 - 1),0),
ROUND(MAX(0,AO$464),0)))))))),""),""),"")</f>
        <v/>
      </c>
      <c r="AQ477" s="496" t="str">
        <f t="shared" ref="AQ477:AQ484" si="326">IF(ISNUMBER($B$465),
IF($C477&lt;&gt;"",
IF(AND(ISNUMBER(AP$464), AP$464&gt;0),
IF(AND(AQ$279=123, Cultivar_1_Cohort_Year_Selection=$AJ$278,Cultivar_2_Cohort_Year_Selection=$AJ$278,Cultivar_3_Cohort_Year_Selection=$AJ$278), ROUND(MAX(0,AP$464 - 3),0),
IF(AND(OR(AQ$279=123, AQ$279=12), Cultivar_1_Cohort_Year_Selection=$AJ$278,Cultivar_2_Cohort_Year_Selection=$AJ$278), ROUND(MAX(0,AP$464 - 2),0),
IF(AND(OR(AQ$279=123, AQ$279=13), Cultivar_1_Cohort_Year_Selection=$AJ$278,Cultivar_3_Cohort_Year_Selection=$AJ$278), ROUND(MAX(0,AP$464 - 2),0),
IF(AND(OR(AQ$279=123, AQ$279=23), Cultivar_2_Cohort_Year_Selection=$AJ$278,Cultivar_3_Cohort_Year_Selection=$AJ$278), ROUND(MAX(0,AP$464 - 2),0),
IF(AND(OR(AQ$279=123, AQ$279=12, AQ$279=13, AQ$279=1), Cultivar_1_Cohort_Year_Selection=$AJ$278), ROUND(MAX(0,AP$464 - 1),0),
IF(AND(OR(AQ$279=123, AQ$279=12, AQ$279=23, AQ$279=2), Cultivar_2_Cohort_Year_Selection=$AJ$278), ROUND(MAX(0,AP$464 - 1),0),
IF(AND(OR(AQ$279=123, AQ$279=13, AQ$279=23, AQ$279=3), Cultivar_3_Cohort_Year_Selection=$AJ$278), ROUND(MAX(0,AP$464 - 1),0),
ROUND(MAX(0,AP$464),0)))))))),""),""),"")</f>
        <v/>
      </c>
      <c r="AR477" s="496" t="str">
        <f t="shared" ref="AR477:AR484" si="327">IF(ISNUMBER($B$465),
IF($C477&lt;&gt;"",
IF(AND(ISNUMBER(AQ$464), AQ$464&gt;0),
IF(AND(AR$279=123, Cultivar_1_Cohort_Year_Selection=$AK$278,Cultivar_2_Cohort_Year_Selection=$AK$278,Cultivar_3_Cohort_Year_Selection=$AK$278), ROUND(MAX(0,AQ$464 - 3),0),
IF(AND(OR(AR$279=123, AR$279=12), Cultivar_1_Cohort_Year_Selection=$AK$278,Cultivar_2_Cohort_Year_Selection=$AK$278), ROUND(MAX(0,AQ$464 - 2),0),
IF(AND(OR(AR$279=123, AR$279=13), Cultivar_1_Cohort_Year_Selection=$AK$278,Cultivar_3_Cohort_Year_Selection=$AK$278), ROUND(MAX(0,AQ$464 - 2),0),
IF(AND(OR(AR$279=123, AR$279=23), Cultivar_2_Cohort_Year_Selection=$AK$278,Cultivar_3_Cohort_Year_Selection=$AK$278), ROUND(MAX(0,AQ$464 - 2),0),
IF(AND(OR(AR$279=123, AR$279=12, AR$279=13, AR$279=1), Cultivar_1_Cohort_Year_Selection=$AK$278), ROUND(MAX(0,AQ$464 - 1),0),
IF(AND(OR(AR$279=123, AR$279=12, AR$279=23, AR$279=2), Cultivar_2_Cohort_Year_Selection=$AK$278), ROUND(MAX(0,AQ$464 - 1),0),
IF(AND(OR(AR$279=123, AR$279=13, AR$279=23, AR$279=3), Cultivar_3_Cohort_Year_Selection=$AK$278), ROUND(MAX(0,AQ$464 - 1),0),
ROUND(MAX(0,AQ$464),0)))))))),""),""),"")</f>
        <v/>
      </c>
      <c r="AS477" s="496" t="str">
        <f t="shared" ref="AS477:AS484" si="328">IF(ISNUMBER($B$465),
IF($C477&lt;&gt;"",
IF(AND(ISNUMBER(AR$464), AR$464&gt;0),
IF(AND(AS$279=123, Cultivar_1_Cohort_Year_Selection=$AL$278,Cultivar_2_Cohort_Year_Selection=$AL$278,Cultivar_3_Cohort_Year_Selection=$AL$278), ROUND(MAX(0,AR$464 - 3),0),
IF(AND(OR(AS$279=123, AS$279=12), Cultivar_1_Cohort_Year_Selection=$AL$278,Cultivar_2_Cohort_Year_Selection=$AL$278), ROUND(MAX(0,AR$464 - 2),0),
IF(AND(OR(AS$279=123, AS$279=13), Cultivar_1_Cohort_Year_Selection=$AL$278,Cultivar_3_Cohort_Year_Selection=$AL$278), ROUND(MAX(0,AR$464 - 2),0),
IF(AND(OR(AS$279=123, AS$279=23), Cultivar_2_Cohort_Year_Selection=$AL$278,Cultivar_3_Cohort_Year_Selection=$AL$278), ROUND(MAX(0,AR$464 - 2),0),
IF(AND(OR(AS$279=123, AS$279=12, AS$279=13, AS$279=1), Cultivar_1_Cohort_Year_Selection=$AL$278), ROUND(MAX(0,AR$464 - 1),0),
IF(AND(OR(AS$279=123, AS$279=12, AS$279=23, AS$279=2), Cultivar_2_Cohort_Year_Selection=$AL$278), ROUND(MAX(0,AR$464 - 1),0),
IF(AND(OR(AS$279=123, AS$279=13, AS$279=23, AS$279=3), Cultivar_3_Cohort_Year_Selection=$AL$278), ROUND(MAX(0,AR$464 - 1),0),
ROUND(MAX(0,AR$464),0)))))))),""),""),"")</f>
        <v/>
      </c>
      <c r="AT477" s="496" t="str">
        <f t="shared" ref="AT477:AT484" si="329">IF(ISNUMBER($B$465),
IF($C477&lt;&gt;"",
IF(AND(ISNUMBER(AS$464), AS$464&gt;0),
IF(AND(AT$279=123, Cultivar_1_Cohort_Year_Selection=$AM$278,Cultivar_2_Cohort_Year_Selection=$AM$278,Cultivar_3_Cohort_Year_Selection=$AM$278), ROUND(MAX(0,AS$464 - 3),0),
IF(AND(OR(AT$279=123, AT$279=12), Cultivar_1_Cohort_Year_Selection=$AM$278,Cultivar_2_Cohort_Year_Selection=$AM$278), ROUND(MAX(0,AS$464 - 2),0),
IF(AND(OR(AT$279=123, AT$279=13), Cultivar_1_Cohort_Year_Selection=$AM$278,Cultivar_3_Cohort_Year_Selection=$AM$278), ROUND(MAX(0,AS$464 - 2),0),
IF(AND(OR(AT$279=123, AT$279=23), Cultivar_2_Cohort_Year_Selection=$AM$278,Cultivar_3_Cohort_Year_Selection=$AM$278), ROUND(MAX(0,AS$464 - 2),0),
IF(AND(OR(AT$279=123, AT$279=12, AT$279=13, AT$279=1), Cultivar_1_Cohort_Year_Selection=$AM$278), ROUND(MAX(0,AS$464 - 1),0),
IF(AND(OR(AT$279=123, AT$279=12, AT$279=23, AT$279=2), Cultivar_2_Cohort_Year_Selection=$AM$278), ROUND(MAX(0,AS$464 - 1),0),
IF(AND(OR(AT$279=123, AT$279=13, AT$279=23, AT$279=3), Cultivar_3_Cohort_Year_Selection=$AM$278), ROUND(MAX(0,AS$464 - 1),0),
ROUND(MAX(0,AS$464),0)))))))),""),""),"")</f>
        <v/>
      </c>
      <c r="AU477" s="496" t="str">
        <f t="shared" ref="AU477:AU484" si="330">IF(ISNUMBER($B$465),
IF($C477&lt;&gt;"",
IF(AND(ISNUMBER(AT$464), AT$464&gt;0),
IF(AND(AU$279=123, Cultivar_1_Cohort_Year_Selection=$AN$278,Cultivar_2_Cohort_Year_Selection=$AN$278,Cultivar_3_Cohort_Year_Selection=$AN$278), ROUND(MAX(0,AT$464 - 3),0),
IF(AND(OR(AU$279=123, AU$279=12), Cultivar_1_Cohort_Year_Selection=$AN$278,Cultivar_2_Cohort_Year_Selection=$AN$278), ROUND(MAX(0,AT$464 - 2),0),
IF(AND(OR(AU$279=123, AU$279=13), Cultivar_1_Cohort_Year_Selection=$AN$278,Cultivar_3_Cohort_Year_Selection=$AN$278), ROUND(MAX(0,AT$464 - 2),0),
IF(AND(OR(AU$279=123, AU$279=23), Cultivar_2_Cohort_Year_Selection=$AN$278,Cultivar_3_Cohort_Year_Selection=$AN$278), ROUND(MAX(0,AT$464 - 2),0),
IF(AND(OR(AU$279=123, AU$279=12, AU$279=13, AU$279=1), Cultivar_1_Cohort_Year_Selection=$AN$278), ROUND(MAX(0,AT$464 - 1),0),
IF(AND(OR(AU$279=123, AU$279=12, AU$279=23, AU$279=2), Cultivar_2_Cohort_Year_Selection=$AN$278), ROUND(MAX(0,AT$464 - 1),0),
IF(AND(OR(AU$279=123, AU$279=13, AU$279=23, AU$279=3), Cultivar_3_Cohort_Year_Selection=$AN$278), ROUND(MAX(0,AT$464 - 1),0),
ROUND(MAX(0,AT$464),0)))))))),""),""),"")</f>
        <v/>
      </c>
      <c r="AV477" s="496" t="str">
        <f t="shared" ref="AV477:AV484" si="331">IF(ISNUMBER($B$465),
IF($C477&lt;&gt;"",
IF(AND(ISNUMBER(AU$464), AU$464&gt;0),
IF(AND(AV$279=123, Cultivar_1_Cohort_Year_Selection=$AO$278,Cultivar_2_Cohort_Year_Selection=$AO$278,Cultivar_3_Cohort_Year_Selection=$AO$278), ROUND(MAX(0,AU$464 - 3),0),
IF(AND(OR(AV$279=123, AV$279=12), Cultivar_1_Cohort_Year_Selection=$AO$278,Cultivar_2_Cohort_Year_Selection=$AO$278), ROUND(MAX(0,AU$464 - 2),0),
IF(AND(OR(AV$279=123, AV$279=13), Cultivar_1_Cohort_Year_Selection=$AO$278,Cultivar_3_Cohort_Year_Selection=$AO$278), ROUND(MAX(0,AU$464 - 2),0),
IF(AND(OR(AV$279=123, AV$279=23), Cultivar_2_Cohort_Year_Selection=$AO$278,Cultivar_3_Cohort_Year_Selection=$AO$278), ROUND(MAX(0,AU$464 - 2),0),
IF(AND(OR(AV$279=123, AV$279=12, AV$279=13, AV$279=1), Cultivar_1_Cohort_Year_Selection=$AO$278), ROUND(MAX(0,AU$464 - 1),0),
IF(AND(OR(AV$279=123, AV$279=12, AV$279=23, AV$279=2), Cultivar_2_Cohort_Year_Selection=$AO$278), ROUND(MAX(0,AU$464 - 1),0),
IF(AND(OR(AV$279=123, AV$279=13, AV$279=23, AV$279=3), Cultivar_3_Cohort_Year_Selection=$AO$278), ROUND(MAX(0,AU$464 - 1),0),
ROUND(MAX(0,AU$464),0)))))))),""),""),"")</f>
        <v/>
      </c>
      <c r="AW477" s="496" t="str">
        <f t="shared" ref="AW477:AW484" si="332">IF(ISNUMBER($B$465),
IF($C477&lt;&gt;"",
IF(AND(ISNUMBER(AV$464), AV$464&gt;0),
IF(AND(AW$279=123, Cultivar_1_Cohort_Year_Selection=$AP$278,Cultivar_2_Cohort_Year_Selection=$AP$278,Cultivar_3_Cohort_Year_Selection=$AP$278), ROUND(MAX(0,AV$464 - 3),0),
IF(AND(OR(AW$279=123, AW$279=12), Cultivar_1_Cohort_Year_Selection=$AP$278,Cultivar_2_Cohort_Year_Selection=$AP$278), ROUND(MAX(0,AV$464 - 2),0),
IF(AND(OR(AW$279=123, AW$279=13), Cultivar_1_Cohort_Year_Selection=$AP$278,Cultivar_3_Cohort_Year_Selection=$AP$278), ROUND(MAX(0,AV$464 - 2),0),
IF(AND(OR(AW$279=123, AW$279=23), Cultivar_2_Cohort_Year_Selection=$AP$278,Cultivar_3_Cohort_Year_Selection=$AP$278), ROUND(MAX(0,AV$464 - 2),0),
IF(AND(OR(AW$279=123, AW$279=12, AW$279=13, AW$279=1), Cultivar_1_Cohort_Year_Selection=$AP$278), ROUND(MAX(0,AV$464 - 1),0),
IF(AND(OR(AW$279=123, AW$279=12, AW$279=23, AW$279=2), Cultivar_2_Cohort_Year_Selection=$AP$278), ROUND(MAX(0,AV$464 - 1),0),
IF(AND(OR(AW$279=123, AW$279=13, AW$279=23, AW$279=3), Cultivar_3_Cohort_Year_Selection=$AP$278), ROUND(MAX(0,AV$464 - 1),0),
ROUND(MAX(0,AV$464),0)))))))),""),""),"")</f>
        <v/>
      </c>
    </row>
    <row r="478" spans="1:49" x14ac:dyDescent="0.25">
      <c r="A478" s="518"/>
      <c r="B478" s="504"/>
      <c r="C478" s="521"/>
      <c r="D478" s="94" t="str">
        <f>IF(AND(C477&lt;&gt;"", 'Cost Inputs'!$G$117&lt;&gt;""), 'Cost Inputs'!$G$117, "")</f>
        <v/>
      </c>
      <c r="E478" s="94" t="str">
        <f>IF(AND(C477&lt;&gt;"", 'Cost Inputs'!$H$117&lt;&gt;""), 'Cost Inputs'!$H$117, "")</f>
        <v/>
      </c>
      <c r="F478" s="492"/>
      <c r="G478" s="102" t="str">
        <f t="shared" si="152"/>
        <v/>
      </c>
      <c r="H478" s="492"/>
      <c r="I478" s="102" t="str">
        <f>IF($C477&lt;&gt;"", IF(AND($E478&lt;&gt;"", H477&lt;&gt;""), H477/($E477*$E478), 0), "")</f>
        <v/>
      </c>
      <c r="J478" s="492" t="str">
        <f>IF(AND(C478&lt;&gt;"",('Cost Inputs'!$I$86+'Cost Inputs'!$J$86+'Cost Inputs'!$K$86)&gt;0), 'Cost Inputs'!$I$86+'Cost Inputs'!$J$86+'Cost Inputs'!$K$86, "")</f>
        <v/>
      </c>
      <c r="K478" s="102" t="str">
        <f>IF($C477&lt;&gt;"", IF(AND($E478&lt;&gt;"", J477&lt;&gt;""), J477/($E477*$E478), 0), "")</f>
        <v/>
      </c>
      <c r="L478" s="525"/>
      <c r="M478" s="525"/>
      <c r="V478" s="496" t="str">
        <f t="shared" si="305"/>
        <v/>
      </c>
      <c r="W478" s="496" t="str">
        <f t="shared" si="306"/>
        <v/>
      </c>
      <c r="X478" s="496" t="str">
        <f t="shared" si="307"/>
        <v/>
      </c>
      <c r="Y478" s="496" t="str">
        <f t="shared" si="308"/>
        <v/>
      </c>
      <c r="Z478" s="496" t="str">
        <f t="shared" si="309"/>
        <v/>
      </c>
      <c r="AA478" s="496" t="str">
        <f t="shared" si="310"/>
        <v/>
      </c>
      <c r="AB478" s="496" t="str">
        <f t="shared" si="311"/>
        <v/>
      </c>
      <c r="AC478" s="496" t="str">
        <f t="shared" si="312"/>
        <v/>
      </c>
      <c r="AD478" s="496" t="str">
        <f t="shared" si="313"/>
        <v/>
      </c>
      <c r="AE478" s="496" t="str">
        <f t="shared" si="314"/>
        <v/>
      </c>
      <c r="AF478" s="496" t="str">
        <f t="shared" si="315"/>
        <v/>
      </c>
      <c r="AG478" s="496" t="str">
        <f t="shared" si="316"/>
        <v/>
      </c>
      <c r="AH478" s="496" t="str">
        <f t="shared" si="317"/>
        <v/>
      </c>
      <c r="AI478" s="496" t="str">
        <f t="shared" si="318"/>
        <v/>
      </c>
      <c r="AJ478" s="496" t="str">
        <f t="shared" si="319"/>
        <v/>
      </c>
      <c r="AK478" s="496" t="str">
        <f t="shared" si="320"/>
        <v/>
      </c>
      <c r="AL478" s="496" t="str">
        <f t="shared" si="321"/>
        <v/>
      </c>
      <c r="AM478" s="496" t="str">
        <f t="shared" si="322"/>
        <v/>
      </c>
      <c r="AN478" s="496" t="str">
        <f t="shared" si="323"/>
        <v/>
      </c>
      <c r="AO478" s="496" t="str">
        <f t="shared" si="324"/>
        <v/>
      </c>
      <c r="AP478" s="496" t="str">
        <f t="shared" si="325"/>
        <v/>
      </c>
      <c r="AQ478" s="496" t="str">
        <f t="shared" si="326"/>
        <v/>
      </c>
      <c r="AR478" s="496" t="str">
        <f t="shared" si="327"/>
        <v/>
      </c>
      <c r="AS478" s="496" t="str">
        <f t="shared" si="328"/>
        <v/>
      </c>
      <c r="AT478" s="496" t="str">
        <f t="shared" si="329"/>
        <v/>
      </c>
      <c r="AU478" s="496" t="str">
        <f t="shared" si="330"/>
        <v/>
      </c>
      <c r="AV478" s="496" t="str">
        <f t="shared" si="331"/>
        <v/>
      </c>
      <c r="AW478" s="496" t="str">
        <f t="shared" si="332"/>
        <v/>
      </c>
    </row>
    <row r="479" spans="1:49" x14ac:dyDescent="0.25">
      <c r="A479" s="518"/>
      <c r="B479" s="504"/>
      <c r="C479" s="376" t="str">
        <f>IF(AND(ISNUMBER(B465), C477&lt;&gt;"", OR('Cost Inputs'!$H$118&lt;&gt;"", 'Cost Inputs'!$I$118&lt;&gt;"", 'Cost Inputs'!$J$118&lt;&gt;"")), _4_5_1, "")</f>
        <v/>
      </c>
      <c r="D479" s="17" t="str">
        <f>IF(AND(C479&lt;&gt;"", 'Cost Inputs'!$G$118&lt;&gt;""), 'Cost Inputs'!$G$118, "")</f>
        <v/>
      </c>
      <c r="E479" s="17" t="str">
        <f>IF(AND(C479&lt;&gt;"", 'Cost Inputs'!$H$118&lt;&gt;""), 'Cost Inputs'!$H$118, "")</f>
        <v/>
      </c>
      <c r="F479" s="493" t="str">
        <f>IF(AND(C479&lt;&gt;"", 'Cost Inputs'!$I$118&lt;&gt;""), 'Cost Inputs'!$I$118, "")</f>
        <v/>
      </c>
      <c r="G479" s="105" t="str">
        <f t="shared" ref="G479:G546" si="333">IF(AND($E479&lt;&gt;"", $E479&gt;0, F479&lt;&gt;""), F479/$E479, "")</f>
        <v/>
      </c>
      <c r="H479" s="493" t="str">
        <f>IF(AND(C479&lt;&gt;"", 'Cost Inputs'!$J$118&lt;&gt;""), 'Cost Inputs'!$J$118, "")</f>
        <v/>
      </c>
      <c r="I479" s="105" t="str">
        <f>IF($C479&lt;&gt;"",IF(AND($E479&lt;&gt;"",H479&lt;&gt;""), H479/$E479, 0),"")</f>
        <v/>
      </c>
      <c r="J479" s="493" t="str">
        <f>IF(AND(C479&lt;&gt;"",('Cost Inputs'!$I$118+'Cost Inputs'!$J$118+'Cost Inputs'!$K$118)&gt;0), 'Cost Inputs'!$I$118+'Cost Inputs'!$J$118+'Cost Inputs'!$K$118, "")</f>
        <v/>
      </c>
      <c r="K479" s="105" t="str">
        <f>IF($C479&lt;&gt;"",IF(AND($E479&lt;&gt;"",J479&lt;&gt;""), J479/$E479, 0),"")</f>
        <v/>
      </c>
      <c r="L479" s="525"/>
      <c r="M479" s="525"/>
      <c r="V479" s="497" t="str">
        <f t="shared" si="305"/>
        <v/>
      </c>
      <c r="W479" s="497" t="str">
        <f t="shared" si="306"/>
        <v/>
      </c>
      <c r="X479" s="497" t="str">
        <f t="shared" si="307"/>
        <v/>
      </c>
      <c r="Y479" s="497" t="str">
        <f t="shared" si="308"/>
        <v/>
      </c>
      <c r="Z479" s="497" t="str">
        <f t="shared" si="309"/>
        <v/>
      </c>
      <c r="AA479" s="497" t="str">
        <f t="shared" si="310"/>
        <v/>
      </c>
      <c r="AB479" s="497" t="str">
        <f t="shared" si="311"/>
        <v/>
      </c>
      <c r="AC479" s="497" t="str">
        <f t="shared" si="312"/>
        <v/>
      </c>
      <c r="AD479" s="497" t="str">
        <f t="shared" si="313"/>
        <v/>
      </c>
      <c r="AE479" s="497" t="str">
        <f t="shared" si="314"/>
        <v/>
      </c>
      <c r="AF479" s="497" t="str">
        <f t="shared" si="315"/>
        <v/>
      </c>
      <c r="AG479" s="497" t="str">
        <f t="shared" si="316"/>
        <v/>
      </c>
      <c r="AH479" s="497" t="str">
        <f t="shared" si="317"/>
        <v/>
      </c>
      <c r="AI479" s="497" t="str">
        <f t="shared" si="318"/>
        <v/>
      </c>
      <c r="AJ479" s="497" t="str">
        <f t="shared" si="319"/>
        <v/>
      </c>
      <c r="AK479" s="497" t="str">
        <f t="shared" si="320"/>
        <v/>
      </c>
      <c r="AL479" s="497" t="str">
        <f t="shared" si="321"/>
        <v/>
      </c>
      <c r="AM479" s="497" t="str">
        <f t="shared" si="322"/>
        <v/>
      </c>
      <c r="AN479" s="497" t="str">
        <f t="shared" si="323"/>
        <v/>
      </c>
      <c r="AO479" s="497" t="str">
        <f t="shared" si="324"/>
        <v/>
      </c>
      <c r="AP479" s="497" t="str">
        <f t="shared" si="325"/>
        <v/>
      </c>
      <c r="AQ479" s="497" t="str">
        <f t="shared" si="326"/>
        <v/>
      </c>
      <c r="AR479" s="497" t="str">
        <f t="shared" si="327"/>
        <v/>
      </c>
      <c r="AS479" s="497" t="str">
        <f t="shared" si="328"/>
        <v/>
      </c>
      <c r="AT479" s="497" t="str">
        <f t="shared" si="329"/>
        <v/>
      </c>
      <c r="AU479" s="497" t="str">
        <f t="shared" si="330"/>
        <v/>
      </c>
      <c r="AV479" s="497" t="str">
        <f t="shared" si="331"/>
        <v/>
      </c>
      <c r="AW479" s="497" t="str">
        <f t="shared" si="332"/>
        <v/>
      </c>
    </row>
    <row r="480" spans="1:49" x14ac:dyDescent="0.25">
      <c r="A480" s="518"/>
      <c r="B480" s="504"/>
      <c r="C480" s="376" t="str">
        <f>IF(AND(ISNUMBER(B460), OR('Cost Inputs'!$H$85&lt;&gt;"", 'Cost Inputs'!$I$85&lt;&gt;"", 'Cost Inputs'!$J$85&lt;&gt;"")), _3_5_1, "")</f>
        <v/>
      </c>
      <c r="D480" s="17" t="str">
        <f>IF(AND(C479&lt;&gt;"", 'Cost Inputs'!$G$119&lt;&gt;""), 'Cost Inputs'!$G$119, "")</f>
        <v/>
      </c>
      <c r="E480" s="17" t="str">
        <f>IF(AND(C479&lt;&gt;"", 'Cost Inputs'!$H$119&lt;&gt;""), 'Cost Inputs'!$H$119, "")</f>
        <v/>
      </c>
      <c r="F480" s="493"/>
      <c r="G480" s="105" t="str">
        <f t="shared" si="333"/>
        <v/>
      </c>
      <c r="H480" s="493"/>
      <c r="I480" s="105" t="str">
        <f>IF($C479&lt;&gt;"", IF(AND($E480&lt;&gt;"", H479&lt;&gt;""), H479/($E479*$E480), 0), "")</f>
        <v/>
      </c>
      <c r="J480" s="493" t="str">
        <f>IF(AND(C480&lt;&gt;"",('Cost Inputs'!$I$86+'Cost Inputs'!$J$86+'Cost Inputs'!$K$86)&gt;0), 'Cost Inputs'!$I$86+'Cost Inputs'!$J$86+'Cost Inputs'!$K$86, "")</f>
        <v/>
      </c>
      <c r="K480" s="105" t="str">
        <f>IF($C479&lt;&gt;"", IF(AND($E480&lt;&gt;"", J479&lt;&gt;""), J479/($E479*$E480), 0), "")</f>
        <v/>
      </c>
      <c r="L480" s="525"/>
      <c r="M480" s="525"/>
      <c r="V480" s="497" t="str">
        <f t="shared" si="305"/>
        <v/>
      </c>
      <c r="W480" s="497" t="str">
        <f t="shared" si="306"/>
        <v/>
      </c>
      <c r="X480" s="497" t="str">
        <f t="shared" si="307"/>
        <v/>
      </c>
      <c r="Y480" s="497" t="str">
        <f t="shared" si="308"/>
        <v/>
      </c>
      <c r="Z480" s="497" t="str">
        <f t="shared" si="309"/>
        <v/>
      </c>
      <c r="AA480" s="497" t="str">
        <f t="shared" si="310"/>
        <v/>
      </c>
      <c r="AB480" s="497" t="str">
        <f t="shared" si="311"/>
        <v/>
      </c>
      <c r="AC480" s="497" t="str">
        <f t="shared" si="312"/>
        <v/>
      </c>
      <c r="AD480" s="497" t="str">
        <f t="shared" si="313"/>
        <v/>
      </c>
      <c r="AE480" s="497" t="str">
        <f t="shared" si="314"/>
        <v/>
      </c>
      <c r="AF480" s="497" t="str">
        <f t="shared" si="315"/>
        <v/>
      </c>
      <c r="AG480" s="497" t="str">
        <f t="shared" si="316"/>
        <v/>
      </c>
      <c r="AH480" s="497" t="str">
        <f t="shared" si="317"/>
        <v/>
      </c>
      <c r="AI480" s="497" t="str">
        <f t="shared" si="318"/>
        <v/>
      </c>
      <c r="AJ480" s="497" t="str">
        <f t="shared" si="319"/>
        <v/>
      </c>
      <c r="AK480" s="497" t="str">
        <f t="shared" si="320"/>
        <v/>
      </c>
      <c r="AL480" s="497" t="str">
        <f t="shared" si="321"/>
        <v/>
      </c>
      <c r="AM480" s="497" t="str">
        <f t="shared" si="322"/>
        <v/>
      </c>
      <c r="AN480" s="497" t="str">
        <f t="shared" si="323"/>
        <v/>
      </c>
      <c r="AO480" s="497" t="str">
        <f t="shared" si="324"/>
        <v/>
      </c>
      <c r="AP480" s="497" t="str">
        <f t="shared" si="325"/>
        <v/>
      </c>
      <c r="AQ480" s="497" t="str">
        <f t="shared" si="326"/>
        <v/>
      </c>
      <c r="AR480" s="497" t="str">
        <f t="shared" si="327"/>
        <v/>
      </c>
      <c r="AS480" s="497" t="str">
        <f t="shared" si="328"/>
        <v/>
      </c>
      <c r="AT480" s="497" t="str">
        <f t="shared" si="329"/>
        <v/>
      </c>
      <c r="AU480" s="497" t="str">
        <f t="shared" si="330"/>
        <v/>
      </c>
      <c r="AV480" s="497" t="str">
        <f t="shared" si="331"/>
        <v/>
      </c>
      <c r="AW480" s="497" t="str">
        <f t="shared" si="332"/>
        <v/>
      </c>
    </row>
    <row r="481" spans="1:50" x14ac:dyDescent="0.25">
      <c r="A481" s="518"/>
      <c r="B481" s="504"/>
      <c r="C481" s="107" t="str">
        <f>IF(AND(ISNUMBER(B465), C477&lt;&gt;"", OR('Cost Inputs'!$H$120&lt;&gt;"", 'Cost Inputs'!$I$120&lt;&gt;"", 'Cost Inputs'!$J$120&lt;&gt;"")), _4_5_2, "")</f>
        <v/>
      </c>
      <c r="D481" s="93" t="str">
        <f>IF(AND(C481&lt;&gt;"", 'Cost Inputs'!$G$120&lt;&gt;""), 'Cost Inputs'!$G$120, "")</f>
        <v/>
      </c>
      <c r="E481" s="93" t="str">
        <f>IF(AND(C481&lt;&gt;"", 'Cost Inputs'!$H$120&lt;&gt;""), 'Cost Inputs'!$H$120, "")</f>
        <v/>
      </c>
      <c r="F481" s="93" t="str">
        <f>IF(AND(C481&lt;&gt;"", 'Cost Inputs'!$I$120&lt;&gt;""), 'Cost Inputs'!$I$120, "")</f>
        <v/>
      </c>
      <c r="G481" s="108" t="str">
        <f t="shared" si="333"/>
        <v/>
      </c>
      <c r="H481" s="93" t="str">
        <f>IF(AND(C481&lt;&gt;"", 'Cost Inputs'!$J$120&lt;&gt;""), 'Cost Inputs'!$J$120, "")</f>
        <v/>
      </c>
      <c r="I481" s="93" t="str">
        <f>IF($C481&lt;&gt;"", IF(AND($E481&lt;&gt;"", H481&lt;&gt;""), H481/$E481, 0),"")</f>
        <v/>
      </c>
      <c r="J481" s="93" t="str">
        <f>IF(AND(C481&lt;&gt;"",('Cost Inputs'!$I$120+'Cost Inputs'!$J$120+'Cost Inputs'!$K$120)&gt;0), 'Cost Inputs'!$I$120+'Cost Inputs'!$J$120+'Cost Inputs'!$K$120, "")</f>
        <v/>
      </c>
      <c r="K481" s="93" t="str">
        <f>IF($C481&lt;&gt;"", IF(AND($E481&lt;&gt;"", J481&lt;&gt;""), J481/$E481, 0),"")</f>
        <v/>
      </c>
      <c r="L481" s="525"/>
      <c r="M481" s="525"/>
      <c r="V481" s="93" t="str">
        <f t="shared" si="305"/>
        <v/>
      </c>
      <c r="W481" s="93" t="str">
        <f t="shared" si="306"/>
        <v/>
      </c>
      <c r="X481" s="93" t="str">
        <f t="shared" si="307"/>
        <v/>
      </c>
      <c r="Y481" s="93" t="str">
        <f t="shared" si="308"/>
        <v/>
      </c>
      <c r="Z481" s="93" t="str">
        <f t="shared" si="309"/>
        <v/>
      </c>
      <c r="AA481" s="93" t="str">
        <f t="shared" si="310"/>
        <v/>
      </c>
      <c r="AB481" s="93" t="str">
        <f t="shared" si="311"/>
        <v/>
      </c>
      <c r="AC481" s="93" t="str">
        <f t="shared" si="312"/>
        <v/>
      </c>
      <c r="AD481" s="93" t="str">
        <f t="shared" si="313"/>
        <v/>
      </c>
      <c r="AE481" s="93" t="str">
        <f t="shared" si="314"/>
        <v/>
      </c>
      <c r="AF481" s="93" t="str">
        <f t="shared" si="315"/>
        <v/>
      </c>
      <c r="AG481" s="93" t="str">
        <f t="shared" si="316"/>
        <v/>
      </c>
      <c r="AH481" s="93" t="str">
        <f t="shared" si="317"/>
        <v/>
      </c>
      <c r="AI481" s="93" t="str">
        <f t="shared" si="318"/>
        <v/>
      </c>
      <c r="AJ481" s="93" t="str">
        <f t="shared" si="319"/>
        <v/>
      </c>
      <c r="AK481" s="93" t="str">
        <f t="shared" si="320"/>
        <v/>
      </c>
      <c r="AL481" s="93" t="str">
        <f t="shared" si="321"/>
        <v/>
      </c>
      <c r="AM481" s="93" t="str">
        <f t="shared" si="322"/>
        <v/>
      </c>
      <c r="AN481" s="93" t="str">
        <f t="shared" si="323"/>
        <v/>
      </c>
      <c r="AO481" s="93" t="str">
        <f t="shared" si="324"/>
        <v/>
      </c>
      <c r="AP481" s="93" t="str">
        <f t="shared" si="325"/>
        <v/>
      </c>
      <c r="AQ481" s="93" t="str">
        <f t="shared" si="326"/>
        <v/>
      </c>
      <c r="AR481" s="93" t="str">
        <f t="shared" si="327"/>
        <v/>
      </c>
      <c r="AS481" s="93" t="str">
        <f t="shared" si="328"/>
        <v/>
      </c>
      <c r="AT481" s="93" t="str">
        <f t="shared" si="329"/>
        <v/>
      </c>
      <c r="AU481" s="93" t="str">
        <f t="shared" si="330"/>
        <v/>
      </c>
      <c r="AV481" s="93" t="str">
        <f t="shared" si="331"/>
        <v/>
      </c>
      <c r="AW481" s="93" t="str">
        <f t="shared" si="332"/>
        <v/>
      </c>
    </row>
    <row r="482" spans="1:50" x14ac:dyDescent="0.25">
      <c r="A482" s="518"/>
      <c r="B482" s="504"/>
      <c r="C482" s="104" t="str">
        <f>IF(AND(ISNUMBER(B465), C477&lt;&gt;"", OR('Cost Inputs'!$H$121&lt;&gt;"", 'Cost Inputs'!$I$121&lt;&gt;"", 'Cost Inputs'!$J$121&lt;&gt;"")), _4_5_3, "")</f>
        <v/>
      </c>
      <c r="D482" s="17" t="str">
        <f>IF(AND(C482&lt;&gt;"", 'Cost Inputs'!$G$121&lt;&gt;""), 'Cost Inputs'!$G$121, "")</f>
        <v/>
      </c>
      <c r="E482" s="17" t="str">
        <f>IF(AND(C482&lt;&gt;"", 'Cost Inputs'!$H$121&lt;&gt;""), 'Cost Inputs'!$H$121, "")</f>
        <v/>
      </c>
      <c r="F482" s="17" t="str">
        <f>IF(AND(C482&lt;&gt;"", 'Cost Inputs'!$I$121&lt;&gt;""), 'Cost Inputs'!$I$121, "")</f>
        <v/>
      </c>
      <c r="G482" s="105" t="str">
        <f t="shared" si="333"/>
        <v/>
      </c>
      <c r="H482" s="17" t="str">
        <f>IF(AND(C482&lt;&gt;"", 'Cost Inputs'!$J$121&lt;&gt;""), 'Cost Inputs'!$J$121, "")</f>
        <v/>
      </c>
      <c r="I482" s="17" t="str">
        <f>IF($C482&lt;&gt;"", IF(AND($E482&lt;&gt;"", H482&lt;&gt;""), H482/$E482, 0),"")</f>
        <v/>
      </c>
      <c r="J482" s="17" t="str">
        <f>IF(AND(C482&lt;&gt;"",('Cost Inputs'!$I$121+'Cost Inputs'!$J$121+'Cost Inputs'!$K$121)&gt;0), 'Cost Inputs'!$I$121+'Cost Inputs'!$J$121+'Cost Inputs'!$K$121, "")</f>
        <v/>
      </c>
      <c r="K482" s="17" t="str">
        <f>IF($C482&lt;&gt;"", IF(AND($E482&lt;&gt;"", J482&lt;&gt;""), J482/$E482, 0),"")</f>
        <v/>
      </c>
      <c r="L482" s="525"/>
      <c r="M482" s="525"/>
      <c r="V482" s="17" t="str">
        <f t="shared" si="305"/>
        <v/>
      </c>
      <c r="W482" s="17" t="str">
        <f t="shared" si="306"/>
        <v/>
      </c>
      <c r="X482" s="17" t="str">
        <f t="shared" si="307"/>
        <v/>
      </c>
      <c r="Y482" s="17" t="str">
        <f t="shared" si="308"/>
        <v/>
      </c>
      <c r="Z482" s="17" t="str">
        <f t="shared" si="309"/>
        <v/>
      </c>
      <c r="AA482" s="17" t="str">
        <f t="shared" si="310"/>
        <v/>
      </c>
      <c r="AB482" s="17" t="str">
        <f t="shared" si="311"/>
        <v/>
      </c>
      <c r="AC482" s="17" t="str">
        <f t="shared" si="312"/>
        <v/>
      </c>
      <c r="AD482" s="17" t="str">
        <f t="shared" si="313"/>
        <v/>
      </c>
      <c r="AE482" s="17" t="str">
        <f t="shared" si="314"/>
        <v/>
      </c>
      <c r="AF482" s="17" t="str">
        <f t="shared" si="315"/>
        <v/>
      </c>
      <c r="AG482" s="17" t="str">
        <f t="shared" si="316"/>
        <v/>
      </c>
      <c r="AH482" s="17" t="str">
        <f t="shared" si="317"/>
        <v/>
      </c>
      <c r="AI482" s="17" t="str">
        <f t="shared" si="318"/>
        <v/>
      </c>
      <c r="AJ482" s="17" t="str">
        <f t="shared" si="319"/>
        <v/>
      </c>
      <c r="AK482" s="17" t="str">
        <f t="shared" si="320"/>
        <v/>
      </c>
      <c r="AL482" s="17" t="str">
        <f t="shared" si="321"/>
        <v/>
      </c>
      <c r="AM482" s="17" t="str">
        <f t="shared" si="322"/>
        <v/>
      </c>
      <c r="AN482" s="17" t="str">
        <f t="shared" si="323"/>
        <v/>
      </c>
      <c r="AO482" s="17" t="str">
        <f t="shared" si="324"/>
        <v/>
      </c>
      <c r="AP482" s="17" t="str">
        <f t="shared" si="325"/>
        <v/>
      </c>
      <c r="AQ482" s="17" t="str">
        <f t="shared" si="326"/>
        <v/>
      </c>
      <c r="AR482" s="17" t="str">
        <f t="shared" si="327"/>
        <v/>
      </c>
      <c r="AS482" s="17" t="str">
        <f t="shared" si="328"/>
        <v/>
      </c>
      <c r="AT482" s="17" t="str">
        <f t="shared" si="329"/>
        <v/>
      </c>
      <c r="AU482" s="17" t="str">
        <f t="shared" si="330"/>
        <v/>
      </c>
      <c r="AV482" s="17" t="str">
        <f t="shared" si="331"/>
        <v/>
      </c>
      <c r="AW482" s="17" t="str">
        <f t="shared" si="332"/>
        <v/>
      </c>
    </row>
    <row r="483" spans="1:50" x14ac:dyDescent="0.25">
      <c r="A483" s="518"/>
      <c r="B483" s="504"/>
      <c r="C483" s="107" t="str">
        <f>IF(AND(ISNUMBER(B465), C477&lt;&gt;"", OR('Cost Inputs'!$H$122&lt;&gt;"", 'Cost Inputs'!$I$122&lt;&gt;"", 'Cost Inputs'!$J$122&lt;&gt;"")), _4_5_2, "")</f>
        <v/>
      </c>
      <c r="D483" s="93" t="str">
        <f>IF(AND(C483&lt;&gt;"", 'Cost Inputs'!$G$122&lt;&gt;""), 'Cost Inputs'!$G$122, "")</f>
        <v/>
      </c>
      <c r="E483" s="93" t="str">
        <f>IF(AND(C483&lt;&gt;"", 'Cost Inputs'!$H$122&lt;&gt;""), 'Cost Inputs'!$H$122, "")</f>
        <v/>
      </c>
      <c r="F483" s="93" t="str">
        <f>IF(AND(C483&lt;&gt;"", 'Cost Inputs'!$I$122&lt;&gt;""), 'Cost Inputs'!$I$122, "")</f>
        <v/>
      </c>
      <c r="G483" s="108" t="str">
        <f t="shared" si="333"/>
        <v/>
      </c>
      <c r="H483" s="93" t="str">
        <f>IF(AND(C483&lt;&gt;"", 'Cost Inputs'!$J$122&lt;&gt;""), 'Cost Inputs'!$J$122, "")</f>
        <v/>
      </c>
      <c r="I483" s="93" t="str">
        <f>IF($C483&lt;&gt;"", IF(AND($E483&lt;&gt;"", H483&lt;&gt;""), H483/$E483, 0),"")</f>
        <v/>
      </c>
      <c r="J483" s="93" t="str">
        <f>IF(AND(C483&lt;&gt;"",('Cost Inputs'!$I$122+'Cost Inputs'!$J$122+'Cost Inputs'!$K$122)&gt;0), 'Cost Inputs'!$I$122+'Cost Inputs'!$J$122+'Cost Inputs'!$K$122, "")</f>
        <v/>
      </c>
      <c r="K483" s="93" t="str">
        <f>IF($C483&lt;&gt;"", IF(AND($E483&lt;&gt;"", J483&lt;&gt;""), J483/$E483, 0),"")</f>
        <v/>
      </c>
      <c r="L483" s="525"/>
      <c r="M483" s="525"/>
      <c r="V483" s="93" t="str">
        <f t="shared" si="305"/>
        <v/>
      </c>
      <c r="W483" s="93" t="str">
        <f t="shared" si="306"/>
        <v/>
      </c>
      <c r="X483" s="93" t="str">
        <f t="shared" si="307"/>
        <v/>
      </c>
      <c r="Y483" s="93" t="str">
        <f t="shared" si="308"/>
        <v/>
      </c>
      <c r="Z483" s="93" t="str">
        <f t="shared" si="309"/>
        <v/>
      </c>
      <c r="AA483" s="93" t="str">
        <f t="shared" si="310"/>
        <v/>
      </c>
      <c r="AB483" s="93" t="str">
        <f t="shared" si="311"/>
        <v/>
      </c>
      <c r="AC483" s="93" t="str">
        <f t="shared" si="312"/>
        <v/>
      </c>
      <c r="AD483" s="93" t="str">
        <f t="shared" si="313"/>
        <v/>
      </c>
      <c r="AE483" s="93" t="str">
        <f t="shared" si="314"/>
        <v/>
      </c>
      <c r="AF483" s="93" t="str">
        <f t="shared" si="315"/>
        <v/>
      </c>
      <c r="AG483" s="93" t="str">
        <f t="shared" si="316"/>
        <v/>
      </c>
      <c r="AH483" s="93" t="str">
        <f t="shared" si="317"/>
        <v/>
      </c>
      <c r="AI483" s="93" t="str">
        <f t="shared" si="318"/>
        <v/>
      </c>
      <c r="AJ483" s="93" t="str">
        <f t="shared" si="319"/>
        <v/>
      </c>
      <c r="AK483" s="93" t="str">
        <f t="shared" si="320"/>
        <v/>
      </c>
      <c r="AL483" s="93" t="str">
        <f t="shared" si="321"/>
        <v/>
      </c>
      <c r="AM483" s="93" t="str">
        <f t="shared" si="322"/>
        <v/>
      </c>
      <c r="AN483" s="93" t="str">
        <f t="shared" si="323"/>
        <v/>
      </c>
      <c r="AO483" s="93" t="str">
        <f t="shared" si="324"/>
        <v/>
      </c>
      <c r="AP483" s="93" t="str">
        <f t="shared" si="325"/>
        <v/>
      </c>
      <c r="AQ483" s="93" t="str">
        <f t="shared" si="326"/>
        <v/>
      </c>
      <c r="AR483" s="93" t="str">
        <f t="shared" si="327"/>
        <v/>
      </c>
      <c r="AS483" s="93" t="str">
        <f t="shared" si="328"/>
        <v/>
      </c>
      <c r="AT483" s="93" t="str">
        <f t="shared" si="329"/>
        <v/>
      </c>
      <c r="AU483" s="93" t="str">
        <f t="shared" si="330"/>
        <v/>
      </c>
      <c r="AV483" s="93" t="str">
        <f t="shared" si="331"/>
        <v/>
      </c>
      <c r="AW483" s="93" t="str">
        <f t="shared" si="332"/>
        <v/>
      </c>
    </row>
    <row r="484" spans="1:50" x14ac:dyDescent="0.25">
      <c r="A484" s="518"/>
      <c r="B484" s="504"/>
      <c r="C484" s="104" t="str">
        <f>IF(AND(ISNUMBER(B465), C477&lt;&gt;"", OR('Cost Inputs'!$H$123&lt;&gt;"", 'Cost Inputs'!$I$123&lt;&gt;"", 'Cost Inputs'!$J$123&lt;&gt;"")), _4_5_3, "")</f>
        <v/>
      </c>
      <c r="D484" s="17" t="str">
        <f>IF(AND(C484&lt;&gt;"", 'Cost Inputs'!$G$123&lt;&gt;""), 'Cost Inputs'!$G$123, "")</f>
        <v/>
      </c>
      <c r="E484" s="17" t="str">
        <f>IF(AND(C484&lt;&gt;"", 'Cost Inputs'!$H$123&lt;&gt;""), 'Cost Inputs'!$H$123, "")</f>
        <v/>
      </c>
      <c r="F484" s="17" t="str">
        <f>IF(AND(C484&lt;&gt;"", 'Cost Inputs'!$I$123&lt;&gt;""), 'Cost Inputs'!$I$123, "")</f>
        <v/>
      </c>
      <c r="G484" s="105" t="str">
        <f t="shared" si="333"/>
        <v/>
      </c>
      <c r="H484" s="17" t="str">
        <f>IF(AND(C484&lt;&gt;"", 'Cost Inputs'!$J$123&lt;&gt;""), 'Cost Inputs'!$J$123, "")</f>
        <v/>
      </c>
      <c r="I484" s="17" t="str">
        <f>IF($C484&lt;&gt;"", IF(AND($E484&lt;&gt;"", H484&lt;&gt;""), H484/$E484, 0),"")</f>
        <v/>
      </c>
      <c r="J484" s="17" t="str">
        <f>IF(AND(C484&lt;&gt;"",('Cost Inputs'!$I$123+'Cost Inputs'!$J$123+'Cost Inputs'!$K$123)&gt;0), 'Cost Inputs'!$I$123+'Cost Inputs'!$J$123+'Cost Inputs'!$K$123, "")</f>
        <v/>
      </c>
      <c r="K484" s="17" t="str">
        <f>IF($C484&lt;&gt;"", IF(AND($E484&lt;&gt;"", J484&lt;&gt;""), J484/$E484, 0),"")</f>
        <v/>
      </c>
      <c r="L484" s="525"/>
      <c r="M484" s="525"/>
      <c r="V484" s="17" t="str">
        <f t="shared" si="305"/>
        <v/>
      </c>
      <c r="W484" s="17" t="str">
        <f t="shared" si="306"/>
        <v/>
      </c>
      <c r="X484" s="17" t="str">
        <f t="shared" si="307"/>
        <v/>
      </c>
      <c r="Y484" s="17" t="str">
        <f t="shared" si="308"/>
        <v/>
      </c>
      <c r="Z484" s="17" t="str">
        <f t="shared" si="309"/>
        <v/>
      </c>
      <c r="AA484" s="17" t="str">
        <f t="shared" si="310"/>
        <v/>
      </c>
      <c r="AB484" s="17" t="str">
        <f t="shared" si="311"/>
        <v/>
      </c>
      <c r="AC484" s="17" t="str">
        <f t="shared" si="312"/>
        <v/>
      </c>
      <c r="AD484" s="17" t="str">
        <f t="shared" si="313"/>
        <v/>
      </c>
      <c r="AE484" s="17" t="str">
        <f t="shared" si="314"/>
        <v/>
      </c>
      <c r="AF484" s="17" t="str">
        <f t="shared" si="315"/>
        <v/>
      </c>
      <c r="AG484" s="17" t="str">
        <f t="shared" si="316"/>
        <v/>
      </c>
      <c r="AH484" s="17" t="str">
        <f t="shared" si="317"/>
        <v/>
      </c>
      <c r="AI484" s="17" t="str">
        <f t="shared" si="318"/>
        <v/>
      </c>
      <c r="AJ484" s="17" t="str">
        <f t="shared" si="319"/>
        <v/>
      </c>
      <c r="AK484" s="17" t="str">
        <f t="shared" si="320"/>
        <v/>
      </c>
      <c r="AL484" s="17" t="str">
        <f t="shared" si="321"/>
        <v/>
      </c>
      <c r="AM484" s="17" t="str">
        <f t="shared" si="322"/>
        <v/>
      </c>
      <c r="AN484" s="17" t="str">
        <f t="shared" si="323"/>
        <v/>
      </c>
      <c r="AO484" s="17" t="str">
        <f t="shared" si="324"/>
        <v/>
      </c>
      <c r="AP484" s="17" t="str">
        <f t="shared" si="325"/>
        <v/>
      </c>
      <c r="AQ484" s="17" t="str">
        <f t="shared" si="326"/>
        <v/>
      </c>
      <c r="AR484" s="17" t="str">
        <f t="shared" si="327"/>
        <v/>
      </c>
      <c r="AS484" s="17" t="str">
        <f t="shared" si="328"/>
        <v/>
      </c>
      <c r="AT484" s="17" t="str">
        <f t="shared" si="329"/>
        <v/>
      </c>
      <c r="AU484" s="17" t="str">
        <f t="shared" si="330"/>
        <v/>
      </c>
      <c r="AV484" s="17" t="str">
        <f t="shared" si="331"/>
        <v/>
      </c>
      <c r="AW484" s="17" t="str">
        <f t="shared" si="332"/>
        <v/>
      </c>
    </row>
    <row r="485" spans="1:50" x14ac:dyDescent="0.25">
      <c r="A485" s="518"/>
      <c r="B485" s="504"/>
      <c r="C485" s="110" t="str">
        <f>IF(ISNUMBER(B465), _4_6_0, "")</f>
        <v/>
      </c>
      <c r="D485" s="94" t="str">
        <f>IF(AND(C485&lt;&gt;"", 'Cost Inputs'!$G$124&lt;&gt;""), 'Cost Inputs'!$G$124, "")</f>
        <v/>
      </c>
      <c r="E485" s="94" t="str">
        <f>IF(AND(C485&lt;&gt;"", 'Cost Inputs'!$H$124&lt;&gt;""), 'Cost Inputs'!$H$124, "")</f>
        <v/>
      </c>
      <c r="F485" s="94" t="str">
        <f>IF(AND(C485&lt;&gt;"", 'Cost Inputs'!$I$124&lt;&gt;""), 'Cost Inputs'!$I$124, "")</f>
        <v/>
      </c>
      <c r="G485" s="102" t="str">
        <f t="shared" si="333"/>
        <v/>
      </c>
      <c r="H485" s="94" t="str">
        <f>IF(AND(C485&lt;&gt;"", 'Cost Inputs'!$J$124&lt;&gt;""), 'Cost Inputs'!$J$124, "")</f>
        <v/>
      </c>
      <c r="I485" s="102" t="str">
        <f>IF($C485&lt;&gt;"",IF(AND($E485&lt;&gt;"",H485&lt;&gt;""), H485/$E485, 0),"")</f>
        <v/>
      </c>
      <c r="J485" s="94" t="str">
        <f>IF(AND(C485&lt;&gt;"",('Cost Inputs'!$I$124+'Cost Inputs'!$J$124+'Cost Inputs'!$K$124)&gt;0), 'Cost Inputs'!$I$124+'Cost Inputs'!$J$124+'Cost Inputs'!$K$124, "")</f>
        <v/>
      </c>
      <c r="K485" s="102" t="str">
        <f>IF($C485&lt;&gt;"",IF(AND($E485&lt;&gt;"",J485&lt;&gt;""), J485/$E485, 0),"")</f>
        <v/>
      </c>
      <c r="L485" s="525"/>
      <c r="M485" s="525"/>
      <c r="V485" s="102" t="str">
        <f>IF(ISNUMBER($B$465), IF($C485&lt;&gt;"", IF(AND(ISNUMBER('Stage 2 Randomized Selection'!E$2),'Stage 2 Randomized Selection'!E$2&gt;0),'Stage 2 Randomized Selection'!E$2*$M465, ""),""),"")</f>
        <v/>
      </c>
      <c r="W485" s="102" t="str">
        <f>IF(ISNUMBER($B$465), IF($C485&lt;&gt;"", IF(AND(ISNUMBER('Stage 2 Randomized Selection'!F$2),'Stage 2 Randomized Selection'!F$2&gt;0),'Stage 2 Randomized Selection'!F$2*$M465, ""),""),"")</f>
        <v/>
      </c>
      <c r="X485" s="102" t="str">
        <f>IF(ISNUMBER($B$465), IF($C485&lt;&gt;"", IF(AND(ISNUMBER('Stage 2 Randomized Selection'!G$2),'Stage 2 Randomized Selection'!G$2&gt;0),'Stage 2 Randomized Selection'!G$2*$M465, ""),""),"")</f>
        <v/>
      </c>
      <c r="Y485" s="102" t="str">
        <f>IF(ISNUMBER($B$465), IF($C485&lt;&gt;"", IF(AND(ISNUMBER('Stage 2 Randomized Selection'!H$2),'Stage 2 Randomized Selection'!H$2&gt;0),'Stage 2 Randomized Selection'!H$2*$M465, ""),""),"")</f>
        <v/>
      </c>
      <c r="Z485" s="102" t="str">
        <f>IF(ISNUMBER($B$465), IF($C485&lt;&gt;"", IF(AND(ISNUMBER('Stage 2 Randomized Selection'!I$2),'Stage 2 Randomized Selection'!I$2&gt;0),'Stage 2 Randomized Selection'!I$2*$M465, ""),""),"")</f>
        <v/>
      </c>
      <c r="AA485" s="102" t="str">
        <f>IF(ISNUMBER($B$465), IF($C485&lt;&gt;"", IF(AND(ISNUMBER('Stage 2 Randomized Selection'!J$2),'Stage 2 Randomized Selection'!J$2&gt;0),'Stage 2 Randomized Selection'!J$2*$M465, ""),""),"")</f>
        <v/>
      </c>
      <c r="AB485" s="102" t="str">
        <f>IF(ISNUMBER($B$465), IF($C485&lt;&gt;"", IF(AND(ISNUMBER('Stage 2 Randomized Selection'!K$2),'Stage 2 Randomized Selection'!K$2&gt;0),'Stage 2 Randomized Selection'!K$2*$M465, ""),""),"")</f>
        <v/>
      </c>
      <c r="AC485" s="102" t="str">
        <f>IF(ISNUMBER($B$465), IF($C485&lt;&gt;"", IF(AND(ISNUMBER('Stage 2 Randomized Selection'!L$2),'Stage 2 Randomized Selection'!L$2&gt;0),'Stage 2 Randomized Selection'!L$2*$M465, ""),""),"")</f>
        <v/>
      </c>
      <c r="AD485" s="102" t="str">
        <f>IF(ISNUMBER($B$465), IF($C485&lt;&gt;"", IF(AND(ISNUMBER('Stage 2 Randomized Selection'!M$2),'Stage 2 Randomized Selection'!M$2&gt;0),'Stage 2 Randomized Selection'!M$2*$M465, ""),""),"")</f>
        <v/>
      </c>
      <c r="AE485" s="102" t="str">
        <f>IF(ISNUMBER($B$465), IF($C485&lt;&gt;"", IF(AND(ISNUMBER('Stage 2 Randomized Selection'!N$2),'Stage 2 Randomized Selection'!N$2&gt;0),'Stage 2 Randomized Selection'!N$2*$M465, ""),""),"")</f>
        <v/>
      </c>
      <c r="AF485" s="102" t="str">
        <f>IF(ISNUMBER($B$465), IF($C485&lt;&gt;"", IF(AND(ISNUMBER('Stage 2 Randomized Selection'!O$2),'Stage 2 Randomized Selection'!O$2&gt;0),'Stage 2 Randomized Selection'!O$2*$M465, ""),""),"")</f>
        <v/>
      </c>
      <c r="AG485" s="102" t="str">
        <f>IF(ISNUMBER($B$465), IF($C485&lt;&gt;"", IF(AND(ISNUMBER('Stage 2 Randomized Selection'!P$2),'Stage 2 Randomized Selection'!P$2&gt;0),'Stage 2 Randomized Selection'!P$2*$M465, ""),""),"")</f>
        <v/>
      </c>
      <c r="AH485" s="102" t="str">
        <f>IF(ISNUMBER($B$465), IF($C485&lt;&gt;"", IF(AND(ISNUMBER('Stage 2 Randomized Selection'!Q$2),'Stage 2 Randomized Selection'!Q$2&gt;0),'Stage 2 Randomized Selection'!Q$2*$M465, ""),""),"")</f>
        <v/>
      </c>
      <c r="AI485" s="102" t="str">
        <f>IF(ISNUMBER($B$465), IF($C485&lt;&gt;"", IF(AND(ISNUMBER('Stage 2 Randomized Selection'!R$2),'Stage 2 Randomized Selection'!R$2&gt;0),'Stage 2 Randomized Selection'!R$2*$M465, ""),""),"")</f>
        <v/>
      </c>
      <c r="AJ485" s="102" t="str">
        <f>IF(ISNUMBER($B$465), IF($C485&lt;&gt;"", IF(AND(ISNUMBER('Stage 2 Randomized Selection'!S$2),'Stage 2 Randomized Selection'!S$2&gt;0),'Stage 2 Randomized Selection'!S$2*$M465, ""),""),"")</f>
        <v/>
      </c>
      <c r="AK485" s="102" t="str">
        <f>IF(ISNUMBER($B$465), IF($C485&lt;&gt;"", IF(AND(ISNUMBER('Stage 2 Randomized Selection'!T$2),'Stage 2 Randomized Selection'!T$2&gt;0),'Stage 2 Randomized Selection'!T$2*$M465, ""),""),"")</f>
        <v/>
      </c>
      <c r="AL485" s="102" t="str">
        <f>IF(ISNUMBER($B$465), IF($C485&lt;&gt;"", IF(AND(ISNUMBER('Stage 2 Randomized Selection'!U$2),'Stage 2 Randomized Selection'!U$2&gt;0),'Stage 2 Randomized Selection'!U$2*$M465, ""),""),"")</f>
        <v/>
      </c>
      <c r="AM485" s="102" t="str">
        <f>IF(ISNUMBER($B$465), IF($C485&lt;&gt;"", IF(AND(ISNUMBER('Stage 2 Randomized Selection'!V$2),'Stage 2 Randomized Selection'!V$2&gt;0),'Stage 2 Randomized Selection'!V$2*$M465, ""),""),"")</f>
        <v/>
      </c>
      <c r="AN485" s="102" t="str">
        <f>IF(ISNUMBER($B$465), IF($C485&lt;&gt;"", IF(AND(ISNUMBER('Stage 2 Randomized Selection'!W$2),'Stage 2 Randomized Selection'!W$2&gt;0),'Stage 2 Randomized Selection'!W$2*$M465, ""),""),"")</f>
        <v/>
      </c>
      <c r="AO485" s="102" t="str">
        <f>IF(ISNUMBER($B$465), IF($C485&lt;&gt;"", IF(AND(ISNUMBER('Stage 2 Randomized Selection'!X$2),'Stage 2 Randomized Selection'!X$2&gt;0),'Stage 2 Randomized Selection'!X$2*$M465, ""),""),"")</f>
        <v/>
      </c>
      <c r="AP485" s="102" t="str">
        <f>IF(ISNUMBER($B$465), IF($C485&lt;&gt;"", IF(AND(ISNUMBER('Stage 2 Randomized Selection'!Y$2),'Stage 2 Randomized Selection'!Y$2&gt;0),'Stage 2 Randomized Selection'!Y$2*$M465, ""),""),"")</f>
        <v/>
      </c>
      <c r="AQ485" s="102" t="str">
        <f>IF(ISNUMBER($B$465), IF($C485&lt;&gt;"", IF(AND(ISNUMBER('Stage 2 Randomized Selection'!Z$2),'Stage 2 Randomized Selection'!Z$2&gt;0),'Stage 2 Randomized Selection'!Z$2*$M465, ""),""),"")</f>
        <v/>
      </c>
      <c r="AR485" s="102" t="str">
        <f>IF(ISNUMBER($B$465), IF($C485&lt;&gt;"", IF(AND(ISNUMBER('Stage 2 Randomized Selection'!AA$2),'Stage 2 Randomized Selection'!AA$2&gt;0),'Stage 2 Randomized Selection'!AA$2*$M465, ""),""),"")</f>
        <v/>
      </c>
      <c r="AS485" s="102" t="str">
        <f>IF(ISNUMBER($B$465), IF($C485&lt;&gt;"", IF(AND(ISNUMBER('Stage 2 Randomized Selection'!AB$2),'Stage 2 Randomized Selection'!AB$2&gt;0),'Stage 2 Randomized Selection'!AB$2*$M465, ""),""),"")</f>
        <v/>
      </c>
      <c r="AT485" s="102" t="str">
        <f>IF(ISNUMBER($B$465), IF($C485&lt;&gt;"", IF(AND(ISNUMBER('Stage 2 Randomized Selection'!AC$2),'Stage 2 Randomized Selection'!AC$2&gt;0),'Stage 2 Randomized Selection'!AC$2*$M465, ""),""),"")</f>
        <v/>
      </c>
      <c r="AU485" s="102" t="str">
        <f>IF(ISNUMBER($B$465), IF($C485&lt;&gt;"", IF(AND(ISNUMBER('Stage 2 Randomized Selection'!AD$2),'Stage 2 Randomized Selection'!AD$2&gt;0),'Stage 2 Randomized Selection'!AD$2*$M465, ""),""),"")</f>
        <v/>
      </c>
      <c r="AV485" s="102" t="str">
        <f>IF(ISNUMBER($B$465), IF($C485&lt;&gt;"", IF(AND(ISNUMBER('Stage 2 Randomized Selection'!AE$2),'Stage 2 Randomized Selection'!AE$2&gt;0),'Stage 2 Randomized Selection'!AE$2*$M465, ""),""),"")</f>
        <v/>
      </c>
      <c r="AW485" s="102" t="str">
        <f>IF(ISNUMBER($B$465), IF($C485&lt;&gt;"", IF(AND(ISNUMBER('Stage 2 Randomized Selection'!AF$2),'Stage 2 Randomized Selection'!AF$2&gt;0),'Stage 2 Randomized Selection'!AF$2*$M465, ""),""),"")</f>
        <v/>
      </c>
    </row>
    <row r="486" spans="1:50" x14ac:dyDescent="0.25">
      <c r="A486" s="518"/>
      <c r="B486" s="504"/>
      <c r="C486" s="104" t="str">
        <f>IF(AND(ISNUMBER(B465), OR('Cost Inputs'!$H$125&lt;&gt;"", 'Cost Inputs'!$I$125&lt;&gt;"", 'Cost Inputs'!$J$125&lt;&gt;"")), _4_5_3, "")</f>
        <v/>
      </c>
      <c r="D486" s="17" t="str">
        <f>IF(AND(C486&lt;&gt;"", 'Cost Inputs'!$G$125&lt;&gt;""), 'Cost Inputs'!$G$125, "")</f>
        <v/>
      </c>
      <c r="E486" s="17" t="str">
        <f>IF(AND(C486&lt;&gt;"", 'Cost Inputs'!$H$125&lt;&gt;""), 'Cost Inputs'!$H$125, "")</f>
        <v/>
      </c>
      <c r="F486" s="17" t="str">
        <f>IF(AND(C486&lt;&gt;"", 'Cost Inputs'!$I$125&lt;&gt;""), 'Cost Inputs'!$I$125, "")</f>
        <v/>
      </c>
      <c r="G486" s="105" t="str">
        <f t="shared" si="333"/>
        <v/>
      </c>
      <c r="H486" s="17" t="str">
        <f>IF(AND(C486&lt;&gt;"", 'Cost Inputs'!$J$125&lt;&gt;""), 'Cost Inputs'!$J$125, "")</f>
        <v/>
      </c>
      <c r="I486" s="17" t="str">
        <f>IF($C486&lt;&gt;"", IF(AND($E486&lt;&gt;"", H486&lt;&gt;""), H486/$E486, 0),"")</f>
        <v/>
      </c>
      <c r="J486" s="17" t="str">
        <f>IF(AND(C486&lt;&gt;"",('Cost Inputs'!$I$125+'Cost Inputs'!$J$125+'Cost Inputs'!$K$125)&gt;0), 'Cost Inputs'!$I$125+'Cost Inputs'!$J$125+'Cost Inputs'!$K$125, "")</f>
        <v/>
      </c>
      <c r="K486" s="17" t="str">
        <f>IF($C486&lt;&gt;"", IF(AND($E486&lt;&gt;"", J486&lt;&gt;""), J486/$E486, 0),"")</f>
        <v/>
      </c>
      <c r="L486" s="525"/>
      <c r="M486" s="525"/>
      <c r="V486" s="17" t="str">
        <f>IF(ISNUMBER($B$465),
IF($C486&lt;&gt;"",
IF(AND(ISNUMBER(U$464), U$464&gt;0),
IF(AND(V$279=123, Cultivar_1_Cohort_Year_Selection=$O$278,Cultivar_2_Cohort_Year_Selection=$O$278,Cultivar_3_Cohort_Year_Selection=$O$278), ROUND(MAX(0,U$464 - 3),0),
IF(AND(OR(V$279=123, V$279=12), Cultivar_1_Cohort_Year_Selection=$O$278,Cultivar_2_Cohort_Year_Selection=$O$278), ROUND(MAX(0,U$464 - 2),0),
IF(AND(OR(V$279=123, V$279=13), Cultivar_1_Cohort_Year_Selection=$O$278,Cultivar_3_Cohort_Year_Selection=$O$278), ROUND(MAX(0,U$464 - 2),0),
IF(AND(OR(V$279=123, V$279=23), Cultivar_2_Cohort_Year_Selection=$O$278,Cultivar_3_Cohort_Year_Selection=$O$278), ROUND(MAX(0,U$464 - 2),0),
IF(AND(OR(V$279=123, V$279=12, V$279=13, V$279=1), Cultivar_1_Cohort_Year_Selection=$O$278), ROUND(MAX(0,U$464 - 1),0),
IF(AND(OR(V$279=123, V$279=12, V$279=23, V$279=2), Cultivar_2_Cohort_Year_Selection=$O$278), ROUND(MAX(0,U$464 - 1),0),
IF(AND(OR(V$279=123, V$279=13, V$279=23, V$279=3), Cultivar_3_Cohort_Year_Selection=$O$278), ROUND(MAX(0,U$464 - 1),0),
ROUND(MAX(0,U$464),0)))))))),""),""),"")</f>
        <v/>
      </c>
      <c r="W486" s="17" t="str">
        <f>IF(ISNUMBER($B$465),
IF($C486&lt;&gt;"",
IF(AND(ISNUMBER(V$464), V$464&gt;0),
IF(AND(W$279=123, Cultivar_1_Cohort_Year_Selection=$P$278,Cultivar_2_Cohort_Year_Selection=$P$278,Cultivar_3_Cohort_Year_Selection=$P$278), ROUND(MAX(0,V$464 - 3),0),
IF(AND(OR(W$279=123, W$279=12), Cultivar_1_Cohort_Year_Selection=$P$278,Cultivar_2_Cohort_Year_Selection=$P$278), ROUND(MAX(0,V$464 - 2),0),
IF(AND(OR(W$279=123, W$279=13), Cultivar_1_Cohort_Year_Selection=$P$278,Cultivar_3_Cohort_Year_Selection=$P$278), ROUND(MAX(0,V$464 - 2),0),
IF(AND(OR(W$279=123, W$279=23), Cultivar_2_Cohort_Year_Selection=$P$278,Cultivar_3_Cohort_Year_Selection=$P$278), ROUND(MAX(0,V$464 - 2),0),
IF(AND(OR(W$279=123, W$279=12, W$279=13, W$279=1), Cultivar_1_Cohort_Year_Selection=$P$278), ROUND(MAX(0,V$464 - 1),0),
IF(AND(OR(W$279=123, W$279=12, W$279=23, W$279=2), Cultivar_2_Cohort_Year_Selection=$P$278), ROUND(MAX(0,V$464 - 1),0),
IF(AND(OR(W$279=123, W$279=13, W$279=23, W$279=3), Cultivar_3_Cohort_Year_Selection=$P$278), ROUND(MAX(0,V$464 - 1),0),
ROUND(MAX(0,V$464),0)))))))),""),""),"")</f>
        <v/>
      </c>
      <c r="X486" s="17" t="str">
        <f>IF(ISNUMBER($B$465),
IF($C486&lt;&gt;"",
IF(AND(ISNUMBER(W$464), W$464&gt;0),
IF(AND(X$279=123, Cultivar_1_Cohort_Year_Selection=$Q$278,Cultivar_2_Cohort_Year_Selection=$Q$278,Cultivar_3_Cohort_Year_Selection=$Q$278), ROUND(MAX(0,W$464 - 3),0),
IF(AND(OR(X$279=123, X$279=12), Cultivar_1_Cohort_Year_Selection=$Q$278,Cultivar_2_Cohort_Year_Selection=$Q$278), ROUND(MAX(0,W$464 - 2),0),
IF(AND(OR(X$279=123, X$279=13), Cultivar_1_Cohort_Year_Selection=$Q$278,Cultivar_3_Cohort_Year_Selection=$Q$278), ROUND(MAX(0,W$464 - 2),0),
IF(AND(OR(X$279=123, X$279=23), Cultivar_2_Cohort_Year_Selection=$Q$278,Cultivar_3_Cohort_Year_Selection=$Q$278), ROUND(MAX(0,W$464 - 2),0),
IF(AND(OR(X$279=123, X$279=12, X$279=13, X$279=1), Cultivar_1_Cohort_Year_Selection=$Q$278), ROUND(MAX(0,W$464 - 1),0),
IF(AND(OR(X$279=123, X$279=12, X$279=23, X$279=2), Cultivar_2_Cohort_Year_Selection=$Q$278), ROUND(MAX(0,W$464 - 1),0),
IF(AND(OR(X$279=123, X$279=13, X$279=23, X$279=3), Cultivar_3_Cohort_Year_Selection=$Q$278), ROUND(MAX(0,W$464 - 1),0),
ROUND(MAX(0,W$464),0)))))))),""),""),"")</f>
        <v/>
      </c>
      <c r="Y486" s="17" t="str">
        <f>IF(ISNUMBER($B$465),
IF($C486&lt;&gt;"",
IF(AND(ISNUMBER(X$464), X$464&gt;0),
IF(AND(Y$279=123, Cultivar_1_Cohort_Year_Selection=$R$278,Cultivar_2_Cohort_Year_Selection=$R$278,Cultivar_3_Cohort_Year_Selection=$R$278), ROUND(MAX(0,X$464 - 3),0),
IF(AND(OR(Y$279=123, Y$279=12), Cultivar_1_Cohort_Year_Selection=$R$278,Cultivar_2_Cohort_Year_Selection=$R$278), ROUND(MAX(0,X$464 - 2),0),
IF(AND(OR(Y$279=123, Y$279=13), Cultivar_1_Cohort_Year_Selection=$R$278,Cultivar_3_Cohort_Year_Selection=$R$278), ROUND(MAX(0,X$464 - 2),0),
IF(AND(OR(Y$279=123, Y$279=23), Cultivar_2_Cohort_Year_Selection=$R$278,Cultivar_3_Cohort_Year_Selection=$R$278), ROUND(MAX(0,X$464 - 2),0),
IF(AND(OR(Y$279=123, Y$279=12, Y$279=13, Y$279=1), Cultivar_1_Cohort_Year_Selection=$R$278), ROUND(MAX(0,X$464 - 1),0),
IF(AND(OR(Y$279=123, Y$279=12, Y$279=23, Y$279=2), Cultivar_2_Cohort_Year_Selection=$R$278), ROUND(MAX(0,X$464 - 1),0),
IF(AND(OR(Y$279=123, Y$279=13, Y$279=23, Y$279=3), Cultivar_3_Cohort_Year_Selection=$R$278), ROUND(MAX(0,X$464 - 1),0),
ROUND(MAX(0,X$464),0)))))))),""),""),"")</f>
        <v/>
      </c>
      <c r="Z486" s="17" t="str">
        <f>IF(ISNUMBER($B$465),
IF($C486&lt;&gt;"",
IF(AND(ISNUMBER(Y$464), Y$464&gt;0),
IF(AND(Z$279=123, Cultivar_1_Cohort_Year_Selection=$S$278,Cultivar_2_Cohort_Year_Selection=$S$278,Cultivar_3_Cohort_Year_Selection=$S$278), ROUND(MAX(0,Y$464 - 3),0),
IF(AND(OR(Z$279=123, Z$279=12), Cultivar_1_Cohort_Year_Selection=$S$278,Cultivar_2_Cohort_Year_Selection=$S$278), ROUND(MAX(0,Y$464 - 2),0),
IF(AND(OR(Z$279=123, Z$279=13), Cultivar_1_Cohort_Year_Selection=$S$278,Cultivar_3_Cohort_Year_Selection=$S$278), ROUND(MAX(0,Y$464 - 2),0),
IF(AND(OR(Z$279=123, Z$279=23), Cultivar_2_Cohort_Year_Selection=$S$278,Cultivar_3_Cohort_Year_Selection=$S$278), ROUND(MAX(0,Y$464 - 2),0),
IF(AND(OR(Z$279=123, Z$279=12, Z$279=13, Z$279=1), Cultivar_1_Cohort_Year_Selection=$S$278), ROUND(MAX(0,Y$464 - 1),0),
IF(AND(OR(Z$279=123, Z$279=12, Z$279=23, Z$279=2), Cultivar_2_Cohort_Year_Selection=$S$278), ROUND(MAX(0,Y$464 - 1),0),
IF(AND(OR(Z$279=123, Z$279=13, Z$279=23, Z$279=3), Cultivar_3_Cohort_Year_Selection=$S$278), ROUND(MAX(0,Y$464 - 1),0),
ROUND(MAX(0,Y$464),0)))))))),""),""),"")</f>
        <v/>
      </c>
      <c r="AA486" s="17" t="str">
        <f>IF(ISNUMBER($B$465),
IF($C486&lt;&gt;"",
IF(AND(ISNUMBER(Z$464), Z$464&gt;0),
IF(AND(AA$279=123, Cultivar_1_Cohort_Year_Selection=$T$278,Cultivar_2_Cohort_Year_Selection=$T$278,Cultivar_3_Cohort_Year_Selection=$T$278), ROUND(MAX(0,Z$464 - 3),0),
IF(AND(OR(AA$279=123, AA$279=12), Cultivar_1_Cohort_Year_Selection=$T$278,Cultivar_2_Cohort_Year_Selection=$T$278), ROUND(MAX(0,Z$464 - 2),0),
IF(AND(OR(AA$279=123, AA$279=13), Cultivar_1_Cohort_Year_Selection=$T$278,Cultivar_3_Cohort_Year_Selection=$T$278), ROUND(MAX(0,Z$464 - 2),0),
IF(AND(OR(AA$279=123, AA$279=23), Cultivar_2_Cohort_Year_Selection=$T$278,Cultivar_3_Cohort_Year_Selection=$T$278), ROUND(MAX(0,Z$464 - 2),0),
IF(AND(OR(AA$279=123, AA$279=12, AA$279=13, AA$279=1), Cultivar_1_Cohort_Year_Selection=$T$278), ROUND(MAX(0,Z$464 - 1),0),
IF(AND(OR(AA$279=123, AA$279=12, AA$279=23, AA$279=2), Cultivar_2_Cohort_Year_Selection=$T$278), ROUND(MAX(0,Z$464 - 1),0),
IF(AND(OR(AA$279=123, AA$279=13, AA$279=23, AA$279=3), Cultivar_3_Cohort_Year_Selection=$T$278), ROUND(MAX(0,Z$464 - 1),0),
ROUND(MAX(0,Z$464),0)))))))),""),""),"")</f>
        <v/>
      </c>
      <c r="AB486" s="17" t="str">
        <f>IF(ISNUMBER($B$465),
IF($C486&lt;&gt;"",
IF(AND(ISNUMBER(AA$464), AA$464&gt;0),
IF(AND(AB$279=123, Cultivar_1_Cohort_Year_Selection=$U$278,Cultivar_2_Cohort_Year_Selection=$U$278,Cultivar_3_Cohort_Year_Selection=$U$278), ROUND(MAX(0,AA$464 - 3),0),
IF(AND(OR(AB$279=123, AB$279=12), Cultivar_1_Cohort_Year_Selection=$U$278,Cultivar_2_Cohort_Year_Selection=$U$278), ROUND(MAX(0,AA$464 - 2),0),
IF(AND(OR(AB$279=123, AB$279=13), Cultivar_1_Cohort_Year_Selection=$U$278,Cultivar_3_Cohort_Year_Selection=$U$278), ROUND(MAX(0,AA$464 - 2),0),
IF(AND(OR(AB$279=123, AB$279=23), Cultivar_2_Cohort_Year_Selection=$U$278,Cultivar_3_Cohort_Year_Selection=$U$278), ROUND(MAX(0,AA$464 - 2),0),
IF(AND(OR(AB$279=123, AB$279=12, AB$279=13, AB$279=1), Cultivar_1_Cohort_Year_Selection=$U$278), ROUND(MAX(0,AA$464 - 1),0),
IF(AND(OR(AB$279=123, AB$279=12, AB$279=23, AB$279=2), Cultivar_2_Cohort_Year_Selection=$U$278), ROUND(MAX(0,AA$464 - 1),0),
IF(AND(OR(AB$279=123, AB$279=13, AB$279=23, AB$279=3), Cultivar_3_Cohort_Year_Selection=$U$278), ROUND(MAX(0,AA$464 - 1),0),
ROUND(MAX(0,AA$464),0)))))))),""),""),"")</f>
        <v/>
      </c>
      <c r="AC486" s="17" t="str">
        <f>IF(ISNUMBER($B$465),
IF($C486&lt;&gt;"",
IF(AND(ISNUMBER(AB$464), AB$464&gt;0),
IF(AND(AC$279=123, Cultivar_1_Cohort_Year_Selection=$V$278,Cultivar_2_Cohort_Year_Selection=$V$278,Cultivar_3_Cohort_Year_Selection=$V$278), ROUND(MAX(0,AB$464 - 3),0),
IF(AND(OR(AC$279=123, AC$279=12), Cultivar_1_Cohort_Year_Selection=$V$278,Cultivar_2_Cohort_Year_Selection=$V$278), ROUND(MAX(0,AB$464 - 2),0),
IF(AND(OR(AC$279=123, AC$279=13), Cultivar_1_Cohort_Year_Selection=$V$278,Cultivar_3_Cohort_Year_Selection=$V$278), ROUND(MAX(0,AB$464 - 2),0),
IF(AND(OR(AC$279=123, AC$279=23), Cultivar_2_Cohort_Year_Selection=$V$278,Cultivar_3_Cohort_Year_Selection=$V$278), ROUND(MAX(0,AB$464 - 2),0),
IF(AND(OR(AC$279=123, AC$279=12, AC$279=13, AC$279=1), Cultivar_1_Cohort_Year_Selection=$V$278), ROUND(MAX(0,AB$464 - 1),0),
IF(AND(OR(AC$279=123, AC$279=12, AC$279=23, AC$279=2), Cultivar_2_Cohort_Year_Selection=$V$278), ROUND(MAX(0,AB$464 - 1),0),
IF(AND(OR(AC$279=123, AC$279=13, AC$279=23, AC$279=3), Cultivar_3_Cohort_Year_Selection=$V$278), ROUND(MAX(0,AB$464 - 1),0),
ROUND(MAX(0,AB$464),0)))))))),""),""),"")</f>
        <v/>
      </c>
      <c r="AD486" s="17" t="str">
        <f>IF(ISNUMBER($B$465),
IF($C486&lt;&gt;"",
IF(AND(ISNUMBER(AC$464), AC$464&gt;0),
IF(AND(AD$279=123, Cultivar_1_Cohort_Year_Selection=$W$278,Cultivar_2_Cohort_Year_Selection=$W$278,Cultivar_3_Cohort_Year_Selection=$W$278), ROUND(MAX(0,AC$464 - 3),0),
IF(AND(OR(AD$279=123, AD$279=12), Cultivar_1_Cohort_Year_Selection=$W$278,Cultivar_2_Cohort_Year_Selection=$W$278), ROUND(MAX(0,AC$464 - 2),0),
IF(AND(OR(AD$279=123, AD$279=13), Cultivar_1_Cohort_Year_Selection=$W$278,Cultivar_3_Cohort_Year_Selection=$W$278), ROUND(MAX(0,AC$464 - 2),0),
IF(AND(OR(AD$279=123, AD$279=23), Cultivar_2_Cohort_Year_Selection=$W$278,Cultivar_3_Cohort_Year_Selection=$W$278), ROUND(MAX(0,AC$464 - 2),0),
IF(AND(OR(AD$279=123, AD$279=12, AD$279=13, AD$279=1), Cultivar_1_Cohort_Year_Selection=$W$278), ROUND(MAX(0,AC$464 - 1),0),
IF(AND(OR(AD$279=123, AD$279=12, AD$279=23, AD$279=2), Cultivar_2_Cohort_Year_Selection=$W$278), ROUND(MAX(0,AC$464 - 1),0),
IF(AND(OR(AD$279=123, AD$279=13, AD$279=23, AD$279=3), Cultivar_3_Cohort_Year_Selection=$W$278), ROUND(MAX(0,AC$464 - 1),0),
ROUND(MAX(0,AC$464),0)))))))),""),""),"")</f>
        <v/>
      </c>
      <c r="AE486" s="17" t="str">
        <f>IF(ISNUMBER($B$465),
IF($C486&lt;&gt;"",
IF(AND(ISNUMBER(AD$464), AD$464&gt;0),
IF(AND(AE$279=123, Cultivar_1_Cohort_Year_Selection=$X$278,Cultivar_2_Cohort_Year_Selection=$X$278,Cultivar_3_Cohort_Year_Selection=$X$278), ROUND(MAX(0,AD$464 - 3),0),
IF(AND(OR(AE$279=123, AE$279=12), Cultivar_1_Cohort_Year_Selection=$X$278,Cultivar_2_Cohort_Year_Selection=$X$278), ROUND(MAX(0,AD$464 - 2),0),
IF(AND(OR(AE$279=123, AE$279=13), Cultivar_1_Cohort_Year_Selection=$X$278,Cultivar_3_Cohort_Year_Selection=$X$278), ROUND(MAX(0,AD$464 - 2),0),
IF(AND(OR(AE$279=123, AE$279=23), Cultivar_2_Cohort_Year_Selection=$X$278,Cultivar_3_Cohort_Year_Selection=$X$278), ROUND(MAX(0,AD$464 - 2),0),
IF(AND(OR(AE$279=123, AE$279=12, AE$279=13, AE$279=1), Cultivar_1_Cohort_Year_Selection=$X$278), ROUND(MAX(0,AD$464 - 1),0),
IF(AND(OR(AE$279=123, AE$279=12, AE$279=23, AE$279=2), Cultivar_2_Cohort_Year_Selection=$X$278), ROUND(MAX(0,AD$464 - 1),0),
IF(AND(OR(AE$279=123, AE$279=13, AE$279=23, AE$279=3), Cultivar_3_Cohort_Year_Selection=$X$278), ROUND(MAX(0,AD$464 - 1),0),
ROUND(MAX(0,AD$464),0)))))))),""),""),"")</f>
        <v/>
      </c>
      <c r="AF486" s="17" t="str">
        <f>IF(ISNUMBER($B$465),
IF($C486&lt;&gt;"",
IF(AND(ISNUMBER(AE$464), AE$464&gt;0),
IF(AND(AF$279=123, Cultivar_1_Cohort_Year_Selection=$Y$278,Cultivar_2_Cohort_Year_Selection=$Y$278,Cultivar_3_Cohort_Year_Selection=$Y$278), ROUND(MAX(0,AE$464 - 3),0),
IF(AND(OR(AF$279=123, AF$279=12), Cultivar_1_Cohort_Year_Selection=$Y$278,Cultivar_2_Cohort_Year_Selection=$Y$278), ROUND(MAX(0,AE$464 - 2),0),
IF(AND(OR(AF$279=123, AF$279=13), Cultivar_1_Cohort_Year_Selection=$Y$278,Cultivar_3_Cohort_Year_Selection=$Y$278), ROUND(MAX(0,AE$464 - 2),0),
IF(AND(OR(AF$279=123, AF$279=23), Cultivar_2_Cohort_Year_Selection=$Y$278,Cultivar_3_Cohort_Year_Selection=$Y$278), ROUND(MAX(0,AE$464 - 2),0),
IF(AND(OR(AF$279=123, AF$279=12, AF$279=13, AF$279=1), Cultivar_1_Cohort_Year_Selection=$Y$278), ROUND(MAX(0,AE$464 - 1),0),
IF(AND(OR(AF$279=123, AF$279=12, AF$279=23, AF$279=2), Cultivar_2_Cohort_Year_Selection=$Y$278), ROUND(MAX(0,AE$464 - 1),0),
IF(AND(OR(AF$279=123, AF$279=13, AF$279=23, AF$279=3), Cultivar_3_Cohort_Year_Selection=$Y$278), ROUND(MAX(0,AE$464 - 1),0),
ROUND(MAX(0,AE$464),0)))))))),""),""),"")</f>
        <v/>
      </c>
      <c r="AG486" s="17" t="str">
        <f>IF(ISNUMBER($B$465),
IF($C486&lt;&gt;"",
IF(AND(ISNUMBER(AF$464), AF$464&gt;0),
IF(AND(AG$279=123, Cultivar_1_Cohort_Year_Selection=$Z$278,Cultivar_2_Cohort_Year_Selection=$Z$278,Cultivar_3_Cohort_Year_Selection=$Z$278), ROUND(MAX(0,AF$464 - 3),0),
IF(AND(OR(AG$279=123, AG$279=12), Cultivar_1_Cohort_Year_Selection=$Z$278,Cultivar_2_Cohort_Year_Selection=$Z$278), ROUND(MAX(0,AF$464 - 2),0),
IF(AND(OR(AG$279=123, AG$279=13), Cultivar_1_Cohort_Year_Selection=$Z$278,Cultivar_3_Cohort_Year_Selection=$Z$278), ROUND(MAX(0,AF$464 - 2),0),
IF(AND(OR(AG$279=123, AG$279=23), Cultivar_2_Cohort_Year_Selection=$Z$278,Cultivar_3_Cohort_Year_Selection=$Z$278), ROUND(MAX(0,AF$464 - 2),0),
IF(AND(OR(AG$279=123, AG$279=12, AG$279=13, AG$279=1), Cultivar_1_Cohort_Year_Selection=$Z$278), ROUND(MAX(0,AF$464 - 1),0),
IF(AND(OR(AG$279=123, AG$279=12, AG$279=23, AG$279=2), Cultivar_2_Cohort_Year_Selection=$Z$278), ROUND(MAX(0,AF$464 - 1),0),
IF(AND(OR(AG$279=123, AG$279=13, AG$279=23, AG$279=3), Cultivar_3_Cohort_Year_Selection=$Z$278), ROUND(MAX(0,AF$464 - 1),0),
ROUND(MAX(0,AF$464),0)))))))),""),""),"")</f>
        <v/>
      </c>
      <c r="AH486" s="17" t="str">
        <f>IF(ISNUMBER($B$465),
IF($C486&lt;&gt;"",
IF(AND(ISNUMBER(AG$464), AG$464&gt;0),
IF(AND(AH$279=123, Cultivar_1_Cohort_Year_Selection=$AA$278,Cultivar_2_Cohort_Year_Selection=$AA$278,Cultivar_3_Cohort_Year_Selection=$AA$278), ROUND(MAX(0,AG$464 - 3),0),
IF(AND(OR(AH$279=123, AH$279=12), Cultivar_1_Cohort_Year_Selection=$AA$278,Cultivar_2_Cohort_Year_Selection=$AA$278), ROUND(MAX(0,AG$464 - 2),0),
IF(AND(OR(AH$279=123, AH$279=13), Cultivar_1_Cohort_Year_Selection=$AA$278,Cultivar_3_Cohort_Year_Selection=$AA$278), ROUND(MAX(0,AG$464 - 2),0),
IF(AND(OR(AH$279=123, AH$279=23), Cultivar_2_Cohort_Year_Selection=$AA$278,Cultivar_3_Cohort_Year_Selection=$AA$278), ROUND(MAX(0,AG$464 - 2),0),
IF(AND(OR(AH$279=123, AH$279=12, AH$279=13, AH$279=1), Cultivar_1_Cohort_Year_Selection=$AA$278), ROUND(MAX(0,AG$464 - 1),0),
IF(AND(OR(AH$279=123, AH$279=12, AH$279=23, AH$279=2), Cultivar_2_Cohort_Year_Selection=$AA$278), ROUND(MAX(0,AG$464 - 1),0),
IF(AND(OR(AH$279=123, AH$279=13, AH$279=23, AH$279=3), Cultivar_3_Cohort_Year_Selection=$AA$278), ROUND(MAX(0,AG$464 - 1),0),
ROUND(MAX(0,AG$464),0)))))))),""),""),"")</f>
        <v/>
      </c>
      <c r="AI486" s="17" t="str">
        <f>IF(ISNUMBER($B$465),
IF($C486&lt;&gt;"",
IF(AND(ISNUMBER(AH$464), AH$464&gt;0),
IF(AND(AI$279=123, Cultivar_1_Cohort_Year_Selection=$AB$278,Cultivar_2_Cohort_Year_Selection=$AB$278,Cultivar_3_Cohort_Year_Selection=$AB$278), ROUND(MAX(0,AH$464 - 3),0),
IF(AND(OR(AI$279=123, AI$279=12), Cultivar_1_Cohort_Year_Selection=$AB$278,Cultivar_2_Cohort_Year_Selection=$AB$278), ROUND(MAX(0,AH$464 - 2),0),
IF(AND(OR(AI$279=123, AI$279=13), Cultivar_1_Cohort_Year_Selection=$AB$278,Cultivar_3_Cohort_Year_Selection=$AB$278), ROUND(MAX(0,AH$464 - 2),0),
IF(AND(OR(AI$279=123, AI$279=23), Cultivar_2_Cohort_Year_Selection=$AB$278,Cultivar_3_Cohort_Year_Selection=$AB$278), ROUND(MAX(0,AH$464 - 2),0),
IF(AND(OR(AI$279=123, AI$279=12, AI$279=13, AI$279=1), Cultivar_1_Cohort_Year_Selection=$AB$278), ROUND(MAX(0,AH$464 - 1),0),
IF(AND(OR(AI$279=123, AI$279=12, AI$279=23, AI$279=2), Cultivar_2_Cohort_Year_Selection=$AB$278), ROUND(MAX(0,AH$464 - 1),0),
IF(AND(OR(AI$279=123, AI$279=13, AI$279=23, AI$279=3), Cultivar_3_Cohort_Year_Selection=$AB$278), ROUND(MAX(0,AH$464 - 1),0),
ROUND(MAX(0,AH$464),0)))))))),""),""),"")</f>
        <v/>
      </c>
      <c r="AJ486" s="17" t="str">
        <f>IF(ISNUMBER($B$465),
IF($C486&lt;&gt;"",
IF(AND(ISNUMBER(AI$464), AI$464&gt;0),
IF(AND(AJ$279=123, Cultivar_1_Cohort_Year_Selection=$AC$278,Cultivar_2_Cohort_Year_Selection=$AC$278,Cultivar_3_Cohort_Year_Selection=$AC$278), ROUND(MAX(0,AI$464 - 3),0),
IF(AND(OR(AJ$279=123, AJ$279=12), Cultivar_1_Cohort_Year_Selection=$AC$278,Cultivar_2_Cohort_Year_Selection=$AC$278), ROUND(MAX(0,AI$464 - 2),0),
IF(AND(OR(AJ$279=123, AJ$279=13), Cultivar_1_Cohort_Year_Selection=$AC$278,Cultivar_3_Cohort_Year_Selection=$AC$278), ROUND(MAX(0,AI$464 - 2),0),
IF(AND(OR(AJ$279=123, AJ$279=23), Cultivar_2_Cohort_Year_Selection=$AC$278,Cultivar_3_Cohort_Year_Selection=$AC$278), ROUND(MAX(0,AI$464 - 2),0),
IF(AND(OR(AJ$279=123, AJ$279=12, AJ$279=13, AJ$279=1), Cultivar_1_Cohort_Year_Selection=$AC$278), ROUND(MAX(0,AI$464 - 1),0),
IF(AND(OR(AJ$279=123, AJ$279=12, AJ$279=23, AJ$279=2), Cultivar_2_Cohort_Year_Selection=$AC$278), ROUND(MAX(0,AI$464 - 1),0),
IF(AND(OR(AJ$279=123, AJ$279=13, AJ$279=23, AJ$279=3), Cultivar_3_Cohort_Year_Selection=$AC$278), ROUND(MAX(0,AI$464 - 1),0),
ROUND(MAX(0,AI$464),0)))))))),""),""),"")</f>
        <v/>
      </c>
      <c r="AK486" s="17" t="str">
        <f>IF(ISNUMBER($B$465),
IF($C486&lt;&gt;"",
IF(AND(ISNUMBER(AJ$464), AJ$464&gt;0),
IF(AND(AK$279=123, Cultivar_1_Cohort_Year_Selection=$AD$278,Cultivar_2_Cohort_Year_Selection=$AD$278,Cultivar_3_Cohort_Year_Selection=$AD$278), ROUND(MAX(0,AJ$464 - 3),0),
IF(AND(OR(AK$279=123, AK$279=12), Cultivar_1_Cohort_Year_Selection=$AD$278,Cultivar_2_Cohort_Year_Selection=$AD$278), ROUND(MAX(0,AJ$464 - 2),0),
IF(AND(OR(AK$279=123, AK$279=13), Cultivar_1_Cohort_Year_Selection=$AD$278,Cultivar_3_Cohort_Year_Selection=$AD$278), ROUND(MAX(0,AJ$464 - 2),0),
IF(AND(OR(AK$279=123, AK$279=23), Cultivar_2_Cohort_Year_Selection=$AD$278,Cultivar_3_Cohort_Year_Selection=$AD$278), ROUND(MAX(0,AJ$464 - 2),0),
IF(AND(OR(AK$279=123, AK$279=12, AK$279=13, AK$279=1), Cultivar_1_Cohort_Year_Selection=$AD$278), ROUND(MAX(0,AJ$464 - 1),0),
IF(AND(OR(AK$279=123, AK$279=12, AK$279=23, AK$279=2), Cultivar_2_Cohort_Year_Selection=$AD$278), ROUND(MAX(0,AJ$464 - 1),0),
IF(AND(OR(AK$279=123, AK$279=13, AK$279=23, AK$279=3), Cultivar_3_Cohort_Year_Selection=$AD$278), ROUND(MAX(0,AJ$464 - 1),0),
ROUND(MAX(0,AJ$464),0)))))))),""),""),"")</f>
        <v/>
      </c>
      <c r="AL486" s="17" t="str">
        <f>IF(ISNUMBER($B$465),
IF($C486&lt;&gt;"",
IF(AND(ISNUMBER(AK$464), AK$464&gt;0),
IF(AND(AL$279=123, Cultivar_1_Cohort_Year_Selection=$AE$278,Cultivar_2_Cohort_Year_Selection=$AE$278,Cultivar_3_Cohort_Year_Selection=$AE$278), ROUND(MAX(0,AK$464 - 3),0),
IF(AND(OR(AL$279=123, AL$279=12), Cultivar_1_Cohort_Year_Selection=$AE$278,Cultivar_2_Cohort_Year_Selection=$AE$278), ROUND(MAX(0,AK$464 - 2),0),
IF(AND(OR(AL$279=123, AL$279=13), Cultivar_1_Cohort_Year_Selection=$AE$278,Cultivar_3_Cohort_Year_Selection=$AE$278), ROUND(MAX(0,AK$464 - 2),0),
IF(AND(OR(AL$279=123, AL$279=23), Cultivar_2_Cohort_Year_Selection=$AE$278,Cultivar_3_Cohort_Year_Selection=$AE$278), ROUND(MAX(0,AK$464 - 2),0),
IF(AND(OR(AL$279=123, AL$279=12, AL$279=13, AL$279=1), Cultivar_1_Cohort_Year_Selection=$AE$278), ROUND(MAX(0,AK$464 - 1),0),
IF(AND(OR(AL$279=123, AL$279=12, AL$279=23, AL$279=2), Cultivar_2_Cohort_Year_Selection=$AE$278), ROUND(MAX(0,AK$464 - 1),0),
IF(AND(OR(AL$279=123, AL$279=13, AL$279=23, AL$279=3), Cultivar_3_Cohort_Year_Selection=$AE$278), ROUND(MAX(0,AK$464 - 1),0),
ROUND(MAX(0,AK$464),0)))))))),""),""),"")</f>
        <v/>
      </c>
      <c r="AM486" s="17" t="str">
        <f>IF(ISNUMBER($B$465),
IF($C486&lt;&gt;"",
IF(AND(ISNUMBER(AL$464), AL$464&gt;0),
IF(AND(AM$279=123, Cultivar_1_Cohort_Year_Selection=$AF$278,Cultivar_2_Cohort_Year_Selection=$AF$278,Cultivar_3_Cohort_Year_Selection=$AF$278), ROUND(MAX(0,AL$464 - 3),0),
IF(AND(OR(AM$279=123, AM$279=12), Cultivar_1_Cohort_Year_Selection=$AF$278,Cultivar_2_Cohort_Year_Selection=$AF$278), ROUND(MAX(0,AL$464 - 2),0),
IF(AND(OR(AM$279=123, AM$279=13), Cultivar_1_Cohort_Year_Selection=$AF$278,Cultivar_3_Cohort_Year_Selection=$AF$278), ROUND(MAX(0,AL$464 - 2),0),
IF(AND(OR(AM$279=123, AM$279=23), Cultivar_2_Cohort_Year_Selection=$AF$278,Cultivar_3_Cohort_Year_Selection=$AF$278), ROUND(MAX(0,AL$464 - 2),0),
IF(AND(OR(AM$279=123, AM$279=12, AM$279=13, AM$279=1), Cultivar_1_Cohort_Year_Selection=$AF$278), ROUND(MAX(0,AL$464 - 1),0),
IF(AND(OR(AM$279=123, AM$279=12, AM$279=23, AM$279=2), Cultivar_2_Cohort_Year_Selection=$AF$278), ROUND(MAX(0,AL$464 - 1),0),
IF(AND(OR(AM$279=123, AM$279=13, AM$279=23, AM$279=3), Cultivar_3_Cohort_Year_Selection=$AF$278), ROUND(MAX(0,AL$464 - 1),0),
ROUND(MAX(0,AL$464),0)))))))),""),""),"")</f>
        <v/>
      </c>
      <c r="AN486" s="17" t="str">
        <f>IF(ISNUMBER($B$465),
IF($C486&lt;&gt;"",
IF(AND(ISNUMBER(AM$464), AM$464&gt;0),
IF(AND(AN$279=123, Cultivar_1_Cohort_Year_Selection=$AG$278,Cultivar_2_Cohort_Year_Selection=$AG$278,Cultivar_3_Cohort_Year_Selection=$AG$278), ROUND(MAX(0,AM$464 - 3),0),
IF(AND(OR(AN$279=123, AN$279=12), Cultivar_1_Cohort_Year_Selection=$AG$278,Cultivar_2_Cohort_Year_Selection=$AG$278), ROUND(MAX(0,AM$464 - 2),0),
IF(AND(OR(AN$279=123, AN$279=13), Cultivar_1_Cohort_Year_Selection=$AG$278,Cultivar_3_Cohort_Year_Selection=$AG$278), ROUND(MAX(0,AM$464 - 2),0),
IF(AND(OR(AN$279=123, AN$279=23), Cultivar_2_Cohort_Year_Selection=$AG$278,Cultivar_3_Cohort_Year_Selection=$AG$278), ROUND(MAX(0,AM$464 - 2),0),
IF(AND(OR(AN$279=123, AN$279=12, AN$279=13, AN$279=1), Cultivar_1_Cohort_Year_Selection=$AG$278), ROUND(MAX(0,AM$464 - 1),0),
IF(AND(OR(AN$279=123, AN$279=12, AN$279=23, AN$279=2), Cultivar_2_Cohort_Year_Selection=$AG$278), ROUND(MAX(0,AM$464 - 1),0),
IF(AND(OR(AN$279=123, AN$279=13, AN$279=23, AN$279=3), Cultivar_3_Cohort_Year_Selection=$AG$278), ROUND(MAX(0,AM$464 - 1),0),
ROUND(MAX(0,AM$464),0)))))))),""),""),"")</f>
        <v/>
      </c>
      <c r="AO486" s="17" t="str">
        <f>IF(ISNUMBER($B$465),
IF($C486&lt;&gt;"",
IF(AND(ISNUMBER(AN$464), AN$464&gt;0),
IF(AND(AO$279=123, Cultivar_1_Cohort_Year_Selection=$AH$278,Cultivar_2_Cohort_Year_Selection=$AH$278,Cultivar_3_Cohort_Year_Selection=$AH$278), ROUND(MAX(0,AN$464 - 3),0),
IF(AND(OR(AO$279=123, AO$279=12), Cultivar_1_Cohort_Year_Selection=$AH$278,Cultivar_2_Cohort_Year_Selection=$AH$278), ROUND(MAX(0,AN$464 - 2),0),
IF(AND(OR(AO$279=123, AO$279=13), Cultivar_1_Cohort_Year_Selection=$AH$278,Cultivar_3_Cohort_Year_Selection=$AH$278), ROUND(MAX(0,AN$464 - 2),0),
IF(AND(OR(AO$279=123, AO$279=23), Cultivar_2_Cohort_Year_Selection=$AH$278,Cultivar_3_Cohort_Year_Selection=$AH$278), ROUND(MAX(0,AN$464 - 2),0),
IF(AND(OR(AO$279=123, AO$279=12, AO$279=13, AO$279=1), Cultivar_1_Cohort_Year_Selection=$AH$278), ROUND(MAX(0,AN$464 - 1),0),
IF(AND(OR(AO$279=123, AO$279=12, AO$279=23, AO$279=2), Cultivar_2_Cohort_Year_Selection=$AH$278), ROUND(MAX(0,AN$464 - 1),0),
IF(AND(OR(AO$279=123, AO$279=13, AO$279=23, AO$279=3), Cultivar_3_Cohort_Year_Selection=$AH$278), ROUND(MAX(0,AN$464 - 1),0),
ROUND(MAX(0,AN$464),0)))))))),""),""),"")</f>
        <v/>
      </c>
      <c r="AP486" s="17" t="str">
        <f>IF(ISNUMBER($B$465),
IF($C486&lt;&gt;"",
IF(AND(ISNUMBER(AO$464), AO$464&gt;0),
IF(AND(AP$279=123, Cultivar_1_Cohort_Year_Selection=$AI$278,Cultivar_2_Cohort_Year_Selection=$AI$278,Cultivar_3_Cohort_Year_Selection=$AI$278), ROUND(MAX(0,AO$464 - 3),0),
IF(AND(OR(AP$279=123, AP$279=12), Cultivar_1_Cohort_Year_Selection=$AI$278,Cultivar_2_Cohort_Year_Selection=$AI$278), ROUND(MAX(0,AO$464 - 2),0),
IF(AND(OR(AP$279=123, AP$279=13), Cultivar_1_Cohort_Year_Selection=$AI$278,Cultivar_3_Cohort_Year_Selection=$AI$278), ROUND(MAX(0,AO$464 - 2),0),
IF(AND(OR(AP$279=123, AP$279=23), Cultivar_2_Cohort_Year_Selection=$AI$278,Cultivar_3_Cohort_Year_Selection=$AI$278), ROUND(MAX(0,AO$464 - 2),0),
IF(AND(OR(AP$279=123, AP$279=12, AP$279=13, AP$279=1), Cultivar_1_Cohort_Year_Selection=$AI$278), ROUND(MAX(0,AO$464 - 1),0),
IF(AND(OR(AP$279=123, AP$279=12, AP$279=23, AP$279=2), Cultivar_2_Cohort_Year_Selection=$AI$278), ROUND(MAX(0,AO$464 - 1),0),
IF(AND(OR(AP$279=123, AP$279=13, AP$279=23, AP$279=3), Cultivar_3_Cohort_Year_Selection=$AI$278), ROUND(MAX(0,AO$464 - 1),0),
ROUND(MAX(0,AO$464),0)))))))),""),""),"")</f>
        <v/>
      </c>
      <c r="AQ486" s="17" t="str">
        <f>IF(ISNUMBER($B$465),
IF($C486&lt;&gt;"",
IF(AND(ISNUMBER(AP$464), AP$464&gt;0),
IF(AND(AQ$279=123, Cultivar_1_Cohort_Year_Selection=$AJ$278,Cultivar_2_Cohort_Year_Selection=$AJ$278,Cultivar_3_Cohort_Year_Selection=$AJ$278), ROUND(MAX(0,AP$464 - 3),0),
IF(AND(OR(AQ$279=123, AQ$279=12), Cultivar_1_Cohort_Year_Selection=$AJ$278,Cultivar_2_Cohort_Year_Selection=$AJ$278), ROUND(MAX(0,AP$464 - 2),0),
IF(AND(OR(AQ$279=123, AQ$279=13), Cultivar_1_Cohort_Year_Selection=$AJ$278,Cultivar_3_Cohort_Year_Selection=$AJ$278), ROUND(MAX(0,AP$464 - 2),0),
IF(AND(OR(AQ$279=123, AQ$279=23), Cultivar_2_Cohort_Year_Selection=$AJ$278,Cultivar_3_Cohort_Year_Selection=$AJ$278), ROUND(MAX(0,AP$464 - 2),0),
IF(AND(OR(AQ$279=123, AQ$279=12, AQ$279=13, AQ$279=1), Cultivar_1_Cohort_Year_Selection=$AJ$278), ROUND(MAX(0,AP$464 - 1),0),
IF(AND(OR(AQ$279=123, AQ$279=12, AQ$279=23, AQ$279=2), Cultivar_2_Cohort_Year_Selection=$AJ$278), ROUND(MAX(0,AP$464 - 1),0),
IF(AND(OR(AQ$279=123, AQ$279=13, AQ$279=23, AQ$279=3), Cultivar_3_Cohort_Year_Selection=$AJ$278), ROUND(MAX(0,AP$464 - 1),0),
ROUND(MAX(0,AP$464),0)))))))),""),""),"")</f>
        <v/>
      </c>
      <c r="AR486" s="17" t="str">
        <f>IF(ISNUMBER($B$465),
IF($C486&lt;&gt;"",
IF(AND(ISNUMBER(AQ$464), AQ$464&gt;0),
IF(AND(AR$279=123, Cultivar_1_Cohort_Year_Selection=$AK$278,Cultivar_2_Cohort_Year_Selection=$AK$278,Cultivar_3_Cohort_Year_Selection=$AK$278), ROUND(MAX(0,AQ$464 - 3),0),
IF(AND(OR(AR$279=123, AR$279=12), Cultivar_1_Cohort_Year_Selection=$AK$278,Cultivar_2_Cohort_Year_Selection=$AK$278), ROUND(MAX(0,AQ$464 - 2),0),
IF(AND(OR(AR$279=123, AR$279=13), Cultivar_1_Cohort_Year_Selection=$AK$278,Cultivar_3_Cohort_Year_Selection=$AK$278), ROUND(MAX(0,AQ$464 - 2),0),
IF(AND(OR(AR$279=123, AR$279=23), Cultivar_2_Cohort_Year_Selection=$AK$278,Cultivar_3_Cohort_Year_Selection=$AK$278), ROUND(MAX(0,AQ$464 - 2),0),
IF(AND(OR(AR$279=123, AR$279=12, AR$279=13, AR$279=1), Cultivar_1_Cohort_Year_Selection=$AK$278), ROUND(MAX(0,AQ$464 - 1),0),
IF(AND(OR(AR$279=123, AR$279=12, AR$279=23, AR$279=2), Cultivar_2_Cohort_Year_Selection=$AK$278), ROUND(MAX(0,AQ$464 - 1),0),
IF(AND(OR(AR$279=123, AR$279=13, AR$279=23, AR$279=3), Cultivar_3_Cohort_Year_Selection=$AK$278), ROUND(MAX(0,AQ$464 - 1),0),
ROUND(MAX(0,AQ$464),0)))))))),""),""),"")</f>
        <v/>
      </c>
      <c r="AS486" s="17" t="str">
        <f>IF(ISNUMBER($B$465),
IF($C486&lt;&gt;"",
IF(AND(ISNUMBER(AR$464), AR$464&gt;0),
IF(AND(AS$279=123, Cultivar_1_Cohort_Year_Selection=$AL$278,Cultivar_2_Cohort_Year_Selection=$AL$278,Cultivar_3_Cohort_Year_Selection=$AL$278), ROUND(MAX(0,AR$464 - 3),0),
IF(AND(OR(AS$279=123, AS$279=12), Cultivar_1_Cohort_Year_Selection=$AL$278,Cultivar_2_Cohort_Year_Selection=$AL$278), ROUND(MAX(0,AR$464 - 2),0),
IF(AND(OR(AS$279=123, AS$279=13), Cultivar_1_Cohort_Year_Selection=$AL$278,Cultivar_3_Cohort_Year_Selection=$AL$278), ROUND(MAX(0,AR$464 - 2),0),
IF(AND(OR(AS$279=123, AS$279=23), Cultivar_2_Cohort_Year_Selection=$AL$278,Cultivar_3_Cohort_Year_Selection=$AL$278), ROUND(MAX(0,AR$464 - 2),0),
IF(AND(OR(AS$279=123, AS$279=12, AS$279=13, AS$279=1), Cultivar_1_Cohort_Year_Selection=$AL$278), ROUND(MAX(0,AR$464 - 1),0),
IF(AND(OR(AS$279=123, AS$279=12, AS$279=23, AS$279=2), Cultivar_2_Cohort_Year_Selection=$AL$278), ROUND(MAX(0,AR$464 - 1),0),
IF(AND(OR(AS$279=123, AS$279=13, AS$279=23, AS$279=3), Cultivar_3_Cohort_Year_Selection=$AL$278), ROUND(MAX(0,AR$464 - 1),0),
ROUND(MAX(0,AR$464),0)))))))),""),""),"")</f>
        <v/>
      </c>
      <c r="AT486" s="17" t="str">
        <f>IF(ISNUMBER($B$465),
IF($C486&lt;&gt;"",
IF(AND(ISNUMBER(AS$464), AS$464&gt;0),
IF(AND(AT$279=123, Cultivar_1_Cohort_Year_Selection=$AM$278,Cultivar_2_Cohort_Year_Selection=$AM$278,Cultivar_3_Cohort_Year_Selection=$AM$278), ROUND(MAX(0,AS$464 - 3),0),
IF(AND(OR(AT$279=123, AT$279=12), Cultivar_1_Cohort_Year_Selection=$AM$278,Cultivar_2_Cohort_Year_Selection=$AM$278), ROUND(MAX(0,AS$464 - 2),0),
IF(AND(OR(AT$279=123, AT$279=13), Cultivar_1_Cohort_Year_Selection=$AM$278,Cultivar_3_Cohort_Year_Selection=$AM$278), ROUND(MAX(0,AS$464 - 2),0),
IF(AND(OR(AT$279=123, AT$279=23), Cultivar_2_Cohort_Year_Selection=$AM$278,Cultivar_3_Cohort_Year_Selection=$AM$278), ROUND(MAX(0,AS$464 - 2),0),
IF(AND(OR(AT$279=123, AT$279=12, AT$279=13, AT$279=1), Cultivar_1_Cohort_Year_Selection=$AM$278), ROUND(MAX(0,AS$464 - 1),0),
IF(AND(OR(AT$279=123, AT$279=12, AT$279=23, AT$279=2), Cultivar_2_Cohort_Year_Selection=$AM$278), ROUND(MAX(0,AS$464 - 1),0),
IF(AND(OR(AT$279=123, AT$279=13, AT$279=23, AT$279=3), Cultivar_3_Cohort_Year_Selection=$AM$278), ROUND(MAX(0,AS$464 - 1),0),
ROUND(MAX(0,AS$464),0)))))))),""),""),"")</f>
        <v/>
      </c>
      <c r="AU486" s="17" t="str">
        <f>IF(ISNUMBER($B$465),
IF($C486&lt;&gt;"",
IF(AND(ISNUMBER(AT$464), AT$464&gt;0),
IF(AND(AU$279=123, Cultivar_1_Cohort_Year_Selection=$AN$278,Cultivar_2_Cohort_Year_Selection=$AN$278,Cultivar_3_Cohort_Year_Selection=$AN$278), ROUND(MAX(0,AT$464 - 3),0),
IF(AND(OR(AU$279=123, AU$279=12), Cultivar_1_Cohort_Year_Selection=$AN$278,Cultivar_2_Cohort_Year_Selection=$AN$278), ROUND(MAX(0,AT$464 - 2),0),
IF(AND(OR(AU$279=123, AU$279=13), Cultivar_1_Cohort_Year_Selection=$AN$278,Cultivar_3_Cohort_Year_Selection=$AN$278), ROUND(MAX(0,AT$464 - 2),0),
IF(AND(OR(AU$279=123, AU$279=23), Cultivar_2_Cohort_Year_Selection=$AN$278,Cultivar_3_Cohort_Year_Selection=$AN$278), ROUND(MAX(0,AT$464 - 2),0),
IF(AND(OR(AU$279=123, AU$279=12, AU$279=13, AU$279=1), Cultivar_1_Cohort_Year_Selection=$AN$278), ROUND(MAX(0,AT$464 - 1),0),
IF(AND(OR(AU$279=123, AU$279=12, AU$279=23, AU$279=2), Cultivar_2_Cohort_Year_Selection=$AN$278), ROUND(MAX(0,AT$464 - 1),0),
IF(AND(OR(AU$279=123, AU$279=13, AU$279=23, AU$279=3), Cultivar_3_Cohort_Year_Selection=$AN$278), ROUND(MAX(0,AT$464 - 1),0),
ROUND(MAX(0,AT$464),0)))))))),""),""),"")</f>
        <v/>
      </c>
      <c r="AV486" s="17" t="str">
        <f>IF(ISNUMBER($B$465),
IF($C486&lt;&gt;"",
IF(AND(ISNUMBER(AU$464), AU$464&gt;0),
IF(AND(AV$279=123, Cultivar_1_Cohort_Year_Selection=$AO$278,Cultivar_2_Cohort_Year_Selection=$AO$278,Cultivar_3_Cohort_Year_Selection=$AO$278), ROUND(MAX(0,AU$464 - 3),0),
IF(AND(OR(AV$279=123, AV$279=12), Cultivar_1_Cohort_Year_Selection=$AO$278,Cultivar_2_Cohort_Year_Selection=$AO$278), ROUND(MAX(0,AU$464 - 2),0),
IF(AND(OR(AV$279=123, AV$279=13), Cultivar_1_Cohort_Year_Selection=$AO$278,Cultivar_3_Cohort_Year_Selection=$AO$278), ROUND(MAX(0,AU$464 - 2),0),
IF(AND(OR(AV$279=123, AV$279=23), Cultivar_2_Cohort_Year_Selection=$AO$278,Cultivar_3_Cohort_Year_Selection=$AO$278), ROUND(MAX(0,AU$464 - 2),0),
IF(AND(OR(AV$279=123, AV$279=12, AV$279=13, AV$279=1), Cultivar_1_Cohort_Year_Selection=$AO$278), ROUND(MAX(0,AU$464 - 1),0),
IF(AND(OR(AV$279=123, AV$279=12, AV$279=23, AV$279=2), Cultivar_2_Cohort_Year_Selection=$AO$278), ROUND(MAX(0,AU$464 - 1),0),
IF(AND(OR(AV$279=123, AV$279=13, AV$279=23, AV$279=3), Cultivar_3_Cohort_Year_Selection=$AO$278), ROUND(MAX(0,AU$464 - 1),0),
ROUND(MAX(0,AU$464),0)))))))),""),""),"")</f>
        <v/>
      </c>
      <c r="AW486" s="17" t="str">
        <f>IF(ISNUMBER($B$465),
IF($C486&lt;&gt;"",
IF(AND(ISNUMBER(AV$464), AV$464&gt;0),
IF(AND(AW$279=123, Cultivar_1_Cohort_Year_Selection=$AP$278,Cultivar_2_Cohort_Year_Selection=$AP$278,Cultivar_3_Cohort_Year_Selection=$AP$278), ROUND(MAX(0,AV$464 - 3),0),
IF(AND(OR(AW$279=123, AW$279=12), Cultivar_1_Cohort_Year_Selection=$AP$278,Cultivar_2_Cohort_Year_Selection=$AP$278), ROUND(MAX(0,AV$464 - 2),0),
IF(AND(OR(AW$279=123, AW$279=13), Cultivar_1_Cohort_Year_Selection=$AP$278,Cultivar_3_Cohort_Year_Selection=$AP$278), ROUND(MAX(0,AV$464 - 2),0),
IF(AND(OR(AW$279=123, AW$279=23), Cultivar_2_Cohort_Year_Selection=$AP$278,Cultivar_3_Cohort_Year_Selection=$AP$278), ROUND(MAX(0,AV$464 - 2),0),
IF(AND(OR(AW$279=123, AW$279=12, AW$279=13, AW$279=1), Cultivar_1_Cohort_Year_Selection=$AP$278), ROUND(MAX(0,AV$464 - 1),0),
IF(AND(OR(AW$279=123, AW$279=12, AW$279=23, AW$279=2), Cultivar_2_Cohort_Year_Selection=$AP$278), ROUND(MAX(0,AV$464 - 1),0),
IF(AND(OR(AW$279=123, AW$279=13, AW$279=23, AW$279=3), Cultivar_3_Cohort_Year_Selection=$AP$278), ROUND(MAX(0,AV$464 - 1),0),
ROUND(MAX(0,AV$464),0)))))))),""),""),"")</f>
        <v/>
      </c>
    </row>
    <row r="487" spans="1:50" ht="15.75" thickBot="1" x14ac:dyDescent="0.3">
      <c r="A487" s="518"/>
      <c r="B487" s="504"/>
      <c r="C487" s="107" t="str">
        <f>IF(AND(ISNUMBER(B465), OR('Cost Inputs'!$H$126&lt;&gt;"", 'Cost Inputs'!$I$126&lt;&gt;"", 'Cost Inputs'!$J$126&lt;&gt;"")), _4_5_2, "")</f>
        <v/>
      </c>
      <c r="D487" s="93" t="str">
        <f>IF(AND(C487&lt;&gt;"", 'Cost Inputs'!$G$126&lt;&gt;""), 'Cost Inputs'!$G$126, "")</f>
        <v/>
      </c>
      <c r="E487" s="93" t="str">
        <f>IF(AND(C487&lt;&gt;"", 'Cost Inputs'!$H$126&lt;&gt;""), 'Cost Inputs'!$H$126, "")</f>
        <v/>
      </c>
      <c r="F487" s="93" t="str">
        <f>IF(AND(C487&lt;&gt;"", 'Cost Inputs'!$I$126&lt;&gt;""), 'Cost Inputs'!$I$126, "")</f>
        <v/>
      </c>
      <c r="G487" s="108" t="str">
        <f t="shared" si="333"/>
        <v/>
      </c>
      <c r="H487" s="93" t="str">
        <f>IF(AND(C487&lt;&gt;"", 'Cost Inputs'!$J$126&lt;&gt;""), 'Cost Inputs'!$J$126, "")</f>
        <v/>
      </c>
      <c r="I487" s="93" t="str">
        <f>IF($C487&lt;&gt;"", IF(AND($E487&lt;&gt;"", H487&lt;&gt;""), H487/$E487, 0),"")</f>
        <v/>
      </c>
      <c r="J487" s="93" t="str">
        <f>IF(AND(C487&lt;&gt;"",('Cost Inputs'!$I$126+'Cost Inputs'!$J$126+'Cost Inputs'!$K$126)&gt;0), 'Cost Inputs'!$I$126+'Cost Inputs'!$J$126+'Cost Inputs'!$K$126, "")</f>
        <v/>
      </c>
      <c r="K487" s="93" t="str">
        <f>IF($C487&lt;&gt;"", IF(AND($E487&lt;&gt;"", J487&lt;&gt;""), J487/$E487, 0),"")</f>
        <v/>
      </c>
      <c r="L487" s="525"/>
      <c r="M487" s="525"/>
      <c r="V487" s="95" t="str">
        <f>IF(ISNUMBER($B$465),
IF($C487&lt;&gt;"",
IF(AND(ISNUMBER(U$464), U$464&gt;0),
IF(AND(V$279=123, Cultivar_1_Cohort_Year_Selection=$O$278,Cultivar_2_Cohort_Year_Selection=$O$278,Cultivar_3_Cohort_Year_Selection=$O$278), ROUND(MAX(0,U$464 - 3),0),
IF(AND(OR(V$279=123, V$279=12), Cultivar_1_Cohort_Year_Selection=$O$278,Cultivar_2_Cohort_Year_Selection=$O$278), ROUND(MAX(0,U$464 - 2),0),
IF(AND(OR(V$279=123, V$279=13), Cultivar_1_Cohort_Year_Selection=$O$278,Cultivar_3_Cohort_Year_Selection=$O$278), ROUND(MAX(0,U$464 - 2),0),
IF(AND(OR(V$279=123, V$279=23), Cultivar_2_Cohort_Year_Selection=$O$278,Cultivar_3_Cohort_Year_Selection=$O$278), ROUND(MAX(0,U$464 - 2),0),
IF(AND(OR(V$279=123, V$279=12, V$279=13, V$279=1), Cultivar_1_Cohort_Year_Selection=$O$278), ROUND(MAX(0,U$464 - 1),0),
IF(AND(OR(V$279=123, V$279=12, V$279=23, V$279=2), Cultivar_2_Cohort_Year_Selection=$O$278), ROUND(MAX(0,U$464 - 1),0),
IF(AND(OR(V$279=123, V$279=13, V$279=23, V$279=3), Cultivar_3_Cohort_Year_Selection=$O$278), ROUND(MAX(0,U$464 - 1),0),
ROUND(MAX(0,U$464),0)))))))),""),""),"")</f>
        <v/>
      </c>
      <c r="W487" s="95" t="str">
        <f>IF(ISNUMBER($B$465),
IF($C487&lt;&gt;"",
IF(AND(ISNUMBER(V$464), V$464&gt;0),
IF(AND(W$279=123, Cultivar_1_Cohort_Year_Selection=$P$278,Cultivar_2_Cohort_Year_Selection=$P$278,Cultivar_3_Cohort_Year_Selection=$P$278), ROUND(MAX(0,V$464 - 3),0),
IF(AND(OR(W$279=123, W$279=12), Cultivar_1_Cohort_Year_Selection=$P$278,Cultivar_2_Cohort_Year_Selection=$P$278), ROUND(MAX(0,V$464 - 2),0),
IF(AND(OR(W$279=123, W$279=13), Cultivar_1_Cohort_Year_Selection=$P$278,Cultivar_3_Cohort_Year_Selection=$P$278), ROUND(MAX(0,V$464 - 2),0),
IF(AND(OR(W$279=123, W$279=23), Cultivar_2_Cohort_Year_Selection=$P$278,Cultivar_3_Cohort_Year_Selection=$P$278), ROUND(MAX(0,V$464 - 2),0),
IF(AND(OR(W$279=123, W$279=12, W$279=13, W$279=1), Cultivar_1_Cohort_Year_Selection=$P$278), ROUND(MAX(0,V$464 - 1),0),
IF(AND(OR(W$279=123, W$279=12, W$279=23, W$279=2), Cultivar_2_Cohort_Year_Selection=$P$278), ROUND(MAX(0,V$464 - 1),0),
IF(AND(OR(W$279=123, W$279=13, W$279=23, W$279=3), Cultivar_3_Cohort_Year_Selection=$P$278), ROUND(MAX(0,V$464 - 1),0),
ROUND(MAX(0,V$464),0)))))))),""),""),"")</f>
        <v/>
      </c>
      <c r="X487" s="95" t="str">
        <f>IF(ISNUMBER($B$465),
IF($C487&lt;&gt;"",
IF(AND(ISNUMBER(W$464), W$464&gt;0),
IF(AND(X$279=123, Cultivar_1_Cohort_Year_Selection=$Q$278,Cultivar_2_Cohort_Year_Selection=$Q$278,Cultivar_3_Cohort_Year_Selection=$Q$278), ROUND(MAX(0,W$464 - 3),0),
IF(AND(OR(X$279=123, X$279=12), Cultivar_1_Cohort_Year_Selection=$Q$278,Cultivar_2_Cohort_Year_Selection=$Q$278), ROUND(MAX(0,W$464 - 2),0),
IF(AND(OR(X$279=123, X$279=13), Cultivar_1_Cohort_Year_Selection=$Q$278,Cultivar_3_Cohort_Year_Selection=$Q$278), ROUND(MAX(0,W$464 - 2),0),
IF(AND(OR(X$279=123, X$279=23), Cultivar_2_Cohort_Year_Selection=$Q$278,Cultivar_3_Cohort_Year_Selection=$Q$278), ROUND(MAX(0,W$464 - 2),0),
IF(AND(OR(X$279=123, X$279=12, X$279=13, X$279=1), Cultivar_1_Cohort_Year_Selection=$Q$278), ROUND(MAX(0,W$464 - 1),0),
IF(AND(OR(X$279=123, X$279=12, X$279=23, X$279=2), Cultivar_2_Cohort_Year_Selection=$Q$278), ROUND(MAX(0,W$464 - 1),0),
IF(AND(OR(X$279=123, X$279=13, X$279=23, X$279=3), Cultivar_3_Cohort_Year_Selection=$Q$278), ROUND(MAX(0,W$464 - 1),0),
ROUND(MAX(0,W$464),0)))))))),""),""),"")</f>
        <v/>
      </c>
      <c r="Y487" s="95" t="str">
        <f>IF(ISNUMBER($B$465),
IF($C487&lt;&gt;"",
IF(AND(ISNUMBER(X$464), X$464&gt;0),
IF(AND(Y$279=123, Cultivar_1_Cohort_Year_Selection=$R$278,Cultivar_2_Cohort_Year_Selection=$R$278,Cultivar_3_Cohort_Year_Selection=$R$278), ROUND(MAX(0,X$464 - 3),0),
IF(AND(OR(Y$279=123, Y$279=12), Cultivar_1_Cohort_Year_Selection=$R$278,Cultivar_2_Cohort_Year_Selection=$R$278), ROUND(MAX(0,X$464 - 2),0),
IF(AND(OR(Y$279=123, Y$279=13), Cultivar_1_Cohort_Year_Selection=$R$278,Cultivar_3_Cohort_Year_Selection=$R$278), ROUND(MAX(0,X$464 - 2),0),
IF(AND(OR(Y$279=123, Y$279=23), Cultivar_2_Cohort_Year_Selection=$R$278,Cultivar_3_Cohort_Year_Selection=$R$278), ROUND(MAX(0,X$464 - 2),0),
IF(AND(OR(Y$279=123, Y$279=12, Y$279=13, Y$279=1), Cultivar_1_Cohort_Year_Selection=$R$278), ROUND(MAX(0,X$464 - 1),0),
IF(AND(OR(Y$279=123, Y$279=12, Y$279=23, Y$279=2), Cultivar_2_Cohort_Year_Selection=$R$278), ROUND(MAX(0,X$464 - 1),0),
IF(AND(OR(Y$279=123, Y$279=13, Y$279=23, Y$279=3), Cultivar_3_Cohort_Year_Selection=$R$278), ROUND(MAX(0,X$464 - 1),0),
ROUND(MAX(0,X$464),0)))))))),""),""),"")</f>
        <v/>
      </c>
      <c r="Z487" s="95" t="str">
        <f>IF(ISNUMBER($B$465),
IF($C487&lt;&gt;"",
IF(AND(ISNUMBER(Y$464), Y$464&gt;0),
IF(AND(Z$279=123, Cultivar_1_Cohort_Year_Selection=$S$278,Cultivar_2_Cohort_Year_Selection=$S$278,Cultivar_3_Cohort_Year_Selection=$S$278), ROUND(MAX(0,Y$464 - 3),0),
IF(AND(OR(Z$279=123, Z$279=12), Cultivar_1_Cohort_Year_Selection=$S$278,Cultivar_2_Cohort_Year_Selection=$S$278), ROUND(MAX(0,Y$464 - 2),0),
IF(AND(OR(Z$279=123, Z$279=13), Cultivar_1_Cohort_Year_Selection=$S$278,Cultivar_3_Cohort_Year_Selection=$S$278), ROUND(MAX(0,Y$464 - 2),0),
IF(AND(OR(Z$279=123, Z$279=23), Cultivar_2_Cohort_Year_Selection=$S$278,Cultivar_3_Cohort_Year_Selection=$S$278), ROUND(MAX(0,Y$464 - 2),0),
IF(AND(OR(Z$279=123, Z$279=12, Z$279=13, Z$279=1), Cultivar_1_Cohort_Year_Selection=$S$278), ROUND(MAX(0,Y$464 - 1),0),
IF(AND(OR(Z$279=123, Z$279=12, Z$279=23, Z$279=2), Cultivar_2_Cohort_Year_Selection=$S$278), ROUND(MAX(0,Y$464 - 1),0),
IF(AND(OR(Z$279=123, Z$279=13, Z$279=23, Z$279=3), Cultivar_3_Cohort_Year_Selection=$S$278), ROUND(MAX(0,Y$464 - 1),0),
ROUND(MAX(0,Y$464),0)))))))),""),""),"")</f>
        <v/>
      </c>
      <c r="AA487" s="95" t="str">
        <f>IF(ISNUMBER($B$465),
IF($C487&lt;&gt;"",
IF(AND(ISNUMBER(Z$464), Z$464&gt;0),
IF(AND(AA$279=123, Cultivar_1_Cohort_Year_Selection=$T$278,Cultivar_2_Cohort_Year_Selection=$T$278,Cultivar_3_Cohort_Year_Selection=$T$278), ROUND(MAX(0,Z$464 - 3),0),
IF(AND(OR(AA$279=123, AA$279=12), Cultivar_1_Cohort_Year_Selection=$T$278,Cultivar_2_Cohort_Year_Selection=$T$278), ROUND(MAX(0,Z$464 - 2),0),
IF(AND(OR(AA$279=123, AA$279=13), Cultivar_1_Cohort_Year_Selection=$T$278,Cultivar_3_Cohort_Year_Selection=$T$278), ROUND(MAX(0,Z$464 - 2),0),
IF(AND(OR(AA$279=123, AA$279=23), Cultivar_2_Cohort_Year_Selection=$T$278,Cultivar_3_Cohort_Year_Selection=$T$278), ROUND(MAX(0,Z$464 - 2),0),
IF(AND(OR(AA$279=123, AA$279=12, AA$279=13, AA$279=1), Cultivar_1_Cohort_Year_Selection=$T$278), ROUND(MAX(0,Z$464 - 1),0),
IF(AND(OR(AA$279=123, AA$279=12, AA$279=23, AA$279=2), Cultivar_2_Cohort_Year_Selection=$T$278), ROUND(MAX(0,Z$464 - 1),0),
IF(AND(OR(AA$279=123, AA$279=13, AA$279=23, AA$279=3), Cultivar_3_Cohort_Year_Selection=$T$278), ROUND(MAX(0,Z$464 - 1),0),
ROUND(MAX(0,Z$464),0)))))))),""),""),"")</f>
        <v/>
      </c>
      <c r="AB487" s="95" t="str">
        <f>IF(ISNUMBER($B$465),
IF($C487&lt;&gt;"",
IF(AND(ISNUMBER(AA$464), AA$464&gt;0),
IF(AND(AB$279=123, Cultivar_1_Cohort_Year_Selection=$U$278,Cultivar_2_Cohort_Year_Selection=$U$278,Cultivar_3_Cohort_Year_Selection=$U$278), ROUND(MAX(0,AA$464 - 3),0),
IF(AND(OR(AB$279=123, AB$279=12), Cultivar_1_Cohort_Year_Selection=$U$278,Cultivar_2_Cohort_Year_Selection=$U$278), ROUND(MAX(0,AA$464 - 2),0),
IF(AND(OR(AB$279=123, AB$279=13), Cultivar_1_Cohort_Year_Selection=$U$278,Cultivar_3_Cohort_Year_Selection=$U$278), ROUND(MAX(0,AA$464 - 2),0),
IF(AND(OR(AB$279=123, AB$279=23), Cultivar_2_Cohort_Year_Selection=$U$278,Cultivar_3_Cohort_Year_Selection=$U$278), ROUND(MAX(0,AA$464 - 2),0),
IF(AND(OR(AB$279=123, AB$279=12, AB$279=13, AB$279=1), Cultivar_1_Cohort_Year_Selection=$U$278), ROUND(MAX(0,AA$464 - 1),0),
IF(AND(OR(AB$279=123, AB$279=12, AB$279=23, AB$279=2), Cultivar_2_Cohort_Year_Selection=$U$278), ROUND(MAX(0,AA$464 - 1),0),
IF(AND(OR(AB$279=123, AB$279=13, AB$279=23, AB$279=3), Cultivar_3_Cohort_Year_Selection=$U$278), ROUND(MAX(0,AA$464 - 1),0),
ROUND(MAX(0,AA$464),0)))))))),""),""),"")</f>
        <v/>
      </c>
      <c r="AC487" s="95" t="str">
        <f>IF(ISNUMBER($B$465),
IF($C487&lt;&gt;"",
IF(AND(ISNUMBER(AB$464), AB$464&gt;0),
IF(AND(AC$279=123, Cultivar_1_Cohort_Year_Selection=$V$278,Cultivar_2_Cohort_Year_Selection=$V$278,Cultivar_3_Cohort_Year_Selection=$V$278), ROUND(MAX(0,AB$464 - 3),0),
IF(AND(OR(AC$279=123, AC$279=12), Cultivar_1_Cohort_Year_Selection=$V$278,Cultivar_2_Cohort_Year_Selection=$V$278), ROUND(MAX(0,AB$464 - 2),0),
IF(AND(OR(AC$279=123, AC$279=13), Cultivar_1_Cohort_Year_Selection=$V$278,Cultivar_3_Cohort_Year_Selection=$V$278), ROUND(MAX(0,AB$464 - 2),0),
IF(AND(OR(AC$279=123, AC$279=23), Cultivar_2_Cohort_Year_Selection=$V$278,Cultivar_3_Cohort_Year_Selection=$V$278), ROUND(MAX(0,AB$464 - 2),0),
IF(AND(OR(AC$279=123, AC$279=12, AC$279=13, AC$279=1), Cultivar_1_Cohort_Year_Selection=$V$278), ROUND(MAX(0,AB$464 - 1),0),
IF(AND(OR(AC$279=123, AC$279=12, AC$279=23, AC$279=2), Cultivar_2_Cohort_Year_Selection=$V$278), ROUND(MAX(0,AB$464 - 1),0),
IF(AND(OR(AC$279=123, AC$279=13, AC$279=23, AC$279=3), Cultivar_3_Cohort_Year_Selection=$V$278), ROUND(MAX(0,AB$464 - 1),0),
ROUND(MAX(0,AB$464),0)))))))),""),""),"")</f>
        <v/>
      </c>
      <c r="AD487" s="95" t="str">
        <f>IF(ISNUMBER($B$465),
IF($C487&lt;&gt;"",
IF(AND(ISNUMBER(AC$464), AC$464&gt;0),
IF(AND(AD$279=123, Cultivar_1_Cohort_Year_Selection=$W$278,Cultivar_2_Cohort_Year_Selection=$W$278,Cultivar_3_Cohort_Year_Selection=$W$278), ROUND(MAX(0,AC$464 - 3),0),
IF(AND(OR(AD$279=123, AD$279=12), Cultivar_1_Cohort_Year_Selection=$W$278,Cultivar_2_Cohort_Year_Selection=$W$278), ROUND(MAX(0,AC$464 - 2),0),
IF(AND(OR(AD$279=123, AD$279=13), Cultivar_1_Cohort_Year_Selection=$W$278,Cultivar_3_Cohort_Year_Selection=$W$278), ROUND(MAX(0,AC$464 - 2),0),
IF(AND(OR(AD$279=123, AD$279=23), Cultivar_2_Cohort_Year_Selection=$W$278,Cultivar_3_Cohort_Year_Selection=$W$278), ROUND(MAX(0,AC$464 - 2),0),
IF(AND(OR(AD$279=123, AD$279=12, AD$279=13, AD$279=1), Cultivar_1_Cohort_Year_Selection=$W$278), ROUND(MAX(0,AC$464 - 1),0),
IF(AND(OR(AD$279=123, AD$279=12, AD$279=23, AD$279=2), Cultivar_2_Cohort_Year_Selection=$W$278), ROUND(MAX(0,AC$464 - 1),0),
IF(AND(OR(AD$279=123, AD$279=13, AD$279=23, AD$279=3), Cultivar_3_Cohort_Year_Selection=$W$278), ROUND(MAX(0,AC$464 - 1),0),
ROUND(MAX(0,AC$464),0)))))))),""),""),"")</f>
        <v/>
      </c>
      <c r="AE487" s="95" t="str">
        <f>IF(ISNUMBER($B$465),
IF($C487&lt;&gt;"",
IF(AND(ISNUMBER(AD$464), AD$464&gt;0),
IF(AND(AE$279=123, Cultivar_1_Cohort_Year_Selection=$X$278,Cultivar_2_Cohort_Year_Selection=$X$278,Cultivar_3_Cohort_Year_Selection=$X$278), ROUND(MAX(0,AD$464 - 3),0),
IF(AND(OR(AE$279=123, AE$279=12), Cultivar_1_Cohort_Year_Selection=$X$278,Cultivar_2_Cohort_Year_Selection=$X$278), ROUND(MAX(0,AD$464 - 2),0),
IF(AND(OR(AE$279=123, AE$279=13), Cultivar_1_Cohort_Year_Selection=$X$278,Cultivar_3_Cohort_Year_Selection=$X$278), ROUND(MAX(0,AD$464 - 2),0),
IF(AND(OR(AE$279=123, AE$279=23), Cultivar_2_Cohort_Year_Selection=$X$278,Cultivar_3_Cohort_Year_Selection=$X$278), ROUND(MAX(0,AD$464 - 2),0),
IF(AND(OR(AE$279=123, AE$279=12, AE$279=13, AE$279=1), Cultivar_1_Cohort_Year_Selection=$X$278), ROUND(MAX(0,AD$464 - 1),0),
IF(AND(OR(AE$279=123, AE$279=12, AE$279=23, AE$279=2), Cultivar_2_Cohort_Year_Selection=$X$278), ROUND(MAX(0,AD$464 - 1),0),
IF(AND(OR(AE$279=123, AE$279=13, AE$279=23, AE$279=3), Cultivar_3_Cohort_Year_Selection=$X$278), ROUND(MAX(0,AD$464 - 1),0),
ROUND(MAX(0,AD$464),0)))))))),""),""),"")</f>
        <v/>
      </c>
      <c r="AF487" s="95" t="str">
        <f>IF(ISNUMBER($B$465),
IF($C487&lt;&gt;"",
IF(AND(ISNUMBER(AE$464), AE$464&gt;0),
IF(AND(AF$279=123, Cultivar_1_Cohort_Year_Selection=$Y$278,Cultivar_2_Cohort_Year_Selection=$Y$278,Cultivar_3_Cohort_Year_Selection=$Y$278), ROUND(MAX(0,AE$464 - 3),0),
IF(AND(OR(AF$279=123, AF$279=12), Cultivar_1_Cohort_Year_Selection=$Y$278,Cultivar_2_Cohort_Year_Selection=$Y$278), ROUND(MAX(0,AE$464 - 2),0),
IF(AND(OR(AF$279=123, AF$279=13), Cultivar_1_Cohort_Year_Selection=$Y$278,Cultivar_3_Cohort_Year_Selection=$Y$278), ROUND(MAX(0,AE$464 - 2),0),
IF(AND(OR(AF$279=123, AF$279=23), Cultivar_2_Cohort_Year_Selection=$Y$278,Cultivar_3_Cohort_Year_Selection=$Y$278), ROUND(MAX(0,AE$464 - 2),0),
IF(AND(OR(AF$279=123, AF$279=12, AF$279=13, AF$279=1), Cultivar_1_Cohort_Year_Selection=$Y$278), ROUND(MAX(0,AE$464 - 1),0),
IF(AND(OR(AF$279=123, AF$279=12, AF$279=23, AF$279=2), Cultivar_2_Cohort_Year_Selection=$Y$278), ROUND(MAX(0,AE$464 - 1),0),
IF(AND(OR(AF$279=123, AF$279=13, AF$279=23, AF$279=3), Cultivar_3_Cohort_Year_Selection=$Y$278), ROUND(MAX(0,AE$464 - 1),0),
ROUND(MAX(0,AE$464),0)))))))),""),""),"")</f>
        <v/>
      </c>
      <c r="AG487" s="95" t="str">
        <f>IF(ISNUMBER($B$465),
IF($C487&lt;&gt;"",
IF(AND(ISNUMBER(AF$464), AF$464&gt;0),
IF(AND(AG$279=123, Cultivar_1_Cohort_Year_Selection=$Z$278,Cultivar_2_Cohort_Year_Selection=$Z$278,Cultivar_3_Cohort_Year_Selection=$Z$278), ROUND(MAX(0,AF$464 - 3),0),
IF(AND(OR(AG$279=123, AG$279=12), Cultivar_1_Cohort_Year_Selection=$Z$278,Cultivar_2_Cohort_Year_Selection=$Z$278), ROUND(MAX(0,AF$464 - 2),0),
IF(AND(OR(AG$279=123, AG$279=13), Cultivar_1_Cohort_Year_Selection=$Z$278,Cultivar_3_Cohort_Year_Selection=$Z$278), ROUND(MAX(0,AF$464 - 2),0),
IF(AND(OR(AG$279=123, AG$279=23), Cultivar_2_Cohort_Year_Selection=$Z$278,Cultivar_3_Cohort_Year_Selection=$Z$278), ROUND(MAX(0,AF$464 - 2),0),
IF(AND(OR(AG$279=123, AG$279=12, AG$279=13, AG$279=1), Cultivar_1_Cohort_Year_Selection=$Z$278), ROUND(MAX(0,AF$464 - 1),0),
IF(AND(OR(AG$279=123, AG$279=12, AG$279=23, AG$279=2), Cultivar_2_Cohort_Year_Selection=$Z$278), ROUND(MAX(0,AF$464 - 1),0),
IF(AND(OR(AG$279=123, AG$279=13, AG$279=23, AG$279=3), Cultivar_3_Cohort_Year_Selection=$Z$278), ROUND(MAX(0,AF$464 - 1),0),
ROUND(MAX(0,AF$464),0)))))))),""),""),"")</f>
        <v/>
      </c>
      <c r="AH487" s="95" t="str">
        <f>IF(ISNUMBER($B$465),
IF($C487&lt;&gt;"",
IF(AND(ISNUMBER(AG$464), AG$464&gt;0),
IF(AND(AH$279=123, Cultivar_1_Cohort_Year_Selection=$AA$278,Cultivar_2_Cohort_Year_Selection=$AA$278,Cultivar_3_Cohort_Year_Selection=$AA$278), ROUND(MAX(0,AG$464 - 3),0),
IF(AND(OR(AH$279=123, AH$279=12), Cultivar_1_Cohort_Year_Selection=$AA$278,Cultivar_2_Cohort_Year_Selection=$AA$278), ROUND(MAX(0,AG$464 - 2),0),
IF(AND(OR(AH$279=123, AH$279=13), Cultivar_1_Cohort_Year_Selection=$AA$278,Cultivar_3_Cohort_Year_Selection=$AA$278), ROUND(MAX(0,AG$464 - 2),0),
IF(AND(OR(AH$279=123, AH$279=23), Cultivar_2_Cohort_Year_Selection=$AA$278,Cultivar_3_Cohort_Year_Selection=$AA$278), ROUND(MAX(0,AG$464 - 2),0),
IF(AND(OR(AH$279=123, AH$279=12, AH$279=13, AH$279=1), Cultivar_1_Cohort_Year_Selection=$AA$278), ROUND(MAX(0,AG$464 - 1),0),
IF(AND(OR(AH$279=123, AH$279=12, AH$279=23, AH$279=2), Cultivar_2_Cohort_Year_Selection=$AA$278), ROUND(MAX(0,AG$464 - 1),0),
IF(AND(OR(AH$279=123, AH$279=13, AH$279=23, AH$279=3), Cultivar_3_Cohort_Year_Selection=$AA$278), ROUND(MAX(0,AG$464 - 1),0),
ROUND(MAX(0,AG$464),0)))))))),""),""),"")</f>
        <v/>
      </c>
      <c r="AI487" s="95" t="str">
        <f>IF(ISNUMBER($B$465),
IF($C487&lt;&gt;"",
IF(AND(ISNUMBER(AH$464), AH$464&gt;0),
IF(AND(AI$279=123, Cultivar_1_Cohort_Year_Selection=$AB$278,Cultivar_2_Cohort_Year_Selection=$AB$278,Cultivar_3_Cohort_Year_Selection=$AB$278), ROUND(MAX(0,AH$464 - 3),0),
IF(AND(OR(AI$279=123, AI$279=12), Cultivar_1_Cohort_Year_Selection=$AB$278,Cultivar_2_Cohort_Year_Selection=$AB$278), ROUND(MAX(0,AH$464 - 2),0),
IF(AND(OR(AI$279=123, AI$279=13), Cultivar_1_Cohort_Year_Selection=$AB$278,Cultivar_3_Cohort_Year_Selection=$AB$278), ROUND(MAX(0,AH$464 - 2),0),
IF(AND(OR(AI$279=123, AI$279=23), Cultivar_2_Cohort_Year_Selection=$AB$278,Cultivar_3_Cohort_Year_Selection=$AB$278), ROUND(MAX(0,AH$464 - 2),0),
IF(AND(OR(AI$279=123, AI$279=12, AI$279=13, AI$279=1), Cultivar_1_Cohort_Year_Selection=$AB$278), ROUND(MAX(0,AH$464 - 1),0),
IF(AND(OR(AI$279=123, AI$279=12, AI$279=23, AI$279=2), Cultivar_2_Cohort_Year_Selection=$AB$278), ROUND(MAX(0,AH$464 - 1),0),
IF(AND(OR(AI$279=123, AI$279=13, AI$279=23, AI$279=3), Cultivar_3_Cohort_Year_Selection=$AB$278), ROUND(MAX(0,AH$464 - 1),0),
ROUND(MAX(0,AH$464),0)))))))),""),""),"")</f>
        <v/>
      </c>
      <c r="AJ487" s="95" t="str">
        <f>IF(ISNUMBER($B$465),
IF($C487&lt;&gt;"",
IF(AND(ISNUMBER(AI$464), AI$464&gt;0),
IF(AND(AJ$279=123, Cultivar_1_Cohort_Year_Selection=$AC$278,Cultivar_2_Cohort_Year_Selection=$AC$278,Cultivar_3_Cohort_Year_Selection=$AC$278), ROUND(MAX(0,AI$464 - 3),0),
IF(AND(OR(AJ$279=123, AJ$279=12), Cultivar_1_Cohort_Year_Selection=$AC$278,Cultivar_2_Cohort_Year_Selection=$AC$278), ROUND(MAX(0,AI$464 - 2),0),
IF(AND(OR(AJ$279=123, AJ$279=13), Cultivar_1_Cohort_Year_Selection=$AC$278,Cultivar_3_Cohort_Year_Selection=$AC$278), ROUND(MAX(0,AI$464 - 2),0),
IF(AND(OR(AJ$279=123, AJ$279=23), Cultivar_2_Cohort_Year_Selection=$AC$278,Cultivar_3_Cohort_Year_Selection=$AC$278), ROUND(MAX(0,AI$464 - 2),0),
IF(AND(OR(AJ$279=123, AJ$279=12, AJ$279=13, AJ$279=1), Cultivar_1_Cohort_Year_Selection=$AC$278), ROUND(MAX(0,AI$464 - 1),0),
IF(AND(OR(AJ$279=123, AJ$279=12, AJ$279=23, AJ$279=2), Cultivar_2_Cohort_Year_Selection=$AC$278), ROUND(MAX(0,AI$464 - 1),0),
IF(AND(OR(AJ$279=123, AJ$279=13, AJ$279=23, AJ$279=3), Cultivar_3_Cohort_Year_Selection=$AC$278), ROUND(MAX(0,AI$464 - 1),0),
ROUND(MAX(0,AI$464),0)))))))),""),""),"")</f>
        <v/>
      </c>
      <c r="AK487" s="95" t="str">
        <f>IF(ISNUMBER($B$465),
IF($C487&lt;&gt;"",
IF(AND(ISNUMBER(AJ$464), AJ$464&gt;0),
IF(AND(AK$279=123, Cultivar_1_Cohort_Year_Selection=$AD$278,Cultivar_2_Cohort_Year_Selection=$AD$278,Cultivar_3_Cohort_Year_Selection=$AD$278), ROUND(MAX(0,AJ$464 - 3),0),
IF(AND(OR(AK$279=123, AK$279=12), Cultivar_1_Cohort_Year_Selection=$AD$278,Cultivar_2_Cohort_Year_Selection=$AD$278), ROUND(MAX(0,AJ$464 - 2),0),
IF(AND(OR(AK$279=123, AK$279=13), Cultivar_1_Cohort_Year_Selection=$AD$278,Cultivar_3_Cohort_Year_Selection=$AD$278), ROUND(MAX(0,AJ$464 - 2),0),
IF(AND(OR(AK$279=123, AK$279=23), Cultivar_2_Cohort_Year_Selection=$AD$278,Cultivar_3_Cohort_Year_Selection=$AD$278), ROUND(MAX(0,AJ$464 - 2),0),
IF(AND(OR(AK$279=123, AK$279=12, AK$279=13, AK$279=1), Cultivar_1_Cohort_Year_Selection=$AD$278), ROUND(MAX(0,AJ$464 - 1),0),
IF(AND(OR(AK$279=123, AK$279=12, AK$279=23, AK$279=2), Cultivar_2_Cohort_Year_Selection=$AD$278), ROUND(MAX(0,AJ$464 - 1),0),
IF(AND(OR(AK$279=123, AK$279=13, AK$279=23, AK$279=3), Cultivar_3_Cohort_Year_Selection=$AD$278), ROUND(MAX(0,AJ$464 - 1),0),
ROUND(MAX(0,AJ$464),0)))))))),""),""),"")</f>
        <v/>
      </c>
      <c r="AL487" s="95" t="str">
        <f>IF(ISNUMBER($B$465),
IF($C487&lt;&gt;"",
IF(AND(ISNUMBER(AK$464), AK$464&gt;0),
IF(AND(AL$279=123, Cultivar_1_Cohort_Year_Selection=$AE$278,Cultivar_2_Cohort_Year_Selection=$AE$278,Cultivar_3_Cohort_Year_Selection=$AE$278), ROUND(MAX(0,AK$464 - 3),0),
IF(AND(OR(AL$279=123, AL$279=12), Cultivar_1_Cohort_Year_Selection=$AE$278,Cultivar_2_Cohort_Year_Selection=$AE$278), ROUND(MAX(0,AK$464 - 2),0),
IF(AND(OR(AL$279=123, AL$279=13), Cultivar_1_Cohort_Year_Selection=$AE$278,Cultivar_3_Cohort_Year_Selection=$AE$278), ROUND(MAX(0,AK$464 - 2),0),
IF(AND(OR(AL$279=123, AL$279=23), Cultivar_2_Cohort_Year_Selection=$AE$278,Cultivar_3_Cohort_Year_Selection=$AE$278), ROUND(MAX(0,AK$464 - 2),0),
IF(AND(OR(AL$279=123, AL$279=12, AL$279=13, AL$279=1), Cultivar_1_Cohort_Year_Selection=$AE$278), ROUND(MAX(0,AK$464 - 1),0),
IF(AND(OR(AL$279=123, AL$279=12, AL$279=23, AL$279=2), Cultivar_2_Cohort_Year_Selection=$AE$278), ROUND(MAX(0,AK$464 - 1),0),
IF(AND(OR(AL$279=123, AL$279=13, AL$279=23, AL$279=3), Cultivar_3_Cohort_Year_Selection=$AE$278), ROUND(MAX(0,AK$464 - 1),0),
ROUND(MAX(0,AK$464),0)))))))),""),""),"")</f>
        <v/>
      </c>
      <c r="AM487" s="95" t="str">
        <f>IF(ISNUMBER($B$465),
IF($C487&lt;&gt;"",
IF(AND(ISNUMBER(AL$464), AL$464&gt;0),
IF(AND(AM$279=123, Cultivar_1_Cohort_Year_Selection=$AF$278,Cultivar_2_Cohort_Year_Selection=$AF$278,Cultivar_3_Cohort_Year_Selection=$AF$278), ROUND(MAX(0,AL$464 - 3),0),
IF(AND(OR(AM$279=123, AM$279=12), Cultivar_1_Cohort_Year_Selection=$AF$278,Cultivar_2_Cohort_Year_Selection=$AF$278), ROUND(MAX(0,AL$464 - 2),0),
IF(AND(OR(AM$279=123, AM$279=13), Cultivar_1_Cohort_Year_Selection=$AF$278,Cultivar_3_Cohort_Year_Selection=$AF$278), ROUND(MAX(0,AL$464 - 2),0),
IF(AND(OR(AM$279=123, AM$279=23), Cultivar_2_Cohort_Year_Selection=$AF$278,Cultivar_3_Cohort_Year_Selection=$AF$278), ROUND(MAX(0,AL$464 - 2),0),
IF(AND(OR(AM$279=123, AM$279=12, AM$279=13, AM$279=1), Cultivar_1_Cohort_Year_Selection=$AF$278), ROUND(MAX(0,AL$464 - 1),0),
IF(AND(OR(AM$279=123, AM$279=12, AM$279=23, AM$279=2), Cultivar_2_Cohort_Year_Selection=$AF$278), ROUND(MAX(0,AL$464 - 1),0),
IF(AND(OR(AM$279=123, AM$279=13, AM$279=23, AM$279=3), Cultivar_3_Cohort_Year_Selection=$AF$278), ROUND(MAX(0,AL$464 - 1),0),
ROUND(MAX(0,AL$464),0)))))))),""),""),"")</f>
        <v/>
      </c>
      <c r="AN487" s="95" t="str">
        <f>IF(ISNUMBER($B$465),
IF($C487&lt;&gt;"",
IF(AND(ISNUMBER(AM$464), AM$464&gt;0),
IF(AND(AN$279=123, Cultivar_1_Cohort_Year_Selection=$AG$278,Cultivar_2_Cohort_Year_Selection=$AG$278,Cultivar_3_Cohort_Year_Selection=$AG$278), ROUND(MAX(0,AM$464 - 3),0),
IF(AND(OR(AN$279=123, AN$279=12), Cultivar_1_Cohort_Year_Selection=$AG$278,Cultivar_2_Cohort_Year_Selection=$AG$278), ROUND(MAX(0,AM$464 - 2),0),
IF(AND(OR(AN$279=123, AN$279=13), Cultivar_1_Cohort_Year_Selection=$AG$278,Cultivar_3_Cohort_Year_Selection=$AG$278), ROUND(MAX(0,AM$464 - 2),0),
IF(AND(OR(AN$279=123, AN$279=23), Cultivar_2_Cohort_Year_Selection=$AG$278,Cultivar_3_Cohort_Year_Selection=$AG$278), ROUND(MAX(0,AM$464 - 2),0),
IF(AND(OR(AN$279=123, AN$279=12, AN$279=13, AN$279=1), Cultivar_1_Cohort_Year_Selection=$AG$278), ROUND(MAX(0,AM$464 - 1),0),
IF(AND(OR(AN$279=123, AN$279=12, AN$279=23, AN$279=2), Cultivar_2_Cohort_Year_Selection=$AG$278), ROUND(MAX(0,AM$464 - 1),0),
IF(AND(OR(AN$279=123, AN$279=13, AN$279=23, AN$279=3), Cultivar_3_Cohort_Year_Selection=$AG$278), ROUND(MAX(0,AM$464 - 1),0),
ROUND(MAX(0,AM$464),0)))))))),""),""),"")</f>
        <v/>
      </c>
      <c r="AO487" s="95" t="str">
        <f>IF(ISNUMBER($B$465),
IF($C487&lt;&gt;"",
IF(AND(ISNUMBER(AN$464), AN$464&gt;0),
IF(AND(AO$279=123, Cultivar_1_Cohort_Year_Selection=$AH$278,Cultivar_2_Cohort_Year_Selection=$AH$278,Cultivar_3_Cohort_Year_Selection=$AH$278), ROUND(MAX(0,AN$464 - 3),0),
IF(AND(OR(AO$279=123, AO$279=12), Cultivar_1_Cohort_Year_Selection=$AH$278,Cultivar_2_Cohort_Year_Selection=$AH$278), ROUND(MAX(0,AN$464 - 2),0),
IF(AND(OR(AO$279=123, AO$279=13), Cultivar_1_Cohort_Year_Selection=$AH$278,Cultivar_3_Cohort_Year_Selection=$AH$278), ROUND(MAX(0,AN$464 - 2),0),
IF(AND(OR(AO$279=123, AO$279=23), Cultivar_2_Cohort_Year_Selection=$AH$278,Cultivar_3_Cohort_Year_Selection=$AH$278), ROUND(MAX(0,AN$464 - 2),0),
IF(AND(OR(AO$279=123, AO$279=12, AO$279=13, AO$279=1), Cultivar_1_Cohort_Year_Selection=$AH$278), ROUND(MAX(0,AN$464 - 1),0),
IF(AND(OR(AO$279=123, AO$279=12, AO$279=23, AO$279=2), Cultivar_2_Cohort_Year_Selection=$AH$278), ROUND(MAX(0,AN$464 - 1),0),
IF(AND(OR(AO$279=123, AO$279=13, AO$279=23, AO$279=3), Cultivar_3_Cohort_Year_Selection=$AH$278), ROUND(MAX(0,AN$464 - 1),0),
ROUND(MAX(0,AN$464),0)))))))),""),""),"")</f>
        <v/>
      </c>
      <c r="AP487" s="95" t="str">
        <f>IF(ISNUMBER($B$465),
IF($C487&lt;&gt;"",
IF(AND(ISNUMBER(AO$464), AO$464&gt;0),
IF(AND(AP$279=123, Cultivar_1_Cohort_Year_Selection=$AI$278,Cultivar_2_Cohort_Year_Selection=$AI$278,Cultivar_3_Cohort_Year_Selection=$AI$278), ROUND(MAX(0,AO$464 - 3),0),
IF(AND(OR(AP$279=123, AP$279=12), Cultivar_1_Cohort_Year_Selection=$AI$278,Cultivar_2_Cohort_Year_Selection=$AI$278), ROUND(MAX(0,AO$464 - 2),0),
IF(AND(OR(AP$279=123, AP$279=13), Cultivar_1_Cohort_Year_Selection=$AI$278,Cultivar_3_Cohort_Year_Selection=$AI$278), ROUND(MAX(0,AO$464 - 2),0),
IF(AND(OR(AP$279=123, AP$279=23), Cultivar_2_Cohort_Year_Selection=$AI$278,Cultivar_3_Cohort_Year_Selection=$AI$278), ROUND(MAX(0,AO$464 - 2),0),
IF(AND(OR(AP$279=123, AP$279=12, AP$279=13, AP$279=1), Cultivar_1_Cohort_Year_Selection=$AI$278), ROUND(MAX(0,AO$464 - 1),0),
IF(AND(OR(AP$279=123, AP$279=12, AP$279=23, AP$279=2), Cultivar_2_Cohort_Year_Selection=$AI$278), ROUND(MAX(0,AO$464 - 1),0),
IF(AND(OR(AP$279=123, AP$279=13, AP$279=23, AP$279=3), Cultivar_3_Cohort_Year_Selection=$AI$278), ROUND(MAX(0,AO$464 - 1),0),
ROUND(MAX(0,AO$464),0)))))))),""),""),"")</f>
        <v/>
      </c>
      <c r="AQ487" s="95" t="str">
        <f>IF(ISNUMBER($B$465),
IF($C487&lt;&gt;"",
IF(AND(ISNUMBER(AP$464), AP$464&gt;0),
IF(AND(AQ$279=123, Cultivar_1_Cohort_Year_Selection=$AJ$278,Cultivar_2_Cohort_Year_Selection=$AJ$278,Cultivar_3_Cohort_Year_Selection=$AJ$278), ROUND(MAX(0,AP$464 - 3),0),
IF(AND(OR(AQ$279=123, AQ$279=12), Cultivar_1_Cohort_Year_Selection=$AJ$278,Cultivar_2_Cohort_Year_Selection=$AJ$278), ROUND(MAX(0,AP$464 - 2),0),
IF(AND(OR(AQ$279=123, AQ$279=13), Cultivar_1_Cohort_Year_Selection=$AJ$278,Cultivar_3_Cohort_Year_Selection=$AJ$278), ROUND(MAX(0,AP$464 - 2),0),
IF(AND(OR(AQ$279=123, AQ$279=23), Cultivar_2_Cohort_Year_Selection=$AJ$278,Cultivar_3_Cohort_Year_Selection=$AJ$278), ROUND(MAX(0,AP$464 - 2),0),
IF(AND(OR(AQ$279=123, AQ$279=12, AQ$279=13, AQ$279=1), Cultivar_1_Cohort_Year_Selection=$AJ$278), ROUND(MAX(0,AP$464 - 1),0),
IF(AND(OR(AQ$279=123, AQ$279=12, AQ$279=23, AQ$279=2), Cultivar_2_Cohort_Year_Selection=$AJ$278), ROUND(MAX(0,AP$464 - 1),0),
IF(AND(OR(AQ$279=123, AQ$279=13, AQ$279=23, AQ$279=3), Cultivar_3_Cohort_Year_Selection=$AJ$278), ROUND(MAX(0,AP$464 - 1),0),
ROUND(MAX(0,AP$464),0)))))))),""),""),"")</f>
        <v/>
      </c>
      <c r="AR487" s="95" t="str">
        <f>IF(ISNUMBER($B$465),
IF($C487&lt;&gt;"",
IF(AND(ISNUMBER(AQ$464), AQ$464&gt;0),
IF(AND(AR$279=123, Cultivar_1_Cohort_Year_Selection=$AK$278,Cultivar_2_Cohort_Year_Selection=$AK$278,Cultivar_3_Cohort_Year_Selection=$AK$278), ROUND(MAX(0,AQ$464 - 3),0),
IF(AND(OR(AR$279=123, AR$279=12), Cultivar_1_Cohort_Year_Selection=$AK$278,Cultivar_2_Cohort_Year_Selection=$AK$278), ROUND(MAX(0,AQ$464 - 2),0),
IF(AND(OR(AR$279=123, AR$279=13), Cultivar_1_Cohort_Year_Selection=$AK$278,Cultivar_3_Cohort_Year_Selection=$AK$278), ROUND(MAX(0,AQ$464 - 2),0),
IF(AND(OR(AR$279=123, AR$279=23), Cultivar_2_Cohort_Year_Selection=$AK$278,Cultivar_3_Cohort_Year_Selection=$AK$278), ROUND(MAX(0,AQ$464 - 2),0),
IF(AND(OR(AR$279=123, AR$279=12, AR$279=13, AR$279=1), Cultivar_1_Cohort_Year_Selection=$AK$278), ROUND(MAX(0,AQ$464 - 1),0),
IF(AND(OR(AR$279=123, AR$279=12, AR$279=23, AR$279=2), Cultivar_2_Cohort_Year_Selection=$AK$278), ROUND(MAX(0,AQ$464 - 1),0),
IF(AND(OR(AR$279=123, AR$279=13, AR$279=23, AR$279=3), Cultivar_3_Cohort_Year_Selection=$AK$278), ROUND(MAX(0,AQ$464 - 1),0),
ROUND(MAX(0,AQ$464),0)))))))),""),""),"")</f>
        <v/>
      </c>
      <c r="AS487" s="95" t="str">
        <f>IF(ISNUMBER($B$465),
IF($C487&lt;&gt;"",
IF(AND(ISNUMBER(AR$464), AR$464&gt;0),
IF(AND(AS$279=123, Cultivar_1_Cohort_Year_Selection=$AL$278,Cultivar_2_Cohort_Year_Selection=$AL$278,Cultivar_3_Cohort_Year_Selection=$AL$278), ROUND(MAX(0,AR$464 - 3),0),
IF(AND(OR(AS$279=123, AS$279=12), Cultivar_1_Cohort_Year_Selection=$AL$278,Cultivar_2_Cohort_Year_Selection=$AL$278), ROUND(MAX(0,AR$464 - 2),0),
IF(AND(OR(AS$279=123, AS$279=13), Cultivar_1_Cohort_Year_Selection=$AL$278,Cultivar_3_Cohort_Year_Selection=$AL$278), ROUND(MAX(0,AR$464 - 2),0),
IF(AND(OR(AS$279=123, AS$279=23), Cultivar_2_Cohort_Year_Selection=$AL$278,Cultivar_3_Cohort_Year_Selection=$AL$278), ROUND(MAX(0,AR$464 - 2),0),
IF(AND(OR(AS$279=123, AS$279=12, AS$279=13, AS$279=1), Cultivar_1_Cohort_Year_Selection=$AL$278), ROUND(MAX(0,AR$464 - 1),0),
IF(AND(OR(AS$279=123, AS$279=12, AS$279=23, AS$279=2), Cultivar_2_Cohort_Year_Selection=$AL$278), ROUND(MAX(0,AR$464 - 1),0),
IF(AND(OR(AS$279=123, AS$279=13, AS$279=23, AS$279=3), Cultivar_3_Cohort_Year_Selection=$AL$278), ROUND(MAX(0,AR$464 - 1),0),
ROUND(MAX(0,AR$464),0)))))))),""),""),"")</f>
        <v/>
      </c>
      <c r="AT487" s="95" t="str">
        <f>IF(ISNUMBER($B$465),
IF($C487&lt;&gt;"",
IF(AND(ISNUMBER(AS$464), AS$464&gt;0),
IF(AND(AT$279=123, Cultivar_1_Cohort_Year_Selection=$AM$278,Cultivar_2_Cohort_Year_Selection=$AM$278,Cultivar_3_Cohort_Year_Selection=$AM$278), ROUND(MAX(0,AS$464 - 3),0),
IF(AND(OR(AT$279=123, AT$279=12), Cultivar_1_Cohort_Year_Selection=$AM$278,Cultivar_2_Cohort_Year_Selection=$AM$278), ROUND(MAX(0,AS$464 - 2),0),
IF(AND(OR(AT$279=123, AT$279=13), Cultivar_1_Cohort_Year_Selection=$AM$278,Cultivar_3_Cohort_Year_Selection=$AM$278), ROUND(MAX(0,AS$464 - 2),0),
IF(AND(OR(AT$279=123, AT$279=23), Cultivar_2_Cohort_Year_Selection=$AM$278,Cultivar_3_Cohort_Year_Selection=$AM$278), ROUND(MAX(0,AS$464 - 2),0),
IF(AND(OR(AT$279=123, AT$279=12, AT$279=13, AT$279=1), Cultivar_1_Cohort_Year_Selection=$AM$278), ROUND(MAX(0,AS$464 - 1),0),
IF(AND(OR(AT$279=123, AT$279=12, AT$279=23, AT$279=2), Cultivar_2_Cohort_Year_Selection=$AM$278), ROUND(MAX(0,AS$464 - 1),0),
IF(AND(OR(AT$279=123, AT$279=13, AT$279=23, AT$279=3), Cultivar_3_Cohort_Year_Selection=$AM$278), ROUND(MAX(0,AS$464 - 1),0),
ROUND(MAX(0,AS$464),0)))))))),""),""),"")</f>
        <v/>
      </c>
      <c r="AU487" s="95" t="str">
        <f>IF(ISNUMBER($B$465),
IF($C487&lt;&gt;"",
IF(AND(ISNUMBER(AT$464), AT$464&gt;0),
IF(AND(AU$279=123, Cultivar_1_Cohort_Year_Selection=$AN$278,Cultivar_2_Cohort_Year_Selection=$AN$278,Cultivar_3_Cohort_Year_Selection=$AN$278), ROUND(MAX(0,AT$464 - 3),0),
IF(AND(OR(AU$279=123, AU$279=12), Cultivar_1_Cohort_Year_Selection=$AN$278,Cultivar_2_Cohort_Year_Selection=$AN$278), ROUND(MAX(0,AT$464 - 2),0),
IF(AND(OR(AU$279=123, AU$279=13), Cultivar_1_Cohort_Year_Selection=$AN$278,Cultivar_3_Cohort_Year_Selection=$AN$278), ROUND(MAX(0,AT$464 - 2),0),
IF(AND(OR(AU$279=123, AU$279=23), Cultivar_2_Cohort_Year_Selection=$AN$278,Cultivar_3_Cohort_Year_Selection=$AN$278), ROUND(MAX(0,AT$464 - 2),0),
IF(AND(OR(AU$279=123, AU$279=12, AU$279=13, AU$279=1), Cultivar_1_Cohort_Year_Selection=$AN$278), ROUND(MAX(0,AT$464 - 1),0),
IF(AND(OR(AU$279=123, AU$279=12, AU$279=23, AU$279=2), Cultivar_2_Cohort_Year_Selection=$AN$278), ROUND(MAX(0,AT$464 - 1),0),
IF(AND(OR(AU$279=123, AU$279=13, AU$279=23, AU$279=3), Cultivar_3_Cohort_Year_Selection=$AN$278), ROUND(MAX(0,AT$464 - 1),0),
ROUND(MAX(0,AT$464),0)))))))),""),""),"")</f>
        <v/>
      </c>
      <c r="AV487" s="95" t="str">
        <f>IF(ISNUMBER($B$465),
IF($C487&lt;&gt;"",
IF(AND(ISNUMBER(AU$464), AU$464&gt;0),
IF(AND(AV$279=123, Cultivar_1_Cohort_Year_Selection=$AO$278,Cultivar_2_Cohort_Year_Selection=$AO$278,Cultivar_3_Cohort_Year_Selection=$AO$278), ROUND(MAX(0,AU$464 - 3),0),
IF(AND(OR(AV$279=123, AV$279=12), Cultivar_1_Cohort_Year_Selection=$AO$278,Cultivar_2_Cohort_Year_Selection=$AO$278), ROUND(MAX(0,AU$464 - 2),0),
IF(AND(OR(AV$279=123, AV$279=13), Cultivar_1_Cohort_Year_Selection=$AO$278,Cultivar_3_Cohort_Year_Selection=$AO$278), ROUND(MAX(0,AU$464 - 2),0),
IF(AND(OR(AV$279=123, AV$279=23), Cultivar_2_Cohort_Year_Selection=$AO$278,Cultivar_3_Cohort_Year_Selection=$AO$278), ROUND(MAX(0,AU$464 - 2),0),
IF(AND(OR(AV$279=123, AV$279=12, AV$279=13, AV$279=1), Cultivar_1_Cohort_Year_Selection=$AO$278), ROUND(MAX(0,AU$464 - 1),0),
IF(AND(OR(AV$279=123, AV$279=12, AV$279=23, AV$279=2), Cultivar_2_Cohort_Year_Selection=$AO$278), ROUND(MAX(0,AU$464 - 1),0),
IF(AND(OR(AV$279=123, AV$279=13, AV$279=23, AV$279=3), Cultivar_3_Cohort_Year_Selection=$AO$278), ROUND(MAX(0,AU$464 - 1),0),
ROUND(MAX(0,AU$464),0)))))))),""),""),"")</f>
        <v/>
      </c>
      <c r="AW487" s="95" t="str">
        <f>IF(ISNUMBER($B$465),
IF($C487&lt;&gt;"",
IF(AND(ISNUMBER(AV$464), AV$464&gt;0),
IF(AND(AW$279=123, Cultivar_1_Cohort_Year_Selection=$AP$278,Cultivar_2_Cohort_Year_Selection=$AP$278,Cultivar_3_Cohort_Year_Selection=$AP$278), ROUND(MAX(0,AV$464 - 3),0),
IF(AND(OR(AW$279=123, AW$279=12), Cultivar_1_Cohort_Year_Selection=$AP$278,Cultivar_2_Cohort_Year_Selection=$AP$278), ROUND(MAX(0,AV$464 - 2),0),
IF(AND(OR(AW$279=123, AW$279=13), Cultivar_1_Cohort_Year_Selection=$AP$278,Cultivar_3_Cohort_Year_Selection=$AP$278), ROUND(MAX(0,AV$464 - 2),0),
IF(AND(OR(AW$279=123, AW$279=23), Cultivar_2_Cohort_Year_Selection=$AP$278,Cultivar_3_Cohort_Year_Selection=$AP$278), ROUND(MAX(0,AV$464 - 2),0),
IF(AND(OR(AW$279=123, AW$279=12, AW$279=13, AW$279=1), Cultivar_1_Cohort_Year_Selection=$AP$278), ROUND(MAX(0,AV$464 - 1),0),
IF(AND(OR(AW$279=123, AW$279=12, AW$279=23, AW$279=2), Cultivar_2_Cohort_Year_Selection=$AP$278), ROUND(MAX(0,AV$464 - 1),0),
IF(AND(OR(AW$279=123, AW$279=13, AW$279=23, AW$279=3), Cultivar_3_Cohort_Year_Selection=$AP$278), ROUND(MAX(0,AV$464 - 1),0),
ROUND(MAX(0,AV$464),0)))))))),""),""),"")</f>
        <v/>
      </c>
    </row>
    <row r="488" spans="1:50" ht="6.6" customHeight="1" thickBot="1" x14ac:dyDescent="0.3">
      <c r="A488" s="213"/>
      <c r="B488" s="282"/>
      <c r="C488" s="283"/>
      <c r="D488" s="114"/>
      <c r="E488" s="114"/>
      <c r="F488" s="114"/>
      <c r="G488" s="284"/>
      <c r="H488" s="114"/>
      <c r="I488" s="114"/>
      <c r="J488" s="114"/>
      <c r="K488" s="114"/>
      <c r="L488" s="285"/>
      <c r="M488" s="285"/>
      <c r="N488" s="99"/>
      <c r="O488" s="99"/>
      <c r="P488" s="99"/>
      <c r="Q488" s="99"/>
      <c r="R488" s="99"/>
      <c r="S488" s="99"/>
      <c r="T488" s="99"/>
      <c r="U488" s="286"/>
      <c r="V488" s="288" t="str">
        <f>IF(ISNUMBER($B$465),
IF(AND(ISNUMBER(U$464), U$464&gt;0),
IF(AND(V$279=123, Cultivar_1_Cohort_Year_Selection=$O$278,Cultivar_2_Cohort_Year_Selection=$O$278,Cultivar_3_Cohort_Year_Selection=$O$278), ROUND(MAX(0,(U$464-('Stage 2 Randomized Selection'!K$2*$M465)) - 3),0),
IF(AND(OR(V$279=123, V$279=12), Cultivar_1_Cohort_Year_Selection=$O$278,Cultivar_2_Cohort_Year_Selection=$O$278),  ROUND(MAX(0,(U$464-('Stage 2 Randomized Selection'!J$2*$M465)) - 2),0),
IF(AND(OR(V$279=123, V$279=13), Cultivar_1_Cohort_Year_Selection=$O$278,Cultivar_3_Cohort_Year_Selection=$O$278), ROUND(MAX(0,(U$464-('Stage 2 Randomized Selection'!J$2*$M465)) - 2),0),
IF(AND(OR(V$279=123, V$279=23), Cultivar_2_Cohort_Year_Selection=$O$278,Cultivar_3_Cohort_Year_Selection=$O$278), ROUND(MAX(0,(U$464-('Stage 2 Randomized Selection'!J$2*$M465)) - 2),0),
IF(AND(OR(V$279=123, V$279=12, V$279=13, V$279=1), Cultivar_1_Cohort_Year_Selection=$O$278), ROUND(MAX(0,(U$464-('Stage 2 Randomized Selection'!J$2*$M465)) - 1),0),
IF(AND(OR(V$279=123, V$279=12, V$279=23, V$279=2), Cultivar_2_Cohort_Year_Selection=$O$278), ROUND(MAX(0,(U$464-('Stage 2 Randomized Selection'!J$2*$M465)) - 1),0),
IF(AND(OR(V$279=123, V$279=13, V$279=23, V$279=3), Cultivar_3_Cohort_Year_Selection=$O$278), ROUND(MAX(0,(U$464-('Stage 2 Randomized Selection'!J$2*$M465)) - 1),0),
ROUND(MAX(0,(U$464-('Stage 2 Randomized Selection'!J$2*$M465))),0)))))))),0),"")</f>
        <v/>
      </c>
      <c r="W488" s="288" t="str">
        <f>IF(ISNUMBER($B$465),
IF(AND(ISNUMBER(V$464), V$464&gt;0),
IF(AND(W$279=123, Cultivar_1_Cohort_Year_Selection=$P$278,Cultivar_2_Cohort_Year_Selection=$P$278,Cultivar_3_Cohort_Year_Selection=$P$278), ROUND(MAX(0,(V$464-('Stage 2 Randomized Selection'!L$2*$M465)) - 3),0),
IF(AND(OR(W$279=123, W$279=12), Cultivar_1_Cohort_Year_Selection=$P$278,Cultivar_2_Cohort_Year_Selection=$P$278),  ROUND(MAX(0,(V$464-('Stage 2 Randomized Selection'!K$2*$M465)) - 2),0),
IF(AND(OR(W$279=123, W$279=13), Cultivar_1_Cohort_Year_Selection=$P$278,Cultivar_3_Cohort_Year_Selection=$P$278), ROUND(MAX(0,(V$464-('Stage 2 Randomized Selection'!K$2*$M465)) - 2),0),
IF(AND(OR(W$279=123, W$279=23), Cultivar_2_Cohort_Year_Selection=$P$278,Cultivar_3_Cohort_Year_Selection=$P$278), ROUND(MAX(0,(V$464-('Stage 2 Randomized Selection'!K$2*$M465)) - 2),0),
IF(AND(OR(W$279=123, W$279=12, W$279=13, W$279=1), Cultivar_1_Cohort_Year_Selection=$P$278), ROUND(MAX(0,(V$464-('Stage 2 Randomized Selection'!K$2*$M465)) - 1),0),
IF(AND(OR(W$279=123, W$279=12, W$279=23, W$279=2), Cultivar_2_Cohort_Year_Selection=$P$278), ROUND(MAX(0,(V$464-('Stage 2 Randomized Selection'!K$2*$M465)) - 1),0),
IF(AND(OR(W$279=123, W$279=13, W$279=23, W$279=3), Cultivar_3_Cohort_Year_Selection=$P$278), ROUND(MAX(0,(V$464-('Stage 2 Randomized Selection'!K$2*$M465)) - 1),0),
ROUND(MAX(0,(V$464-('Stage 2 Randomized Selection'!K$2*$M465))),0)))))))),0),"")</f>
        <v/>
      </c>
      <c r="X488" s="288" t="str">
        <f>IF(ISNUMBER($B$465),
IF(AND(ISNUMBER(W$464), W$464&gt;0),
IF(AND(X$279=123, Cultivar_1_Cohort_Year_Selection=$Q$278,Cultivar_2_Cohort_Year_Selection=$Q$278,Cultivar_3_Cohort_Year_Selection=$Q$278), ROUND(MAX(0,(W$464-('Stage 2 Randomized Selection'!M$2*$M465)) - 3),0),
IF(AND(OR(X$279=123, X$279=12), Cultivar_1_Cohort_Year_Selection=$Q$278,Cultivar_2_Cohort_Year_Selection=$Q$278),  ROUND(MAX(0,(W$464-('Stage 2 Randomized Selection'!L$2*$M465)) - 2),0),
IF(AND(OR(X$279=123, X$279=13), Cultivar_1_Cohort_Year_Selection=$Q$278,Cultivar_3_Cohort_Year_Selection=$Q$278), ROUND(MAX(0,(W$464-('Stage 2 Randomized Selection'!L$2*$M465)) - 2),0),
IF(AND(OR(X$279=123, X$279=23), Cultivar_2_Cohort_Year_Selection=$Q$278,Cultivar_3_Cohort_Year_Selection=$Q$278), ROUND(MAX(0,(W$464-('Stage 2 Randomized Selection'!L$2*$M465)) - 2),0),
IF(AND(OR(X$279=123, X$279=12, X$279=13, X$279=1), Cultivar_1_Cohort_Year_Selection=$Q$278), ROUND(MAX(0,(W$464-('Stage 2 Randomized Selection'!L$2*$M465)) - 1),0),
IF(AND(OR(X$279=123, X$279=12, X$279=23, X$279=2), Cultivar_2_Cohort_Year_Selection=$Q$278), ROUND(MAX(0,(W$464-('Stage 2 Randomized Selection'!L$2*$M465)) - 1),0),
IF(AND(OR(X$279=123, X$279=13, X$279=23, X$279=3), Cultivar_3_Cohort_Year_Selection=$Q$278), ROUND(MAX(0,(W$464-('Stage 2 Randomized Selection'!L$2*$M465)) - 1),0),
ROUND(MAX(0,(W$464-('Stage 2 Randomized Selection'!L$2*$M465))),0)))))))),0),"")</f>
        <v/>
      </c>
      <c r="Y488" s="288" t="str">
        <f>IF(ISNUMBER($B$465),
IF(AND(ISNUMBER(X$464), X$464&gt;0),
IF(AND(Y$279=123, Cultivar_1_Cohort_Year_Selection=$R$278,Cultivar_2_Cohort_Year_Selection=$R$278,Cultivar_3_Cohort_Year_Selection=$R$278), ROUND(MAX(0,(X$464-('Stage 2 Randomized Selection'!N$2*$M465)) - 3),0),
IF(AND(OR(Y$279=123, Y$279=12), Cultivar_1_Cohort_Year_Selection=$R$278,Cultivar_2_Cohort_Year_Selection=$R$278),  ROUND(MAX(0,(X$464-('Stage 2 Randomized Selection'!M$2*$M465)) - 2),0),
IF(AND(OR(Y$279=123, Y$279=13), Cultivar_1_Cohort_Year_Selection=$R$278,Cultivar_3_Cohort_Year_Selection=$R$278), ROUND(MAX(0,(X$464-('Stage 2 Randomized Selection'!M$2*$M465)) - 2),0),
IF(AND(OR(Y$279=123, Y$279=23), Cultivar_2_Cohort_Year_Selection=$R$278,Cultivar_3_Cohort_Year_Selection=$R$278), ROUND(MAX(0,(X$464-('Stage 2 Randomized Selection'!M$2*$M465)) - 2),0),
IF(AND(OR(Y$279=123, Y$279=12, Y$279=13, Y$279=1), Cultivar_1_Cohort_Year_Selection=$R$278), ROUND(MAX(0,(X$464-('Stage 2 Randomized Selection'!M$2*$M465)) - 1),0),
IF(AND(OR(Y$279=123, Y$279=12, Y$279=23, Y$279=2), Cultivar_2_Cohort_Year_Selection=$R$278), ROUND(MAX(0,(X$464-('Stage 2 Randomized Selection'!M$2*$M465)) - 1),0),
IF(AND(OR(Y$279=123, Y$279=13, Y$279=23, Y$279=3), Cultivar_3_Cohort_Year_Selection=$R$278), ROUND(MAX(0,(X$464-('Stage 2 Randomized Selection'!M$2*$M465)) - 1),0),
ROUND(MAX(0,(X$464-('Stage 2 Randomized Selection'!M$2*$M465))),0)))))))),0),"")</f>
        <v/>
      </c>
      <c r="Z488" s="288" t="str">
        <f>IF(ISNUMBER($B$465),
IF(AND(ISNUMBER(Y$464), Y$464&gt;0),
IF(AND(Z$279=123, Cultivar_1_Cohort_Year_Selection=$S$278,Cultivar_2_Cohort_Year_Selection=$S$278,Cultivar_3_Cohort_Year_Selection=$S$278), ROUND(MAX(0,(Y$464-('Stage 2 Randomized Selection'!O$2*$M465)) - 3),0),
IF(AND(OR(Z$279=123, Z$279=12), Cultivar_1_Cohort_Year_Selection=$S$278,Cultivar_2_Cohort_Year_Selection=$S$278),  ROUND(MAX(0,(Y$464-('Stage 2 Randomized Selection'!N$2*$M465)) - 2),0),
IF(AND(OR(Z$279=123, Z$279=13), Cultivar_1_Cohort_Year_Selection=$S$278,Cultivar_3_Cohort_Year_Selection=$S$278), ROUND(MAX(0,(Y$464-('Stage 2 Randomized Selection'!N$2*$M465)) - 2),0),
IF(AND(OR(Z$279=123, Z$279=23), Cultivar_2_Cohort_Year_Selection=$S$278,Cultivar_3_Cohort_Year_Selection=$S$278), ROUND(MAX(0,(Y$464-('Stage 2 Randomized Selection'!N$2*$M465)) - 2),0),
IF(AND(OR(Z$279=123, Z$279=12, Z$279=13, Z$279=1), Cultivar_1_Cohort_Year_Selection=$S$278), ROUND(MAX(0,(Y$464-('Stage 2 Randomized Selection'!N$2*$M465)) - 1),0),
IF(AND(OR(Z$279=123, Z$279=12, Z$279=23, Z$279=2), Cultivar_2_Cohort_Year_Selection=$S$278), ROUND(MAX(0,(Y$464-('Stage 2 Randomized Selection'!N$2*$M465)) - 1),0),
IF(AND(OR(Z$279=123, Z$279=13, Z$279=23, Z$279=3), Cultivar_3_Cohort_Year_Selection=$S$278), ROUND(MAX(0,(Y$464-('Stage 2 Randomized Selection'!N$2*$M465)) - 1),0),
ROUND(MAX(0,(Y$464-('Stage 2 Randomized Selection'!N$2*$M465))),0)))))))),0),"")</f>
        <v/>
      </c>
      <c r="AA488" s="288" t="str">
        <f>IF(ISNUMBER($B$465),
IF(AND(ISNUMBER(Z$464), Z$464&gt;0),
IF(AND(AA$279=123, Cultivar_1_Cohort_Year_Selection=$T$278,Cultivar_2_Cohort_Year_Selection=$T$278,Cultivar_3_Cohort_Year_Selection=$T$278), ROUND(MAX(0,(Z$464-('Stage 2 Randomized Selection'!P$2*$M465)) - 3),0),
IF(AND(OR(AA$279=123, AA$279=12), Cultivar_1_Cohort_Year_Selection=$T$278,Cultivar_2_Cohort_Year_Selection=$T$278),  ROUND(MAX(0,(Z$464-('Stage 2 Randomized Selection'!O$2*$M465)) - 2),0),
IF(AND(OR(AA$279=123, AA$279=13), Cultivar_1_Cohort_Year_Selection=$T$278,Cultivar_3_Cohort_Year_Selection=$T$278), ROUND(MAX(0,(Z$464-('Stage 2 Randomized Selection'!O$2*$M465)) - 2),0),
IF(AND(OR(AA$279=123, AA$279=23), Cultivar_2_Cohort_Year_Selection=$T$278,Cultivar_3_Cohort_Year_Selection=$T$278), ROUND(MAX(0,(Z$464-('Stage 2 Randomized Selection'!O$2*$M465)) - 2),0),
IF(AND(OR(AA$279=123, AA$279=12, AA$279=13, AA$279=1), Cultivar_1_Cohort_Year_Selection=$T$278), ROUND(MAX(0,(Z$464-('Stage 2 Randomized Selection'!O$2*$M465)) - 1),0),
IF(AND(OR(AA$279=123, AA$279=12, AA$279=23, AA$279=2), Cultivar_2_Cohort_Year_Selection=$T$278), ROUND(MAX(0,(Z$464-('Stage 2 Randomized Selection'!O$2*$M465)) - 1),0),
IF(AND(OR(AA$279=123, AA$279=13, AA$279=23, AA$279=3), Cultivar_3_Cohort_Year_Selection=$T$278), ROUND(MAX(0,(Z$464-('Stage 2 Randomized Selection'!O$2*$M465)) - 1),0),
ROUND(MAX(0,(Z$464-('Stage 2 Randomized Selection'!O$2*$M465))),0)))))))),0),"")</f>
        <v/>
      </c>
      <c r="AB488" s="288" t="str">
        <f>IF(ISNUMBER($B$465),
IF(AND(ISNUMBER(AA$464), AA$464&gt;0),
IF(AND(AB$279=123, Cultivar_1_Cohort_Year_Selection=$U$278,Cultivar_2_Cohort_Year_Selection=$U$278,Cultivar_3_Cohort_Year_Selection=$U$278), ROUND(MAX(0,(AA$464-('Stage 2 Randomized Selection'!Q$2*$M465)) - 3),0),
IF(AND(OR(AB$279=123, AB$279=12), Cultivar_1_Cohort_Year_Selection=$U$278,Cultivar_2_Cohort_Year_Selection=$U$278),  ROUND(MAX(0,(AA$464-('Stage 2 Randomized Selection'!P$2*$M465)) - 2),0),
IF(AND(OR(AB$279=123, AB$279=13), Cultivar_1_Cohort_Year_Selection=$U$278,Cultivar_3_Cohort_Year_Selection=$U$278), ROUND(MAX(0,(AA$464-('Stage 2 Randomized Selection'!P$2*$M465)) - 2),0),
IF(AND(OR(AB$279=123, AB$279=23), Cultivar_2_Cohort_Year_Selection=$U$278,Cultivar_3_Cohort_Year_Selection=$U$278), ROUND(MAX(0,(AA$464-('Stage 2 Randomized Selection'!P$2*$M465)) - 2),0),
IF(AND(OR(AB$279=123, AB$279=12, AB$279=13, AB$279=1), Cultivar_1_Cohort_Year_Selection=$U$278), ROUND(MAX(0,(AA$464-('Stage 2 Randomized Selection'!P$2*$M465)) - 1),0),
IF(AND(OR(AB$279=123, AB$279=12, AB$279=23, AB$279=2), Cultivar_2_Cohort_Year_Selection=$U$278), ROUND(MAX(0,(AA$464-('Stage 2 Randomized Selection'!P$2*$M465)) - 1),0),
IF(AND(OR(AB$279=123, AB$279=13, AB$279=23, AB$279=3), Cultivar_3_Cohort_Year_Selection=$U$278), ROUND(MAX(0,(AA$464-('Stage 2 Randomized Selection'!P$2*$M465)) - 1),0),
ROUND(MAX(0,(AA$464-('Stage 2 Randomized Selection'!P$2*$M465))),0)))))))),0),"")</f>
        <v/>
      </c>
      <c r="AC488" s="288" t="str">
        <f>IF(ISNUMBER($B$465),
IF(AND(ISNUMBER(AB$464), AB$464&gt;0),
IF(AND(AC$279=123, Cultivar_1_Cohort_Year_Selection=$V$278,Cultivar_2_Cohort_Year_Selection=$V$278,Cultivar_3_Cohort_Year_Selection=$V$278), ROUND(MAX(0,(AB$464-('Stage 2 Randomized Selection'!R$2*$M465)) - 3),0),
IF(AND(OR(AC$279=123, AC$279=12), Cultivar_1_Cohort_Year_Selection=$V$278,Cultivar_2_Cohort_Year_Selection=$V$278),  ROUND(MAX(0,(AB$464-('Stage 2 Randomized Selection'!Q$2*$M465)) - 2),0),
IF(AND(OR(AC$279=123, AC$279=13), Cultivar_1_Cohort_Year_Selection=$V$278,Cultivar_3_Cohort_Year_Selection=$V$278), ROUND(MAX(0,(AB$464-('Stage 2 Randomized Selection'!Q$2*$M465)) - 2),0),
IF(AND(OR(AC$279=123, AC$279=23), Cultivar_2_Cohort_Year_Selection=$V$278,Cultivar_3_Cohort_Year_Selection=$V$278), ROUND(MAX(0,(AB$464-('Stage 2 Randomized Selection'!Q$2*$M465)) - 2),0),
IF(AND(OR(AC$279=123, AC$279=12, AC$279=13, AC$279=1), Cultivar_1_Cohort_Year_Selection=$V$278), ROUND(MAX(0,(AB$464-('Stage 2 Randomized Selection'!Q$2*$M465)) - 1),0),
IF(AND(OR(AC$279=123, AC$279=12, AC$279=23, AC$279=2), Cultivar_2_Cohort_Year_Selection=$V$278), ROUND(MAX(0,(AB$464-('Stage 2 Randomized Selection'!Q$2*$M465)) - 1),0),
IF(AND(OR(AC$279=123, AC$279=13, AC$279=23, AC$279=3), Cultivar_3_Cohort_Year_Selection=$V$278), ROUND(MAX(0,(AB$464-('Stage 2 Randomized Selection'!Q$2*$M465)) - 1),0),
ROUND(MAX(0,(AB$464-('Stage 2 Randomized Selection'!Q$2*$M465))),0)))))))),0),"")</f>
        <v/>
      </c>
      <c r="AD488" s="288" t="str">
        <f>IF(ISNUMBER($B$465),
IF(AND(ISNUMBER(AC$464), AC$464&gt;0),
IF(AND(AD$279=123, Cultivar_1_Cohort_Year_Selection=$W$278,Cultivar_2_Cohort_Year_Selection=$W$278,Cultivar_3_Cohort_Year_Selection=$W$278), ROUND(MAX(0,(AC$464-('Stage 2 Randomized Selection'!S$2*$M465)) - 3),0),
IF(AND(OR(AD$279=123, AD$279=12), Cultivar_1_Cohort_Year_Selection=$W$278,Cultivar_2_Cohort_Year_Selection=$W$278),  ROUND(MAX(0,(AC$464-('Stage 2 Randomized Selection'!R$2*$M465)) - 2),0),
IF(AND(OR(AD$279=123, AD$279=13), Cultivar_1_Cohort_Year_Selection=$W$278,Cultivar_3_Cohort_Year_Selection=$W$278), ROUND(MAX(0,(AC$464-('Stage 2 Randomized Selection'!R$2*$M465)) - 2),0),
IF(AND(OR(AD$279=123, AD$279=23), Cultivar_2_Cohort_Year_Selection=$W$278,Cultivar_3_Cohort_Year_Selection=$W$278), ROUND(MAX(0,(AC$464-('Stage 2 Randomized Selection'!R$2*$M465)) - 2),0),
IF(AND(OR(AD$279=123, AD$279=12, AD$279=13, AD$279=1), Cultivar_1_Cohort_Year_Selection=$W$278), ROUND(MAX(0,(AC$464-('Stage 2 Randomized Selection'!R$2*$M465)) - 1),0),
IF(AND(OR(AD$279=123, AD$279=12, AD$279=23, AD$279=2), Cultivar_2_Cohort_Year_Selection=$W$278), ROUND(MAX(0,(AC$464-('Stage 2 Randomized Selection'!R$2*$M465)) - 1),0),
IF(AND(OR(AD$279=123, AD$279=13, AD$279=23, AD$279=3), Cultivar_3_Cohort_Year_Selection=$W$278), ROUND(MAX(0,(AC$464-('Stage 2 Randomized Selection'!R$2*$M465)) - 1),0),
ROUND(MAX(0,(AC$464-('Stage 2 Randomized Selection'!R$2*$M465))),0)))))))),0),"")</f>
        <v/>
      </c>
      <c r="AE488" s="288" t="str">
        <f>IF(ISNUMBER($B$465),
IF(AND(ISNUMBER(AD$464), AD$464&gt;0),
IF(AND(AE$279=123, Cultivar_1_Cohort_Year_Selection=$X$278,Cultivar_2_Cohort_Year_Selection=$X$278,Cultivar_3_Cohort_Year_Selection=$X$278), ROUND(MAX(0,(AD$464-('Stage 2 Randomized Selection'!T$2*$M465)) - 3),0),
IF(AND(OR(AE$279=123, AE$279=12), Cultivar_1_Cohort_Year_Selection=$X$278,Cultivar_2_Cohort_Year_Selection=$X$278),  ROUND(MAX(0,(AD$464-('Stage 2 Randomized Selection'!S$2*$M465)) - 2),0),
IF(AND(OR(AE$279=123, AE$279=13), Cultivar_1_Cohort_Year_Selection=$X$278,Cultivar_3_Cohort_Year_Selection=$X$278), ROUND(MAX(0,(AD$464-('Stage 2 Randomized Selection'!S$2*$M465)) - 2),0),
IF(AND(OR(AE$279=123, AE$279=23), Cultivar_2_Cohort_Year_Selection=$X$278,Cultivar_3_Cohort_Year_Selection=$X$278), ROUND(MAX(0,(AD$464-('Stage 2 Randomized Selection'!S$2*$M465)) - 2),0),
IF(AND(OR(AE$279=123, AE$279=12, AE$279=13, AE$279=1), Cultivar_1_Cohort_Year_Selection=$X$278), ROUND(MAX(0,(AD$464-('Stage 2 Randomized Selection'!S$2*$M465)) - 1),0),
IF(AND(OR(AE$279=123, AE$279=12, AE$279=23, AE$279=2), Cultivar_2_Cohort_Year_Selection=$X$278), ROUND(MAX(0,(AD$464-('Stage 2 Randomized Selection'!S$2*$M465)) - 1),0),
IF(AND(OR(AE$279=123, AE$279=13, AE$279=23, AE$279=3), Cultivar_3_Cohort_Year_Selection=$X$278), ROUND(MAX(0,(AD$464-('Stage 2 Randomized Selection'!S$2*$M465)) - 1),0),
ROUND(MAX(0,(AD$464-('Stage 2 Randomized Selection'!S$2*$M465))),0)))))))),0),"")</f>
        <v/>
      </c>
      <c r="AF488" s="288" t="str">
        <f>IF(ISNUMBER($B$465),
IF(AND(ISNUMBER(AE$464), AE$464&gt;0),
IF(AND(AF$279=123, Cultivar_1_Cohort_Year_Selection=$Y$278,Cultivar_2_Cohort_Year_Selection=$Y$278,Cultivar_3_Cohort_Year_Selection=$Y$278), ROUND(MAX(0,(AE$464-('Stage 2 Randomized Selection'!U$2*$M465)) - 3),0),
IF(AND(OR(AF$279=123, AF$279=12), Cultivar_1_Cohort_Year_Selection=$Y$278,Cultivar_2_Cohort_Year_Selection=$Y$278),  ROUND(MAX(0,(AE$464-('Stage 2 Randomized Selection'!T$2*$M465)) - 2),0),
IF(AND(OR(AF$279=123, AF$279=13), Cultivar_1_Cohort_Year_Selection=$Y$278,Cultivar_3_Cohort_Year_Selection=$Y$278), ROUND(MAX(0,(AE$464-('Stage 2 Randomized Selection'!T$2*$M465)) - 2),0),
IF(AND(OR(AF$279=123, AF$279=23), Cultivar_2_Cohort_Year_Selection=$Y$278,Cultivar_3_Cohort_Year_Selection=$Y$278), ROUND(MAX(0,(AE$464-('Stage 2 Randomized Selection'!T$2*$M465)) - 2),0),
IF(AND(OR(AF$279=123, AF$279=12, AF$279=13, AF$279=1), Cultivar_1_Cohort_Year_Selection=$Y$278), ROUND(MAX(0,(AE$464-('Stage 2 Randomized Selection'!T$2*$M465)) - 1),0),
IF(AND(OR(AF$279=123, AF$279=12, AF$279=23, AF$279=2), Cultivar_2_Cohort_Year_Selection=$Y$278), ROUND(MAX(0,(AE$464-('Stage 2 Randomized Selection'!T$2*$M465)) - 1),0),
IF(AND(OR(AF$279=123, AF$279=13, AF$279=23, AF$279=3), Cultivar_3_Cohort_Year_Selection=$Y$278), ROUND(MAX(0,(AE$464-('Stage 2 Randomized Selection'!T$2*$M465)) - 1),0),
ROUND(MAX(0,(AE$464-('Stage 2 Randomized Selection'!T$2*$M465))),0)))))))),0),"")</f>
        <v/>
      </c>
      <c r="AG488" s="288" t="str">
        <f>IF(ISNUMBER($B$465),
IF(AND(ISNUMBER(AF$464), AF$464&gt;0),
IF(AND(AG$279=123, Cultivar_1_Cohort_Year_Selection=$Z$278,Cultivar_2_Cohort_Year_Selection=$Z$278,Cultivar_3_Cohort_Year_Selection=$Z$278), ROUND(MAX(0,(AF$464-('Stage 2 Randomized Selection'!V$2*$M465)) - 3),0),
IF(AND(OR(AG$279=123, AG$279=12), Cultivar_1_Cohort_Year_Selection=$Z$278,Cultivar_2_Cohort_Year_Selection=$Z$278),  ROUND(MAX(0,(AF$464-('Stage 2 Randomized Selection'!U$2*$M465)) - 2),0),
IF(AND(OR(AG$279=123, AG$279=13), Cultivar_1_Cohort_Year_Selection=$Z$278,Cultivar_3_Cohort_Year_Selection=$Z$278), ROUND(MAX(0,(AF$464-('Stage 2 Randomized Selection'!U$2*$M465)) - 2),0),
IF(AND(OR(AG$279=123, AG$279=23), Cultivar_2_Cohort_Year_Selection=$Z$278,Cultivar_3_Cohort_Year_Selection=$Z$278), ROUND(MAX(0,(AF$464-('Stage 2 Randomized Selection'!U$2*$M465)) - 2),0),
IF(AND(OR(AG$279=123, AG$279=12, AG$279=13, AG$279=1), Cultivar_1_Cohort_Year_Selection=$Z$278), ROUND(MAX(0,(AF$464-('Stage 2 Randomized Selection'!U$2*$M465)) - 1),0),
IF(AND(OR(AG$279=123, AG$279=12, AG$279=23, AG$279=2), Cultivar_2_Cohort_Year_Selection=$Z$278), ROUND(MAX(0,(AF$464-('Stage 2 Randomized Selection'!U$2*$M465)) - 1),0),
IF(AND(OR(AG$279=123, AG$279=13, AG$279=23, AG$279=3), Cultivar_3_Cohort_Year_Selection=$Z$278), ROUND(MAX(0,(AF$464-('Stage 2 Randomized Selection'!U$2*$M465)) - 1),0),
ROUND(MAX(0,(AF$464-('Stage 2 Randomized Selection'!U$2*$M465))),0)))))))),0),"")</f>
        <v/>
      </c>
      <c r="AH488" s="288" t="str">
        <f>IF(ISNUMBER($B$465),
IF(AND(ISNUMBER(AG$464), AG$464&gt;0),
IF(AND(AH$279=123, Cultivar_1_Cohort_Year_Selection=$AA$278,Cultivar_2_Cohort_Year_Selection=$AA$278,Cultivar_3_Cohort_Year_Selection=$AA$278), ROUND(MAX(0,(AG$464-('Stage 2 Randomized Selection'!W$2*$M465)) - 3),0),
IF(AND(OR(AH$279=123, AH$279=12), Cultivar_1_Cohort_Year_Selection=$AA$278,Cultivar_2_Cohort_Year_Selection=$AA$278),  ROUND(MAX(0,(AG$464-('Stage 2 Randomized Selection'!V$2*$M465)) - 2),0),
IF(AND(OR(AH$279=123, AH$279=13), Cultivar_1_Cohort_Year_Selection=$AA$278,Cultivar_3_Cohort_Year_Selection=$AA$278), ROUND(MAX(0,(AG$464-('Stage 2 Randomized Selection'!V$2*$M465)) - 2),0),
IF(AND(OR(AH$279=123, AH$279=23), Cultivar_2_Cohort_Year_Selection=$AA$278,Cultivar_3_Cohort_Year_Selection=$AA$278), ROUND(MAX(0,(AG$464-('Stage 2 Randomized Selection'!V$2*$M465)) - 2),0),
IF(AND(OR(AH$279=123, AH$279=12, AH$279=13, AH$279=1), Cultivar_1_Cohort_Year_Selection=$AA$278), ROUND(MAX(0,(AG$464-('Stage 2 Randomized Selection'!V$2*$M465)) - 1),0),
IF(AND(OR(AH$279=123, AH$279=12, AH$279=23, AH$279=2), Cultivar_2_Cohort_Year_Selection=$AA$278), ROUND(MAX(0,(AG$464-('Stage 2 Randomized Selection'!V$2*$M465)) - 1),0),
IF(AND(OR(AH$279=123, AH$279=13, AH$279=23, AH$279=3), Cultivar_3_Cohort_Year_Selection=$AA$278), ROUND(MAX(0,(AG$464-('Stage 2 Randomized Selection'!V$2*$M465)) - 1),0),
ROUND(MAX(0,(AG$464-('Stage 2 Randomized Selection'!V$2*$M465))),0)))))))),0),"")</f>
        <v/>
      </c>
      <c r="AI488" s="288" t="str">
        <f>IF(ISNUMBER($B$465),
IF(AND(ISNUMBER(AH$464), AH$464&gt;0),
IF(AND(AI$279=123, Cultivar_1_Cohort_Year_Selection=$AB$278,Cultivar_2_Cohort_Year_Selection=$AB$278,Cultivar_3_Cohort_Year_Selection=$AB$278), ROUND(MAX(0,(AH$464-('Stage 2 Randomized Selection'!X$2*$M465)) - 3),0),
IF(AND(OR(AI$279=123, AI$279=12), Cultivar_1_Cohort_Year_Selection=$AB$278,Cultivar_2_Cohort_Year_Selection=$AB$278),  ROUND(MAX(0,(AH$464-('Stage 2 Randomized Selection'!W$2*$M465)) - 2),0),
IF(AND(OR(AI$279=123, AI$279=13), Cultivar_1_Cohort_Year_Selection=$AB$278,Cultivar_3_Cohort_Year_Selection=$AB$278), ROUND(MAX(0,(AH$464-('Stage 2 Randomized Selection'!W$2*$M465)) - 2),0),
IF(AND(OR(AI$279=123, AI$279=23), Cultivar_2_Cohort_Year_Selection=$AB$278,Cultivar_3_Cohort_Year_Selection=$AB$278), ROUND(MAX(0,(AH$464-('Stage 2 Randomized Selection'!W$2*$M465)) - 2),0),
IF(AND(OR(AI$279=123, AI$279=12, AI$279=13, AI$279=1), Cultivar_1_Cohort_Year_Selection=$AB$278), ROUND(MAX(0,(AH$464-('Stage 2 Randomized Selection'!W$2*$M465)) - 1),0),
IF(AND(OR(AI$279=123, AI$279=12, AI$279=23, AI$279=2), Cultivar_2_Cohort_Year_Selection=$AB$278), ROUND(MAX(0,(AH$464-('Stage 2 Randomized Selection'!W$2*$M465)) - 1),0),
IF(AND(OR(AI$279=123, AI$279=13, AI$279=23, AI$279=3), Cultivar_3_Cohort_Year_Selection=$AB$278), ROUND(MAX(0,(AH$464-('Stage 2 Randomized Selection'!W$2*$M465)) - 1),0),
ROUND(MAX(0,(AH$464-('Stage 2 Randomized Selection'!W$2*$M465))),0)))))))),0),"")</f>
        <v/>
      </c>
      <c r="AJ488" s="288" t="str">
        <f>IF(ISNUMBER($B$465),
IF(AND(ISNUMBER(AI$464), AI$464&gt;0),
IF(AND(AJ$279=123, Cultivar_1_Cohort_Year_Selection=$AC$278,Cultivar_2_Cohort_Year_Selection=$AC$278,Cultivar_3_Cohort_Year_Selection=$AC$278), ROUND(MAX(0,(AI$464-('Stage 2 Randomized Selection'!Y$2*$M465)) - 3),0),
IF(AND(OR(AJ$279=123, AJ$279=12), Cultivar_1_Cohort_Year_Selection=$AC$278,Cultivar_2_Cohort_Year_Selection=$AC$278),  ROUND(MAX(0,(AI$464-('Stage 2 Randomized Selection'!X$2*$M465)) - 2),0),
IF(AND(OR(AJ$279=123, AJ$279=13), Cultivar_1_Cohort_Year_Selection=$AC$278,Cultivar_3_Cohort_Year_Selection=$AC$278), ROUND(MAX(0,(AI$464-('Stage 2 Randomized Selection'!X$2*$M465)) - 2),0),
IF(AND(OR(AJ$279=123, AJ$279=23), Cultivar_2_Cohort_Year_Selection=$AC$278,Cultivar_3_Cohort_Year_Selection=$AC$278), ROUND(MAX(0,(AI$464-('Stage 2 Randomized Selection'!X$2*$M465)) - 2),0),
IF(AND(OR(AJ$279=123, AJ$279=12, AJ$279=13, AJ$279=1), Cultivar_1_Cohort_Year_Selection=$AC$278), ROUND(MAX(0,(AI$464-('Stage 2 Randomized Selection'!X$2*$M465)) - 1),0),
IF(AND(OR(AJ$279=123, AJ$279=12, AJ$279=23, AJ$279=2), Cultivar_2_Cohort_Year_Selection=$AC$278), ROUND(MAX(0,(AI$464-('Stage 2 Randomized Selection'!X$2*$M465)) - 1),0),
IF(AND(OR(AJ$279=123, AJ$279=13, AJ$279=23, AJ$279=3), Cultivar_3_Cohort_Year_Selection=$AC$278), ROUND(MAX(0,(AI$464-('Stage 2 Randomized Selection'!X$2*$M465)) - 1),0),
ROUND(MAX(0,(AI$464-('Stage 2 Randomized Selection'!X$2*$M465))),0)))))))),0),"")</f>
        <v/>
      </c>
      <c r="AK488" s="288" t="str">
        <f>IF(ISNUMBER($B$465),
IF(AND(ISNUMBER(AJ$464), AJ$464&gt;0),
IF(AND(AK$279=123, Cultivar_1_Cohort_Year_Selection=$AD$278,Cultivar_2_Cohort_Year_Selection=$AD$278,Cultivar_3_Cohort_Year_Selection=$AD$278), ROUND(MAX(0,(AJ$464-('Stage 2 Randomized Selection'!Z$2*$M465)) - 3),0),
IF(AND(OR(AK$279=123, AK$279=12), Cultivar_1_Cohort_Year_Selection=$AD$278,Cultivar_2_Cohort_Year_Selection=$AD$278),  ROUND(MAX(0,(AJ$464-('Stage 2 Randomized Selection'!Y$2*$M465)) - 2),0),
IF(AND(OR(AK$279=123, AK$279=13), Cultivar_1_Cohort_Year_Selection=$AD$278,Cultivar_3_Cohort_Year_Selection=$AD$278), ROUND(MAX(0,(AJ$464-('Stage 2 Randomized Selection'!Y$2*$M465)) - 2),0),
IF(AND(OR(AK$279=123, AK$279=23), Cultivar_2_Cohort_Year_Selection=$AD$278,Cultivar_3_Cohort_Year_Selection=$AD$278), ROUND(MAX(0,(AJ$464-('Stage 2 Randomized Selection'!Y$2*$M465)) - 2),0),
IF(AND(OR(AK$279=123, AK$279=12, AK$279=13, AK$279=1), Cultivar_1_Cohort_Year_Selection=$AD$278), ROUND(MAX(0,(AJ$464-('Stage 2 Randomized Selection'!Y$2*$M465)) - 1),0),
IF(AND(OR(AK$279=123, AK$279=12, AK$279=23, AK$279=2), Cultivar_2_Cohort_Year_Selection=$AD$278), ROUND(MAX(0,(AJ$464-('Stage 2 Randomized Selection'!Y$2*$M465)) - 1),0),
IF(AND(OR(AK$279=123, AK$279=13, AK$279=23, AK$279=3), Cultivar_3_Cohort_Year_Selection=$AD$278), ROUND(MAX(0,(AJ$464-('Stage 2 Randomized Selection'!Y$2*$M465)) - 1),0),
ROUND(MAX(0,(AJ$464-('Stage 2 Randomized Selection'!Y$2*$M465))),0)))))))),0),"")</f>
        <v/>
      </c>
      <c r="AL488" s="288" t="str">
        <f>IF(ISNUMBER($B$465),
IF(AND(ISNUMBER(AK$464), AK$464&gt;0),
IF(AND(AL$279=123, Cultivar_1_Cohort_Year_Selection=$AE$278,Cultivar_2_Cohort_Year_Selection=$AE$278,Cultivar_3_Cohort_Year_Selection=$AE$278), ROUND(MAX(0,(AK$464-('Stage 2 Randomized Selection'!AA$2*$M465)) - 3),0),
IF(AND(OR(AL$279=123, AL$279=12), Cultivar_1_Cohort_Year_Selection=$AE$278,Cultivar_2_Cohort_Year_Selection=$AE$278),  ROUND(MAX(0,(AK$464-('Stage 2 Randomized Selection'!Z$2*$M465)) - 2),0),
IF(AND(OR(AL$279=123, AL$279=13), Cultivar_1_Cohort_Year_Selection=$AE$278,Cultivar_3_Cohort_Year_Selection=$AE$278), ROUND(MAX(0,(AK$464-('Stage 2 Randomized Selection'!Z$2*$M465)) - 2),0),
IF(AND(OR(AL$279=123, AL$279=23), Cultivar_2_Cohort_Year_Selection=$AE$278,Cultivar_3_Cohort_Year_Selection=$AE$278), ROUND(MAX(0,(AK$464-('Stage 2 Randomized Selection'!Z$2*$M465)) - 2),0),
IF(AND(OR(AL$279=123, AL$279=12, AL$279=13, AL$279=1), Cultivar_1_Cohort_Year_Selection=$AE$278), ROUND(MAX(0,(AK$464-('Stage 2 Randomized Selection'!Z$2*$M465)) - 1),0),
IF(AND(OR(AL$279=123, AL$279=12, AL$279=23, AL$279=2), Cultivar_2_Cohort_Year_Selection=$AE$278), ROUND(MAX(0,(AK$464-('Stage 2 Randomized Selection'!Z$2*$M465)) - 1),0),
IF(AND(OR(AL$279=123, AL$279=13, AL$279=23, AL$279=3), Cultivar_3_Cohort_Year_Selection=$AE$278), ROUND(MAX(0,(AK$464-('Stage 2 Randomized Selection'!Z$2*$M465)) - 1),0),
ROUND(MAX(0,(AK$464-('Stage 2 Randomized Selection'!Z$2*$M465))),0)))))))),0),"")</f>
        <v/>
      </c>
      <c r="AM488" s="288" t="str">
        <f>IF(ISNUMBER($B$465),
IF(AND(ISNUMBER(AL$464), AL$464&gt;0),
IF(AND(AM$279=123, Cultivar_1_Cohort_Year_Selection=$AF$278,Cultivar_2_Cohort_Year_Selection=$AF$278,Cultivar_3_Cohort_Year_Selection=$AF$278), ROUND(MAX(0,(AL$464-('Stage 2 Randomized Selection'!AB$2*$M465)) - 3),0),
IF(AND(OR(AM$279=123, AM$279=12), Cultivar_1_Cohort_Year_Selection=$AF$278,Cultivar_2_Cohort_Year_Selection=$AF$278),  ROUND(MAX(0,(AL$464-('Stage 2 Randomized Selection'!AA$2*$M465)) - 2),0),
IF(AND(OR(AM$279=123, AM$279=13), Cultivar_1_Cohort_Year_Selection=$AF$278,Cultivar_3_Cohort_Year_Selection=$AF$278), ROUND(MAX(0,(AL$464-('Stage 2 Randomized Selection'!AA$2*$M465)) - 2),0),
IF(AND(OR(AM$279=123, AM$279=23), Cultivar_2_Cohort_Year_Selection=$AF$278,Cultivar_3_Cohort_Year_Selection=$AF$278), ROUND(MAX(0,(AL$464-('Stage 2 Randomized Selection'!AA$2*$M465)) - 2),0),
IF(AND(OR(AM$279=123, AM$279=12, AM$279=13, AM$279=1), Cultivar_1_Cohort_Year_Selection=$AF$278), ROUND(MAX(0,(AL$464-('Stage 2 Randomized Selection'!AA$2*$M465)) - 1),0),
IF(AND(OR(AM$279=123, AM$279=12, AM$279=23, AM$279=2), Cultivar_2_Cohort_Year_Selection=$AF$278), ROUND(MAX(0,(AL$464-('Stage 2 Randomized Selection'!AA$2*$M465)) - 1),0),
IF(AND(OR(AM$279=123, AM$279=13, AM$279=23, AM$279=3), Cultivar_3_Cohort_Year_Selection=$AF$278), ROUND(MAX(0,(AL$464-('Stage 2 Randomized Selection'!AA$2*$M465)) - 1),0),
ROUND(MAX(0,(AL$464-('Stage 2 Randomized Selection'!AA$2*$M465))),0)))))))),0),"")</f>
        <v/>
      </c>
      <c r="AN488" s="288" t="str">
        <f>IF(ISNUMBER($B$465),
IF(AND(ISNUMBER(AM$464), AM$464&gt;0),
IF(AND(AN$279=123, Cultivar_1_Cohort_Year_Selection=$AG$278,Cultivar_2_Cohort_Year_Selection=$AG$278,Cultivar_3_Cohort_Year_Selection=$AG$278), ROUND(MAX(0,(AM$464-('Stage 2 Randomized Selection'!AC$2*$M465)) - 3),0),
IF(AND(OR(AN$279=123, AN$279=12), Cultivar_1_Cohort_Year_Selection=$AG$278,Cultivar_2_Cohort_Year_Selection=$AG$278),  ROUND(MAX(0,(AM$464-('Stage 2 Randomized Selection'!AB$2*$M465)) - 2),0),
IF(AND(OR(AN$279=123, AN$279=13), Cultivar_1_Cohort_Year_Selection=$AG$278,Cultivar_3_Cohort_Year_Selection=$AG$278), ROUND(MAX(0,(AM$464-('Stage 2 Randomized Selection'!AB$2*$M465)) - 2),0),
IF(AND(OR(AN$279=123, AN$279=23), Cultivar_2_Cohort_Year_Selection=$AG$278,Cultivar_3_Cohort_Year_Selection=$AG$278), ROUND(MAX(0,(AM$464-('Stage 2 Randomized Selection'!AB$2*$M465)) - 2),0),
IF(AND(OR(AN$279=123, AN$279=12, AN$279=13, AN$279=1), Cultivar_1_Cohort_Year_Selection=$AG$278), ROUND(MAX(0,(AM$464-('Stage 2 Randomized Selection'!AB$2*$M465)) - 1),0),
IF(AND(OR(AN$279=123, AN$279=12, AN$279=23, AN$279=2), Cultivar_2_Cohort_Year_Selection=$AG$278), ROUND(MAX(0,(AM$464-('Stage 2 Randomized Selection'!AB$2*$M465)) - 1),0),
IF(AND(OR(AN$279=123, AN$279=13, AN$279=23, AN$279=3), Cultivar_3_Cohort_Year_Selection=$AG$278), ROUND(MAX(0,(AM$464-('Stage 2 Randomized Selection'!AB$2*$M465)) - 1),0),
ROUND(MAX(0,(AM$464-('Stage 2 Randomized Selection'!AB$2*$M465))),0)))))))),0),"")</f>
        <v/>
      </c>
      <c r="AO488" s="288" t="str">
        <f>IF(ISNUMBER($B$465),
IF(AND(ISNUMBER(AN$464), AN$464&gt;0),
IF(AND(AO$279=123, Cultivar_1_Cohort_Year_Selection=$AH$278,Cultivar_2_Cohort_Year_Selection=$AH$278,Cultivar_3_Cohort_Year_Selection=$AH$278), ROUND(MAX(0,(AN$464-('Stage 2 Randomized Selection'!AD$2*$M465)) - 3),0),
IF(AND(OR(AO$279=123, AO$279=12), Cultivar_1_Cohort_Year_Selection=$AH$278,Cultivar_2_Cohort_Year_Selection=$AH$278),  ROUND(MAX(0,(AN$464-('Stage 2 Randomized Selection'!AC$2*$M465)) - 2),0),
IF(AND(OR(AO$279=123, AO$279=13), Cultivar_1_Cohort_Year_Selection=$AH$278,Cultivar_3_Cohort_Year_Selection=$AH$278), ROUND(MAX(0,(AN$464-('Stage 2 Randomized Selection'!AC$2*$M465)) - 2),0),
IF(AND(OR(AO$279=123, AO$279=23), Cultivar_2_Cohort_Year_Selection=$AH$278,Cultivar_3_Cohort_Year_Selection=$AH$278), ROUND(MAX(0,(AN$464-('Stage 2 Randomized Selection'!AC$2*$M465)) - 2),0),
IF(AND(OR(AO$279=123, AO$279=12, AO$279=13, AO$279=1), Cultivar_1_Cohort_Year_Selection=$AH$278), ROUND(MAX(0,(AN$464-('Stage 2 Randomized Selection'!AC$2*$M465)) - 1),0),
IF(AND(OR(AO$279=123, AO$279=12, AO$279=23, AO$279=2), Cultivar_2_Cohort_Year_Selection=$AH$278), ROUND(MAX(0,(AN$464-('Stage 2 Randomized Selection'!AC$2*$M465)) - 1),0),
IF(AND(OR(AO$279=123, AO$279=13, AO$279=23, AO$279=3), Cultivar_3_Cohort_Year_Selection=$AH$278), ROUND(MAX(0,(AN$464-('Stage 2 Randomized Selection'!AC$2*$M465)) - 1),0),
ROUND(MAX(0,(AN$464-('Stage 2 Randomized Selection'!AC$2*$M465))),0)))))))),0),"")</f>
        <v/>
      </c>
      <c r="AP488" s="288" t="str">
        <f>IF(ISNUMBER($B$465),
IF(AND(ISNUMBER(AO$464), AO$464&gt;0),
IF(AND(AP$279=123, Cultivar_1_Cohort_Year_Selection=$AI$278,Cultivar_2_Cohort_Year_Selection=$AI$278,Cultivar_3_Cohort_Year_Selection=$AI$278), ROUND(MAX(0,(AO$464-('Stage 2 Randomized Selection'!AE$2*$M465)) - 3),0),
IF(AND(OR(AP$279=123, AP$279=12), Cultivar_1_Cohort_Year_Selection=$AI$278,Cultivar_2_Cohort_Year_Selection=$AI$278),  ROUND(MAX(0,(AO$464-('Stage 2 Randomized Selection'!AD$2*$M465)) - 2),0),
IF(AND(OR(AP$279=123, AP$279=13), Cultivar_1_Cohort_Year_Selection=$AI$278,Cultivar_3_Cohort_Year_Selection=$AI$278), ROUND(MAX(0,(AO$464-('Stage 2 Randomized Selection'!AD$2*$M465)) - 2),0),
IF(AND(OR(AP$279=123, AP$279=23), Cultivar_2_Cohort_Year_Selection=$AI$278,Cultivar_3_Cohort_Year_Selection=$AI$278), ROUND(MAX(0,(AO$464-('Stage 2 Randomized Selection'!AD$2*$M465)) - 2),0),
IF(AND(OR(AP$279=123, AP$279=12, AP$279=13, AP$279=1), Cultivar_1_Cohort_Year_Selection=$AI$278), ROUND(MAX(0,(AO$464-('Stage 2 Randomized Selection'!AD$2*$M465)) - 1),0),
IF(AND(OR(AP$279=123, AP$279=12, AP$279=23, AP$279=2), Cultivar_2_Cohort_Year_Selection=$AI$278), ROUND(MAX(0,(AO$464-('Stage 2 Randomized Selection'!AD$2*$M465)) - 1),0),
IF(AND(OR(AP$279=123, AP$279=13, AP$279=23, AP$279=3), Cultivar_3_Cohort_Year_Selection=$AI$278), ROUND(MAX(0,(AO$464-('Stage 2 Randomized Selection'!AD$2*$M465)) - 1),0),
ROUND(MAX(0,(AO$464-('Stage 2 Randomized Selection'!AD$2*$M465))),0)))))))),0),"")</f>
        <v/>
      </c>
      <c r="AQ488" s="288" t="str">
        <f>IF(ISNUMBER($B$465),
IF(AND(ISNUMBER(AP$464), AP$464&gt;0),
IF(AND(AQ$279=123, Cultivar_1_Cohort_Year_Selection=$AJ$278,Cultivar_2_Cohort_Year_Selection=$AJ$278,Cultivar_3_Cohort_Year_Selection=$AJ$278), ROUND(MAX(0,(AP$464-('Stage 2 Randomized Selection'!AF$2*$M465)) - 3),0),
IF(AND(OR(AQ$279=123, AQ$279=12), Cultivar_1_Cohort_Year_Selection=$AJ$278,Cultivar_2_Cohort_Year_Selection=$AJ$278),  ROUND(MAX(0,(AP$464-('Stage 2 Randomized Selection'!AE$2*$M465)) - 2),0),
IF(AND(OR(AQ$279=123, AQ$279=13), Cultivar_1_Cohort_Year_Selection=$AJ$278,Cultivar_3_Cohort_Year_Selection=$AJ$278), ROUND(MAX(0,(AP$464-('Stage 2 Randomized Selection'!AE$2*$M465)) - 2),0),
IF(AND(OR(AQ$279=123, AQ$279=23), Cultivar_2_Cohort_Year_Selection=$AJ$278,Cultivar_3_Cohort_Year_Selection=$AJ$278), ROUND(MAX(0,(AP$464-('Stage 2 Randomized Selection'!AE$2*$M465)) - 2),0),
IF(AND(OR(AQ$279=123, AQ$279=12, AQ$279=13, AQ$279=1), Cultivar_1_Cohort_Year_Selection=$AJ$278), ROUND(MAX(0,(AP$464-('Stage 2 Randomized Selection'!AE$2*$M465)) - 1),0),
IF(AND(OR(AQ$279=123, AQ$279=12, AQ$279=23, AQ$279=2), Cultivar_2_Cohort_Year_Selection=$AJ$278), ROUND(MAX(0,(AP$464-('Stage 2 Randomized Selection'!AE$2*$M465)) - 1),0),
IF(AND(OR(AQ$279=123, AQ$279=13, AQ$279=23, AQ$279=3), Cultivar_3_Cohort_Year_Selection=$AJ$278), ROUND(MAX(0,(AP$464-('Stage 2 Randomized Selection'!AE$2*$M465)) - 1),0),
ROUND(MAX(0,(AP$464-('Stage 2 Randomized Selection'!AE$2*$M465))),0)))))))),0),"")</f>
        <v/>
      </c>
      <c r="AR488" s="288" t="str">
        <f>IF(ISNUMBER($B$465),
IF(AND(ISNUMBER(AQ$464), AQ$464&gt;0),
IF(AND(AR$279=123, Cultivar_1_Cohort_Year_Selection=$AK$278,Cultivar_2_Cohort_Year_Selection=$AK$278,Cultivar_3_Cohort_Year_Selection=$AK$278), ROUND(MAX(0,(AQ$464-('Stage 2 Randomized Selection'!AG$2*$M465)) - 3),0),
IF(AND(OR(AR$279=123, AR$279=12), Cultivar_1_Cohort_Year_Selection=$AK$278,Cultivar_2_Cohort_Year_Selection=$AK$278),  ROUND(MAX(0,(AQ$464-('Stage 2 Randomized Selection'!AF$2*$M465)) - 2),0),
IF(AND(OR(AR$279=123, AR$279=13), Cultivar_1_Cohort_Year_Selection=$AK$278,Cultivar_3_Cohort_Year_Selection=$AK$278), ROUND(MAX(0,(AQ$464-('Stage 2 Randomized Selection'!AF$2*$M465)) - 2),0),
IF(AND(OR(AR$279=123, AR$279=23), Cultivar_2_Cohort_Year_Selection=$AK$278,Cultivar_3_Cohort_Year_Selection=$AK$278), ROUND(MAX(0,(AQ$464-('Stage 2 Randomized Selection'!AF$2*$M465)) - 2),0),
IF(AND(OR(AR$279=123, AR$279=12, AR$279=13, AR$279=1), Cultivar_1_Cohort_Year_Selection=$AK$278), ROUND(MAX(0,(AQ$464-('Stage 2 Randomized Selection'!AF$2*$M465)) - 1),0),
IF(AND(OR(AR$279=123, AR$279=12, AR$279=23, AR$279=2), Cultivar_2_Cohort_Year_Selection=$AK$278), ROUND(MAX(0,(AQ$464-('Stage 2 Randomized Selection'!AF$2*$M465)) - 1),0),
IF(AND(OR(AR$279=123, AR$279=13, AR$279=23, AR$279=3), Cultivar_3_Cohort_Year_Selection=$AK$278), ROUND(MAX(0,(AQ$464-('Stage 2 Randomized Selection'!AF$2*$M465)) - 1),0),
ROUND(MAX(0,(AQ$464-('Stage 2 Randomized Selection'!AF$2*$M465))),0)))))))),0),"")</f>
        <v/>
      </c>
      <c r="AS488" s="288" t="str">
        <f>IF(ISNUMBER($B$465),
IF(AND(ISNUMBER(AR$464), AR$464&gt;0),
IF(AND(AS$279=123, Cultivar_1_Cohort_Year_Selection=$AL$278,Cultivar_2_Cohort_Year_Selection=$AL$278,Cultivar_3_Cohort_Year_Selection=$AL$278), ROUND(MAX(0,(AR$464-('Stage 2 Randomized Selection'!AH$2*$M465)) - 3),0),
IF(AND(OR(AS$279=123, AS$279=12), Cultivar_1_Cohort_Year_Selection=$AL$278,Cultivar_2_Cohort_Year_Selection=$AL$278),  ROUND(MAX(0,(AR$464-('Stage 2 Randomized Selection'!AG$2*$M465)) - 2),0),
IF(AND(OR(AS$279=123, AS$279=13), Cultivar_1_Cohort_Year_Selection=$AL$278,Cultivar_3_Cohort_Year_Selection=$AL$278), ROUND(MAX(0,(AR$464-('Stage 2 Randomized Selection'!AG$2*$M465)) - 2),0),
IF(AND(OR(AS$279=123, AS$279=23), Cultivar_2_Cohort_Year_Selection=$AL$278,Cultivar_3_Cohort_Year_Selection=$AL$278), ROUND(MAX(0,(AR$464-('Stage 2 Randomized Selection'!AG$2*$M465)) - 2),0),
IF(AND(OR(AS$279=123, AS$279=12, AS$279=13, AS$279=1), Cultivar_1_Cohort_Year_Selection=$AL$278), ROUND(MAX(0,(AR$464-('Stage 2 Randomized Selection'!AG$2*$M465)) - 1),0),
IF(AND(OR(AS$279=123, AS$279=12, AS$279=23, AS$279=2), Cultivar_2_Cohort_Year_Selection=$AL$278), ROUND(MAX(0,(AR$464-('Stage 2 Randomized Selection'!AG$2*$M465)) - 1),0),
IF(AND(OR(AS$279=123, AS$279=13, AS$279=23, AS$279=3), Cultivar_3_Cohort_Year_Selection=$AL$278), ROUND(MAX(0,(AR$464-('Stage 2 Randomized Selection'!AG$2*$M465)) - 1),0),
ROUND(MAX(0,(AR$464-('Stage 2 Randomized Selection'!AG$2*$M465))),0)))))))),0),"")</f>
        <v/>
      </c>
      <c r="AT488" s="288" t="str">
        <f>IF(ISNUMBER($B$465),
IF(AND(ISNUMBER(AS$464), AS$464&gt;0),
IF(AND(AT$279=123, Cultivar_1_Cohort_Year_Selection=$AM$278,Cultivar_2_Cohort_Year_Selection=$AM$278,Cultivar_3_Cohort_Year_Selection=$AM$278), ROUND(MAX(0,(AS$464-('Stage 2 Randomized Selection'!AI$2*$M465)) - 3),0),
IF(AND(OR(AT$279=123, AT$279=12), Cultivar_1_Cohort_Year_Selection=$AM$278,Cultivar_2_Cohort_Year_Selection=$AM$278),  ROUND(MAX(0,(AS$464-('Stage 2 Randomized Selection'!AH$2*$M465)) - 2),0),
IF(AND(OR(AT$279=123, AT$279=13), Cultivar_1_Cohort_Year_Selection=$AM$278,Cultivar_3_Cohort_Year_Selection=$AM$278), ROUND(MAX(0,(AS$464-('Stage 2 Randomized Selection'!AH$2*$M465)) - 2),0),
IF(AND(OR(AT$279=123, AT$279=23), Cultivar_2_Cohort_Year_Selection=$AM$278,Cultivar_3_Cohort_Year_Selection=$AM$278), ROUND(MAX(0,(AS$464-('Stage 2 Randomized Selection'!AH$2*$M465)) - 2),0),
IF(AND(OR(AT$279=123, AT$279=12, AT$279=13, AT$279=1), Cultivar_1_Cohort_Year_Selection=$AM$278), ROUND(MAX(0,(AS$464-('Stage 2 Randomized Selection'!AH$2*$M465)) - 1),0),
IF(AND(OR(AT$279=123, AT$279=12, AT$279=23, AT$279=2), Cultivar_2_Cohort_Year_Selection=$AM$278), ROUND(MAX(0,(AS$464-('Stage 2 Randomized Selection'!AH$2*$M465)) - 1),0),
IF(AND(OR(AT$279=123, AT$279=13, AT$279=23, AT$279=3), Cultivar_3_Cohort_Year_Selection=$AM$278), ROUND(MAX(0,(AS$464-('Stage 2 Randomized Selection'!AH$2*$M465)) - 1),0),
ROUND(MAX(0,(AS$464-('Stage 2 Randomized Selection'!AH$2*$M465))),0)))))))),0),"")</f>
        <v/>
      </c>
      <c r="AU488" s="288" t="str">
        <f>IF(ISNUMBER($B$465),
IF(AND(ISNUMBER(AT$464), AT$464&gt;0),
IF(AND(AU$279=123, Cultivar_1_Cohort_Year_Selection=$AN$278,Cultivar_2_Cohort_Year_Selection=$AN$278,Cultivar_3_Cohort_Year_Selection=$AN$278), ROUND(MAX(0,(AT$464-('Stage 2 Randomized Selection'!AJ$2*$M465)) - 3),0),
IF(AND(OR(AU$279=123, AU$279=12), Cultivar_1_Cohort_Year_Selection=$AN$278,Cultivar_2_Cohort_Year_Selection=$AN$278),  ROUND(MAX(0,(AT$464-('Stage 2 Randomized Selection'!AI$2*$M465)) - 2),0),
IF(AND(OR(AU$279=123, AU$279=13), Cultivar_1_Cohort_Year_Selection=$AN$278,Cultivar_3_Cohort_Year_Selection=$AN$278), ROUND(MAX(0,(AT$464-('Stage 2 Randomized Selection'!AI$2*$M465)) - 2),0),
IF(AND(OR(AU$279=123, AU$279=23), Cultivar_2_Cohort_Year_Selection=$AN$278,Cultivar_3_Cohort_Year_Selection=$AN$278), ROUND(MAX(0,(AT$464-('Stage 2 Randomized Selection'!AI$2*$M465)) - 2),0),
IF(AND(OR(AU$279=123, AU$279=12, AU$279=13, AU$279=1), Cultivar_1_Cohort_Year_Selection=$AN$278), ROUND(MAX(0,(AT$464-('Stage 2 Randomized Selection'!AI$2*$M465)) - 1),0),
IF(AND(OR(AU$279=123, AU$279=12, AU$279=23, AU$279=2), Cultivar_2_Cohort_Year_Selection=$AN$278), ROUND(MAX(0,(AT$464-('Stage 2 Randomized Selection'!AI$2*$M465)) - 1),0),
IF(AND(OR(AU$279=123, AU$279=13, AU$279=23, AU$279=3), Cultivar_3_Cohort_Year_Selection=$AN$278), ROUND(MAX(0,(AT$464-('Stage 2 Randomized Selection'!AI$2*$M465)) - 1),0),
ROUND(MAX(0,(AT$464-('Stage 2 Randomized Selection'!AI$2*$M465))),0)))))))),0),"")</f>
        <v/>
      </c>
      <c r="AV488" s="288" t="str">
        <f>IF(ISNUMBER($B$465),
IF(AND(ISNUMBER(AU$464), AU$464&gt;0),
IF(AND(AV$279=123, Cultivar_1_Cohort_Year_Selection=$AO$278,Cultivar_2_Cohort_Year_Selection=$AO$278,Cultivar_3_Cohort_Year_Selection=$AO$278), ROUND(MAX(0,(AU$464-('Stage 2 Randomized Selection'!AK$2*$M465)) - 3),0),
IF(AND(OR(AV$279=123, AV$279=12), Cultivar_1_Cohort_Year_Selection=$AO$278,Cultivar_2_Cohort_Year_Selection=$AO$278),  ROUND(MAX(0,(AU$464-('Stage 2 Randomized Selection'!AJ$2*$M465)) - 2),0),
IF(AND(OR(AV$279=123, AV$279=13), Cultivar_1_Cohort_Year_Selection=$AO$278,Cultivar_3_Cohort_Year_Selection=$AO$278), ROUND(MAX(0,(AU$464-('Stage 2 Randomized Selection'!AJ$2*$M465)) - 2),0),
IF(AND(OR(AV$279=123, AV$279=23), Cultivar_2_Cohort_Year_Selection=$AO$278,Cultivar_3_Cohort_Year_Selection=$AO$278), ROUND(MAX(0,(AU$464-('Stage 2 Randomized Selection'!AJ$2*$M465)) - 2),0),
IF(AND(OR(AV$279=123, AV$279=12, AV$279=13, AV$279=1), Cultivar_1_Cohort_Year_Selection=$AO$278), ROUND(MAX(0,(AU$464-('Stage 2 Randomized Selection'!AJ$2*$M465)) - 1),0),
IF(AND(OR(AV$279=123, AV$279=12, AV$279=23, AV$279=2), Cultivar_2_Cohort_Year_Selection=$AO$278), ROUND(MAX(0,(AU$464-('Stage 2 Randomized Selection'!AJ$2*$M465)) - 1),0),
IF(AND(OR(AV$279=123, AV$279=13, AV$279=23, AV$279=3), Cultivar_3_Cohort_Year_Selection=$AO$278), ROUND(MAX(0,(AU$464-('Stage 2 Randomized Selection'!AJ$2*$M465)) - 1),0),
ROUND(MAX(0,(AU$464-('Stage 2 Randomized Selection'!AJ$2*$M465))),0)))))))),0),"")</f>
        <v/>
      </c>
      <c r="AW488" s="288" t="str">
        <f>IF(ISNUMBER($B$465),
IF(AND(ISNUMBER(AV$464), AV$464&gt;0),
IF(AND(AW$279=123, Cultivar_1_Cohort_Year_Selection=$AP$278,Cultivar_2_Cohort_Year_Selection=$AP$278,Cultivar_3_Cohort_Year_Selection=$AP$278), ROUND(MAX(0,(AV$464-('Stage 2 Randomized Selection'!AL$2*$M465)) - 3),0),
IF(AND(OR(AW$279=123, AW$279=12), Cultivar_1_Cohort_Year_Selection=$AP$278,Cultivar_2_Cohort_Year_Selection=$AP$278),  ROUND(MAX(0,(AV$464-('Stage 2 Randomized Selection'!AK$2*$M465)) - 2),0),
IF(AND(OR(AW$279=123, AW$279=13), Cultivar_1_Cohort_Year_Selection=$AP$278,Cultivar_3_Cohort_Year_Selection=$AP$278), ROUND(MAX(0,(AV$464-('Stage 2 Randomized Selection'!AK$2*$M465)) - 2),0),
IF(AND(OR(AW$279=123, AW$279=23), Cultivar_2_Cohort_Year_Selection=$AP$278,Cultivar_3_Cohort_Year_Selection=$AP$278), ROUND(MAX(0,(AV$464-('Stage 2 Randomized Selection'!AK$2*$M465)) - 2),0),
IF(AND(OR(AW$279=123, AW$279=12, AW$279=13, AW$279=1), Cultivar_1_Cohort_Year_Selection=$AP$278), ROUND(MAX(0,(AV$464-('Stage 2 Randomized Selection'!AK$2*$M465)) - 1),0),
IF(AND(OR(AW$279=123, AW$279=12, AW$279=23, AW$279=2), Cultivar_2_Cohort_Year_Selection=$AP$278), ROUND(MAX(0,(AV$464-('Stage 2 Randomized Selection'!AK$2*$M465)) - 1),0),
IF(AND(OR(AW$279=123, AW$279=13, AW$279=23, AW$279=3), Cultivar_3_Cohort_Year_Selection=$AP$278), ROUND(MAX(0,(AV$464-('Stage 2 Randomized Selection'!AK$2*$M465)) - 1),0),
ROUND(MAX(0,(AV$464-('Stage 2 Randomized Selection'!AK$2*$M465))),0)))))))),0),"")</f>
        <v/>
      </c>
    </row>
    <row r="489" spans="1:50" ht="14.45" customHeight="1" x14ac:dyDescent="0.25">
      <c r="A489" s="518" t="str">
        <f>Fourth_Stage</f>
        <v>Stage 2 Clonal Test Plots</v>
      </c>
      <c r="B489" s="504" t="str">
        <f>'Breeding Inputs'!B97</f>
        <v/>
      </c>
      <c r="C489" s="521" t="str">
        <f>IF(ISNUMBER(B489), _4_3_0, "")</f>
        <v/>
      </c>
      <c r="D489" s="94" t="str">
        <f>IF(AND(C489&lt;&gt;"", 'Cost Inputs'!$G$105&lt;&gt;""), 'Cost Inputs'!$G$105, "")</f>
        <v/>
      </c>
      <c r="E489" s="94" t="str">
        <f>IF(AND(C489&lt;&gt;"", 'Cost Inputs'!$H$105&lt;&gt;""), 'Cost Inputs'!$H$105, "")</f>
        <v/>
      </c>
      <c r="F489" s="492" t="str">
        <f>IF(AND(C489&lt;&gt;"", 'Cost Inputs'!$I$105&lt;&gt;""), 'Cost Inputs'!$I$105, "")</f>
        <v/>
      </c>
      <c r="G489" s="102" t="str">
        <f t="shared" si="333"/>
        <v/>
      </c>
      <c r="H489" s="492" t="str">
        <f>IF(AND(C489&lt;&gt;"", 'Cost Inputs'!$J$105&lt;&gt;""), 'Cost Inputs'!$J$105, "")</f>
        <v/>
      </c>
      <c r="I489" s="102" t="str">
        <f>IF($C489&lt;&gt;"",IF(AND($E489&lt;&gt;"",H489&lt;&gt;""), H489/$E489, 0),"")</f>
        <v/>
      </c>
      <c r="J489" s="492" t="str">
        <f>IF(AND(C489&lt;&gt;"",('Cost Inputs'!$I$105+'Cost Inputs'!$J$105+'Cost Inputs'!$K$105)&gt;0), 'Cost Inputs'!$I$105+'Cost Inputs'!$J$105+'Cost Inputs'!$K$105, "")</f>
        <v/>
      </c>
      <c r="K489" s="102" t="str">
        <f>IF($C489&lt;&gt;"",IF(AND($E489&lt;&gt;"",J489&lt;&gt;""), J489/$E489, 0),"")</f>
        <v/>
      </c>
      <c r="L489" s="525" t="str">
        <f>IF(AND($B489&lt;&gt;"", 'Breeding Inputs'!$C$89&lt;&gt;""), INDEX('Breeding Inputs'!$C$89:$C$98, MATCH($B489,'Breeding Inputs'!$B$89:$B$98,0)), IF($B489="", "", 0%))</f>
        <v/>
      </c>
      <c r="M489" s="525" t="str">
        <f>IF(AND($B489&lt;&gt;"", 'Breeding Inputs'!$D$89&lt;&gt;""), INDEX('Breeding Inputs'!$D$89:$D$98, MATCH($B489,'Breeding Inputs'!$B$89:$B$98,0))+INDEX('Breeding Inputs'!$E$89:$E$98, MATCH($B489,'Breeding Inputs'!$B$89:$B$98,0)), IF($B489="", "", 0%))</f>
        <v/>
      </c>
      <c r="W489" s="495" t="str">
        <f>IF(ISNUMBER($B$489),
IF($C489&lt;&gt;"",
IF(AND(ISNUMBER(V$488), V$488&gt;0),
IF(AND(W$279=123, Cultivar_1_Cohort_Year_Selection=$O$278,Cultivar_2_Cohort_Year_Selection=$O$278,Cultivar_3_Cohort_Year_Selection=$O$278), ROUND(MAX(0,V$488 - 3),0),
IF(AND(OR(W$279=123, W$279=12), Cultivar_1_Cohort_Year_Selection=$O$278,Cultivar_2_Cohort_Year_Selection=$O$278), ROUND(MAX(0,V$488 - 2),0),
IF(AND(OR(W$279=123, W$279=13), Cultivar_1_Cohort_Year_Selection=$O$278,Cultivar_3_Cohort_Year_Selection=$O$278), ROUND(MAX(0,V$488 - 2),0),
IF(AND(OR(W$279=123, W$279=23), Cultivar_2_Cohort_Year_Selection=$O$278,Cultivar_3_Cohort_Year_Selection=$O$278), ROUND(MAX(0,V$488 - 2),0),
IF(AND(OR(W$279=123, W$279=12, W$279=13, W$279=1), Cultivar_1_Cohort_Year_Selection=$O$278), ROUND(MAX(0,V$488 - 1),0),
IF(AND(OR(W$279=123, W$279=12, W$279=23, W$279=2), Cultivar_2_Cohort_Year_Selection=$O$278), ROUND(MAX(0,V$488 - 1),0),
IF(AND(OR(W$279=123, W$279=13, W$279=23, W$279=3), Cultivar_3_Cohort_Year_Selection=$O$278), ROUND(MAX(0,V$488 - 1),0),
ROUND(MAX(0,V$488),0)))))))),""),""),"")</f>
        <v/>
      </c>
      <c r="X489" s="495" t="str">
        <f>IF(ISNUMBER($B$489),
IF($C489&lt;&gt;"",
IF(AND(ISNUMBER(W$488), W$488&gt;0),
IF(AND(X$279=123, Cultivar_1_Cohort_Year_Selection=$P$278,Cultivar_2_Cohort_Year_Selection=$P$278,Cultivar_3_Cohort_Year_Selection=$P$278), ROUND(MAX(0,W$488 - 3),0),
IF(AND(OR(X$279=123, X$279=12), Cultivar_1_Cohort_Year_Selection=$P$278,Cultivar_2_Cohort_Year_Selection=$P$278), ROUND(MAX(0,W$488 - 2),0),
IF(AND(OR(X$279=123, X$279=13), Cultivar_1_Cohort_Year_Selection=$P$278,Cultivar_3_Cohort_Year_Selection=$P$278), ROUND(MAX(0,W$488 - 2),0),
IF(AND(OR(X$279=123, X$279=23), Cultivar_2_Cohort_Year_Selection=$P$278,Cultivar_3_Cohort_Year_Selection=$P$278), ROUND(MAX(0,W$488 - 2),0),
IF(AND(OR(X$279=123, X$279=12, X$279=13, X$279=1), Cultivar_1_Cohort_Year_Selection=$P$278), ROUND(MAX(0,W$488 - 1),0),
IF(AND(OR(X$279=123, X$279=12, X$279=23, X$279=2), Cultivar_2_Cohort_Year_Selection=$P$278), ROUND(MAX(0,W$488 - 1),0),
IF(AND(OR(X$279=123, X$279=13, X$279=23, X$279=3), Cultivar_3_Cohort_Year_Selection=$P$278), ROUND(MAX(0,W$488 - 1),0),
ROUND(MAX(0,W$488),0)))))))),""),""),"")</f>
        <v/>
      </c>
      <c r="Y489" s="495" t="str">
        <f>IF(ISNUMBER($B$489),
IF($C489&lt;&gt;"",
IF(AND(ISNUMBER(X$488), X$488&gt;0),
IF(AND(Y$279=123, Cultivar_1_Cohort_Year_Selection=$Q$278,Cultivar_2_Cohort_Year_Selection=$Q$278,Cultivar_3_Cohort_Year_Selection=$Q$278), ROUND(MAX(0,X$488 - 3),0),
IF(AND(OR(Y$279=123, Y$279=12), Cultivar_1_Cohort_Year_Selection=$Q$278,Cultivar_2_Cohort_Year_Selection=$Q$278), ROUND(MAX(0,X$488 - 2),0),
IF(AND(OR(Y$279=123, Y$279=13), Cultivar_1_Cohort_Year_Selection=$Q$278,Cultivar_3_Cohort_Year_Selection=$Q$278), ROUND(MAX(0,X$488 - 2),0),
IF(AND(OR(Y$279=123, Y$279=23), Cultivar_2_Cohort_Year_Selection=$Q$278,Cultivar_3_Cohort_Year_Selection=$Q$278), ROUND(MAX(0,X$488 - 2),0),
IF(AND(OR(Y$279=123, Y$279=12, Y$279=13, Y$279=1), Cultivar_1_Cohort_Year_Selection=$Q$278), ROUND(MAX(0,X$488 - 1),0),
IF(AND(OR(Y$279=123, Y$279=12, Y$279=23, Y$279=2), Cultivar_2_Cohort_Year_Selection=$Q$278), ROUND(MAX(0,X$488 - 1),0),
IF(AND(OR(Y$279=123, Y$279=13, Y$279=23, Y$279=3), Cultivar_3_Cohort_Year_Selection=$Q$278), ROUND(MAX(0,X$488 - 1),0),
ROUND(MAX(0,X$488),0)))))))),""),""),"")</f>
        <v/>
      </c>
      <c r="Z489" s="495" t="str">
        <f>IF(ISNUMBER($B$489),
IF($C489&lt;&gt;"",
IF(AND(ISNUMBER(Y$488), Y$488&gt;0),
IF(AND(Z$279=123, Cultivar_1_Cohort_Year_Selection=$R$278,Cultivar_2_Cohort_Year_Selection=$R$278,Cultivar_3_Cohort_Year_Selection=$R$278), ROUND(MAX(0,Y$488 - 3),0),
IF(AND(OR(Z$279=123, Z$279=12), Cultivar_1_Cohort_Year_Selection=$R$278,Cultivar_2_Cohort_Year_Selection=$R$278), ROUND(MAX(0,Y$488 - 2),0),
IF(AND(OR(Z$279=123, Z$279=13), Cultivar_1_Cohort_Year_Selection=$R$278,Cultivar_3_Cohort_Year_Selection=$R$278), ROUND(MAX(0,Y$488 - 2),0),
IF(AND(OR(Z$279=123, Z$279=23), Cultivar_2_Cohort_Year_Selection=$R$278,Cultivar_3_Cohort_Year_Selection=$R$278), ROUND(MAX(0,Y$488 - 2),0),
IF(AND(OR(Z$279=123, Z$279=12, Z$279=13, Z$279=1), Cultivar_1_Cohort_Year_Selection=$R$278), ROUND(MAX(0,Y$488 - 1),0),
IF(AND(OR(Z$279=123, Z$279=12, Z$279=23, Z$279=2), Cultivar_2_Cohort_Year_Selection=$R$278), ROUND(MAX(0,Y$488 - 1),0),
IF(AND(OR(Z$279=123, Z$279=13, Z$279=23, Z$279=3), Cultivar_3_Cohort_Year_Selection=$R$278), ROUND(MAX(0,Y$488 - 1),0),
ROUND(MAX(0,Y$488),0)))))))),""),""),"")</f>
        <v/>
      </c>
      <c r="AA489" s="495" t="str">
        <f>IF(ISNUMBER($B$489),
IF($C489&lt;&gt;"",
IF(AND(ISNUMBER(Z$488), Z$488&gt;0),
IF(AND(AA$279=123, Cultivar_1_Cohort_Year_Selection=$S$278,Cultivar_2_Cohort_Year_Selection=$S$278,Cultivar_3_Cohort_Year_Selection=$S$278), ROUND(MAX(0,Z$488 - 3),0),
IF(AND(OR(AA$279=123, AA$279=12), Cultivar_1_Cohort_Year_Selection=$S$278,Cultivar_2_Cohort_Year_Selection=$S$278), ROUND(MAX(0,Z$488 - 2),0),
IF(AND(OR(AA$279=123, AA$279=13), Cultivar_1_Cohort_Year_Selection=$S$278,Cultivar_3_Cohort_Year_Selection=$S$278), ROUND(MAX(0,Z$488 - 2),0),
IF(AND(OR(AA$279=123, AA$279=23), Cultivar_2_Cohort_Year_Selection=$S$278,Cultivar_3_Cohort_Year_Selection=$S$278), ROUND(MAX(0,Z$488 - 2),0),
IF(AND(OR(AA$279=123, AA$279=12, AA$279=13, AA$279=1), Cultivar_1_Cohort_Year_Selection=$S$278), ROUND(MAX(0,Z$488 - 1),0),
IF(AND(OR(AA$279=123, AA$279=12, AA$279=23, AA$279=2), Cultivar_2_Cohort_Year_Selection=$S$278), ROUND(MAX(0,Z$488 - 1),0),
IF(AND(OR(AA$279=123, AA$279=13, AA$279=23, AA$279=3), Cultivar_3_Cohort_Year_Selection=$S$278), ROUND(MAX(0,Z$488 - 1),0),
ROUND(MAX(0,Z$488),0)))))))),""),""),"")</f>
        <v/>
      </c>
      <c r="AB489" s="495" t="str">
        <f>IF(ISNUMBER($B$489),
IF($C489&lt;&gt;"",
IF(AND(ISNUMBER(AA$488), AA$488&gt;0),
IF(AND(AB$279=123, Cultivar_1_Cohort_Year_Selection=$T$278,Cultivar_2_Cohort_Year_Selection=$T$278,Cultivar_3_Cohort_Year_Selection=$T$278), ROUND(MAX(0,AA$488 - 3),0),
IF(AND(OR(AB$279=123, AB$279=12), Cultivar_1_Cohort_Year_Selection=$T$278,Cultivar_2_Cohort_Year_Selection=$T$278), ROUND(MAX(0,AA$488 - 2),0),
IF(AND(OR(AB$279=123, AB$279=13), Cultivar_1_Cohort_Year_Selection=$T$278,Cultivar_3_Cohort_Year_Selection=$T$278), ROUND(MAX(0,AA$488 - 2),0),
IF(AND(OR(AB$279=123, AB$279=23), Cultivar_2_Cohort_Year_Selection=$T$278,Cultivar_3_Cohort_Year_Selection=$T$278), ROUND(MAX(0,AA$488 - 2),0),
IF(AND(OR(AB$279=123, AB$279=12, AB$279=13, AB$279=1), Cultivar_1_Cohort_Year_Selection=$T$278), ROUND(MAX(0,AA$488 - 1),0),
IF(AND(OR(AB$279=123, AB$279=12, AB$279=23, AB$279=2), Cultivar_2_Cohort_Year_Selection=$T$278), ROUND(MAX(0,AA$488 - 1),0),
IF(AND(OR(AB$279=123, AB$279=13, AB$279=23, AB$279=3), Cultivar_3_Cohort_Year_Selection=$T$278), ROUND(MAX(0,AA$488 - 1),0),
ROUND(MAX(0,AA$488),0)))))))),""),""),"")</f>
        <v/>
      </c>
      <c r="AC489" s="495" t="str">
        <f>IF(ISNUMBER($B$489),
IF($C489&lt;&gt;"",
IF(AND(ISNUMBER(AB$488), AB$488&gt;0),
IF(AND(AC$279=123, Cultivar_1_Cohort_Year_Selection=$U$278,Cultivar_2_Cohort_Year_Selection=$U$278,Cultivar_3_Cohort_Year_Selection=$U$278), ROUND(MAX(0,AB$488 - 3),0),
IF(AND(OR(AC$279=123, AC$279=12), Cultivar_1_Cohort_Year_Selection=$U$278,Cultivar_2_Cohort_Year_Selection=$U$278), ROUND(MAX(0,AB$488 - 2),0),
IF(AND(OR(AC$279=123, AC$279=13), Cultivar_1_Cohort_Year_Selection=$U$278,Cultivar_3_Cohort_Year_Selection=$U$278), ROUND(MAX(0,AB$488 - 2),0),
IF(AND(OR(AC$279=123, AC$279=23), Cultivar_2_Cohort_Year_Selection=$U$278,Cultivar_3_Cohort_Year_Selection=$U$278), ROUND(MAX(0,AB$488 - 2),0),
IF(AND(OR(AC$279=123, AC$279=12, AC$279=13, AC$279=1), Cultivar_1_Cohort_Year_Selection=$U$278), ROUND(MAX(0,AB$488 - 1),0),
IF(AND(OR(AC$279=123, AC$279=12, AC$279=23, AC$279=2), Cultivar_2_Cohort_Year_Selection=$U$278), ROUND(MAX(0,AB$488 - 1),0),
IF(AND(OR(AC$279=123, AC$279=13, AC$279=23, AC$279=3), Cultivar_3_Cohort_Year_Selection=$U$278), ROUND(MAX(0,AB$488 - 1),0),
ROUND(MAX(0,AB$488),0)))))))),""),""),"")</f>
        <v/>
      </c>
      <c r="AD489" s="495" t="str">
        <f>IF(ISNUMBER($B$489),
IF($C489&lt;&gt;"",
IF(AND(ISNUMBER(AC$488), AC$488&gt;0),
IF(AND(AD$279=123, Cultivar_1_Cohort_Year_Selection=$V$278,Cultivar_2_Cohort_Year_Selection=$V$278,Cultivar_3_Cohort_Year_Selection=$V$278), ROUND(MAX(0,AC$488 - 3),0),
IF(AND(OR(AD$279=123, AD$279=12), Cultivar_1_Cohort_Year_Selection=$V$278,Cultivar_2_Cohort_Year_Selection=$V$278), ROUND(MAX(0,AC$488 - 2),0),
IF(AND(OR(AD$279=123, AD$279=13), Cultivar_1_Cohort_Year_Selection=$V$278,Cultivar_3_Cohort_Year_Selection=$V$278), ROUND(MAX(0,AC$488 - 2),0),
IF(AND(OR(AD$279=123, AD$279=23), Cultivar_2_Cohort_Year_Selection=$V$278,Cultivar_3_Cohort_Year_Selection=$V$278), ROUND(MAX(0,AC$488 - 2),0),
IF(AND(OR(AD$279=123, AD$279=12, AD$279=13, AD$279=1), Cultivar_1_Cohort_Year_Selection=$V$278), ROUND(MAX(0,AC$488 - 1),0),
IF(AND(OR(AD$279=123, AD$279=12, AD$279=23, AD$279=2), Cultivar_2_Cohort_Year_Selection=$V$278), ROUND(MAX(0,AC$488 - 1),0),
IF(AND(OR(AD$279=123, AD$279=13, AD$279=23, AD$279=3), Cultivar_3_Cohort_Year_Selection=$V$278), ROUND(MAX(0,AC$488 - 1),0),
ROUND(MAX(0,AC$488),0)))))))),""),""),"")</f>
        <v/>
      </c>
      <c r="AE489" s="495" t="str">
        <f>IF(ISNUMBER($B$489),
IF($C489&lt;&gt;"",
IF(AND(ISNUMBER(AD$488), AD$488&gt;0),
IF(AND(AE$279=123, Cultivar_1_Cohort_Year_Selection=$W$278,Cultivar_2_Cohort_Year_Selection=$W$278,Cultivar_3_Cohort_Year_Selection=$W$278), ROUND(MAX(0,AD$488 - 3),0),
IF(AND(OR(AE$279=123, AE$279=12), Cultivar_1_Cohort_Year_Selection=$W$278,Cultivar_2_Cohort_Year_Selection=$W$278), ROUND(MAX(0,AD$488 - 2),0),
IF(AND(OR(AE$279=123, AE$279=13), Cultivar_1_Cohort_Year_Selection=$W$278,Cultivar_3_Cohort_Year_Selection=$W$278), ROUND(MAX(0,AD$488 - 2),0),
IF(AND(OR(AE$279=123, AE$279=23), Cultivar_2_Cohort_Year_Selection=$W$278,Cultivar_3_Cohort_Year_Selection=$W$278), ROUND(MAX(0,AD$488 - 2),0),
IF(AND(OR(AE$279=123, AE$279=12, AE$279=13, AE$279=1), Cultivar_1_Cohort_Year_Selection=$W$278), ROUND(MAX(0,AD$488 - 1),0),
IF(AND(OR(AE$279=123, AE$279=12, AE$279=23, AE$279=2), Cultivar_2_Cohort_Year_Selection=$W$278), ROUND(MAX(0,AD$488 - 1),0),
IF(AND(OR(AE$279=123, AE$279=13, AE$279=23, AE$279=3), Cultivar_3_Cohort_Year_Selection=$W$278), ROUND(MAX(0,AD$488 - 1),0),
ROUND(MAX(0,AD$488),0)))))))),""),""),"")</f>
        <v/>
      </c>
      <c r="AF489" s="495" t="str">
        <f>IF(ISNUMBER($B$489),
IF($C489&lt;&gt;"",
IF(AND(ISNUMBER(AE$488), AE$488&gt;0),
IF(AND(AF$279=123, Cultivar_1_Cohort_Year_Selection=$X$278,Cultivar_2_Cohort_Year_Selection=$X$278,Cultivar_3_Cohort_Year_Selection=$X$278), ROUND(MAX(0,AE$488 - 3),0),
IF(AND(OR(AF$279=123, AF$279=12), Cultivar_1_Cohort_Year_Selection=$X$278,Cultivar_2_Cohort_Year_Selection=$X$278), ROUND(MAX(0,AE$488 - 2),0),
IF(AND(OR(AF$279=123, AF$279=13), Cultivar_1_Cohort_Year_Selection=$X$278,Cultivar_3_Cohort_Year_Selection=$X$278), ROUND(MAX(0,AE$488 - 2),0),
IF(AND(OR(AF$279=123, AF$279=23), Cultivar_2_Cohort_Year_Selection=$X$278,Cultivar_3_Cohort_Year_Selection=$X$278), ROUND(MAX(0,AE$488 - 2),0),
IF(AND(OR(AF$279=123, AF$279=12, AF$279=13, AF$279=1), Cultivar_1_Cohort_Year_Selection=$X$278), ROUND(MAX(0,AE$488 - 1),0),
IF(AND(OR(AF$279=123, AF$279=12, AF$279=23, AF$279=2), Cultivar_2_Cohort_Year_Selection=$X$278), ROUND(MAX(0,AE$488 - 1),0),
IF(AND(OR(AF$279=123, AF$279=13, AF$279=23, AF$279=3), Cultivar_3_Cohort_Year_Selection=$X$278), ROUND(MAX(0,AE$488 - 1),0),
ROUND(MAX(0,AE$488),0)))))))),""),""),"")</f>
        <v/>
      </c>
      <c r="AG489" s="495" t="str">
        <f>IF(ISNUMBER($B$489),
IF($C489&lt;&gt;"",
IF(AND(ISNUMBER(AF$488), AF$488&gt;0),
IF(AND(AG$279=123, Cultivar_1_Cohort_Year_Selection=$Y$278,Cultivar_2_Cohort_Year_Selection=$Y$278,Cultivar_3_Cohort_Year_Selection=$Y$278), ROUND(MAX(0,AF$488 - 3),0),
IF(AND(OR(AG$279=123, AG$279=12), Cultivar_1_Cohort_Year_Selection=$Y$278,Cultivar_2_Cohort_Year_Selection=$Y$278), ROUND(MAX(0,AF$488 - 2),0),
IF(AND(OR(AG$279=123, AG$279=13), Cultivar_1_Cohort_Year_Selection=$Y$278,Cultivar_3_Cohort_Year_Selection=$Y$278), ROUND(MAX(0,AF$488 - 2),0),
IF(AND(OR(AG$279=123, AG$279=23), Cultivar_2_Cohort_Year_Selection=$Y$278,Cultivar_3_Cohort_Year_Selection=$Y$278), ROUND(MAX(0,AF$488 - 2),0),
IF(AND(OR(AG$279=123, AG$279=12, AG$279=13, AG$279=1), Cultivar_1_Cohort_Year_Selection=$Y$278), ROUND(MAX(0,AF$488 - 1),0),
IF(AND(OR(AG$279=123, AG$279=12, AG$279=23, AG$279=2), Cultivar_2_Cohort_Year_Selection=$Y$278), ROUND(MAX(0,AF$488 - 1),0),
IF(AND(OR(AG$279=123, AG$279=13, AG$279=23, AG$279=3), Cultivar_3_Cohort_Year_Selection=$Y$278), ROUND(MAX(0,AF$488 - 1),0),
ROUND(MAX(0,AF$488),0)))))))),""),""),"")</f>
        <v/>
      </c>
      <c r="AH489" s="495" t="str">
        <f>IF(ISNUMBER($B$489),
IF($C489&lt;&gt;"",
IF(AND(ISNUMBER(AG$488), AG$488&gt;0),
IF(AND(AH$279=123, Cultivar_1_Cohort_Year_Selection=$Z$278,Cultivar_2_Cohort_Year_Selection=$Z$278,Cultivar_3_Cohort_Year_Selection=$Z$278), ROUND(MAX(0,AG$488 - 3),0),
IF(AND(OR(AH$279=123, AH$279=12), Cultivar_1_Cohort_Year_Selection=$Z$278,Cultivar_2_Cohort_Year_Selection=$Z$278), ROUND(MAX(0,AG$488 - 2),0),
IF(AND(OR(AH$279=123, AH$279=13), Cultivar_1_Cohort_Year_Selection=$Z$278,Cultivar_3_Cohort_Year_Selection=$Z$278), ROUND(MAX(0,AG$488 - 2),0),
IF(AND(OR(AH$279=123, AH$279=23), Cultivar_2_Cohort_Year_Selection=$Z$278,Cultivar_3_Cohort_Year_Selection=$Z$278), ROUND(MAX(0,AG$488 - 2),0),
IF(AND(OR(AH$279=123, AH$279=12, AH$279=13, AH$279=1), Cultivar_1_Cohort_Year_Selection=$Z$278), ROUND(MAX(0,AG$488 - 1),0),
IF(AND(OR(AH$279=123, AH$279=12, AH$279=23, AH$279=2), Cultivar_2_Cohort_Year_Selection=$Z$278), ROUND(MAX(0,AG$488 - 1),0),
IF(AND(OR(AH$279=123, AH$279=13, AH$279=23, AH$279=3), Cultivar_3_Cohort_Year_Selection=$Z$278), ROUND(MAX(0,AG$488 - 1),0),
ROUND(MAX(0,AG$488),0)))))))),""),""),"")</f>
        <v/>
      </c>
      <c r="AI489" s="495" t="str">
        <f>IF(ISNUMBER($B$489),
IF($C489&lt;&gt;"",
IF(AND(ISNUMBER(AH$488), AH$488&gt;0),
IF(AND(AI$279=123, Cultivar_1_Cohort_Year_Selection=$AA$278,Cultivar_2_Cohort_Year_Selection=$AA$278,Cultivar_3_Cohort_Year_Selection=$AA$278), ROUND(MAX(0,AH$488 - 3),0),
IF(AND(OR(AI$279=123, AI$279=12), Cultivar_1_Cohort_Year_Selection=$AA$278,Cultivar_2_Cohort_Year_Selection=$AA$278), ROUND(MAX(0,AH$488 - 2),0),
IF(AND(OR(AI$279=123, AI$279=13), Cultivar_1_Cohort_Year_Selection=$AA$278,Cultivar_3_Cohort_Year_Selection=$AA$278), ROUND(MAX(0,AH$488 - 2),0),
IF(AND(OR(AI$279=123, AI$279=23), Cultivar_2_Cohort_Year_Selection=$AA$278,Cultivar_3_Cohort_Year_Selection=$AA$278), ROUND(MAX(0,AH$488 - 2),0),
IF(AND(OR(AI$279=123, AI$279=12, AI$279=13, AI$279=1), Cultivar_1_Cohort_Year_Selection=$AA$278), ROUND(MAX(0,AH$488 - 1),0),
IF(AND(OR(AI$279=123, AI$279=12, AI$279=23, AI$279=2), Cultivar_2_Cohort_Year_Selection=$AA$278), ROUND(MAX(0,AH$488 - 1),0),
IF(AND(OR(AI$279=123, AI$279=13, AI$279=23, AI$279=3), Cultivar_3_Cohort_Year_Selection=$AA$278), ROUND(MAX(0,AH$488 - 1),0),
ROUND(MAX(0,AH$488),0)))))))),""),""),"")</f>
        <v/>
      </c>
      <c r="AJ489" s="495" t="str">
        <f>IF(ISNUMBER($B$489),
IF($C489&lt;&gt;"",
IF(AND(ISNUMBER(AI$488), AI$488&gt;0),
IF(AND(AJ$279=123, Cultivar_1_Cohort_Year_Selection=$AB$278,Cultivar_2_Cohort_Year_Selection=$AB$278,Cultivar_3_Cohort_Year_Selection=$AB$278), ROUND(MAX(0,AI$488 - 3),0),
IF(AND(OR(AJ$279=123, AJ$279=12), Cultivar_1_Cohort_Year_Selection=$AB$278,Cultivar_2_Cohort_Year_Selection=$AB$278), ROUND(MAX(0,AI$488 - 2),0),
IF(AND(OR(AJ$279=123, AJ$279=13), Cultivar_1_Cohort_Year_Selection=$AB$278,Cultivar_3_Cohort_Year_Selection=$AB$278), ROUND(MAX(0,AI$488 - 2),0),
IF(AND(OR(AJ$279=123, AJ$279=23), Cultivar_2_Cohort_Year_Selection=$AB$278,Cultivar_3_Cohort_Year_Selection=$AB$278), ROUND(MAX(0,AI$488 - 2),0),
IF(AND(OR(AJ$279=123, AJ$279=12, AJ$279=13, AJ$279=1), Cultivar_1_Cohort_Year_Selection=$AB$278), ROUND(MAX(0,AI$488 - 1),0),
IF(AND(OR(AJ$279=123, AJ$279=12, AJ$279=23, AJ$279=2), Cultivar_2_Cohort_Year_Selection=$AB$278), ROUND(MAX(0,AI$488 - 1),0),
IF(AND(OR(AJ$279=123, AJ$279=13, AJ$279=23, AJ$279=3), Cultivar_3_Cohort_Year_Selection=$AB$278), ROUND(MAX(0,AI$488 - 1),0),
ROUND(MAX(0,AI$488),0)))))))),""),""),"")</f>
        <v/>
      </c>
      <c r="AK489" s="495" t="str">
        <f>IF(ISNUMBER($B$489),
IF($C489&lt;&gt;"",
IF(AND(ISNUMBER(AJ$488), AJ$488&gt;0),
IF(AND(AK$279=123, Cultivar_1_Cohort_Year_Selection=$AC$278,Cultivar_2_Cohort_Year_Selection=$AC$278,Cultivar_3_Cohort_Year_Selection=$AC$278), ROUND(MAX(0,AJ$488 - 3),0),
IF(AND(OR(AK$279=123, AK$279=12), Cultivar_1_Cohort_Year_Selection=$AC$278,Cultivar_2_Cohort_Year_Selection=$AC$278), ROUND(MAX(0,AJ$488 - 2),0),
IF(AND(OR(AK$279=123, AK$279=13), Cultivar_1_Cohort_Year_Selection=$AC$278,Cultivar_3_Cohort_Year_Selection=$AC$278), ROUND(MAX(0,AJ$488 - 2),0),
IF(AND(OR(AK$279=123, AK$279=23), Cultivar_2_Cohort_Year_Selection=$AC$278,Cultivar_3_Cohort_Year_Selection=$AC$278), ROUND(MAX(0,AJ$488 - 2),0),
IF(AND(OR(AK$279=123, AK$279=12, AK$279=13, AK$279=1), Cultivar_1_Cohort_Year_Selection=$AC$278), ROUND(MAX(0,AJ$488 - 1),0),
IF(AND(OR(AK$279=123, AK$279=12, AK$279=23, AK$279=2), Cultivar_2_Cohort_Year_Selection=$AC$278), ROUND(MAX(0,AJ$488 - 1),0),
IF(AND(OR(AK$279=123, AK$279=13, AK$279=23, AK$279=3), Cultivar_3_Cohort_Year_Selection=$AC$278), ROUND(MAX(0,AJ$488 - 1),0),
ROUND(MAX(0,AJ$488),0)))))))),""),""),"")</f>
        <v/>
      </c>
      <c r="AL489" s="495" t="str">
        <f>IF(ISNUMBER($B$489),
IF($C489&lt;&gt;"",
IF(AND(ISNUMBER(AK$488), AK$488&gt;0),
IF(AND(AL$279=123, Cultivar_1_Cohort_Year_Selection=$AD$278,Cultivar_2_Cohort_Year_Selection=$AD$278,Cultivar_3_Cohort_Year_Selection=$AD$278), ROUND(MAX(0,AK$488 - 3),0),
IF(AND(OR(AL$279=123, AL$279=12), Cultivar_1_Cohort_Year_Selection=$AD$278,Cultivar_2_Cohort_Year_Selection=$AD$278), ROUND(MAX(0,AK$488 - 2),0),
IF(AND(OR(AL$279=123, AL$279=13), Cultivar_1_Cohort_Year_Selection=$AD$278,Cultivar_3_Cohort_Year_Selection=$AD$278), ROUND(MAX(0,AK$488 - 2),0),
IF(AND(OR(AL$279=123, AL$279=23), Cultivar_2_Cohort_Year_Selection=$AD$278,Cultivar_3_Cohort_Year_Selection=$AD$278), ROUND(MAX(0,AK$488 - 2),0),
IF(AND(OR(AL$279=123, AL$279=12, AL$279=13, AL$279=1), Cultivar_1_Cohort_Year_Selection=$AD$278), ROUND(MAX(0,AK$488 - 1),0),
IF(AND(OR(AL$279=123, AL$279=12, AL$279=23, AL$279=2), Cultivar_2_Cohort_Year_Selection=$AD$278), ROUND(MAX(0,AK$488 - 1),0),
IF(AND(OR(AL$279=123, AL$279=13, AL$279=23, AL$279=3), Cultivar_3_Cohort_Year_Selection=$AD$278), ROUND(MAX(0,AK$488 - 1),0),
ROUND(MAX(0,AK$488),0)))))))),""),""),"")</f>
        <v/>
      </c>
      <c r="AM489" s="495" t="str">
        <f>IF(ISNUMBER($B$489),
IF($C489&lt;&gt;"",
IF(AND(ISNUMBER(AL$488), AL$488&gt;0),
IF(AND(AM$279=123, Cultivar_1_Cohort_Year_Selection=$AE$278,Cultivar_2_Cohort_Year_Selection=$AE$278,Cultivar_3_Cohort_Year_Selection=$AE$278), ROUND(MAX(0,AL$488 - 3),0),
IF(AND(OR(AM$279=123, AM$279=12), Cultivar_1_Cohort_Year_Selection=$AE$278,Cultivar_2_Cohort_Year_Selection=$AE$278), ROUND(MAX(0,AL$488 - 2),0),
IF(AND(OR(AM$279=123, AM$279=13), Cultivar_1_Cohort_Year_Selection=$AE$278,Cultivar_3_Cohort_Year_Selection=$AE$278), ROUND(MAX(0,AL$488 - 2),0),
IF(AND(OR(AM$279=123, AM$279=23), Cultivar_2_Cohort_Year_Selection=$AE$278,Cultivar_3_Cohort_Year_Selection=$AE$278), ROUND(MAX(0,AL$488 - 2),0),
IF(AND(OR(AM$279=123, AM$279=12, AM$279=13, AM$279=1), Cultivar_1_Cohort_Year_Selection=$AE$278), ROUND(MAX(0,AL$488 - 1),0),
IF(AND(OR(AM$279=123, AM$279=12, AM$279=23, AM$279=2), Cultivar_2_Cohort_Year_Selection=$AE$278), ROUND(MAX(0,AL$488 - 1),0),
IF(AND(OR(AM$279=123, AM$279=13, AM$279=23, AM$279=3), Cultivar_3_Cohort_Year_Selection=$AE$278), ROUND(MAX(0,AL$488 - 1),0),
ROUND(MAX(0,AL$488),0)))))))),""),""),"")</f>
        <v/>
      </c>
      <c r="AN489" s="495" t="str">
        <f>IF(ISNUMBER($B$489),
IF($C489&lt;&gt;"",
IF(AND(ISNUMBER(AM$488), AM$488&gt;0),
IF(AND(AN$279=123, Cultivar_1_Cohort_Year_Selection=$AF$278,Cultivar_2_Cohort_Year_Selection=$AF$278,Cultivar_3_Cohort_Year_Selection=$AF$278), ROUND(MAX(0,AM$488 - 3),0),
IF(AND(OR(AN$279=123, AN$279=12), Cultivar_1_Cohort_Year_Selection=$AF$278,Cultivar_2_Cohort_Year_Selection=$AF$278), ROUND(MAX(0,AM$488 - 2),0),
IF(AND(OR(AN$279=123, AN$279=13), Cultivar_1_Cohort_Year_Selection=$AF$278,Cultivar_3_Cohort_Year_Selection=$AF$278), ROUND(MAX(0,AM$488 - 2),0),
IF(AND(OR(AN$279=123, AN$279=23), Cultivar_2_Cohort_Year_Selection=$AF$278,Cultivar_3_Cohort_Year_Selection=$AF$278), ROUND(MAX(0,AM$488 - 2),0),
IF(AND(OR(AN$279=123, AN$279=12, AN$279=13, AN$279=1), Cultivar_1_Cohort_Year_Selection=$AF$278), ROUND(MAX(0,AM$488 - 1),0),
IF(AND(OR(AN$279=123, AN$279=12, AN$279=23, AN$279=2), Cultivar_2_Cohort_Year_Selection=$AF$278), ROUND(MAX(0,AM$488 - 1),0),
IF(AND(OR(AN$279=123, AN$279=13, AN$279=23, AN$279=3), Cultivar_3_Cohort_Year_Selection=$AF$278), ROUND(MAX(0,AM$488 - 1),0),
ROUND(MAX(0,AM$488),0)))))))),""),""),"")</f>
        <v/>
      </c>
      <c r="AO489" s="495" t="str">
        <f>IF(ISNUMBER($B$489),
IF($C489&lt;&gt;"",
IF(AND(ISNUMBER(AN$488), AN$488&gt;0),
IF(AND(AO$279=123, Cultivar_1_Cohort_Year_Selection=$AG$278,Cultivar_2_Cohort_Year_Selection=$AG$278,Cultivar_3_Cohort_Year_Selection=$AG$278), ROUND(MAX(0,AN$488 - 3),0),
IF(AND(OR(AO$279=123, AO$279=12), Cultivar_1_Cohort_Year_Selection=$AG$278,Cultivar_2_Cohort_Year_Selection=$AG$278), ROUND(MAX(0,AN$488 - 2),0),
IF(AND(OR(AO$279=123, AO$279=13), Cultivar_1_Cohort_Year_Selection=$AG$278,Cultivar_3_Cohort_Year_Selection=$AG$278), ROUND(MAX(0,AN$488 - 2),0),
IF(AND(OR(AO$279=123, AO$279=23), Cultivar_2_Cohort_Year_Selection=$AG$278,Cultivar_3_Cohort_Year_Selection=$AG$278), ROUND(MAX(0,AN$488 - 2),0),
IF(AND(OR(AO$279=123, AO$279=12, AO$279=13, AO$279=1), Cultivar_1_Cohort_Year_Selection=$AG$278), ROUND(MAX(0,AN$488 - 1),0),
IF(AND(OR(AO$279=123, AO$279=12, AO$279=23, AO$279=2), Cultivar_2_Cohort_Year_Selection=$AG$278), ROUND(MAX(0,AN$488 - 1),0),
IF(AND(OR(AO$279=123, AO$279=13, AO$279=23, AO$279=3), Cultivar_3_Cohort_Year_Selection=$AG$278), ROUND(MAX(0,AN$488 - 1),0),
ROUND(MAX(0,AN$488),0)))))))),""),""),"")</f>
        <v/>
      </c>
      <c r="AP489" s="495" t="str">
        <f>IF(ISNUMBER($B$489),
IF($C489&lt;&gt;"",
IF(AND(ISNUMBER(AO$488), AO$488&gt;0),
IF(AND(AP$279=123, Cultivar_1_Cohort_Year_Selection=$AH$278,Cultivar_2_Cohort_Year_Selection=$AH$278,Cultivar_3_Cohort_Year_Selection=$AH$278), ROUND(MAX(0,AO$488 - 3),0),
IF(AND(OR(AP$279=123, AP$279=12), Cultivar_1_Cohort_Year_Selection=$AH$278,Cultivar_2_Cohort_Year_Selection=$AH$278), ROUND(MAX(0,AO$488 - 2),0),
IF(AND(OR(AP$279=123, AP$279=13), Cultivar_1_Cohort_Year_Selection=$AH$278,Cultivar_3_Cohort_Year_Selection=$AH$278), ROUND(MAX(0,AO$488 - 2),0),
IF(AND(OR(AP$279=123, AP$279=23), Cultivar_2_Cohort_Year_Selection=$AH$278,Cultivar_3_Cohort_Year_Selection=$AH$278), ROUND(MAX(0,AO$488 - 2),0),
IF(AND(OR(AP$279=123, AP$279=12, AP$279=13, AP$279=1), Cultivar_1_Cohort_Year_Selection=$AH$278), ROUND(MAX(0,AO$488 - 1),0),
IF(AND(OR(AP$279=123, AP$279=12, AP$279=23, AP$279=2), Cultivar_2_Cohort_Year_Selection=$AH$278), ROUND(MAX(0,AO$488 - 1),0),
IF(AND(OR(AP$279=123, AP$279=13, AP$279=23, AP$279=3), Cultivar_3_Cohort_Year_Selection=$AH$278), ROUND(MAX(0,AO$488 - 1),0),
ROUND(MAX(0,AO$488),0)))))))),""),""),"")</f>
        <v/>
      </c>
      <c r="AQ489" s="495" t="str">
        <f>IF(ISNUMBER($B$489),
IF($C489&lt;&gt;"",
IF(AND(ISNUMBER(AP$488), AP$488&gt;0),
IF(AND(AQ$279=123, Cultivar_1_Cohort_Year_Selection=$AI$278,Cultivar_2_Cohort_Year_Selection=$AI$278,Cultivar_3_Cohort_Year_Selection=$AI$278), ROUND(MAX(0,AP$488 - 3),0),
IF(AND(OR(AQ$279=123, AQ$279=12), Cultivar_1_Cohort_Year_Selection=$AI$278,Cultivar_2_Cohort_Year_Selection=$AI$278), ROUND(MAX(0,AP$488 - 2),0),
IF(AND(OR(AQ$279=123, AQ$279=13), Cultivar_1_Cohort_Year_Selection=$AI$278,Cultivar_3_Cohort_Year_Selection=$AI$278), ROUND(MAX(0,AP$488 - 2),0),
IF(AND(OR(AQ$279=123, AQ$279=23), Cultivar_2_Cohort_Year_Selection=$AI$278,Cultivar_3_Cohort_Year_Selection=$AI$278), ROUND(MAX(0,AP$488 - 2),0),
IF(AND(OR(AQ$279=123, AQ$279=12, AQ$279=13, AQ$279=1), Cultivar_1_Cohort_Year_Selection=$AI$278), ROUND(MAX(0,AP$488 - 1),0),
IF(AND(OR(AQ$279=123, AQ$279=12, AQ$279=23, AQ$279=2), Cultivar_2_Cohort_Year_Selection=$AI$278), ROUND(MAX(0,AP$488 - 1),0),
IF(AND(OR(AQ$279=123, AQ$279=13, AQ$279=23, AQ$279=3), Cultivar_3_Cohort_Year_Selection=$AI$278), ROUND(MAX(0,AP$488 - 1),0),
ROUND(MAX(0,AP$488),0)))))))),""),""),"")</f>
        <v/>
      </c>
      <c r="AR489" s="495" t="str">
        <f>IF(ISNUMBER($B$489),
IF($C489&lt;&gt;"",
IF(AND(ISNUMBER(AQ$488), AQ$488&gt;0),
IF(AND(AR$279=123, Cultivar_1_Cohort_Year_Selection=$AJ$278,Cultivar_2_Cohort_Year_Selection=$AJ$278,Cultivar_3_Cohort_Year_Selection=$AJ$278), ROUND(MAX(0,AQ$488 - 3),0),
IF(AND(OR(AR$279=123, AR$279=12), Cultivar_1_Cohort_Year_Selection=$AJ$278,Cultivar_2_Cohort_Year_Selection=$AJ$278), ROUND(MAX(0,AQ$488 - 2),0),
IF(AND(OR(AR$279=123, AR$279=13), Cultivar_1_Cohort_Year_Selection=$AJ$278,Cultivar_3_Cohort_Year_Selection=$AJ$278), ROUND(MAX(0,AQ$488 - 2),0),
IF(AND(OR(AR$279=123, AR$279=23), Cultivar_2_Cohort_Year_Selection=$AJ$278,Cultivar_3_Cohort_Year_Selection=$AJ$278), ROUND(MAX(0,AQ$488 - 2),0),
IF(AND(OR(AR$279=123, AR$279=12, AR$279=13, AR$279=1), Cultivar_1_Cohort_Year_Selection=$AJ$278), ROUND(MAX(0,AQ$488 - 1),0),
IF(AND(OR(AR$279=123, AR$279=12, AR$279=23, AR$279=2), Cultivar_2_Cohort_Year_Selection=$AJ$278), ROUND(MAX(0,AQ$488 - 1),0),
IF(AND(OR(AR$279=123, AR$279=13, AR$279=23, AR$279=3), Cultivar_3_Cohort_Year_Selection=$AJ$278), ROUND(MAX(0,AQ$488 - 1),0),
ROUND(MAX(0,AQ$488),0)))))))),""),""),"")</f>
        <v/>
      </c>
      <c r="AS489" s="495" t="str">
        <f>IF(ISNUMBER($B$489),
IF($C489&lt;&gt;"",
IF(AND(ISNUMBER(AR$488), AR$488&gt;0),
IF(AND(AS$279=123, Cultivar_1_Cohort_Year_Selection=$AK$278,Cultivar_2_Cohort_Year_Selection=$AK$278,Cultivar_3_Cohort_Year_Selection=$AK$278), ROUND(MAX(0,AR$488 - 3),0),
IF(AND(OR(AS$279=123, AS$279=12), Cultivar_1_Cohort_Year_Selection=$AK$278,Cultivar_2_Cohort_Year_Selection=$AK$278), ROUND(MAX(0,AR$488 - 2),0),
IF(AND(OR(AS$279=123, AS$279=13), Cultivar_1_Cohort_Year_Selection=$AK$278,Cultivar_3_Cohort_Year_Selection=$AK$278), ROUND(MAX(0,AR$488 - 2),0),
IF(AND(OR(AS$279=123, AS$279=23), Cultivar_2_Cohort_Year_Selection=$AK$278,Cultivar_3_Cohort_Year_Selection=$AK$278), ROUND(MAX(0,AR$488 - 2),0),
IF(AND(OR(AS$279=123, AS$279=12, AS$279=13, AS$279=1), Cultivar_1_Cohort_Year_Selection=$AK$278), ROUND(MAX(0,AR$488 - 1),0),
IF(AND(OR(AS$279=123, AS$279=12, AS$279=23, AS$279=2), Cultivar_2_Cohort_Year_Selection=$AK$278), ROUND(MAX(0,AR$488 - 1),0),
IF(AND(OR(AS$279=123, AS$279=13, AS$279=23, AS$279=3), Cultivar_3_Cohort_Year_Selection=$AK$278), ROUND(MAX(0,AR$488 - 1),0),
ROUND(MAX(0,AR$488),0)))))))),""),""),"")</f>
        <v/>
      </c>
      <c r="AT489" s="495" t="str">
        <f>IF(ISNUMBER($B$489),
IF($C489&lt;&gt;"",
IF(AND(ISNUMBER(AS$488), AS$488&gt;0),
IF(AND(AT$279=123, Cultivar_1_Cohort_Year_Selection=$AL$278,Cultivar_2_Cohort_Year_Selection=$AL$278,Cultivar_3_Cohort_Year_Selection=$AL$278), ROUND(MAX(0,AS$488 - 3),0),
IF(AND(OR(AT$279=123, AT$279=12), Cultivar_1_Cohort_Year_Selection=$AL$278,Cultivar_2_Cohort_Year_Selection=$AL$278), ROUND(MAX(0,AS$488 - 2),0),
IF(AND(OR(AT$279=123, AT$279=13), Cultivar_1_Cohort_Year_Selection=$AL$278,Cultivar_3_Cohort_Year_Selection=$AL$278), ROUND(MAX(0,AS$488 - 2),0),
IF(AND(OR(AT$279=123, AT$279=23), Cultivar_2_Cohort_Year_Selection=$AL$278,Cultivar_3_Cohort_Year_Selection=$AL$278), ROUND(MAX(0,AS$488 - 2),0),
IF(AND(OR(AT$279=123, AT$279=12, AT$279=13, AT$279=1), Cultivar_1_Cohort_Year_Selection=$AL$278), ROUND(MAX(0,AS$488 - 1),0),
IF(AND(OR(AT$279=123, AT$279=12, AT$279=23, AT$279=2), Cultivar_2_Cohort_Year_Selection=$AL$278), ROUND(MAX(0,AS$488 - 1),0),
IF(AND(OR(AT$279=123, AT$279=13, AT$279=23, AT$279=3), Cultivar_3_Cohort_Year_Selection=$AL$278), ROUND(MAX(0,AS$488 - 1),0),
ROUND(MAX(0,AS$488),0)))))))),""),""),"")</f>
        <v/>
      </c>
      <c r="AU489" s="495" t="str">
        <f>IF(ISNUMBER($B$489),
IF($C489&lt;&gt;"",
IF(AND(ISNUMBER(AT$488), AT$488&gt;0),
IF(AND(AU$279=123, Cultivar_1_Cohort_Year_Selection=$AM$278,Cultivar_2_Cohort_Year_Selection=$AM$278,Cultivar_3_Cohort_Year_Selection=$AM$278), ROUND(MAX(0,AT$488 - 3),0),
IF(AND(OR(AU$279=123, AU$279=12), Cultivar_1_Cohort_Year_Selection=$AM$278,Cultivar_2_Cohort_Year_Selection=$AM$278), ROUND(MAX(0,AT$488 - 2),0),
IF(AND(OR(AU$279=123, AU$279=13), Cultivar_1_Cohort_Year_Selection=$AM$278,Cultivar_3_Cohort_Year_Selection=$AM$278), ROUND(MAX(0,AT$488 - 2),0),
IF(AND(OR(AU$279=123, AU$279=23), Cultivar_2_Cohort_Year_Selection=$AM$278,Cultivar_3_Cohort_Year_Selection=$AM$278), ROUND(MAX(0,AT$488 - 2),0),
IF(AND(OR(AU$279=123, AU$279=12, AU$279=13, AU$279=1), Cultivar_1_Cohort_Year_Selection=$AM$278), ROUND(MAX(0,AT$488 - 1),0),
IF(AND(OR(AU$279=123, AU$279=12, AU$279=23, AU$279=2), Cultivar_2_Cohort_Year_Selection=$AM$278), ROUND(MAX(0,AT$488 - 1),0),
IF(AND(OR(AU$279=123, AU$279=13, AU$279=23, AU$279=3), Cultivar_3_Cohort_Year_Selection=$AM$278), ROUND(MAX(0,AT$488 - 1),0),
ROUND(MAX(0,AT$488),0)))))))),""),""),"")</f>
        <v/>
      </c>
      <c r="AV489" s="495" t="str">
        <f>IF(ISNUMBER($B$489),
IF($C489&lt;&gt;"",
IF(AND(ISNUMBER(AU$488), AU$488&gt;0),
IF(AND(AV$279=123, Cultivar_1_Cohort_Year_Selection=$AN$278,Cultivar_2_Cohort_Year_Selection=$AN$278,Cultivar_3_Cohort_Year_Selection=$AN$278), ROUND(MAX(0,AU$488 - 3),0),
IF(AND(OR(AV$279=123, AV$279=12), Cultivar_1_Cohort_Year_Selection=$AN$278,Cultivar_2_Cohort_Year_Selection=$AN$278), ROUND(MAX(0,AU$488 - 2),0),
IF(AND(OR(AV$279=123, AV$279=13), Cultivar_1_Cohort_Year_Selection=$AN$278,Cultivar_3_Cohort_Year_Selection=$AN$278), ROUND(MAX(0,AU$488 - 2),0),
IF(AND(OR(AV$279=123, AV$279=23), Cultivar_2_Cohort_Year_Selection=$AN$278,Cultivar_3_Cohort_Year_Selection=$AN$278), ROUND(MAX(0,AU$488 - 2),0),
IF(AND(OR(AV$279=123, AV$279=12, AV$279=13, AV$279=1), Cultivar_1_Cohort_Year_Selection=$AN$278), ROUND(MAX(0,AU$488 - 1),0),
IF(AND(OR(AV$279=123, AV$279=12, AV$279=23, AV$279=2), Cultivar_2_Cohort_Year_Selection=$AN$278), ROUND(MAX(0,AU$488 - 1),0),
IF(AND(OR(AV$279=123, AV$279=13, AV$279=23, AV$279=3), Cultivar_3_Cohort_Year_Selection=$AN$278), ROUND(MAX(0,AU$488 - 1),0),
ROUND(MAX(0,AU$488),0)))))))),""),""),"")</f>
        <v/>
      </c>
      <c r="AW489" s="495" t="str">
        <f>IF(ISNUMBER($B$489),
IF($C489&lt;&gt;"",
IF(AND(ISNUMBER(AV$488), AV$488&gt;0),
IF(AND(AW$279=123, Cultivar_1_Cohort_Year_Selection=$AO$278,Cultivar_2_Cohort_Year_Selection=$AO$278,Cultivar_3_Cohort_Year_Selection=$AO$278), ROUND(MAX(0,AV$488 - 3),0),
IF(AND(OR(AW$279=123, AW$279=12), Cultivar_1_Cohort_Year_Selection=$AO$278,Cultivar_2_Cohort_Year_Selection=$AO$278), ROUND(MAX(0,AV$488 - 2),0),
IF(AND(OR(AW$279=123, AW$279=13), Cultivar_1_Cohort_Year_Selection=$AO$278,Cultivar_3_Cohort_Year_Selection=$AO$278), ROUND(MAX(0,AV$488 - 2),0),
IF(AND(OR(AW$279=123, AW$279=23), Cultivar_2_Cohort_Year_Selection=$AO$278,Cultivar_3_Cohort_Year_Selection=$AO$278), ROUND(MAX(0,AV$488 - 2),0),
IF(AND(OR(AW$279=123, AW$279=12, AW$279=13, AW$279=1), Cultivar_1_Cohort_Year_Selection=$AO$278), ROUND(MAX(0,AV$488 - 1),0),
IF(AND(OR(AW$279=123, AW$279=12, AW$279=23, AW$279=2), Cultivar_2_Cohort_Year_Selection=$AO$278), ROUND(MAX(0,AV$488 - 1),0),
IF(AND(OR(AW$279=123, AW$279=13, AW$279=23, AW$279=3), Cultivar_3_Cohort_Year_Selection=$AO$278), ROUND(MAX(0,AV$488 - 1),0),
ROUND(MAX(0,AV$488),0)))))))),""),""),"")</f>
        <v/>
      </c>
      <c r="AX489" s="495" t="str">
        <f>IF(ISNUMBER($B$489),
IF($C489&lt;&gt;"",
IF(AND(ISNUMBER(AW$488), AW$488&gt;0),
IF(AND(AX$279=123, Cultivar_1_Cohort_Year_Selection=$AP$278,Cultivar_2_Cohort_Year_Selection=$AP$278,Cultivar_3_Cohort_Year_Selection=$AP$278), ROUND(MAX(0,AW$488 - 3),0),
IF(AND(OR(AX$279=123, AX$279=12), Cultivar_1_Cohort_Year_Selection=$AP$278,Cultivar_2_Cohort_Year_Selection=$AP$278), ROUND(MAX(0,AW$488 - 2),0),
IF(AND(OR(AX$279=123, AX$279=13), Cultivar_1_Cohort_Year_Selection=$AP$278,Cultivar_3_Cohort_Year_Selection=$AP$278), ROUND(MAX(0,AW$488 - 2),0),
IF(AND(OR(AX$279=123, AX$279=23), Cultivar_2_Cohort_Year_Selection=$AP$278,Cultivar_3_Cohort_Year_Selection=$AP$278), ROUND(MAX(0,AW$488 - 2),0),
IF(AND(OR(AX$279=123, AX$279=12, AX$279=13, AX$279=1), Cultivar_1_Cohort_Year_Selection=$AP$278), ROUND(MAX(0,AW$488 - 1),0),
IF(AND(OR(AX$279=123, AX$279=12, AX$279=23, AX$279=2), Cultivar_2_Cohort_Year_Selection=$AP$278), ROUND(MAX(0,AW$488 - 1),0),
IF(AND(OR(AX$279=123, AX$279=13, AX$279=23, AX$279=3), Cultivar_3_Cohort_Year_Selection=$AP$278), ROUND(MAX(0,AW$488 - 1),0),
ROUND(MAX(0,AW$488),0)))))))),""),""),"")</f>
        <v/>
      </c>
    </row>
    <row r="490" spans="1:50" x14ac:dyDescent="0.25">
      <c r="A490" s="518"/>
      <c r="B490" s="504"/>
      <c r="C490" s="521"/>
      <c r="D490" s="94" t="str">
        <f>IF(AND(C489&lt;&gt;"", 'Cost Inputs'!$G$106&lt;&gt;""), 'Cost Inputs'!$G$106, "")</f>
        <v/>
      </c>
      <c r="E490" s="94" t="str">
        <f>IF(AND(C489&lt;&gt;"", 'Cost Inputs'!H301&lt;&gt;""), 'Cost Inputs'!H301, "")</f>
        <v/>
      </c>
      <c r="F490" s="492"/>
      <c r="G490" s="102" t="str">
        <f t="shared" si="333"/>
        <v/>
      </c>
      <c r="H490" s="492"/>
      <c r="I490" s="102" t="str">
        <f>IF($C489&lt;&gt;"", IF(AND($E490&lt;&gt;"", H489&lt;&gt;""), H489/($E489*$E490), 0), "")</f>
        <v/>
      </c>
      <c r="J490" s="492" t="str">
        <f>IF(AND(C490&lt;&gt;"",('Cost Inputs'!$I$86+'Cost Inputs'!$J$86+'Cost Inputs'!$K$86)&gt;0), 'Cost Inputs'!$I$86+'Cost Inputs'!$J$86+'Cost Inputs'!$K$86, "")</f>
        <v/>
      </c>
      <c r="K490" s="102" t="str">
        <f>IF($C489&lt;&gt;"", IF(AND($E490&lt;&gt;"", J489&lt;&gt;""), J489/($E489*$E490), 0), "")</f>
        <v/>
      </c>
      <c r="L490" s="525"/>
      <c r="M490" s="525"/>
      <c r="W490" s="496" t="str">
        <f t="shared" ref="W490" si="334">IF(ISNUMBER($B$345),
IF($C490&lt;&gt;"",
IF(AND(ISNUMBER(V$368), V$368&gt;0),
IF(AND(W$279=123, Cultivar_1_Cohort_Year_Selection=$O$278,Cultivar_2_Cohort_Year_Selection=$O$278,Cultivar_3_Cohort_Year_Selection=$O$278), ROUND(MAX(0,V$368 - 3),0),
IF(AND(OR(W$279=123, W$279=12), Cultivar_1_Cohort_Year_Selection=$O$278,Cultivar_2_Cohort_Year_Selection=$O$278), ROUND(MAX(0,V$368 - 2),0),
IF(AND(OR(W$279=123, W$279=13), Cultivar_1_Cohort_Year_Selection=$O$278,Cultivar_3_Cohort_Year_Selection=$O$278), ROUND(MAX(0,V$368 - 2),0),
IF(AND(OR(W$279=123, W$279=23), Cultivar_2_Cohort_Year_Selection=$O$278,Cultivar_3_Cohort_Year_Selection=$O$278), ROUND(MAX(0,V$368 - 2),0),
IF(AND(OR(W$279=123, W$279=12, W$279=13, W$279=1), Cultivar_1_Cohort_Year_Selection=$O$278), ROUND(MAX(0,V$368 - 1),0),
IF(AND(OR(W$279=123, W$279=12, W$279=23, W$279=2), Cultivar_2_Cohort_Year_Selection=$O$278), ROUND(MAX(0,V$368 - 1),0),
IF(AND(OR(W$279=123, W$279=13, W$279=23, W$279=3), Cultivar_3_Cohort_Year_Selection=$O$278), ROUND(MAX(0,V$368 - 1),0),
ROUND(MAX(0,V$368),0)))))))),""),""),"")</f>
        <v/>
      </c>
      <c r="X490" s="496" t="str">
        <f t="shared" ref="X490:AX490" si="335">IF(ISNUMBER($B$345),
IF($C490&lt;&gt;"",
IF(AND(ISNUMBER(W$368), W$368&gt;0),
IF(AND(X$279=123, Cultivar_1_Cohort_Year_Selection=$O$278,Cultivar_2_Cohort_Year_Selection=$O$278,Cultivar_3_Cohort_Year_Selection=$O$278), ROUND(MAX(0,W$368 - 3),0),
IF(AND(OR(X$279=123, X$279=12), Cultivar_1_Cohort_Year_Selection=$O$278,Cultivar_2_Cohort_Year_Selection=$O$278), ROUND(MAX(0,W$368 - 2),0),
IF(AND(OR(X$279=123, X$279=13), Cultivar_1_Cohort_Year_Selection=$O$278,Cultivar_3_Cohort_Year_Selection=$O$278), ROUND(MAX(0,W$368 - 2),0),
IF(AND(OR(X$279=123, X$279=23), Cultivar_2_Cohort_Year_Selection=$O$278,Cultivar_3_Cohort_Year_Selection=$O$278), ROUND(MAX(0,W$368 - 2),0),
IF(AND(OR(X$279=123, X$279=12, X$279=13, X$279=1), Cultivar_1_Cohort_Year_Selection=$O$278), ROUND(MAX(0,W$368 - 1),0),
IF(AND(OR(X$279=123, X$279=12, X$279=23, X$279=2), Cultivar_2_Cohort_Year_Selection=$O$278), ROUND(MAX(0,W$368 - 1),0),
IF(AND(OR(X$279=123, X$279=13, X$279=23, X$279=3), Cultivar_3_Cohort_Year_Selection=$O$278), ROUND(MAX(0,W$368 - 1),0),
ROUND(MAX(0,W$368),0)))))))),""),""),"")</f>
        <v/>
      </c>
      <c r="Y490" s="496" t="str">
        <f t="shared" si="335"/>
        <v/>
      </c>
      <c r="Z490" s="496" t="str">
        <f t="shared" si="335"/>
        <v/>
      </c>
      <c r="AA490" s="496" t="str">
        <f t="shared" si="335"/>
        <v/>
      </c>
      <c r="AB490" s="496" t="str">
        <f t="shared" si="335"/>
        <v/>
      </c>
      <c r="AC490" s="496" t="str">
        <f t="shared" si="335"/>
        <v/>
      </c>
      <c r="AD490" s="496" t="str">
        <f t="shared" si="335"/>
        <v/>
      </c>
      <c r="AE490" s="496" t="str">
        <f t="shared" si="335"/>
        <v/>
      </c>
      <c r="AF490" s="496" t="str">
        <f t="shared" si="335"/>
        <v/>
      </c>
      <c r="AG490" s="496" t="str">
        <f t="shared" si="335"/>
        <v/>
      </c>
      <c r="AH490" s="496" t="str">
        <f t="shared" si="335"/>
        <v/>
      </c>
      <c r="AI490" s="496" t="str">
        <f t="shared" si="335"/>
        <v/>
      </c>
      <c r="AJ490" s="496" t="str">
        <f t="shared" si="335"/>
        <v/>
      </c>
      <c r="AK490" s="496" t="str">
        <f t="shared" si="335"/>
        <v/>
      </c>
      <c r="AL490" s="496" t="str">
        <f t="shared" si="335"/>
        <v/>
      </c>
      <c r="AM490" s="496" t="str">
        <f t="shared" si="335"/>
        <v/>
      </c>
      <c r="AN490" s="496" t="str">
        <f t="shared" si="335"/>
        <v/>
      </c>
      <c r="AO490" s="496" t="str">
        <f t="shared" si="335"/>
        <v/>
      </c>
      <c r="AP490" s="496" t="str">
        <f t="shared" si="335"/>
        <v/>
      </c>
      <c r="AQ490" s="496" t="str">
        <f t="shared" si="335"/>
        <v/>
      </c>
      <c r="AR490" s="496" t="str">
        <f t="shared" si="335"/>
        <v/>
      </c>
      <c r="AS490" s="496" t="str">
        <f t="shared" si="335"/>
        <v/>
      </c>
      <c r="AT490" s="496" t="str">
        <f t="shared" si="335"/>
        <v/>
      </c>
      <c r="AU490" s="496" t="str">
        <f t="shared" si="335"/>
        <v/>
      </c>
      <c r="AV490" s="496" t="str">
        <f t="shared" si="335"/>
        <v/>
      </c>
      <c r="AW490" s="496" t="str">
        <f t="shared" si="335"/>
        <v/>
      </c>
      <c r="AX490" s="496" t="str">
        <f t="shared" si="335"/>
        <v/>
      </c>
    </row>
    <row r="491" spans="1:50" x14ac:dyDescent="0.25">
      <c r="A491" s="518"/>
      <c r="B491" s="504"/>
      <c r="C491" s="104" t="str">
        <f>IF(AND(ISNUMBER(B489), OR('Cost Inputs'!$H$107&lt;&gt;"", 'Cost Inputs'!$I$107&lt;&gt;"", 'Cost Inputs'!$J$107&lt;&gt;"")), _4_3_1, "")</f>
        <v/>
      </c>
      <c r="D491" s="17" t="str">
        <f>IF(AND(C491&lt;&gt;"", 'Cost Inputs'!$G$107&lt;&gt;""), 'Cost Inputs'!$G$107, "")</f>
        <v/>
      </c>
      <c r="E491" s="17" t="str">
        <f>IF(AND(C491&lt;&gt;"", 'Cost Inputs'!$H$107&lt;&gt;""), 'Cost Inputs'!$H$107, "")</f>
        <v/>
      </c>
      <c r="F491" s="17" t="str">
        <f>IF(AND(C491&lt;&gt;"", 'Cost Inputs'!$I$107&lt;&gt;""), 'Cost Inputs'!$I$107, "")</f>
        <v/>
      </c>
      <c r="G491" s="105" t="str">
        <f t="shared" si="333"/>
        <v/>
      </c>
      <c r="H491" s="17" t="str">
        <f>IF(AND(C491&lt;&gt;"", 'Cost Inputs'!$J$107&lt;&gt;""), 'Cost Inputs'!$J$107, "")</f>
        <v/>
      </c>
      <c r="I491" s="17" t="str">
        <f t="shared" ref="I491:I499" si="336">IF($C491&lt;&gt;"", IF(AND($E491&lt;&gt;"", H491&lt;&gt;""), H491/$E491, 0),"")</f>
        <v/>
      </c>
      <c r="J491" s="17" t="str">
        <f>IF(AND(C491&lt;&gt;"",('Cost Inputs'!$I$107+'Cost Inputs'!$J$107+'Cost Inputs'!$K$107)&gt;0), 'Cost Inputs'!$I$107+'Cost Inputs'!$J$107+'Cost Inputs'!$K$107, "")</f>
        <v/>
      </c>
      <c r="K491" s="17" t="str">
        <f t="shared" ref="K491:K499" si="337">IF($C491&lt;&gt;"", IF(AND($E491&lt;&gt;"", J491&lt;&gt;""), J491/$E491, 0),"")</f>
        <v/>
      </c>
      <c r="L491" s="525"/>
      <c r="M491" s="525"/>
      <c r="W491" s="17" t="str">
        <f t="shared" ref="W491:W499" si="338">IF(ISNUMBER($B$489),
IF($C491&lt;&gt;"",
IF(AND(ISNUMBER(V$488), V$488&gt;0),
IF(AND(W$279=123, Cultivar_1_Cohort_Year_Selection=$O$278,Cultivar_2_Cohort_Year_Selection=$O$278,Cultivar_3_Cohort_Year_Selection=$O$278), ROUND(MAX(0,V$488 - 3),0),
IF(AND(OR(W$279=123, W$279=12), Cultivar_1_Cohort_Year_Selection=$O$278,Cultivar_2_Cohort_Year_Selection=$O$278), ROUND(MAX(0,V$488 - 2),0),
IF(AND(OR(W$279=123, W$279=13), Cultivar_1_Cohort_Year_Selection=$O$278,Cultivar_3_Cohort_Year_Selection=$O$278), ROUND(MAX(0,V$488 - 2),0),
IF(AND(OR(W$279=123, W$279=23), Cultivar_2_Cohort_Year_Selection=$O$278,Cultivar_3_Cohort_Year_Selection=$O$278), ROUND(MAX(0,V$488 - 2),0),
IF(AND(OR(W$279=123, W$279=12, W$279=13, W$279=1), Cultivar_1_Cohort_Year_Selection=$O$278), ROUND(MAX(0,V$488 - 1),0),
IF(AND(OR(W$279=123, W$279=12, W$279=23, W$279=2), Cultivar_2_Cohort_Year_Selection=$O$278), ROUND(MAX(0,V$488 - 1),0),
IF(AND(OR(W$279=123, W$279=13, W$279=23, W$279=3), Cultivar_3_Cohort_Year_Selection=$O$278), ROUND(MAX(0,V$488 - 1),0),
ROUND(MAX(0,V$488),0)))))))),""),""),"")</f>
        <v/>
      </c>
      <c r="X491" s="17" t="str">
        <f t="shared" ref="X491:X499" si="339">IF(ISNUMBER($B$489),
IF($C491&lt;&gt;"",
IF(AND(ISNUMBER(W$488), W$488&gt;0),
IF(AND(X$279=123, Cultivar_1_Cohort_Year_Selection=$P$278,Cultivar_2_Cohort_Year_Selection=$P$278,Cultivar_3_Cohort_Year_Selection=$P$278), ROUND(MAX(0,W$488 - 3),0),
IF(AND(OR(X$279=123, X$279=12), Cultivar_1_Cohort_Year_Selection=$P$278,Cultivar_2_Cohort_Year_Selection=$P$278), ROUND(MAX(0,W$488 - 2),0),
IF(AND(OR(X$279=123, X$279=13), Cultivar_1_Cohort_Year_Selection=$P$278,Cultivar_3_Cohort_Year_Selection=$P$278), ROUND(MAX(0,W$488 - 2),0),
IF(AND(OR(X$279=123, X$279=23), Cultivar_2_Cohort_Year_Selection=$P$278,Cultivar_3_Cohort_Year_Selection=$P$278), ROUND(MAX(0,W$488 - 2),0),
IF(AND(OR(X$279=123, X$279=12, X$279=13, X$279=1), Cultivar_1_Cohort_Year_Selection=$P$278), ROUND(MAX(0,W$488 - 1),0),
IF(AND(OR(X$279=123, X$279=12, X$279=23, X$279=2), Cultivar_2_Cohort_Year_Selection=$P$278), ROUND(MAX(0,W$488 - 1),0),
IF(AND(OR(X$279=123, X$279=13, X$279=23, X$279=3), Cultivar_3_Cohort_Year_Selection=$P$278), ROUND(MAX(0,W$488 - 1),0),
ROUND(MAX(0,W$488),0)))))))),""),""),"")</f>
        <v/>
      </c>
      <c r="Y491" s="17" t="str">
        <f t="shared" ref="Y491:Y499" si="340">IF(ISNUMBER($B$489),
IF($C491&lt;&gt;"",
IF(AND(ISNUMBER(X$488), X$488&gt;0),
IF(AND(Y$279=123, Cultivar_1_Cohort_Year_Selection=$Q$278,Cultivar_2_Cohort_Year_Selection=$Q$278,Cultivar_3_Cohort_Year_Selection=$Q$278), ROUND(MAX(0,X$488 - 3),0),
IF(AND(OR(Y$279=123, Y$279=12), Cultivar_1_Cohort_Year_Selection=$Q$278,Cultivar_2_Cohort_Year_Selection=$Q$278), ROUND(MAX(0,X$488 - 2),0),
IF(AND(OR(Y$279=123, Y$279=13), Cultivar_1_Cohort_Year_Selection=$Q$278,Cultivar_3_Cohort_Year_Selection=$Q$278), ROUND(MAX(0,X$488 - 2),0),
IF(AND(OR(Y$279=123, Y$279=23), Cultivar_2_Cohort_Year_Selection=$Q$278,Cultivar_3_Cohort_Year_Selection=$Q$278), ROUND(MAX(0,X$488 - 2),0),
IF(AND(OR(Y$279=123, Y$279=12, Y$279=13, Y$279=1), Cultivar_1_Cohort_Year_Selection=$Q$278), ROUND(MAX(0,X$488 - 1),0),
IF(AND(OR(Y$279=123, Y$279=12, Y$279=23, Y$279=2), Cultivar_2_Cohort_Year_Selection=$Q$278), ROUND(MAX(0,X$488 - 1),0),
IF(AND(OR(Y$279=123, Y$279=13, Y$279=23, Y$279=3), Cultivar_3_Cohort_Year_Selection=$Q$278), ROUND(MAX(0,X$488 - 1),0),
ROUND(MAX(0,X$488),0)))))))),""),""),"")</f>
        <v/>
      </c>
      <c r="Z491" s="17" t="str">
        <f t="shared" ref="Z491:Z499" si="341">IF(ISNUMBER($B$489),
IF($C491&lt;&gt;"",
IF(AND(ISNUMBER(Y$488), Y$488&gt;0),
IF(AND(Z$279=123, Cultivar_1_Cohort_Year_Selection=$R$278,Cultivar_2_Cohort_Year_Selection=$R$278,Cultivar_3_Cohort_Year_Selection=$R$278), ROUND(MAX(0,Y$488 - 3),0),
IF(AND(OR(Z$279=123, Z$279=12), Cultivar_1_Cohort_Year_Selection=$R$278,Cultivar_2_Cohort_Year_Selection=$R$278), ROUND(MAX(0,Y$488 - 2),0),
IF(AND(OR(Z$279=123, Z$279=13), Cultivar_1_Cohort_Year_Selection=$R$278,Cultivar_3_Cohort_Year_Selection=$R$278), ROUND(MAX(0,Y$488 - 2),0),
IF(AND(OR(Z$279=123, Z$279=23), Cultivar_2_Cohort_Year_Selection=$R$278,Cultivar_3_Cohort_Year_Selection=$R$278), ROUND(MAX(0,Y$488 - 2),0),
IF(AND(OR(Z$279=123, Z$279=12, Z$279=13, Z$279=1), Cultivar_1_Cohort_Year_Selection=$R$278), ROUND(MAX(0,Y$488 - 1),0),
IF(AND(OR(Z$279=123, Z$279=12, Z$279=23, Z$279=2), Cultivar_2_Cohort_Year_Selection=$R$278), ROUND(MAX(0,Y$488 - 1),0),
IF(AND(OR(Z$279=123, Z$279=13, Z$279=23, Z$279=3), Cultivar_3_Cohort_Year_Selection=$R$278), ROUND(MAX(0,Y$488 - 1),0),
ROUND(MAX(0,Y$488),0)))))))),""),""),"")</f>
        <v/>
      </c>
      <c r="AA491" s="17" t="str">
        <f t="shared" ref="AA491:AA499" si="342">IF(ISNUMBER($B$489),
IF($C491&lt;&gt;"",
IF(AND(ISNUMBER(Z$488), Z$488&gt;0),
IF(AND(AA$279=123, Cultivar_1_Cohort_Year_Selection=$S$278,Cultivar_2_Cohort_Year_Selection=$S$278,Cultivar_3_Cohort_Year_Selection=$S$278), ROUND(MAX(0,Z$488 - 3),0),
IF(AND(OR(AA$279=123, AA$279=12), Cultivar_1_Cohort_Year_Selection=$S$278,Cultivar_2_Cohort_Year_Selection=$S$278), ROUND(MAX(0,Z$488 - 2),0),
IF(AND(OR(AA$279=123, AA$279=13), Cultivar_1_Cohort_Year_Selection=$S$278,Cultivar_3_Cohort_Year_Selection=$S$278), ROUND(MAX(0,Z$488 - 2),0),
IF(AND(OR(AA$279=123, AA$279=23), Cultivar_2_Cohort_Year_Selection=$S$278,Cultivar_3_Cohort_Year_Selection=$S$278), ROUND(MAX(0,Z$488 - 2),0),
IF(AND(OR(AA$279=123, AA$279=12, AA$279=13, AA$279=1), Cultivar_1_Cohort_Year_Selection=$S$278), ROUND(MAX(0,Z$488 - 1),0),
IF(AND(OR(AA$279=123, AA$279=12, AA$279=23, AA$279=2), Cultivar_2_Cohort_Year_Selection=$S$278), ROUND(MAX(0,Z$488 - 1),0),
IF(AND(OR(AA$279=123, AA$279=13, AA$279=23, AA$279=3), Cultivar_3_Cohort_Year_Selection=$S$278), ROUND(MAX(0,Z$488 - 1),0),
ROUND(MAX(0,Z$488),0)))))))),""),""),"")</f>
        <v/>
      </c>
      <c r="AB491" s="17" t="str">
        <f t="shared" ref="AB491:AB499" si="343">IF(ISNUMBER($B$489),
IF($C491&lt;&gt;"",
IF(AND(ISNUMBER(AA$488), AA$488&gt;0),
IF(AND(AB$279=123, Cultivar_1_Cohort_Year_Selection=$T$278,Cultivar_2_Cohort_Year_Selection=$T$278,Cultivar_3_Cohort_Year_Selection=$T$278), ROUND(MAX(0,AA$488 - 3),0),
IF(AND(OR(AB$279=123, AB$279=12), Cultivar_1_Cohort_Year_Selection=$T$278,Cultivar_2_Cohort_Year_Selection=$T$278), ROUND(MAX(0,AA$488 - 2),0),
IF(AND(OR(AB$279=123, AB$279=13), Cultivar_1_Cohort_Year_Selection=$T$278,Cultivar_3_Cohort_Year_Selection=$T$278), ROUND(MAX(0,AA$488 - 2),0),
IF(AND(OR(AB$279=123, AB$279=23), Cultivar_2_Cohort_Year_Selection=$T$278,Cultivar_3_Cohort_Year_Selection=$T$278), ROUND(MAX(0,AA$488 - 2),0),
IF(AND(OR(AB$279=123, AB$279=12, AB$279=13, AB$279=1), Cultivar_1_Cohort_Year_Selection=$T$278), ROUND(MAX(0,AA$488 - 1),0),
IF(AND(OR(AB$279=123, AB$279=12, AB$279=23, AB$279=2), Cultivar_2_Cohort_Year_Selection=$T$278), ROUND(MAX(0,AA$488 - 1),0),
IF(AND(OR(AB$279=123, AB$279=13, AB$279=23, AB$279=3), Cultivar_3_Cohort_Year_Selection=$T$278), ROUND(MAX(0,AA$488 - 1),0),
ROUND(MAX(0,AA$488),0)))))))),""),""),"")</f>
        <v/>
      </c>
      <c r="AC491" s="17" t="str">
        <f t="shared" ref="AC491:AC499" si="344">IF(ISNUMBER($B$489),
IF($C491&lt;&gt;"",
IF(AND(ISNUMBER(AB$488), AB$488&gt;0),
IF(AND(AC$279=123, Cultivar_1_Cohort_Year_Selection=$U$278,Cultivar_2_Cohort_Year_Selection=$U$278,Cultivar_3_Cohort_Year_Selection=$U$278), ROUND(MAX(0,AB$488 - 3),0),
IF(AND(OR(AC$279=123, AC$279=12), Cultivar_1_Cohort_Year_Selection=$U$278,Cultivar_2_Cohort_Year_Selection=$U$278), ROUND(MAX(0,AB$488 - 2),0),
IF(AND(OR(AC$279=123, AC$279=13), Cultivar_1_Cohort_Year_Selection=$U$278,Cultivar_3_Cohort_Year_Selection=$U$278), ROUND(MAX(0,AB$488 - 2),0),
IF(AND(OR(AC$279=123, AC$279=23), Cultivar_2_Cohort_Year_Selection=$U$278,Cultivar_3_Cohort_Year_Selection=$U$278), ROUND(MAX(0,AB$488 - 2),0),
IF(AND(OR(AC$279=123, AC$279=12, AC$279=13, AC$279=1), Cultivar_1_Cohort_Year_Selection=$U$278), ROUND(MAX(0,AB$488 - 1),0),
IF(AND(OR(AC$279=123, AC$279=12, AC$279=23, AC$279=2), Cultivar_2_Cohort_Year_Selection=$U$278), ROUND(MAX(0,AB$488 - 1),0),
IF(AND(OR(AC$279=123, AC$279=13, AC$279=23, AC$279=3), Cultivar_3_Cohort_Year_Selection=$U$278), ROUND(MAX(0,AB$488 - 1),0),
ROUND(MAX(0,AB$488),0)))))))),""),""),"")</f>
        <v/>
      </c>
      <c r="AD491" s="17" t="str">
        <f t="shared" ref="AD491:AD499" si="345">IF(ISNUMBER($B$489),
IF($C491&lt;&gt;"",
IF(AND(ISNUMBER(AC$488), AC$488&gt;0),
IF(AND(AD$279=123, Cultivar_1_Cohort_Year_Selection=$V$278,Cultivar_2_Cohort_Year_Selection=$V$278,Cultivar_3_Cohort_Year_Selection=$V$278), ROUND(MAX(0,AC$488 - 3),0),
IF(AND(OR(AD$279=123, AD$279=12), Cultivar_1_Cohort_Year_Selection=$V$278,Cultivar_2_Cohort_Year_Selection=$V$278), ROUND(MAX(0,AC$488 - 2),0),
IF(AND(OR(AD$279=123, AD$279=13), Cultivar_1_Cohort_Year_Selection=$V$278,Cultivar_3_Cohort_Year_Selection=$V$278), ROUND(MAX(0,AC$488 - 2),0),
IF(AND(OR(AD$279=123, AD$279=23), Cultivar_2_Cohort_Year_Selection=$V$278,Cultivar_3_Cohort_Year_Selection=$V$278), ROUND(MAX(0,AC$488 - 2),0),
IF(AND(OR(AD$279=123, AD$279=12, AD$279=13, AD$279=1), Cultivar_1_Cohort_Year_Selection=$V$278), ROUND(MAX(0,AC$488 - 1),0),
IF(AND(OR(AD$279=123, AD$279=12, AD$279=23, AD$279=2), Cultivar_2_Cohort_Year_Selection=$V$278), ROUND(MAX(0,AC$488 - 1),0),
IF(AND(OR(AD$279=123, AD$279=13, AD$279=23, AD$279=3), Cultivar_3_Cohort_Year_Selection=$V$278), ROUND(MAX(0,AC$488 - 1),0),
ROUND(MAX(0,AC$488),0)))))))),""),""),"")</f>
        <v/>
      </c>
      <c r="AE491" s="17" t="str">
        <f t="shared" ref="AE491:AE499" si="346">IF(ISNUMBER($B$489),
IF($C491&lt;&gt;"",
IF(AND(ISNUMBER(AD$488), AD$488&gt;0),
IF(AND(AE$279=123, Cultivar_1_Cohort_Year_Selection=$W$278,Cultivar_2_Cohort_Year_Selection=$W$278,Cultivar_3_Cohort_Year_Selection=$W$278), ROUND(MAX(0,AD$488 - 3),0),
IF(AND(OR(AE$279=123, AE$279=12), Cultivar_1_Cohort_Year_Selection=$W$278,Cultivar_2_Cohort_Year_Selection=$W$278), ROUND(MAX(0,AD$488 - 2),0),
IF(AND(OR(AE$279=123, AE$279=13), Cultivar_1_Cohort_Year_Selection=$W$278,Cultivar_3_Cohort_Year_Selection=$W$278), ROUND(MAX(0,AD$488 - 2),0),
IF(AND(OR(AE$279=123, AE$279=23), Cultivar_2_Cohort_Year_Selection=$W$278,Cultivar_3_Cohort_Year_Selection=$W$278), ROUND(MAX(0,AD$488 - 2),0),
IF(AND(OR(AE$279=123, AE$279=12, AE$279=13, AE$279=1), Cultivar_1_Cohort_Year_Selection=$W$278), ROUND(MAX(0,AD$488 - 1),0),
IF(AND(OR(AE$279=123, AE$279=12, AE$279=23, AE$279=2), Cultivar_2_Cohort_Year_Selection=$W$278), ROUND(MAX(0,AD$488 - 1),0),
IF(AND(OR(AE$279=123, AE$279=13, AE$279=23, AE$279=3), Cultivar_3_Cohort_Year_Selection=$W$278), ROUND(MAX(0,AD$488 - 1),0),
ROUND(MAX(0,AD$488),0)))))))),""),""),"")</f>
        <v/>
      </c>
      <c r="AF491" s="17" t="str">
        <f t="shared" ref="AF491:AF499" si="347">IF(ISNUMBER($B$489),
IF($C491&lt;&gt;"",
IF(AND(ISNUMBER(AE$488), AE$488&gt;0),
IF(AND(AF$279=123, Cultivar_1_Cohort_Year_Selection=$X$278,Cultivar_2_Cohort_Year_Selection=$X$278,Cultivar_3_Cohort_Year_Selection=$X$278), ROUND(MAX(0,AE$488 - 3),0),
IF(AND(OR(AF$279=123, AF$279=12), Cultivar_1_Cohort_Year_Selection=$X$278,Cultivar_2_Cohort_Year_Selection=$X$278), ROUND(MAX(0,AE$488 - 2),0),
IF(AND(OR(AF$279=123, AF$279=13), Cultivar_1_Cohort_Year_Selection=$X$278,Cultivar_3_Cohort_Year_Selection=$X$278), ROUND(MAX(0,AE$488 - 2),0),
IF(AND(OR(AF$279=123, AF$279=23), Cultivar_2_Cohort_Year_Selection=$X$278,Cultivar_3_Cohort_Year_Selection=$X$278), ROUND(MAX(0,AE$488 - 2),0),
IF(AND(OR(AF$279=123, AF$279=12, AF$279=13, AF$279=1), Cultivar_1_Cohort_Year_Selection=$X$278), ROUND(MAX(0,AE$488 - 1),0),
IF(AND(OR(AF$279=123, AF$279=12, AF$279=23, AF$279=2), Cultivar_2_Cohort_Year_Selection=$X$278), ROUND(MAX(0,AE$488 - 1),0),
IF(AND(OR(AF$279=123, AF$279=13, AF$279=23, AF$279=3), Cultivar_3_Cohort_Year_Selection=$X$278), ROUND(MAX(0,AE$488 - 1),0),
ROUND(MAX(0,AE$488),0)))))))),""),""),"")</f>
        <v/>
      </c>
      <c r="AG491" s="17" t="str">
        <f t="shared" ref="AG491:AG499" si="348">IF(ISNUMBER($B$489),
IF($C491&lt;&gt;"",
IF(AND(ISNUMBER(AF$488), AF$488&gt;0),
IF(AND(AG$279=123, Cultivar_1_Cohort_Year_Selection=$Y$278,Cultivar_2_Cohort_Year_Selection=$Y$278,Cultivar_3_Cohort_Year_Selection=$Y$278), ROUND(MAX(0,AF$488 - 3),0),
IF(AND(OR(AG$279=123, AG$279=12), Cultivar_1_Cohort_Year_Selection=$Y$278,Cultivar_2_Cohort_Year_Selection=$Y$278), ROUND(MAX(0,AF$488 - 2),0),
IF(AND(OR(AG$279=123, AG$279=13), Cultivar_1_Cohort_Year_Selection=$Y$278,Cultivar_3_Cohort_Year_Selection=$Y$278), ROUND(MAX(0,AF$488 - 2),0),
IF(AND(OR(AG$279=123, AG$279=23), Cultivar_2_Cohort_Year_Selection=$Y$278,Cultivar_3_Cohort_Year_Selection=$Y$278), ROUND(MAX(0,AF$488 - 2),0),
IF(AND(OR(AG$279=123, AG$279=12, AG$279=13, AG$279=1), Cultivar_1_Cohort_Year_Selection=$Y$278), ROUND(MAX(0,AF$488 - 1),0),
IF(AND(OR(AG$279=123, AG$279=12, AG$279=23, AG$279=2), Cultivar_2_Cohort_Year_Selection=$Y$278), ROUND(MAX(0,AF$488 - 1),0),
IF(AND(OR(AG$279=123, AG$279=13, AG$279=23, AG$279=3), Cultivar_3_Cohort_Year_Selection=$Y$278), ROUND(MAX(0,AF$488 - 1),0),
ROUND(MAX(0,AF$488),0)))))))),""),""),"")</f>
        <v/>
      </c>
      <c r="AH491" s="17" t="str">
        <f t="shared" ref="AH491:AH499" si="349">IF(ISNUMBER($B$489),
IF($C491&lt;&gt;"",
IF(AND(ISNUMBER(AG$488), AG$488&gt;0),
IF(AND(AH$279=123, Cultivar_1_Cohort_Year_Selection=$Z$278,Cultivar_2_Cohort_Year_Selection=$Z$278,Cultivar_3_Cohort_Year_Selection=$Z$278), ROUND(MAX(0,AG$488 - 3),0),
IF(AND(OR(AH$279=123, AH$279=12), Cultivar_1_Cohort_Year_Selection=$Z$278,Cultivar_2_Cohort_Year_Selection=$Z$278), ROUND(MAX(0,AG$488 - 2),0),
IF(AND(OR(AH$279=123, AH$279=13), Cultivar_1_Cohort_Year_Selection=$Z$278,Cultivar_3_Cohort_Year_Selection=$Z$278), ROUND(MAX(0,AG$488 - 2),0),
IF(AND(OR(AH$279=123, AH$279=23), Cultivar_2_Cohort_Year_Selection=$Z$278,Cultivar_3_Cohort_Year_Selection=$Z$278), ROUND(MAX(0,AG$488 - 2),0),
IF(AND(OR(AH$279=123, AH$279=12, AH$279=13, AH$279=1), Cultivar_1_Cohort_Year_Selection=$Z$278), ROUND(MAX(0,AG$488 - 1),0),
IF(AND(OR(AH$279=123, AH$279=12, AH$279=23, AH$279=2), Cultivar_2_Cohort_Year_Selection=$Z$278), ROUND(MAX(0,AG$488 - 1),0),
IF(AND(OR(AH$279=123, AH$279=13, AH$279=23, AH$279=3), Cultivar_3_Cohort_Year_Selection=$Z$278), ROUND(MAX(0,AG$488 - 1),0),
ROUND(MAX(0,AG$488),0)))))))),""),""),"")</f>
        <v/>
      </c>
      <c r="AI491" s="17" t="str">
        <f t="shared" ref="AI491:AI499" si="350">IF(ISNUMBER($B$489),
IF($C491&lt;&gt;"",
IF(AND(ISNUMBER(AH$488), AH$488&gt;0),
IF(AND(AI$279=123, Cultivar_1_Cohort_Year_Selection=$AA$278,Cultivar_2_Cohort_Year_Selection=$AA$278,Cultivar_3_Cohort_Year_Selection=$AA$278), ROUND(MAX(0,AH$488 - 3),0),
IF(AND(OR(AI$279=123, AI$279=12), Cultivar_1_Cohort_Year_Selection=$AA$278,Cultivar_2_Cohort_Year_Selection=$AA$278), ROUND(MAX(0,AH$488 - 2),0),
IF(AND(OR(AI$279=123, AI$279=13), Cultivar_1_Cohort_Year_Selection=$AA$278,Cultivar_3_Cohort_Year_Selection=$AA$278), ROUND(MAX(0,AH$488 - 2),0),
IF(AND(OR(AI$279=123, AI$279=23), Cultivar_2_Cohort_Year_Selection=$AA$278,Cultivar_3_Cohort_Year_Selection=$AA$278), ROUND(MAX(0,AH$488 - 2),0),
IF(AND(OR(AI$279=123, AI$279=12, AI$279=13, AI$279=1), Cultivar_1_Cohort_Year_Selection=$AA$278), ROUND(MAX(0,AH$488 - 1),0),
IF(AND(OR(AI$279=123, AI$279=12, AI$279=23, AI$279=2), Cultivar_2_Cohort_Year_Selection=$AA$278), ROUND(MAX(0,AH$488 - 1),0),
IF(AND(OR(AI$279=123, AI$279=13, AI$279=23, AI$279=3), Cultivar_3_Cohort_Year_Selection=$AA$278), ROUND(MAX(0,AH$488 - 1),0),
ROUND(MAX(0,AH$488),0)))))))),""),""),"")</f>
        <v/>
      </c>
      <c r="AJ491" s="17" t="str">
        <f t="shared" ref="AJ491:AJ499" si="351">IF(ISNUMBER($B$489),
IF($C491&lt;&gt;"",
IF(AND(ISNUMBER(AI$488), AI$488&gt;0),
IF(AND(AJ$279=123, Cultivar_1_Cohort_Year_Selection=$AB$278,Cultivar_2_Cohort_Year_Selection=$AB$278,Cultivar_3_Cohort_Year_Selection=$AB$278), ROUND(MAX(0,AI$488 - 3),0),
IF(AND(OR(AJ$279=123, AJ$279=12), Cultivar_1_Cohort_Year_Selection=$AB$278,Cultivar_2_Cohort_Year_Selection=$AB$278), ROUND(MAX(0,AI$488 - 2),0),
IF(AND(OR(AJ$279=123, AJ$279=13), Cultivar_1_Cohort_Year_Selection=$AB$278,Cultivar_3_Cohort_Year_Selection=$AB$278), ROUND(MAX(0,AI$488 - 2),0),
IF(AND(OR(AJ$279=123, AJ$279=23), Cultivar_2_Cohort_Year_Selection=$AB$278,Cultivar_3_Cohort_Year_Selection=$AB$278), ROUND(MAX(0,AI$488 - 2),0),
IF(AND(OR(AJ$279=123, AJ$279=12, AJ$279=13, AJ$279=1), Cultivar_1_Cohort_Year_Selection=$AB$278), ROUND(MAX(0,AI$488 - 1),0),
IF(AND(OR(AJ$279=123, AJ$279=12, AJ$279=23, AJ$279=2), Cultivar_2_Cohort_Year_Selection=$AB$278), ROUND(MAX(0,AI$488 - 1),0),
IF(AND(OR(AJ$279=123, AJ$279=13, AJ$279=23, AJ$279=3), Cultivar_3_Cohort_Year_Selection=$AB$278), ROUND(MAX(0,AI$488 - 1),0),
ROUND(MAX(0,AI$488),0)))))))),""),""),"")</f>
        <v/>
      </c>
      <c r="AK491" s="17" t="str">
        <f t="shared" ref="AK491:AK499" si="352">IF(ISNUMBER($B$489),
IF($C491&lt;&gt;"",
IF(AND(ISNUMBER(AJ$488), AJ$488&gt;0),
IF(AND(AK$279=123, Cultivar_1_Cohort_Year_Selection=$AC$278,Cultivar_2_Cohort_Year_Selection=$AC$278,Cultivar_3_Cohort_Year_Selection=$AC$278), ROUND(MAX(0,AJ$488 - 3),0),
IF(AND(OR(AK$279=123, AK$279=12), Cultivar_1_Cohort_Year_Selection=$AC$278,Cultivar_2_Cohort_Year_Selection=$AC$278), ROUND(MAX(0,AJ$488 - 2),0),
IF(AND(OR(AK$279=123, AK$279=13), Cultivar_1_Cohort_Year_Selection=$AC$278,Cultivar_3_Cohort_Year_Selection=$AC$278), ROUND(MAX(0,AJ$488 - 2),0),
IF(AND(OR(AK$279=123, AK$279=23), Cultivar_2_Cohort_Year_Selection=$AC$278,Cultivar_3_Cohort_Year_Selection=$AC$278), ROUND(MAX(0,AJ$488 - 2),0),
IF(AND(OR(AK$279=123, AK$279=12, AK$279=13, AK$279=1), Cultivar_1_Cohort_Year_Selection=$AC$278), ROUND(MAX(0,AJ$488 - 1),0),
IF(AND(OR(AK$279=123, AK$279=12, AK$279=23, AK$279=2), Cultivar_2_Cohort_Year_Selection=$AC$278), ROUND(MAX(0,AJ$488 - 1),0),
IF(AND(OR(AK$279=123, AK$279=13, AK$279=23, AK$279=3), Cultivar_3_Cohort_Year_Selection=$AC$278), ROUND(MAX(0,AJ$488 - 1),0),
ROUND(MAX(0,AJ$488),0)))))))),""),""),"")</f>
        <v/>
      </c>
      <c r="AL491" s="17" t="str">
        <f t="shared" ref="AL491:AL499" si="353">IF(ISNUMBER($B$489),
IF($C491&lt;&gt;"",
IF(AND(ISNUMBER(AK$488), AK$488&gt;0),
IF(AND(AL$279=123, Cultivar_1_Cohort_Year_Selection=$AD$278,Cultivar_2_Cohort_Year_Selection=$AD$278,Cultivar_3_Cohort_Year_Selection=$AD$278), ROUND(MAX(0,AK$488 - 3),0),
IF(AND(OR(AL$279=123, AL$279=12), Cultivar_1_Cohort_Year_Selection=$AD$278,Cultivar_2_Cohort_Year_Selection=$AD$278), ROUND(MAX(0,AK$488 - 2),0),
IF(AND(OR(AL$279=123, AL$279=13), Cultivar_1_Cohort_Year_Selection=$AD$278,Cultivar_3_Cohort_Year_Selection=$AD$278), ROUND(MAX(0,AK$488 - 2),0),
IF(AND(OR(AL$279=123, AL$279=23), Cultivar_2_Cohort_Year_Selection=$AD$278,Cultivar_3_Cohort_Year_Selection=$AD$278), ROUND(MAX(0,AK$488 - 2),0),
IF(AND(OR(AL$279=123, AL$279=12, AL$279=13, AL$279=1), Cultivar_1_Cohort_Year_Selection=$AD$278), ROUND(MAX(0,AK$488 - 1),0),
IF(AND(OR(AL$279=123, AL$279=12, AL$279=23, AL$279=2), Cultivar_2_Cohort_Year_Selection=$AD$278), ROUND(MAX(0,AK$488 - 1),0),
IF(AND(OR(AL$279=123, AL$279=13, AL$279=23, AL$279=3), Cultivar_3_Cohort_Year_Selection=$AD$278), ROUND(MAX(0,AK$488 - 1),0),
ROUND(MAX(0,AK$488),0)))))))),""),""),"")</f>
        <v/>
      </c>
      <c r="AM491" s="17" t="str">
        <f t="shared" ref="AM491:AM499" si="354">IF(ISNUMBER($B$489),
IF($C491&lt;&gt;"",
IF(AND(ISNUMBER(AL$488), AL$488&gt;0),
IF(AND(AM$279=123, Cultivar_1_Cohort_Year_Selection=$AE$278,Cultivar_2_Cohort_Year_Selection=$AE$278,Cultivar_3_Cohort_Year_Selection=$AE$278), ROUND(MAX(0,AL$488 - 3),0),
IF(AND(OR(AM$279=123, AM$279=12), Cultivar_1_Cohort_Year_Selection=$AE$278,Cultivar_2_Cohort_Year_Selection=$AE$278), ROUND(MAX(0,AL$488 - 2),0),
IF(AND(OR(AM$279=123, AM$279=13), Cultivar_1_Cohort_Year_Selection=$AE$278,Cultivar_3_Cohort_Year_Selection=$AE$278), ROUND(MAX(0,AL$488 - 2),0),
IF(AND(OR(AM$279=123, AM$279=23), Cultivar_2_Cohort_Year_Selection=$AE$278,Cultivar_3_Cohort_Year_Selection=$AE$278), ROUND(MAX(0,AL$488 - 2),0),
IF(AND(OR(AM$279=123, AM$279=12, AM$279=13, AM$279=1), Cultivar_1_Cohort_Year_Selection=$AE$278), ROUND(MAX(0,AL$488 - 1),0),
IF(AND(OR(AM$279=123, AM$279=12, AM$279=23, AM$279=2), Cultivar_2_Cohort_Year_Selection=$AE$278), ROUND(MAX(0,AL$488 - 1),0),
IF(AND(OR(AM$279=123, AM$279=13, AM$279=23, AM$279=3), Cultivar_3_Cohort_Year_Selection=$AE$278), ROUND(MAX(0,AL$488 - 1),0),
ROUND(MAX(0,AL$488),0)))))))),""),""),"")</f>
        <v/>
      </c>
      <c r="AN491" s="17" t="str">
        <f t="shared" ref="AN491:AN499" si="355">IF(ISNUMBER($B$489),
IF($C491&lt;&gt;"",
IF(AND(ISNUMBER(AM$488), AM$488&gt;0),
IF(AND(AN$279=123, Cultivar_1_Cohort_Year_Selection=$AF$278,Cultivar_2_Cohort_Year_Selection=$AF$278,Cultivar_3_Cohort_Year_Selection=$AF$278), ROUND(MAX(0,AM$488 - 3),0),
IF(AND(OR(AN$279=123, AN$279=12), Cultivar_1_Cohort_Year_Selection=$AF$278,Cultivar_2_Cohort_Year_Selection=$AF$278), ROUND(MAX(0,AM$488 - 2),0),
IF(AND(OR(AN$279=123, AN$279=13), Cultivar_1_Cohort_Year_Selection=$AF$278,Cultivar_3_Cohort_Year_Selection=$AF$278), ROUND(MAX(0,AM$488 - 2),0),
IF(AND(OR(AN$279=123, AN$279=23), Cultivar_2_Cohort_Year_Selection=$AF$278,Cultivar_3_Cohort_Year_Selection=$AF$278), ROUND(MAX(0,AM$488 - 2),0),
IF(AND(OR(AN$279=123, AN$279=12, AN$279=13, AN$279=1), Cultivar_1_Cohort_Year_Selection=$AF$278), ROUND(MAX(0,AM$488 - 1),0),
IF(AND(OR(AN$279=123, AN$279=12, AN$279=23, AN$279=2), Cultivar_2_Cohort_Year_Selection=$AF$278), ROUND(MAX(0,AM$488 - 1),0),
IF(AND(OR(AN$279=123, AN$279=13, AN$279=23, AN$279=3), Cultivar_3_Cohort_Year_Selection=$AF$278), ROUND(MAX(0,AM$488 - 1),0),
ROUND(MAX(0,AM$488),0)))))))),""),""),"")</f>
        <v/>
      </c>
      <c r="AO491" s="17" t="str">
        <f t="shared" ref="AO491:AO499" si="356">IF(ISNUMBER($B$489),
IF($C491&lt;&gt;"",
IF(AND(ISNUMBER(AN$488), AN$488&gt;0),
IF(AND(AO$279=123, Cultivar_1_Cohort_Year_Selection=$AG$278,Cultivar_2_Cohort_Year_Selection=$AG$278,Cultivar_3_Cohort_Year_Selection=$AG$278), ROUND(MAX(0,AN$488 - 3),0),
IF(AND(OR(AO$279=123, AO$279=12), Cultivar_1_Cohort_Year_Selection=$AG$278,Cultivar_2_Cohort_Year_Selection=$AG$278), ROUND(MAX(0,AN$488 - 2),0),
IF(AND(OR(AO$279=123, AO$279=13), Cultivar_1_Cohort_Year_Selection=$AG$278,Cultivar_3_Cohort_Year_Selection=$AG$278), ROUND(MAX(0,AN$488 - 2),0),
IF(AND(OR(AO$279=123, AO$279=23), Cultivar_2_Cohort_Year_Selection=$AG$278,Cultivar_3_Cohort_Year_Selection=$AG$278), ROUND(MAX(0,AN$488 - 2),0),
IF(AND(OR(AO$279=123, AO$279=12, AO$279=13, AO$279=1), Cultivar_1_Cohort_Year_Selection=$AG$278), ROUND(MAX(0,AN$488 - 1),0),
IF(AND(OR(AO$279=123, AO$279=12, AO$279=23, AO$279=2), Cultivar_2_Cohort_Year_Selection=$AG$278), ROUND(MAX(0,AN$488 - 1),0),
IF(AND(OR(AO$279=123, AO$279=13, AO$279=23, AO$279=3), Cultivar_3_Cohort_Year_Selection=$AG$278), ROUND(MAX(0,AN$488 - 1),0),
ROUND(MAX(0,AN$488),0)))))))),""),""),"")</f>
        <v/>
      </c>
      <c r="AP491" s="17" t="str">
        <f t="shared" ref="AP491:AP499" si="357">IF(ISNUMBER($B$489),
IF($C491&lt;&gt;"",
IF(AND(ISNUMBER(AO$488), AO$488&gt;0),
IF(AND(AP$279=123, Cultivar_1_Cohort_Year_Selection=$AH$278,Cultivar_2_Cohort_Year_Selection=$AH$278,Cultivar_3_Cohort_Year_Selection=$AH$278), ROUND(MAX(0,AO$488 - 3),0),
IF(AND(OR(AP$279=123, AP$279=12), Cultivar_1_Cohort_Year_Selection=$AH$278,Cultivar_2_Cohort_Year_Selection=$AH$278), ROUND(MAX(0,AO$488 - 2),0),
IF(AND(OR(AP$279=123, AP$279=13), Cultivar_1_Cohort_Year_Selection=$AH$278,Cultivar_3_Cohort_Year_Selection=$AH$278), ROUND(MAX(0,AO$488 - 2),0),
IF(AND(OR(AP$279=123, AP$279=23), Cultivar_2_Cohort_Year_Selection=$AH$278,Cultivar_3_Cohort_Year_Selection=$AH$278), ROUND(MAX(0,AO$488 - 2),0),
IF(AND(OR(AP$279=123, AP$279=12, AP$279=13, AP$279=1), Cultivar_1_Cohort_Year_Selection=$AH$278), ROUND(MAX(0,AO$488 - 1),0),
IF(AND(OR(AP$279=123, AP$279=12, AP$279=23, AP$279=2), Cultivar_2_Cohort_Year_Selection=$AH$278), ROUND(MAX(0,AO$488 - 1),0),
IF(AND(OR(AP$279=123, AP$279=13, AP$279=23, AP$279=3), Cultivar_3_Cohort_Year_Selection=$AH$278), ROUND(MAX(0,AO$488 - 1),0),
ROUND(MAX(0,AO$488),0)))))))),""),""),"")</f>
        <v/>
      </c>
      <c r="AQ491" s="17" t="str">
        <f t="shared" ref="AQ491:AQ499" si="358">IF(ISNUMBER($B$489),
IF($C491&lt;&gt;"",
IF(AND(ISNUMBER(AP$488), AP$488&gt;0),
IF(AND(AQ$279=123, Cultivar_1_Cohort_Year_Selection=$AI$278,Cultivar_2_Cohort_Year_Selection=$AI$278,Cultivar_3_Cohort_Year_Selection=$AI$278), ROUND(MAX(0,AP$488 - 3),0),
IF(AND(OR(AQ$279=123, AQ$279=12), Cultivar_1_Cohort_Year_Selection=$AI$278,Cultivar_2_Cohort_Year_Selection=$AI$278), ROUND(MAX(0,AP$488 - 2),0),
IF(AND(OR(AQ$279=123, AQ$279=13), Cultivar_1_Cohort_Year_Selection=$AI$278,Cultivar_3_Cohort_Year_Selection=$AI$278), ROUND(MAX(0,AP$488 - 2),0),
IF(AND(OR(AQ$279=123, AQ$279=23), Cultivar_2_Cohort_Year_Selection=$AI$278,Cultivar_3_Cohort_Year_Selection=$AI$278), ROUND(MAX(0,AP$488 - 2),0),
IF(AND(OR(AQ$279=123, AQ$279=12, AQ$279=13, AQ$279=1), Cultivar_1_Cohort_Year_Selection=$AI$278), ROUND(MAX(0,AP$488 - 1),0),
IF(AND(OR(AQ$279=123, AQ$279=12, AQ$279=23, AQ$279=2), Cultivar_2_Cohort_Year_Selection=$AI$278), ROUND(MAX(0,AP$488 - 1),0),
IF(AND(OR(AQ$279=123, AQ$279=13, AQ$279=23, AQ$279=3), Cultivar_3_Cohort_Year_Selection=$AI$278), ROUND(MAX(0,AP$488 - 1),0),
ROUND(MAX(0,AP$488),0)))))))),""),""),"")</f>
        <v/>
      </c>
      <c r="AR491" s="17" t="str">
        <f t="shared" ref="AR491:AR499" si="359">IF(ISNUMBER($B$489),
IF($C491&lt;&gt;"",
IF(AND(ISNUMBER(AQ$488), AQ$488&gt;0),
IF(AND(AR$279=123, Cultivar_1_Cohort_Year_Selection=$AJ$278,Cultivar_2_Cohort_Year_Selection=$AJ$278,Cultivar_3_Cohort_Year_Selection=$AJ$278), ROUND(MAX(0,AQ$488 - 3),0),
IF(AND(OR(AR$279=123, AR$279=12), Cultivar_1_Cohort_Year_Selection=$AJ$278,Cultivar_2_Cohort_Year_Selection=$AJ$278), ROUND(MAX(0,AQ$488 - 2),0),
IF(AND(OR(AR$279=123, AR$279=13), Cultivar_1_Cohort_Year_Selection=$AJ$278,Cultivar_3_Cohort_Year_Selection=$AJ$278), ROUND(MAX(0,AQ$488 - 2),0),
IF(AND(OR(AR$279=123, AR$279=23), Cultivar_2_Cohort_Year_Selection=$AJ$278,Cultivar_3_Cohort_Year_Selection=$AJ$278), ROUND(MAX(0,AQ$488 - 2),0),
IF(AND(OR(AR$279=123, AR$279=12, AR$279=13, AR$279=1), Cultivar_1_Cohort_Year_Selection=$AJ$278), ROUND(MAX(0,AQ$488 - 1),0),
IF(AND(OR(AR$279=123, AR$279=12, AR$279=23, AR$279=2), Cultivar_2_Cohort_Year_Selection=$AJ$278), ROUND(MAX(0,AQ$488 - 1),0),
IF(AND(OR(AR$279=123, AR$279=13, AR$279=23, AR$279=3), Cultivar_3_Cohort_Year_Selection=$AJ$278), ROUND(MAX(0,AQ$488 - 1),0),
ROUND(MAX(0,AQ$488),0)))))))),""),""),"")</f>
        <v/>
      </c>
      <c r="AS491" s="17" t="str">
        <f t="shared" ref="AS491:AS499" si="360">IF(ISNUMBER($B$489),
IF($C491&lt;&gt;"",
IF(AND(ISNUMBER(AR$488), AR$488&gt;0),
IF(AND(AS$279=123, Cultivar_1_Cohort_Year_Selection=$AK$278,Cultivar_2_Cohort_Year_Selection=$AK$278,Cultivar_3_Cohort_Year_Selection=$AK$278), ROUND(MAX(0,AR$488 - 3),0),
IF(AND(OR(AS$279=123, AS$279=12), Cultivar_1_Cohort_Year_Selection=$AK$278,Cultivar_2_Cohort_Year_Selection=$AK$278), ROUND(MAX(0,AR$488 - 2),0),
IF(AND(OR(AS$279=123, AS$279=13), Cultivar_1_Cohort_Year_Selection=$AK$278,Cultivar_3_Cohort_Year_Selection=$AK$278), ROUND(MAX(0,AR$488 - 2),0),
IF(AND(OR(AS$279=123, AS$279=23), Cultivar_2_Cohort_Year_Selection=$AK$278,Cultivar_3_Cohort_Year_Selection=$AK$278), ROUND(MAX(0,AR$488 - 2),0),
IF(AND(OR(AS$279=123, AS$279=12, AS$279=13, AS$279=1), Cultivar_1_Cohort_Year_Selection=$AK$278), ROUND(MAX(0,AR$488 - 1),0),
IF(AND(OR(AS$279=123, AS$279=12, AS$279=23, AS$279=2), Cultivar_2_Cohort_Year_Selection=$AK$278), ROUND(MAX(0,AR$488 - 1),0),
IF(AND(OR(AS$279=123, AS$279=13, AS$279=23, AS$279=3), Cultivar_3_Cohort_Year_Selection=$AK$278), ROUND(MAX(0,AR$488 - 1),0),
ROUND(MAX(0,AR$488),0)))))))),""),""),"")</f>
        <v/>
      </c>
      <c r="AT491" s="17" t="str">
        <f t="shared" ref="AT491:AT499" si="361">IF(ISNUMBER($B$489),
IF($C491&lt;&gt;"",
IF(AND(ISNUMBER(AS$488), AS$488&gt;0),
IF(AND(AT$279=123, Cultivar_1_Cohort_Year_Selection=$AL$278,Cultivar_2_Cohort_Year_Selection=$AL$278,Cultivar_3_Cohort_Year_Selection=$AL$278), ROUND(MAX(0,AS$488 - 3),0),
IF(AND(OR(AT$279=123, AT$279=12), Cultivar_1_Cohort_Year_Selection=$AL$278,Cultivar_2_Cohort_Year_Selection=$AL$278), ROUND(MAX(0,AS$488 - 2),0),
IF(AND(OR(AT$279=123, AT$279=13), Cultivar_1_Cohort_Year_Selection=$AL$278,Cultivar_3_Cohort_Year_Selection=$AL$278), ROUND(MAX(0,AS$488 - 2),0),
IF(AND(OR(AT$279=123, AT$279=23), Cultivar_2_Cohort_Year_Selection=$AL$278,Cultivar_3_Cohort_Year_Selection=$AL$278), ROUND(MAX(0,AS$488 - 2),0),
IF(AND(OR(AT$279=123, AT$279=12, AT$279=13, AT$279=1), Cultivar_1_Cohort_Year_Selection=$AL$278), ROUND(MAX(0,AS$488 - 1),0),
IF(AND(OR(AT$279=123, AT$279=12, AT$279=23, AT$279=2), Cultivar_2_Cohort_Year_Selection=$AL$278), ROUND(MAX(0,AS$488 - 1),0),
IF(AND(OR(AT$279=123, AT$279=13, AT$279=23, AT$279=3), Cultivar_3_Cohort_Year_Selection=$AL$278), ROUND(MAX(0,AS$488 - 1),0),
ROUND(MAX(0,AS$488),0)))))))),""),""),"")</f>
        <v/>
      </c>
      <c r="AU491" s="17" t="str">
        <f t="shared" ref="AU491:AU499" si="362">IF(ISNUMBER($B$489),
IF($C491&lt;&gt;"",
IF(AND(ISNUMBER(AT$488), AT$488&gt;0),
IF(AND(AU$279=123, Cultivar_1_Cohort_Year_Selection=$AM$278,Cultivar_2_Cohort_Year_Selection=$AM$278,Cultivar_3_Cohort_Year_Selection=$AM$278), ROUND(MAX(0,AT$488 - 3),0),
IF(AND(OR(AU$279=123, AU$279=12), Cultivar_1_Cohort_Year_Selection=$AM$278,Cultivar_2_Cohort_Year_Selection=$AM$278), ROUND(MAX(0,AT$488 - 2),0),
IF(AND(OR(AU$279=123, AU$279=13), Cultivar_1_Cohort_Year_Selection=$AM$278,Cultivar_3_Cohort_Year_Selection=$AM$278), ROUND(MAX(0,AT$488 - 2),0),
IF(AND(OR(AU$279=123, AU$279=23), Cultivar_2_Cohort_Year_Selection=$AM$278,Cultivar_3_Cohort_Year_Selection=$AM$278), ROUND(MAX(0,AT$488 - 2),0),
IF(AND(OR(AU$279=123, AU$279=12, AU$279=13, AU$279=1), Cultivar_1_Cohort_Year_Selection=$AM$278), ROUND(MAX(0,AT$488 - 1),0),
IF(AND(OR(AU$279=123, AU$279=12, AU$279=23, AU$279=2), Cultivar_2_Cohort_Year_Selection=$AM$278), ROUND(MAX(0,AT$488 - 1),0),
IF(AND(OR(AU$279=123, AU$279=13, AU$279=23, AU$279=3), Cultivar_3_Cohort_Year_Selection=$AM$278), ROUND(MAX(0,AT$488 - 1),0),
ROUND(MAX(0,AT$488),0)))))))),""),""),"")</f>
        <v/>
      </c>
      <c r="AV491" s="17" t="str">
        <f t="shared" ref="AV491:AV499" si="363">IF(ISNUMBER($B$489),
IF($C491&lt;&gt;"",
IF(AND(ISNUMBER(AU$488), AU$488&gt;0),
IF(AND(AV$279=123, Cultivar_1_Cohort_Year_Selection=$AN$278,Cultivar_2_Cohort_Year_Selection=$AN$278,Cultivar_3_Cohort_Year_Selection=$AN$278), ROUND(MAX(0,AU$488 - 3),0),
IF(AND(OR(AV$279=123, AV$279=12), Cultivar_1_Cohort_Year_Selection=$AN$278,Cultivar_2_Cohort_Year_Selection=$AN$278), ROUND(MAX(0,AU$488 - 2),0),
IF(AND(OR(AV$279=123, AV$279=13), Cultivar_1_Cohort_Year_Selection=$AN$278,Cultivar_3_Cohort_Year_Selection=$AN$278), ROUND(MAX(0,AU$488 - 2),0),
IF(AND(OR(AV$279=123, AV$279=23), Cultivar_2_Cohort_Year_Selection=$AN$278,Cultivar_3_Cohort_Year_Selection=$AN$278), ROUND(MAX(0,AU$488 - 2),0),
IF(AND(OR(AV$279=123, AV$279=12, AV$279=13, AV$279=1), Cultivar_1_Cohort_Year_Selection=$AN$278), ROUND(MAX(0,AU$488 - 1),0),
IF(AND(OR(AV$279=123, AV$279=12, AV$279=23, AV$279=2), Cultivar_2_Cohort_Year_Selection=$AN$278), ROUND(MAX(0,AU$488 - 1),0),
IF(AND(OR(AV$279=123, AV$279=13, AV$279=23, AV$279=3), Cultivar_3_Cohort_Year_Selection=$AN$278), ROUND(MAX(0,AU$488 - 1),0),
ROUND(MAX(0,AU$488),0)))))))),""),""),"")</f>
        <v/>
      </c>
      <c r="AW491" s="17" t="str">
        <f t="shared" ref="AW491:AW499" si="364">IF(ISNUMBER($B$489),
IF($C491&lt;&gt;"",
IF(AND(ISNUMBER(AV$488), AV$488&gt;0),
IF(AND(AW$279=123, Cultivar_1_Cohort_Year_Selection=$AO$278,Cultivar_2_Cohort_Year_Selection=$AO$278,Cultivar_3_Cohort_Year_Selection=$AO$278), ROUND(MAX(0,AV$488 - 3),0),
IF(AND(OR(AW$279=123, AW$279=12), Cultivar_1_Cohort_Year_Selection=$AO$278,Cultivar_2_Cohort_Year_Selection=$AO$278), ROUND(MAX(0,AV$488 - 2),0),
IF(AND(OR(AW$279=123, AW$279=13), Cultivar_1_Cohort_Year_Selection=$AO$278,Cultivar_3_Cohort_Year_Selection=$AO$278), ROUND(MAX(0,AV$488 - 2),0),
IF(AND(OR(AW$279=123, AW$279=23), Cultivar_2_Cohort_Year_Selection=$AO$278,Cultivar_3_Cohort_Year_Selection=$AO$278), ROUND(MAX(0,AV$488 - 2),0),
IF(AND(OR(AW$279=123, AW$279=12, AW$279=13, AW$279=1), Cultivar_1_Cohort_Year_Selection=$AO$278), ROUND(MAX(0,AV$488 - 1),0),
IF(AND(OR(AW$279=123, AW$279=12, AW$279=23, AW$279=2), Cultivar_2_Cohort_Year_Selection=$AO$278), ROUND(MAX(0,AV$488 - 1),0),
IF(AND(OR(AW$279=123, AW$279=13, AW$279=23, AW$279=3), Cultivar_3_Cohort_Year_Selection=$AO$278), ROUND(MAX(0,AV$488 - 1),0),
ROUND(MAX(0,AV$488),0)))))))),""),""),"")</f>
        <v/>
      </c>
      <c r="AX491" s="17" t="str">
        <f t="shared" ref="AX491:AX499" si="365">IF(ISNUMBER($B$489),
IF($C491&lt;&gt;"",
IF(AND(ISNUMBER(AW$488), AW$488&gt;0),
IF(AND(AX$279=123, Cultivar_1_Cohort_Year_Selection=$AP$278,Cultivar_2_Cohort_Year_Selection=$AP$278,Cultivar_3_Cohort_Year_Selection=$AP$278), ROUND(MAX(0,AW$488 - 3),0),
IF(AND(OR(AX$279=123, AX$279=12), Cultivar_1_Cohort_Year_Selection=$AP$278,Cultivar_2_Cohort_Year_Selection=$AP$278), ROUND(MAX(0,AW$488 - 2),0),
IF(AND(OR(AX$279=123, AX$279=13), Cultivar_1_Cohort_Year_Selection=$AP$278,Cultivar_3_Cohort_Year_Selection=$AP$278), ROUND(MAX(0,AW$488 - 2),0),
IF(AND(OR(AX$279=123, AX$279=23), Cultivar_2_Cohort_Year_Selection=$AP$278,Cultivar_3_Cohort_Year_Selection=$AP$278), ROUND(MAX(0,AW$488 - 2),0),
IF(AND(OR(AX$279=123, AX$279=12, AX$279=13, AX$279=1), Cultivar_1_Cohort_Year_Selection=$AP$278), ROUND(MAX(0,AW$488 - 1),0),
IF(AND(OR(AX$279=123, AX$279=12, AX$279=23, AX$279=2), Cultivar_2_Cohort_Year_Selection=$AP$278), ROUND(MAX(0,AW$488 - 1),0),
IF(AND(OR(AX$279=123, AX$279=13, AX$279=23, AX$279=3), Cultivar_3_Cohort_Year_Selection=$AP$278), ROUND(MAX(0,AW$488 - 1),0),
ROUND(MAX(0,AW$488),0)))))))),""),""),"")</f>
        <v/>
      </c>
    </row>
    <row r="492" spans="1:50" x14ac:dyDescent="0.25">
      <c r="A492" s="518"/>
      <c r="B492" s="504"/>
      <c r="C492" s="107" t="str">
        <f>IF(AND(ISNUMBER(B489), OR('Cost Inputs'!$H$108&lt;&gt;"", 'Cost Inputs'!$I$108&lt;&gt;"", 'Cost Inputs'!$J$108&lt;&gt;"")), _4_3_2, "")</f>
        <v/>
      </c>
      <c r="D492" s="93" t="str">
        <f>IF(AND(C492&lt;&gt;"", 'Cost Inputs'!$G$108&lt;&gt;""), 'Cost Inputs'!$G$108, "")</f>
        <v/>
      </c>
      <c r="E492" s="93" t="str">
        <f>IF(AND(C492&lt;&gt;"", 'Cost Inputs'!$H$108&lt;&gt;""), 'Cost Inputs'!$H$108, "")</f>
        <v/>
      </c>
      <c r="F492" s="93" t="str">
        <f>IF(AND(C492&lt;&gt;"", 'Cost Inputs'!$I$108&lt;&gt;""), 'Cost Inputs'!$I$108, "")</f>
        <v/>
      </c>
      <c r="G492" s="108" t="str">
        <f t="shared" si="333"/>
        <v/>
      </c>
      <c r="H492" s="93" t="str">
        <f>IF(AND(C492&lt;&gt;"", 'Cost Inputs'!$J$108&lt;&gt;""), 'Cost Inputs'!$J$108, "")</f>
        <v/>
      </c>
      <c r="I492" s="93" t="str">
        <f t="shared" si="336"/>
        <v/>
      </c>
      <c r="J492" s="93" t="str">
        <f>IF(AND(C492&lt;&gt;"",('Cost Inputs'!$I$108+'Cost Inputs'!$J$108+'Cost Inputs'!$K$108)&gt;0), 'Cost Inputs'!$I$108+'Cost Inputs'!$J$108+'Cost Inputs'!$K$108, "")</f>
        <v/>
      </c>
      <c r="K492" s="93" t="str">
        <f t="shared" si="337"/>
        <v/>
      </c>
      <c r="L492" s="525"/>
      <c r="M492" s="525"/>
      <c r="W492" s="93" t="str">
        <f t="shared" si="338"/>
        <v/>
      </c>
      <c r="X492" s="93" t="str">
        <f t="shared" si="339"/>
        <v/>
      </c>
      <c r="Y492" s="93" t="str">
        <f t="shared" si="340"/>
        <v/>
      </c>
      <c r="Z492" s="93" t="str">
        <f t="shared" si="341"/>
        <v/>
      </c>
      <c r="AA492" s="93" t="str">
        <f t="shared" si="342"/>
        <v/>
      </c>
      <c r="AB492" s="93" t="str">
        <f t="shared" si="343"/>
        <v/>
      </c>
      <c r="AC492" s="93" t="str">
        <f t="shared" si="344"/>
        <v/>
      </c>
      <c r="AD492" s="93" t="str">
        <f t="shared" si="345"/>
        <v/>
      </c>
      <c r="AE492" s="93" t="str">
        <f t="shared" si="346"/>
        <v/>
      </c>
      <c r="AF492" s="93" t="str">
        <f t="shared" si="347"/>
        <v/>
      </c>
      <c r="AG492" s="93" t="str">
        <f t="shared" si="348"/>
        <v/>
      </c>
      <c r="AH492" s="93" t="str">
        <f t="shared" si="349"/>
        <v/>
      </c>
      <c r="AI492" s="93" t="str">
        <f t="shared" si="350"/>
        <v/>
      </c>
      <c r="AJ492" s="93" t="str">
        <f t="shared" si="351"/>
        <v/>
      </c>
      <c r="AK492" s="93" t="str">
        <f t="shared" si="352"/>
        <v/>
      </c>
      <c r="AL492" s="93" t="str">
        <f t="shared" si="353"/>
        <v/>
      </c>
      <c r="AM492" s="93" t="str">
        <f t="shared" si="354"/>
        <v/>
      </c>
      <c r="AN492" s="93" t="str">
        <f t="shared" si="355"/>
        <v/>
      </c>
      <c r="AO492" s="93" t="str">
        <f t="shared" si="356"/>
        <v/>
      </c>
      <c r="AP492" s="93" t="str">
        <f t="shared" si="357"/>
        <v/>
      </c>
      <c r="AQ492" s="93" t="str">
        <f t="shared" si="358"/>
        <v/>
      </c>
      <c r="AR492" s="93" t="str">
        <f t="shared" si="359"/>
        <v/>
      </c>
      <c r="AS492" s="93" t="str">
        <f t="shared" si="360"/>
        <v/>
      </c>
      <c r="AT492" s="93" t="str">
        <f t="shared" si="361"/>
        <v/>
      </c>
      <c r="AU492" s="93" t="str">
        <f t="shared" si="362"/>
        <v/>
      </c>
      <c r="AV492" s="93" t="str">
        <f t="shared" si="363"/>
        <v/>
      </c>
      <c r="AW492" s="93" t="str">
        <f t="shared" si="364"/>
        <v/>
      </c>
      <c r="AX492" s="93" t="str">
        <f t="shared" si="365"/>
        <v/>
      </c>
    </row>
    <row r="493" spans="1:50" x14ac:dyDescent="0.25">
      <c r="A493" s="518"/>
      <c r="B493" s="504"/>
      <c r="C493" s="110" t="str">
        <f>IF(ISNUMBER(B489), _4_4_0, "")</f>
        <v/>
      </c>
      <c r="D493" s="94" t="str">
        <f>IF(AND(C493&lt;&gt;"", 'Cost Inputs'!$G$109&lt;&gt;""), 'Cost Inputs'!$G$109, "")</f>
        <v/>
      </c>
      <c r="E493" s="94" t="str">
        <f>IF(AND(C493&lt;&gt;"", 'Cost Inputs'!$H$109&lt;&gt;""), 'Cost Inputs'!$H$109, "")</f>
        <v/>
      </c>
      <c r="F493" s="94" t="str">
        <f>IF(AND(C493&lt;&gt;"", 'Cost Inputs'!$I$109&lt;&gt;""), 'Cost Inputs'!$I$109, "")</f>
        <v/>
      </c>
      <c r="G493" s="102" t="str">
        <f t="shared" si="333"/>
        <v/>
      </c>
      <c r="H493" s="102" t="str">
        <f>IF(AND(C493&lt;&gt;"", 'Cost Inputs'!$J$109&lt;&gt;""), 'Cost Inputs'!$J$109, "")</f>
        <v/>
      </c>
      <c r="I493" s="102" t="str">
        <f t="shared" si="336"/>
        <v/>
      </c>
      <c r="J493" s="102" t="str">
        <f>IF(AND(C493&lt;&gt;"",('Cost Inputs'!$I$109+'Cost Inputs'!$J$109+'Cost Inputs'!$K$109)&gt;0), 'Cost Inputs'!$I$109+'Cost Inputs'!$J$109+'Cost Inputs'!$K$109, "")</f>
        <v/>
      </c>
      <c r="K493" s="102" t="str">
        <f t="shared" si="337"/>
        <v/>
      </c>
      <c r="L493" s="525"/>
      <c r="M493" s="525"/>
      <c r="W493" s="102" t="str">
        <f t="shared" si="338"/>
        <v/>
      </c>
      <c r="X493" s="102" t="str">
        <f t="shared" si="339"/>
        <v/>
      </c>
      <c r="Y493" s="102" t="str">
        <f t="shared" si="340"/>
        <v/>
      </c>
      <c r="Z493" s="102" t="str">
        <f t="shared" si="341"/>
        <v/>
      </c>
      <c r="AA493" s="102" t="str">
        <f t="shared" si="342"/>
        <v/>
      </c>
      <c r="AB493" s="102" t="str">
        <f t="shared" si="343"/>
        <v/>
      </c>
      <c r="AC493" s="102" t="str">
        <f t="shared" si="344"/>
        <v/>
      </c>
      <c r="AD493" s="102" t="str">
        <f t="shared" si="345"/>
        <v/>
      </c>
      <c r="AE493" s="102" t="str">
        <f t="shared" si="346"/>
        <v/>
      </c>
      <c r="AF493" s="102" t="str">
        <f t="shared" si="347"/>
        <v/>
      </c>
      <c r="AG493" s="102" t="str">
        <f t="shared" si="348"/>
        <v/>
      </c>
      <c r="AH493" s="102" t="str">
        <f t="shared" si="349"/>
        <v/>
      </c>
      <c r="AI493" s="102" t="str">
        <f t="shared" si="350"/>
        <v/>
      </c>
      <c r="AJ493" s="102" t="str">
        <f t="shared" si="351"/>
        <v/>
      </c>
      <c r="AK493" s="102" t="str">
        <f t="shared" si="352"/>
        <v/>
      </c>
      <c r="AL493" s="102" t="str">
        <f t="shared" si="353"/>
        <v/>
      </c>
      <c r="AM493" s="102" t="str">
        <f t="shared" si="354"/>
        <v/>
      </c>
      <c r="AN493" s="102" t="str">
        <f t="shared" si="355"/>
        <v/>
      </c>
      <c r="AO493" s="102" t="str">
        <f t="shared" si="356"/>
        <v/>
      </c>
      <c r="AP493" s="102" t="str">
        <f t="shared" si="357"/>
        <v/>
      </c>
      <c r="AQ493" s="102" t="str">
        <f t="shared" si="358"/>
        <v/>
      </c>
      <c r="AR493" s="102" t="str">
        <f t="shared" si="359"/>
        <v/>
      </c>
      <c r="AS493" s="102" t="str">
        <f t="shared" si="360"/>
        <v/>
      </c>
      <c r="AT493" s="102" t="str">
        <f t="shared" si="361"/>
        <v/>
      </c>
      <c r="AU493" s="102" t="str">
        <f t="shared" si="362"/>
        <v/>
      </c>
      <c r="AV493" s="102" t="str">
        <f t="shared" si="363"/>
        <v/>
      </c>
      <c r="AW493" s="102" t="str">
        <f t="shared" si="364"/>
        <v/>
      </c>
      <c r="AX493" s="102" t="str">
        <f t="shared" si="365"/>
        <v/>
      </c>
    </row>
    <row r="494" spans="1:50" x14ac:dyDescent="0.25">
      <c r="A494" s="518"/>
      <c r="B494" s="504"/>
      <c r="C494" s="104" t="str">
        <f>IF(AND(ISNUMBER(B489), OR('Cost Inputs'!$H$110&lt;&gt;"", 'Cost Inputs'!$I$110&lt;&gt;"", 'Cost Inputs'!$J$110&lt;&gt;"")), _4_4_1, "")</f>
        <v/>
      </c>
      <c r="D494" s="17" t="str">
        <f>IF(AND(C494&lt;&gt;"", 'Cost Inputs'!$G$110&lt;&gt;""), 'Cost Inputs'!$G$110, "")</f>
        <v/>
      </c>
      <c r="E494" s="17" t="str">
        <f>IF(AND(C494&lt;&gt;"", 'Cost Inputs'!$H$110&lt;&gt;""), 'Cost Inputs'!$H$110, "")</f>
        <v/>
      </c>
      <c r="F494" s="17" t="str">
        <f>IF(AND(C494&lt;&gt;"", 'Cost Inputs'!$I$110&lt;&gt;""), 'Cost Inputs'!$I$110, "")</f>
        <v/>
      </c>
      <c r="G494" s="105" t="str">
        <f t="shared" si="333"/>
        <v/>
      </c>
      <c r="H494" s="17" t="str">
        <f>IF(AND(C494&lt;&gt;"", 'Cost Inputs'!$J$110&lt;&gt;""), 'Cost Inputs'!$J$110, "")</f>
        <v/>
      </c>
      <c r="I494" s="17" t="str">
        <f t="shared" si="336"/>
        <v/>
      </c>
      <c r="J494" s="17" t="str">
        <f>IF(AND(C494&lt;&gt;"",('Cost Inputs'!$I$110+'Cost Inputs'!$J$110+'Cost Inputs'!$K$110)&gt;0), 'Cost Inputs'!$I$110+'Cost Inputs'!$J$110+'Cost Inputs'!$K$110, "")</f>
        <v/>
      </c>
      <c r="K494" s="17" t="str">
        <f t="shared" si="337"/>
        <v/>
      </c>
      <c r="L494" s="525"/>
      <c r="M494" s="525"/>
      <c r="W494" s="17" t="str">
        <f t="shared" si="338"/>
        <v/>
      </c>
      <c r="X494" s="17" t="str">
        <f t="shared" si="339"/>
        <v/>
      </c>
      <c r="Y494" s="17" t="str">
        <f t="shared" si="340"/>
        <v/>
      </c>
      <c r="Z494" s="17" t="str">
        <f t="shared" si="341"/>
        <v/>
      </c>
      <c r="AA494" s="17" t="str">
        <f t="shared" si="342"/>
        <v/>
      </c>
      <c r="AB494" s="17" t="str">
        <f t="shared" si="343"/>
        <v/>
      </c>
      <c r="AC494" s="17" t="str">
        <f t="shared" si="344"/>
        <v/>
      </c>
      <c r="AD494" s="17" t="str">
        <f t="shared" si="345"/>
        <v/>
      </c>
      <c r="AE494" s="17" t="str">
        <f t="shared" si="346"/>
        <v/>
      </c>
      <c r="AF494" s="17" t="str">
        <f t="shared" si="347"/>
        <v/>
      </c>
      <c r="AG494" s="17" t="str">
        <f t="shared" si="348"/>
        <v/>
      </c>
      <c r="AH494" s="17" t="str">
        <f t="shared" si="349"/>
        <v/>
      </c>
      <c r="AI494" s="17" t="str">
        <f t="shared" si="350"/>
        <v/>
      </c>
      <c r="AJ494" s="17" t="str">
        <f t="shared" si="351"/>
        <v/>
      </c>
      <c r="AK494" s="17" t="str">
        <f t="shared" si="352"/>
        <v/>
      </c>
      <c r="AL494" s="17" t="str">
        <f t="shared" si="353"/>
        <v/>
      </c>
      <c r="AM494" s="17" t="str">
        <f t="shared" si="354"/>
        <v/>
      </c>
      <c r="AN494" s="17" t="str">
        <f t="shared" si="355"/>
        <v/>
      </c>
      <c r="AO494" s="17" t="str">
        <f t="shared" si="356"/>
        <v/>
      </c>
      <c r="AP494" s="17" t="str">
        <f t="shared" si="357"/>
        <v/>
      </c>
      <c r="AQ494" s="17" t="str">
        <f t="shared" si="358"/>
        <v/>
      </c>
      <c r="AR494" s="17" t="str">
        <f t="shared" si="359"/>
        <v/>
      </c>
      <c r="AS494" s="17" t="str">
        <f t="shared" si="360"/>
        <v/>
      </c>
      <c r="AT494" s="17" t="str">
        <f t="shared" si="361"/>
        <v/>
      </c>
      <c r="AU494" s="17" t="str">
        <f t="shared" si="362"/>
        <v/>
      </c>
      <c r="AV494" s="17" t="str">
        <f t="shared" si="363"/>
        <v/>
      </c>
      <c r="AW494" s="17" t="str">
        <f t="shared" si="364"/>
        <v/>
      </c>
      <c r="AX494" s="17" t="str">
        <f t="shared" si="365"/>
        <v/>
      </c>
    </row>
    <row r="495" spans="1:50" x14ac:dyDescent="0.25">
      <c r="A495" s="518"/>
      <c r="B495" s="504"/>
      <c r="C495" s="107" t="str">
        <f>IF(AND(ISNUMBER(B489), OR('Cost Inputs'!$H$111&lt;&gt;"", 'Cost Inputs'!$I$111&lt;&gt;"", 'Cost Inputs'!$J$111&lt;&gt;"")), _4_4_2, "")</f>
        <v/>
      </c>
      <c r="D495" s="93" t="str">
        <f>IF(AND(C495&lt;&gt;"", 'Cost Inputs'!$G$111&lt;&gt;""), 'Cost Inputs'!$G$111, "")</f>
        <v/>
      </c>
      <c r="E495" s="93" t="str">
        <f>IF(AND(C495&lt;&gt;"", 'Cost Inputs'!$H$111&lt;&gt;""), 'Cost Inputs'!$H$111, "")</f>
        <v/>
      </c>
      <c r="F495" s="93" t="str">
        <f>IF(AND(C495&lt;&gt;"", 'Cost Inputs'!$I$111&lt;&gt;""), 'Cost Inputs'!$I$111, "")</f>
        <v/>
      </c>
      <c r="G495" s="108" t="str">
        <f t="shared" si="333"/>
        <v/>
      </c>
      <c r="H495" s="93" t="str">
        <f>IF(AND(C495&lt;&gt;"", 'Cost Inputs'!$J$111&lt;&gt;""), 'Cost Inputs'!$J$111, "")</f>
        <v/>
      </c>
      <c r="I495" s="93" t="str">
        <f t="shared" si="336"/>
        <v/>
      </c>
      <c r="J495" s="93" t="str">
        <f>IF(AND(C495&lt;&gt;"",('Cost Inputs'!$I$111+'Cost Inputs'!$J$111+'Cost Inputs'!$K$111)&gt;0), 'Cost Inputs'!$I$111+'Cost Inputs'!$J$111+'Cost Inputs'!$K$111, "")</f>
        <v/>
      </c>
      <c r="K495" s="93" t="str">
        <f t="shared" si="337"/>
        <v/>
      </c>
      <c r="L495" s="525"/>
      <c r="M495" s="525"/>
      <c r="W495" s="93" t="str">
        <f t="shared" si="338"/>
        <v/>
      </c>
      <c r="X495" s="93" t="str">
        <f t="shared" si="339"/>
        <v/>
      </c>
      <c r="Y495" s="93" t="str">
        <f t="shared" si="340"/>
        <v/>
      </c>
      <c r="Z495" s="93" t="str">
        <f t="shared" si="341"/>
        <v/>
      </c>
      <c r="AA495" s="93" t="str">
        <f t="shared" si="342"/>
        <v/>
      </c>
      <c r="AB495" s="93" t="str">
        <f t="shared" si="343"/>
        <v/>
      </c>
      <c r="AC495" s="93" t="str">
        <f t="shared" si="344"/>
        <v/>
      </c>
      <c r="AD495" s="93" t="str">
        <f t="shared" si="345"/>
        <v/>
      </c>
      <c r="AE495" s="93" t="str">
        <f t="shared" si="346"/>
        <v/>
      </c>
      <c r="AF495" s="93" t="str">
        <f t="shared" si="347"/>
        <v/>
      </c>
      <c r="AG495" s="93" t="str">
        <f t="shared" si="348"/>
        <v/>
      </c>
      <c r="AH495" s="93" t="str">
        <f t="shared" si="349"/>
        <v/>
      </c>
      <c r="AI495" s="93" t="str">
        <f t="shared" si="350"/>
        <v/>
      </c>
      <c r="AJ495" s="93" t="str">
        <f t="shared" si="351"/>
        <v/>
      </c>
      <c r="AK495" s="93" t="str">
        <f t="shared" si="352"/>
        <v/>
      </c>
      <c r="AL495" s="93" t="str">
        <f t="shared" si="353"/>
        <v/>
      </c>
      <c r="AM495" s="93" t="str">
        <f t="shared" si="354"/>
        <v/>
      </c>
      <c r="AN495" s="93" t="str">
        <f t="shared" si="355"/>
        <v/>
      </c>
      <c r="AO495" s="93" t="str">
        <f t="shared" si="356"/>
        <v/>
      </c>
      <c r="AP495" s="93" t="str">
        <f t="shared" si="357"/>
        <v/>
      </c>
      <c r="AQ495" s="93" t="str">
        <f t="shared" si="358"/>
        <v/>
      </c>
      <c r="AR495" s="93" t="str">
        <f t="shared" si="359"/>
        <v/>
      </c>
      <c r="AS495" s="93" t="str">
        <f t="shared" si="360"/>
        <v/>
      </c>
      <c r="AT495" s="93" t="str">
        <f t="shared" si="361"/>
        <v/>
      </c>
      <c r="AU495" s="93" t="str">
        <f t="shared" si="362"/>
        <v/>
      </c>
      <c r="AV495" s="93" t="str">
        <f t="shared" si="363"/>
        <v/>
      </c>
      <c r="AW495" s="93" t="str">
        <f t="shared" si="364"/>
        <v/>
      </c>
      <c r="AX495" s="93" t="str">
        <f t="shared" si="365"/>
        <v/>
      </c>
    </row>
    <row r="496" spans="1:50" x14ac:dyDescent="0.25">
      <c r="A496" s="518"/>
      <c r="B496" s="504"/>
      <c r="C496" s="104" t="str">
        <f>IF(AND(ISNUMBER(B489), OR('Cost Inputs'!$H$112&lt;&gt;"", 'Cost Inputs'!$I$112&lt;&gt;"", 'Cost Inputs'!$J$112&lt;&gt;"")), _4_4_3, "")</f>
        <v/>
      </c>
      <c r="D496" s="17" t="str">
        <f>IF(AND(C496&lt;&gt;"", 'Cost Inputs'!$G$112&lt;&gt;""), 'Cost Inputs'!$G$112, "")</f>
        <v/>
      </c>
      <c r="E496" s="17" t="str">
        <f>IF(AND(C496&lt;&gt;"", 'Cost Inputs'!$H$112&lt;&gt;""), 'Cost Inputs'!$H$112, "")</f>
        <v/>
      </c>
      <c r="F496" s="17" t="str">
        <f>IF(AND(C496&lt;&gt;"", 'Cost Inputs'!$I$112&lt;&gt;""), 'Cost Inputs'!$I$112, "")</f>
        <v/>
      </c>
      <c r="G496" s="105" t="str">
        <f t="shared" si="333"/>
        <v/>
      </c>
      <c r="H496" s="17" t="str">
        <f>IF(AND(C496&lt;&gt;"", 'Cost Inputs'!$J$112&lt;&gt;""), 'Cost Inputs'!$J$112, "")</f>
        <v/>
      </c>
      <c r="I496" s="17" t="str">
        <f t="shared" si="336"/>
        <v/>
      </c>
      <c r="J496" s="17" t="str">
        <f>IF(AND(C496&lt;&gt;"",('Cost Inputs'!$I$112+'Cost Inputs'!$J$112+'Cost Inputs'!$K$112)&gt;0), 'Cost Inputs'!$I$112+'Cost Inputs'!$J$112+'Cost Inputs'!$K$112, "")</f>
        <v/>
      </c>
      <c r="K496" s="17" t="str">
        <f t="shared" si="337"/>
        <v/>
      </c>
      <c r="L496" s="525"/>
      <c r="M496" s="525"/>
      <c r="W496" s="17" t="str">
        <f t="shared" si="338"/>
        <v/>
      </c>
      <c r="X496" s="17" t="str">
        <f t="shared" si="339"/>
        <v/>
      </c>
      <c r="Y496" s="17" t="str">
        <f t="shared" si="340"/>
        <v/>
      </c>
      <c r="Z496" s="17" t="str">
        <f t="shared" si="341"/>
        <v/>
      </c>
      <c r="AA496" s="17" t="str">
        <f t="shared" si="342"/>
        <v/>
      </c>
      <c r="AB496" s="17" t="str">
        <f t="shared" si="343"/>
        <v/>
      </c>
      <c r="AC496" s="17" t="str">
        <f t="shared" si="344"/>
        <v/>
      </c>
      <c r="AD496" s="17" t="str">
        <f t="shared" si="345"/>
        <v/>
      </c>
      <c r="AE496" s="17" t="str">
        <f t="shared" si="346"/>
        <v/>
      </c>
      <c r="AF496" s="17" t="str">
        <f t="shared" si="347"/>
        <v/>
      </c>
      <c r="AG496" s="17" t="str">
        <f t="shared" si="348"/>
        <v/>
      </c>
      <c r="AH496" s="17" t="str">
        <f t="shared" si="349"/>
        <v/>
      </c>
      <c r="AI496" s="17" t="str">
        <f t="shared" si="350"/>
        <v/>
      </c>
      <c r="AJ496" s="17" t="str">
        <f t="shared" si="351"/>
        <v/>
      </c>
      <c r="AK496" s="17" t="str">
        <f t="shared" si="352"/>
        <v/>
      </c>
      <c r="AL496" s="17" t="str">
        <f t="shared" si="353"/>
        <v/>
      </c>
      <c r="AM496" s="17" t="str">
        <f t="shared" si="354"/>
        <v/>
      </c>
      <c r="AN496" s="17" t="str">
        <f t="shared" si="355"/>
        <v/>
      </c>
      <c r="AO496" s="17" t="str">
        <f t="shared" si="356"/>
        <v/>
      </c>
      <c r="AP496" s="17" t="str">
        <f t="shared" si="357"/>
        <v/>
      </c>
      <c r="AQ496" s="17" t="str">
        <f t="shared" si="358"/>
        <v/>
      </c>
      <c r="AR496" s="17" t="str">
        <f t="shared" si="359"/>
        <v/>
      </c>
      <c r="AS496" s="17" t="str">
        <f t="shared" si="360"/>
        <v/>
      </c>
      <c r="AT496" s="17" t="str">
        <f t="shared" si="361"/>
        <v/>
      </c>
      <c r="AU496" s="17" t="str">
        <f t="shared" si="362"/>
        <v/>
      </c>
      <c r="AV496" s="17" t="str">
        <f t="shared" si="363"/>
        <v/>
      </c>
      <c r="AW496" s="17" t="str">
        <f t="shared" si="364"/>
        <v/>
      </c>
      <c r="AX496" s="17" t="str">
        <f t="shared" si="365"/>
        <v/>
      </c>
    </row>
    <row r="497" spans="1:50" x14ac:dyDescent="0.25">
      <c r="A497" s="518"/>
      <c r="B497" s="504"/>
      <c r="C497" s="107" t="str">
        <f>IF(AND(ISNUMBER(B489), OR('Cost Inputs'!$H$113&lt;&gt;"", 'Cost Inputs'!$I$113&lt;&gt;"", 'Cost Inputs'!$J$113&lt;&gt;"")), _4_4_4, "")</f>
        <v/>
      </c>
      <c r="D497" s="93" t="str">
        <f>IF(AND(C497&lt;&gt;"", 'Cost Inputs'!$G$113&lt;&gt;""), 'Cost Inputs'!$G$113, "")</f>
        <v/>
      </c>
      <c r="E497" s="93" t="str">
        <f>IF(AND(C497&lt;&gt;"", 'Cost Inputs'!$H$113&lt;&gt;""), 'Cost Inputs'!$H$113, "")</f>
        <v/>
      </c>
      <c r="F497" s="93" t="str">
        <f>IF(AND(C497&lt;&gt;"", 'Cost Inputs'!$I$113&lt;&gt;""), 'Cost Inputs'!$I$113, "")</f>
        <v/>
      </c>
      <c r="G497" s="108" t="str">
        <f t="shared" si="333"/>
        <v/>
      </c>
      <c r="H497" s="93" t="str">
        <f>IF(AND(C497&lt;&gt;"", 'Cost Inputs'!$J$113&lt;&gt;""), 'Cost Inputs'!$J$113, "")</f>
        <v/>
      </c>
      <c r="I497" s="93" t="str">
        <f t="shared" si="336"/>
        <v/>
      </c>
      <c r="J497" s="93" t="str">
        <f>IF(AND(C497&lt;&gt;"",('Cost Inputs'!$I$113+'Cost Inputs'!$J$113+'Cost Inputs'!$K$113)&gt;0), 'Cost Inputs'!$I$113+'Cost Inputs'!$J$113+'Cost Inputs'!$K$113, "")</f>
        <v/>
      </c>
      <c r="K497" s="93" t="str">
        <f t="shared" si="337"/>
        <v/>
      </c>
      <c r="L497" s="525"/>
      <c r="M497" s="525"/>
      <c r="W497" s="93" t="str">
        <f t="shared" si="338"/>
        <v/>
      </c>
      <c r="X497" s="93" t="str">
        <f t="shared" si="339"/>
        <v/>
      </c>
      <c r="Y497" s="93" t="str">
        <f t="shared" si="340"/>
        <v/>
      </c>
      <c r="Z497" s="93" t="str">
        <f t="shared" si="341"/>
        <v/>
      </c>
      <c r="AA497" s="93" t="str">
        <f t="shared" si="342"/>
        <v/>
      </c>
      <c r="AB497" s="93" t="str">
        <f t="shared" si="343"/>
        <v/>
      </c>
      <c r="AC497" s="93" t="str">
        <f t="shared" si="344"/>
        <v/>
      </c>
      <c r="AD497" s="93" t="str">
        <f t="shared" si="345"/>
        <v/>
      </c>
      <c r="AE497" s="93" t="str">
        <f t="shared" si="346"/>
        <v/>
      </c>
      <c r="AF497" s="93" t="str">
        <f t="shared" si="347"/>
        <v/>
      </c>
      <c r="AG497" s="93" t="str">
        <f t="shared" si="348"/>
        <v/>
      </c>
      <c r="AH497" s="93" t="str">
        <f t="shared" si="349"/>
        <v/>
      </c>
      <c r="AI497" s="93" t="str">
        <f t="shared" si="350"/>
        <v/>
      </c>
      <c r="AJ497" s="93" t="str">
        <f t="shared" si="351"/>
        <v/>
      </c>
      <c r="AK497" s="93" t="str">
        <f t="shared" si="352"/>
        <v/>
      </c>
      <c r="AL497" s="93" t="str">
        <f t="shared" si="353"/>
        <v/>
      </c>
      <c r="AM497" s="93" t="str">
        <f t="shared" si="354"/>
        <v/>
      </c>
      <c r="AN497" s="93" t="str">
        <f t="shared" si="355"/>
        <v/>
      </c>
      <c r="AO497" s="93" t="str">
        <f t="shared" si="356"/>
        <v/>
      </c>
      <c r="AP497" s="93" t="str">
        <f t="shared" si="357"/>
        <v/>
      </c>
      <c r="AQ497" s="93" t="str">
        <f t="shared" si="358"/>
        <v/>
      </c>
      <c r="AR497" s="93" t="str">
        <f t="shared" si="359"/>
        <v/>
      </c>
      <c r="AS497" s="93" t="str">
        <f t="shared" si="360"/>
        <v/>
      </c>
      <c r="AT497" s="93" t="str">
        <f t="shared" si="361"/>
        <v/>
      </c>
      <c r="AU497" s="93" t="str">
        <f t="shared" si="362"/>
        <v/>
      </c>
      <c r="AV497" s="93" t="str">
        <f t="shared" si="363"/>
        <v/>
      </c>
      <c r="AW497" s="93" t="str">
        <f t="shared" si="364"/>
        <v/>
      </c>
      <c r="AX497" s="93" t="str">
        <f t="shared" si="365"/>
        <v/>
      </c>
    </row>
    <row r="498" spans="1:50" x14ac:dyDescent="0.25">
      <c r="A498" s="518"/>
      <c r="B498" s="504"/>
      <c r="C498" s="104" t="str">
        <f>IF(AND(ISNUMBER(B489), OR('Cost Inputs'!$H$114&lt;&gt;"", 'Cost Inputs'!$I$114&lt;&gt;"", 'Cost Inputs'!$J$114&lt;&gt;"")), _4_4_5, "")</f>
        <v/>
      </c>
      <c r="D498" s="17" t="str">
        <f>IF(AND(C498&lt;&gt;"", 'Cost Inputs'!$G$114&lt;&gt;""), 'Cost Inputs'!$G$114, "")</f>
        <v/>
      </c>
      <c r="E498" s="17" t="str">
        <f>IF(AND(C498&lt;&gt;"", 'Cost Inputs'!$H$114&lt;&gt;""), 'Cost Inputs'!$H$114, "")</f>
        <v/>
      </c>
      <c r="F498" s="17" t="str">
        <f>IF(AND(C498&lt;&gt;"", 'Cost Inputs'!$I$114&lt;&gt;""), 'Cost Inputs'!$I$114, "")</f>
        <v/>
      </c>
      <c r="G498" s="105" t="str">
        <f t="shared" si="333"/>
        <v/>
      </c>
      <c r="H498" s="17" t="str">
        <f>IF(AND(C498&lt;&gt;"", 'Cost Inputs'!$J$114&lt;&gt;""), 'Cost Inputs'!$J$114, "")</f>
        <v/>
      </c>
      <c r="I498" s="17" t="str">
        <f t="shared" si="336"/>
        <v/>
      </c>
      <c r="J498" s="17" t="str">
        <f>IF(AND(C498&lt;&gt;"",('Cost Inputs'!$I$114+'Cost Inputs'!$J$114+'Cost Inputs'!$K$114)&gt;0), 'Cost Inputs'!$I$114+'Cost Inputs'!$J$114+'Cost Inputs'!$K$114, "")</f>
        <v/>
      </c>
      <c r="K498" s="17" t="str">
        <f t="shared" si="337"/>
        <v/>
      </c>
      <c r="L498" s="525"/>
      <c r="M498" s="525"/>
      <c r="W498" s="17" t="str">
        <f t="shared" si="338"/>
        <v/>
      </c>
      <c r="X498" s="17" t="str">
        <f t="shared" si="339"/>
        <v/>
      </c>
      <c r="Y498" s="17" t="str">
        <f t="shared" si="340"/>
        <v/>
      </c>
      <c r="Z498" s="17" t="str">
        <f t="shared" si="341"/>
        <v/>
      </c>
      <c r="AA498" s="17" t="str">
        <f t="shared" si="342"/>
        <v/>
      </c>
      <c r="AB498" s="17" t="str">
        <f t="shared" si="343"/>
        <v/>
      </c>
      <c r="AC498" s="17" t="str">
        <f t="shared" si="344"/>
        <v/>
      </c>
      <c r="AD498" s="17" t="str">
        <f t="shared" si="345"/>
        <v/>
      </c>
      <c r="AE498" s="17" t="str">
        <f t="shared" si="346"/>
        <v/>
      </c>
      <c r="AF498" s="17" t="str">
        <f t="shared" si="347"/>
        <v/>
      </c>
      <c r="AG498" s="17" t="str">
        <f t="shared" si="348"/>
        <v/>
      </c>
      <c r="AH498" s="17" t="str">
        <f t="shared" si="349"/>
        <v/>
      </c>
      <c r="AI498" s="17" t="str">
        <f t="shared" si="350"/>
        <v/>
      </c>
      <c r="AJ498" s="17" t="str">
        <f t="shared" si="351"/>
        <v/>
      </c>
      <c r="AK498" s="17" t="str">
        <f t="shared" si="352"/>
        <v/>
      </c>
      <c r="AL498" s="17" t="str">
        <f t="shared" si="353"/>
        <v/>
      </c>
      <c r="AM498" s="17" t="str">
        <f t="shared" si="354"/>
        <v/>
      </c>
      <c r="AN498" s="17" t="str">
        <f t="shared" si="355"/>
        <v/>
      </c>
      <c r="AO498" s="17" t="str">
        <f t="shared" si="356"/>
        <v/>
      </c>
      <c r="AP498" s="17" t="str">
        <f t="shared" si="357"/>
        <v/>
      </c>
      <c r="AQ498" s="17" t="str">
        <f t="shared" si="358"/>
        <v/>
      </c>
      <c r="AR498" s="17" t="str">
        <f t="shared" si="359"/>
        <v/>
      </c>
      <c r="AS498" s="17" t="str">
        <f t="shared" si="360"/>
        <v/>
      </c>
      <c r="AT498" s="17" t="str">
        <f t="shared" si="361"/>
        <v/>
      </c>
      <c r="AU498" s="17" t="str">
        <f t="shared" si="362"/>
        <v/>
      </c>
      <c r="AV498" s="17" t="str">
        <f t="shared" si="363"/>
        <v/>
      </c>
      <c r="AW498" s="17" t="str">
        <f t="shared" si="364"/>
        <v/>
      </c>
      <c r="AX498" s="17" t="str">
        <f t="shared" si="365"/>
        <v/>
      </c>
    </row>
    <row r="499" spans="1:50" x14ac:dyDescent="0.25">
      <c r="A499" s="518"/>
      <c r="B499" s="504"/>
      <c r="C499" s="107" t="str">
        <f>IF(AND(ISNUMBER(B489), OR('Cost Inputs'!$H$115&lt;&gt;"", 'Cost Inputs'!$I$115&lt;&gt;"", 'Cost Inputs'!$J$115&lt;&gt;"")), _4_4_6, "")</f>
        <v/>
      </c>
      <c r="D499" s="93" t="str">
        <f>IF(AND(C499&lt;&gt;"", 'Cost Inputs'!$G$115&lt;&gt;""), 'Cost Inputs'!$G$115, "")</f>
        <v/>
      </c>
      <c r="E499" s="93" t="str">
        <f>IF(AND(C499&lt;&gt;"", 'Cost Inputs'!$H$115&lt;&gt;""), 'Cost Inputs'!$H$115, "")</f>
        <v/>
      </c>
      <c r="F499" s="93" t="str">
        <f>IF(AND(C499&lt;&gt;"", 'Cost Inputs'!$I$115&lt;&gt;""), 'Cost Inputs'!$I$115, "")</f>
        <v/>
      </c>
      <c r="G499" s="108" t="str">
        <f t="shared" si="333"/>
        <v/>
      </c>
      <c r="H499" s="93" t="str">
        <f>IF(AND(C499&lt;&gt;"", 'Cost Inputs'!$J$115&lt;&gt;""), 'Cost Inputs'!$J$115, "")</f>
        <v/>
      </c>
      <c r="I499" s="93" t="str">
        <f t="shared" si="336"/>
        <v/>
      </c>
      <c r="J499" s="93" t="str">
        <f>IF(AND(C499&lt;&gt;"",('Cost Inputs'!$I$115+'Cost Inputs'!$J$115+'Cost Inputs'!$K$115)&gt;0), 'Cost Inputs'!$I$115+'Cost Inputs'!$J$115+'Cost Inputs'!$K$115, "")</f>
        <v/>
      </c>
      <c r="K499" s="93" t="str">
        <f t="shared" si="337"/>
        <v/>
      </c>
      <c r="L499" s="525"/>
      <c r="M499" s="525"/>
      <c r="W499" s="93" t="str">
        <f t="shared" si="338"/>
        <v/>
      </c>
      <c r="X499" s="93" t="str">
        <f t="shared" si="339"/>
        <v/>
      </c>
      <c r="Y499" s="93" t="str">
        <f t="shared" si="340"/>
        <v/>
      </c>
      <c r="Z499" s="93" t="str">
        <f t="shared" si="341"/>
        <v/>
      </c>
      <c r="AA499" s="93" t="str">
        <f t="shared" si="342"/>
        <v/>
      </c>
      <c r="AB499" s="93" t="str">
        <f t="shared" si="343"/>
        <v/>
      </c>
      <c r="AC499" s="93" t="str">
        <f t="shared" si="344"/>
        <v/>
      </c>
      <c r="AD499" s="93" t="str">
        <f t="shared" si="345"/>
        <v/>
      </c>
      <c r="AE499" s="93" t="str">
        <f t="shared" si="346"/>
        <v/>
      </c>
      <c r="AF499" s="93" t="str">
        <f t="shared" si="347"/>
        <v/>
      </c>
      <c r="AG499" s="93" t="str">
        <f t="shared" si="348"/>
        <v/>
      </c>
      <c r="AH499" s="93" t="str">
        <f t="shared" si="349"/>
        <v/>
      </c>
      <c r="AI499" s="93" t="str">
        <f t="shared" si="350"/>
        <v/>
      </c>
      <c r="AJ499" s="93" t="str">
        <f t="shared" si="351"/>
        <v/>
      </c>
      <c r="AK499" s="93" t="str">
        <f t="shared" si="352"/>
        <v/>
      </c>
      <c r="AL499" s="93" t="str">
        <f t="shared" si="353"/>
        <v/>
      </c>
      <c r="AM499" s="93" t="str">
        <f t="shared" si="354"/>
        <v/>
      </c>
      <c r="AN499" s="93" t="str">
        <f t="shared" si="355"/>
        <v/>
      </c>
      <c r="AO499" s="93" t="str">
        <f t="shared" si="356"/>
        <v/>
      </c>
      <c r="AP499" s="93" t="str">
        <f t="shared" si="357"/>
        <v/>
      </c>
      <c r="AQ499" s="93" t="str">
        <f t="shared" si="358"/>
        <v/>
      </c>
      <c r="AR499" s="93" t="str">
        <f t="shared" si="359"/>
        <v/>
      </c>
      <c r="AS499" s="93" t="str">
        <f t="shared" si="360"/>
        <v/>
      </c>
      <c r="AT499" s="93" t="str">
        <f t="shared" si="361"/>
        <v/>
      </c>
      <c r="AU499" s="93" t="str">
        <f t="shared" si="362"/>
        <v/>
      </c>
      <c r="AV499" s="93" t="str">
        <f t="shared" si="363"/>
        <v/>
      </c>
      <c r="AW499" s="93" t="str">
        <f t="shared" si="364"/>
        <v/>
      </c>
      <c r="AX499" s="93" t="str">
        <f t="shared" si="365"/>
        <v/>
      </c>
    </row>
    <row r="500" spans="1:50" x14ac:dyDescent="0.25">
      <c r="A500" s="518"/>
      <c r="B500" s="504"/>
      <c r="C500" s="489" t="str">
        <f>IF('Model_ of_individuals'!C493&lt;&gt;"", "Percentage decrease in marker culling","")</f>
        <v/>
      </c>
      <c r="D500" s="490"/>
      <c r="E500" s="490"/>
      <c r="F500" s="490"/>
      <c r="G500" s="490"/>
      <c r="H500" s="490"/>
      <c r="I500" s="490"/>
      <c r="J500" s="490"/>
      <c r="K500" s="491"/>
      <c r="L500" s="525"/>
      <c r="M500" s="525"/>
      <c r="W500" s="17" t="str">
        <f>IF(OR('Breeding Inputs'!$I$17="Y",'Model_ of_individuals'!$C493&lt;&gt;""),
IF('Breeding Inputs'!$I$44="Y",
IF(OR('Breeding Inputs'!$I$45=1), 25%,
IF('Breeding Inputs'!$I$44="N",
IF('Breeding Inputs'!$I$45=1,
IF(ISNUMBER('Breeding Inputs'!$I$46),'Breeding Inputs'!$I$46,""),""),"")),""),"")</f>
        <v/>
      </c>
      <c r="X500" s="17" t="str">
        <f>IF(OR('Breeding Inputs'!$I$17="Y",'Model_ of_individuals'!$C493&lt;&gt;""),
IF('Breeding Inputs'!$I$44="Y",
IF(OR('Breeding Inputs'!$I$45=1), 25%,
IF(ISNUMBER(W500), W500,
IF('Breeding Inputs'!$I$44="N",
IF(OR('Breeding Inputs'!$I$45=1),
IF(ISNUMBER('Breeding Inputs'!$I$46),'Breeding Inputs'!$I$46,""),""),""))),""),"")</f>
        <v/>
      </c>
      <c r="Y500" s="17" t="str">
        <f>IF(OR('Breeding Inputs'!$I$17="Y",'Model_ of_individuals'!$C493&lt;&gt;""),
IF('Breeding Inputs'!$I$44="Y",
IF(OR('Breeding Inputs'!$I$45=1, 'Breeding Inputs'!$I$45=2), 25%,
IF(ISNUMBER(X500), X500,
IF('Breeding Inputs'!$I$44="N",
IF(OR('Breeding Inputs'!$I$45=1, 'Breeding Inputs'!$I$45=2),
IF(ISNUMBER('Breeding Inputs'!$I$46),'Breeding Inputs'!$I$46,""),""),""))),""),"")</f>
        <v/>
      </c>
      <c r="Z500" s="17" t="str">
        <f>IF(OR('Breeding Inputs'!$I$17="Y",'Model_ of_individuals'!$C493&lt;&gt;""),
IF('Breeding Inputs'!$I$44="Y",
IF(OR('Breeding Inputs'!$I$45=1, 'Breeding Inputs'!$I$45=3), 25%,
IF(ISNUMBER(Y500), Y500,
IF('Breeding Inputs'!$I$44="N",
IF(OR('Breeding Inputs'!$I$45=1, 'Breeding Inputs'!$I$45=3),
IF(ISNUMBER('Breeding Inputs'!$I$46),'Breeding Inputs'!$I$46,""),""),""))),""),"")</f>
        <v/>
      </c>
      <c r="AA500" s="17" t="str">
        <f>IF(OR('Breeding Inputs'!$I$17="Y",'Model_ of_individuals'!$C493&lt;&gt;""),
IF('Breeding Inputs'!$I$44="Y",
IF(OR('Breeding Inputs'!$I$45=1, 'Breeding Inputs'!$I$45=2, 'Breeding Inputs'!$I$45=4), 25%,
IF(ISNUMBER(Z500), Z500,
IF('Breeding Inputs'!$I$44="N",
IF(OR('Breeding Inputs'!$I$45=1, 'Breeding Inputs'!$I$45=2, 'Breeding Inputs'!$I$45=4),
IF(ISNUMBER('Breeding Inputs'!$I$46),'Breeding Inputs'!$I$46,""),""),""))),""),"")</f>
        <v/>
      </c>
      <c r="AB500" s="17" t="str">
        <f>IF(OR('Breeding Inputs'!$I$17="Y",'Model_ of_individuals'!$C493&lt;&gt;""),
IF('Breeding Inputs'!$I$44="Y",
IF(OR('Breeding Inputs'!$I$45=1, 'Breeding Inputs'!$I$45=5), 25%,
IF(ISNUMBER(AA500), AA500,
IF('Breeding Inputs'!$I$44="N",
IF(OR('Breeding Inputs'!$I$45=1, 'Breeding Inputs'!$I$45=5),
IF(ISNUMBER('Breeding Inputs'!$I$46),'Breeding Inputs'!$I$46,""),""),""))),""),"")</f>
        <v/>
      </c>
      <c r="AC500" s="17" t="str">
        <f>IF(OR('Breeding Inputs'!$I$17="Y",'Model_ of_individuals'!$C493&lt;&gt;""),
IF('Breeding Inputs'!$I$44="Y",
IF(OR('Breeding Inputs'!$I$45=1, 'Breeding Inputs'!$I$45=2, 'Breeding Inputs'!$I$45=3, 'Breeding Inputs'!$I$45=6), 25%,
IF(ISNUMBER(AB500), AB500,
IF('Breeding Inputs'!$I$44="N",
IF(OR('Breeding Inputs'!$I$45=1, 'Breeding Inputs'!$I$45=2, 'Breeding Inputs'!$I$45=3, 'Breeding Inputs'!$I$45=6),
IF(ISNUMBER('Breeding Inputs'!$I$46),'Breeding Inputs'!$I$46,""),""),""))),""),"")</f>
        <v/>
      </c>
      <c r="AD500" s="17" t="str">
        <f>IF(OR('Breeding Inputs'!$I$17="Y",'Model_ of_individuals'!$C493&lt;&gt;""),
IF('Breeding Inputs'!$I$44="Y",
IF(OR('Breeding Inputs'!$I$45=1, 'Breeding Inputs'!$I$45=7), 25%,
IF(ISNUMBER(AC500), AC500,
IF('Breeding Inputs'!$I$44="N",
IF(OR('Breeding Inputs'!$I$45=1, 'Breeding Inputs'!$I$45=7),
IF(ISNUMBER('Breeding Inputs'!$I$46),'Breeding Inputs'!$I$46,""),""),""))),""),"")</f>
        <v/>
      </c>
      <c r="AE500" s="17" t="str">
        <f>IF(OR('Breeding Inputs'!$I$17="Y",'Model_ of_individuals'!$C493&lt;&gt;""),
IF('Breeding Inputs'!$I$44="Y",
IF(OR('Breeding Inputs'!$I$45=1, 'Breeding Inputs'!$I$45=2, 'Breeding Inputs'!$I$45=4, 'Breeding Inputs'!$I$45=8), 25%,
IF(ISNUMBER(AD500), AD500,
IF('Breeding Inputs'!$I$44="N",
IF(OR('Breeding Inputs'!$I$45=1, 'Breeding Inputs'!$I$45=2, 'Breeding Inputs'!$I$45=4, 'Breeding Inputs'!$I$45=8),
IF(ISNUMBER('Breeding Inputs'!$I$46),'Breeding Inputs'!$I$46,""),""),""))),""),"")</f>
        <v/>
      </c>
      <c r="AF500" s="17" t="str">
        <f>IF(OR('Breeding Inputs'!$I$17="Y",'Model_ of_individuals'!$C493&lt;&gt;""),
IF('Breeding Inputs'!$I$44="Y",
IF(OR('Breeding Inputs'!$I$45=1, 'Breeding Inputs'!$I$45=3, 'Breeding Inputs'!$I$45=9), 25%,
IF(ISNUMBER(AE500), AE500,
IF('Breeding Inputs'!$I$44="N",
IF(OR('Breeding Inputs'!$I$45=1, 'Breeding Inputs'!$I$45=3, 'Breeding Inputs'!$I$45=9),
IF(ISNUMBER('Breeding Inputs'!$I$46),'Breeding Inputs'!$I$46,""),""),""))),""),"")</f>
        <v/>
      </c>
      <c r="AG500" s="17" t="str">
        <f>IF(OR('Breeding Inputs'!$I$17="Y",'Model_ of_individuals'!$C493&lt;&gt;""),
IF('Breeding Inputs'!$I$44="Y",
IF(OR('Breeding Inputs'!$I$45=1, 'Breeding Inputs'!$I$45=3, 'Breeding Inputs'!$I$45=9), 25%,
IF(ISNUMBER(AF500), AF500,
IF('Breeding Inputs'!$I$44="N",
IF(OR('Breeding Inputs'!$I$45=1, 'Breeding Inputs'!$I$45=3, 'Breeding Inputs'!$I$45=9),
IF(ISNUMBER('Breeding Inputs'!$I$46),'Breeding Inputs'!$I$46,""),""),""))),""),"")</f>
        <v/>
      </c>
      <c r="AH500" s="17" t="str">
        <f>IF(OR('Breeding Inputs'!$I$17="Y",'Model_ of_individuals'!$C493&lt;&gt;""),
IF('Breeding Inputs'!$I$44="Y",
IF(OR('Breeding Inputs'!$I$45=1, 'Breeding Inputs'!$I$45=3, 'Breeding Inputs'!$I$45=9), 25%,
IF(ISNUMBER(AG500), AG500,
IF('Breeding Inputs'!$I$44="N",
IF(OR('Breeding Inputs'!$I$45=1, 'Breeding Inputs'!$I$45=3, 'Breeding Inputs'!$I$45=9),
IF(ISNUMBER('Breeding Inputs'!$I$46),'Breeding Inputs'!$I$46,""),""),""))),""),"")</f>
        <v/>
      </c>
      <c r="AI500" s="17" t="str">
        <f>IF(OR('Breeding Inputs'!$I$17="Y",'Model_ of_individuals'!$C493&lt;&gt;""),
IF('Breeding Inputs'!$I$44="Y",
IF(OR('Breeding Inputs'!$I$45=1, 'Breeding Inputs'!$I$45=3, 'Breeding Inputs'!$I$45=9), 25%,
IF(ISNUMBER(AH500), AH500,
IF('Breeding Inputs'!$I$44="N",
IF(OR('Breeding Inputs'!$I$45=1, 'Breeding Inputs'!$I$45=3, 'Breeding Inputs'!$I$45=9),
IF(ISNUMBER('Breeding Inputs'!$I$46),'Breeding Inputs'!$I$46,""),""),""))),""),"")</f>
        <v/>
      </c>
      <c r="AJ500" s="17" t="str">
        <f>IF(OR('Breeding Inputs'!$I$17="Y",'Model_ of_individuals'!$C493&lt;&gt;""),
IF('Breeding Inputs'!$I$44="Y",
IF(OR('Breeding Inputs'!$I$45=1, 'Breeding Inputs'!$I$45=3, 'Breeding Inputs'!$I$45=9), 25%,
IF(ISNUMBER(AI500), AI500,
IF('Breeding Inputs'!$I$44="N",
IF(OR('Breeding Inputs'!$I$45=1, 'Breeding Inputs'!$I$45=3, 'Breeding Inputs'!$I$45=9),
IF(ISNUMBER('Breeding Inputs'!$I$46),'Breeding Inputs'!$I$46,""),""),""))),""),"")</f>
        <v/>
      </c>
      <c r="AK500" s="17" t="str">
        <f>IF(OR('Breeding Inputs'!$I$17="Y",'Model_ of_individuals'!$C493&lt;&gt;""),
IF('Breeding Inputs'!$I$44="Y",
IF(OR('Breeding Inputs'!$I$45=1, 'Breeding Inputs'!$I$45=3, 'Breeding Inputs'!$I$45=9), 25%,
IF(ISNUMBER(AJ500), AJ500,
IF('Breeding Inputs'!$I$44="N",
IF(OR('Breeding Inputs'!$I$45=1, 'Breeding Inputs'!$I$45=3, 'Breeding Inputs'!$I$45=9),
IF(ISNUMBER('Breeding Inputs'!$I$46),'Breeding Inputs'!$I$46,""),""),""))),""),"")</f>
        <v/>
      </c>
      <c r="AL500" s="17" t="str">
        <f>IF(OR('Breeding Inputs'!$I$17="Y",'Model_ of_individuals'!$C493&lt;&gt;""),
IF('Breeding Inputs'!$I$44="Y",
IF(OR('Breeding Inputs'!$I$45=1, 'Breeding Inputs'!$I$45=3, 'Breeding Inputs'!$I$45=9), 25%,
IF(ISNUMBER(AK500), AK500,
IF('Breeding Inputs'!$I$44="N",
IF(OR('Breeding Inputs'!$I$45=1, 'Breeding Inputs'!$I$45=3, 'Breeding Inputs'!$I$45=9),
IF(ISNUMBER('Breeding Inputs'!$I$46),'Breeding Inputs'!$I$46,""),""),""))),""),"")</f>
        <v/>
      </c>
      <c r="AM500" s="17" t="str">
        <f>IF(OR('Breeding Inputs'!$I$17="Y",'Model_ of_individuals'!$C493&lt;&gt;""),
IF('Breeding Inputs'!$I$44="Y",
IF(OR('Breeding Inputs'!$I$45=1, 'Breeding Inputs'!$I$45=3, 'Breeding Inputs'!$I$45=9), 25%,
IF(ISNUMBER(AL500), AL500,
IF('Breeding Inputs'!$I$44="N",
IF(OR('Breeding Inputs'!$I$45=1, 'Breeding Inputs'!$I$45=3, 'Breeding Inputs'!$I$45=9),
IF(ISNUMBER('Breeding Inputs'!$I$46),'Breeding Inputs'!$I$46,""),""),""))),""),"")</f>
        <v/>
      </c>
      <c r="AN500" s="17" t="str">
        <f>IF(OR('Breeding Inputs'!$I$17="Y",'Model_ of_individuals'!$C493&lt;&gt;""),
IF('Breeding Inputs'!$I$44="Y",
IF(OR('Breeding Inputs'!$I$45=1, 'Breeding Inputs'!$I$45=3, 'Breeding Inputs'!$I$45=9), 25%,
IF(ISNUMBER(AM500), AM500,
IF('Breeding Inputs'!$I$44="N",
IF(OR('Breeding Inputs'!$I$45=1, 'Breeding Inputs'!$I$45=3, 'Breeding Inputs'!$I$45=9),
IF(ISNUMBER('Breeding Inputs'!$I$46),'Breeding Inputs'!$I$46,""),""),""))),""),"")</f>
        <v/>
      </c>
      <c r="AO500" s="17" t="str">
        <f>IF(OR('Breeding Inputs'!$I$17="Y",'Model_ of_individuals'!$C493&lt;&gt;""),
IF('Breeding Inputs'!$I$44="Y",
IF(OR('Breeding Inputs'!$I$45=1, 'Breeding Inputs'!$I$45=3, 'Breeding Inputs'!$I$45=9), 25%,
IF(ISNUMBER(AN500), AN500,
IF('Breeding Inputs'!$I$44="N",
IF(OR('Breeding Inputs'!$I$45=1, 'Breeding Inputs'!$I$45=3, 'Breeding Inputs'!$I$45=9),
IF(ISNUMBER('Breeding Inputs'!$I$46),'Breeding Inputs'!$I$46,""),""),""))),""),"")</f>
        <v/>
      </c>
      <c r="AP500" s="17" t="str">
        <f>IF(OR('Breeding Inputs'!$I$17="Y",'Model_ of_individuals'!$C493&lt;&gt;""),
IF('Breeding Inputs'!$I$44="Y",
IF(OR('Breeding Inputs'!$I$45=1, 'Breeding Inputs'!$I$45=3, 'Breeding Inputs'!$I$45=9), 25%,
IF(ISNUMBER(AO500), AO500,
IF('Breeding Inputs'!$I$44="N",
IF(OR('Breeding Inputs'!$I$45=1, 'Breeding Inputs'!$I$45=3, 'Breeding Inputs'!$I$45=9),
IF(ISNUMBER('Breeding Inputs'!$I$46),'Breeding Inputs'!$I$46,""),""),""))),""),"")</f>
        <v/>
      </c>
      <c r="AQ500" s="17" t="str">
        <f>IF(OR('Breeding Inputs'!$I$17="Y",'Model_ of_individuals'!$C493&lt;&gt;""),
IF('Breeding Inputs'!$I$44="Y",
IF(OR('Breeding Inputs'!$I$45=1, 'Breeding Inputs'!$I$45=3, 'Breeding Inputs'!$I$45=9), 25%,
IF(ISNUMBER(AP500), AP500,
IF('Breeding Inputs'!$I$44="N",
IF(OR('Breeding Inputs'!$I$45=1, 'Breeding Inputs'!$I$45=3, 'Breeding Inputs'!$I$45=9),
IF(ISNUMBER('Breeding Inputs'!$I$46),'Breeding Inputs'!$I$46,""),""),""))),""),"")</f>
        <v/>
      </c>
      <c r="AR500" s="17" t="str">
        <f>IF(OR('Breeding Inputs'!$I$17="Y",'Model_ of_individuals'!$C493&lt;&gt;""),
IF('Breeding Inputs'!$I$44="Y",
IF(OR('Breeding Inputs'!$I$45=1, 'Breeding Inputs'!$I$45=3, 'Breeding Inputs'!$I$45=9), 25%,
IF(ISNUMBER(AQ500), AQ500,
IF('Breeding Inputs'!$I$44="N",
IF(OR('Breeding Inputs'!$I$45=1, 'Breeding Inputs'!$I$45=3, 'Breeding Inputs'!$I$45=9),
IF(ISNUMBER('Breeding Inputs'!$I$46),'Breeding Inputs'!$I$46,""),""),""))),""),"")</f>
        <v/>
      </c>
      <c r="AS500" s="17" t="str">
        <f>IF(OR('Breeding Inputs'!$I$17="Y",'Model_ of_individuals'!$C493&lt;&gt;""),
IF('Breeding Inputs'!$I$44="Y",
IF(OR('Breeding Inputs'!$I$45=1, 'Breeding Inputs'!$I$45=3, 'Breeding Inputs'!$I$45=9), 25%,
IF(ISNUMBER(AR500), AR500,
IF('Breeding Inputs'!$I$44="N",
IF(OR('Breeding Inputs'!$I$45=1, 'Breeding Inputs'!$I$45=3, 'Breeding Inputs'!$I$45=9),
IF(ISNUMBER('Breeding Inputs'!$I$46),'Breeding Inputs'!$I$46,""),""),""))),""),"")</f>
        <v/>
      </c>
      <c r="AT500" s="17" t="str">
        <f>IF(OR('Breeding Inputs'!$I$17="Y",'Model_ of_individuals'!$C493&lt;&gt;""),
IF('Breeding Inputs'!$I$44="Y",
IF(OR('Breeding Inputs'!$I$45=1, 'Breeding Inputs'!$I$45=3, 'Breeding Inputs'!$I$45=9), 25%,
IF(ISNUMBER(AS500), AS500,
IF('Breeding Inputs'!$I$44="N",
IF(OR('Breeding Inputs'!$I$45=1, 'Breeding Inputs'!$I$45=3, 'Breeding Inputs'!$I$45=9),
IF(ISNUMBER('Breeding Inputs'!$I$46),'Breeding Inputs'!$I$46,""),""),""))),""),"")</f>
        <v/>
      </c>
      <c r="AU500" s="17" t="str">
        <f>IF(OR('Breeding Inputs'!$I$17="Y",'Model_ of_individuals'!$C493&lt;&gt;""),
IF('Breeding Inputs'!$I$44="Y",
IF(OR('Breeding Inputs'!$I$45=1, 'Breeding Inputs'!$I$45=3, 'Breeding Inputs'!$I$45=9), 25%,
IF(ISNUMBER(AT500), AT500,
IF('Breeding Inputs'!$I$44="N",
IF(OR('Breeding Inputs'!$I$45=1, 'Breeding Inputs'!$I$45=3, 'Breeding Inputs'!$I$45=9),
IF(ISNUMBER('Breeding Inputs'!$I$46),'Breeding Inputs'!$I$46,""),""),""))),""),"")</f>
        <v/>
      </c>
      <c r="AV500" s="17" t="str">
        <f>IF(OR('Breeding Inputs'!$I$17="Y",'Model_ of_individuals'!$C493&lt;&gt;""),
IF('Breeding Inputs'!$I$44="Y",
IF(OR('Breeding Inputs'!$I$45=1, 'Breeding Inputs'!$I$45=3, 'Breeding Inputs'!$I$45=9), 25%,
IF(ISNUMBER(AU500), AU500,
IF('Breeding Inputs'!$I$44="N",
IF(OR('Breeding Inputs'!$I$45=1, 'Breeding Inputs'!$I$45=3, 'Breeding Inputs'!$I$45=9),
IF(ISNUMBER('Breeding Inputs'!$I$46),'Breeding Inputs'!$I$46,""),""),""))),""),"")</f>
        <v/>
      </c>
      <c r="AW500" s="17" t="str">
        <f>IF(OR('Breeding Inputs'!$I$17="Y",'Model_ of_individuals'!$C493&lt;&gt;""),
IF('Breeding Inputs'!$I$44="Y",
IF(OR('Breeding Inputs'!$I$45=1, 'Breeding Inputs'!$I$45=3, 'Breeding Inputs'!$I$45=9), 25%,
IF(ISNUMBER(AV500), AV500,
IF('Breeding Inputs'!$I$44="N",
IF(OR('Breeding Inputs'!$I$45=1, 'Breeding Inputs'!$I$45=3, 'Breeding Inputs'!$I$45=9),
IF(ISNUMBER('Breeding Inputs'!$I$46),'Breeding Inputs'!$I$46,""),""),""))),""),"")</f>
        <v/>
      </c>
      <c r="AX500" s="17" t="str">
        <f>IF(OR('Breeding Inputs'!$I$17="Y",'Model_ of_individuals'!$C493&lt;&gt;""),
IF('Breeding Inputs'!$I$44="Y",
IF(OR('Breeding Inputs'!$I$45=1, 'Breeding Inputs'!$I$45=3, 'Breeding Inputs'!$I$45=9), 25%,
IF(ISNUMBER(AW500), AW500,
IF('Breeding Inputs'!$I$44="N",
IF(OR('Breeding Inputs'!$I$45=1, 'Breeding Inputs'!$I$45=3, 'Breeding Inputs'!$I$45=9),
IF(ISNUMBER('Breeding Inputs'!$I$46),'Breeding Inputs'!$I$46,""),""),""))),""),"")</f>
        <v/>
      </c>
    </row>
    <row r="501" spans="1:50" x14ac:dyDescent="0.25">
      <c r="A501" s="518"/>
      <c r="B501" s="504"/>
      <c r="C501" s="521" t="str">
        <f>IF(AND(B489&lt;&gt;"", ISNUMBER(B489), ISNUMBER(Stage2EvaluationBegins)), IF((INDEX(ProgramYearStage2,MATCH(Stage2EvaluationBegins,Years_in_Stage2,0)))=B489, _4_5_0, IF(AND(B489&lt;&gt;"", C477&lt;&gt;""), _4_5_0, IF(AND(B489&lt;&gt;"", ISNUMBER(B489), OR(Stage2EvaluationBegins=0, Stage2EvaluationBegins="")),"", ""))),"")</f>
        <v/>
      </c>
      <c r="D501" s="94" t="str">
        <f>IF(AND(C501&lt;&gt;"", 'Cost Inputs'!$G$116&lt;&gt;""), 'Cost Inputs'!$G$116, "")</f>
        <v/>
      </c>
      <c r="E501" s="94" t="str">
        <f>IF(AND(C501&lt;&gt;"", 'Cost Inputs'!$H$116&lt;&gt;""), 'Cost Inputs'!$H$116, "")</f>
        <v/>
      </c>
      <c r="F501" s="492" t="str">
        <f>IF(AND(C501&lt;&gt;"", 'Cost Inputs'!$I$116&lt;&gt;""), 'Cost Inputs'!$I$116, "")</f>
        <v/>
      </c>
      <c r="G501" s="102" t="str">
        <f t="shared" si="333"/>
        <v/>
      </c>
      <c r="H501" s="492" t="str">
        <f>IF(AND(C501&lt;&gt;"", 'Cost Inputs'!$J$116&lt;&gt;""), 'Cost Inputs'!$J$116, "")</f>
        <v/>
      </c>
      <c r="I501" s="102" t="str">
        <f>IF($C501&lt;&gt;"",IF(AND($E501&lt;&gt;"",H501&lt;&gt;""), H501/$E501, 0),"")</f>
        <v/>
      </c>
      <c r="J501" s="492" t="str">
        <f>IF(AND(C501&lt;&gt;"",('Cost Inputs'!$I$116+'Cost Inputs'!$J$116+'Cost Inputs'!$K$116)&gt;0), 'Cost Inputs'!$I$116+'Cost Inputs'!$J$116+'Cost Inputs'!$K$116, "")</f>
        <v/>
      </c>
      <c r="K501" s="102" t="str">
        <f>IF($C501&lt;&gt;"",IF(AND($E501&lt;&gt;"",J501&lt;&gt;""), J501/$E501, 0),"")</f>
        <v/>
      </c>
      <c r="L501" s="525"/>
      <c r="M501" s="525"/>
      <c r="W501" s="496" t="str">
        <f t="shared" ref="W501:W508" si="366">IF(ISNUMBER($B$489),
IF($C501&lt;&gt;"",
IF(AND(ISNUMBER(V$488), V$488&gt;0),
IF(AND(W$279=123, Cultivar_1_Cohort_Year_Selection=$O$278,Cultivar_2_Cohort_Year_Selection=$O$278,Cultivar_3_Cohort_Year_Selection=$O$278), ROUND(MAX(0,V$488 - 3),0),
IF(AND(OR(W$279=123, W$279=12), Cultivar_1_Cohort_Year_Selection=$O$278,Cultivar_2_Cohort_Year_Selection=$O$278), ROUND(MAX(0,V$488 - 2),0),
IF(AND(OR(W$279=123, W$279=13), Cultivar_1_Cohort_Year_Selection=$O$278,Cultivar_3_Cohort_Year_Selection=$O$278), ROUND(MAX(0,V$488 - 2),0),
IF(AND(OR(W$279=123, W$279=23), Cultivar_2_Cohort_Year_Selection=$O$278,Cultivar_3_Cohort_Year_Selection=$O$278), ROUND(MAX(0,V$488 - 2),0),
IF(AND(OR(W$279=123, W$279=12, W$279=13, W$279=1), Cultivar_1_Cohort_Year_Selection=$O$278), ROUND(MAX(0,V$488 - 1),0),
IF(AND(OR(W$279=123, W$279=12, W$279=23, W$279=2), Cultivar_2_Cohort_Year_Selection=$O$278), ROUND(MAX(0,V$488 - 1),0),
IF(AND(OR(W$279=123, W$279=13, W$279=23, W$279=3), Cultivar_3_Cohort_Year_Selection=$O$278), ROUND(MAX(0,V$488 - 1),0),
ROUND(MAX(0,V$488),0)))))))),""),""),"")</f>
        <v/>
      </c>
      <c r="X501" s="496" t="str">
        <f t="shared" ref="X501:X508" si="367">IF(ISNUMBER($B$489),
IF($C501&lt;&gt;"",
IF(AND(ISNUMBER(W$488), W$488&gt;0),
IF(AND(X$279=123, Cultivar_1_Cohort_Year_Selection=$P$278,Cultivar_2_Cohort_Year_Selection=$P$278,Cultivar_3_Cohort_Year_Selection=$P$278), ROUND(MAX(0,W$488 - 3),0),
IF(AND(OR(X$279=123, X$279=12), Cultivar_1_Cohort_Year_Selection=$P$278,Cultivar_2_Cohort_Year_Selection=$P$278), ROUND(MAX(0,W$488 - 2),0),
IF(AND(OR(X$279=123, X$279=13), Cultivar_1_Cohort_Year_Selection=$P$278,Cultivar_3_Cohort_Year_Selection=$P$278), ROUND(MAX(0,W$488 - 2),0),
IF(AND(OR(X$279=123, X$279=23), Cultivar_2_Cohort_Year_Selection=$P$278,Cultivar_3_Cohort_Year_Selection=$P$278), ROUND(MAX(0,W$488 - 2),0),
IF(AND(OR(X$279=123, X$279=12, X$279=13, X$279=1), Cultivar_1_Cohort_Year_Selection=$P$278), ROUND(MAX(0,W$488 - 1),0),
IF(AND(OR(X$279=123, X$279=12, X$279=23, X$279=2), Cultivar_2_Cohort_Year_Selection=$P$278), ROUND(MAX(0,W$488 - 1),0),
IF(AND(OR(X$279=123, X$279=13, X$279=23, X$279=3), Cultivar_3_Cohort_Year_Selection=$P$278), ROUND(MAX(0,W$488 - 1),0),
ROUND(MAX(0,W$488),0)))))))),""),""),"")</f>
        <v/>
      </c>
      <c r="Y501" s="496" t="str">
        <f t="shared" ref="Y501:Y508" si="368">IF(ISNUMBER($B$489),
IF($C501&lt;&gt;"",
IF(AND(ISNUMBER(X$488), X$488&gt;0),
IF(AND(Y$279=123, Cultivar_1_Cohort_Year_Selection=$Q$278,Cultivar_2_Cohort_Year_Selection=$Q$278,Cultivar_3_Cohort_Year_Selection=$Q$278), ROUND(MAX(0,X$488 - 3),0),
IF(AND(OR(Y$279=123, Y$279=12), Cultivar_1_Cohort_Year_Selection=$Q$278,Cultivar_2_Cohort_Year_Selection=$Q$278), ROUND(MAX(0,X$488 - 2),0),
IF(AND(OR(Y$279=123, Y$279=13), Cultivar_1_Cohort_Year_Selection=$Q$278,Cultivar_3_Cohort_Year_Selection=$Q$278), ROUND(MAX(0,X$488 - 2),0),
IF(AND(OR(Y$279=123, Y$279=23), Cultivar_2_Cohort_Year_Selection=$Q$278,Cultivar_3_Cohort_Year_Selection=$Q$278), ROUND(MAX(0,X$488 - 2),0),
IF(AND(OR(Y$279=123, Y$279=12, Y$279=13, Y$279=1), Cultivar_1_Cohort_Year_Selection=$Q$278), ROUND(MAX(0,X$488 - 1),0),
IF(AND(OR(Y$279=123, Y$279=12, Y$279=23, Y$279=2), Cultivar_2_Cohort_Year_Selection=$Q$278), ROUND(MAX(0,X$488 - 1),0),
IF(AND(OR(Y$279=123, Y$279=13, Y$279=23, Y$279=3), Cultivar_3_Cohort_Year_Selection=$Q$278), ROUND(MAX(0,X$488 - 1),0),
ROUND(MAX(0,X$488),0)))))))),""),""),"")</f>
        <v/>
      </c>
      <c r="Z501" s="496" t="str">
        <f t="shared" ref="Z501:Z508" si="369">IF(ISNUMBER($B$489),
IF($C501&lt;&gt;"",
IF(AND(ISNUMBER(Y$488), Y$488&gt;0),
IF(AND(Z$279=123, Cultivar_1_Cohort_Year_Selection=$R$278,Cultivar_2_Cohort_Year_Selection=$R$278,Cultivar_3_Cohort_Year_Selection=$R$278), ROUND(MAX(0,Y$488 - 3),0),
IF(AND(OR(Z$279=123, Z$279=12), Cultivar_1_Cohort_Year_Selection=$R$278,Cultivar_2_Cohort_Year_Selection=$R$278), ROUND(MAX(0,Y$488 - 2),0),
IF(AND(OR(Z$279=123, Z$279=13), Cultivar_1_Cohort_Year_Selection=$R$278,Cultivar_3_Cohort_Year_Selection=$R$278), ROUND(MAX(0,Y$488 - 2),0),
IF(AND(OR(Z$279=123, Z$279=23), Cultivar_2_Cohort_Year_Selection=$R$278,Cultivar_3_Cohort_Year_Selection=$R$278), ROUND(MAX(0,Y$488 - 2),0),
IF(AND(OR(Z$279=123, Z$279=12, Z$279=13, Z$279=1), Cultivar_1_Cohort_Year_Selection=$R$278), ROUND(MAX(0,Y$488 - 1),0),
IF(AND(OR(Z$279=123, Z$279=12, Z$279=23, Z$279=2), Cultivar_2_Cohort_Year_Selection=$R$278), ROUND(MAX(0,Y$488 - 1),0),
IF(AND(OR(Z$279=123, Z$279=13, Z$279=23, Z$279=3), Cultivar_3_Cohort_Year_Selection=$R$278), ROUND(MAX(0,Y$488 - 1),0),
ROUND(MAX(0,Y$488),0)))))))),""),""),"")</f>
        <v/>
      </c>
      <c r="AA501" s="496" t="str">
        <f t="shared" ref="AA501:AA508" si="370">IF(ISNUMBER($B$489),
IF($C501&lt;&gt;"",
IF(AND(ISNUMBER(Z$488), Z$488&gt;0),
IF(AND(AA$279=123, Cultivar_1_Cohort_Year_Selection=$S$278,Cultivar_2_Cohort_Year_Selection=$S$278,Cultivar_3_Cohort_Year_Selection=$S$278), ROUND(MAX(0,Z$488 - 3),0),
IF(AND(OR(AA$279=123, AA$279=12), Cultivar_1_Cohort_Year_Selection=$S$278,Cultivar_2_Cohort_Year_Selection=$S$278), ROUND(MAX(0,Z$488 - 2),0),
IF(AND(OR(AA$279=123, AA$279=13), Cultivar_1_Cohort_Year_Selection=$S$278,Cultivar_3_Cohort_Year_Selection=$S$278), ROUND(MAX(0,Z$488 - 2),0),
IF(AND(OR(AA$279=123, AA$279=23), Cultivar_2_Cohort_Year_Selection=$S$278,Cultivar_3_Cohort_Year_Selection=$S$278), ROUND(MAX(0,Z$488 - 2),0),
IF(AND(OR(AA$279=123, AA$279=12, AA$279=13, AA$279=1), Cultivar_1_Cohort_Year_Selection=$S$278), ROUND(MAX(0,Z$488 - 1),0),
IF(AND(OR(AA$279=123, AA$279=12, AA$279=23, AA$279=2), Cultivar_2_Cohort_Year_Selection=$S$278), ROUND(MAX(0,Z$488 - 1),0),
IF(AND(OR(AA$279=123, AA$279=13, AA$279=23, AA$279=3), Cultivar_3_Cohort_Year_Selection=$S$278), ROUND(MAX(0,Z$488 - 1),0),
ROUND(MAX(0,Z$488),0)))))))),""),""),"")</f>
        <v/>
      </c>
      <c r="AB501" s="496" t="str">
        <f t="shared" ref="AB501:AB508" si="371">IF(ISNUMBER($B$489),
IF($C501&lt;&gt;"",
IF(AND(ISNUMBER(AA$488), AA$488&gt;0),
IF(AND(AB$279=123, Cultivar_1_Cohort_Year_Selection=$T$278,Cultivar_2_Cohort_Year_Selection=$T$278,Cultivar_3_Cohort_Year_Selection=$T$278), ROUND(MAX(0,AA$488 - 3),0),
IF(AND(OR(AB$279=123, AB$279=12), Cultivar_1_Cohort_Year_Selection=$T$278,Cultivar_2_Cohort_Year_Selection=$T$278), ROUND(MAX(0,AA$488 - 2),0),
IF(AND(OR(AB$279=123, AB$279=13), Cultivar_1_Cohort_Year_Selection=$T$278,Cultivar_3_Cohort_Year_Selection=$T$278), ROUND(MAX(0,AA$488 - 2),0),
IF(AND(OR(AB$279=123, AB$279=23), Cultivar_2_Cohort_Year_Selection=$T$278,Cultivar_3_Cohort_Year_Selection=$T$278), ROUND(MAX(0,AA$488 - 2),0),
IF(AND(OR(AB$279=123, AB$279=12, AB$279=13, AB$279=1), Cultivar_1_Cohort_Year_Selection=$T$278), ROUND(MAX(0,AA$488 - 1),0),
IF(AND(OR(AB$279=123, AB$279=12, AB$279=23, AB$279=2), Cultivar_2_Cohort_Year_Selection=$T$278), ROUND(MAX(0,AA$488 - 1),0),
IF(AND(OR(AB$279=123, AB$279=13, AB$279=23, AB$279=3), Cultivar_3_Cohort_Year_Selection=$T$278), ROUND(MAX(0,AA$488 - 1),0),
ROUND(MAX(0,AA$488),0)))))))),""),""),"")</f>
        <v/>
      </c>
      <c r="AC501" s="496" t="str">
        <f t="shared" ref="AC501:AC508" si="372">IF(ISNUMBER($B$489),
IF($C501&lt;&gt;"",
IF(AND(ISNUMBER(AB$488), AB$488&gt;0),
IF(AND(AC$279=123, Cultivar_1_Cohort_Year_Selection=$U$278,Cultivar_2_Cohort_Year_Selection=$U$278,Cultivar_3_Cohort_Year_Selection=$U$278), ROUND(MAX(0,AB$488 - 3),0),
IF(AND(OR(AC$279=123, AC$279=12), Cultivar_1_Cohort_Year_Selection=$U$278,Cultivar_2_Cohort_Year_Selection=$U$278), ROUND(MAX(0,AB$488 - 2),0),
IF(AND(OR(AC$279=123, AC$279=13), Cultivar_1_Cohort_Year_Selection=$U$278,Cultivar_3_Cohort_Year_Selection=$U$278), ROUND(MAX(0,AB$488 - 2),0),
IF(AND(OR(AC$279=123, AC$279=23), Cultivar_2_Cohort_Year_Selection=$U$278,Cultivar_3_Cohort_Year_Selection=$U$278), ROUND(MAX(0,AB$488 - 2),0),
IF(AND(OR(AC$279=123, AC$279=12, AC$279=13, AC$279=1), Cultivar_1_Cohort_Year_Selection=$U$278), ROUND(MAX(0,AB$488 - 1),0),
IF(AND(OR(AC$279=123, AC$279=12, AC$279=23, AC$279=2), Cultivar_2_Cohort_Year_Selection=$U$278), ROUND(MAX(0,AB$488 - 1),0),
IF(AND(OR(AC$279=123, AC$279=13, AC$279=23, AC$279=3), Cultivar_3_Cohort_Year_Selection=$U$278), ROUND(MAX(0,AB$488 - 1),0),
ROUND(MAX(0,AB$488),0)))))))),""),""),"")</f>
        <v/>
      </c>
      <c r="AD501" s="496" t="str">
        <f t="shared" ref="AD501:AD508" si="373">IF(ISNUMBER($B$489),
IF($C501&lt;&gt;"",
IF(AND(ISNUMBER(AC$488), AC$488&gt;0),
IF(AND(AD$279=123, Cultivar_1_Cohort_Year_Selection=$V$278,Cultivar_2_Cohort_Year_Selection=$V$278,Cultivar_3_Cohort_Year_Selection=$V$278), ROUND(MAX(0,AC$488 - 3),0),
IF(AND(OR(AD$279=123, AD$279=12), Cultivar_1_Cohort_Year_Selection=$V$278,Cultivar_2_Cohort_Year_Selection=$V$278), ROUND(MAX(0,AC$488 - 2),0),
IF(AND(OR(AD$279=123, AD$279=13), Cultivar_1_Cohort_Year_Selection=$V$278,Cultivar_3_Cohort_Year_Selection=$V$278), ROUND(MAX(0,AC$488 - 2),0),
IF(AND(OR(AD$279=123, AD$279=23), Cultivar_2_Cohort_Year_Selection=$V$278,Cultivar_3_Cohort_Year_Selection=$V$278), ROUND(MAX(0,AC$488 - 2),0),
IF(AND(OR(AD$279=123, AD$279=12, AD$279=13, AD$279=1), Cultivar_1_Cohort_Year_Selection=$V$278), ROUND(MAX(0,AC$488 - 1),0),
IF(AND(OR(AD$279=123, AD$279=12, AD$279=23, AD$279=2), Cultivar_2_Cohort_Year_Selection=$V$278), ROUND(MAX(0,AC$488 - 1),0),
IF(AND(OR(AD$279=123, AD$279=13, AD$279=23, AD$279=3), Cultivar_3_Cohort_Year_Selection=$V$278), ROUND(MAX(0,AC$488 - 1),0),
ROUND(MAX(0,AC$488),0)))))))),""),""),"")</f>
        <v/>
      </c>
      <c r="AE501" s="496" t="str">
        <f t="shared" ref="AE501:AE508" si="374">IF(ISNUMBER($B$489),
IF($C501&lt;&gt;"",
IF(AND(ISNUMBER(AD$488), AD$488&gt;0),
IF(AND(AE$279=123, Cultivar_1_Cohort_Year_Selection=$W$278,Cultivar_2_Cohort_Year_Selection=$W$278,Cultivar_3_Cohort_Year_Selection=$W$278), ROUND(MAX(0,AD$488 - 3),0),
IF(AND(OR(AE$279=123, AE$279=12), Cultivar_1_Cohort_Year_Selection=$W$278,Cultivar_2_Cohort_Year_Selection=$W$278), ROUND(MAX(0,AD$488 - 2),0),
IF(AND(OR(AE$279=123, AE$279=13), Cultivar_1_Cohort_Year_Selection=$W$278,Cultivar_3_Cohort_Year_Selection=$W$278), ROUND(MAX(0,AD$488 - 2),0),
IF(AND(OR(AE$279=123, AE$279=23), Cultivar_2_Cohort_Year_Selection=$W$278,Cultivar_3_Cohort_Year_Selection=$W$278), ROUND(MAX(0,AD$488 - 2),0),
IF(AND(OR(AE$279=123, AE$279=12, AE$279=13, AE$279=1), Cultivar_1_Cohort_Year_Selection=$W$278), ROUND(MAX(0,AD$488 - 1),0),
IF(AND(OR(AE$279=123, AE$279=12, AE$279=23, AE$279=2), Cultivar_2_Cohort_Year_Selection=$W$278), ROUND(MAX(0,AD$488 - 1),0),
IF(AND(OR(AE$279=123, AE$279=13, AE$279=23, AE$279=3), Cultivar_3_Cohort_Year_Selection=$W$278), ROUND(MAX(0,AD$488 - 1),0),
ROUND(MAX(0,AD$488),0)))))))),""),""),"")</f>
        <v/>
      </c>
      <c r="AF501" s="496" t="str">
        <f t="shared" ref="AF501:AF508" si="375">IF(ISNUMBER($B$489),
IF($C501&lt;&gt;"",
IF(AND(ISNUMBER(AE$488), AE$488&gt;0),
IF(AND(AF$279=123, Cultivar_1_Cohort_Year_Selection=$X$278,Cultivar_2_Cohort_Year_Selection=$X$278,Cultivar_3_Cohort_Year_Selection=$X$278), ROUND(MAX(0,AE$488 - 3),0),
IF(AND(OR(AF$279=123, AF$279=12), Cultivar_1_Cohort_Year_Selection=$X$278,Cultivar_2_Cohort_Year_Selection=$X$278), ROUND(MAX(0,AE$488 - 2),0),
IF(AND(OR(AF$279=123, AF$279=13), Cultivar_1_Cohort_Year_Selection=$X$278,Cultivar_3_Cohort_Year_Selection=$X$278), ROUND(MAX(0,AE$488 - 2),0),
IF(AND(OR(AF$279=123, AF$279=23), Cultivar_2_Cohort_Year_Selection=$X$278,Cultivar_3_Cohort_Year_Selection=$X$278), ROUND(MAX(0,AE$488 - 2),0),
IF(AND(OR(AF$279=123, AF$279=12, AF$279=13, AF$279=1), Cultivar_1_Cohort_Year_Selection=$X$278), ROUND(MAX(0,AE$488 - 1),0),
IF(AND(OR(AF$279=123, AF$279=12, AF$279=23, AF$279=2), Cultivar_2_Cohort_Year_Selection=$X$278), ROUND(MAX(0,AE$488 - 1),0),
IF(AND(OR(AF$279=123, AF$279=13, AF$279=23, AF$279=3), Cultivar_3_Cohort_Year_Selection=$X$278), ROUND(MAX(0,AE$488 - 1),0),
ROUND(MAX(0,AE$488),0)))))))),""),""),"")</f>
        <v/>
      </c>
      <c r="AG501" s="496" t="str">
        <f t="shared" ref="AG501:AG508" si="376">IF(ISNUMBER($B$489),
IF($C501&lt;&gt;"",
IF(AND(ISNUMBER(AF$488), AF$488&gt;0),
IF(AND(AG$279=123, Cultivar_1_Cohort_Year_Selection=$Y$278,Cultivar_2_Cohort_Year_Selection=$Y$278,Cultivar_3_Cohort_Year_Selection=$Y$278), ROUND(MAX(0,AF$488 - 3),0),
IF(AND(OR(AG$279=123, AG$279=12), Cultivar_1_Cohort_Year_Selection=$Y$278,Cultivar_2_Cohort_Year_Selection=$Y$278), ROUND(MAX(0,AF$488 - 2),0),
IF(AND(OR(AG$279=123, AG$279=13), Cultivar_1_Cohort_Year_Selection=$Y$278,Cultivar_3_Cohort_Year_Selection=$Y$278), ROUND(MAX(0,AF$488 - 2),0),
IF(AND(OR(AG$279=123, AG$279=23), Cultivar_2_Cohort_Year_Selection=$Y$278,Cultivar_3_Cohort_Year_Selection=$Y$278), ROUND(MAX(0,AF$488 - 2),0),
IF(AND(OR(AG$279=123, AG$279=12, AG$279=13, AG$279=1), Cultivar_1_Cohort_Year_Selection=$Y$278), ROUND(MAX(0,AF$488 - 1),0),
IF(AND(OR(AG$279=123, AG$279=12, AG$279=23, AG$279=2), Cultivar_2_Cohort_Year_Selection=$Y$278), ROUND(MAX(0,AF$488 - 1),0),
IF(AND(OR(AG$279=123, AG$279=13, AG$279=23, AG$279=3), Cultivar_3_Cohort_Year_Selection=$Y$278), ROUND(MAX(0,AF$488 - 1),0),
ROUND(MAX(0,AF$488),0)))))))),""),""),"")</f>
        <v/>
      </c>
      <c r="AH501" s="496" t="str">
        <f t="shared" ref="AH501:AH508" si="377">IF(ISNUMBER($B$489),
IF($C501&lt;&gt;"",
IF(AND(ISNUMBER(AG$488), AG$488&gt;0),
IF(AND(AH$279=123, Cultivar_1_Cohort_Year_Selection=$Z$278,Cultivar_2_Cohort_Year_Selection=$Z$278,Cultivar_3_Cohort_Year_Selection=$Z$278), ROUND(MAX(0,AG$488 - 3),0),
IF(AND(OR(AH$279=123, AH$279=12), Cultivar_1_Cohort_Year_Selection=$Z$278,Cultivar_2_Cohort_Year_Selection=$Z$278), ROUND(MAX(0,AG$488 - 2),0),
IF(AND(OR(AH$279=123, AH$279=13), Cultivar_1_Cohort_Year_Selection=$Z$278,Cultivar_3_Cohort_Year_Selection=$Z$278), ROUND(MAX(0,AG$488 - 2),0),
IF(AND(OR(AH$279=123, AH$279=23), Cultivar_2_Cohort_Year_Selection=$Z$278,Cultivar_3_Cohort_Year_Selection=$Z$278), ROUND(MAX(0,AG$488 - 2),0),
IF(AND(OR(AH$279=123, AH$279=12, AH$279=13, AH$279=1), Cultivar_1_Cohort_Year_Selection=$Z$278), ROUND(MAX(0,AG$488 - 1),0),
IF(AND(OR(AH$279=123, AH$279=12, AH$279=23, AH$279=2), Cultivar_2_Cohort_Year_Selection=$Z$278), ROUND(MAX(0,AG$488 - 1),0),
IF(AND(OR(AH$279=123, AH$279=13, AH$279=23, AH$279=3), Cultivar_3_Cohort_Year_Selection=$Z$278), ROUND(MAX(0,AG$488 - 1),0),
ROUND(MAX(0,AG$488),0)))))))),""),""),"")</f>
        <v/>
      </c>
      <c r="AI501" s="496" t="str">
        <f t="shared" ref="AI501:AI508" si="378">IF(ISNUMBER($B$489),
IF($C501&lt;&gt;"",
IF(AND(ISNUMBER(AH$488), AH$488&gt;0),
IF(AND(AI$279=123, Cultivar_1_Cohort_Year_Selection=$AA$278,Cultivar_2_Cohort_Year_Selection=$AA$278,Cultivar_3_Cohort_Year_Selection=$AA$278), ROUND(MAX(0,AH$488 - 3),0),
IF(AND(OR(AI$279=123, AI$279=12), Cultivar_1_Cohort_Year_Selection=$AA$278,Cultivar_2_Cohort_Year_Selection=$AA$278), ROUND(MAX(0,AH$488 - 2),0),
IF(AND(OR(AI$279=123, AI$279=13), Cultivar_1_Cohort_Year_Selection=$AA$278,Cultivar_3_Cohort_Year_Selection=$AA$278), ROUND(MAX(0,AH$488 - 2),0),
IF(AND(OR(AI$279=123, AI$279=23), Cultivar_2_Cohort_Year_Selection=$AA$278,Cultivar_3_Cohort_Year_Selection=$AA$278), ROUND(MAX(0,AH$488 - 2),0),
IF(AND(OR(AI$279=123, AI$279=12, AI$279=13, AI$279=1), Cultivar_1_Cohort_Year_Selection=$AA$278), ROUND(MAX(0,AH$488 - 1),0),
IF(AND(OR(AI$279=123, AI$279=12, AI$279=23, AI$279=2), Cultivar_2_Cohort_Year_Selection=$AA$278), ROUND(MAX(0,AH$488 - 1),0),
IF(AND(OR(AI$279=123, AI$279=13, AI$279=23, AI$279=3), Cultivar_3_Cohort_Year_Selection=$AA$278), ROUND(MAX(0,AH$488 - 1),0),
ROUND(MAX(0,AH$488),0)))))))),""),""),"")</f>
        <v/>
      </c>
      <c r="AJ501" s="496" t="str">
        <f t="shared" ref="AJ501:AJ508" si="379">IF(ISNUMBER($B$489),
IF($C501&lt;&gt;"",
IF(AND(ISNUMBER(AI$488), AI$488&gt;0),
IF(AND(AJ$279=123, Cultivar_1_Cohort_Year_Selection=$AB$278,Cultivar_2_Cohort_Year_Selection=$AB$278,Cultivar_3_Cohort_Year_Selection=$AB$278), ROUND(MAX(0,AI$488 - 3),0),
IF(AND(OR(AJ$279=123, AJ$279=12), Cultivar_1_Cohort_Year_Selection=$AB$278,Cultivar_2_Cohort_Year_Selection=$AB$278), ROUND(MAX(0,AI$488 - 2),0),
IF(AND(OR(AJ$279=123, AJ$279=13), Cultivar_1_Cohort_Year_Selection=$AB$278,Cultivar_3_Cohort_Year_Selection=$AB$278), ROUND(MAX(0,AI$488 - 2),0),
IF(AND(OR(AJ$279=123, AJ$279=23), Cultivar_2_Cohort_Year_Selection=$AB$278,Cultivar_3_Cohort_Year_Selection=$AB$278), ROUND(MAX(0,AI$488 - 2),0),
IF(AND(OR(AJ$279=123, AJ$279=12, AJ$279=13, AJ$279=1), Cultivar_1_Cohort_Year_Selection=$AB$278), ROUND(MAX(0,AI$488 - 1),0),
IF(AND(OR(AJ$279=123, AJ$279=12, AJ$279=23, AJ$279=2), Cultivar_2_Cohort_Year_Selection=$AB$278), ROUND(MAX(0,AI$488 - 1),0),
IF(AND(OR(AJ$279=123, AJ$279=13, AJ$279=23, AJ$279=3), Cultivar_3_Cohort_Year_Selection=$AB$278), ROUND(MAX(0,AI$488 - 1),0),
ROUND(MAX(0,AI$488),0)))))))),""),""),"")</f>
        <v/>
      </c>
      <c r="AK501" s="496" t="str">
        <f t="shared" ref="AK501:AK508" si="380">IF(ISNUMBER($B$489),
IF($C501&lt;&gt;"",
IF(AND(ISNUMBER(AJ$488), AJ$488&gt;0),
IF(AND(AK$279=123, Cultivar_1_Cohort_Year_Selection=$AC$278,Cultivar_2_Cohort_Year_Selection=$AC$278,Cultivar_3_Cohort_Year_Selection=$AC$278), ROUND(MAX(0,AJ$488 - 3),0),
IF(AND(OR(AK$279=123, AK$279=12), Cultivar_1_Cohort_Year_Selection=$AC$278,Cultivar_2_Cohort_Year_Selection=$AC$278), ROUND(MAX(0,AJ$488 - 2),0),
IF(AND(OR(AK$279=123, AK$279=13), Cultivar_1_Cohort_Year_Selection=$AC$278,Cultivar_3_Cohort_Year_Selection=$AC$278), ROUND(MAX(0,AJ$488 - 2),0),
IF(AND(OR(AK$279=123, AK$279=23), Cultivar_2_Cohort_Year_Selection=$AC$278,Cultivar_3_Cohort_Year_Selection=$AC$278), ROUND(MAX(0,AJ$488 - 2),0),
IF(AND(OR(AK$279=123, AK$279=12, AK$279=13, AK$279=1), Cultivar_1_Cohort_Year_Selection=$AC$278), ROUND(MAX(0,AJ$488 - 1),0),
IF(AND(OR(AK$279=123, AK$279=12, AK$279=23, AK$279=2), Cultivar_2_Cohort_Year_Selection=$AC$278), ROUND(MAX(0,AJ$488 - 1),0),
IF(AND(OR(AK$279=123, AK$279=13, AK$279=23, AK$279=3), Cultivar_3_Cohort_Year_Selection=$AC$278), ROUND(MAX(0,AJ$488 - 1),0),
ROUND(MAX(0,AJ$488),0)))))))),""),""),"")</f>
        <v/>
      </c>
      <c r="AL501" s="496" t="str">
        <f t="shared" ref="AL501:AL508" si="381">IF(ISNUMBER($B$489),
IF($C501&lt;&gt;"",
IF(AND(ISNUMBER(AK$488), AK$488&gt;0),
IF(AND(AL$279=123, Cultivar_1_Cohort_Year_Selection=$AD$278,Cultivar_2_Cohort_Year_Selection=$AD$278,Cultivar_3_Cohort_Year_Selection=$AD$278), ROUND(MAX(0,AK$488 - 3),0),
IF(AND(OR(AL$279=123, AL$279=12), Cultivar_1_Cohort_Year_Selection=$AD$278,Cultivar_2_Cohort_Year_Selection=$AD$278), ROUND(MAX(0,AK$488 - 2),0),
IF(AND(OR(AL$279=123, AL$279=13), Cultivar_1_Cohort_Year_Selection=$AD$278,Cultivar_3_Cohort_Year_Selection=$AD$278), ROUND(MAX(0,AK$488 - 2),0),
IF(AND(OR(AL$279=123, AL$279=23), Cultivar_2_Cohort_Year_Selection=$AD$278,Cultivar_3_Cohort_Year_Selection=$AD$278), ROUND(MAX(0,AK$488 - 2),0),
IF(AND(OR(AL$279=123, AL$279=12, AL$279=13, AL$279=1), Cultivar_1_Cohort_Year_Selection=$AD$278), ROUND(MAX(0,AK$488 - 1),0),
IF(AND(OR(AL$279=123, AL$279=12, AL$279=23, AL$279=2), Cultivar_2_Cohort_Year_Selection=$AD$278), ROUND(MAX(0,AK$488 - 1),0),
IF(AND(OR(AL$279=123, AL$279=13, AL$279=23, AL$279=3), Cultivar_3_Cohort_Year_Selection=$AD$278), ROUND(MAX(0,AK$488 - 1),0),
ROUND(MAX(0,AK$488),0)))))))),""),""),"")</f>
        <v/>
      </c>
      <c r="AM501" s="496" t="str">
        <f t="shared" ref="AM501:AM508" si="382">IF(ISNUMBER($B$489),
IF($C501&lt;&gt;"",
IF(AND(ISNUMBER(AL$488), AL$488&gt;0),
IF(AND(AM$279=123, Cultivar_1_Cohort_Year_Selection=$AE$278,Cultivar_2_Cohort_Year_Selection=$AE$278,Cultivar_3_Cohort_Year_Selection=$AE$278), ROUND(MAX(0,AL$488 - 3),0),
IF(AND(OR(AM$279=123, AM$279=12), Cultivar_1_Cohort_Year_Selection=$AE$278,Cultivar_2_Cohort_Year_Selection=$AE$278), ROUND(MAX(0,AL$488 - 2),0),
IF(AND(OR(AM$279=123, AM$279=13), Cultivar_1_Cohort_Year_Selection=$AE$278,Cultivar_3_Cohort_Year_Selection=$AE$278), ROUND(MAX(0,AL$488 - 2),0),
IF(AND(OR(AM$279=123, AM$279=23), Cultivar_2_Cohort_Year_Selection=$AE$278,Cultivar_3_Cohort_Year_Selection=$AE$278), ROUND(MAX(0,AL$488 - 2),0),
IF(AND(OR(AM$279=123, AM$279=12, AM$279=13, AM$279=1), Cultivar_1_Cohort_Year_Selection=$AE$278), ROUND(MAX(0,AL$488 - 1),0),
IF(AND(OR(AM$279=123, AM$279=12, AM$279=23, AM$279=2), Cultivar_2_Cohort_Year_Selection=$AE$278), ROUND(MAX(0,AL$488 - 1),0),
IF(AND(OR(AM$279=123, AM$279=13, AM$279=23, AM$279=3), Cultivar_3_Cohort_Year_Selection=$AE$278), ROUND(MAX(0,AL$488 - 1),0),
ROUND(MAX(0,AL$488),0)))))))),""),""),"")</f>
        <v/>
      </c>
      <c r="AN501" s="496" t="str">
        <f t="shared" ref="AN501:AN508" si="383">IF(ISNUMBER($B$489),
IF($C501&lt;&gt;"",
IF(AND(ISNUMBER(AM$488), AM$488&gt;0),
IF(AND(AN$279=123, Cultivar_1_Cohort_Year_Selection=$AF$278,Cultivar_2_Cohort_Year_Selection=$AF$278,Cultivar_3_Cohort_Year_Selection=$AF$278), ROUND(MAX(0,AM$488 - 3),0),
IF(AND(OR(AN$279=123, AN$279=12), Cultivar_1_Cohort_Year_Selection=$AF$278,Cultivar_2_Cohort_Year_Selection=$AF$278), ROUND(MAX(0,AM$488 - 2),0),
IF(AND(OR(AN$279=123, AN$279=13), Cultivar_1_Cohort_Year_Selection=$AF$278,Cultivar_3_Cohort_Year_Selection=$AF$278), ROUND(MAX(0,AM$488 - 2),0),
IF(AND(OR(AN$279=123, AN$279=23), Cultivar_2_Cohort_Year_Selection=$AF$278,Cultivar_3_Cohort_Year_Selection=$AF$278), ROUND(MAX(0,AM$488 - 2),0),
IF(AND(OR(AN$279=123, AN$279=12, AN$279=13, AN$279=1), Cultivar_1_Cohort_Year_Selection=$AF$278), ROUND(MAX(0,AM$488 - 1),0),
IF(AND(OR(AN$279=123, AN$279=12, AN$279=23, AN$279=2), Cultivar_2_Cohort_Year_Selection=$AF$278), ROUND(MAX(0,AM$488 - 1),0),
IF(AND(OR(AN$279=123, AN$279=13, AN$279=23, AN$279=3), Cultivar_3_Cohort_Year_Selection=$AF$278), ROUND(MAX(0,AM$488 - 1),0),
ROUND(MAX(0,AM$488),0)))))))),""),""),"")</f>
        <v/>
      </c>
      <c r="AO501" s="496" t="str">
        <f t="shared" ref="AO501:AO508" si="384">IF(ISNUMBER($B$489),
IF($C501&lt;&gt;"",
IF(AND(ISNUMBER(AN$488), AN$488&gt;0),
IF(AND(AO$279=123, Cultivar_1_Cohort_Year_Selection=$AG$278,Cultivar_2_Cohort_Year_Selection=$AG$278,Cultivar_3_Cohort_Year_Selection=$AG$278), ROUND(MAX(0,AN$488 - 3),0),
IF(AND(OR(AO$279=123, AO$279=12), Cultivar_1_Cohort_Year_Selection=$AG$278,Cultivar_2_Cohort_Year_Selection=$AG$278), ROUND(MAX(0,AN$488 - 2),0),
IF(AND(OR(AO$279=123, AO$279=13), Cultivar_1_Cohort_Year_Selection=$AG$278,Cultivar_3_Cohort_Year_Selection=$AG$278), ROUND(MAX(0,AN$488 - 2),0),
IF(AND(OR(AO$279=123, AO$279=23), Cultivar_2_Cohort_Year_Selection=$AG$278,Cultivar_3_Cohort_Year_Selection=$AG$278), ROUND(MAX(0,AN$488 - 2),0),
IF(AND(OR(AO$279=123, AO$279=12, AO$279=13, AO$279=1), Cultivar_1_Cohort_Year_Selection=$AG$278), ROUND(MAX(0,AN$488 - 1),0),
IF(AND(OR(AO$279=123, AO$279=12, AO$279=23, AO$279=2), Cultivar_2_Cohort_Year_Selection=$AG$278), ROUND(MAX(0,AN$488 - 1),0),
IF(AND(OR(AO$279=123, AO$279=13, AO$279=23, AO$279=3), Cultivar_3_Cohort_Year_Selection=$AG$278), ROUND(MAX(0,AN$488 - 1),0),
ROUND(MAX(0,AN$488),0)))))))),""),""),"")</f>
        <v/>
      </c>
      <c r="AP501" s="496" t="str">
        <f t="shared" ref="AP501:AP508" si="385">IF(ISNUMBER($B$489),
IF($C501&lt;&gt;"",
IF(AND(ISNUMBER(AO$488), AO$488&gt;0),
IF(AND(AP$279=123, Cultivar_1_Cohort_Year_Selection=$AH$278,Cultivar_2_Cohort_Year_Selection=$AH$278,Cultivar_3_Cohort_Year_Selection=$AH$278), ROUND(MAX(0,AO$488 - 3),0),
IF(AND(OR(AP$279=123, AP$279=12), Cultivar_1_Cohort_Year_Selection=$AH$278,Cultivar_2_Cohort_Year_Selection=$AH$278), ROUND(MAX(0,AO$488 - 2),0),
IF(AND(OR(AP$279=123, AP$279=13), Cultivar_1_Cohort_Year_Selection=$AH$278,Cultivar_3_Cohort_Year_Selection=$AH$278), ROUND(MAX(0,AO$488 - 2),0),
IF(AND(OR(AP$279=123, AP$279=23), Cultivar_2_Cohort_Year_Selection=$AH$278,Cultivar_3_Cohort_Year_Selection=$AH$278), ROUND(MAX(0,AO$488 - 2),0),
IF(AND(OR(AP$279=123, AP$279=12, AP$279=13, AP$279=1), Cultivar_1_Cohort_Year_Selection=$AH$278), ROUND(MAX(0,AO$488 - 1),0),
IF(AND(OR(AP$279=123, AP$279=12, AP$279=23, AP$279=2), Cultivar_2_Cohort_Year_Selection=$AH$278), ROUND(MAX(0,AO$488 - 1),0),
IF(AND(OR(AP$279=123, AP$279=13, AP$279=23, AP$279=3), Cultivar_3_Cohort_Year_Selection=$AH$278), ROUND(MAX(0,AO$488 - 1),0),
ROUND(MAX(0,AO$488),0)))))))),""),""),"")</f>
        <v/>
      </c>
      <c r="AQ501" s="496" t="str">
        <f t="shared" ref="AQ501:AQ508" si="386">IF(ISNUMBER($B$489),
IF($C501&lt;&gt;"",
IF(AND(ISNUMBER(AP$488), AP$488&gt;0),
IF(AND(AQ$279=123, Cultivar_1_Cohort_Year_Selection=$AI$278,Cultivar_2_Cohort_Year_Selection=$AI$278,Cultivar_3_Cohort_Year_Selection=$AI$278), ROUND(MAX(0,AP$488 - 3),0),
IF(AND(OR(AQ$279=123, AQ$279=12), Cultivar_1_Cohort_Year_Selection=$AI$278,Cultivar_2_Cohort_Year_Selection=$AI$278), ROUND(MAX(0,AP$488 - 2),0),
IF(AND(OR(AQ$279=123, AQ$279=13), Cultivar_1_Cohort_Year_Selection=$AI$278,Cultivar_3_Cohort_Year_Selection=$AI$278), ROUND(MAX(0,AP$488 - 2),0),
IF(AND(OR(AQ$279=123, AQ$279=23), Cultivar_2_Cohort_Year_Selection=$AI$278,Cultivar_3_Cohort_Year_Selection=$AI$278), ROUND(MAX(0,AP$488 - 2),0),
IF(AND(OR(AQ$279=123, AQ$279=12, AQ$279=13, AQ$279=1), Cultivar_1_Cohort_Year_Selection=$AI$278), ROUND(MAX(0,AP$488 - 1),0),
IF(AND(OR(AQ$279=123, AQ$279=12, AQ$279=23, AQ$279=2), Cultivar_2_Cohort_Year_Selection=$AI$278), ROUND(MAX(0,AP$488 - 1),0),
IF(AND(OR(AQ$279=123, AQ$279=13, AQ$279=23, AQ$279=3), Cultivar_3_Cohort_Year_Selection=$AI$278), ROUND(MAX(0,AP$488 - 1),0),
ROUND(MAX(0,AP$488),0)))))))),""),""),"")</f>
        <v/>
      </c>
      <c r="AR501" s="496" t="str">
        <f t="shared" ref="AR501:AR508" si="387">IF(ISNUMBER($B$489),
IF($C501&lt;&gt;"",
IF(AND(ISNUMBER(AQ$488), AQ$488&gt;0),
IF(AND(AR$279=123, Cultivar_1_Cohort_Year_Selection=$AJ$278,Cultivar_2_Cohort_Year_Selection=$AJ$278,Cultivar_3_Cohort_Year_Selection=$AJ$278), ROUND(MAX(0,AQ$488 - 3),0),
IF(AND(OR(AR$279=123, AR$279=12), Cultivar_1_Cohort_Year_Selection=$AJ$278,Cultivar_2_Cohort_Year_Selection=$AJ$278), ROUND(MAX(0,AQ$488 - 2),0),
IF(AND(OR(AR$279=123, AR$279=13), Cultivar_1_Cohort_Year_Selection=$AJ$278,Cultivar_3_Cohort_Year_Selection=$AJ$278), ROUND(MAX(0,AQ$488 - 2),0),
IF(AND(OR(AR$279=123, AR$279=23), Cultivar_2_Cohort_Year_Selection=$AJ$278,Cultivar_3_Cohort_Year_Selection=$AJ$278), ROUND(MAX(0,AQ$488 - 2),0),
IF(AND(OR(AR$279=123, AR$279=12, AR$279=13, AR$279=1), Cultivar_1_Cohort_Year_Selection=$AJ$278), ROUND(MAX(0,AQ$488 - 1),0),
IF(AND(OR(AR$279=123, AR$279=12, AR$279=23, AR$279=2), Cultivar_2_Cohort_Year_Selection=$AJ$278), ROUND(MAX(0,AQ$488 - 1),0),
IF(AND(OR(AR$279=123, AR$279=13, AR$279=23, AR$279=3), Cultivar_3_Cohort_Year_Selection=$AJ$278), ROUND(MAX(0,AQ$488 - 1),0),
ROUND(MAX(0,AQ$488),0)))))))),""),""),"")</f>
        <v/>
      </c>
      <c r="AS501" s="496" t="str">
        <f t="shared" ref="AS501:AS508" si="388">IF(ISNUMBER($B$489),
IF($C501&lt;&gt;"",
IF(AND(ISNUMBER(AR$488), AR$488&gt;0),
IF(AND(AS$279=123, Cultivar_1_Cohort_Year_Selection=$AK$278,Cultivar_2_Cohort_Year_Selection=$AK$278,Cultivar_3_Cohort_Year_Selection=$AK$278), ROUND(MAX(0,AR$488 - 3),0),
IF(AND(OR(AS$279=123, AS$279=12), Cultivar_1_Cohort_Year_Selection=$AK$278,Cultivar_2_Cohort_Year_Selection=$AK$278), ROUND(MAX(0,AR$488 - 2),0),
IF(AND(OR(AS$279=123, AS$279=13), Cultivar_1_Cohort_Year_Selection=$AK$278,Cultivar_3_Cohort_Year_Selection=$AK$278), ROUND(MAX(0,AR$488 - 2),0),
IF(AND(OR(AS$279=123, AS$279=23), Cultivar_2_Cohort_Year_Selection=$AK$278,Cultivar_3_Cohort_Year_Selection=$AK$278), ROUND(MAX(0,AR$488 - 2),0),
IF(AND(OR(AS$279=123, AS$279=12, AS$279=13, AS$279=1), Cultivar_1_Cohort_Year_Selection=$AK$278), ROUND(MAX(0,AR$488 - 1),0),
IF(AND(OR(AS$279=123, AS$279=12, AS$279=23, AS$279=2), Cultivar_2_Cohort_Year_Selection=$AK$278), ROUND(MAX(0,AR$488 - 1),0),
IF(AND(OR(AS$279=123, AS$279=13, AS$279=23, AS$279=3), Cultivar_3_Cohort_Year_Selection=$AK$278), ROUND(MAX(0,AR$488 - 1),0),
ROUND(MAX(0,AR$488),0)))))))),""),""),"")</f>
        <v/>
      </c>
      <c r="AT501" s="496" t="str">
        <f t="shared" ref="AT501:AT508" si="389">IF(ISNUMBER($B$489),
IF($C501&lt;&gt;"",
IF(AND(ISNUMBER(AS$488), AS$488&gt;0),
IF(AND(AT$279=123, Cultivar_1_Cohort_Year_Selection=$AL$278,Cultivar_2_Cohort_Year_Selection=$AL$278,Cultivar_3_Cohort_Year_Selection=$AL$278), ROUND(MAX(0,AS$488 - 3),0),
IF(AND(OR(AT$279=123, AT$279=12), Cultivar_1_Cohort_Year_Selection=$AL$278,Cultivar_2_Cohort_Year_Selection=$AL$278), ROUND(MAX(0,AS$488 - 2),0),
IF(AND(OR(AT$279=123, AT$279=13), Cultivar_1_Cohort_Year_Selection=$AL$278,Cultivar_3_Cohort_Year_Selection=$AL$278), ROUND(MAX(0,AS$488 - 2),0),
IF(AND(OR(AT$279=123, AT$279=23), Cultivar_2_Cohort_Year_Selection=$AL$278,Cultivar_3_Cohort_Year_Selection=$AL$278), ROUND(MAX(0,AS$488 - 2),0),
IF(AND(OR(AT$279=123, AT$279=12, AT$279=13, AT$279=1), Cultivar_1_Cohort_Year_Selection=$AL$278), ROUND(MAX(0,AS$488 - 1),0),
IF(AND(OR(AT$279=123, AT$279=12, AT$279=23, AT$279=2), Cultivar_2_Cohort_Year_Selection=$AL$278), ROUND(MAX(0,AS$488 - 1),0),
IF(AND(OR(AT$279=123, AT$279=13, AT$279=23, AT$279=3), Cultivar_3_Cohort_Year_Selection=$AL$278), ROUND(MAX(0,AS$488 - 1),0),
ROUND(MAX(0,AS$488),0)))))))),""),""),"")</f>
        <v/>
      </c>
      <c r="AU501" s="496" t="str">
        <f t="shared" ref="AU501:AU508" si="390">IF(ISNUMBER($B$489),
IF($C501&lt;&gt;"",
IF(AND(ISNUMBER(AT$488), AT$488&gt;0),
IF(AND(AU$279=123, Cultivar_1_Cohort_Year_Selection=$AM$278,Cultivar_2_Cohort_Year_Selection=$AM$278,Cultivar_3_Cohort_Year_Selection=$AM$278), ROUND(MAX(0,AT$488 - 3),0),
IF(AND(OR(AU$279=123, AU$279=12), Cultivar_1_Cohort_Year_Selection=$AM$278,Cultivar_2_Cohort_Year_Selection=$AM$278), ROUND(MAX(0,AT$488 - 2),0),
IF(AND(OR(AU$279=123, AU$279=13), Cultivar_1_Cohort_Year_Selection=$AM$278,Cultivar_3_Cohort_Year_Selection=$AM$278), ROUND(MAX(0,AT$488 - 2),0),
IF(AND(OR(AU$279=123, AU$279=23), Cultivar_2_Cohort_Year_Selection=$AM$278,Cultivar_3_Cohort_Year_Selection=$AM$278), ROUND(MAX(0,AT$488 - 2),0),
IF(AND(OR(AU$279=123, AU$279=12, AU$279=13, AU$279=1), Cultivar_1_Cohort_Year_Selection=$AM$278), ROUND(MAX(0,AT$488 - 1),0),
IF(AND(OR(AU$279=123, AU$279=12, AU$279=23, AU$279=2), Cultivar_2_Cohort_Year_Selection=$AM$278), ROUND(MAX(0,AT$488 - 1),0),
IF(AND(OR(AU$279=123, AU$279=13, AU$279=23, AU$279=3), Cultivar_3_Cohort_Year_Selection=$AM$278), ROUND(MAX(0,AT$488 - 1),0),
ROUND(MAX(0,AT$488),0)))))))),""),""),"")</f>
        <v/>
      </c>
      <c r="AV501" s="496" t="str">
        <f t="shared" ref="AV501:AV508" si="391">IF(ISNUMBER($B$489),
IF($C501&lt;&gt;"",
IF(AND(ISNUMBER(AU$488), AU$488&gt;0),
IF(AND(AV$279=123, Cultivar_1_Cohort_Year_Selection=$AN$278,Cultivar_2_Cohort_Year_Selection=$AN$278,Cultivar_3_Cohort_Year_Selection=$AN$278), ROUND(MAX(0,AU$488 - 3),0),
IF(AND(OR(AV$279=123, AV$279=12), Cultivar_1_Cohort_Year_Selection=$AN$278,Cultivar_2_Cohort_Year_Selection=$AN$278), ROUND(MAX(0,AU$488 - 2),0),
IF(AND(OR(AV$279=123, AV$279=13), Cultivar_1_Cohort_Year_Selection=$AN$278,Cultivar_3_Cohort_Year_Selection=$AN$278), ROUND(MAX(0,AU$488 - 2),0),
IF(AND(OR(AV$279=123, AV$279=23), Cultivar_2_Cohort_Year_Selection=$AN$278,Cultivar_3_Cohort_Year_Selection=$AN$278), ROUND(MAX(0,AU$488 - 2),0),
IF(AND(OR(AV$279=123, AV$279=12, AV$279=13, AV$279=1), Cultivar_1_Cohort_Year_Selection=$AN$278), ROUND(MAX(0,AU$488 - 1),0),
IF(AND(OR(AV$279=123, AV$279=12, AV$279=23, AV$279=2), Cultivar_2_Cohort_Year_Selection=$AN$278), ROUND(MAX(0,AU$488 - 1),0),
IF(AND(OR(AV$279=123, AV$279=13, AV$279=23, AV$279=3), Cultivar_3_Cohort_Year_Selection=$AN$278), ROUND(MAX(0,AU$488 - 1),0),
ROUND(MAX(0,AU$488),0)))))))),""),""),"")</f>
        <v/>
      </c>
      <c r="AW501" s="496" t="str">
        <f t="shared" ref="AW501:AW508" si="392">IF(ISNUMBER($B$489),
IF($C501&lt;&gt;"",
IF(AND(ISNUMBER(AV$488), AV$488&gt;0),
IF(AND(AW$279=123, Cultivar_1_Cohort_Year_Selection=$AO$278,Cultivar_2_Cohort_Year_Selection=$AO$278,Cultivar_3_Cohort_Year_Selection=$AO$278), ROUND(MAX(0,AV$488 - 3),0),
IF(AND(OR(AW$279=123, AW$279=12), Cultivar_1_Cohort_Year_Selection=$AO$278,Cultivar_2_Cohort_Year_Selection=$AO$278), ROUND(MAX(0,AV$488 - 2),0),
IF(AND(OR(AW$279=123, AW$279=13), Cultivar_1_Cohort_Year_Selection=$AO$278,Cultivar_3_Cohort_Year_Selection=$AO$278), ROUND(MAX(0,AV$488 - 2),0),
IF(AND(OR(AW$279=123, AW$279=23), Cultivar_2_Cohort_Year_Selection=$AO$278,Cultivar_3_Cohort_Year_Selection=$AO$278), ROUND(MAX(0,AV$488 - 2),0),
IF(AND(OR(AW$279=123, AW$279=12, AW$279=13, AW$279=1), Cultivar_1_Cohort_Year_Selection=$AO$278), ROUND(MAX(0,AV$488 - 1),0),
IF(AND(OR(AW$279=123, AW$279=12, AW$279=23, AW$279=2), Cultivar_2_Cohort_Year_Selection=$AO$278), ROUND(MAX(0,AV$488 - 1),0),
IF(AND(OR(AW$279=123, AW$279=13, AW$279=23, AW$279=3), Cultivar_3_Cohort_Year_Selection=$AO$278), ROUND(MAX(0,AV$488 - 1),0),
ROUND(MAX(0,AV$488),0)))))))),""),""),"")</f>
        <v/>
      </c>
      <c r="AX501" s="496" t="str">
        <f t="shared" ref="AX501:AX508" si="393">IF(ISNUMBER($B$489),
IF($C501&lt;&gt;"",
IF(AND(ISNUMBER(AW$488), AW$488&gt;0),
IF(AND(AX$279=123, Cultivar_1_Cohort_Year_Selection=$AP$278,Cultivar_2_Cohort_Year_Selection=$AP$278,Cultivar_3_Cohort_Year_Selection=$AP$278), ROUND(MAX(0,AW$488 - 3),0),
IF(AND(OR(AX$279=123, AX$279=12), Cultivar_1_Cohort_Year_Selection=$AP$278,Cultivar_2_Cohort_Year_Selection=$AP$278), ROUND(MAX(0,AW$488 - 2),0),
IF(AND(OR(AX$279=123, AX$279=13), Cultivar_1_Cohort_Year_Selection=$AP$278,Cultivar_3_Cohort_Year_Selection=$AP$278), ROUND(MAX(0,AW$488 - 2),0),
IF(AND(OR(AX$279=123, AX$279=23), Cultivar_2_Cohort_Year_Selection=$AP$278,Cultivar_3_Cohort_Year_Selection=$AP$278), ROUND(MAX(0,AW$488 - 2),0),
IF(AND(OR(AX$279=123, AX$279=12, AX$279=13, AX$279=1), Cultivar_1_Cohort_Year_Selection=$AP$278), ROUND(MAX(0,AW$488 - 1),0),
IF(AND(OR(AX$279=123, AX$279=12, AX$279=23, AX$279=2), Cultivar_2_Cohort_Year_Selection=$AP$278), ROUND(MAX(0,AW$488 - 1),0),
IF(AND(OR(AX$279=123, AX$279=13, AX$279=23, AX$279=3), Cultivar_3_Cohort_Year_Selection=$AP$278), ROUND(MAX(0,AW$488 - 1),0),
ROUND(MAX(0,AW$488),0)))))))),""),""),"")</f>
        <v/>
      </c>
    </row>
    <row r="502" spans="1:50" x14ac:dyDescent="0.25">
      <c r="A502" s="518"/>
      <c r="B502" s="504"/>
      <c r="C502" s="521"/>
      <c r="D502" s="94" t="str">
        <f>IF(AND(C501&lt;&gt;"", 'Cost Inputs'!$G$117&lt;&gt;""), 'Cost Inputs'!$G$117, "")</f>
        <v/>
      </c>
      <c r="E502" s="94" t="str">
        <f>IF(AND(C501&lt;&gt;"", 'Cost Inputs'!$H$117&lt;&gt;""), 'Cost Inputs'!$H$117, "")</f>
        <v/>
      </c>
      <c r="F502" s="492"/>
      <c r="G502" s="102" t="str">
        <f t="shared" si="333"/>
        <v/>
      </c>
      <c r="H502" s="492"/>
      <c r="I502" s="102" t="str">
        <f>IF($C501&lt;&gt;"", IF(AND($E502&lt;&gt;"", H501&lt;&gt;""), H501/($E501*$E502), 0), "")</f>
        <v/>
      </c>
      <c r="J502" s="492" t="str">
        <f>IF(AND(C502&lt;&gt;"",('Cost Inputs'!$I$86+'Cost Inputs'!$J$86+'Cost Inputs'!$K$86)&gt;0), 'Cost Inputs'!$I$86+'Cost Inputs'!$J$86+'Cost Inputs'!$K$86, "")</f>
        <v/>
      </c>
      <c r="K502" s="102" t="str">
        <f>IF($C501&lt;&gt;"", IF(AND($E502&lt;&gt;"", J501&lt;&gt;""), J501/($E501*$E502), 0), "")</f>
        <v/>
      </c>
      <c r="L502" s="525"/>
      <c r="M502" s="525"/>
      <c r="W502" s="496" t="str">
        <f t="shared" si="366"/>
        <v/>
      </c>
      <c r="X502" s="496" t="str">
        <f t="shared" si="367"/>
        <v/>
      </c>
      <c r="Y502" s="496" t="str">
        <f t="shared" si="368"/>
        <v/>
      </c>
      <c r="Z502" s="496" t="str">
        <f t="shared" si="369"/>
        <v/>
      </c>
      <c r="AA502" s="496" t="str">
        <f t="shared" si="370"/>
        <v/>
      </c>
      <c r="AB502" s="496" t="str">
        <f t="shared" si="371"/>
        <v/>
      </c>
      <c r="AC502" s="496" t="str">
        <f t="shared" si="372"/>
        <v/>
      </c>
      <c r="AD502" s="496" t="str">
        <f t="shared" si="373"/>
        <v/>
      </c>
      <c r="AE502" s="496" t="str">
        <f t="shared" si="374"/>
        <v/>
      </c>
      <c r="AF502" s="496" t="str">
        <f t="shared" si="375"/>
        <v/>
      </c>
      <c r="AG502" s="496" t="str">
        <f t="shared" si="376"/>
        <v/>
      </c>
      <c r="AH502" s="496" t="str">
        <f t="shared" si="377"/>
        <v/>
      </c>
      <c r="AI502" s="496" t="str">
        <f t="shared" si="378"/>
        <v/>
      </c>
      <c r="AJ502" s="496" t="str">
        <f t="shared" si="379"/>
        <v/>
      </c>
      <c r="AK502" s="496" t="str">
        <f t="shared" si="380"/>
        <v/>
      </c>
      <c r="AL502" s="496" t="str">
        <f t="shared" si="381"/>
        <v/>
      </c>
      <c r="AM502" s="496" t="str">
        <f t="shared" si="382"/>
        <v/>
      </c>
      <c r="AN502" s="496" t="str">
        <f t="shared" si="383"/>
        <v/>
      </c>
      <c r="AO502" s="496" t="str">
        <f t="shared" si="384"/>
        <v/>
      </c>
      <c r="AP502" s="496" t="str">
        <f t="shared" si="385"/>
        <v/>
      </c>
      <c r="AQ502" s="496" t="str">
        <f t="shared" si="386"/>
        <v/>
      </c>
      <c r="AR502" s="496" t="str">
        <f t="shared" si="387"/>
        <v/>
      </c>
      <c r="AS502" s="496" t="str">
        <f t="shared" si="388"/>
        <v/>
      </c>
      <c r="AT502" s="496" t="str">
        <f t="shared" si="389"/>
        <v/>
      </c>
      <c r="AU502" s="496" t="str">
        <f t="shared" si="390"/>
        <v/>
      </c>
      <c r="AV502" s="496" t="str">
        <f t="shared" si="391"/>
        <v/>
      </c>
      <c r="AW502" s="496" t="str">
        <f t="shared" si="392"/>
        <v/>
      </c>
      <c r="AX502" s="496" t="str">
        <f t="shared" si="393"/>
        <v/>
      </c>
    </row>
    <row r="503" spans="1:50" x14ac:dyDescent="0.25">
      <c r="A503" s="518"/>
      <c r="B503" s="504"/>
      <c r="C503" s="376" t="str">
        <f>IF(AND(ISNUMBER(B489), C501&lt;&gt;"", OR('Cost Inputs'!$H$118&lt;&gt;"", 'Cost Inputs'!$I$118&lt;&gt;"", 'Cost Inputs'!$J$118&lt;&gt;"")), _4_5_1, "")</f>
        <v/>
      </c>
      <c r="D503" s="17" t="str">
        <f>IF(AND(C503&lt;&gt;"", 'Cost Inputs'!$G$118&lt;&gt;""), 'Cost Inputs'!$G$118, "")</f>
        <v/>
      </c>
      <c r="E503" s="17" t="str">
        <f>IF(AND(C503&lt;&gt;"", 'Cost Inputs'!$H$118&lt;&gt;""), 'Cost Inputs'!$H$118, "")</f>
        <v/>
      </c>
      <c r="F503" s="493" t="str">
        <f>IF(AND(C503&lt;&gt;"", 'Cost Inputs'!$I$118&lt;&gt;""), 'Cost Inputs'!$I$118, "")</f>
        <v/>
      </c>
      <c r="G503" s="105" t="str">
        <f t="shared" si="333"/>
        <v/>
      </c>
      <c r="H503" s="493" t="str">
        <f>IF(AND(C503&lt;&gt;"", 'Cost Inputs'!$J$118&lt;&gt;""), 'Cost Inputs'!$J$118, "")</f>
        <v/>
      </c>
      <c r="I503" s="105" t="str">
        <f>IF($C503&lt;&gt;"",IF(AND($E503&lt;&gt;"",H503&lt;&gt;""), H503/$E503, 0),"")</f>
        <v/>
      </c>
      <c r="J503" s="493" t="str">
        <f>IF(AND(C503&lt;&gt;"",('Cost Inputs'!$I$118+'Cost Inputs'!$J$118+'Cost Inputs'!$K$118)&gt;0), 'Cost Inputs'!$I$118+'Cost Inputs'!$J$118+'Cost Inputs'!$K$118, "")</f>
        <v/>
      </c>
      <c r="K503" s="105" t="str">
        <f>IF($C503&lt;&gt;"",IF(AND($E503&lt;&gt;"",J503&lt;&gt;""), J503/$E503, 0),"")</f>
        <v/>
      </c>
      <c r="L503" s="525"/>
      <c r="M503" s="525"/>
      <c r="W503" s="497" t="str">
        <f t="shared" si="366"/>
        <v/>
      </c>
      <c r="X503" s="497" t="str">
        <f t="shared" si="367"/>
        <v/>
      </c>
      <c r="Y503" s="497" t="str">
        <f t="shared" si="368"/>
        <v/>
      </c>
      <c r="Z503" s="497" t="str">
        <f t="shared" si="369"/>
        <v/>
      </c>
      <c r="AA503" s="497" t="str">
        <f t="shared" si="370"/>
        <v/>
      </c>
      <c r="AB503" s="497" t="str">
        <f t="shared" si="371"/>
        <v/>
      </c>
      <c r="AC503" s="497" t="str">
        <f t="shared" si="372"/>
        <v/>
      </c>
      <c r="AD503" s="497" t="str">
        <f t="shared" si="373"/>
        <v/>
      </c>
      <c r="AE503" s="497" t="str">
        <f t="shared" si="374"/>
        <v/>
      </c>
      <c r="AF503" s="497" t="str">
        <f t="shared" si="375"/>
        <v/>
      </c>
      <c r="AG503" s="497" t="str">
        <f t="shared" si="376"/>
        <v/>
      </c>
      <c r="AH503" s="497" t="str">
        <f t="shared" si="377"/>
        <v/>
      </c>
      <c r="AI503" s="497" t="str">
        <f t="shared" si="378"/>
        <v/>
      </c>
      <c r="AJ503" s="497" t="str">
        <f t="shared" si="379"/>
        <v/>
      </c>
      <c r="AK503" s="497" t="str">
        <f t="shared" si="380"/>
        <v/>
      </c>
      <c r="AL503" s="497" t="str">
        <f t="shared" si="381"/>
        <v/>
      </c>
      <c r="AM503" s="497" t="str">
        <f t="shared" si="382"/>
        <v/>
      </c>
      <c r="AN503" s="497" t="str">
        <f t="shared" si="383"/>
        <v/>
      </c>
      <c r="AO503" s="497" t="str">
        <f t="shared" si="384"/>
        <v/>
      </c>
      <c r="AP503" s="497" t="str">
        <f t="shared" si="385"/>
        <v/>
      </c>
      <c r="AQ503" s="497" t="str">
        <f t="shared" si="386"/>
        <v/>
      </c>
      <c r="AR503" s="497" t="str">
        <f t="shared" si="387"/>
        <v/>
      </c>
      <c r="AS503" s="497" t="str">
        <f t="shared" si="388"/>
        <v/>
      </c>
      <c r="AT503" s="497" t="str">
        <f t="shared" si="389"/>
        <v/>
      </c>
      <c r="AU503" s="497" t="str">
        <f t="shared" si="390"/>
        <v/>
      </c>
      <c r="AV503" s="497" t="str">
        <f t="shared" si="391"/>
        <v/>
      </c>
      <c r="AW503" s="497" t="str">
        <f t="shared" si="392"/>
        <v/>
      </c>
      <c r="AX503" s="497" t="str">
        <f t="shared" si="393"/>
        <v/>
      </c>
    </row>
    <row r="504" spans="1:50" x14ac:dyDescent="0.25">
      <c r="A504" s="518"/>
      <c r="B504" s="504"/>
      <c r="C504" s="376" t="str">
        <f>IF(AND(ISNUMBER(B484), OR('Cost Inputs'!$H$85&lt;&gt;"", 'Cost Inputs'!$I$85&lt;&gt;"", 'Cost Inputs'!$J$85&lt;&gt;"")), _3_5_1, "")</f>
        <v/>
      </c>
      <c r="D504" s="17" t="str">
        <f>IF(AND(C503&lt;&gt;"", 'Cost Inputs'!$G$119&lt;&gt;""), 'Cost Inputs'!$G$119, "")</f>
        <v/>
      </c>
      <c r="E504" s="17" t="str">
        <f>IF(AND(C503&lt;&gt;"", 'Cost Inputs'!$H$119&lt;&gt;""), 'Cost Inputs'!$H$119, "")</f>
        <v/>
      </c>
      <c r="F504" s="493"/>
      <c r="G504" s="105" t="str">
        <f t="shared" si="333"/>
        <v/>
      </c>
      <c r="H504" s="493"/>
      <c r="I504" s="105" t="str">
        <f>IF($C503&lt;&gt;"", IF(AND($E504&lt;&gt;"", H503&lt;&gt;""), H503/($E503*$E504), 0), "")</f>
        <v/>
      </c>
      <c r="J504" s="493" t="str">
        <f>IF(AND(C504&lt;&gt;"",('Cost Inputs'!$I$86+'Cost Inputs'!$J$86+'Cost Inputs'!$K$86)&gt;0), 'Cost Inputs'!$I$86+'Cost Inputs'!$J$86+'Cost Inputs'!$K$86, "")</f>
        <v/>
      </c>
      <c r="K504" s="105" t="str">
        <f>IF($C503&lt;&gt;"", IF(AND($E504&lt;&gt;"", J503&lt;&gt;""), J503/($E503*$E504), 0), "")</f>
        <v/>
      </c>
      <c r="L504" s="525"/>
      <c r="M504" s="525"/>
      <c r="W504" s="497" t="str">
        <f t="shared" si="366"/>
        <v/>
      </c>
      <c r="X504" s="497" t="str">
        <f t="shared" si="367"/>
        <v/>
      </c>
      <c r="Y504" s="497" t="str">
        <f t="shared" si="368"/>
        <v/>
      </c>
      <c r="Z504" s="497" t="str">
        <f t="shared" si="369"/>
        <v/>
      </c>
      <c r="AA504" s="497" t="str">
        <f t="shared" si="370"/>
        <v/>
      </c>
      <c r="AB504" s="497" t="str">
        <f t="shared" si="371"/>
        <v/>
      </c>
      <c r="AC504" s="497" t="str">
        <f t="shared" si="372"/>
        <v/>
      </c>
      <c r="AD504" s="497" t="str">
        <f t="shared" si="373"/>
        <v/>
      </c>
      <c r="AE504" s="497" t="str">
        <f t="shared" si="374"/>
        <v/>
      </c>
      <c r="AF504" s="497" t="str">
        <f t="shared" si="375"/>
        <v/>
      </c>
      <c r="AG504" s="497" t="str">
        <f t="shared" si="376"/>
        <v/>
      </c>
      <c r="AH504" s="497" t="str">
        <f t="shared" si="377"/>
        <v/>
      </c>
      <c r="AI504" s="497" t="str">
        <f t="shared" si="378"/>
        <v/>
      </c>
      <c r="AJ504" s="497" t="str">
        <f t="shared" si="379"/>
        <v/>
      </c>
      <c r="AK504" s="497" t="str">
        <f t="shared" si="380"/>
        <v/>
      </c>
      <c r="AL504" s="497" t="str">
        <f t="shared" si="381"/>
        <v/>
      </c>
      <c r="AM504" s="497" t="str">
        <f t="shared" si="382"/>
        <v/>
      </c>
      <c r="AN504" s="497" t="str">
        <f t="shared" si="383"/>
        <v/>
      </c>
      <c r="AO504" s="497" t="str">
        <f t="shared" si="384"/>
        <v/>
      </c>
      <c r="AP504" s="497" t="str">
        <f t="shared" si="385"/>
        <v/>
      </c>
      <c r="AQ504" s="497" t="str">
        <f t="shared" si="386"/>
        <v/>
      </c>
      <c r="AR504" s="497" t="str">
        <f t="shared" si="387"/>
        <v/>
      </c>
      <c r="AS504" s="497" t="str">
        <f t="shared" si="388"/>
        <v/>
      </c>
      <c r="AT504" s="497" t="str">
        <f t="shared" si="389"/>
        <v/>
      </c>
      <c r="AU504" s="497" t="str">
        <f t="shared" si="390"/>
        <v/>
      </c>
      <c r="AV504" s="497" t="str">
        <f t="shared" si="391"/>
        <v/>
      </c>
      <c r="AW504" s="497" t="str">
        <f t="shared" si="392"/>
        <v/>
      </c>
      <c r="AX504" s="497" t="str">
        <f t="shared" si="393"/>
        <v/>
      </c>
    </row>
    <row r="505" spans="1:50" x14ac:dyDescent="0.25">
      <c r="A505" s="518"/>
      <c r="B505" s="504"/>
      <c r="C505" s="107" t="str">
        <f>IF(AND(ISNUMBER(B489), C501&lt;&gt;"", OR('Cost Inputs'!$H$120&lt;&gt;"", 'Cost Inputs'!$I$120&lt;&gt;"", 'Cost Inputs'!$J$120&lt;&gt;"")), _4_5_2, "")</f>
        <v/>
      </c>
      <c r="D505" s="93" t="str">
        <f>IF(AND(C505&lt;&gt;"", 'Cost Inputs'!$G$120&lt;&gt;""), 'Cost Inputs'!$G$120, "")</f>
        <v/>
      </c>
      <c r="E505" s="93" t="str">
        <f>IF(AND(C505&lt;&gt;"", 'Cost Inputs'!$H$120&lt;&gt;""), 'Cost Inputs'!$H$120, "")</f>
        <v/>
      </c>
      <c r="F505" s="93" t="str">
        <f>IF(AND(C505&lt;&gt;"", 'Cost Inputs'!$I$120&lt;&gt;""), 'Cost Inputs'!$I$120, "")</f>
        <v/>
      </c>
      <c r="G505" s="108" t="str">
        <f t="shared" si="333"/>
        <v/>
      </c>
      <c r="H505" s="93" t="str">
        <f>IF(AND(C505&lt;&gt;"", 'Cost Inputs'!$J$120&lt;&gt;""), 'Cost Inputs'!$J$120, "")</f>
        <v/>
      </c>
      <c r="I505" s="93" t="str">
        <f>IF($C505&lt;&gt;"", IF(AND($E505&lt;&gt;"", H505&lt;&gt;""), H505/$E505, 0),"")</f>
        <v/>
      </c>
      <c r="J505" s="93" t="str">
        <f>IF(AND(C505&lt;&gt;"",('Cost Inputs'!$I$120+'Cost Inputs'!$J$120+'Cost Inputs'!$K$120)&gt;0), 'Cost Inputs'!$I$120+'Cost Inputs'!$J$120+'Cost Inputs'!$K$120, "")</f>
        <v/>
      </c>
      <c r="K505" s="93" t="str">
        <f>IF($C505&lt;&gt;"", IF(AND($E505&lt;&gt;"", J505&lt;&gt;""), J505/$E505, 0),"")</f>
        <v/>
      </c>
      <c r="L505" s="525"/>
      <c r="M505" s="525"/>
      <c r="W505" s="93" t="str">
        <f t="shared" si="366"/>
        <v/>
      </c>
      <c r="X505" s="93" t="str">
        <f t="shared" si="367"/>
        <v/>
      </c>
      <c r="Y505" s="93" t="str">
        <f t="shared" si="368"/>
        <v/>
      </c>
      <c r="Z505" s="93" t="str">
        <f t="shared" si="369"/>
        <v/>
      </c>
      <c r="AA505" s="93" t="str">
        <f t="shared" si="370"/>
        <v/>
      </c>
      <c r="AB505" s="93" t="str">
        <f t="shared" si="371"/>
        <v/>
      </c>
      <c r="AC505" s="93" t="str">
        <f t="shared" si="372"/>
        <v/>
      </c>
      <c r="AD505" s="93" t="str">
        <f t="shared" si="373"/>
        <v/>
      </c>
      <c r="AE505" s="93" t="str">
        <f t="shared" si="374"/>
        <v/>
      </c>
      <c r="AF505" s="93" t="str">
        <f t="shared" si="375"/>
        <v/>
      </c>
      <c r="AG505" s="93" t="str">
        <f t="shared" si="376"/>
        <v/>
      </c>
      <c r="AH505" s="93" t="str">
        <f t="shared" si="377"/>
        <v/>
      </c>
      <c r="AI505" s="93" t="str">
        <f t="shared" si="378"/>
        <v/>
      </c>
      <c r="AJ505" s="93" t="str">
        <f t="shared" si="379"/>
        <v/>
      </c>
      <c r="AK505" s="93" t="str">
        <f t="shared" si="380"/>
        <v/>
      </c>
      <c r="AL505" s="93" t="str">
        <f t="shared" si="381"/>
        <v/>
      </c>
      <c r="AM505" s="93" t="str">
        <f t="shared" si="382"/>
        <v/>
      </c>
      <c r="AN505" s="93" t="str">
        <f t="shared" si="383"/>
        <v/>
      </c>
      <c r="AO505" s="93" t="str">
        <f t="shared" si="384"/>
        <v/>
      </c>
      <c r="AP505" s="93" t="str">
        <f t="shared" si="385"/>
        <v/>
      </c>
      <c r="AQ505" s="93" t="str">
        <f t="shared" si="386"/>
        <v/>
      </c>
      <c r="AR505" s="93" t="str">
        <f t="shared" si="387"/>
        <v/>
      </c>
      <c r="AS505" s="93" t="str">
        <f t="shared" si="388"/>
        <v/>
      </c>
      <c r="AT505" s="93" t="str">
        <f t="shared" si="389"/>
        <v/>
      </c>
      <c r="AU505" s="93" t="str">
        <f t="shared" si="390"/>
        <v/>
      </c>
      <c r="AV505" s="93" t="str">
        <f t="shared" si="391"/>
        <v/>
      </c>
      <c r="AW505" s="93" t="str">
        <f t="shared" si="392"/>
        <v/>
      </c>
      <c r="AX505" s="93" t="str">
        <f t="shared" si="393"/>
        <v/>
      </c>
    </row>
    <row r="506" spans="1:50" x14ac:dyDescent="0.25">
      <c r="A506" s="518"/>
      <c r="B506" s="504"/>
      <c r="C506" s="104" t="str">
        <f>IF(AND(ISNUMBER(B489), C501&lt;&gt;"", OR('Cost Inputs'!$H$121&lt;&gt;"", 'Cost Inputs'!$I$121&lt;&gt;"", 'Cost Inputs'!$J$121&lt;&gt;"")), _4_5_3, "")</f>
        <v/>
      </c>
      <c r="D506" s="17" t="str">
        <f>IF(AND(C506&lt;&gt;"", 'Cost Inputs'!$G$121&lt;&gt;""), 'Cost Inputs'!$G$121, "")</f>
        <v/>
      </c>
      <c r="E506" s="17" t="str">
        <f>IF(AND(C506&lt;&gt;"", 'Cost Inputs'!$H$121&lt;&gt;""), 'Cost Inputs'!$H$121, "")</f>
        <v/>
      </c>
      <c r="F506" s="17" t="str">
        <f>IF(AND(C506&lt;&gt;"", 'Cost Inputs'!$I$121&lt;&gt;""), 'Cost Inputs'!$I$121, "")</f>
        <v/>
      </c>
      <c r="G506" s="105" t="str">
        <f t="shared" si="333"/>
        <v/>
      </c>
      <c r="H506" s="17" t="str">
        <f>IF(AND(C506&lt;&gt;"", 'Cost Inputs'!$J$121&lt;&gt;""), 'Cost Inputs'!$J$121, "")</f>
        <v/>
      </c>
      <c r="I506" s="17" t="str">
        <f>IF($C506&lt;&gt;"", IF(AND($E506&lt;&gt;"", H506&lt;&gt;""), H506/$E506, 0),"")</f>
        <v/>
      </c>
      <c r="J506" s="17" t="str">
        <f>IF(AND(C506&lt;&gt;"",('Cost Inputs'!$I$121+'Cost Inputs'!$J$121+'Cost Inputs'!$K$121)&gt;0), 'Cost Inputs'!$I$121+'Cost Inputs'!$J$121+'Cost Inputs'!$K$121, "")</f>
        <v/>
      </c>
      <c r="K506" s="17" t="str">
        <f>IF($C506&lt;&gt;"", IF(AND($E506&lt;&gt;"", J506&lt;&gt;""), J506/$E506, 0),"")</f>
        <v/>
      </c>
      <c r="L506" s="525"/>
      <c r="M506" s="525"/>
      <c r="W506" s="17" t="str">
        <f t="shared" si="366"/>
        <v/>
      </c>
      <c r="X506" s="17" t="str">
        <f t="shared" si="367"/>
        <v/>
      </c>
      <c r="Y506" s="17" t="str">
        <f t="shared" si="368"/>
        <v/>
      </c>
      <c r="Z506" s="17" t="str">
        <f t="shared" si="369"/>
        <v/>
      </c>
      <c r="AA506" s="17" t="str">
        <f t="shared" si="370"/>
        <v/>
      </c>
      <c r="AB506" s="17" t="str">
        <f t="shared" si="371"/>
        <v/>
      </c>
      <c r="AC506" s="17" t="str">
        <f t="shared" si="372"/>
        <v/>
      </c>
      <c r="AD506" s="17" t="str">
        <f t="shared" si="373"/>
        <v/>
      </c>
      <c r="AE506" s="17" t="str">
        <f t="shared" si="374"/>
        <v/>
      </c>
      <c r="AF506" s="17" t="str">
        <f t="shared" si="375"/>
        <v/>
      </c>
      <c r="AG506" s="17" t="str">
        <f t="shared" si="376"/>
        <v/>
      </c>
      <c r="AH506" s="17" t="str">
        <f t="shared" si="377"/>
        <v/>
      </c>
      <c r="AI506" s="17" t="str">
        <f t="shared" si="378"/>
        <v/>
      </c>
      <c r="AJ506" s="17" t="str">
        <f t="shared" si="379"/>
        <v/>
      </c>
      <c r="AK506" s="17" t="str">
        <f t="shared" si="380"/>
        <v/>
      </c>
      <c r="AL506" s="17" t="str">
        <f t="shared" si="381"/>
        <v/>
      </c>
      <c r="AM506" s="17" t="str">
        <f t="shared" si="382"/>
        <v/>
      </c>
      <c r="AN506" s="17" t="str">
        <f t="shared" si="383"/>
        <v/>
      </c>
      <c r="AO506" s="17" t="str">
        <f t="shared" si="384"/>
        <v/>
      </c>
      <c r="AP506" s="17" t="str">
        <f t="shared" si="385"/>
        <v/>
      </c>
      <c r="AQ506" s="17" t="str">
        <f t="shared" si="386"/>
        <v/>
      </c>
      <c r="AR506" s="17" t="str">
        <f t="shared" si="387"/>
        <v/>
      </c>
      <c r="AS506" s="17" t="str">
        <f t="shared" si="388"/>
        <v/>
      </c>
      <c r="AT506" s="17" t="str">
        <f t="shared" si="389"/>
        <v/>
      </c>
      <c r="AU506" s="17" t="str">
        <f t="shared" si="390"/>
        <v/>
      </c>
      <c r="AV506" s="17" t="str">
        <f t="shared" si="391"/>
        <v/>
      </c>
      <c r="AW506" s="17" t="str">
        <f t="shared" si="392"/>
        <v/>
      </c>
      <c r="AX506" s="17" t="str">
        <f t="shared" si="393"/>
        <v/>
      </c>
    </row>
    <row r="507" spans="1:50" x14ac:dyDescent="0.25">
      <c r="A507" s="518"/>
      <c r="B507" s="504"/>
      <c r="C507" s="107" t="str">
        <f>IF(AND(ISNUMBER(B489), C501&lt;&gt;"", OR('Cost Inputs'!$H$122&lt;&gt;"", 'Cost Inputs'!$I$122&lt;&gt;"", 'Cost Inputs'!$J$122&lt;&gt;"")), _4_5_2, "")</f>
        <v/>
      </c>
      <c r="D507" s="93" t="str">
        <f>IF(AND(C507&lt;&gt;"", 'Cost Inputs'!$G$122&lt;&gt;""), 'Cost Inputs'!$G$122, "")</f>
        <v/>
      </c>
      <c r="E507" s="93" t="str">
        <f>IF(AND(C507&lt;&gt;"", 'Cost Inputs'!$H$122&lt;&gt;""), 'Cost Inputs'!$H$122, "")</f>
        <v/>
      </c>
      <c r="F507" s="93" t="str">
        <f>IF(AND(C507&lt;&gt;"", 'Cost Inputs'!$I$122&lt;&gt;""), 'Cost Inputs'!$I$122, "")</f>
        <v/>
      </c>
      <c r="G507" s="108" t="str">
        <f t="shared" si="333"/>
        <v/>
      </c>
      <c r="H507" s="93" t="str">
        <f>IF(AND(C507&lt;&gt;"", 'Cost Inputs'!$J$122&lt;&gt;""), 'Cost Inputs'!$J$122, "")</f>
        <v/>
      </c>
      <c r="I507" s="93" t="str">
        <f>IF($C507&lt;&gt;"", IF(AND($E507&lt;&gt;"", H507&lt;&gt;""), H507/$E507, 0),"")</f>
        <v/>
      </c>
      <c r="J507" s="93" t="str">
        <f>IF(AND(C507&lt;&gt;"",('Cost Inputs'!$I$122+'Cost Inputs'!$J$122+'Cost Inputs'!$K$122)&gt;0), 'Cost Inputs'!$I$122+'Cost Inputs'!$J$122+'Cost Inputs'!$K$122, "")</f>
        <v/>
      </c>
      <c r="K507" s="93" t="str">
        <f>IF($C507&lt;&gt;"", IF(AND($E507&lt;&gt;"", J507&lt;&gt;""), J507/$E507, 0),"")</f>
        <v/>
      </c>
      <c r="L507" s="525"/>
      <c r="M507" s="525"/>
      <c r="W507" s="93" t="str">
        <f t="shared" si="366"/>
        <v/>
      </c>
      <c r="X507" s="93" t="str">
        <f t="shared" si="367"/>
        <v/>
      </c>
      <c r="Y507" s="93" t="str">
        <f t="shared" si="368"/>
        <v/>
      </c>
      <c r="Z507" s="93" t="str">
        <f t="shared" si="369"/>
        <v/>
      </c>
      <c r="AA507" s="93" t="str">
        <f t="shared" si="370"/>
        <v/>
      </c>
      <c r="AB507" s="93" t="str">
        <f t="shared" si="371"/>
        <v/>
      </c>
      <c r="AC507" s="93" t="str">
        <f t="shared" si="372"/>
        <v/>
      </c>
      <c r="AD507" s="93" t="str">
        <f t="shared" si="373"/>
        <v/>
      </c>
      <c r="AE507" s="93" t="str">
        <f t="shared" si="374"/>
        <v/>
      </c>
      <c r="AF507" s="93" t="str">
        <f t="shared" si="375"/>
        <v/>
      </c>
      <c r="AG507" s="93" t="str">
        <f t="shared" si="376"/>
        <v/>
      </c>
      <c r="AH507" s="93" t="str">
        <f t="shared" si="377"/>
        <v/>
      </c>
      <c r="AI507" s="93" t="str">
        <f t="shared" si="378"/>
        <v/>
      </c>
      <c r="AJ507" s="93" t="str">
        <f t="shared" si="379"/>
        <v/>
      </c>
      <c r="AK507" s="93" t="str">
        <f t="shared" si="380"/>
        <v/>
      </c>
      <c r="AL507" s="93" t="str">
        <f t="shared" si="381"/>
        <v/>
      </c>
      <c r="AM507" s="93" t="str">
        <f t="shared" si="382"/>
        <v/>
      </c>
      <c r="AN507" s="93" t="str">
        <f t="shared" si="383"/>
        <v/>
      </c>
      <c r="AO507" s="93" t="str">
        <f t="shared" si="384"/>
        <v/>
      </c>
      <c r="AP507" s="93" t="str">
        <f t="shared" si="385"/>
        <v/>
      </c>
      <c r="AQ507" s="93" t="str">
        <f t="shared" si="386"/>
        <v/>
      </c>
      <c r="AR507" s="93" t="str">
        <f t="shared" si="387"/>
        <v/>
      </c>
      <c r="AS507" s="93" t="str">
        <f t="shared" si="388"/>
        <v/>
      </c>
      <c r="AT507" s="93" t="str">
        <f t="shared" si="389"/>
        <v/>
      </c>
      <c r="AU507" s="93" t="str">
        <f t="shared" si="390"/>
        <v/>
      </c>
      <c r="AV507" s="93" t="str">
        <f t="shared" si="391"/>
        <v/>
      </c>
      <c r="AW507" s="93" t="str">
        <f t="shared" si="392"/>
        <v/>
      </c>
      <c r="AX507" s="93" t="str">
        <f t="shared" si="393"/>
        <v/>
      </c>
    </row>
    <row r="508" spans="1:50" x14ac:dyDescent="0.25">
      <c r="A508" s="518"/>
      <c r="B508" s="504"/>
      <c r="C508" s="104" t="str">
        <f>IF(AND(ISNUMBER(B489), C501&lt;&gt;"", OR('Cost Inputs'!$H$123&lt;&gt;"", 'Cost Inputs'!$I$123&lt;&gt;"", 'Cost Inputs'!$J$123&lt;&gt;"")), _4_5_3, "")</f>
        <v/>
      </c>
      <c r="D508" s="17" t="str">
        <f>IF(AND(C508&lt;&gt;"", 'Cost Inputs'!$G$123&lt;&gt;""), 'Cost Inputs'!$G$123, "")</f>
        <v/>
      </c>
      <c r="E508" s="17" t="str">
        <f>IF(AND(C508&lt;&gt;"", 'Cost Inputs'!$H$123&lt;&gt;""), 'Cost Inputs'!$H$123, "")</f>
        <v/>
      </c>
      <c r="F508" s="17" t="str">
        <f>IF(AND(C508&lt;&gt;"", 'Cost Inputs'!$I$123&lt;&gt;""), 'Cost Inputs'!$I$123, "")</f>
        <v/>
      </c>
      <c r="G508" s="105" t="str">
        <f t="shared" si="333"/>
        <v/>
      </c>
      <c r="H508" s="17" t="str">
        <f>IF(AND(C508&lt;&gt;"", 'Cost Inputs'!$J$123&lt;&gt;""), 'Cost Inputs'!$J$123, "")</f>
        <v/>
      </c>
      <c r="I508" s="17" t="str">
        <f>IF($C508&lt;&gt;"", IF(AND($E508&lt;&gt;"", H508&lt;&gt;""), H508/$E508, 0),"")</f>
        <v/>
      </c>
      <c r="J508" s="17" t="str">
        <f>IF(AND(C508&lt;&gt;"",('Cost Inputs'!$I$123+'Cost Inputs'!$J$123+'Cost Inputs'!$K$123)&gt;0), 'Cost Inputs'!$I$123+'Cost Inputs'!$J$123+'Cost Inputs'!$K$123, "")</f>
        <v/>
      </c>
      <c r="K508" s="17" t="str">
        <f>IF($C508&lt;&gt;"", IF(AND($E508&lt;&gt;"", J508&lt;&gt;""), J508/$E508, 0),"")</f>
        <v/>
      </c>
      <c r="L508" s="525"/>
      <c r="M508" s="525"/>
      <c r="W508" s="17" t="str">
        <f t="shared" si="366"/>
        <v/>
      </c>
      <c r="X508" s="17" t="str">
        <f t="shared" si="367"/>
        <v/>
      </c>
      <c r="Y508" s="17" t="str">
        <f t="shared" si="368"/>
        <v/>
      </c>
      <c r="Z508" s="17" t="str">
        <f t="shared" si="369"/>
        <v/>
      </c>
      <c r="AA508" s="17" t="str">
        <f t="shared" si="370"/>
        <v/>
      </c>
      <c r="AB508" s="17" t="str">
        <f t="shared" si="371"/>
        <v/>
      </c>
      <c r="AC508" s="17" t="str">
        <f t="shared" si="372"/>
        <v/>
      </c>
      <c r="AD508" s="17" t="str">
        <f t="shared" si="373"/>
        <v/>
      </c>
      <c r="AE508" s="17" t="str">
        <f t="shared" si="374"/>
        <v/>
      </c>
      <c r="AF508" s="17" t="str">
        <f t="shared" si="375"/>
        <v/>
      </c>
      <c r="AG508" s="17" t="str">
        <f t="shared" si="376"/>
        <v/>
      </c>
      <c r="AH508" s="17" t="str">
        <f t="shared" si="377"/>
        <v/>
      </c>
      <c r="AI508" s="17" t="str">
        <f t="shared" si="378"/>
        <v/>
      </c>
      <c r="AJ508" s="17" t="str">
        <f t="shared" si="379"/>
        <v/>
      </c>
      <c r="AK508" s="17" t="str">
        <f t="shared" si="380"/>
        <v/>
      </c>
      <c r="AL508" s="17" t="str">
        <f t="shared" si="381"/>
        <v/>
      </c>
      <c r="AM508" s="17" t="str">
        <f t="shared" si="382"/>
        <v/>
      </c>
      <c r="AN508" s="17" t="str">
        <f t="shared" si="383"/>
        <v/>
      </c>
      <c r="AO508" s="17" t="str">
        <f t="shared" si="384"/>
        <v/>
      </c>
      <c r="AP508" s="17" t="str">
        <f t="shared" si="385"/>
        <v/>
      </c>
      <c r="AQ508" s="17" t="str">
        <f t="shared" si="386"/>
        <v/>
      </c>
      <c r="AR508" s="17" t="str">
        <f t="shared" si="387"/>
        <v/>
      </c>
      <c r="AS508" s="17" t="str">
        <f t="shared" si="388"/>
        <v/>
      </c>
      <c r="AT508" s="17" t="str">
        <f t="shared" si="389"/>
        <v/>
      </c>
      <c r="AU508" s="17" t="str">
        <f t="shared" si="390"/>
        <v/>
      </c>
      <c r="AV508" s="17" t="str">
        <f t="shared" si="391"/>
        <v/>
      </c>
      <c r="AW508" s="17" t="str">
        <f t="shared" si="392"/>
        <v/>
      </c>
      <c r="AX508" s="17" t="str">
        <f t="shared" si="393"/>
        <v/>
      </c>
    </row>
    <row r="509" spans="1:50" x14ac:dyDescent="0.25">
      <c r="A509" s="518"/>
      <c r="B509" s="504"/>
      <c r="C509" s="110" t="str">
        <f>IF(ISNUMBER(B489), _4_6_0, "")</f>
        <v/>
      </c>
      <c r="D509" s="94" t="str">
        <f>IF(AND(C509&lt;&gt;"", 'Cost Inputs'!$G$124&lt;&gt;""), 'Cost Inputs'!$G$124, "")</f>
        <v/>
      </c>
      <c r="E509" s="94" t="str">
        <f>IF(AND(C509&lt;&gt;"", 'Cost Inputs'!$H$124&lt;&gt;""), 'Cost Inputs'!$H$124, "")</f>
        <v/>
      </c>
      <c r="F509" s="94" t="str">
        <f>IF(AND(C509&lt;&gt;"", 'Cost Inputs'!$I$124&lt;&gt;""), 'Cost Inputs'!$I$124, "")</f>
        <v/>
      </c>
      <c r="G509" s="102" t="str">
        <f t="shared" si="333"/>
        <v/>
      </c>
      <c r="H509" s="94" t="str">
        <f>IF(AND(C509&lt;&gt;"", 'Cost Inputs'!$J$124&lt;&gt;""), 'Cost Inputs'!$J$124, "")</f>
        <v/>
      </c>
      <c r="I509" s="102" t="str">
        <f>IF($C509&lt;&gt;"",IF(AND($E509&lt;&gt;"",H509&lt;&gt;""), H509/$E509, 0),"")</f>
        <v/>
      </c>
      <c r="J509" s="94" t="str">
        <f>IF(AND(C509&lt;&gt;"",('Cost Inputs'!$I$124+'Cost Inputs'!$J$124+'Cost Inputs'!$K$124)&gt;0), 'Cost Inputs'!$I$124+'Cost Inputs'!$J$124+'Cost Inputs'!$K$124, "")</f>
        <v/>
      </c>
      <c r="K509" s="102" t="str">
        <f>IF($C509&lt;&gt;"",IF(AND($E509&lt;&gt;"",J509&lt;&gt;""), J509/$E509, 0),"")</f>
        <v/>
      </c>
      <c r="L509" s="525"/>
      <c r="M509" s="525"/>
      <c r="W509" s="102" t="str">
        <f>IF(ISNUMBER($B$489), IF($C509&lt;&gt;"", IF(AND(ISNUMBER('Stage 2 Randomized Selection'!E$2),'Stage 2 Randomized Selection'!E$2&gt;0),'Stage 2 Randomized Selection'!E$2*$M489, ""),""),"")</f>
        <v/>
      </c>
      <c r="X509" s="102" t="str">
        <f>IF(ISNUMBER($B$489), IF($C509&lt;&gt;"", IF(AND(ISNUMBER('Stage 2 Randomized Selection'!F$2),'Stage 2 Randomized Selection'!F$2&gt;0),'Stage 2 Randomized Selection'!F$2*$M489, ""),""),"")</f>
        <v/>
      </c>
      <c r="Y509" s="102" t="str">
        <f>IF(ISNUMBER($B$489), IF($C509&lt;&gt;"", IF(AND(ISNUMBER('Stage 2 Randomized Selection'!G$2),'Stage 2 Randomized Selection'!G$2&gt;0),'Stage 2 Randomized Selection'!G$2*$M489, ""),""),"")</f>
        <v/>
      </c>
      <c r="Z509" s="102" t="str">
        <f>IF(ISNUMBER($B$489), IF($C509&lt;&gt;"", IF(AND(ISNUMBER('Stage 2 Randomized Selection'!H$2),'Stage 2 Randomized Selection'!H$2&gt;0),'Stage 2 Randomized Selection'!H$2*$M489, ""),""),"")</f>
        <v/>
      </c>
      <c r="AA509" s="102" t="str">
        <f>IF(ISNUMBER($B$489), IF($C509&lt;&gt;"", IF(AND(ISNUMBER('Stage 2 Randomized Selection'!I$2),'Stage 2 Randomized Selection'!I$2&gt;0),'Stage 2 Randomized Selection'!I$2*$M489, ""),""),"")</f>
        <v/>
      </c>
      <c r="AB509" s="102" t="str">
        <f>IF(ISNUMBER($B$489), IF($C509&lt;&gt;"", IF(AND(ISNUMBER('Stage 2 Randomized Selection'!J$2),'Stage 2 Randomized Selection'!J$2&gt;0),'Stage 2 Randomized Selection'!J$2*$M489, ""),""),"")</f>
        <v/>
      </c>
      <c r="AC509" s="102" t="str">
        <f>IF(ISNUMBER($B$489), IF($C509&lt;&gt;"", IF(AND(ISNUMBER('Stage 2 Randomized Selection'!K$2),'Stage 2 Randomized Selection'!K$2&gt;0),'Stage 2 Randomized Selection'!K$2*$M489, ""),""),"")</f>
        <v/>
      </c>
      <c r="AD509" s="102" t="str">
        <f>IF(ISNUMBER($B$489), IF($C509&lt;&gt;"", IF(AND(ISNUMBER('Stage 2 Randomized Selection'!L$2),'Stage 2 Randomized Selection'!L$2&gt;0),'Stage 2 Randomized Selection'!L$2*$M489, ""),""),"")</f>
        <v/>
      </c>
      <c r="AE509" s="102" t="str">
        <f>IF(ISNUMBER($B$489), IF($C509&lt;&gt;"", IF(AND(ISNUMBER('Stage 2 Randomized Selection'!M$2),'Stage 2 Randomized Selection'!M$2&gt;0),'Stage 2 Randomized Selection'!M$2*$M489, ""),""),"")</f>
        <v/>
      </c>
      <c r="AF509" s="102" t="str">
        <f>IF(ISNUMBER($B$489), IF($C509&lt;&gt;"", IF(AND(ISNUMBER('Stage 2 Randomized Selection'!N$2),'Stage 2 Randomized Selection'!N$2&gt;0),'Stage 2 Randomized Selection'!N$2*$M489, ""),""),"")</f>
        <v/>
      </c>
      <c r="AG509" s="102" t="str">
        <f>IF(ISNUMBER($B$489), IF($C509&lt;&gt;"", IF(AND(ISNUMBER('Stage 2 Randomized Selection'!O$2),'Stage 2 Randomized Selection'!O$2&gt;0),'Stage 2 Randomized Selection'!O$2*$M489, ""),""),"")</f>
        <v/>
      </c>
      <c r="AH509" s="102" t="str">
        <f>IF(ISNUMBER($B$489), IF($C509&lt;&gt;"", IF(AND(ISNUMBER('Stage 2 Randomized Selection'!P$2),'Stage 2 Randomized Selection'!P$2&gt;0),'Stage 2 Randomized Selection'!P$2*$M489, ""),""),"")</f>
        <v/>
      </c>
      <c r="AI509" s="102" t="str">
        <f>IF(ISNUMBER($B$489), IF($C509&lt;&gt;"", IF(AND(ISNUMBER('Stage 2 Randomized Selection'!Q$2),'Stage 2 Randomized Selection'!Q$2&gt;0),'Stage 2 Randomized Selection'!Q$2*$M489, ""),""),"")</f>
        <v/>
      </c>
      <c r="AJ509" s="102" t="str">
        <f>IF(ISNUMBER($B$489), IF($C509&lt;&gt;"", IF(AND(ISNUMBER('Stage 2 Randomized Selection'!R$2),'Stage 2 Randomized Selection'!R$2&gt;0),'Stage 2 Randomized Selection'!R$2*$M489, ""),""),"")</f>
        <v/>
      </c>
      <c r="AK509" s="102" t="str">
        <f>IF(ISNUMBER($B$489), IF($C509&lt;&gt;"", IF(AND(ISNUMBER('Stage 2 Randomized Selection'!S$2),'Stage 2 Randomized Selection'!S$2&gt;0),'Stage 2 Randomized Selection'!S$2*$M489, ""),""),"")</f>
        <v/>
      </c>
      <c r="AL509" s="102" t="str">
        <f>IF(ISNUMBER($B$489), IF($C509&lt;&gt;"", IF(AND(ISNUMBER('Stage 2 Randomized Selection'!T$2),'Stage 2 Randomized Selection'!T$2&gt;0),'Stage 2 Randomized Selection'!T$2*$M489, ""),""),"")</f>
        <v/>
      </c>
      <c r="AM509" s="102" t="str">
        <f>IF(ISNUMBER($B$489), IF($C509&lt;&gt;"", IF(AND(ISNUMBER('Stage 2 Randomized Selection'!U$2),'Stage 2 Randomized Selection'!U$2&gt;0),'Stage 2 Randomized Selection'!U$2*$M489, ""),""),"")</f>
        <v/>
      </c>
      <c r="AN509" s="102" t="str">
        <f>IF(ISNUMBER($B$489), IF($C509&lt;&gt;"", IF(AND(ISNUMBER('Stage 2 Randomized Selection'!V$2),'Stage 2 Randomized Selection'!V$2&gt;0),'Stage 2 Randomized Selection'!V$2*$M489, ""),""),"")</f>
        <v/>
      </c>
      <c r="AO509" s="102" t="str">
        <f>IF(ISNUMBER($B$489), IF($C509&lt;&gt;"", IF(AND(ISNUMBER('Stage 2 Randomized Selection'!W$2),'Stage 2 Randomized Selection'!W$2&gt;0),'Stage 2 Randomized Selection'!W$2*$M489, ""),""),"")</f>
        <v/>
      </c>
      <c r="AP509" s="102" t="str">
        <f>IF(ISNUMBER($B$489), IF($C509&lt;&gt;"", IF(AND(ISNUMBER('Stage 2 Randomized Selection'!X$2),'Stage 2 Randomized Selection'!X$2&gt;0),'Stage 2 Randomized Selection'!X$2*$M489, ""),""),"")</f>
        <v/>
      </c>
      <c r="AQ509" s="102" t="str">
        <f>IF(ISNUMBER($B$489), IF($C509&lt;&gt;"", IF(AND(ISNUMBER('Stage 2 Randomized Selection'!Y$2),'Stage 2 Randomized Selection'!Y$2&gt;0),'Stage 2 Randomized Selection'!Y$2*$M489, ""),""),"")</f>
        <v/>
      </c>
      <c r="AR509" s="102" t="str">
        <f>IF(ISNUMBER($B$489), IF($C509&lt;&gt;"", IF(AND(ISNUMBER('Stage 2 Randomized Selection'!Z$2),'Stage 2 Randomized Selection'!Z$2&gt;0),'Stage 2 Randomized Selection'!Z$2*$M489, ""),""),"")</f>
        <v/>
      </c>
      <c r="AS509" s="102" t="str">
        <f>IF(ISNUMBER($B$489), IF($C509&lt;&gt;"", IF(AND(ISNUMBER('Stage 2 Randomized Selection'!AA$2),'Stage 2 Randomized Selection'!AA$2&gt;0),'Stage 2 Randomized Selection'!AA$2*$M489, ""),""),"")</f>
        <v/>
      </c>
      <c r="AT509" s="102" t="str">
        <f>IF(ISNUMBER($B$489), IF($C509&lt;&gt;"", IF(AND(ISNUMBER('Stage 2 Randomized Selection'!AB$2),'Stage 2 Randomized Selection'!AB$2&gt;0),'Stage 2 Randomized Selection'!AB$2*$M489, ""),""),"")</f>
        <v/>
      </c>
      <c r="AU509" s="102" t="str">
        <f>IF(ISNUMBER($B$489), IF($C509&lt;&gt;"", IF(AND(ISNUMBER('Stage 2 Randomized Selection'!AC$2),'Stage 2 Randomized Selection'!AC$2&gt;0),'Stage 2 Randomized Selection'!AC$2*$M489, ""),""),"")</f>
        <v/>
      </c>
      <c r="AV509" s="102" t="str">
        <f>IF(ISNUMBER($B$489), IF($C509&lt;&gt;"", IF(AND(ISNUMBER('Stage 2 Randomized Selection'!AD$2),'Stage 2 Randomized Selection'!AD$2&gt;0),'Stage 2 Randomized Selection'!AD$2*$M489, ""),""),"")</f>
        <v/>
      </c>
      <c r="AW509" s="102" t="str">
        <f>IF(ISNUMBER($B$489), IF($C509&lt;&gt;"", IF(AND(ISNUMBER('Stage 2 Randomized Selection'!AE$2),'Stage 2 Randomized Selection'!AE$2&gt;0),'Stage 2 Randomized Selection'!AE$2*$M489, ""),""),"")</f>
        <v/>
      </c>
      <c r="AX509" s="102" t="str">
        <f>IF(ISNUMBER($B$489), IF($C509&lt;&gt;"", IF(AND(ISNUMBER('Stage 2 Randomized Selection'!AF$2),'Stage 2 Randomized Selection'!AF$2&gt;0),'Stage 2 Randomized Selection'!AF$2*$M489, ""),""),"")</f>
        <v/>
      </c>
    </row>
    <row r="510" spans="1:50" x14ac:dyDescent="0.25">
      <c r="A510" s="518"/>
      <c r="B510" s="504"/>
      <c r="C510" s="104" t="str">
        <f>IF(AND(ISNUMBER(B489), OR('Cost Inputs'!$H$125&lt;&gt;"", 'Cost Inputs'!$I$125&lt;&gt;"", 'Cost Inputs'!$J$125&lt;&gt;"")), _4_5_3, "")</f>
        <v/>
      </c>
      <c r="D510" s="17" t="str">
        <f>IF(AND(C510&lt;&gt;"", 'Cost Inputs'!$G$125&lt;&gt;""), 'Cost Inputs'!$G$125, "")</f>
        <v/>
      </c>
      <c r="E510" s="17" t="str">
        <f>IF(AND(C510&lt;&gt;"", 'Cost Inputs'!$H$125&lt;&gt;""), 'Cost Inputs'!$H$125, "")</f>
        <v/>
      </c>
      <c r="F510" s="17" t="str">
        <f>IF(AND(C510&lt;&gt;"", 'Cost Inputs'!$I$125&lt;&gt;""), 'Cost Inputs'!$I$125, "")</f>
        <v/>
      </c>
      <c r="G510" s="105" t="str">
        <f t="shared" si="333"/>
        <v/>
      </c>
      <c r="H510" s="17" t="str">
        <f>IF(AND(C510&lt;&gt;"", 'Cost Inputs'!$J$125&lt;&gt;""), 'Cost Inputs'!$J$125, "")</f>
        <v/>
      </c>
      <c r="I510" s="17" t="str">
        <f>IF($C510&lt;&gt;"", IF(AND($E510&lt;&gt;"", H510&lt;&gt;""), H510/$E510, 0),"")</f>
        <v/>
      </c>
      <c r="J510" s="17" t="str">
        <f>IF(AND(C510&lt;&gt;"",('Cost Inputs'!$I$125+'Cost Inputs'!$J$125+'Cost Inputs'!$K$125)&gt;0), 'Cost Inputs'!$I$125+'Cost Inputs'!$J$125+'Cost Inputs'!$K$125, "")</f>
        <v/>
      </c>
      <c r="K510" s="17" t="str">
        <f>IF($C510&lt;&gt;"", IF(AND($E510&lt;&gt;"", J510&lt;&gt;""), J510/$E510, 0),"")</f>
        <v/>
      </c>
      <c r="L510" s="525"/>
      <c r="M510" s="525"/>
      <c r="W510" s="17" t="str">
        <f>IF(ISNUMBER($B$489),
IF($C510&lt;&gt;"",
IF(AND(ISNUMBER(V$488), V$488&gt;0),
IF(AND(W$279=123, Cultivar_1_Cohort_Year_Selection=$O$278,Cultivar_2_Cohort_Year_Selection=$O$278,Cultivar_3_Cohort_Year_Selection=$O$278), ROUND(MAX(0,V$488 - 3),0),
IF(AND(OR(W$279=123, W$279=12), Cultivar_1_Cohort_Year_Selection=$O$278,Cultivar_2_Cohort_Year_Selection=$O$278), ROUND(MAX(0,V$488 - 2),0),
IF(AND(OR(W$279=123, W$279=13), Cultivar_1_Cohort_Year_Selection=$O$278,Cultivar_3_Cohort_Year_Selection=$O$278), ROUND(MAX(0,V$488 - 2),0),
IF(AND(OR(W$279=123, W$279=23), Cultivar_2_Cohort_Year_Selection=$O$278,Cultivar_3_Cohort_Year_Selection=$O$278), ROUND(MAX(0,V$488 - 2),0),
IF(AND(OR(W$279=123, W$279=12, W$279=13, W$279=1), Cultivar_1_Cohort_Year_Selection=$O$278), ROUND(MAX(0,V$488 - 1),0),
IF(AND(OR(W$279=123, W$279=12, W$279=23, W$279=2), Cultivar_2_Cohort_Year_Selection=$O$278), ROUND(MAX(0,V$488 - 1),0),
IF(AND(OR(W$279=123, W$279=13, W$279=23, W$279=3), Cultivar_3_Cohort_Year_Selection=$O$278), ROUND(MAX(0,V$488 - 1),0),
ROUND(MAX(0,V$488),0)))))))),""),""),"")</f>
        <v/>
      </c>
      <c r="X510" s="17" t="str">
        <f>IF(ISNUMBER($B$489),
IF($C510&lt;&gt;"",
IF(AND(ISNUMBER(W$488), W$488&gt;0),
IF(AND(X$279=123, Cultivar_1_Cohort_Year_Selection=$P$278,Cultivar_2_Cohort_Year_Selection=$P$278,Cultivar_3_Cohort_Year_Selection=$P$278), ROUND(MAX(0,W$488 - 3),0),
IF(AND(OR(X$279=123, X$279=12), Cultivar_1_Cohort_Year_Selection=$P$278,Cultivar_2_Cohort_Year_Selection=$P$278), ROUND(MAX(0,W$488 - 2),0),
IF(AND(OR(X$279=123, X$279=13), Cultivar_1_Cohort_Year_Selection=$P$278,Cultivar_3_Cohort_Year_Selection=$P$278), ROUND(MAX(0,W$488 - 2),0),
IF(AND(OR(X$279=123, X$279=23), Cultivar_2_Cohort_Year_Selection=$P$278,Cultivar_3_Cohort_Year_Selection=$P$278), ROUND(MAX(0,W$488 - 2),0),
IF(AND(OR(X$279=123, X$279=12, X$279=13, X$279=1), Cultivar_1_Cohort_Year_Selection=$P$278), ROUND(MAX(0,W$488 - 1),0),
IF(AND(OR(X$279=123, X$279=12, X$279=23, X$279=2), Cultivar_2_Cohort_Year_Selection=$P$278), ROUND(MAX(0,W$488 - 1),0),
IF(AND(OR(X$279=123, X$279=13, X$279=23, X$279=3), Cultivar_3_Cohort_Year_Selection=$P$278), ROUND(MAX(0,W$488 - 1),0),
ROUND(MAX(0,W$488),0)))))))),""),""),"")</f>
        <v/>
      </c>
      <c r="Y510" s="17" t="str">
        <f>IF(ISNUMBER($B$489),
IF($C510&lt;&gt;"",
IF(AND(ISNUMBER(X$488), X$488&gt;0),
IF(AND(Y$279=123, Cultivar_1_Cohort_Year_Selection=$Q$278,Cultivar_2_Cohort_Year_Selection=$Q$278,Cultivar_3_Cohort_Year_Selection=$Q$278), ROUND(MAX(0,X$488 - 3),0),
IF(AND(OR(Y$279=123, Y$279=12), Cultivar_1_Cohort_Year_Selection=$Q$278,Cultivar_2_Cohort_Year_Selection=$Q$278), ROUND(MAX(0,X$488 - 2),0),
IF(AND(OR(Y$279=123, Y$279=13), Cultivar_1_Cohort_Year_Selection=$Q$278,Cultivar_3_Cohort_Year_Selection=$Q$278), ROUND(MAX(0,X$488 - 2),0),
IF(AND(OR(Y$279=123, Y$279=23), Cultivar_2_Cohort_Year_Selection=$Q$278,Cultivar_3_Cohort_Year_Selection=$Q$278), ROUND(MAX(0,X$488 - 2),0),
IF(AND(OR(Y$279=123, Y$279=12, Y$279=13, Y$279=1), Cultivar_1_Cohort_Year_Selection=$Q$278), ROUND(MAX(0,X$488 - 1),0),
IF(AND(OR(Y$279=123, Y$279=12, Y$279=23, Y$279=2), Cultivar_2_Cohort_Year_Selection=$Q$278), ROUND(MAX(0,X$488 - 1),0),
IF(AND(OR(Y$279=123, Y$279=13, Y$279=23, Y$279=3), Cultivar_3_Cohort_Year_Selection=$Q$278), ROUND(MAX(0,X$488 - 1),0),
ROUND(MAX(0,X$488),0)))))))),""),""),"")</f>
        <v/>
      </c>
      <c r="Z510" s="17" t="str">
        <f>IF(ISNUMBER($B$489),
IF($C510&lt;&gt;"",
IF(AND(ISNUMBER(Y$488), Y$488&gt;0),
IF(AND(Z$279=123, Cultivar_1_Cohort_Year_Selection=$R$278,Cultivar_2_Cohort_Year_Selection=$R$278,Cultivar_3_Cohort_Year_Selection=$R$278), ROUND(MAX(0,Y$488 - 3),0),
IF(AND(OR(Z$279=123, Z$279=12), Cultivar_1_Cohort_Year_Selection=$R$278,Cultivar_2_Cohort_Year_Selection=$R$278), ROUND(MAX(0,Y$488 - 2),0),
IF(AND(OR(Z$279=123, Z$279=13), Cultivar_1_Cohort_Year_Selection=$R$278,Cultivar_3_Cohort_Year_Selection=$R$278), ROUND(MAX(0,Y$488 - 2),0),
IF(AND(OR(Z$279=123, Z$279=23), Cultivar_2_Cohort_Year_Selection=$R$278,Cultivar_3_Cohort_Year_Selection=$R$278), ROUND(MAX(0,Y$488 - 2),0),
IF(AND(OR(Z$279=123, Z$279=12, Z$279=13, Z$279=1), Cultivar_1_Cohort_Year_Selection=$R$278), ROUND(MAX(0,Y$488 - 1),0),
IF(AND(OR(Z$279=123, Z$279=12, Z$279=23, Z$279=2), Cultivar_2_Cohort_Year_Selection=$R$278), ROUND(MAX(0,Y$488 - 1),0),
IF(AND(OR(Z$279=123, Z$279=13, Z$279=23, Z$279=3), Cultivar_3_Cohort_Year_Selection=$R$278), ROUND(MAX(0,Y$488 - 1),0),
ROUND(MAX(0,Y$488),0)))))))),""),""),"")</f>
        <v/>
      </c>
      <c r="AA510" s="17" t="str">
        <f>IF(ISNUMBER($B$489),
IF($C510&lt;&gt;"",
IF(AND(ISNUMBER(Z$488), Z$488&gt;0),
IF(AND(AA$279=123, Cultivar_1_Cohort_Year_Selection=$S$278,Cultivar_2_Cohort_Year_Selection=$S$278,Cultivar_3_Cohort_Year_Selection=$S$278), ROUND(MAX(0,Z$488 - 3),0),
IF(AND(OR(AA$279=123, AA$279=12), Cultivar_1_Cohort_Year_Selection=$S$278,Cultivar_2_Cohort_Year_Selection=$S$278), ROUND(MAX(0,Z$488 - 2),0),
IF(AND(OR(AA$279=123, AA$279=13), Cultivar_1_Cohort_Year_Selection=$S$278,Cultivar_3_Cohort_Year_Selection=$S$278), ROUND(MAX(0,Z$488 - 2),0),
IF(AND(OR(AA$279=123, AA$279=23), Cultivar_2_Cohort_Year_Selection=$S$278,Cultivar_3_Cohort_Year_Selection=$S$278), ROUND(MAX(0,Z$488 - 2),0),
IF(AND(OR(AA$279=123, AA$279=12, AA$279=13, AA$279=1), Cultivar_1_Cohort_Year_Selection=$S$278), ROUND(MAX(0,Z$488 - 1),0),
IF(AND(OR(AA$279=123, AA$279=12, AA$279=23, AA$279=2), Cultivar_2_Cohort_Year_Selection=$S$278), ROUND(MAX(0,Z$488 - 1),0),
IF(AND(OR(AA$279=123, AA$279=13, AA$279=23, AA$279=3), Cultivar_3_Cohort_Year_Selection=$S$278), ROUND(MAX(0,Z$488 - 1),0),
ROUND(MAX(0,Z$488),0)))))))),""),""),"")</f>
        <v/>
      </c>
      <c r="AB510" s="17" t="str">
        <f>IF(ISNUMBER($B$489),
IF($C510&lt;&gt;"",
IF(AND(ISNUMBER(AA$488), AA$488&gt;0),
IF(AND(AB$279=123, Cultivar_1_Cohort_Year_Selection=$T$278,Cultivar_2_Cohort_Year_Selection=$T$278,Cultivar_3_Cohort_Year_Selection=$T$278), ROUND(MAX(0,AA$488 - 3),0),
IF(AND(OR(AB$279=123, AB$279=12), Cultivar_1_Cohort_Year_Selection=$T$278,Cultivar_2_Cohort_Year_Selection=$T$278), ROUND(MAX(0,AA$488 - 2),0),
IF(AND(OR(AB$279=123, AB$279=13), Cultivar_1_Cohort_Year_Selection=$T$278,Cultivar_3_Cohort_Year_Selection=$T$278), ROUND(MAX(0,AA$488 - 2),0),
IF(AND(OR(AB$279=123, AB$279=23), Cultivar_2_Cohort_Year_Selection=$T$278,Cultivar_3_Cohort_Year_Selection=$T$278), ROUND(MAX(0,AA$488 - 2),0),
IF(AND(OR(AB$279=123, AB$279=12, AB$279=13, AB$279=1), Cultivar_1_Cohort_Year_Selection=$T$278), ROUND(MAX(0,AA$488 - 1),0),
IF(AND(OR(AB$279=123, AB$279=12, AB$279=23, AB$279=2), Cultivar_2_Cohort_Year_Selection=$T$278), ROUND(MAX(0,AA$488 - 1),0),
IF(AND(OR(AB$279=123, AB$279=13, AB$279=23, AB$279=3), Cultivar_3_Cohort_Year_Selection=$T$278), ROUND(MAX(0,AA$488 - 1),0),
ROUND(MAX(0,AA$488),0)))))))),""),""),"")</f>
        <v/>
      </c>
      <c r="AC510" s="17" t="str">
        <f>IF(ISNUMBER($B$489),
IF($C510&lt;&gt;"",
IF(AND(ISNUMBER(AB$488), AB$488&gt;0),
IF(AND(AC$279=123, Cultivar_1_Cohort_Year_Selection=$U$278,Cultivar_2_Cohort_Year_Selection=$U$278,Cultivar_3_Cohort_Year_Selection=$U$278), ROUND(MAX(0,AB$488 - 3),0),
IF(AND(OR(AC$279=123, AC$279=12), Cultivar_1_Cohort_Year_Selection=$U$278,Cultivar_2_Cohort_Year_Selection=$U$278), ROUND(MAX(0,AB$488 - 2),0),
IF(AND(OR(AC$279=123, AC$279=13), Cultivar_1_Cohort_Year_Selection=$U$278,Cultivar_3_Cohort_Year_Selection=$U$278), ROUND(MAX(0,AB$488 - 2),0),
IF(AND(OR(AC$279=123, AC$279=23), Cultivar_2_Cohort_Year_Selection=$U$278,Cultivar_3_Cohort_Year_Selection=$U$278), ROUND(MAX(0,AB$488 - 2),0),
IF(AND(OR(AC$279=123, AC$279=12, AC$279=13, AC$279=1), Cultivar_1_Cohort_Year_Selection=$U$278), ROUND(MAX(0,AB$488 - 1),0),
IF(AND(OR(AC$279=123, AC$279=12, AC$279=23, AC$279=2), Cultivar_2_Cohort_Year_Selection=$U$278), ROUND(MAX(0,AB$488 - 1),0),
IF(AND(OR(AC$279=123, AC$279=13, AC$279=23, AC$279=3), Cultivar_3_Cohort_Year_Selection=$U$278), ROUND(MAX(0,AB$488 - 1),0),
ROUND(MAX(0,AB$488),0)))))))),""),""),"")</f>
        <v/>
      </c>
      <c r="AD510" s="17" t="str">
        <f>IF(ISNUMBER($B$489),
IF($C510&lt;&gt;"",
IF(AND(ISNUMBER(AC$488), AC$488&gt;0),
IF(AND(AD$279=123, Cultivar_1_Cohort_Year_Selection=$V$278,Cultivar_2_Cohort_Year_Selection=$V$278,Cultivar_3_Cohort_Year_Selection=$V$278), ROUND(MAX(0,AC$488 - 3),0),
IF(AND(OR(AD$279=123, AD$279=12), Cultivar_1_Cohort_Year_Selection=$V$278,Cultivar_2_Cohort_Year_Selection=$V$278), ROUND(MAX(0,AC$488 - 2),0),
IF(AND(OR(AD$279=123, AD$279=13), Cultivar_1_Cohort_Year_Selection=$V$278,Cultivar_3_Cohort_Year_Selection=$V$278), ROUND(MAX(0,AC$488 - 2),0),
IF(AND(OR(AD$279=123, AD$279=23), Cultivar_2_Cohort_Year_Selection=$V$278,Cultivar_3_Cohort_Year_Selection=$V$278), ROUND(MAX(0,AC$488 - 2),0),
IF(AND(OR(AD$279=123, AD$279=12, AD$279=13, AD$279=1), Cultivar_1_Cohort_Year_Selection=$V$278), ROUND(MAX(0,AC$488 - 1),0),
IF(AND(OR(AD$279=123, AD$279=12, AD$279=23, AD$279=2), Cultivar_2_Cohort_Year_Selection=$V$278), ROUND(MAX(0,AC$488 - 1),0),
IF(AND(OR(AD$279=123, AD$279=13, AD$279=23, AD$279=3), Cultivar_3_Cohort_Year_Selection=$V$278), ROUND(MAX(0,AC$488 - 1),0),
ROUND(MAX(0,AC$488),0)))))))),""),""),"")</f>
        <v/>
      </c>
      <c r="AE510" s="17" t="str">
        <f>IF(ISNUMBER($B$489),
IF($C510&lt;&gt;"",
IF(AND(ISNUMBER(AD$488), AD$488&gt;0),
IF(AND(AE$279=123, Cultivar_1_Cohort_Year_Selection=$W$278,Cultivar_2_Cohort_Year_Selection=$W$278,Cultivar_3_Cohort_Year_Selection=$W$278), ROUND(MAX(0,AD$488 - 3),0),
IF(AND(OR(AE$279=123, AE$279=12), Cultivar_1_Cohort_Year_Selection=$W$278,Cultivar_2_Cohort_Year_Selection=$W$278), ROUND(MAX(0,AD$488 - 2),0),
IF(AND(OR(AE$279=123, AE$279=13), Cultivar_1_Cohort_Year_Selection=$W$278,Cultivar_3_Cohort_Year_Selection=$W$278), ROUND(MAX(0,AD$488 - 2),0),
IF(AND(OR(AE$279=123, AE$279=23), Cultivar_2_Cohort_Year_Selection=$W$278,Cultivar_3_Cohort_Year_Selection=$W$278), ROUND(MAX(0,AD$488 - 2),0),
IF(AND(OR(AE$279=123, AE$279=12, AE$279=13, AE$279=1), Cultivar_1_Cohort_Year_Selection=$W$278), ROUND(MAX(0,AD$488 - 1),0),
IF(AND(OR(AE$279=123, AE$279=12, AE$279=23, AE$279=2), Cultivar_2_Cohort_Year_Selection=$W$278), ROUND(MAX(0,AD$488 - 1),0),
IF(AND(OR(AE$279=123, AE$279=13, AE$279=23, AE$279=3), Cultivar_3_Cohort_Year_Selection=$W$278), ROUND(MAX(0,AD$488 - 1),0),
ROUND(MAX(0,AD$488),0)))))))),""),""),"")</f>
        <v/>
      </c>
      <c r="AF510" s="17" t="str">
        <f>IF(ISNUMBER($B$489),
IF($C510&lt;&gt;"",
IF(AND(ISNUMBER(AE$488), AE$488&gt;0),
IF(AND(AF$279=123, Cultivar_1_Cohort_Year_Selection=$X$278,Cultivar_2_Cohort_Year_Selection=$X$278,Cultivar_3_Cohort_Year_Selection=$X$278), ROUND(MAX(0,AE$488 - 3),0),
IF(AND(OR(AF$279=123, AF$279=12), Cultivar_1_Cohort_Year_Selection=$X$278,Cultivar_2_Cohort_Year_Selection=$X$278), ROUND(MAX(0,AE$488 - 2),0),
IF(AND(OR(AF$279=123, AF$279=13), Cultivar_1_Cohort_Year_Selection=$X$278,Cultivar_3_Cohort_Year_Selection=$X$278), ROUND(MAX(0,AE$488 - 2),0),
IF(AND(OR(AF$279=123, AF$279=23), Cultivar_2_Cohort_Year_Selection=$X$278,Cultivar_3_Cohort_Year_Selection=$X$278), ROUND(MAX(0,AE$488 - 2),0),
IF(AND(OR(AF$279=123, AF$279=12, AF$279=13, AF$279=1), Cultivar_1_Cohort_Year_Selection=$X$278), ROUND(MAX(0,AE$488 - 1),0),
IF(AND(OR(AF$279=123, AF$279=12, AF$279=23, AF$279=2), Cultivar_2_Cohort_Year_Selection=$X$278), ROUND(MAX(0,AE$488 - 1),0),
IF(AND(OR(AF$279=123, AF$279=13, AF$279=23, AF$279=3), Cultivar_3_Cohort_Year_Selection=$X$278), ROUND(MAX(0,AE$488 - 1),0),
ROUND(MAX(0,AE$488),0)))))))),""),""),"")</f>
        <v/>
      </c>
      <c r="AG510" s="17" t="str">
        <f>IF(ISNUMBER($B$489),
IF($C510&lt;&gt;"",
IF(AND(ISNUMBER(AF$488), AF$488&gt;0),
IF(AND(AG$279=123, Cultivar_1_Cohort_Year_Selection=$Y$278,Cultivar_2_Cohort_Year_Selection=$Y$278,Cultivar_3_Cohort_Year_Selection=$Y$278), ROUND(MAX(0,AF$488 - 3),0),
IF(AND(OR(AG$279=123, AG$279=12), Cultivar_1_Cohort_Year_Selection=$Y$278,Cultivar_2_Cohort_Year_Selection=$Y$278), ROUND(MAX(0,AF$488 - 2),0),
IF(AND(OR(AG$279=123, AG$279=13), Cultivar_1_Cohort_Year_Selection=$Y$278,Cultivar_3_Cohort_Year_Selection=$Y$278), ROUND(MAX(0,AF$488 - 2),0),
IF(AND(OR(AG$279=123, AG$279=23), Cultivar_2_Cohort_Year_Selection=$Y$278,Cultivar_3_Cohort_Year_Selection=$Y$278), ROUND(MAX(0,AF$488 - 2),0),
IF(AND(OR(AG$279=123, AG$279=12, AG$279=13, AG$279=1), Cultivar_1_Cohort_Year_Selection=$Y$278), ROUND(MAX(0,AF$488 - 1),0),
IF(AND(OR(AG$279=123, AG$279=12, AG$279=23, AG$279=2), Cultivar_2_Cohort_Year_Selection=$Y$278), ROUND(MAX(0,AF$488 - 1),0),
IF(AND(OR(AG$279=123, AG$279=13, AG$279=23, AG$279=3), Cultivar_3_Cohort_Year_Selection=$Y$278), ROUND(MAX(0,AF$488 - 1),0),
ROUND(MAX(0,AF$488),0)))))))),""),""),"")</f>
        <v/>
      </c>
      <c r="AH510" s="17" t="str">
        <f>IF(ISNUMBER($B$489),
IF($C510&lt;&gt;"",
IF(AND(ISNUMBER(AG$488), AG$488&gt;0),
IF(AND(AH$279=123, Cultivar_1_Cohort_Year_Selection=$Z$278,Cultivar_2_Cohort_Year_Selection=$Z$278,Cultivar_3_Cohort_Year_Selection=$Z$278), ROUND(MAX(0,AG$488 - 3),0),
IF(AND(OR(AH$279=123, AH$279=12), Cultivar_1_Cohort_Year_Selection=$Z$278,Cultivar_2_Cohort_Year_Selection=$Z$278), ROUND(MAX(0,AG$488 - 2),0),
IF(AND(OR(AH$279=123, AH$279=13), Cultivar_1_Cohort_Year_Selection=$Z$278,Cultivar_3_Cohort_Year_Selection=$Z$278), ROUND(MAX(0,AG$488 - 2),0),
IF(AND(OR(AH$279=123, AH$279=23), Cultivar_2_Cohort_Year_Selection=$Z$278,Cultivar_3_Cohort_Year_Selection=$Z$278), ROUND(MAX(0,AG$488 - 2),0),
IF(AND(OR(AH$279=123, AH$279=12, AH$279=13, AH$279=1), Cultivar_1_Cohort_Year_Selection=$Z$278), ROUND(MAX(0,AG$488 - 1),0),
IF(AND(OR(AH$279=123, AH$279=12, AH$279=23, AH$279=2), Cultivar_2_Cohort_Year_Selection=$Z$278), ROUND(MAX(0,AG$488 - 1),0),
IF(AND(OR(AH$279=123, AH$279=13, AH$279=23, AH$279=3), Cultivar_3_Cohort_Year_Selection=$Z$278), ROUND(MAX(0,AG$488 - 1),0),
ROUND(MAX(0,AG$488),0)))))))),""),""),"")</f>
        <v/>
      </c>
      <c r="AI510" s="17" t="str">
        <f>IF(ISNUMBER($B$489),
IF($C510&lt;&gt;"",
IF(AND(ISNUMBER(AH$488), AH$488&gt;0),
IF(AND(AI$279=123, Cultivar_1_Cohort_Year_Selection=$AA$278,Cultivar_2_Cohort_Year_Selection=$AA$278,Cultivar_3_Cohort_Year_Selection=$AA$278), ROUND(MAX(0,AH$488 - 3),0),
IF(AND(OR(AI$279=123, AI$279=12), Cultivar_1_Cohort_Year_Selection=$AA$278,Cultivar_2_Cohort_Year_Selection=$AA$278), ROUND(MAX(0,AH$488 - 2),0),
IF(AND(OR(AI$279=123, AI$279=13), Cultivar_1_Cohort_Year_Selection=$AA$278,Cultivar_3_Cohort_Year_Selection=$AA$278), ROUND(MAX(0,AH$488 - 2),0),
IF(AND(OR(AI$279=123, AI$279=23), Cultivar_2_Cohort_Year_Selection=$AA$278,Cultivar_3_Cohort_Year_Selection=$AA$278), ROUND(MAX(0,AH$488 - 2),0),
IF(AND(OR(AI$279=123, AI$279=12, AI$279=13, AI$279=1), Cultivar_1_Cohort_Year_Selection=$AA$278), ROUND(MAX(0,AH$488 - 1),0),
IF(AND(OR(AI$279=123, AI$279=12, AI$279=23, AI$279=2), Cultivar_2_Cohort_Year_Selection=$AA$278), ROUND(MAX(0,AH$488 - 1),0),
IF(AND(OR(AI$279=123, AI$279=13, AI$279=23, AI$279=3), Cultivar_3_Cohort_Year_Selection=$AA$278), ROUND(MAX(0,AH$488 - 1),0),
ROUND(MAX(0,AH$488),0)))))))),""),""),"")</f>
        <v/>
      </c>
      <c r="AJ510" s="17" t="str">
        <f>IF(ISNUMBER($B$489),
IF($C510&lt;&gt;"",
IF(AND(ISNUMBER(AI$488), AI$488&gt;0),
IF(AND(AJ$279=123, Cultivar_1_Cohort_Year_Selection=$AB$278,Cultivar_2_Cohort_Year_Selection=$AB$278,Cultivar_3_Cohort_Year_Selection=$AB$278), ROUND(MAX(0,AI$488 - 3),0),
IF(AND(OR(AJ$279=123, AJ$279=12), Cultivar_1_Cohort_Year_Selection=$AB$278,Cultivar_2_Cohort_Year_Selection=$AB$278), ROUND(MAX(0,AI$488 - 2),0),
IF(AND(OR(AJ$279=123, AJ$279=13), Cultivar_1_Cohort_Year_Selection=$AB$278,Cultivar_3_Cohort_Year_Selection=$AB$278), ROUND(MAX(0,AI$488 - 2),0),
IF(AND(OR(AJ$279=123, AJ$279=23), Cultivar_2_Cohort_Year_Selection=$AB$278,Cultivar_3_Cohort_Year_Selection=$AB$278), ROUND(MAX(0,AI$488 - 2),0),
IF(AND(OR(AJ$279=123, AJ$279=12, AJ$279=13, AJ$279=1), Cultivar_1_Cohort_Year_Selection=$AB$278), ROUND(MAX(0,AI$488 - 1),0),
IF(AND(OR(AJ$279=123, AJ$279=12, AJ$279=23, AJ$279=2), Cultivar_2_Cohort_Year_Selection=$AB$278), ROUND(MAX(0,AI$488 - 1),0),
IF(AND(OR(AJ$279=123, AJ$279=13, AJ$279=23, AJ$279=3), Cultivar_3_Cohort_Year_Selection=$AB$278), ROUND(MAX(0,AI$488 - 1),0),
ROUND(MAX(0,AI$488),0)))))))),""),""),"")</f>
        <v/>
      </c>
      <c r="AK510" s="17" t="str">
        <f>IF(ISNUMBER($B$489),
IF($C510&lt;&gt;"",
IF(AND(ISNUMBER(AJ$488), AJ$488&gt;0),
IF(AND(AK$279=123, Cultivar_1_Cohort_Year_Selection=$AC$278,Cultivar_2_Cohort_Year_Selection=$AC$278,Cultivar_3_Cohort_Year_Selection=$AC$278), ROUND(MAX(0,AJ$488 - 3),0),
IF(AND(OR(AK$279=123, AK$279=12), Cultivar_1_Cohort_Year_Selection=$AC$278,Cultivar_2_Cohort_Year_Selection=$AC$278), ROUND(MAX(0,AJ$488 - 2),0),
IF(AND(OR(AK$279=123, AK$279=13), Cultivar_1_Cohort_Year_Selection=$AC$278,Cultivar_3_Cohort_Year_Selection=$AC$278), ROUND(MAX(0,AJ$488 - 2),0),
IF(AND(OR(AK$279=123, AK$279=23), Cultivar_2_Cohort_Year_Selection=$AC$278,Cultivar_3_Cohort_Year_Selection=$AC$278), ROUND(MAX(0,AJ$488 - 2),0),
IF(AND(OR(AK$279=123, AK$279=12, AK$279=13, AK$279=1), Cultivar_1_Cohort_Year_Selection=$AC$278), ROUND(MAX(0,AJ$488 - 1),0),
IF(AND(OR(AK$279=123, AK$279=12, AK$279=23, AK$279=2), Cultivar_2_Cohort_Year_Selection=$AC$278), ROUND(MAX(0,AJ$488 - 1),0),
IF(AND(OR(AK$279=123, AK$279=13, AK$279=23, AK$279=3), Cultivar_3_Cohort_Year_Selection=$AC$278), ROUND(MAX(0,AJ$488 - 1),0),
ROUND(MAX(0,AJ$488),0)))))))),""),""),"")</f>
        <v/>
      </c>
      <c r="AL510" s="17" t="str">
        <f>IF(ISNUMBER($B$489),
IF($C510&lt;&gt;"",
IF(AND(ISNUMBER(AK$488), AK$488&gt;0),
IF(AND(AL$279=123, Cultivar_1_Cohort_Year_Selection=$AD$278,Cultivar_2_Cohort_Year_Selection=$AD$278,Cultivar_3_Cohort_Year_Selection=$AD$278), ROUND(MAX(0,AK$488 - 3),0),
IF(AND(OR(AL$279=123, AL$279=12), Cultivar_1_Cohort_Year_Selection=$AD$278,Cultivar_2_Cohort_Year_Selection=$AD$278), ROUND(MAX(0,AK$488 - 2),0),
IF(AND(OR(AL$279=123, AL$279=13), Cultivar_1_Cohort_Year_Selection=$AD$278,Cultivar_3_Cohort_Year_Selection=$AD$278), ROUND(MAX(0,AK$488 - 2),0),
IF(AND(OR(AL$279=123, AL$279=23), Cultivar_2_Cohort_Year_Selection=$AD$278,Cultivar_3_Cohort_Year_Selection=$AD$278), ROUND(MAX(0,AK$488 - 2),0),
IF(AND(OR(AL$279=123, AL$279=12, AL$279=13, AL$279=1), Cultivar_1_Cohort_Year_Selection=$AD$278), ROUND(MAX(0,AK$488 - 1),0),
IF(AND(OR(AL$279=123, AL$279=12, AL$279=23, AL$279=2), Cultivar_2_Cohort_Year_Selection=$AD$278), ROUND(MAX(0,AK$488 - 1),0),
IF(AND(OR(AL$279=123, AL$279=13, AL$279=23, AL$279=3), Cultivar_3_Cohort_Year_Selection=$AD$278), ROUND(MAX(0,AK$488 - 1),0),
ROUND(MAX(0,AK$488),0)))))))),""),""),"")</f>
        <v/>
      </c>
      <c r="AM510" s="17" t="str">
        <f>IF(ISNUMBER($B$489),
IF($C510&lt;&gt;"",
IF(AND(ISNUMBER(AL$488), AL$488&gt;0),
IF(AND(AM$279=123, Cultivar_1_Cohort_Year_Selection=$AE$278,Cultivar_2_Cohort_Year_Selection=$AE$278,Cultivar_3_Cohort_Year_Selection=$AE$278), ROUND(MAX(0,AL$488 - 3),0),
IF(AND(OR(AM$279=123, AM$279=12), Cultivar_1_Cohort_Year_Selection=$AE$278,Cultivar_2_Cohort_Year_Selection=$AE$278), ROUND(MAX(0,AL$488 - 2),0),
IF(AND(OR(AM$279=123, AM$279=13), Cultivar_1_Cohort_Year_Selection=$AE$278,Cultivar_3_Cohort_Year_Selection=$AE$278), ROUND(MAX(0,AL$488 - 2),0),
IF(AND(OR(AM$279=123, AM$279=23), Cultivar_2_Cohort_Year_Selection=$AE$278,Cultivar_3_Cohort_Year_Selection=$AE$278), ROUND(MAX(0,AL$488 - 2),0),
IF(AND(OR(AM$279=123, AM$279=12, AM$279=13, AM$279=1), Cultivar_1_Cohort_Year_Selection=$AE$278), ROUND(MAX(0,AL$488 - 1),0),
IF(AND(OR(AM$279=123, AM$279=12, AM$279=23, AM$279=2), Cultivar_2_Cohort_Year_Selection=$AE$278), ROUND(MAX(0,AL$488 - 1),0),
IF(AND(OR(AM$279=123, AM$279=13, AM$279=23, AM$279=3), Cultivar_3_Cohort_Year_Selection=$AE$278), ROUND(MAX(0,AL$488 - 1),0),
ROUND(MAX(0,AL$488),0)))))))),""),""),"")</f>
        <v/>
      </c>
      <c r="AN510" s="17" t="str">
        <f>IF(ISNUMBER($B$489),
IF($C510&lt;&gt;"",
IF(AND(ISNUMBER(AM$488), AM$488&gt;0),
IF(AND(AN$279=123, Cultivar_1_Cohort_Year_Selection=$AF$278,Cultivar_2_Cohort_Year_Selection=$AF$278,Cultivar_3_Cohort_Year_Selection=$AF$278), ROUND(MAX(0,AM$488 - 3),0),
IF(AND(OR(AN$279=123, AN$279=12), Cultivar_1_Cohort_Year_Selection=$AF$278,Cultivar_2_Cohort_Year_Selection=$AF$278), ROUND(MAX(0,AM$488 - 2),0),
IF(AND(OR(AN$279=123, AN$279=13), Cultivar_1_Cohort_Year_Selection=$AF$278,Cultivar_3_Cohort_Year_Selection=$AF$278), ROUND(MAX(0,AM$488 - 2),0),
IF(AND(OR(AN$279=123, AN$279=23), Cultivar_2_Cohort_Year_Selection=$AF$278,Cultivar_3_Cohort_Year_Selection=$AF$278), ROUND(MAX(0,AM$488 - 2),0),
IF(AND(OR(AN$279=123, AN$279=12, AN$279=13, AN$279=1), Cultivar_1_Cohort_Year_Selection=$AF$278), ROUND(MAX(0,AM$488 - 1),0),
IF(AND(OR(AN$279=123, AN$279=12, AN$279=23, AN$279=2), Cultivar_2_Cohort_Year_Selection=$AF$278), ROUND(MAX(0,AM$488 - 1),0),
IF(AND(OR(AN$279=123, AN$279=13, AN$279=23, AN$279=3), Cultivar_3_Cohort_Year_Selection=$AF$278), ROUND(MAX(0,AM$488 - 1),0),
ROUND(MAX(0,AM$488),0)))))))),""),""),"")</f>
        <v/>
      </c>
      <c r="AO510" s="17" t="str">
        <f>IF(ISNUMBER($B$489),
IF($C510&lt;&gt;"",
IF(AND(ISNUMBER(AN$488), AN$488&gt;0),
IF(AND(AO$279=123, Cultivar_1_Cohort_Year_Selection=$AG$278,Cultivar_2_Cohort_Year_Selection=$AG$278,Cultivar_3_Cohort_Year_Selection=$AG$278), ROUND(MAX(0,AN$488 - 3),0),
IF(AND(OR(AO$279=123, AO$279=12), Cultivar_1_Cohort_Year_Selection=$AG$278,Cultivar_2_Cohort_Year_Selection=$AG$278), ROUND(MAX(0,AN$488 - 2),0),
IF(AND(OR(AO$279=123, AO$279=13), Cultivar_1_Cohort_Year_Selection=$AG$278,Cultivar_3_Cohort_Year_Selection=$AG$278), ROUND(MAX(0,AN$488 - 2),0),
IF(AND(OR(AO$279=123, AO$279=23), Cultivar_2_Cohort_Year_Selection=$AG$278,Cultivar_3_Cohort_Year_Selection=$AG$278), ROUND(MAX(0,AN$488 - 2),0),
IF(AND(OR(AO$279=123, AO$279=12, AO$279=13, AO$279=1), Cultivar_1_Cohort_Year_Selection=$AG$278), ROUND(MAX(0,AN$488 - 1),0),
IF(AND(OR(AO$279=123, AO$279=12, AO$279=23, AO$279=2), Cultivar_2_Cohort_Year_Selection=$AG$278), ROUND(MAX(0,AN$488 - 1),0),
IF(AND(OR(AO$279=123, AO$279=13, AO$279=23, AO$279=3), Cultivar_3_Cohort_Year_Selection=$AG$278), ROUND(MAX(0,AN$488 - 1),0),
ROUND(MAX(0,AN$488),0)))))))),""),""),"")</f>
        <v/>
      </c>
      <c r="AP510" s="17" t="str">
        <f>IF(ISNUMBER($B$489),
IF($C510&lt;&gt;"",
IF(AND(ISNUMBER(AO$488), AO$488&gt;0),
IF(AND(AP$279=123, Cultivar_1_Cohort_Year_Selection=$AH$278,Cultivar_2_Cohort_Year_Selection=$AH$278,Cultivar_3_Cohort_Year_Selection=$AH$278), ROUND(MAX(0,AO$488 - 3),0),
IF(AND(OR(AP$279=123, AP$279=12), Cultivar_1_Cohort_Year_Selection=$AH$278,Cultivar_2_Cohort_Year_Selection=$AH$278), ROUND(MAX(0,AO$488 - 2),0),
IF(AND(OR(AP$279=123, AP$279=13), Cultivar_1_Cohort_Year_Selection=$AH$278,Cultivar_3_Cohort_Year_Selection=$AH$278), ROUND(MAX(0,AO$488 - 2),0),
IF(AND(OR(AP$279=123, AP$279=23), Cultivar_2_Cohort_Year_Selection=$AH$278,Cultivar_3_Cohort_Year_Selection=$AH$278), ROUND(MAX(0,AO$488 - 2),0),
IF(AND(OR(AP$279=123, AP$279=12, AP$279=13, AP$279=1), Cultivar_1_Cohort_Year_Selection=$AH$278), ROUND(MAX(0,AO$488 - 1),0),
IF(AND(OR(AP$279=123, AP$279=12, AP$279=23, AP$279=2), Cultivar_2_Cohort_Year_Selection=$AH$278), ROUND(MAX(0,AO$488 - 1),0),
IF(AND(OR(AP$279=123, AP$279=13, AP$279=23, AP$279=3), Cultivar_3_Cohort_Year_Selection=$AH$278), ROUND(MAX(0,AO$488 - 1),0),
ROUND(MAX(0,AO$488),0)))))))),""),""),"")</f>
        <v/>
      </c>
      <c r="AQ510" s="17" t="str">
        <f>IF(ISNUMBER($B$489),
IF($C510&lt;&gt;"",
IF(AND(ISNUMBER(AP$488), AP$488&gt;0),
IF(AND(AQ$279=123, Cultivar_1_Cohort_Year_Selection=$AI$278,Cultivar_2_Cohort_Year_Selection=$AI$278,Cultivar_3_Cohort_Year_Selection=$AI$278), ROUND(MAX(0,AP$488 - 3),0),
IF(AND(OR(AQ$279=123, AQ$279=12), Cultivar_1_Cohort_Year_Selection=$AI$278,Cultivar_2_Cohort_Year_Selection=$AI$278), ROUND(MAX(0,AP$488 - 2),0),
IF(AND(OR(AQ$279=123, AQ$279=13), Cultivar_1_Cohort_Year_Selection=$AI$278,Cultivar_3_Cohort_Year_Selection=$AI$278), ROUND(MAX(0,AP$488 - 2),0),
IF(AND(OR(AQ$279=123, AQ$279=23), Cultivar_2_Cohort_Year_Selection=$AI$278,Cultivar_3_Cohort_Year_Selection=$AI$278), ROUND(MAX(0,AP$488 - 2),0),
IF(AND(OR(AQ$279=123, AQ$279=12, AQ$279=13, AQ$279=1), Cultivar_1_Cohort_Year_Selection=$AI$278), ROUND(MAX(0,AP$488 - 1),0),
IF(AND(OR(AQ$279=123, AQ$279=12, AQ$279=23, AQ$279=2), Cultivar_2_Cohort_Year_Selection=$AI$278), ROUND(MAX(0,AP$488 - 1),0),
IF(AND(OR(AQ$279=123, AQ$279=13, AQ$279=23, AQ$279=3), Cultivar_3_Cohort_Year_Selection=$AI$278), ROUND(MAX(0,AP$488 - 1),0),
ROUND(MAX(0,AP$488),0)))))))),""),""),"")</f>
        <v/>
      </c>
      <c r="AR510" s="17" t="str">
        <f>IF(ISNUMBER($B$489),
IF($C510&lt;&gt;"",
IF(AND(ISNUMBER(AQ$488), AQ$488&gt;0),
IF(AND(AR$279=123, Cultivar_1_Cohort_Year_Selection=$AJ$278,Cultivar_2_Cohort_Year_Selection=$AJ$278,Cultivar_3_Cohort_Year_Selection=$AJ$278), ROUND(MAX(0,AQ$488 - 3),0),
IF(AND(OR(AR$279=123, AR$279=12), Cultivar_1_Cohort_Year_Selection=$AJ$278,Cultivar_2_Cohort_Year_Selection=$AJ$278), ROUND(MAX(0,AQ$488 - 2),0),
IF(AND(OR(AR$279=123, AR$279=13), Cultivar_1_Cohort_Year_Selection=$AJ$278,Cultivar_3_Cohort_Year_Selection=$AJ$278), ROUND(MAX(0,AQ$488 - 2),0),
IF(AND(OR(AR$279=123, AR$279=23), Cultivar_2_Cohort_Year_Selection=$AJ$278,Cultivar_3_Cohort_Year_Selection=$AJ$278), ROUND(MAX(0,AQ$488 - 2),0),
IF(AND(OR(AR$279=123, AR$279=12, AR$279=13, AR$279=1), Cultivar_1_Cohort_Year_Selection=$AJ$278), ROUND(MAX(0,AQ$488 - 1),0),
IF(AND(OR(AR$279=123, AR$279=12, AR$279=23, AR$279=2), Cultivar_2_Cohort_Year_Selection=$AJ$278), ROUND(MAX(0,AQ$488 - 1),0),
IF(AND(OR(AR$279=123, AR$279=13, AR$279=23, AR$279=3), Cultivar_3_Cohort_Year_Selection=$AJ$278), ROUND(MAX(0,AQ$488 - 1),0),
ROUND(MAX(0,AQ$488),0)))))))),""),""),"")</f>
        <v/>
      </c>
      <c r="AS510" s="17" t="str">
        <f>IF(ISNUMBER($B$489),
IF($C510&lt;&gt;"",
IF(AND(ISNUMBER(AR$488), AR$488&gt;0),
IF(AND(AS$279=123, Cultivar_1_Cohort_Year_Selection=$AK$278,Cultivar_2_Cohort_Year_Selection=$AK$278,Cultivar_3_Cohort_Year_Selection=$AK$278), ROUND(MAX(0,AR$488 - 3),0),
IF(AND(OR(AS$279=123, AS$279=12), Cultivar_1_Cohort_Year_Selection=$AK$278,Cultivar_2_Cohort_Year_Selection=$AK$278), ROUND(MAX(0,AR$488 - 2),0),
IF(AND(OR(AS$279=123, AS$279=13), Cultivar_1_Cohort_Year_Selection=$AK$278,Cultivar_3_Cohort_Year_Selection=$AK$278), ROUND(MAX(0,AR$488 - 2),0),
IF(AND(OR(AS$279=123, AS$279=23), Cultivar_2_Cohort_Year_Selection=$AK$278,Cultivar_3_Cohort_Year_Selection=$AK$278), ROUND(MAX(0,AR$488 - 2),0),
IF(AND(OR(AS$279=123, AS$279=12, AS$279=13, AS$279=1), Cultivar_1_Cohort_Year_Selection=$AK$278), ROUND(MAX(0,AR$488 - 1),0),
IF(AND(OR(AS$279=123, AS$279=12, AS$279=23, AS$279=2), Cultivar_2_Cohort_Year_Selection=$AK$278), ROUND(MAX(0,AR$488 - 1),0),
IF(AND(OR(AS$279=123, AS$279=13, AS$279=23, AS$279=3), Cultivar_3_Cohort_Year_Selection=$AK$278), ROUND(MAX(0,AR$488 - 1),0),
ROUND(MAX(0,AR$488),0)))))))),""),""),"")</f>
        <v/>
      </c>
      <c r="AT510" s="17" t="str">
        <f>IF(ISNUMBER($B$489),
IF($C510&lt;&gt;"",
IF(AND(ISNUMBER(AS$488), AS$488&gt;0),
IF(AND(AT$279=123, Cultivar_1_Cohort_Year_Selection=$AL$278,Cultivar_2_Cohort_Year_Selection=$AL$278,Cultivar_3_Cohort_Year_Selection=$AL$278), ROUND(MAX(0,AS$488 - 3),0),
IF(AND(OR(AT$279=123, AT$279=12), Cultivar_1_Cohort_Year_Selection=$AL$278,Cultivar_2_Cohort_Year_Selection=$AL$278), ROUND(MAX(0,AS$488 - 2),0),
IF(AND(OR(AT$279=123, AT$279=13), Cultivar_1_Cohort_Year_Selection=$AL$278,Cultivar_3_Cohort_Year_Selection=$AL$278), ROUND(MAX(0,AS$488 - 2),0),
IF(AND(OR(AT$279=123, AT$279=23), Cultivar_2_Cohort_Year_Selection=$AL$278,Cultivar_3_Cohort_Year_Selection=$AL$278), ROUND(MAX(0,AS$488 - 2),0),
IF(AND(OR(AT$279=123, AT$279=12, AT$279=13, AT$279=1), Cultivar_1_Cohort_Year_Selection=$AL$278), ROUND(MAX(0,AS$488 - 1),0),
IF(AND(OR(AT$279=123, AT$279=12, AT$279=23, AT$279=2), Cultivar_2_Cohort_Year_Selection=$AL$278), ROUND(MAX(0,AS$488 - 1),0),
IF(AND(OR(AT$279=123, AT$279=13, AT$279=23, AT$279=3), Cultivar_3_Cohort_Year_Selection=$AL$278), ROUND(MAX(0,AS$488 - 1),0),
ROUND(MAX(0,AS$488),0)))))))),""),""),"")</f>
        <v/>
      </c>
      <c r="AU510" s="17" t="str">
        <f>IF(ISNUMBER($B$489),
IF($C510&lt;&gt;"",
IF(AND(ISNUMBER(AT$488), AT$488&gt;0),
IF(AND(AU$279=123, Cultivar_1_Cohort_Year_Selection=$AM$278,Cultivar_2_Cohort_Year_Selection=$AM$278,Cultivar_3_Cohort_Year_Selection=$AM$278), ROUND(MAX(0,AT$488 - 3),0),
IF(AND(OR(AU$279=123, AU$279=12), Cultivar_1_Cohort_Year_Selection=$AM$278,Cultivar_2_Cohort_Year_Selection=$AM$278), ROUND(MAX(0,AT$488 - 2),0),
IF(AND(OR(AU$279=123, AU$279=13), Cultivar_1_Cohort_Year_Selection=$AM$278,Cultivar_3_Cohort_Year_Selection=$AM$278), ROUND(MAX(0,AT$488 - 2),0),
IF(AND(OR(AU$279=123, AU$279=23), Cultivar_2_Cohort_Year_Selection=$AM$278,Cultivar_3_Cohort_Year_Selection=$AM$278), ROUND(MAX(0,AT$488 - 2),0),
IF(AND(OR(AU$279=123, AU$279=12, AU$279=13, AU$279=1), Cultivar_1_Cohort_Year_Selection=$AM$278), ROUND(MAX(0,AT$488 - 1),0),
IF(AND(OR(AU$279=123, AU$279=12, AU$279=23, AU$279=2), Cultivar_2_Cohort_Year_Selection=$AM$278), ROUND(MAX(0,AT$488 - 1),0),
IF(AND(OR(AU$279=123, AU$279=13, AU$279=23, AU$279=3), Cultivar_3_Cohort_Year_Selection=$AM$278), ROUND(MAX(0,AT$488 - 1),0),
ROUND(MAX(0,AT$488),0)))))))),""),""),"")</f>
        <v/>
      </c>
      <c r="AV510" s="17" t="str">
        <f>IF(ISNUMBER($B$489),
IF($C510&lt;&gt;"",
IF(AND(ISNUMBER(AU$488), AU$488&gt;0),
IF(AND(AV$279=123, Cultivar_1_Cohort_Year_Selection=$AN$278,Cultivar_2_Cohort_Year_Selection=$AN$278,Cultivar_3_Cohort_Year_Selection=$AN$278), ROUND(MAX(0,AU$488 - 3),0),
IF(AND(OR(AV$279=123, AV$279=12), Cultivar_1_Cohort_Year_Selection=$AN$278,Cultivar_2_Cohort_Year_Selection=$AN$278), ROUND(MAX(0,AU$488 - 2),0),
IF(AND(OR(AV$279=123, AV$279=13), Cultivar_1_Cohort_Year_Selection=$AN$278,Cultivar_3_Cohort_Year_Selection=$AN$278), ROUND(MAX(0,AU$488 - 2),0),
IF(AND(OR(AV$279=123, AV$279=23), Cultivar_2_Cohort_Year_Selection=$AN$278,Cultivar_3_Cohort_Year_Selection=$AN$278), ROUND(MAX(0,AU$488 - 2),0),
IF(AND(OR(AV$279=123, AV$279=12, AV$279=13, AV$279=1), Cultivar_1_Cohort_Year_Selection=$AN$278), ROUND(MAX(0,AU$488 - 1),0),
IF(AND(OR(AV$279=123, AV$279=12, AV$279=23, AV$279=2), Cultivar_2_Cohort_Year_Selection=$AN$278), ROUND(MAX(0,AU$488 - 1),0),
IF(AND(OR(AV$279=123, AV$279=13, AV$279=23, AV$279=3), Cultivar_3_Cohort_Year_Selection=$AN$278), ROUND(MAX(0,AU$488 - 1),0),
ROUND(MAX(0,AU$488),0)))))))),""),""),"")</f>
        <v/>
      </c>
      <c r="AW510" s="17" t="str">
        <f>IF(ISNUMBER($B$489),
IF($C510&lt;&gt;"",
IF(AND(ISNUMBER(AV$488), AV$488&gt;0),
IF(AND(AW$279=123, Cultivar_1_Cohort_Year_Selection=$AO$278,Cultivar_2_Cohort_Year_Selection=$AO$278,Cultivar_3_Cohort_Year_Selection=$AO$278), ROUND(MAX(0,AV$488 - 3),0),
IF(AND(OR(AW$279=123, AW$279=12), Cultivar_1_Cohort_Year_Selection=$AO$278,Cultivar_2_Cohort_Year_Selection=$AO$278), ROUND(MAX(0,AV$488 - 2),0),
IF(AND(OR(AW$279=123, AW$279=13), Cultivar_1_Cohort_Year_Selection=$AO$278,Cultivar_3_Cohort_Year_Selection=$AO$278), ROUND(MAX(0,AV$488 - 2),0),
IF(AND(OR(AW$279=123, AW$279=23), Cultivar_2_Cohort_Year_Selection=$AO$278,Cultivar_3_Cohort_Year_Selection=$AO$278), ROUND(MAX(0,AV$488 - 2),0),
IF(AND(OR(AW$279=123, AW$279=12, AW$279=13, AW$279=1), Cultivar_1_Cohort_Year_Selection=$AO$278), ROUND(MAX(0,AV$488 - 1),0),
IF(AND(OR(AW$279=123, AW$279=12, AW$279=23, AW$279=2), Cultivar_2_Cohort_Year_Selection=$AO$278), ROUND(MAX(0,AV$488 - 1),0),
IF(AND(OR(AW$279=123, AW$279=13, AW$279=23, AW$279=3), Cultivar_3_Cohort_Year_Selection=$AO$278), ROUND(MAX(0,AV$488 - 1),0),
ROUND(MAX(0,AV$488),0)))))))),""),""),"")</f>
        <v/>
      </c>
      <c r="AX510" s="17" t="str">
        <f>IF(ISNUMBER($B$489),
IF($C510&lt;&gt;"",
IF(AND(ISNUMBER(AW$488), AW$488&gt;0),
IF(AND(AX$279=123, Cultivar_1_Cohort_Year_Selection=$AP$278,Cultivar_2_Cohort_Year_Selection=$AP$278,Cultivar_3_Cohort_Year_Selection=$AP$278), ROUND(MAX(0,AW$488 - 3),0),
IF(AND(OR(AX$279=123, AX$279=12), Cultivar_1_Cohort_Year_Selection=$AP$278,Cultivar_2_Cohort_Year_Selection=$AP$278), ROUND(MAX(0,AW$488 - 2),0),
IF(AND(OR(AX$279=123, AX$279=13), Cultivar_1_Cohort_Year_Selection=$AP$278,Cultivar_3_Cohort_Year_Selection=$AP$278), ROUND(MAX(0,AW$488 - 2),0),
IF(AND(OR(AX$279=123, AX$279=23), Cultivar_2_Cohort_Year_Selection=$AP$278,Cultivar_3_Cohort_Year_Selection=$AP$278), ROUND(MAX(0,AW$488 - 2),0),
IF(AND(OR(AX$279=123, AX$279=12, AX$279=13, AX$279=1), Cultivar_1_Cohort_Year_Selection=$AP$278), ROUND(MAX(0,AW$488 - 1),0),
IF(AND(OR(AX$279=123, AX$279=12, AX$279=23, AX$279=2), Cultivar_2_Cohort_Year_Selection=$AP$278), ROUND(MAX(0,AW$488 - 1),0),
IF(AND(OR(AX$279=123, AX$279=13, AX$279=23, AX$279=3), Cultivar_3_Cohort_Year_Selection=$AP$278), ROUND(MAX(0,AW$488 - 1),0),
ROUND(MAX(0,AW$488),0)))))))),""),""),"")</f>
        <v/>
      </c>
    </row>
    <row r="511" spans="1:50" ht="15.75" thickBot="1" x14ac:dyDescent="0.3">
      <c r="A511" s="518"/>
      <c r="B511" s="504"/>
      <c r="C511" s="107" t="str">
        <f>IF(AND(ISNUMBER(B489), OR('Cost Inputs'!$H$126&lt;&gt;"", 'Cost Inputs'!$I$126&lt;&gt;"", 'Cost Inputs'!$J$126&lt;&gt;"")), _4_5_2, "")</f>
        <v/>
      </c>
      <c r="D511" s="93" t="str">
        <f>IF(AND(C511&lt;&gt;"", 'Cost Inputs'!$G$126&lt;&gt;""), 'Cost Inputs'!$G$126, "")</f>
        <v/>
      </c>
      <c r="E511" s="93" t="str">
        <f>IF(AND(C511&lt;&gt;"", 'Cost Inputs'!$H$126&lt;&gt;""), 'Cost Inputs'!$H$126, "")</f>
        <v/>
      </c>
      <c r="F511" s="93" t="str">
        <f>IF(AND(C511&lt;&gt;"", 'Cost Inputs'!$I$126&lt;&gt;""), 'Cost Inputs'!$I$126, "")</f>
        <v/>
      </c>
      <c r="G511" s="108" t="str">
        <f t="shared" si="333"/>
        <v/>
      </c>
      <c r="H511" s="93" t="str">
        <f>IF(AND(C511&lt;&gt;"", 'Cost Inputs'!$J$126&lt;&gt;""), 'Cost Inputs'!$J$126, "")</f>
        <v/>
      </c>
      <c r="I511" s="93" t="str">
        <f>IF($C511&lt;&gt;"", IF(AND($E511&lt;&gt;"", H511&lt;&gt;""), H511/$E511, 0),"")</f>
        <v/>
      </c>
      <c r="J511" s="93" t="str">
        <f>IF(AND(C511&lt;&gt;"",('Cost Inputs'!$I$126+'Cost Inputs'!$J$126+'Cost Inputs'!$K$126)&gt;0), 'Cost Inputs'!$I$126+'Cost Inputs'!$J$126+'Cost Inputs'!$K$126, "")</f>
        <v/>
      </c>
      <c r="K511" s="93" t="str">
        <f>IF($C511&lt;&gt;"", IF(AND($E511&lt;&gt;"", J511&lt;&gt;""), J511/$E511, 0),"")</f>
        <v/>
      </c>
      <c r="L511" s="525"/>
      <c r="M511" s="525"/>
      <c r="W511" s="95" t="str">
        <f>IF(ISNUMBER($B$489),
IF($C511&lt;&gt;"",
IF(AND(ISNUMBER(V$488), V$488&gt;0),
IF(AND(W$279=123, Cultivar_1_Cohort_Year_Selection=$O$278,Cultivar_2_Cohort_Year_Selection=$O$278,Cultivar_3_Cohort_Year_Selection=$O$278), ROUND(MAX(0,V$488 - 3),0),
IF(AND(OR(W$279=123, W$279=12), Cultivar_1_Cohort_Year_Selection=$O$278,Cultivar_2_Cohort_Year_Selection=$O$278), ROUND(MAX(0,V$488 - 2),0),
IF(AND(OR(W$279=123, W$279=13), Cultivar_1_Cohort_Year_Selection=$O$278,Cultivar_3_Cohort_Year_Selection=$O$278), ROUND(MAX(0,V$488 - 2),0),
IF(AND(OR(W$279=123, W$279=23), Cultivar_2_Cohort_Year_Selection=$O$278,Cultivar_3_Cohort_Year_Selection=$O$278), ROUND(MAX(0,V$488 - 2),0),
IF(AND(OR(W$279=123, W$279=12, W$279=13, W$279=1), Cultivar_1_Cohort_Year_Selection=$O$278), ROUND(MAX(0,V$488 - 1),0),
IF(AND(OR(W$279=123, W$279=12, W$279=23, W$279=2), Cultivar_2_Cohort_Year_Selection=$O$278), ROUND(MAX(0,V$488 - 1),0),
IF(AND(OR(W$279=123, W$279=13, W$279=23, W$279=3), Cultivar_3_Cohort_Year_Selection=$O$278), ROUND(MAX(0,V$488 - 1),0),
ROUND(MAX(0,V$488),0)))))))),""),""),"")</f>
        <v/>
      </c>
      <c r="X511" s="95" t="str">
        <f>IF(ISNUMBER($B$489),
IF($C511&lt;&gt;"",
IF(AND(ISNUMBER(W$488), W$488&gt;0),
IF(AND(X$279=123, Cultivar_1_Cohort_Year_Selection=$P$278,Cultivar_2_Cohort_Year_Selection=$P$278,Cultivar_3_Cohort_Year_Selection=$P$278), ROUND(MAX(0,W$488 - 3),0),
IF(AND(OR(X$279=123, X$279=12), Cultivar_1_Cohort_Year_Selection=$P$278,Cultivar_2_Cohort_Year_Selection=$P$278), ROUND(MAX(0,W$488 - 2),0),
IF(AND(OR(X$279=123, X$279=13), Cultivar_1_Cohort_Year_Selection=$P$278,Cultivar_3_Cohort_Year_Selection=$P$278), ROUND(MAX(0,W$488 - 2),0),
IF(AND(OR(X$279=123, X$279=23), Cultivar_2_Cohort_Year_Selection=$P$278,Cultivar_3_Cohort_Year_Selection=$P$278), ROUND(MAX(0,W$488 - 2),0),
IF(AND(OR(X$279=123, X$279=12, X$279=13, X$279=1), Cultivar_1_Cohort_Year_Selection=$P$278), ROUND(MAX(0,W$488 - 1),0),
IF(AND(OR(X$279=123, X$279=12, X$279=23, X$279=2), Cultivar_2_Cohort_Year_Selection=$P$278), ROUND(MAX(0,W$488 - 1),0),
IF(AND(OR(X$279=123, X$279=13, X$279=23, X$279=3), Cultivar_3_Cohort_Year_Selection=$P$278), ROUND(MAX(0,W$488 - 1),0),
ROUND(MAX(0,W$488),0)))))))),""),""),"")</f>
        <v/>
      </c>
      <c r="Y511" s="95" t="str">
        <f>IF(ISNUMBER($B$489),
IF($C511&lt;&gt;"",
IF(AND(ISNUMBER(X$488), X$488&gt;0),
IF(AND(Y$279=123, Cultivar_1_Cohort_Year_Selection=$Q$278,Cultivar_2_Cohort_Year_Selection=$Q$278,Cultivar_3_Cohort_Year_Selection=$Q$278), ROUND(MAX(0,X$488 - 3),0),
IF(AND(OR(Y$279=123, Y$279=12), Cultivar_1_Cohort_Year_Selection=$Q$278,Cultivar_2_Cohort_Year_Selection=$Q$278), ROUND(MAX(0,X$488 - 2),0),
IF(AND(OR(Y$279=123, Y$279=13), Cultivar_1_Cohort_Year_Selection=$Q$278,Cultivar_3_Cohort_Year_Selection=$Q$278), ROUND(MAX(0,X$488 - 2),0),
IF(AND(OR(Y$279=123, Y$279=23), Cultivar_2_Cohort_Year_Selection=$Q$278,Cultivar_3_Cohort_Year_Selection=$Q$278), ROUND(MAX(0,X$488 - 2),0),
IF(AND(OR(Y$279=123, Y$279=12, Y$279=13, Y$279=1), Cultivar_1_Cohort_Year_Selection=$Q$278), ROUND(MAX(0,X$488 - 1),0),
IF(AND(OR(Y$279=123, Y$279=12, Y$279=23, Y$279=2), Cultivar_2_Cohort_Year_Selection=$Q$278), ROUND(MAX(0,X$488 - 1),0),
IF(AND(OR(Y$279=123, Y$279=13, Y$279=23, Y$279=3), Cultivar_3_Cohort_Year_Selection=$Q$278), ROUND(MAX(0,X$488 - 1),0),
ROUND(MAX(0,X$488),0)))))))),""),""),"")</f>
        <v/>
      </c>
      <c r="Z511" s="95" t="str">
        <f>IF(ISNUMBER($B$489),
IF($C511&lt;&gt;"",
IF(AND(ISNUMBER(Y$488), Y$488&gt;0),
IF(AND(Z$279=123, Cultivar_1_Cohort_Year_Selection=$R$278,Cultivar_2_Cohort_Year_Selection=$R$278,Cultivar_3_Cohort_Year_Selection=$R$278), ROUND(MAX(0,Y$488 - 3),0),
IF(AND(OR(Z$279=123, Z$279=12), Cultivar_1_Cohort_Year_Selection=$R$278,Cultivar_2_Cohort_Year_Selection=$R$278), ROUND(MAX(0,Y$488 - 2),0),
IF(AND(OR(Z$279=123, Z$279=13), Cultivar_1_Cohort_Year_Selection=$R$278,Cultivar_3_Cohort_Year_Selection=$R$278), ROUND(MAX(0,Y$488 - 2),0),
IF(AND(OR(Z$279=123, Z$279=23), Cultivar_2_Cohort_Year_Selection=$R$278,Cultivar_3_Cohort_Year_Selection=$R$278), ROUND(MAX(0,Y$488 - 2),0),
IF(AND(OR(Z$279=123, Z$279=12, Z$279=13, Z$279=1), Cultivar_1_Cohort_Year_Selection=$R$278), ROUND(MAX(0,Y$488 - 1),0),
IF(AND(OR(Z$279=123, Z$279=12, Z$279=23, Z$279=2), Cultivar_2_Cohort_Year_Selection=$R$278), ROUND(MAX(0,Y$488 - 1),0),
IF(AND(OR(Z$279=123, Z$279=13, Z$279=23, Z$279=3), Cultivar_3_Cohort_Year_Selection=$R$278), ROUND(MAX(0,Y$488 - 1),0),
ROUND(MAX(0,Y$488),0)))))))),""),""),"")</f>
        <v/>
      </c>
      <c r="AA511" s="95" t="str">
        <f>IF(ISNUMBER($B$489),
IF($C511&lt;&gt;"",
IF(AND(ISNUMBER(Z$488), Z$488&gt;0),
IF(AND(AA$279=123, Cultivar_1_Cohort_Year_Selection=$S$278,Cultivar_2_Cohort_Year_Selection=$S$278,Cultivar_3_Cohort_Year_Selection=$S$278), ROUND(MAX(0,Z$488 - 3),0),
IF(AND(OR(AA$279=123, AA$279=12), Cultivar_1_Cohort_Year_Selection=$S$278,Cultivar_2_Cohort_Year_Selection=$S$278), ROUND(MAX(0,Z$488 - 2),0),
IF(AND(OR(AA$279=123, AA$279=13), Cultivar_1_Cohort_Year_Selection=$S$278,Cultivar_3_Cohort_Year_Selection=$S$278), ROUND(MAX(0,Z$488 - 2),0),
IF(AND(OR(AA$279=123, AA$279=23), Cultivar_2_Cohort_Year_Selection=$S$278,Cultivar_3_Cohort_Year_Selection=$S$278), ROUND(MAX(0,Z$488 - 2),0),
IF(AND(OR(AA$279=123, AA$279=12, AA$279=13, AA$279=1), Cultivar_1_Cohort_Year_Selection=$S$278), ROUND(MAX(0,Z$488 - 1),0),
IF(AND(OR(AA$279=123, AA$279=12, AA$279=23, AA$279=2), Cultivar_2_Cohort_Year_Selection=$S$278), ROUND(MAX(0,Z$488 - 1),0),
IF(AND(OR(AA$279=123, AA$279=13, AA$279=23, AA$279=3), Cultivar_3_Cohort_Year_Selection=$S$278), ROUND(MAX(0,Z$488 - 1),0),
ROUND(MAX(0,Z$488),0)))))))),""),""),"")</f>
        <v/>
      </c>
      <c r="AB511" s="95" t="str">
        <f>IF(ISNUMBER($B$489),
IF($C511&lt;&gt;"",
IF(AND(ISNUMBER(AA$488), AA$488&gt;0),
IF(AND(AB$279=123, Cultivar_1_Cohort_Year_Selection=$T$278,Cultivar_2_Cohort_Year_Selection=$T$278,Cultivar_3_Cohort_Year_Selection=$T$278), ROUND(MAX(0,AA$488 - 3),0),
IF(AND(OR(AB$279=123, AB$279=12), Cultivar_1_Cohort_Year_Selection=$T$278,Cultivar_2_Cohort_Year_Selection=$T$278), ROUND(MAX(0,AA$488 - 2),0),
IF(AND(OR(AB$279=123, AB$279=13), Cultivar_1_Cohort_Year_Selection=$T$278,Cultivar_3_Cohort_Year_Selection=$T$278), ROUND(MAX(0,AA$488 - 2),0),
IF(AND(OR(AB$279=123, AB$279=23), Cultivar_2_Cohort_Year_Selection=$T$278,Cultivar_3_Cohort_Year_Selection=$T$278), ROUND(MAX(0,AA$488 - 2),0),
IF(AND(OR(AB$279=123, AB$279=12, AB$279=13, AB$279=1), Cultivar_1_Cohort_Year_Selection=$T$278), ROUND(MAX(0,AA$488 - 1),0),
IF(AND(OR(AB$279=123, AB$279=12, AB$279=23, AB$279=2), Cultivar_2_Cohort_Year_Selection=$T$278), ROUND(MAX(0,AA$488 - 1),0),
IF(AND(OR(AB$279=123, AB$279=13, AB$279=23, AB$279=3), Cultivar_3_Cohort_Year_Selection=$T$278), ROUND(MAX(0,AA$488 - 1),0),
ROUND(MAX(0,AA$488),0)))))))),""),""),"")</f>
        <v/>
      </c>
      <c r="AC511" s="95" t="str">
        <f>IF(ISNUMBER($B$489),
IF($C511&lt;&gt;"",
IF(AND(ISNUMBER(AB$488), AB$488&gt;0),
IF(AND(AC$279=123, Cultivar_1_Cohort_Year_Selection=$U$278,Cultivar_2_Cohort_Year_Selection=$U$278,Cultivar_3_Cohort_Year_Selection=$U$278), ROUND(MAX(0,AB$488 - 3),0),
IF(AND(OR(AC$279=123, AC$279=12), Cultivar_1_Cohort_Year_Selection=$U$278,Cultivar_2_Cohort_Year_Selection=$U$278), ROUND(MAX(0,AB$488 - 2),0),
IF(AND(OR(AC$279=123, AC$279=13), Cultivar_1_Cohort_Year_Selection=$U$278,Cultivar_3_Cohort_Year_Selection=$U$278), ROUND(MAX(0,AB$488 - 2),0),
IF(AND(OR(AC$279=123, AC$279=23), Cultivar_2_Cohort_Year_Selection=$U$278,Cultivar_3_Cohort_Year_Selection=$U$278), ROUND(MAX(0,AB$488 - 2),0),
IF(AND(OR(AC$279=123, AC$279=12, AC$279=13, AC$279=1), Cultivar_1_Cohort_Year_Selection=$U$278), ROUND(MAX(0,AB$488 - 1),0),
IF(AND(OR(AC$279=123, AC$279=12, AC$279=23, AC$279=2), Cultivar_2_Cohort_Year_Selection=$U$278), ROUND(MAX(0,AB$488 - 1),0),
IF(AND(OR(AC$279=123, AC$279=13, AC$279=23, AC$279=3), Cultivar_3_Cohort_Year_Selection=$U$278), ROUND(MAX(0,AB$488 - 1),0),
ROUND(MAX(0,AB$488),0)))))))),""),""),"")</f>
        <v/>
      </c>
      <c r="AD511" s="95" t="str">
        <f>IF(ISNUMBER($B$489),
IF($C511&lt;&gt;"",
IF(AND(ISNUMBER(AC$488), AC$488&gt;0),
IF(AND(AD$279=123, Cultivar_1_Cohort_Year_Selection=$V$278,Cultivar_2_Cohort_Year_Selection=$V$278,Cultivar_3_Cohort_Year_Selection=$V$278), ROUND(MAX(0,AC$488 - 3),0),
IF(AND(OR(AD$279=123, AD$279=12), Cultivar_1_Cohort_Year_Selection=$V$278,Cultivar_2_Cohort_Year_Selection=$V$278), ROUND(MAX(0,AC$488 - 2),0),
IF(AND(OR(AD$279=123, AD$279=13), Cultivar_1_Cohort_Year_Selection=$V$278,Cultivar_3_Cohort_Year_Selection=$V$278), ROUND(MAX(0,AC$488 - 2),0),
IF(AND(OR(AD$279=123, AD$279=23), Cultivar_2_Cohort_Year_Selection=$V$278,Cultivar_3_Cohort_Year_Selection=$V$278), ROUND(MAX(0,AC$488 - 2),0),
IF(AND(OR(AD$279=123, AD$279=12, AD$279=13, AD$279=1), Cultivar_1_Cohort_Year_Selection=$V$278), ROUND(MAX(0,AC$488 - 1),0),
IF(AND(OR(AD$279=123, AD$279=12, AD$279=23, AD$279=2), Cultivar_2_Cohort_Year_Selection=$V$278), ROUND(MAX(0,AC$488 - 1),0),
IF(AND(OR(AD$279=123, AD$279=13, AD$279=23, AD$279=3), Cultivar_3_Cohort_Year_Selection=$V$278), ROUND(MAX(0,AC$488 - 1),0),
ROUND(MAX(0,AC$488),0)))))))),""),""),"")</f>
        <v/>
      </c>
      <c r="AE511" s="95" t="str">
        <f>IF(ISNUMBER($B$489),
IF($C511&lt;&gt;"",
IF(AND(ISNUMBER(AD$488), AD$488&gt;0),
IF(AND(AE$279=123, Cultivar_1_Cohort_Year_Selection=$W$278,Cultivar_2_Cohort_Year_Selection=$W$278,Cultivar_3_Cohort_Year_Selection=$W$278), ROUND(MAX(0,AD$488 - 3),0),
IF(AND(OR(AE$279=123, AE$279=12), Cultivar_1_Cohort_Year_Selection=$W$278,Cultivar_2_Cohort_Year_Selection=$W$278), ROUND(MAX(0,AD$488 - 2),0),
IF(AND(OR(AE$279=123, AE$279=13), Cultivar_1_Cohort_Year_Selection=$W$278,Cultivar_3_Cohort_Year_Selection=$W$278), ROUND(MAX(0,AD$488 - 2),0),
IF(AND(OR(AE$279=123, AE$279=23), Cultivar_2_Cohort_Year_Selection=$W$278,Cultivar_3_Cohort_Year_Selection=$W$278), ROUND(MAX(0,AD$488 - 2),0),
IF(AND(OR(AE$279=123, AE$279=12, AE$279=13, AE$279=1), Cultivar_1_Cohort_Year_Selection=$W$278), ROUND(MAX(0,AD$488 - 1),0),
IF(AND(OR(AE$279=123, AE$279=12, AE$279=23, AE$279=2), Cultivar_2_Cohort_Year_Selection=$W$278), ROUND(MAX(0,AD$488 - 1),0),
IF(AND(OR(AE$279=123, AE$279=13, AE$279=23, AE$279=3), Cultivar_3_Cohort_Year_Selection=$W$278), ROUND(MAX(0,AD$488 - 1),0),
ROUND(MAX(0,AD$488),0)))))))),""),""),"")</f>
        <v/>
      </c>
      <c r="AF511" s="95" t="str">
        <f>IF(ISNUMBER($B$489),
IF($C511&lt;&gt;"",
IF(AND(ISNUMBER(AE$488), AE$488&gt;0),
IF(AND(AF$279=123, Cultivar_1_Cohort_Year_Selection=$X$278,Cultivar_2_Cohort_Year_Selection=$X$278,Cultivar_3_Cohort_Year_Selection=$X$278), ROUND(MAX(0,AE$488 - 3),0),
IF(AND(OR(AF$279=123, AF$279=12), Cultivar_1_Cohort_Year_Selection=$X$278,Cultivar_2_Cohort_Year_Selection=$X$278), ROUND(MAX(0,AE$488 - 2),0),
IF(AND(OR(AF$279=123, AF$279=13), Cultivar_1_Cohort_Year_Selection=$X$278,Cultivar_3_Cohort_Year_Selection=$X$278), ROUND(MAX(0,AE$488 - 2),0),
IF(AND(OR(AF$279=123, AF$279=23), Cultivar_2_Cohort_Year_Selection=$X$278,Cultivar_3_Cohort_Year_Selection=$X$278), ROUND(MAX(0,AE$488 - 2),0),
IF(AND(OR(AF$279=123, AF$279=12, AF$279=13, AF$279=1), Cultivar_1_Cohort_Year_Selection=$X$278), ROUND(MAX(0,AE$488 - 1),0),
IF(AND(OR(AF$279=123, AF$279=12, AF$279=23, AF$279=2), Cultivar_2_Cohort_Year_Selection=$X$278), ROUND(MAX(0,AE$488 - 1),0),
IF(AND(OR(AF$279=123, AF$279=13, AF$279=23, AF$279=3), Cultivar_3_Cohort_Year_Selection=$X$278), ROUND(MAX(0,AE$488 - 1),0),
ROUND(MAX(0,AE$488),0)))))))),""),""),"")</f>
        <v/>
      </c>
      <c r="AG511" s="95" t="str">
        <f>IF(ISNUMBER($B$489),
IF($C511&lt;&gt;"",
IF(AND(ISNUMBER(AF$488), AF$488&gt;0),
IF(AND(AG$279=123, Cultivar_1_Cohort_Year_Selection=$Y$278,Cultivar_2_Cohort_Year_Selection=$Y$278,Cultivar_3_Cohort_Year_Selection=$Y$278), ROUND(MAX(0,AF$488 - 3),0),
IF(AND(OR(AG$279=123, AG$279=12), Cultivar_1_Cohort_Year_Selection=$Y$278,Cultivar_2_Cohort_Year_Selection=$Y$278), ROUND(MAX(0,AF$488 - 2),0),
IF(AND(OR(AG$279=123, AG$279=13), Cultivar_1_Cohort_Year_Selection=$Y$278,Cultivar_3_Cohort_Year_Selection=$Y$278), ROUND(MAX(0,AF$488 - 2),0),
IF(AND(OR(AG$279=123, AG$279=23), Cultivar_2_Cohort_Year_Selection=$Y$278,Cultivar_3_Cohort_Year_Selection=$Y$278), ROUND(MAX(0,AF$488 - 2),0),
IF(AND(OR(AG$279=123, AG$279=12, AG$279=13, AG$279=1), Cultivar_1_Cohort_Year_Selection=$Y$278), ROUND(MAX(0,AF$488 - 1),0),
IF(AND(OR(AG$279=123, AG$279=12, AG$279=23, AG$279=2), Cultivar_2_Cohort_Year_Selection=$Y$278), ROUND(MAX(0,AF$488 - 1),0),
IF(AND(OR(AG$279=123, AG$279=13, AG$279=23, AG$279=3), Cultivar_3_Cohort_Year_Selection=$Y$278), ROUND(MAX(0,AF$488 - 1),0),
ROUND(MAX(0,AF$488),0)))))))),""),""),"")</f>
        <v/>
      </c>
      <c r="AH511" s="95" t="str">
        <f>IF(ISNUMBER($B$489),
IF($C511&lt;&gt;"",
IF(AND(ISNUMBER(AG$488), AG$488&gt;0),
IF(AND(AH$279=123, Cultivar_1_Cohort_Year_Selection=$Z$278,Cultivar_2_Cohort_Year_Selection=$Z$278,Cultivar_3_Cohort_Year_Selection=$Z$278), ROUND(MAX(0,AG$488 - 3),0),
IF(AND(OR(AH$279=123, AH$279=12), Cultivar_1_Cohort_Year_Selection=$Z$278,Cultivar_2_Cohort_Year_Selection=$Z$278), ROUND(MAX(0,AG$488 - 2),0),
IF(AND(OR(AH$279=123, AH$279=13), Cultivar_1_Cohort_Year_Selection=$Z$278,Cultivar_3_Cohort_Year_Selection=$Z$278), ROUND(MAX(0,AG$488 - 2),0),
IF(AND(OR(AH$279=123, AH$279=23), Cultivar_2_Cohort_Year_Selection=$Z$278,Cultivar_3_Cohort_Year_Selection=$Z$278), ROUND(MAX(0,AG$488 - 2),0),
IF(AND(OR(AH$279=123, AH$279=12, AH$279=13, AH$279=1), Cultivar_1_Cohort_Year_Selection=$Z$278), ROUND(MAX(0,AG$488 - 1),0),
IF(AND(OR(AH$279=123, AH$279=12, AH$279=23, AH$279=2), Cultivar_2_Cohort_Year_Selection=$Z$278), ROUND(MAX(0,AG$488 - 1),0),
IF(AND(OR(AH$279=123, AH$279=13, AH$279=23, AH$279=3), Cultivar_3_Cohort_Year_Selection=$Z$278), ROUND(MAX(0,AG$488 - 1),0),
ROUND(MAX(0,AG$488),0)))))))),""),""),"")</f>
        <v/>
      </c>
      <c r="AI511" s="95" t="str">
        <f>IF(ISNUMBER($B$489),
IF($C511&lt;&gt;"",
IF(AND(ISNUMBER(AH$488), AH$488&gt;0),
IF(AND(AI$279=123, Cultivar_1_Cohort_Year_Selection=$AA$278,Cultivar_2_Cohort_Year_Selection=$AA$278,Cultivar_3_Cohort_Year_Selection=$AA$278), ROUND(MAX(0,AH$488 - 3),0),
IF(AND(OR(AI$279=123, AI$279=12), Cultivar_1_Cohort_Year_Selection=$AA$278,Cultivar_2_Cohort_Year_Selection=$AA$278), ROUND(MAX(0,AH$488 - 2),0),
IF(AND(OR(AI$279=123, AI$279=13), Cultivar_1_Cohort_Year_Selection=$AA$278,Cultivar_3_Cohort_Year_Selection=$AA$278), ROUND(MAX(0,AH$488 - 2),0),
IF(AND(OR(AI$279=123, AI$279=23), Cultivar_2_Cohort_Year_Selection=$AA$278,Cultivar_3_Cohort_Year_Selection=$AA$278), ROUND(MAX(0,AH$488 - 2),0),
IF(AND(OR(AI$279=123, AI$279=12, AI$279=13, AI$279=1), Cultivar_1_Cohort_Year_Selection=$AA$278), ROUND(MAX(0,AH$488 - 1),0),
IF(AND(OR(AI$279=123, AI$279=12, AI$279=23, AI$279=2), Cultivar_2_Cohort_Year_Selection=$AA$278), ROUND(MAX(0,AH$488 - 1),0),
IF(AND(OR(AI$279=123, AI$279=13, AI$279=23, AI$279=3), Cultivar_3_Cohort_Year_Selection=$AA$278), ROUND(MAX(0,AH$488 - 1),0),
ROUND(MAX(0,AH$488),0)))))))),""),""),"")</f>
        <v/>
      </c>
      <c r="AJ511" s="95" t="str">
        <f>IF(ISNUMBER($B$489),
IF($C511&lt;&gt;"",
IF(AND(ISNUMBER(AI$488), AI$488&gt;0),
IF(AND(AJ$279=123, Cultivar_1_Cohort_Year_Selection=$AB$278,Cultivar_2_Cohort_Year_Selection=$AB$278,Cultivar_3_Cohort_Year_Selection=$AB$278), ROUND(MAX(0,AI$488 - 3),0),
IF(AND(OR(AJ$279=123, AJ$279=12), Cultivar_1_Cohort_Year_Selection=$AB$278,Cultivar_2_Cohort_Year_Selection=$AB$278), ROUND(MAX(0,AI$488 - 2),0),
IF(AND(OR(AJ$279=123, AJ$279=13), Cultivar_1_Cohort_Year_Selection=$AB$278,Cultivar_3_Cohort_Year_Selection=$AB$278), ROUND(MAX(0,AI$488 - 2),0),
IF(AND(OR(AJ$279=123, AJ$279=23), Cultivar_2_Cohort_Year_Selection=$AB$278,Cultivar_3_Cohort_Year_Selection=$AB$278), ROUND(MAX(0,AI$488 - 2),0),
IF(AND(OR(AJ$279=123, AJ$279=12, AJ$279=13, AJ$279=1), Cultivar_1_Cohort_Year_Selection=$AB$278), ROUND(MAX(0,AI$488 - 1),0),
IF(AND(OR(AJ$279=123, AJ$279=12, AJ$279=23, AJ$279=2), Cultivar_2_Cohort_Year_Selection=$AB$278), ROUND(MAX(0,AI$488 - 1),0),
IF(AND(OR(AJ$279=123, AJ$279=13, AJ$279=23, AJ$279=3), Cultivar_3_Cohort_Year_Selection=$AB$278), ROUND(MAX(0,AI$488 - 1),0),
ROUND(MAX(0,AI$488),0)))))))),""),""),"")</f>
        <v/>
      </c>
      <c r="AK511" s="95" t="str">
        <f>IF(ISNUMBER($B$489),
IF($C511&lt;&gt;"",
IF(AND(ISNUMBER(AJ$488), AJ$488&gt;0),
IF(AND(AK$279=123, Cultivar_1_Cohort_Year_Selection=$AC$278,Cultivar_2_Cohort_Year_Selection=$AC$278,Cultivar_3_Cohort_Year_Selection=$AC$278), ROUND(MAX(0,AJ$488 - 3),0),
IF(AND(OR(AK$279=123, AK$279=12), Cultivar_1_Cohort_Year_Selection=$AC$278,Cultivar_2_Cohort_Year_Selection=$AC$278), ROUND(MAX(0,AJ$488 - 2),0),
IF(AND(OR(AK$279=123, AK$279=13), Cultivar_1_Cohort_Year_Selection=$AC$278,Cultivar_3_Cohort_Year_Selection=$AC$278), ROUND(MAX(0,AJ$488 - 2),0),
IF(AND(OR(AK$279=123, AK$279=23), Cultivar_2_Cohort_Year_Selection=$AC$278,Cultivar_3_Cohort_Year_Selection=$AC$278), ROUND(MAX(0,AJ$488 - 2),0),
IF(AND(OR(AK$279=123, AK$279=12, AK$279=13, AK$279=1), Cultivar_1_Cohort_Year_Selection=$AC$278), ROUND(MAX(0,AJ$488 - 1),0),
IF(AND(OR(AK$279=123, AK$279=12, AK$279=23, AK$279=2), Cultivar_2_Cohort_Year_Selection=$AC$278), ROUND(MAX(0,AJ$488 - 1),0),
IF(AND(OR(AK$279=123, AK$279=13, AK$279=23, AK$279=3), Cultivar_3_Cohort_Year_Selection=$AC$278), ROUND(MAX(0,AJ$488 - 1),0),
ROUND(MAX(0,AJ$488),0)))))))),""),""),"")</f>
        <v/>
      </c>
      <c r="AL511" s="95" t="str">
        <f>IF(ISNUMBER($B$489),
IF($C511&lt;&gt;"",
IF(AND(ISNUMBER(AK$488), AK$488&gt;0),
IF(AND(AL$279=123, Cultivar_1_Cohort_Year_Selection=$AD$278,Cultivar_2_Cohort_Year_Selection=$AD$278,Cultivar_3_Cohort_Year_Selection=$AD$278), ROUND(MAX(0,AK$488 - 3),0),
IF(AND(OR(AL$279=123, AL$279=12), Cultivar_1_Cohort_Year_Selection=$AD$278,Cultivar_2_Cohort_Year_Selection=$AD$278), ROUND(MAX(0,AK$488 - 2),0),
IF(AND(OR(AL$279=123, AL$279=13), Cultivar_1_Cohort_Year_Selection=$AD$278,Cultivar_3_Cohort_Year_Selection=$AD$278), ROUND(MAX(0,AK$488 - 2),0),
IF(AND(OR(AL$279=123, AL$279=23), Cultivar_2_Cohort_Year_Selection=$AD$278,Cultivar_3_Cohort_Year_Selection=$AD$278), ROUND(MAX(0,AK$488 - 2),0),
IF(AND(OR(AL$279=123, AL$279=12, AL$279=13, AL$279=1), Cultivar_1_Cohort_Year_Selection=$AD$278), ROUND(MAX(0,AK$488 - 1),0),
IF(AND(OR(AL$279=123, AL$279=12, AL$279=23, AL$279=2), Cultivar_2_Cohort_Year_Selection=$AD$278), ROUND(MAX(0,AK$488 - 1),0),
IF(AND(OR(AL$279=123, AL$279=13, AL$279=23, AL$279=3), Cultivar_3_Cohort_Year_Selection=$AD$278), ROUND(MAX(0,AK$488 - 1),0),
ROUND(MAX(0,AK$488),0)))))))),""),""),"")</f>
        <v/>
      </c>
      <c r="AM511" s="95" t="str">
        <f>IF(ISNUMBER($B$489),
IF($C511&lt;&gt;"",
IF(AND(ISNUMBER(AL$488), AL$488&gt;0),
IF(AND(AM$279=123, Cultivar_1_Cohort_Year_Selection=$AE$278,Cultivar_2_Cohort_Year_Selection=$AE$278,Cultivar_3_Cohort_Year_Selection=$AE$278), ROUND(MAX(0,AL$488 - 3),0),
IF(AND(OR(AM$279=123, AM$279=12), Cultivar_1_Cohort_Year_Selection=$AE$278,Cultivar_2_Cohort_Year_Selection=$AE$278), ROUND(MAX(0,AL$488 - 2),0),
IF(AND(OR(AM$279=123, AM$279=13), Cultivar_1_Cohort_Year_Selection=$AE$278,Cultivar_3_Cohort_Year_Selection=$AE$278), ROUND(MAX(0,AL$488 - 2),0),
IF(AND(OR(AM$279=123, AM$279=23), Cultivar_2_Cohort_Year_Selection=$AE$278,Cultivar_3_Cohort_Year_Selection=$AE$278), ROUND(MAX(0,AL$488 - 2),0),
IF(AND(OR(AM$279=123, AM$279=12, AM$279=13, AM$279=1), Cultivar_1_Cohort_Year_Selection=$AE$278), ROUND(MAX(0,AL$488 - 1),0),
IF(AND(OR(AM$279=123, AM$279=12, AM$279=23, AM$279=2), Cultivar_2_Cohort_Year_Selection=$AE$278), ROUND(MAX(0,AL$488 - 1),0),
IF(AND(OR(AM$279=123, AM$279=13, AM$279=23, AM$279=3), Cultivar_3_Cohort_Year_Selection=$AE$278), ROUND(MAX(0,AL$488 - 1),0),
ROUND(MAX(0,AL$488),0)))))))),""),""),"")</f>
        <v/>
      </c>
      <c r="AN511" s="95" t="str">
        <f>IF(ISNUMBER($B$489),
IF($C511&lt;&gt;"",
IF(AND(ISNUMBER(AM$488), AM$488&gt;0),
IF(AND(AN$279=123, Cultivar_1_Cohort_Year_Selection=$AF$278,Cultivar_2_Cohort_Year_Selection=$AF$278,Cultivar_3_Cohort_Year_Selection=$AF$278), ROUND(MAX(0,AM$488 - 3),0),
IF(AND(OR(AN$279=123, AN$279=12), Cultivar_1_Cohort_Year_Selection=$AF$278,Cultivar_2_Cohort_Year_Selection=$AF$278), ROUND(MAX(0,AM$488 - 2),0),
IF(AND(OR(AN$279=123, AN$279=13), Cultivar_1_Cohort_Year_Selection=$AF$278,Cultivar_3_Cohort_Year_Selection=$AF$278), ROUND(MAX(0,AM$488 - 2),0),
IF(AND(OR(AN$279=123, AN$279=23), Cultivar_2_Cohort_Year_Selection=$AF$278,Cultivar_3_Cohort_Year_Selection=$AF$278), ROUND(MAX(0,AM$488 - 2),0),
IF(AND(OR(AN$279=123, AN$279=12, AN$279=13, AN$279=1), Cultivar_1_Cohort_Year_Selection=$AF$278), ROUND(MAX(0,AM$488 - 1),0),
IF(AND(OR(AN$279=123, AN$279=12, AN$279=23, AN$279=2), Cultivar_2_Cohort_Year_Selection=$AF$278), ROUND(MAX(0,AM$488 - 1),0),
IF(AND(OR(AN$279=123, AN$279=13, AN$279=23, AN$279=3), Cultivar_3_Cohort_Year_Selection=$AF$278), ROUND(MAX(0,AM$488 - 1),0),
ROUND(MAX(0,AM$488),0)))))))),""),""),"")</f>
        <v/>
      </c>
      <c r="AO511" s="95" t="str">
        <f>IF(ISNUMBER($B$489),
IF($C511&lt;&gt;"",
IF(AND(ISNUMBER(AN$488), AN$488&gt;0),
IF(AND(AO$279=123, Cultivar_1_Cohort_Year_Selection=$AG$278,Cultivar_2_Cohort_Year_Selection=$AG$278,Cultivar_3_Cohort_Year_Selection=$AG$278), ROUND(MAX(0,AN$488 - 3),0),
IF(AND(OR(AO$279=123, AO$279=12), Cultivar_1_Cohort_Year_Selection=$AG$278,Cultivar_2_Cohort_Year_Selection=$AG$278), ROUND(MAX(0,AN$488 - 2),0),
IF(AND(OR(AO$279=123, AO$279=13), Cultivar_1_Cohort_Year_Selection=$AG$278,Cultivar_3_Cohort_Year_Selection=$AG$278), ROUND(MAX(0,AN$488 - 2),0),
IF(AND(OR(AO$279=123, AO$279=23), Cultivar_2_Cohort_Year_Selection=$AG$278,Cultivar_3_Cohort_Year_Selection=$AG$278), ROUND(MAX(0,AN$488 - 2),0),
IF(AND(OR(AO$279=123, AO$279=12, AO$279=13, AO$279=1), Cultivar_1_Cohort_Year_Selection=$AG$278), ROUND(MAX(0,AN$488 - 1),0),
IF(AND(OR(AO$279=123, AO$279=12, AO$279=23, AO$279=2), Cultivar_2_Cohort_Year_Selection=$AG$278), ROUND(MAX(0,AN$488 - 1),0),
IF(AND(OR(AO$279=123, AO$279=13, AO$279=23, AO$279=3), Cultivar_3_Cohort_Year_Selection=$AG$278), ROUND(MAX(0,AN$488 - 1),0),
ROUND(MAX(0,AN$488),0)))))))),""),""),"")</f>
        <v/>
      </c>
      <c r="AP511" s="95" t="str">
        <f>IF(ISNUMBER($B$489),
IF($C511&lt;&gt;"",
IF(AND(ISNUMBER(AO$488), AO$488&gt;0),
IF(AND(AP$279=123, Cultivar_1_Cohort_Year_Selection=$AH$278,Cultivar_2_Cohort_Year_Selection=$AH$278,Cultivar_3_Cohort_Year_Selection=$AH$278), ROUND(MAX(0,AO$488 - 3),0),
IF(AND(OR(AP$279=123, AP$279=12), Cultivar_1_Cohort_Year_Selection=$AH$278,Cultivar_2_Cohort_Year_Selection=$AH$278), ROUND(MAX(0,AO$488 - 2),0),
IF(AND(OR(AP$279=123, AP$279=13), Cultivar_1_Cohort_Year_Selection=$AH$278,Cultivar_3_Cohort_Year_Selection=$AH$278), ROUND(MAX(0,AO$488 - 2),0),
IF(AND(OR(AP$279=123, AP$279=23), Cultivar_2_Cohort_Year_Selection=$AH$278,Cultivar_3_Cohort_Year_Selection=$AH$278), ROUND(MAX(0,AO$488 - 2),0),
IF(AND(OR(AP$279=123, AP$279=12, AP$279=13, AP$279=1), Cultivar_1_Cohort_Year_Selection=$AH$278), ROUND(MAX(0,AO$488 - 1),0),
IF(AND(OR(AP$279=123, AP$279=12, AP$279=23, AP$279=2), Cultivar_2_Cohort_Year_Selection=$AH$278), ROUND(MAX(0,AO$488 - 1),0),
IF(AND(OR(AP$279=123, AP$279=13, AP$279=23, AP$279=3), Cultivar_3_Cohort_Year_Selection=$AH$278), ROUND(MAX(0,AO$488 - 1),0),
ROUND(MAX(0,AO$488),0)))))))),""),""),"")</f>
        <v/>
      </c>
      <c r="AQ511" s="95" t="str">
        <f>IF(ISNUMBER($B$489),
IF($C511&lt;&gt;"",
IF(AND(ISNUMBER(AP$488), AP$488&gt;0),
IF(AND(AQ$279=123, Cultivar_1_Cohort_Year_Selection=$AI$278,Cultivar_2_Cohort_Year_Selection=$AI$278,Cultivar_3_Cohort_Year_Selection=$AI$278), ROUND(MAX(0,AP$488 - 3),0),
IF(AND(OR(AQ$279=123, AQ$279=12), Cultivar_1_Cohort_Year_Selection=$AI$278,Cultivar_2_Cohort_Year_Selection=$AI$278), ROUND(MAX(0,AP$488 - 2),0),
IF(AND(OR(AQ$279=123, AQ$279=13), Cultivar_1_Cohort_Year_Selection=$AI$278,Cultivar_3_Cohort_Year_Selection=$AI$278), ROUND(MAX(0,AP$488 - 2),0),
IF(AND(OR(AQ$279=123, AQ$279=23), Cultivar_2_Cohort_Year_Selection=$AI$278,Cultivar_3_Cohort_Year_Selection=$AI$278), ROUND(MAX(0,AP$488 - 2),0),
IF(AND(OR(AQ$279=123, AQ$279=12, AQ$279=13, AQ$279=1), Cultivar_1_Cohort_Year_Selection=$AI$278), ROUND(MAX(0,AP$488 - 1),0),
IF(AND(OR(AQ$279=123, AQ$279=12, AQ$279=23, AQ$279=2), Cultivar_2_Cohort_Year_Selection=$AI$278), ROUND(MAX(0,AP$488 - 1),0),
IF(AND(OR(AQ$279=123, AQ$279=13, AQ$279=23, AQ$279=3), Cultivar_3_Cohort_Year_Selection=$AI$278), ROUND(MAX(0,AP$488 - 1),0),
ROUND(MAX(0,AP$488),0)))))))),""),""),"")</f>
        <v/>
      </c>
      <c r="AR511" s="95" t="str">
        <f>IF(ISNUMBER($B$489),
IF($C511&lt;&gt;"",
IF(AND(ISNUMBER(AQ$488), AQ$488&gt;0),
IF(AND(AR$279=123, Cultivar_1_Cohort_Year_Selection=$AJ$278,Cultivar_2_Cohort_Year_Selection=$AJ$278,Cultivar_3_Cohort_Year_Selection=$AJ$278), ROUND(MAX(0,AQ$488 - 3),0),
IF(AND(OR(AR$279=123, AR$279=12), Cultivar_1_Cohort_Year_Selection=$AJ$278,Cultivar_2_Cohort_Year_Selection=$AJ$278), ROUND(MAX(0,AQ$488 - 2),0),
IF(AND(OR(AR$279=123, AR$279=13), Cultivar_1_Cohort_Year_Selection=$AJ$278,Cultivar_3_Cohort_Year_Selection=$AJ$278), ROUND(MAX(0,AQ$488 - 2),0),
IF(AND(OR(AR$279=123, AR$279=23), Cultivar_2_Cohort_Year_Selection=$AJ$278,Cultivar_3_Cohort_Year_Selection=$AJ$278), ROUND(MAX(0,AQ$488 - 2),0),
IF(AND(OR(AR$279=123, AR$279=12, AR$279=13, AR$279=1), Cultivar_1_Cohort_Year_Selection=$AJ$278), ROUND(MAX(0,AQ$488 - 1),0),
IF(AND(OR(AR$279=123, AR$279=12, AR$279=23, AR$279=2), Cultivar_2_Cohort_Year_Selection=$AJ$278), ROUND(MAX(0,AQ$488 - 1),0),
IF(AND(OR(AR$279=123, AR$279=13, AR$279=23, AR$279=3), Cultivar_3_Cohort_Year_Selection=$AJ$278), ROUND(MAX(0,AQ$488 - 1),0),
ROUND(MAX(0,AQ$488),0)))))))),""),""),"")</f>
        <v/>
      </c>
      <c r="AS511" s="95" t="str">
        <f>IF(ISNUMBER($B$489),
IF($C511&lt;&gt;"",
IF(AND(ISNUMBER(AR$488), AR$488&gt;0),
IF(AND(AS$279=123, Cultivar_1_Cohort_Year_Selection=$AK$278,Cultivar_2_Cohort_Year_Selection=$AK$278,Cultivar_3_Cohort_Year_Selection=$AK$278), ROUND(MAX(0,AR$488 - 3),0),
IF(AND(OR(AS$279=123, AS$279=12), Cultivar_1_Cohort_Year_Selection=$AK$278,Cultivar_2_Cohort_Year_Selection=$AK$278), ROUND(MAX(0,AR$488 - 2),0),
IF(AND(OR(AS$279=123, AS$279=13), Cultivar_1_Cohort_Year_Selection=$AK$278,Cultivar_3_Cohort_Year_Selection=$AK$278), ROUND(MAX(0,AR$488 - 2),0),
IF(AND(OR(AS$279=123, AS$279=23), Cultivar_2_Cohort_Year_Selection=$AK$278,Cultivar_3_Cohort_Year_Selection=$AK$278), ROUND(MAX(0,AR$488 - 2),0),
IF(AND(OR(AS$279=123, AS$279=12, AS$279=13, AS$279=1), Cultivar_1_Cohort_Year_Selection=$AK$278), ROUND(MAX(0,AR$488 - 1),0),
IF(AND(OR(AS$279=123, AS$279=12, AS$279=23, AS$279=2), Cultivar_2_Cohort_Year_Selection=$AK$278), ROUND(MAX(0,AR$488 - 1),0),
IF(AND(OR(AS$279=123, AS$279=13, AS$279=23, AS$279=3), Cultivar_3_Cohort_Year_Selection=$AK$278), ROUND(MAX(0,AR$488 - 1),0),
ROUND(MAX(0,AR$488),0)))))))),""),""),"")</f>
        <v/>
      </c>
      <c r="AT511" s="95" t="str">
        <f>IF(ISNUMBER($B$489),
IF($C511&lt;&gt;"",
IF(AND(ISNUMBER(AS$488), AS$488&gt;0),
IF(AND(AT$279=123, Cultivar_1_Cohort_Year_Selection=$AL$278,Cultivar_2_Cohort_Year_Selection=$AL$278,Cultivar_3_Cohort_Year_Selection=$AL$278), ROUND(MAX(0,AS$488 - 3),0),
IF(AND(OR(AT$279=123, AT$279=12), Cultivar_1_Cohort_Year_Selection=$AL$278,Cultivar_2_Cohort_Year_Selection=$AL$278), ROUND(MAX(0,AS$488 - 2),0),
IF(AND(OR(AT$279=123, AT$279=13), Cultivar_1_Cohort_Year_Selection=$AL$278,Cultivar_3_Cohort_Year_Selection=$AL$278), ROUND(MAX(0,AS$488 - 2),0),
IF(AND(OR(AT$279=123, AT$279=23), Cultivar_2_Cohort_Year_Selection=$AL$278,Cultivar_3_Cohort_Year_Selection=$AL$278), ROUND(MAX(0,AS$488 - 2),0),
IF(AND(OR(AT$279=123, AT$279=12, AT$279=13, AT$279=1), Cultivar_1_Cohort_Year_Selection=$AL$278), ROUND(MAX(0,AS$488 - 1),0),
IF(AND(OR(AT$279=123, AT$279=12, AT$279=23, AT$279=2), Cultivar_2_Cohort_Year_Selection=$AL$278), ROUND(MAX(0,AS$488 - 1),0),
IF(AND(OR(AT$279=123, AT$279=13, AT$279=23, AT$279=3), Cultivar_3_Cohort_Year_Selection=$AL$278), ROUND(MAX(0,AS$488 - 1),0),
ROUND(MAX(0,AS$488),0)))))))),""),""),"")</f>
        <v/>
      </c>
      <c r="AU511" s="95" t="str">
        <f>IF(ISNUMBER($B$489),
IF($C511&lt;&gt;"",
IF(AND(ISNUMBER(AT$488), AT$488&gt;0),
IF(AND(AU$279=123, Cultivar_1_Cohort_Year_Selection=$AM$278,Cultivar_2_Cohort_Year_Selection=$AM$278,Cultivar_3_Cohort_Year_Selection=$AM$278), ROUND(MAX(0,AT$488 - 3),0),
IF(AND(OR(AU$279=123, AU$279=12), Cultivar_1_Cohort_Year_Selection=$AM$278,Cultivar_2_Cohort_Year_Selection=$AM$278), ROUND(MAX(0,AT$488 - 2),0),
IF(AND(OR(AU$279=123, AU$279=13), Cultivar_1_Cohort_Year_Selection=$AM$278,Cultivar_3_Cohort_Year_Selection=$AM$278), ROUND(MAX(0,AT$488 - 2),0),
IF(AND(OR(AU$279=123, AU$279=23), Cultivar_2_Cohort_Year_Selection=$AM$278,Cultivar_3_Cohort_Year_Selection=$AM$278), ROUND(MAX(0,AT$488 - 2),0),
IF(AND(OR(AU$279=123, AU$279=12, AU$279=13, AU$279=1), Cultivar_1_Cohort_Year_Selection=$AM$278), ROUND(MAX(0,AT$488 - 1),0),
IF(AND(OR(AU$279=123, AU$279=12, AU$279=23, AU$279=2), Cultivar_2_Cohort_Year_Selection=$AM$278), ROUND(MAX(0,AT$488 - 1),0),
IF(AND(OR(AU$279=123, AU$279=13, AU$279=23, AU$279=3), Cultivar_3_Cohort_Year_Selection=$AM$278), ROUND(MAX(0,AT$488 - 1),0),
ROUND(MAX(0,AT$488),0)))))))),""),""),"")</f>
        <v/>
      </c>
      <c r="AV511" s="95" t="str">
        <f>IF(ISNUMBER($B$489),
IF($C511&lt;&gt;"",
IF(AND(ISNUMBER(AU$488), AU$488&gt;0),
IF(AND(AV$279=123, Cultivar_1_Cohort_Year_Selection=$AN$278,Cultivar_2_Cohort_Year_Selection=$AN$278,Cultivar_3_Cohort_Year_Selection=$AN$278), ROUND(MAX(0,AU$488 - 3),0),
IF(AND(OR(AV$279=123, AV$279=12), Cultivar_1_Cohort_Year_Selection=$AN$278,Cultivar_2_Cohort_Year_Selection=$AN$278), ROUND(MAX(0,AU$488 - 2),0),
IF(AND(OR(AV$279=123, AV$279=13), Cultivar_1_Cohort_Year_Selection=$AN$278,Cultivar_3_Cohort_Year_Selection=$AN$278), ROUND(MAX(0,AU$488 - 2),0),
IF(AND(OR(AV$279=123, AV$279=23), Cultivar_2_Cohort_Year_Selection=$AN$278,Cultivar_3_Cohort_Year_Selection=$AN$278), ROUND(MAX(0,AU$488 - 2),0),
IF(AND(OR(AV$279=123, AV$279=12, AV$279=13, AV$279=1), Cultivar_1_Cohort_Year_Selection=$AN$278), ROUND(MAX(0,AU$488 - 1),0),
IF(AND(OR(AV$279=123, AV$279=12, AV$279=23, AV$279=2), Cultivar_2_Cohort_Year_Selection=$AN$278), ROUND(MAX(0,AU$488 - 1),0),
IF(AND(OR(AV$279=123, AV$279=13, AV$279=23, AV$279=3), Cultivar_3_Cohort_Year_Selection=$AN$278), ROUND(MAX(0,AU$488 - 1),0),
ROUND(MAX(0,AU$488),0)))))))),""),""),"")</f>
        <v/>
      </c>
      <c r="AW511" s="95" t="str">
        <f>IF(ISNUMBER($B$489),
IF($C511&lt;&gt;"",
IF(AND(ISNUMBER(AV$488), AV$488&gt;0),
IF(AND(AW$279=123, Cultivar_1_Cohort_Year_Selection=$AO$278,Cultivar_2_Cohort_Year_Selection=$AO$278,Cultivar_3_Cohort_Year_Selection=$AO$278), ROUND(MAX(0,AV$488 - 3),0),
IF(AND(OR(AW$279=123, AW$279=12), Cultivar_1_Cohort_Year_Selection=$AO$278,Cultivar_2_Cohort_Year_Selection=$AO$278), ROUND(MAX(0,AV$488 - 2),0),
IF(AND(OR(AW$279=123, AW$279=13), Cultivar_1_Cohort_Year_Selection=$AO$278,Cultivar_3_Cohort_Year_Selection=$AO$278), ROUND(MAX(0,AV$488 - 2),0),
IF(AND(OR(AW$279=123, AW$279=23), Cultivar_2_Cohort_Year_Selection=$AO$278,Cultivar_3_Cohort_Year_Selection=$AO$278), ROUND(MAX(0,AV$488 - 2),0),
IF(AND(OR(AW$279=123, AW$279=12, AW$279=13, AW$279=1), Cultivar_1_Cohort_Year_Selection=$AO$278), ROUND(MAX(0,AV$488 - 1),0),
IF(AND(OR(AW$279=123, AW$279=12, AW$279=23, AW$279=2), Cultivar_2_Cohort_Year_Selection=$AO$278), ROUND(MAX(0,AV$488 - 1),0),
IF(AND(OR(AW$279=123, AW$279=13, AW$279=23, AW$279=3), Cultivar_3_Cohort_Year_Selection=$AO$278), ROUND(MAX(0,AV$488 - 1),0),
ROUND(MAX(0,AV$488),0)))))))),""),""),"")</f>
        <v/>
      </c>
      <c r="AX511" s="95" t="str">
        <f>IF(ISNUMBER($B$489),
IF($C511&lt;&gt;"",
IF(AND(ISNUMBER(AW$488), AW$488&gt;0),
IF(AND(AX$279=123, Cultivar_1_Cohort_Year_Selection=$AP$278,Cultivar_2_Cohort_Year_Selection=$AP$278,Cultivar_3_Cohort_Year_Selection=$AP$278), ROUND(MAX(0,AW$488 - 3),0),
IF(AND(OR(AX$279=123, AX$279=12), Cultivar_1_Cohort_Year_Selection=$AP$278,Cultivar_2_Cohort_Year_Selection=$AP$278), ROUND(MAX(0,AW$488 - 2),0),
IF(AND(OR(AX$279=123, AX$279=13), Cultivar_1_Cohort_Year_Selection=$AP$278,Cultivar_3_Cohort_Year_Selection=$AP$278), ROUND(MAX(0,AW$488 - 2),0),
IF(AND(OR(AX$279=123, AX$279=23), Cultivar_2_Cohort_Year_Selection=$AP$278,Cultivar_3_Cohort_Year_Selection=$AP$278), ROUND(MAX(0,AW$488 - 2),0),
IF(AND(OR(AX$279=123, AX$279=12, AX$279=13, AX$279=1), Cultivar_1_Cohort_Year_Selection=$AP$278), ROUND(MAX(0,AW$488 - 1),0),
IF(AND(OR(AX$279=123, AX$279=12, AX$279=23, AX$279=2), Cultivar_2_Cohort_Year_Selection=$AP$278), ROUND(MAX(0,AW$488 - 1),0),
IF(AND(OR(AX$279=123, AX$279=13, AX$279=23, AX$279=3), Cultivar_3_Cohort_Year_Selection=$AP$278), ROUND(MAX(0,AW$488 - 1),0),
ROUND(MAX(0,AW$488),0)))))))),""),""),"")</f>
        <v/>
      </c>
    </row>
    <row r="512" spans="1:50" ht="6.6" customHeight="1" thickBot="1" x14ac:dyDescent="0.3">
      <c r="A512" s="213"/>
      <c r="B512" s="282"/>
      <c r="C512" s="283"/>
      <c r="D512" s="114"/>
      <c r="E512" s="114"/>
      <c r="F512" s="114"/>
      <c r="G512" s="284"/>
      <c r="H512" s="114"/>
      <c r="I512" s="114"/>
      <c r="J512" s="114"/>
      <c r="K512" s="114"/>
      <c r="L512" s="285"/>
      <c r="M512" s="285"/>
      <c r="N512" s="99"/>
      <c r="O512" s="99"/>
      <c r="P512" s="99"/>
      <c r="Q512" s="99"/>
      <c r="R512" s="99"/>
      <c r="S512" s="99"/>
      <c r="T512" s="99"/>
      <c r="U512" s="99"/>
      <c r="V512" s="286"/>
      <c r="W512" s="288" t="str">
        <f>IF(ISNUMBER($B$489),
IF(AND(ISNUMBER(V$488), V$488&gt;0),
IF(AND(W$279=123, Cultivar_1_Cohort_Year_Selection=$O$278,Cultivar_2_Cohort_Year_Selection=$O$278,Cultivar_3_Cohort_Year_Selection=$O$278), ROUND(MAX(0,(V$488-('Stage 2 Randomized Selection'!L$2*$M489)) - 3),0),
IF(AND(OR(W$279=123, W$279=12), Cultivar_1_Cohort_Year_Selection=$O$278,Cultivar_2_Cohort_Year_Selection=$O$278),  ROUND(MAX(0,(V$488-('Stage 2 Randomized Selection'!K$2*$M489)) - 2),0),
IF(AND(OR(W$279=123, W$279=13), Cultivar_1_Cohort_Year_Selection=$O$278,Cultivar_3_Cohort_Year_Selection=$O$278), ROUND(MAX(0,(V$488-('Stage 2 Randomized Selection'!K$2*$M489)) - 2),0),
IF(AND(OR(W$279=123, W$279=23), Cultivar_2_Cohort_Year_Selection=$O$278,Cultivar_3_Cohort_Year_Selection=$O$278), ROUND(MAX(0,(V$488-('Stage 2 Randomized Selection'!K$2*$M489)) - 2),0),
IF(AND(OR(W$279=123, W$279=12, W$279=13, W$279=1), Cultivar_1_Cohort_Year_Selection=$O$278), ROUND(MAX(0,(V$488-('Stage 2 Randomized Selection'!K$2*$M489)) - 1),0),
IF(AND(OR(W$279=123, W$279=12, W$279=23, W$279=2), Cultivar_2_Cohort_Year_Selection=$O$278), ROUND(MAX(0,(V$488-('Stage 2 Randomized Selection'!K$2*$M489)) - 1),0),
IF(AND(OR(W$279=123, W$279=13, W$279=23, W$279=3), Cultivar_3_Cohort_Year_Selection=$O$278), ROUND(MAX(0,(V$488-('Stage 2 Randomized Selection'!K$2*$M489)) - 1),0),
ROUND(MAX(0,(V$488-('Stage 2 Randomized Selection'!K$2*$M489))),0)))))))),0),"")</f>
        <v/>
      </c>
      <c r="X512" s="288" t="str">
        <f>IF(ISNUMBER($B$489),
IF(AND(ISNUMBER(W$488), W$488&gt;0),
IF(AND(X$279=123, Cultivar_1_Cohort_Year_Selection=$P$278,Cultivar_2_Cohort_Year_Selection=$P$278,Cultivar_3_Cohort_Year_Selection=$P$278), ROUND(MAX(0,(W$488-('Stage 2 Randomized Selection'!M$2*$M489)) - 3),0),
IF(AND(OR(X$279=123, X$279=12), Cultivar_1_Cohort_Year_Selection=$P$278,Cultivar_2_Cohort_Year_Selection=$P$278),  ROUND(MAX(0,(W$488-('Stage 2 Randomized Selection'!L$2*$M489)) - 2),0),
IF(AND(OR(X$279=123, X$279=13), Cultivar_1_Cohort_Year_Selection=$P$278,Cultivar_3_Cohort_Year_Selection=$P$278), ROUND(MAX(0,(W$488-('Stage 2 Randomized Selection'!L$2*$M489)) - 2),0),
IF(AND(OR(X$279=123, X$279=23), Cultivar_2_Cohort_Year_Selection=$P$278,Cultivar_3_Cohort_Year_Selection=$P$278), ROUND(MAX(0,(W$488-('Stage 2 Randomized Selection'!L$2*$M489)) - 2),0),
IF(AND(OR(X$279=123, X$279=12, X$279=13, X$279=1), Cultivar_1_Cohort_Year_Selection=$P$278), ROUND(MAX(0,(W$488-('Stage 2 Randomized Selection'!L$2*$M489)) - 1),0),
IF(AND(OR(X$279=123, X$279=12, X$279=23, X$279=2), Cultivar_2_Cohort_Year_Selection=$P$278), ROUND(MAX(0,(W$488-('Stage 2 Randomized Selection'!L$2*$M489)) - 1),0),
IF(AND(OR(X$279=123, X$279=13, X$279=23, X$279=3), Cultivar_3_Cohort_Year_Selection=$P$278), ROUND(MAX(0,(W$488-('Stage 2 Randomized Selection'!L$2*$M489)) - 1),0),
ROUND(MAX(0,(W$488-('Stage 2 Randomized Selection'!L$2*$M489))),0)))))))),0),"")</f>
        <v/>
      </c>
      <c r="Y512" s="288" t="str">
        <f>IF(ISNUMBER($B$489),
IF(AND(ISNUMBER(X$488), X$488&gt;0),
IF(AND(Y$279=123, Cultivar_1_Cohort_Year_Selection=$Q$278,Cultivar_2_Cohort_Year_Selection=$Q$278,Cultivar_3_Cohort_Year_Selection=$Q$278), ROUND(MAX(0,(X$488-('Stage 2 Randomized Selection'!N$2*$M489)) - 3),0),
IF(AND(OR(Y$279=123, Y$279=12), Cultivar_1_Cohort_Year_Selection=$Q$278,Cultivar_2_Cohort_Year_Selection=$Q$278),  ROUND(MAX(0,(X$488-('Stage 2 Randomized Selection'!M$2*$M489)) - 2),0),
IF(AND(OR(Y$279=123, Y$279=13), Cultivar_1_Cohort_Year_Selection=$Q$278,Cultivar_3_Cohort_Year_Selection=$Q$278), ROUND(MAX(0,(X$488-('Stage 2 Randomized Selection'!M$2*$M489)) - 2),0),
IF(AND(OR(Y$279=123, Y$279=23), Cultivar_2_Cohort_Year_Selection=$Q$278,Cultivar_3_Cohort_Year_Selection=$Q$278), ROUND(MAX(0,(X$488-('Stage 2 Randomized Selection'!M$2*$M489)) - 2),0),
IF(AND(OR(Y$279=123, Y$279=12, Y$279=13, Y$279=1), Cultivar_1_Cohort_Year_Selection=$Q$278), ROUND(MAX(0,(X$488-('Stage 2 Randomized Selection'!M$2*$M489)) - 1),0),
IF(AND(OR(Y$279=123, Y$279=12, Y$279=23, Y$279=2), Cultivar_2_Cohort_Year_Selection=$Q$278), ROUND(MAX(0,(X$488-('Stage 2 Randomized Selection'!M$2*$M489)) - 1),0),
IF(AND(OR(Y$279=123, Y$279=13, Y$279=23, Y$279=3), Cultivar_3_Cohort_Year_Selection=$Q$278), ROUND(MAX(0,(X$488-('Stage 2 Randomized Selection'!M$2*$M489)) - 1),0),
ROUND(MAX(0,(X$488-('Stage 2 Randomized Selection'!M$2*$M489))),0)))))))),0),"")</f>
        <v/>
      </c>
      <c r="Z512" s="288" t="str">
        <f>IF(ISNUMBER($B$489),
IF(AND(ISNUMBER(Y$488), Y$488&gt;0),
IF(AND(Z$279=123, Cultivar_1_Cohort_Year_Selection=$R$278,Cultivar_2_Cohort_Year_Selection=$R$278,Cultivar_3_Cohort_Year_Selection=$R$278), ROUND(MAX(0,(Y$488-('Stage 2 Randomized Selection'!O$2*$M489)) - 3),0),
IF(AND(OR(Z$279=123, Z$279=12), Cultivar_1_Cohort_Year_Selection=$R$278,Cultivar_2_Cohort_Year_Selection=$R$278),  ROUND(MAX(0,(Y$488-('Stage 2 Randomized Selection'!N$2*$M489)) - 2),0),
IF(AND(OR(Z$279=123, Z$279=13), Cultivar_1_Cohort_Year_Selection=$R$278,Cultivar_3_Cohort_Year_Selection=$R$278), ROUND(MAX(0,(Y$488-('Stage 2 Randomized Selection'!N$2*$M489)) - 2),0),
IF(AND(OR(Z$279=123, Z$279=23), Cultivar_2_Cohort_Year_Selection=$R$278,Cultivar_3_Cohort_Year_Selection=$R$278), ROUND(MAX(0,(Y$488-('Stage 2 Randomized Selection'!N$2*$M489)) - 2),0),
IF(AND(OR(Z$279=123, Z$279=12, Z$279=13, Z$279=1), Cultivar_1_Cohort_Year_Selection=$R$278), ROUND(MAX(0,(Y$488-('Stage 2 Randomized Selection'!N$2*$M489)) - 1),0),
IF(AND(OR(Z$279=123, Z$279=12, Z$279=23, Z$279=2), Cultivar_2_Cohort_Year_Selection=$R$278), ROUND(MAX(0,(Y$488-('Stage 2 Randomized Selection'!N$2*$M489)) - 1),0),
IF(AND(OR(Z$279=123, Z$279=13, Z$279=23, Z$279=3), Cultivar_3_Cohort_Year_Selection=$R$278), ROUND(MAX(0,(Y$488-('Stage 2 Randomized Selection'!N$2*$M489)) - 1),0),
ROUND(MAX(0,(Y$488-('Stage 2 Randomized Selection'!N$2*$M489))),0)))))))),0),"")</f>
        <v/>
      </c>
      <c r="AA512" s="288" t="str">
        <f>IF(ISNUMBER($B$489),
IF(AND(ISNUMBER(Z$488), Z$488&gt;0),
IF(AND(AA$279=123, Cultivar_1_Cohort_Year_Selection=$S$278,Cultivar_2_Cohort_Year_Selection=$S$278,Cultivar_3_Cohort_Year_Selection=$S$278), ROUND(MAX(0,(Z$488-('Stage 2 Randomized Selection'!P$2*$M489)) - 3),0),
IF(AND(OR(AA$279=123, AA$279=12), Cultivar_1_Cohort_Year_Selection=$S$278,Cultivar_2_Cohort_Year_Selection=$S$278),  ROUND(MAX(0,(Z$488-('Stage 2 Randomized Selection'!O$2*$M489)) - 2),0),
IF(AND(OR(AA$279=123, AA$279=13), Cultivar_1_Cohort_Year_Selection=$S$278,Cultivar_3_Cohort_Year_Selection=$S$278), ROUND(MAX(0,(Z$488-('Stage 2 Randomized Selection'!O$2*$M489)) - 2),0),
IF(AND(OR(AA$279=123, AA$279=23), Cultivar_2_Cohort_Year_Selection=$S$278,Cultivar_3_Cohort_Year_Selection=$S$278), ROUND(MAX(0,(Z$488-('Stage 2 Randomized Selection'!O$2*$M489)) - 2),0),
IF(AND(OR(AA$279=123, AA$279=12, AA$279=13, AA$279=1), Cultivar_1_Cohort_Year_Selection=$S$278), ROUND(MAX(0,(Z$488-('Stage 2 Randomized Selection'!O$2*$M489)) - 1),0),
IF(AND(OR(AA$279=123, AA$279=12, AA$279=23, AA$279=2), Cultivar_2_Cohort_Year_Selection=$S$278), ROUND(MAX(0,(Z$488-('Stage 2 Randomized Selection'!O$2*$M489)) - 1),0),
IF(AND(OR(AA$279=123, AA$279=13, AA$279=23, AA$279=3), Cultivar_3_Cohort_Year_Selection=$S$278), ROUND(MAX(0,(Z$488-('Stage 2 Randomized Selection'!O$2*$M489)) - 1),0),
ROUND(MAX(0,(Z$488-('Stage 2 Randomized Selection'!O$2*$M489))),0)))))))),0),"")</f>
        <v/>
      </c>
      <c r="AB512" s="288" t="str">
        <f>IF(ISNUMBER($B$489),
IF(AND(ISNUMBER(AA$488), AA$488&gt;0),
IF(AND(AB$279=123, Cultivar_1_Cohort_Year_Selection=$T$278,Cultivar_2_Cohort_Year_Selection=$T$278,Cultivar_3_Cohort_Year_Selection=$T$278), ROUND(MAX(0,(AA$488-('Stage 2 Randomized Selection'!Q$2*$M489)) - 3),0),
IF(AND(OR(AB$279=123, AB$279=12), Cultivar_1_Cohort_Year_Selection=$T$278,Cultivar_2_Cohort_Year_Selection=$T$278),  ROUND(MAX(0,(AA$488-('Stage 2 Randomized Selection'!P$2*$M489)) - 2),0),
IF(AND(OR(AB$279=123, AB$279=13), Cultivar_1_Cohort_Year_Selection=$T$278,Cultivar_3_Cohort_Year_Selection=$T$278), ROUND(MAX(0,(AA$488-('Stage 2 Randomized Selection'!P$2*$M489)) - 2),0),
IF(AND(OR(AB$279=123, AB$279=23), Cultivar_2_Cohort_Year_Selection=$T$278,Cultivar_3_Cohort_Year_Selection=$T$278), ROUND(MAX(0,(AA$488-('Stage 2 Randomized Selection'!P$2*$M489)) - 2),0),
IF(AND(OR(AB$279=123, AB$279=12, AB$279=13, AB$279=1), Cultivar_1_Cohort_Year_Selection=$T$278), ROUND(MAX(0,(AA$488-('Stage 2 Randomized Selection'!P$2*$M489)) - 1),0),
IF(AND(OR(AB$279=123, AB$279=12, AB$279=23, AB$279=2), Cultivar_2_Cohort_Year_Selection=$T$278), ROUND(MAX(0,(AA$488-('Stage 2 Randomized Selection'!P$2*$M489)) - 1),0),
IF(AND(OR(AB$279=123, AB$279=13, AB$279=23, AB$279=3), Cultivar_3_Cohort_Year_Selection=$T$278), ROUND(MAX(0,(AA$488-('Stage 2 Randomized Selection'!P$2*$M489)) - 1),0),
ROUND(MAX(0,(AA$488-('Stage 2 Randomized Selection'!P$2*$M489))),0)))))))),0),"")</f>
        <v/>
      </c>
      <c r="AC512" s="288" t="str">
        <f>IF(ISNUMBER($B$489),
IF(AND(ISNUMBER(AB$488), AB$488&gt;0),
IF(AND(AC$279=123, Cultivar_1_Cohort_Year_Selection=$U$278,Cultivar_2_Cohort_Year_Selection=$U$278,Cultivar_3_Cohort_Year_Selection=$U$278), ROUND(MAX(0,(AB$488-('Stage 2 Randomized Selection'!R$2*$M489)) - 3),0),
IF(AND(OR(AC$279=123, AC$279=12), Cultivar_1_Cohort_Year_Selection=$U$278,Cultivar_2_Cohort_Year_Selection=$U$278),  ROUND(MAX(0,(AB$488-('Stage 2 Randomized Selection'!Q$2*$M489)) - 2),0),
IF(AND(OR(AC$279=123, AC$279=13), Cultivar_1_Cohort_Year_Selection=$U$278,Cultivar_3_Cohort_Year_Selection=$U$278), ROUND(MAX(0,(AB$488-('Stage 2 Randomized Selection'!Q$2*$M489)) - 2),0),
IF(AND(OR(AC$279=123, AC$279=23), Cultivar_2_Cohort_Year_Selection=$U$278,Cultivar_3_Cohort_Year_Selection=$U$278), ROUND(MAX(0,(AB$488-('Stage 2 Randomized Selection'!Q$2*$M489)) - 2),0),
IF(AND(OR(AC$279=123, AC$279=12, AC$279=13, AC$279=1), Cultivar_1_Cohort_Year_Selection=$U$278), ROUND(MAX(0,(AB$488-('Stage 2 Randomized Selection'!Q$2*$M489)) - 1),0),
IF(AND(OR(AC$279=123, AC$279=12, AC$279=23, AC$279=2), Cultivar_2_Cohort_Year_Selection=$U$278), ROUND(MAX(0,(AB$488-('Stage 2 Randomized Selection'!Q$2*$M489)) - 1),0),
IF(AND(OR(AC$279=123, AC$279=13, AC$279=23, AC$279=3), Cultivar_3_Cohort_Year_Selection=$U$278), ROUND(MAX(0,(AB$488-('Stage 2 Randomized Selection'!Q$2*$M489)) - 1),0),
ROUND(MAX(0,(AB$488-('Stage 2 Randomized Selection'!Q$2*$M489))),0)))))))),0),"")</f>
        <v/>
      </c>
      <c r="AD512" s="288" t="str">
        <f>IF(ISNUMBER($B$489),
IF(AND(ISNUMBER(AC$488), AC$488&gt;0),
IF(AND(AD$279=123, Cultivar_1_Cohort_Year_Selection=$V$278,Cultivar_2_Cohort_Year_Selection=$V$278,Cultivar_3_Cohort_Year_Selection=$V$278), ROUND(MAX(0,(AC$488-('Stage 2 Randomized Selection'!S$2*$M489)) - 3),0),
IF(AND(OR(AD$279=123, AD$279=12), Cultivar_1_Cohort_Year_Selection=$V$278,Cultivar_2_Cohort_Year_Selection=$V$278),  ROUND(MAX(0,(AC$488-('Stage 2 Randomized Selection'!R$2*$M489)) - 2),0),
IF(AND(OR(AD$279=123, AD$279=13), Cultivar_1_Cohort_Year_Selection=$V$278,Cultivar_3_Cohort_Year_Selection=$V$278), ROUND(MAX(0,(AC$488-('Stage 2 Randomized Selection'!R$2*$M489)) - 2),0),
IF(AND(OR(AD$279=123, AD$279=23), Cultivar_2_Cohort_Year_Selection=$V$278,Cultivar_3_Cohort_Year_Selection=$V$278), ROUND(MAX(0,(AC$488-('Stage 2 Randomized Selection'!R$2*$M489)) - 2),0),
IF(AND(OR(AD$279=123, AD$279=12, AD$279=13, AD$279=1), Cultivar_1_Cohort_Year_Selection=$V$278), ROUND(MAX(0,(AC$488-('Stage 2 Randomized Selection'!R$2*$M489)) - 1),0),
IF(AND(OR(AD$279=123, AD$279=12, AD$279=23, AD$279=2), Cultivar_2_Cohort_Year_Selection=$V$278), ROUND(MAX(0,(AC$488-('Stage 2 Randomized Selection'!R$2*$M489)) - 1),0),
IF(AND(OR(AD$279=123, AD$279=13, AD$279=23, AD$279=3), Cultivar_3_Cohort_Year_Selection=$V$278), ROUND(MAX(0,(AC$488-('Stage 2 Randomized Selection'!R$2*$M489)) - 1),0),
ROUND(MAX(0,(AC$488-('Stage 2 Randomized Selection'!R$2*$M489))),0)))))))),0),"")</f>
        <v/>
      </c>
      <c r="AE512" s="288" t="str">
        <f>IF(ISNUMBER($B$489),
IF(AND(ISNUMBER(AD$488), AD$488&gt;0),
IF(AND(AE$279=123, Cultivar_1_Cohort_Year_Selection=$W$278,Cultivar_2_Cohort_Year_Selection=$W$278,Cultivar_3_Cohort_Year_Selection=$W$278), ROUND(MAX(0,(AD$488-('Stage 2 Randomized Selection'!T$2*$M489)) - 3),0),
IF(AND(OR(AE$279=123, AE$279=12), Cultivar_1_Cohort_Year_Selection=$W$278,Cultivar_2_Cohort_Year_Selection=$W$278),  ROUND(MAX(0,(AD$488-('Stage 2 Randomized Selection'!S$2*$M489)) - 2),0),
IF(AND(OR(AE$279=123, AE$279=13), Cultivar_1_Cohort_Year_Selection=$W$278,Cultivar_3_Cohort_Year_Selection=$W$278), ROUND(MAX(0,(AD$488-('Stage 2 Randomized Selection'!S$2*$M489)) - 2),0),
IF(AND(OR(AE$279=123, AE$279=23), Cultivar_2_Cohort_Year_Selection=$W$278,Cultivar_3_Cohort_Year_Selection=$W$278), ROUND(MAX(0,(AD$488-('Stage 2 Randomized Selection'!S$2*$M489)) - 2),0),
IF(AND(OR(AE$279=123, AE$279=12, AE$279=13, AE$279=1), Cultivar_1_Cohort_Year_Selection=$W$278), ROUND(MAX(0,(AD$488-('Stage 2 Randomized Selection'!S$2*$M489)) - 1),0),
IF(AND(OR(AE$279=123, AE$279=12, AE$279=23, AE$279=2), Cultivar_2_Cohort_Year_Selection=$W$278), ROUND(MAX(0,(AD$488-('Stage 2 Randomized Selection'!S$2*$M489)) - 1),0),
IF(AND(OR(AE$279=123, AE$279=13, AE$279=23, AE$279=3), Cultivar_3_Cohort_Year_Selection=$W$278), ROUND(MAX(0,(AD$488-('Stage 2 Randomized Selection'!S$2*$M489)) - 1),0),
ROUND(MAX(0,(AD$488-('Stage 2 Randomized Selection'!S$2*$M489))),0)))))))),0),"")</f>
        <v/>
      </c>
      <c r="AF512" s="288" t="str">
        <f>IF(ISNUMBER($B$489),
IF(AND(ISNUMBER(AE$488), AE$488&gt;0),
IF(AND(AF$279=123, Cultivar_1_Cohort_Year_Selection=$X$278,Cultivar_2_Cohort_Year_Selection=$X$278,Cultivar_3_Cohort_Year_Selection=$X$278), ROUND(MAX(0,(AE$488-('Stage 2 Randomized Selection'!U$2*$M489)) - 3),0),
IF(AND(OR(AF$279=123, AF$279=12), Cultivar_1_Cohort_Year_Selection=$X$278,Cultivar_2_Cohort_Year_Selection=$X$278),  ROUND(MAX(0,(AE$488-('Stage 2 Randomized Selection'!T$2*$M489)) - 2),0),
IF(AND(OR(AF$279=123, AF$279=13), Cultivar_1_Cohort_Year_Selection=$X$278,Cultivar_3_Cohort_Year_Selection=$X$278), ROUND(MAX(0,(AE$488-('Stage 2 Randomized Selection'!T$2*$M489)) - 2),0),
IF(AND(OR(AF$279=123, AF$279=23), Cultivar_2_Cohort_Year_Selection=$X$278,Cultivar_3_Cohort_Year_Selection=$X$278), ROUND(MAX(0,(AE$488-('Stage 2 Randomized Selection'!T$2*$M489)) - 2),0),
IF(AND(OR(AF$279=123, AF$279=12, AF$279=13, AF$279=1), Cultivar_1_Cohort_Year_Selection=$X$278), ROUND(MAX(0,(AE$488-('Stage 2 Randomized Selection'!T$2*$M489)) - 1),0),
IF(AND(OR(AF$279=123, AF$279=12, AF$279=23, AF$279=2), Cultivar_2_Cohort_Year_Selection=$X$278), ROUND(MAX(0,(AE$488-('Stage 2 Randomized Selection'!T$2*$M489)) - 1),0),
IF(AND(OR(AF$279=123, AF$279=13, AF$279=23, AF$279=3), Cultivar_3_Cohort_Year_Selection=$X$278), ROUND(MAX(0,(AE$488-('Stage 2 Randomized Selection'!T$2*$M489)) - 1),0),
ROUND(MAX(0,(AE$488-('Stage 2 Randomized Selection'!T$2*$M489))),0)))))))),0),"")</f>
        <v/>
      </c>
      <c r="AG512" s="288" t="str">
        <f>IF(ISNUMBER($B$489),
IF(AND(ISNUMBER(AF$488), AF$488&gt;0),
IF(AND(AG$279=123, Cultivar_1_Cohort_Year_Selection=$Y$278,Cultivar_2_Cohort_Year_Selection=$Y$278,Cultivar_3_Cohort_Year_Selection=$Y$278), ROUND(MAX(0,(AF$488-('Stage 2 Randomized Selection'!V$2*$M489)) - 3),0),
IF(AND(OR(AG$279=123, AG$279=12), Cultivar_1_Cohort_Year_Selection=$Y$278,Cultivar_2_Cohort_Year_Selection=$Y$278),  ROUND(MAX(0,(AF$488-('Stage 2 Randomized Selection'!U$2*$M489)) - 2),0),
IF(AND(OR(AG$279=123, AG$279=13), Cultivar_1_Cohort_Year_Selection=$Y$278,Cultivar_3_Cohort_Year_Selection=$Y$278), ROUND(MAX(0,(AF$488-('Stage 2 Randomized Selection'!U$2*$M489)) - 2),0),
IF(AND(OR(AG$279=123, AG$279=23), Cultivar_2_Cohort_Year_Selection=$Y$278,Cultivar_3_Cohort_Year_Selection=$Y$278), ROUND(MAX(0,(AF$488-('Stage 2 Randomized Selection'!U$2*$M489)) - 2),0),
IF(AND(OR(AG$279=123, AG$279=12, AG$279=13, AG$279=1), Cultivar_1_Cohort_Year_Selection=$Y$278), ROUND(MAX(0,(AF$488-('Stage 2 Randomized Selection'!U$2*$M489)) - 1),0),
IF(AND(OR(AG$279=123, AG$279=12, AG$279=23, AG$279=2), Cultivar_2_Cohort_Year_Selection=$Y$278), ROUND(MAX(0,(AF$488-('Stage 2 Randomized Selection'!U$2*$M489)) - 1),0),
IF(AND(OR(AG$279=123, AG$279=13, AG$279=23, AG$279=3), Cultivar_3_Cohort_Year_Selection=$Y$278), ROUND(MAX(0,(AF$488-('Stage 2 Randomized Selection'!U$2*$M489)) - 1),0),
ROUND(MAX(0,(AF$488-('Stage 2 Randomized Selection'!U$2*$M489))),0)))))))),0),"")</f>
        <v/>
      </c>
      <c r="AH512" s="288" t="str">
        <f>IF(ISNUMBER($B$489),
IF(AND(ISNUMBER(AG$488), AG$488&gt;0),
IF(AND(AH$279=123, Cultivar_1_Cohort_Year_Selection=$Z$278,Cultivar_2_Cohort_Year_Selection=$Z$278,Cultivar_3_Cohort_Year_Selection=$Z$278), ROUND(MAX(0,(AG$488-('Stage 2 Randomized Selection'!W$2*$M489)) - 3),0),
IF(AND(OR(AH$279=123, AH$279=12), Cultivar_1_Cohort_Year_Selection=$Z$278,Cultivar_2_Cohort_Year_Selection=$Z$278),  ROUND(MAX(0,(AG$488-('Stage 2 Randomized Selection'!V$2*$M489)) - 2),0),
IF(AND(OR(AH$279=123, AH$279=13), Cultivar_1_Cohort_Year_Selection=$Z$278,Cultivar_3_Cohort_Year_Selection=$Z$278), ROUND(MAX(0,(AG$488-('Stage 2 Randomized Selection'!V$2*$M489)) - 2),0),
IF(AND(OR(AH$279=123, AH$279=23), Cultivar_2_Cohort_Year_Selection=$Z$278,Cultivar_3_Cohort_Year_Selection=$Z$278), ROUND(MAX(0,(AG$488-('Stage 2 Randomized Selection'!V$2*$M489)) - 2),0),
IF(AND(OR(AH$279=123, AH$279=12, AH$279=13, AH$279=1), Cultivar_1_Cohort_Year_Selection=$Z$278), ROUND(MAX(0,(AG$488-('Stage 2 Randomized Selection'!V$2*$M489)) - 1),0),
IF(AND(OR(AH$279=123, AH$279=12, AH$279=23, AH$279=2), Cultivar_2_Cohort_Year_Selection=$Z$278), ROUND(MAX(0,(AG$488-('Stage 2 Randomized Selection'!V$2*$M489)) - 1),0),
IF(AND(OR(AH$279=123, AH$279=13, AH$279=23, AH$279=3), Cultivar_3_Cohort_Year_Selection=$Z$278), ROUND(MAX(0,(AG$488-('Stage 2 Randomized Selection'!V$2*$M489)) - 1),0),
ROUND(MAX(0,(AG$488-('Stage 2 Randomized Selection'!V$2*$M489))),0)))))))),0),"")</f>
        <v/>
      </c>
      <c r="AI512" s="288" t="str">
        <f>IF(ISNUMBER($B$489),
IF(AND(ISNUMBER(AH$488), AH$488&gt;0),
IF(AND(AI$279=123, Cultivar_1_Cohort_Year_Selection=$AA$278,Cultivar_2_Cohort_Year_Selection=$AA$278,Cultivar_3_Cohort_Year_Selection=$AA$278), ROUND(MAX(0,(AH$488-('Stage 2 Randomized Selection'!X$2*$M489)) - 3),0),
IF(AND(OR(AI$279=123, AI$279=12), Cultivar_1_Cohort_Year_Selection=$AA$278,Cultivar_2_Cohort_Year_Selection=$AA$278),  ROUND(MAX(0,(AH$488-('Stage 2 Randomized Selection'!W$2*$M489)) - 2),0),
IF(AND(OR(AI$279=123, AI$279=13), Cultivar_1_Cohort_Year_Selection=$AA$278,Cultivar_3_Cohort_Year_Selection=$AA$278), ROUND(MAX(0,(AH$488-('Stage 2 Randomized Selection'!W$2*$M489)) - 2),0),
IF(AND(OR(AI$279=123, AI$279=23), Cultivar_2_Cohort_Year_Selection=$AA$278,Cultivar_3_Cohort_Year_Selection=$AA$278), ROUND(MAX(0,(AH$488-('Stage 2 Randomized Selection'!W$2*$M489)) - 2),0),
IF(AND(OR(AI$279=123, AI$279=12, AI$279=13, AI$279=1), Cultivar_1_Cohort_Year_Selection=$AA$278), ROUND(MAX(0,(AH$488-('Stage 2 Randomized Selection'!W$2*$M489)) - 1),0),
IF(AND(OR(AI$279=123, AI$279=12, AI$279=23, AI$279=2), Cultivar_2_Cohort_Year_Selection=$AA$278), ROUND(MAX(0,(AH$488-('Stage 2 Randomized Selection'!W$2*$M489)) - 1),0),
IF(AND(OR(AI$279=123, AI$279=13, AI$279=23, AI$279=3), Cultivar_3_Cohort_Year_Selection=$AA$278), ROUND(MAX(0,(AH$488-('Stage 2 Randomized Selection'!W$2*$M489)) - 1),0),
ROUND(MAX(0,(AH$488-('Stage 2 Randomized Selection'!W$2*$M489))),0)))))))),0),"")</f>
        <v/>
      </c>
      <c r="AJ512" s="288" t="str">
        <f>IF(ISNUMBER($B$489),
IF(AND(ISNUMBER(AI$488), AI$488&gt;0),
IF(AND(AJ$279=123, Cultivar_1_Cohort_Year_Selection=$AB$278,Cultivar_2_Cohort_Year_Selection=$AB$278,Cultivar_3_Cohort_Year_Selection=$AB$278), ROUND(MAX(0,(AI$488-('Stage 2 Randomized Selection'!Y$2*$M489)) - 3),0),
IF(AND(OR(AJ$279=123, AJ$279=12), Cultivar_1_Cohort_Year_Selection=$AB$278,Cultivar_2_Cohort_Year_Selection=$AB$278),  ROUND(MAX(0,(AI$488-('Stage 2 Randomized Selection'!X$2*$M489)) - 2),0),
IF(AND(OR(AJ$279=123, AJ$279=13), Cultivar_1_Cohort_Year_Selection=$AB$278,Cultivar_3_Cohort_Year_Selection=$AB$278), ROUND(MAX(0,(AI$488-('Stage 2 Randomized Selection'!X$2*$M489)) - 2),0),
IF(AND(OR(AJ$279=123, AJ$279=23), Cultivar_2_Cohort_Year_Selection=$AB$278,Cultivar_3_Cohort_Year_Selection=$AB$278), ROUND(MAX(0,(AI$488-('Stage 2 Randomized Selection'!X$2*$M489)) - 2),0),
IF(AND(OR(AJ$279=123, AJ$279=12, AJ$279=13, AJ$279=1), Cultivar_1_Cohort_Year_Selection=$AB$278), ROUND(MAX(0,(AI$488-('Stage 2 Randomized Selection'!X$2*$M489)) - 1),0),
IF(AND(OR(AJ$279=123, AJ$279=12, AJ$279=23, AJ$279=2), Cultivar_2_Cohort_Year_Selection=$AB$278), ROUND(MAX(0,(AI$488-('Stage 2 Randomized Selection'!X$2*$M489)) - 1),0),
IF(AND(OR(AJ$279=123, AJ$279=13, AJ$279=23, AJ$279=3), Cultivar_3_Cohort_Year_Selection=$AB$278), ROUND(MAX(0,(AI$488-('Stage 2 Randomized Selection'!X$2*$M489)) - 1),0),
ROUND(MAX(0,(AI$488-('Stage 2 Randomized Selection'!X$2*$M489))),0)))))))),0),"")</f>
        <v/>
      </c>
      <c r="AK512" s="288" t="str">
        <f>IF(ISNUMBER($B$489),
IF(AND(ISNUMBER(AJ$488), AJ$488&gt;0),
IF(AND(AK$279=123, Cultivar_1_Cohort_Year_Selection=$AC$278,Cultivar_2_Cohort_Year_Selection=$AC$278,Cultivar_3_Cohort_Year_Selection=$AC$278), ROUND(MAX(0,(AJ$488-('Stage 2 Randomized Selection'!Z$2*$M489)) - 3),0),
IF(AND(OR(AK$279=123, AK$279=12), Cultivar_1_Cohort_Year_Selection=$AC$278,Cultivar_2_Cohort_Year_Selection=$AC$278),  ROUND(MAX(0,(AJ$488-('Stage 2 Randomized Selection'!Y$2*$M489)) - 2),0),
IF(AND(OR(AK$279=123, AK$279=13), Cultivar_1_Cohort_Year_Selection=$AC$278,Cultivar_3_Cohort_Year_Selection=$AC$278), ROUND(MAX(0,(AJ$488-('Stage 2 Randomized Selection'!Y$2*$M489)) - 2),0),
IF(AND(OR(AK$279=123, AK$279=23), Cultivar_2_Cohort_Year_Selection=$AC$278,Cultivar_3_Cohort_Year_Selection=$AC$278), ROUND(MAX(0,(AJ$488-('Stage 2 Randomized Selection'!Y$2*$M489)) - 2),0),
IF(AND(OR(AK$279=123, AK$279=12, AK$279=13, AK$279=1), Cultivar_1_Cohort_Year_Selection=$AC$278), ROUND(MAX(0,(AJ$488-('Stage 2 Randomized Selection'!Y$2*$M489)) - 1),0),
IF(AND(OR(AK$279=123, AK$279=12, AK$279=23, AK$279=2), Cultivar_2_Cohort_Year_Selection=$AC$278), ROUND(MAX(0,(AJ$488-('Stage 2 Randomized Selection'!Y$2*$M489)) - 1),0),
IF(AND(OR(AK$279=123, AK$279=13, AK$279=23, AK$279=3), Cultivar_3_Cohort_Year_Selection=$AC$278), ROUND(MAX(0,(AJ$488-('Stage 2 Randomized Selection'!Y$2*$M489)) - 1),0),
ROUND(MAX(0,(AJ$488-('Stage 2 Randomized Selection'!Y$2*$M489))),0)))))))),0),"")</f>
        <v/>
      </c>
      <c r="AL512" s="288" t="str">
        <f>IF(ISNUMBER($B$489),
IF(AND(ISNUMBER(AK$488), AK$488&gt;0),
IF(AND(AL$279=123, Cultivar_1_Cohort_Year_Selection=$AD$278,Cultivar_2_Cohort_Year_Selection=$AD$278,Cultivar_3_Cohort_Year_Selection=$AD$278), ROUND(MAX(0,(AK$488-('Stage 2 Randomized Selection'!AA$2*$M489)) - 3),0),
IF(AND(OR(AL$279=123, AL$279=12), Cultivar_1_Cohort_Year_Selection=$AD$278,Cultivar_2_Cohort_Year_Selection=$AD$278),  ROUND(MAX(0,(AK$488-('Stage 2 Randomized Selection'!Z$2*$M489)) - 2),0),
IF(AND(OR(AL$279=123, AL$279=13), Cultivar_1_Cohort_Year_Selection=$AD$278,Cultivar_3_Cohort_Year_Selection=$AD$278), ROUND(MAX(0,(AK$488-('Stage 2 Randomized Selection'!Z$2*$M489)) - 2),0),
IF(AND(OR(AL$279=123, AL$279=23), Cultivar_2_Cohort_Year_Selection=$AD$278,Cultivar_3_Cohort_Year_Selection=$AD$278), ROUND(MAX(0,(AK$488-('Stage 2 Randomized Selection'!Z$2*$M489)) - 2),0),
IF(AND(OR(AL$279=123, AL$279=12, AL$279=13, AL$279=1), Cultivar_1_Cohort_Year_Selection=$AD$278), ROUND(MAX(0,(AK$488-('Stage 2 Randomized Selection'!Z$2*$M489)) - 1),0),
IF(AND(OR(AL$279=123, AL$279=12, AL$279=23, AL$279=2), Cultivar_2_Cohort_Year_Selection=$AD$278), ROUND(MAX(0,(AK$488-('Stage 2 Randomized Selection'!Z$2*$M489)) - 1),0),
IF(AND(OR(AL$279=123, AL$279=13, AL$279=23, AL$279=3), Cultivar_3_Cohort_Year_Selection=$AD$278), ROUND(MAX(0,(AK$488-('Stage 2 Randomized Selection'!Z$2*$M489)) - 1),0),
ROUND(MAX(0,(AK$488-('Stage 2 Randomized Selection'!Z$2*$M489))),0)))))))),0),"")</f>
        <v/>
      </c>
      <c r="AM512" s="288" t="str">
        <f>IF(ISNUMBER($B$489),
IF(AND(ISNUMBER(AL$488), AL$488&gt;0),
IF(AND(AM$279=123, Cultivar_1_Cohort_Year_Selection=$AE$278,Cultivar_2_Cohort_Year_Selection=$AE$278,Cultivar_3_Cohort_Year_Selection=$AE$278), ROUND(MAX(0,(AL$488-('Stage 2 Randomized Selection'!AB$2*$M489)) - 3),0),
IF(AND(OR(AM$279=123, AM$279=12), Cultivar_1_Cohort_Year_Selection=$AE$278,Cultivar_2_Cohort_Year_Selection=$AE$278),  ROUND(MAX(0,(AL$488-('Stage 2 Randomized Selection'!AA$2*$M489)) - 2),0),
IF(AND(OR(AM$279=123, AM$279=13), Cultivar_1_Cohort_Year_Selection=$AE$278,Cultivar_3_Cohort_Year_Selection=$AE$278), ROUND(MAX(0,(AL$488-('Stage 2 Randomized Selection'!AA$2*$M489)) - 2),0),
IF(AND(OR(AM$279=123, AM$279=23), Cultivar_2_Cohort_Year_Selection=$AE$278,Cultivar_3_Cohort_Year_Selection=$AE$278), ROUND(MAX(0,(AL$488-('Stage 2 Randomized Selection'!AA$2*$M489)) - 2),0),
IF(AND(OR(AM$279=123, AM$279=12, AM$279=13, AM$279=1), Cultivar_1_Cohort_Year_Selection=$AE$278), ROUND(MAX(0,(AL$488-('Stage 2 Randomized Selection'!AA$2*$M489)) - 1),0),
IF(AND(OR(AM$279=123, AM$279=12, AM$279=23, AM$279=2), Cultivar_2_Cohort_Year_Selection=$AE$278), ROUND(MAX(0,(AL$488-('Stage 2 Randomized Selection'!AA$2*$M489)) - 1),0),
IF(AND(OR(AM$279=123, AM$279=13, AM$279=23, AM$279=3), Cultivar_3_Cohort_Year_Selection=$AE$278), ROUND(MAX(0,(AL$488-('Stage 2 Randomized Selection'!AA$2*$M489)) - 1),0),
ROUND(MAX(0,(AL$488-('Stage 2 Randomized Selection'!AA$2*$M489))),0)))))))),0),"")</f>
        <v/>
      </c>
      <c r="AN512" s="288" t="str">
        <f>IF(ISNUMBER($B$489),
IF(AND(ISNUMBER(AM$488), AM$488&gt;0),
IF(AND(AN$279=123, Cultivar_1_Cohort_Year_Selection=$AF$278,Cultivar_2_Cohort_Year_Selection=$AF$278,Cultivar_3_Cohort_Year_Selection=$AF$278), ROUND(MAX(0,(AM$488-('Stage 2 Randomized Selection'!AC$2*$M489)) - 3),0),
IF(AND(OR(AN$279=123, AN$279=12), Cultivar_1_Cohort_Year_Selection=$AF$278,Cultivar_2_Cohort_Year_Selection=$AF$278),  ROUND(MAX(0,(AM$488-('Stage 2 Randomized Selection'!AB$2*$M489)) - 2),0),
IF(AND(OR(AN$279=123, AN$279=13), Cultivar_1_Cohort_Year_Selection=$AF$278,Cultivar_3_Cohort_Year_Selection=$AF$278), ROUND(MAX(0,(AM$488-('Stage 2 Randomized Selection'!AB$2*$M489)) - 2),0),
IF(AND(OR(AN$279=123, AN$279=23), Cultivar_2_Cohort_Year_Selection=$AF$278,Cultivar_3_Cohort_Year_Selection=$AF$278), ROUND(MAX(0,(AM$488-('Stage 2 Randomized Selection'!AB$2*$M489)) - 2),0),
IF(AND(OR(AN$279=123, AN$279=12, AN$279=13, AN$279=1), Cultivar_1_Cohort_Year_Selection=$AF$278), ROUND(MAX(0,(AM$488-('Stage 2 Randomized Selection'!AB$2*$M489)) - 1),0),
IF(AND(OR(AN$279=123, AN$279=12, AN$279=23, AN$279=2), Cultivar_2_Cohort_Year_Selection=$AF$278), ROUND(MAX(0,(AM$488-('Stage 2 Randomized Selection'!AB$2*$M489)) - 1),0),
IF(AND(OR(AN$279=123, AN$279=13, AN$279=23, AN$279=3), Cultivar_3_Cohort_Year_Selection=$AF$278), ROUND(MAX(0,(AM$488-('Stage 2 Randomized Selection'!AB$2*$M489)) - 1),0),
ROUND(MAX(0,(AM$488-('Stage 2 Randomized Selection'!AB$2*$M489))),0)))))))),0),"")</f>
        <v/>
      </c>
      <c r="AO512" s="288" t="str">
        <f>IF(ISNUMBER($B$489),
IF(AND(ISNUMBER(AN$488), AN$488&gt;0),
IF(AND(AO$279=123, Cultivar_1_Cohort_Year_Selection=$AG$278,Cultivar_2_Cohort_Year_Selection=$AG$278,Cultivar_3_Cohort_Year_Selection=$AG$278), ROUND(MAX(0,(AN$488-('Stage 2 Randomized Selection'!AD$2*$M489)) - 3),0),
IF(AND(OR(AO$279=123, AO$279=12), Cultivar_1_Cohort_Year_Selection=$AG$278,Cultivar_2_Cohort_Year_Selection=$AG$278),  ROUND(MAX(0,(AN$488-('Stage 2 Randomized Selection'!AC$2*$M489)) - 2),0),
IF(AND(OR(AO$279=123, AO$279=13), Cultivar_1_Cohort_Year_Selection=$AG$278,Cultivar_3_Cohort_Year_Selection=$AG$278), ROUND(MAX(0,(AN$488-('Stage 2 Randomized Selection'!AC$2*$M489)) - 2),0),
IF(AND(OR(AO$279=123, AO$279=23), Cultivar_2_Cohort_Year_Selection=$AG$278,Cultivar_3_Cohort_Year_Selection=$AG$278), ROUND(MAX(0,(AN$488-('Stage 2 Randomized Selection'!AC$2*$M489)) - 2),0),
IF(AND(OR(AO$279=123, AO$279=12, AO$279=13, AO$279=1), Cultivar_1_Cohort_Year_Selection=$AG$278), ROUND(MAX(0,(AN$488-('Stage 2 Randomized Selection'!AC$2*$M489)) - 1),0),
IF(AND(OR(AO$279=123, AO$279=12, AO$279=23, AO$279=2), Cultivar_2_Cohort_Year_Selection=$AG$278), ROUND(MAX(0,(AN$488-('Stage 2 Randomized Selection'!AC$2*$M489)) - 1),0),
IF(AND(OR(AO$279=123, AO$279=13, AO$279=23, AO$279=3), Cultivar_3_Cohort_Year_Selection=$AG$278), ROUND(MAX(0,(AN$488-('Stage 2 Randomized Selection'!AC$2*$M489)) - 1),0),
ROUND(MAX(0,(AN$488-('Stage 2 Randomized Selection'!AC$2*$M489))),0)))))))),0),"")</f>
        <v/>
      </c>
      <c r="AP512" s="288" t="str">
        <f>IF(ISNUMBER($B$489),
IF(AND(ISNUMBER(AO$488), AO$488&gt;0),
IF(AND(AP$279=123, Cultivar_1_Cohort_Year_Selection=$AH$278,Cultivar_2_Cohort_Year_Selection=$AH$278,Cultivar_3_Cohort_Year_Selection=$AH$278), ROUND(MAX(0,(AO$488-('Stage 2 Randomized Selection'!AE$2*$M489)) - 3),0),
IF(AND(OR(AP$279=123, AP$279=12), Cultivar_1_Cohort_Year_Selection=$AH$278,Cultivar_2_Cohort_Year_Selection=$AH$278),  ROUND(MAX(0,(AO$488-('Stage 2 Randomized Selection'!AD$2*$M489)) - 2),0),
IF(AND(OR(AP$279=123, AP$279=13), Cultivar_1_Cohort_Year_Selection=$AH$278,Cultivar_3_Cohort_Year_Selection=$AH$278), ROUND(MAX(0,(AO$488-('Stage 2 Randomized Selection'!AD$2*$M489)) - 2),0),
IF(AND(OR(AP$279=123, AP$279=23), Cultivar_2_Cohort_Year_Selection=$AH$278,Cultivar_3_Cohort_Year_Selection=$AH$278), ROUND(MAX(0,(AO$488-('Stage 2 Randomized Selection'!AD$2*$M489)) - 2),0),
IF(AND(OR(AP$279=123, AP$279=12, AP$279=13, AP$279=1), Cultivar_1_Cohort_Year_Selection=$AH$278), ROUND(MAX(0,(AO$488-('Stage 2 Randomized Selection'!AD$2*$M489)) - 1),0),
IF(AND(OR(AP$279=123, AP$279=12, AP$279=23, AP$279=2), Cultivar_2_Cohort_Year_Selection=$AH$278), ROUND(MAX(0,(AO$488-('Stage 2 Randomized Selection'!AD$2*$M489)) - 1),0),
IF(AND(OR(AP$279=123, AP$279=13, AP$279=23, AP$279=3), Cultivar_3_Cohort_Year_Selection=$AH$278), ROUND(MAX(0,(AO$488-('Stage 2 Randomized Selection'!AD$2*$M489)) - 1),0),
ROUND(MAX(0,(AO$488-('Stage 2 Randomized Selection'!AD$2*$M489))),0)))))))),0),"")</f>
        <v/>
      </c>
      <c r="AQ512" s="288" t="str">
        <f>IF(ISNUMBER($B$489),
IF(AND(ISNUMBER(AP$488), AP$488&gt;0),
IF(AND(AQ$279=123, Cultivar_1_Cohort_Year_Selection=$AI$278,Cultivar_2_Cohort_Year_Selection=$AI$278,Cultivar_3_Cohort_Year_Selection=$AI$278), ROUND(MAX(0,(AP$488-('Stage 2 Randomized Selection'!AF$2*$M489)) - 3),0),
IF(AND(OR(AQ$279=123, AQ$279=12), Cultivar_1_Cohort_Year_Selection=$AI$278,Cultivar_2_Cohort_Year_Selection=$AI$278),  ROUND(MAX(0,(AP$488-('Stage 2 Randomized Selection'!AE$2*$M489)) - 2),0),
IF(AND(OR(AQ$279=123, AQ$279=13), Cultivar_1_Cohort_Year_Selection=$AI$278,Cultivar_3_Cohort_Year_Selection=$AI$278), ROUND(MAX(0,(AP$488-('Stage 2 Randomized Selection'!AE$2*$M489)) - 2),0),
IF(AND(OR(AQ$279=123, AQ$279=23), Cultivar_2_Cohort_Year_Selection=$AI$278,Cultivar_3_Cohort_Year_Selection=$AI$278), ROUND(MAX(0,(AP$488-('Stage 2 Randomized Selection'!AE$2*$M489)) - 2),0),
IF(AND(OR(AQ$279=123, AQ$279=12, AQ$279=13, AQ$279=1), Cultivar_1_Cohort_Year_Selection=$AI$278), ROUND(MAX(0,(AP$488-('Stage 2 Randomized Selection'!AE$2*$M489)) - 1),0),
IF(AND(OR(AQ$279=123, AQ$279=12, AQ$279=23, AQ$279=2), Cultivar_2_Cohort_Year_Selection=$AI$278), ROUND(MAX(0,(AP$488-('Stage 2 Randomized Selection'!AE$2*$M489)) - 1),0),
IF(AND(OR(AQ$279=123, AQ$279=13, AQ$279=23, AQ$279=3), Cultivar_3_Cohort_Year_Selection=$AI$278), ROUND(MAX(0,(AP$488-('Stage 2 Randomized Selection'!AE$2*$M489)) - 1),0),
ROUND(MAX(0,(AP$488-('Stage 2 Randomized Selection'!AE$2*$M489))),0)))))))),0),"")</f>
        <v/>
      </c>
      <c r="AR512" s="288" t="str">
        <f>IF(ISNUMBER($B$489),
IF(AND(ISNUMBER(AQ$488), AQ$488&gt;0),
IF(AND(AR$279=123, Cultivar_1_Cohort_Year_Selection=$AJ$278,Cultivar_2_Cohort_Year_Selection=$AJ$278,Cultivar_3_Cohort_Year_Selection=$AJ$278), ROUND(MAX(0,(AQ$488-('Stage 2 Randomized Selection'!AG$2*$M489)) - 3),0),
IF(AND(OR(AR$279=123, AR$279=12), Cultivar_1_Cohort_Year_Selection=$AJ$278,Cultivar_2_Cohort_Year_Selection=$AJ$278),  ROUND(MAX(0,(AQ$488-('Stage 2 Randomized Selection'!AF$2*$M489)) - 2),0),
IF(AND(OR(AR$279=123, AR$279=13), Cultivar_1_Cohort_Year_Selection=$AJ$278,Cultivar_3_Cohort_Year_Selection=$AJ$278), ROUND(MAX(0,(AQ$488-('Stage 2 Randomized Selection'!AF$2*$M489)) - 2),0),
IF(AND(OR(AR$279=123, AR$279=23), Cultivar_2_Cohort_Year_Selection=$AJ$278,Cultivar_3_Cohort_Year_Selection=$AJ$278), ROUND(MAX(0,(AQ$488-('Stage 2 Randomized Selection'!AF$2*$M489)) - 2),0),
IF(AND(OR(AR$279=123, AR$279=12, AR$279=13, AR$279=1), Cultivar_1_Cohort_Year_Selection=$AJ$278), ROUND(MAX(0,(AQ$488-('Stage 2 Randomized Selection'!AF$2*$M489)) - 1),0),
IF(AND(OR(AR$279=123, AR$279=12, AR$279=23, AR$279=2), Cultivar_2_Cohort_Year_Selection=$AJ$278), ROUND(MAX(0,(AQ$488-('Stage 2 Randomized Selection'!AF$2*$M489)) - 1),0),
IF(AND(OR(AR$279=123, AR$279=13, AR$279=23, AR$279=3), Cultivar_3_Cohort_Year_Selection=$AJ$278), ROUND(MAX(0,(AQ$488-('Stage 2 Randomized Selection'!AF$2*$M489)) - 1),0),
ROUND(MAX(0,(AQ$488-('Stage 2 Randomized Selection'!AF$2*$M489))),0)))))))),0),"")</f>
        <v/>
      </c>
      <c r="AS512" s="288" t="str">
        <f>IF(ISNUMBER($B$489),
IF(AND(ISNUMBER(AR$488), AR$488&gt;0),
IF(AND(AS$279=123, Cultivar_1_Cohort_Year_Selection=$AK$278,Cultivar_2_Cohort_Year_Selection=$AK$278,Cultivar_3_Cohort_Year_Selection=$AK$278), ROUND(MAX(0,(AR$488-('Stage 2 Randomized Selection'!AH$2*$M489)) - 3),0),
IF(AND(OR(AS$279=123, AS$279=12), Cultivar_1_Cohort_Year_Selection=$AK$278,Cultivar_2_Cohort_Year_Selection=$AK$278),  ROUND(MAX(0,(AR$488-('Stage 2 Randomized Selection'!AG$2*$M489)) - 2),0),
IF(AND(OR(AS$279=123, AS$279=13), Cultivar_1_Cohort_Year_Selection=$AK$278,Cultivar_3_Cohort_Year_Selection=$AK$278), ROUND(MAX(0,(AR$488-('Stage 2 Randomized Selection'!AG$2*$M489)) - 2),0),
IF(AND(OR(AS$279=123, AS$279=23), Cultivar_2_Cohort_Year_Selection=$AK$278,Cultivar_3_Cohort_Year_Selection=$AK$278), ROUND(MAX(0,(AR$488-('Stage 2 Randomized Selection'!AG$2*$M489)) - 2),0),
IF(AND(OR(AS$279=123, AS$279=12, AS$279=13, AS$279=1), Cultivar_1_Cohort_Year_Selection=$AK$278), ROUND(MAX(0,(AR$488-('Stage 2 Randomized Selection'!AG$2*$M489)) - 1),0),
IF(AND(OR(AS$279=123, AS$279=12, AS$279=23, AS$279=2), Cultivar_2_Cohort_Year_Selection=$AK$278), ROUND(MAX(0,(AR$488-('Stage 2 Randomized Selection'!AG$2*$M489)) - 1),0),
IF(AND(OR(AS$279=123, AS$279=13, AS$279=23, AS$279=3), Cultivar_3_Cohort_Year_Selection=$AK$278), ROUND(MAX(0,(AR$488-('Stage 2 Randomized Selection'!AG$2*$M489)) - 1),0),
ROUND(MAX(0,(AR$488-('Stage 2 Randomized Selection'!AG$2*$M489))),0)))))))),0),"")</f>
        <v/>
      </c>
      <c r="AT512" s="288" t="str">
        <f>IF(ISNUMBER($B$489),
IF(AND(ISNUMBER(AS$488), AS$488&gt;0),
IF(AND(AT$279=123, Cultivar_1_Cohort_Year_Selection=$AL$278,Cultivar_2_Cohort_Year_Selection=$AL$278,Cultivar_3_Cohort_Year_Selection=$AL$278), ROUND(MAX(0,(AS$488-('Stage 2 Randomized Selection'!AI$2*$M489)) - 3),0),
IF(AND(OR(AT$279=123, AT$279=12), Cultivar_1_Cohort_Year_Selection=$AL$278,Cultivar_2_Cohort_Year_Selection=$AL$278),  ROUND(MAX(0,(AS$488-('Stage 2 Randomized Selection'!AH$2*$M489)) - 2),0),
IF(AND(OR(AT$279=123, AT$279=13), Cultivar_1_Cohort_Year_Selection=$AL$278,Cultivar_3_Cohort_Year_Selection=$AL$278), ROUND(MAX(0,(AS$488-('Stage 2 Randomized Selection'!AH$2*$M489)) - 2),0),
IF(AND(OR(AT$279=123, AT$279=23), Cultivar_2_Cohort_Year_Selection=$AL$278,Cultivar_3_Cohort_Year_Selection=$AL$278), ROUND(MAX(0,(AS$488-('Stage 2 Randomized Selection'!AH$2*$M489)) - 2),0),
IF(AND(OR(AT$279=123, AT$279=12, AT$279=13, AT$279=1), Cultivar_1_Cohort_Year_Selection=$AL$278), ROUND(MAX(0,(AS$488-('Stage 2 Randomized Selection'!AH$2*$M489)) - 1),0),
IF(AND(OR(AT$279=123, AT$279=12, AT$279=23, AT$279=2), Cultivar_2_Cohort_Year_Selection=$AL$278), ROUND(MAX(0,(AS$488-('Stage 2 Randomized Selection'!AH$2*$M489)) - 1),0),
IF(AND(OR(AT$279=123, AT$279=13, AT$279=23, AT$279=3), Cultivar_3_Cohort_Year_Selection=$AL$278), ROUND(MAX(0,(AS$488-('Stage 2 Randomized Selection'!AH$2*$M489)) - 1),0),
ROUND(MAX(0,(AS$488-('Stage 2 Randomized Selection'!AH$2*$M489))),0)))))))),0),"")</f>
        <v/>
      </c>
      <c r="AU512" s="288" t="str">
        <f>IF(ISNUMBER($B$489),
IF(AND(ISNUMBER(AT$488), AT$488&gt;0),
IF(AND(AU$279=123, Cultivar_1_Cohort_Year_Selection=$AM$278,Cultivar_2_Cohort_Year_Selection=$AM$278,Cultivar_3_Cohort_Year_Selection=$AM$278), ROUND(MAX(0,(AT$488-('Stage 2 Randomized Selection'!AJ$2*$M489)) - 3),0),
IF(AND(OR(AU$279=123, AU$279=12), Cultivar_1_Cohort_Year_Selection=$AM$278,Cultivar_2_Cohort_Year_Selection=$AM$278),  ROUND(MAX(0,(AT$488-('Stage 2 Randomized Selection'!AI$2*$M489)) - 2),0),
IF(AND(OR(AU$279=123, AU$279=13), Cultivar_1_Cohort_Year_Selection=$AM$278,Cultivar_3_Cohort_Year_Selection=$AM$278), ROUND(MAX(0,(AT$488-('Stage 2 Randomized Selection'!AI$2*$M489)) - 2),0),
IF(AND(OR(AU$279=123, AU$279=23), Cultivar_2_Cohort_Year_Selection=$AM$278,Cultivar_3_Cohort_Year_Selection=$AM$278), ROUND(MAX(0,(AT$488-('Stage 2 Randomized Selection'!AI$2*$M489)) - 2),0),
IF(AND(OR(AU$279=123, AU$279=12, AU$279=13, AU$279=1), Cultivar_1_Cohort_Year_Selection=$AM$278), ROUND(MAX(0,(AT$488-('Stage 2 Randomized Selection'!AI$2*$M489)) - 1),0),
IF(AND(OR(AU$279=123, AU$279=12, AU$279=23, AU$279=2), Cultivar_2_Cohort_Year_Selection=$AM$278), ROUND(MAX(0,(AT$488-('Stage 2 Randomized Selection'!AI$2*$M489)) - 1),0),
IF(AND(OR(AU$279=123, AU$279=13, AU$279=23, AU$279=3), Cultivar_3_Cohort_Year_Selection=$AM$278), ROUND(MAX(0,(AT$488-('Stage 2 Randomized Selection'!AI$2*$M489)) - 1),0),
ROUND(MAX(0,(AT$488-('Stage 2 Randomized Selection'!AI$2*$M489))),0)))))))),0),"")</f>
        <v/>
      </c>
      <c r="AV512" s="288" t="str">
        <f>IF(ISNUMBER($B$489),
IF(AND(ISNUMBER(AU$488), AU$488&gt;0),
IF(AND(AV$279=123, Cultivar_1_Cohort_Year_Selection=$AN$278,Cultivar_2_Cohort_Year_Selection=$AN$278,Cultivar_3_Cohort_Year_Selection=$AN$278), ROUND(MAX(0,(AU$488-('Stage 2 Randomized Selection'!AK$2*$M489)) - 3),0),
IF(AND(OR(AV$279=123, AV$279=12), Cultivar_1_Cohort_Year_Selection=$AN$278,Cultivar_2_Cohort_Year_Selection=$AN$278),  ROUND(MAX(0,(AU$488-('Stage 2 Randomized Selection'!AJ$2*$M489)) - 2),0),
IF(AND(OR(AV$279=123, AV$279=13), Cultivar_1_Cohort_Year_Selection=$AN$278,Cultivar_3_Cohort_Year_Selection=$AN$278), ROUND(MAX(0,(AU$488-('Stage 2 Randomized Selection'!AJ$2*$M489)) - 2),0),
IF(AND(OR(AV$279=123, AV$279=23), Cultivar_2_Cohort_Year_Selection=$AN$278,Cultivar_3_Cohort_Year_Selection=$AN$278), ROUND(MAX(0,(AU$488-('Stage 2 Randomized Selection'!AJ$2*$M489)) - 2),0),
IF(AND(OR(AV$279=123, AV$279=12, AV$279=13, AV$279=1), Cultivar_1_Cohort_Year_Selection=$AN$278), ROUND(MAX(0,(AU$488-('Stage 2 Randomized Selection'!AJ$2*$M489)) - 1),0),
IF(AND(OR(AV$279=123, AV$279=12, AV$279=23, AV$279=2), Cultivar_2_Cohort_Year_Selection=$AN$278), ROUND(MAX(0,(AU$488-('Stage 2 Randomized Selection'!AJ$2*$M489)) - 1),0),
IF(AND(OR(AV$279=123, AV$279=13, AV$279=23, AV$279=3), Cultivar_3_Cohort_Year_Selection=$AN$278), ROUND(MAX(0,(AU$488-('Stage 2 Randomized Selection'!AJ$2*$M489)) - 1),0),
ROUND(MAX(0,(AU$488-('Stage 2 Randomized Selection'!AJ$2*$M489))),0)))))))),0),"")</f>
        <v/>
      </c>
      <c r="AW512" s="288" t="str">
        <f>IF(ISNUMBER($B$489),
IF(AND(ISNUMBER(AV$488), AV$488&gt;0),
IF(AND(AW$279=123, Cultivar_1_Cohort_Year_Selection=$AO$278,Cultivar_2_Cohort_Year_Selection=$AO$278,Cultivar_3_Cohort_Year_Selection=$AO$278), ROUND(MAX(0,(AV$488-('Stage 2 Randomized Selection'!AL$2*$M489)) - 3),0),
IF(AND(OR(AW$279=123, AW$279=12), Cultivar_1_Cohort_Year_Selection=$AO$278,Cultivar_2_Cohort_Year_Selection=$AO$278),  ROUND(MAX(0,(AV$488-('Stage 2 Randomized Selection'!AK$2*$M489)) - 2),0),
IF(AND(OR(AW$279=123, AW$279=13), Cultivar_1_Cohort_Year_Selection=$AO$278,Cultivar_3_Cohort_Year_Selection=$AO$278), ROUND(MAX(0,(AV$488-('Stage 2 Randomized Selection'!AK$2*$M489)) - 2),0),
IF(AND(OR(AW$279=123, AW$279=23), Cultivar_2_Cohort_Year_Selection=$AO$278,Cultivar_3_Cohort_Year_Selection=$AO$278), ROUND(MAX(0,(AV$488-('Stage 2 Randomized Selection'!AK$2*$M489)) - 2),0),
IF(AND(OR(AW$279=123, AW$279=12, AW$279=13, AW$279=1), Cultivar_1_Cohort_Year_Selection=$AO$278), ROUND(MAX(0,(AV$488-('Stage 2 Randomized Selection'!AK$2*$M489)) - 1),0),
IF(AND(OR(AW$279=123, AW$279=12, AW$279=23, AW$279=2), Cultivar_2_Cohort_Year_Selection=$AO$278), ROUND(MAX(0,(AV$488-('Stage 2 Randomized Selection'!AK$2*$M489)) - 1),0),
IF(AND(OR(AW$279=123, AW$279=13, AW$279=23, AW$279=3), Cultivar_3_Cohort_Year_Selection=$AO$278), ROUND(MAX(0,(AV$488-('Stage 2 Randomized Selection'!AK$2*$M489)) - 1),0),
ROUND(MAX(0,(AV$488-('Stage 2 Randomized Selection'!AK$2*$M489))),0)))))))),0),"")</f>
        <v/>
      </c>
      <c r="AX512" s="288" t="str">
        <f>IF(ISNUMBER($B$489),
IF(AND(ISNUMBER(AW$488), AW$488&gt;0),
IF(AND(AX$279=123, Cultivar_1_Cohort_Year_Selection=$AP$278,Cultivar_2_Cohort_Year_Selection=$AP$278,Cultivar_3_Cohort_Year_Selection=$AP$278), ROUND(MAX(0,(AW$488-('Stage 2 Randomized Selection'!AM$2*$M489)) - 3),0),
IF(AND(OR(AX$279=123, AX$279=12), Cultivar_1_Cohort_Year_Selection=$AP$278,Cultivar_2_Cohort_Year_Selection=$AP$278),  ROUND(MAX(0,(AW$488-('Stage 2 Randomized Selection'!AL$2*$M489)) - 2),0),
IF(AND(OR(AX$279=123, AX$279=13), Cultivar_1_Cohort_Year_Selection=$AP$278,Cultivar_3_Cohort_Year_Selection=$AP$278), ROUND(MAX(0,(AW$488-('Stage 2 Randomized Selection'!AL$2*$M489)) - 2),0),
IF(AND(OR(AX$279=123, AX$279=23), Cultivar_2_Cohort_Year_Selection=$AP$278,Cultivar_3_Cohort_Year_Selection=$AP$278), ROUND(MAX(0,(AW$488-('Stage 2 Randomized Selection'!AL$2*$M489)) - 2),0),
IF(AND(OR(AX$279=123, AX$279=12, AX$279=13, AX$279=1), Cultivar_1_Cohort_Year_Selection=$AP$278), ROUND(MAX(0,(AW$488-('Stage 2 Randomized Selection'!AL$2*$M489)) - 1),0),
IF(AND(OR(AX$279=123, AX$279=12, AX$279=23, AX$279=2), Cultivar_2_Cohort_Year_Selection=$AP$278), ROUND(MAX(0,(AW$488-('Stage 2 Randomized Selection'!AL$2*$M489)) - 1),0),
IF(AND(OR(AX$279=123, AX$279=13, AX$279=23, AX$279=3), Cultivar_3_Cohort_Year_Selection=$AP$278), ROUND(MAX(0,(AW$488-('Stage 2 Randomized Selection'!AL$2*$M489)) - 1),0),
ROUND(MAX(0,(AW$488-('Stage 2 Randomized Selection'!AL$2*$M489))),0)))))))),0),"")</f>
        <v/>
      </c>
    </row>
    <row r="513" spans="1:51" ht="14.45" customHeight="1" x14ac:dyDescent="0.25">
      <c r="A513" s="518" t="str">
        <f>Fourth_Stage</f>
        <v>Stage 2 Clonal Test Plots</v>
      </c>
      <c r="B513" s="504" t="str">
        <f>'Breeding Inputs'!B98</f>
        <v/>
      </c>
      <c r="C513" s="521" t="str">
        <f>IF(ISNUMBER(B513), _4_3_0, "")</f>
        <v/>
      </c>
      <c r="D513" s="94" t="str">
        <f>IF(AND(C513&lt;&gt;"", 'Cost Inputs'!$G$105&lt;&gt;""), 'Cost Inputs'!$G$105, "")</f>
        <v/>
      </c>
      <c r="E513" s="94" t="str">
        <f>IF(AND(C513&lt;&gt;"", 'Cost Inputs'!$H$105&lt;&gt;""), 'Cost Inputs'!$H$105, "")</f>
        <v/>
      </c>
      <c r="F513" s="492" t="str">
        <f>IF(AND(C513&lt;&gt;"", 'Cost Inputs'!$I$105&lt;&gt;""), 'Cost Inputs'!$I$105, "")</f>
        <v/>
      </c>
      <c r="G513" s="102" t="str">
        <f t="shared" si="333"/>
        <v/>
      </c>
      <c r="H513" s="492" t="str">
        <f>IF(AND(C513&lt;&gt;"", 'Cost Inputs'!$J$105&lt;&gt;""), 'Cost Inputs'!$J$105, "")</f>
        <v/>
      </c>
      <c r="I513" s="102" t="str">
        <f>IF($C513&lt;&gt;"",IF(AND($E513&lt;&gt;"",H513&lt;&gt;""), H513/$E513, 0),"")</f>
        <v/>
      </c>
      <c r="J513" s="492" t="str">
        <f>IF(AND(C513&lt;&gt;"",('Cost Inputs'!$I$105+'Cost Inputs'!$J$105+'Cost Inputs'!$K$105)&gt;0), 'Cost Inputs'!$I$105+'Cost Inputs'!$J$105+'Cost Inputs'!$K$105, "")</f>
        <v/>
      </c>
      <c r="K513" s="102" t="str">
        <f>IF($C513&lt;&gt;"",IF(AND($E513&lt;&gt;"",J513&lt;&gt;""), J513/$E513, 0),"")</f>
        <v/>
      </c>
      <c r="L513" s="525" t="str">
        <f>IF(AND($B513&lt;&gt;"", 'Breeding Inputs'!$C$89&lt;&gt;""), INDEX('Breeding Inputs'!$C$89:$C$98, MATCH($B513,'Breeding Inputs'!$B$89:$B$98,0)), IF($B513="", "", 0%))</f>
        <v/>
      </c>
      <c r="M513" s="525" t="str">
        <f>IF(AND($B513&lt;&gt;"", 'Breeding Inputs'!$D$89&lt;&gt;""), INDEX('Breeding Inputs'!$D$89:$D$98, MATCH($B513,'Breeding Inputs'!$B$89:$B$98,0))+INDEX('Breeding Inputs'!$E$89:$E$98, MATCH($B513,'Breeding Inputs'!$B$89:$B$98,0)), IF($B513="", "", 0%))</f>
        <v/>
      </c>
      <c r="X513" s="495" t="str">
        <f>IF(ISNUMBER($B$513),
IF($C513&lt;&gt;"",
IF(AND(ISNUMBER(W$512), W$512&gt;0),
IF(AND(X$279=123, Cultivar_1_Cohort_Year_Selection=$O$278,Cultivar_2_Cohort_Year_Selection=$O$278,Cultivar_3_Cohort_Year_Selection=$O$278), ROUND(MAX(0,W$512 - 3),0),
IF(AND(OR(X$279=123, X$279=12), Cultivar_1_Cohort_Year_Selection=$O$278,Cultivar_2_Cohort_Year_Selection=$O$278), ROUND(MAX(0,W$512 - 2),0),
IF(AND(OR(X$279=123, X$279=13), Cultivar_1_Cohort_Year_Selection=$O$278,Cultivar_3_Cohort_Year_Selection=$O$278), ROUND(MAX(0,W$512 - 2),0),
IF(AND(OR(X$279=123, X$279=23), Cultivar_2_Cohort_Year_Selection=$O$278,Cultivar_3_Cohort_Year_Selection=$O$278), ROUND(MAX(0,W$512 - 2),0),
IF(AND(OR(X$279=123, X$279=12, X$279=13, X$279=1), Cultivar_1_Cohort_Year_Selection=$O$278), ROUND(MAX(0,W$512 - 1),0),
IF(AND(OR(X$279=123, X$279=12, X$279=23, X$279=2), Cultivar_2_Cohort_Year_Selection=$O$278), ROUND(MAX(0,W$512 - 1),0),
IF(AND(OR(X$279=123, X$279=13, X$279=23, X$279=3), Cultivar_3_Cohort_Year_Selection=$O$278), ROUND(MAX(0,W$512 - 1),0),
ROUND(MAX(0,W$512),0)))))))),""),""),"")</f>
        <v/>
      </c>
      <c r="Y513" s="495" t="str">
        <f>IF(ISNUMBER($B$513),
IF($C513&lt;&gt;"",
IF(AND(ISNUMBER(X$512), X$512&gt;0),
IF(AND(Y$279=123, Cultivar_1_Cohort_Year_Selection=$P$278,Cultivar_2_Cohort_Year_Selection=$P$278,Cultivar_3_Cohort_Year_Selection=$P$278), ROUND(MAX(0,X$512 - 3),0),
IF(AND(OR(Y$279=123, Y$279=12), Cultivar_1_Cohort_Year_Selection=$P$278,Cultivar_2_Cohort_Year_Selection=$P$278), ROUND(MAX(0,X$512 - 2),0),
IF(AND(OR(Y$279=123, Y$279=13), Cultivar_1_Cohort_Year_Selection=$P$278,Cultivar_3_Cohort_Year_Selection=$P$278), ROUND(MAX(0,X$512 - 2),0),
IF(AND(OR(Y$279=123, Y$279=23), Cultivar_2_Cohort_Year_Selection=$P$278,Cultivar_3_Cohort_Year_Selection=$P$278), ROUND(MAX(0,X$512 - 2),0),
IF(AND(OR(Y$279=123, Y$279=12, Y$279=13, Y$279=1), Cultivar_1_Cohort_Year_Selection=$P$278), ROUND(MAX(0,X$512 - 1),0),
IF(AND(OR(Y$279=123, Y$279=12, Y$279=23, Y$279=2), Cultivar_2_Cohort_Year_Selection=$P$278), ROUND(MAX(0,X$512 - 1),0),
IF(AND(OR(Y$279=123, Y$279=13, Y$279=23, Y$279=3), Cultivar_3_Cohort_Year_Selection=$P$278), ROUND(MAX(0,X$512 - 1),0),
ROUND(MAX(0,X$512),0)))))))),""),""),"")</f>
        <v/>
      </c>
      <c r="Z513" s="495" t="str">
        <f>IF(ISNUMBER($B$513),
IF($C513&lt;&gt;"",
IF(AND(ISNUMBER(Y$512), Y$512&gt;0),
IF(AND(Z$279=123, Cultivar_1_Cohort_Year_Selection=$Q$278,Cultivar_2_Cohort_Year_Selection=$Q$278,Cultivar_3_Cohort_Year_Selection=$Q$278), ROUND(MAX(0,Y$512 - 3),0),
IF(AND(OR(Z$279=123, Z$279=12), Cultivar_1_Cohort_Year_Selection=$Q$278,Cultivar_2_Cohort_Year_Selection=$Q$278), ROUND(MAX(0,Y$512 - 2),0),
IF(AND(OR(Z$279=123, Z$279=13), Cultivar_1_Cohort_Year_Selection=$Q$278,Cultivar_3_Cohort_Year_Selection=$Q$278), ROUND(MAX(0,Y$512 - 2),0),
IF(AND(OR(Z$279=123, Z$279=23), Cultivar_2_Cohort_Year_Selection=$Q$278,Cultivar_3_Cohort_Year_Selection=$Q$278), ROUND(MAX(0,Y$512 - 2),0),
IF(AND(OR(Z$279=123, Z$279=12, Z$279=13, Z$279=1), Cultivar_1_Cohort_Year_Selection=$Q$278), ROUND(MAX(0,Y$512 - 1),0),
IF(AND(OR(Z$279=123, Z$279=12, Z$279=23, Z$279=2), Cultivar_2_Cohort_Year_Selection=$Q$278), ROUND(MAX(0,Y$512 - 1),0),
IF(AND(OR(Z$279=123, Z$279=13, Z$279=23, Z$279=3), Cultivar_3_Cohort_Year_Selection=$Q$278), ROUND(MAX(0,Y$512 - 1),0),
ROUND(MAX(0,Y$512),0)))))))),""),""),"")</f>
        <v/>
      </c>
      <c r="AA513" s="495" t="str">
        <f>IF(ISNUMBER($B$513),
IF($C513&lt;&gt;"",
IF(AND(ISNUMBER(Z$512), Z$512&gt;0),
IF(AND(AA$279=123, Cultivar_1_Cohort_Year_Selection=$R$278,Cultivar_2_Cohort_Year_Selection=$R$278,Cultivar_3_Cohort_Year_Selection=$R$278), ROUND(MAX(0,Z$512 - 3),0),
IF(AND(OR(AA$279=123, AA$279=12), Cultivar_1_Cohort_Year_Selection=$R$278,Cultivar_2_Cohort_Year_Selection=$R$278), ROUND(MAX(0,Z$512 - 2),0),
IF(AND(OR(AA$279=123, AA$279=13), Cultivar_1_Cohort_Year_Selection=$R$278,Cultivar_3_Cohort_Year_Selection=$R$278), ROUND(MAX(0,Z$512 - 2),0),
IF(AND(OR(AA$279=123, AA$279=23), Cultivar_2_Cohort_Year_Selection=$R$278,Cultivar_3_Cohort_Year_Selection=$R$278), ROUND(MAX(0,Z$512 - 2),0),
IF(AND(OR(AA$279=123, AA$279=12, AA$279=13, AA$279=1), Cultivar_1_Cohort_Year_Selection=$R$278), ROUND(MAX(0,Z$512 - 1),0),
IF(AND(OR(AA$279=123, AA$279=12, AA$279=23, AA$279=2), Cultivar_2_Cohort_Year_Selection=$R$278), ROUND(MAX(0,Z$512 - 1),0),
IF(AND(OR(AA$279=123, AA$279=13, AA$279=23, AA$279=3), Cultivar_3_Cohort_Year_Selection=$R$278), ROUND(MAX(0,Z$512 - 1),0),
ROUND(MAX(0,Z$512),0)))))))),""),""),"")</f>
        <v/>
      </c>
      <c r="AB513" s="495" t="str">
        <f>IF(ISNUMBER($B$513),
IF($C513&lt;&gt;"",
IF(AND(ISNUMBER(AA$512), AA$512&gt;0),
IF(AND(AB$279=123, Cultivar_1_Cohort_Year_Selection=$S$278,Cultivar_2_Cohort_Year_Selection=$S$278,Cultivar_3_Cohort_Year_Selection=$S$278), ROUND(MAX(0,AA$512 - 3),0),
IF(AND(OR(AB$279=123, AB$279=12), Cultivar_1_Cohort_Year_Selection=$S$278,Cultivar_2_Cohort_Year_Selection=$S$278), ROUND(MAX(0,AA$512 - 2),0),
IF(AND(OR(AB$279=123, AB$279=13), Cultivar_1_Cohort_Year_Selection=$S$278,Cultivar_3_Cohort_Year_Selection=$S$278), ROUND(MAX(0,AA$512 - 2),0),
IF(AND(OR(AB$279=123, AB$279=23), Cultivar_2_Cohort_Year_Selection=$S$278,Cultivar_3_Cohort_Year_Selection=$S$278), ROUND(MAX(0,AA$512 - 2),0),
IF(AND(OR(AB$279=123, AB$279=12, AB$279=13, AB$279=1), Cultivar_1_Cohort_Year_Selection=$S$278), ROUND(MAX(0,AA$512 - 1),0),
IF(AND(OR(AB$279=123, AB$279=12, AB$279=23, AB$279=2), Cultivar_2_Cohort_Year_Selection=$S$278), ROUND(MAX(0,AA$512 - 1),0),
IF(AND(OR(AB$279=123, AB$279=13, AB$279=23, AB$279=3), Cultivar_3_Cohort_Year_Selection=$S$278), ROUND(MAX(0,AA$512 - 1),0),
ROUND(MAX(0,AA$512),0)))))))),""),""),"")</f>
        <v/>
      </c>
      <c r="AC513" s="495" t="str">
        <f>IF(ISNUMBER($B$513),
IF($C513&lt;&gt;"",
IF(AND(ISNUMBER(AB$512), AB$512&gt;0),
IF(AND(AC$279=123, Cultivar_1_Cohort_Year_Selection=$T$278,Cultivar_2_Cohort_Year_Selection=$T$278,Cultivar_3_Cohort_Year_Selection=$T$278), ROUND(MAX(0,AB$512 - 3),0),
IF(AND(OR(AC$279=123, AC$279=12), Cultivar_1_Cohort_Year_Selection=$T$278,Cultivar_2_Cohort_Year_Selection=$T$278), ROUND(MAX(0,AB$512 - 2),0),
IF(AND(OR(AC$279=123, AC$279=13), Cultivar_1_Cohort_Year_Selection=$T$278,Cultivar_3_Cohort_Year_Selection=$T$278), ROUND(MAX(0,AB$512 - 2),0),
IF(AND(OR(AC$279=123, AC$279=23), Cultivar_2_Cohort_Year_Selection=$T$278,Cultivar_3_Cohort_Year_Selection=$T$278), ROUND(MAX(0,AB$512 - 2),0),
IF(AND(OR(AC$279=123, AC$279=12, AC$279=13, AC$279=1), Cultivar_1_Cohort_Year_Selection=$T$278), ROUND(MAX(0,AB$512 - 1),0),
IF(AND(OR(AC$279=123, AC$279=12, AC$279=23, AC$279=2), Cultivar_2_Cohort_Year_Selection=$T$278), ROUND(MAX(0,AB$512 - 1),0),
IF(AND(OR(AC$279=123, AC$279=13, AC$279=23, AC$279=3), Cultivar_3_Cohort_Year_Selection=$T$278), ROUND(MAX(0,AB$512 - 1),0),
ROUND(MAX(0,AB$512),0)))))))),""),""),"")</f>
        <v/>
      </c>
      <c r="AD513" s="495" t="str">
        <f>IF(ISNUMBER($B$513),
IF($C513&lt;&gt;"",
IF(AND(ISNUMBER(AC$512), AC$512&gt;0),
IF(AND(AD$279=123, Cultivar_1_Cohort_Year_Selection=$U$278,Cultivar_2_Cohort_Year_Selection=$U$278,Cultivar_3_Cohort_Year_Selection=$U$278), ROUND(MAX(0,AC$512 - 3),0),
IF(AND(OR(AD$279=123, AD$279=12), Cultivar_1_Cohort_Year_Selection=$U$278,Cultivar_2_Cohort_Year_Selection=$U$278), ROUND(MAX(0,AC$512 - 2),0),
IF(AND(OR(AD$279=123, AD$279=13), Cultivar_1_Cohort_Year_Selection=$U$278,Cultivar_3_Cohort_Year_Selection=$U$278), ROUND(MAX(0,AC$512 - 2),0),
IF(AND(OR(AD$279=123, AD$279=23), Cultivar_2_Cohort_Year_Selection=$U$278,Cultivar_3_Cohort_Year_Selection=$U$278), ROUND(MAX(0,AC$512 - 2),0),
IF(AND(OR(AD$279=123, AD$279=12, AD$279=13, AD$279=1), Cultivar_1_Cohort_Year_Selection=$U$278), ROUND(MAX(0,AC$512 - 1),0),
IF(AND(OR(AD$279=123, AD$279=12, AD$279=23, AD$279=2), Cultivar_2_Cohort_Year_Selection=$U$278), ROUND(MAX(0,AC$512 - 1),0),
IF(AND(OR(AD$279=123, AD$279=13, AD$279=23, AD$279=3), Cultivar_3_Cohort_Year_Selection=$U$278), ROUND(MAX(0,AC$512 - 1),0),
ROUND(MAX(0,AC$512),0)))))))),""),""),"")</f>
        <v/>
      </c>
      <c r="AE513" s="495" t="str">
        <f>IF(ISNUMBER($B$513),
IF($C513&lt;&gt;"",
IF(AND(ISNUMBER(AD$512), AD$512&gt;0),
IF(AND(AE$279=123, Cultivar_1_Cohort_Year_Selection=$V$278,Cultivar_2_Cohort_Year_Selection=$V$278,Cultivar_3_Cohort_Year_Selection=$V$278), ROUND(MAX(0,AD$512 - 3),0),
IF(AND(OR(AE$279=123, AE$279=12), Cultivar_1_Cohort_Year_Selection=$V$278,Cultivar_2_Cohort_Year_Selection=$V$278), ROUND(MAX(0,AD$512 - 2),0),
IF(AND(OR(AE$279=123, AE$279=13), Cultivar_1_Cohort_Year_Selection=$V$278,Cultivar_3_Cohort_Year_Selection=$V$278), ROUND(MAX(0,AD$512 - 2),0),
IF(AND(OR(AE$279=123, AE$279=23), Cultivar_2_Cohort_Year_Selection=$V$278,Cultivar_3_Cohort_Year_Selection=$V$278), ROUND(MAX(0,AD$512 - 2),0),
IF(AND(OR(AE$279=123, AE$279=12, AE$279=13, AE$279=1), Cultivar_1_Cohort_Year_Selection=$V$278), ROUND(MAX(0,AD$512 - 1),0),
IF(AND(OR(AE$279=123, AE$279=12, AE$279=23, AE$279=2), Cultivar_2_Cohort_Year_Selection=$V$278), ROUND(MAX(0,AD$512 - 1),0),
IF(AND(OR(AE$279=123, AE$279=13, AE$279=23, AE$279=3), Cultivar_3_Cohort_Year_Selection=$V$278), ROUND(MAX(0,AD$512 - 1),0),
ROUND(MAX(0,AD$512),0)))))))),""),""),"")</f>
        <v/>
      </c>
      <c r="AF513" s="495" t="str">
        <f>IF(ISNUMBER($B$513),
IF($C513&lt;&gt;"",
IF(AND(ISNUMBER(AE$512), AE$512&gt;0),
IF(AND(AF$279=123, Cultivar_1_Cohort_Year_Selection=$W$278,Cultivar_2_Cohort_Year_Selection=$W$278,Cultivar_3_Cohort_Year_Selection=$W$278), ROUND(MAX(0,AE$512 - 3),0),
IF(AND(OR(AF$279=123, AF$279=12), Cultivar_1_Cohort_Year_Selection=$W$278,Cultivar_2_Cohort_Year_Selection=$W$278), ROUND(MAX(0,AE$512 - 2),0),
IF(AND(OR(AF$279=123, AF$279=13), Cultivar_1_Cohort_Year_Selection=$W$278,Cultivar_3_Cohort_Year_Selection=$W$278), ROUND(MAX(0,AE$512 - 2),0),
IF(AND(OR(AF$279=123, AF$279=23), Cultivar_2_Cohort_Year_Selection=$W$278,Cultivar_3_Cohort_Year_Selection=$W$278), ROUND(MAX(0,AE$512 - 2),0),
IF(AND(OR(AF$279=123, AF$279=12, AF$279=13, AF$279=1), Cultivar_1_Cohort_Year_Selection=$W$278), ROUND(MAX(0,AE$512 - 1),0),
IF(AND(OR(AF$279=123, AF$279=12, AF$279=23, AF$279=2), Cultivar_2_Cohort_Year_Selection=$W$278), ROUND(MAX(0,AE$512 - 1),0),
IF(AND(OR(AF$279=123, AF$279=13, AF$279=23, AF$279=3), Cultivar_3_Cohort_Year_Selection=$W$278), ROUND(MAX(0,AE$512 - 1),0),
ROUND(MAX(0,AE$512),0)))))))),""),""),"")</f>
        <v/>
      </c>
      <c r="AG513" s="495" t="str">
        <f>IF(ISNUMBER($B$513),
IF($C513&lt;&gt;"",
IF(AND(ISNUMBER(AF$512), AF$512&gt;0),
IF(AND(AG$279=123, Cultivar_1_Cohort_Year_Selection=$X$278,Cultivar_2_Cohort_Year_Selection=$X$278,Cultivar_3_Cohort_Year_Selection=$X$278), ROUND(MAX(0,AF$512 - 3),0),
IF(AND(OR(AG$279=123, AG$279=12), Cultivar_1_Cohort_Year_Selection=$X$278,Cultivar_2_Cohort_Year_Selection=$X$278), ROUND(MAX(0,AF$512 - 2),0),
IF(AND(OR(AG$279=123, AG$279=13), Cultivar_1_Cohort_Year_Selection=$X$278,Cultivar_3_Cohort_Year_Selection=$X$278), ROUND(MAX(0,AF$512 - 2),0),
IF(AND(OR(AG$279=123, AG$279=23), Cultivar_2_Cohort_Year_Selection=$X$278,Cultivar_3_Cohort_Year_Selection=$X$278), ROUND(MAX(0,AF$512 - 2),0),
IF(AND(OR(AG$279=123, AG$279=12, AG$279=13, AG$279=1), Cultivar_1_Cohort_Year_Selection=$X$278), ROUND(MAX(0,AF$512 - 1),0),
IF(AND(OR(AG$279=123, AG$279=12, AG$279=23, AG$279=2), Cultivar_2_Cohort_Year_Selection=$X$278), ROUND(MAX(0,AF$512 - 1),0),
IF(AND(OR(AG$279=123, AG$279=13, AG$279=23, AG$279=3), Cultivar_3_Cohort_Year_Selection=$X$278), ROUND(MAX(0,AF$512 - 1),0),
ROUND(MAX(0,AF$512),0)))))))),""),""),"")</f>
        <v/>
      </c>
      <c r="AH513" s="495" t="str">
        <f>IF(ISNUMBER($B$513),
IF($C513&lt;&gt;"",
IF(AND(ISNUMBER(AG$512), AG$512&gt;0),
IF(AND(AH$279=123, Cultivar_1_Cohort_Year_Selection=$Y$278,Cultivar_2_Cohort_Year_Selection=$Y$278,Cultivar_3_Cohort_Year_Selection=$Y$278), ROUND(MAX(0,AG$512 - 3),0),
IF(AND(OR(AH$279=123, AH$279=12), Cultivar_1_Cohort_Year_Selection=$Y$278,Cultivar_2_Cohort_Year_Selection=$Y$278), ROUND(MAX(0,AG$512 - 2),0),
IF(AND(OR(AH$279=123, AH$279=13), Cultivar_1_Cohort_Year_Selection=$Y$278,Cultivar_3_Cohort_Year_Selection=$Y$278), ROUND(MAX(0,AG$512 - 2),0),
IF(AND(OR(AH$279=123, AH$279=23), Cultivar_2_Cohort_Year_Selection=$Y$278,Cultivar_3_Cohort_Year_Selection=$Y$278), ROUND(MAX(0,AG$512 - 2),0),
IF(AND(OR(AH$279=123, AH$279=12, AH$279=13, AH$279=1), Cultivar_1_Cohort_Year_Selection=$Y$278), ROUND(MAX(0,AG$512 - 1),0),
IF(AND(OR(AH$279=123, AH$279=12, AH$279=23, AH$279=2), Cultivar_2_Cohort_Year_Selection=$Y$278), ROUND(MAX(0,AG$512 - 1),0),
IF(AND(OR(AH$279=123, AH$279=13, AH$279=23, AH$279=3), Cultivar_3_Cohort_Year_Selection=$Y$278), ROUND(MAX(0,AG$512 - 1),0),
ROUND(MAX(0,AG$512),0)))))))),""),""),"")</f>
        <v/>
      </c>
      <c r="AI513" s="495" t="str">
        <f>IF(ISNUMBER($B$513),
IF($C513&lt;&gt;"",
IF(AND(ISNUMBER(AH$512), AH$512&gt;0),
IF(AND(AI$279=123, Cultivar_1_Cohort_Year_Selection=$Z$278,Cultivar_2_Cohort_Year_Selection=$Z$278,Cultivar_3_Cohort_Year_Selection=$Z$278), ROUND(MAX(0,AH$512 - 3),0),
IF(AND(OR(AI$279=123, AI$279=12), Cultivar_1_Cohort_Year_Selection=$Z$278,Cultivar_2_Cohort_Year_Selection=$Z$278), ROUND(MAX(0,AH$512 - 2),0),
IF(AND(OR(AI$279=123, AI$279=13), Cultivar_1_Cohort_Year_Selection=$Z$278,Cultivar_3_Cohort_Year_Selection=$Z$278), ROUND(MAX(0,AH$512 - 2),0),
IF(AND(OR(AI$279=123, AI$279=23), Cultivar_2_Cohort_Year_Selection=$Z$278,Cultivar_3_Cohort_Year_Selection=$Z$278), ROUND(MAX(0,AH$512 - 2),0),
IF(AND(OR(AI$279=123, AI$279=12, AI$279=13, AI$279=1), Cultivar_1_Cohort_Year_Selection=$Z$278), ROUND(MAX(0,AH$512 - 1),0),
IF(AND(OR(AI$279=123, AI$279=12, AI$279=23, AI$279=2), Cultivar_2_Cohort_Year_Selection=$Z$278), ROUND(MAX(0,AH$512 - 1),0),
IF(AND(OR(AI$279=123, AI$279=13, AI$279=23, AI$279=3), Cultivar_3_Cohort_Year_Selection=$Z$278), ROUND(MAX(0,AH$512 - 1),0),
ROUND(MAX(0,AH$512),0)))))))),""),""),"")</f>
        <v/>
      </c>
      <c r="AJ513" s="495" t="str">
        <f>IF(ISNUMBER($B$513),
IF($C513&lt;&gt;"",
IF(AND(ISNUMBER(AI$512), AI$512&gt;0),
IF(AND(AJ$279=123, Cultivar_1_Cohort_Year_Selection=$AA$278,Cultivar_2_Cohort_Year_Selection=$AA$278,Cultivar_3_Cohort_Year_Selection=$AA$278), ROUND(MAX(0,AI$512 - 3),0),
IF(AND(OR(AJ$279=123, AJ$279=12), Cultivar_1_Cohort_Year_Selection=$AA$278,Cultivar_2_Cohort_Year_Selection=$AA$278), ROUND(MAX(0,AI$512 - 2),0),
IF(AND(OR(AJ$279=123, AJ$279=13), Cultivar_1_Cohort_Year_Selection=$AA$278,Cultivar_3_Cohort_Year_Selection=$AA$278), ROUND(MAX(0,AI$512 - 2),0),
IF(AND(OR(AJ$279=123, AJ$279=23), Cultivar_2_Cohort_Year_Selection=$AA$278,Cultivar_3_Cohort_Year_Selection=$AA$278), ROUND(MAX(0,AI$512 - 2),0),
IF(AND(OR(AJ$279=123, AJ$279=12, AJ$279=13, AJ$279=1), Cultivar_1_Cohort_Year_Selection=$AA$278), ROUND(MAX(0,AI$512 - 1),0),
IF(AND(OR(AJ$279=123, AJ$279=12, AJ$279=23, AJ$279=2), Cultivar_2_Cohort_Year_Selection=$AA$278), ROUND(MAX(0,AI$512 - 1),0),
IF(AND(OR(AJ$279=123, AJ$279=13, AJ$279=23, AJ$279=3), Cultivar_3_Cohort_Year_Selection=$AA$278), ROUND(MAX(0,AI$512 - 1),0),
ROUND(MAX(0,AI$512),0)))))))),""),""),"")</f>
        <v/>
      </c>
      <c r="AK513" s="495" t="str">
        <f>IF(ISNUMBER($B$513),
IF($C513&lt;&gt;"",
IF(AND(ISNUMBER(AJ$512), AJ$512&gt;0),
IF(AND(AK$279=123, Cultivar_1_Cohort_Year_Selection=$AB$278,Cultivar_2_Cohort_Year_Selection=$AB$278,Cultivar_3_Cohort_Year_Selection=$AB$278), ROUND(MAX(0,AJ$512 - 3),0),
IF(AND(OR(AK$279=123, AK$279=12), Cultivar_1_Cohort_Year_Selection=$AB$278,Cultivar_2_Cohort_Year_Selection=$AB$278), ROUND(MAX(0,AJ$512 - 2),0),
IF(AND(OR(AK$279=123, AK$279=13), Cultivar_1_Cohort_Year_Selection=$AB$278,Cultivar_3_Cohort_Year_Selection=$AB$278), ROUND(MAX(0,AJ$512 - 2),0),
IF(AND(OR(AK$279=123, AK$279=23), Cultivar_2_Cohort_Year_Selection=$AB$278,Cultivar_3_Cohort_Year_Selection=$AB$278), ROUND(MAX(0,AJ$512 - 2),0),
IF(AND(OR(AK$279=123, AK$279=12, AK$279=13, AK$279=1), Cultivar_1_Cohort_Year_Selection=$AB$278), ROUND(MAX(0,AJ$512 - 1),0),
IF(AND(OR(AK$279=123, AK$279=12, AK$279=23, AK$279=2), Cultivar_2_Cohort_Year_Selection=$AB$278), ROUND(MAX(0,AJ$512 - 1),0),
IF(AND(OR(AK$279=123, AK$279=13, AK$279=23, AK$279=3), Cultivar_3_Cohort_Year_Selection=$AB$278), ROUND(MAX(0,AJ$512 - 1),0),
ROUND(MAX(0,AJ$512),0)))))))),""),""),"")</f>
        <v/>
      </c>
      <c r="AL513" s="495" t="str">
        <f>IF(ISNUMBER($B$513),
IF($C513&lt;&gt;"",
IF(AND(ISNUMBER(AK$512), AK$512&gt;0),
IF(AND(AL$279=123, Cultivar_1_Cohort_Year_Selection=$AC$278,Cultivar_2_Cohort_Year_Selection=$AC$278,Cultivar_3_Cohort_Year_Selection=$AC$278), ROUND(MAX(0,AK$512 - 3),0),
IF(AND(OR(AL$279=123, AL$279=12), Cultivar_1_Cohort_Year_Selection=$AC$278,Cultivar_2_Cohort_Year_Selection=$AC$278), ROUND(MAX(0,AK$512 - 2),0),
IF(AND(OR(AL$279=123, AL$279=13), Cultivar_1_Cohort_Year_Selection=$AC$278,Cultivar_3_Cohort_Year_Selection=$AC$278), ROUND(MAX(0,AK$512 - 2),0),
IF(AND(OR(AL$279=123, AL$279=23), Cultivar_2_Cohort_Year_Selection=$AC$278,Cultivar_3_Cohort_Year_Selection=$AC$278), ROUND(MAX(0,AK$512 - 2),0),
IF(AND(OR(AL$279=123, AL$279=12, AL$279=13, AL$279=1), Cultivar_1_Cohort_Year_Selection=$AC$278), ROUND(MAX(0,AK$512 - 1),0),
IF(AND(OR(AL$279=123, AL$279=12, AL$279=23, AL$279=2), Cultivar_2_Cohort_Year_Selection=$AC$278), ROUND(MAX(0,AK$512 - 1),0),
IF(AND(OR(AL$279=123, AL$279=13, AL$279=23, AL$279=3), Cultivar_3_Cohort_Year_Selection=$AC$278), ROUND(MAX(0,AK$512 - 1),0),
ROUND(MAX(0,AK$512),0)))))))),""),""),"")</f>
        <v/>
      </c>
      <c r="AM513" s="495" t="str">
        <f>IF(ISNUMBER($B$513),
IF($C513&lt;&gt;"",
IF(AND(ISNUMBER(AL$512), AL$512&gt;0),
IF(AND(AM$279=123, Cultivar_1_Cohort_Year_Selection=$AD$278,Cultivar_2_Cohort_Year_Selection=$AD$278,Cultivar_3_Cohort_Year_Selection=$AD$278), ROUND(MAX(0,AL$512 - 3),0),
IF(AND(OR(AM$279=123, AM$279=12), Cultivar_1_Cohort_Year_Selection=$AD$278,Cultivar_2_Cohort_Year_Selection=$AD$278), ROUND(MAX(0,AL$512 - 2),0),
IF(AND(OR(AM$279=123, AM$279=13), Cultivar_1_Cohort_Year_Selection=$AD$278,Cultivar_3_Cohort_Year_Selection=$AD$278), ROUND(MAX(0,AL$512 - 2),0),
IF(AND(OR(AM$279=123, AM$279=23), Cultivar_2_Cohort_Year_Selection=$AD$278,Cultivar_3_Cohort_Year_Selection=$AD$278), ROUND(MAX(0,AL$512 - 2),0),
IF(AND(OR(AM$279=123, AM$279=12, AM$279=13, AM$279=1), Cultivar_1_Cohort_Year_Selection=$AD$278), ROUND(MAX(0,AL$512 - 1),0),
IF(AND(OR(AM$279=123, AM$279=12, AM$279=23, AM$279=2), Cultivar_2_Cohort_Year_Selection=$AD$278), ROUND(MAX(0,AL$512 - 1),0),
IF(AND(OR(AM$279=123, AM$279=13, AM$279=23, AM$279=3), Cultivar_3_Cohort_Year_Selection=$AD$278), ROUND(MAX(0,AL$512 - 1),0),
ROUND(MAX(0,AL$512),0)))))))),""),""),"")</f>
        <v/>
      </c>
      <c r="AN513" s="495" t="str">
        <f>IF(ISNUMBER($B$513),
IF($C513&lt;&gt;"",
IF(AND(ISNUMBER(AM$512), AM$512&gt;0),
IF(AND(AN$279=123, Cultivar_1_Cohort_Year_Selection=$AE$278,Cultivar_2_Cohort_Year_Selection=$AE$278,Cultivar_3_Cohort_Year_Selection=$AE$278), ROUND(MAX(0,AM$512 - 3),0),
IF(AND(OR(AN$279=123, AN$279=12), Cultivar_1_Cohort_Year_Selection=$AE$278,Cultivar_2_Cohort_Year_Selection=$AE$278), ROUND(MAX(0,AM$512 - 2),0),
IF(AND(OR(AN$279=123, AN$279=13), Cultivar_1_Cohort_Year_Selection=$AE$278,Cultivar_3_Cohort_Year_Selection=$AE$278), ROUND(MAX(0,AM$512 - 2),0),
IF(AND(OR(AN$279=123, AN$279=23), Cultivar_2_Cohort_Year_Selection=$AE$278,Cultivar_3_Cohort_Year_Selection=$AE$278), ROUND(MAX(0,AM$512 - 2),0),
IF(AND(OR(AN$279=123, AN$279=12, AN$279=13, AN$279=1), Cultivar_1_Cohort_Year_Selection=$AE$278), ROUND(MAX(0,AM$512 - 1),0),
IF(AND(OR(AN$279=123, AN$279=12, AN$279=23, AN$279=2), Cultivar_2_Cohort_Year_Selection=$AE$278), ROUND(MAX(0,AM$512 - 1),0),
IF(AND(OR(AN$279=123, AN$279=13, AN$279=23, AN$279=3), Cultivar_3_Cohort_Year_Selection=$AE$278), ROUND(MAX(0,AM$512 - 1),0),
ROUND(MAX(0,AM$512),0)))))))),""),""),"")</f>
        <v/>
      </c>
      <c r="AO513" s="495" t="str">
        <f>IF(ISNUMBER($B$513),
IF($C513&lt;&gt;"",
IF(AND(ISNUMBER(AN$512), AN$512&gt;0),
IF(AND(AO$279=123, Cultivar_1_Cohort_Year_Selection=$AF$278,Cultivar_2_Cohort_Year_Selection=$AF$278,Cultivar_3_Cohort_Year_Selection=$AF$278), ROUND(MAX(0,AN$512 - 3),0),
IF(AND(OR(AO$279=123, AO$279=12), Cultivar_1_Cohort_Year_Selection=$AF$278,Cultivar_2_Cohort_Year_Selection=$AF$278), ROUND(MAX(0,AN$512 - 2),0),
IF(AND(OR(AO$279=123, AO$279=13), Cultivar_1_Cohort_Year_Selection=$AF$278,Cultivar_3_Cohort_Year_Selection=$AF$278), ROUND(MAX(0,AN$512 - 2),0),
IF(AND(OR(AO$279=123, AO$279=23), Cultivar_2_Cohort_Year_Selection=$AF$278,Cultivar_3_Cohort_Year_Selection=$AF$278), ROUND(MAX(0,AN$512 - 2),0),
IF(AND(OR(AO$279=123, AO$279=12, AO$279=13, AO$279=1), Cultivar_1_Cohort_Year_Selection=$AF$278), ROUND(MAX(0,AN$512 - 1),0),
IF(AND(OR(AO$279=123, AO$279=12, AO$279=23, AO$279=2), Cultivar_2_Cohort_Year_Selection=$AF$278), ROUND(MAX(0,AN$512 - 1),0),
IF(AND(OR(AO$279=123, AO$279=13, AO$279=23, AO$279=3), Cultivar_3_Cohort_Year_Selection=$AF$278), ROUND(MAX(0,AN$512 - 1),0),
ROUND(MAX(0,AN$512),0)))))))),""),""),"")</f>
        <v/>
      </c>
      <c r="AP513" s="495" t="str">
        <f>IF(ISNUMBER($B$513),
IF($C513&lt;&gt;"",
IF(AND(ISNUMBER(AO$512), AO$512&gt;0),
IF(AND(AP$279=123, Cultivar_1_Cohort_Year_Selection=$AG$278,Cultivar_2_Cohort_Year_Selection=$AG$278,Cultivar_3_Cohort_Year_Selection=$AG$278), ROUND(MAX(0,AO$512 - 3),0),
IF(AND(OR(AP$279=123, AP$279=12), Cultivar_1_Cohort_Year_Selection=$AG$278,Cultivar_2_Cohort_Year_Selection=$AG$278), ROUND(MAX(0,AO$512 - 2),0),
IF(AND(OR(AP$279=123, AP$279=13), Cultivar_1_Cohort_Year_Selection=$AG$278,Cultivar_3_Cohort_Year_Selection=$AG$278), ROUND(MAX(0,AO$512 - 2),0),
IF(AND(OR(AP$279=123, AP$279=23), Cultivar_2_Cohort_Year_Selection=$AG$278,Cultivar_3_Cohort_Year_Selection=$AG$278), ROUND(MAX(0,AO$512 - 2),0),
IF(AND(OR(AP$279=123, AP$279=12, AP$279=13, AP$279=1), Cultivar_1_Cohort_Year_Selection=$AG$278), ROUND(MAX(0,AO$512 - 1),0),
IF(AND(OR(AP$279=123, AP$279=12, AP$279=23, AP$279=2), Cultivar_2_Cohort_Year_Selection=$AG$278), ROUND(MAX(0,AO$512 - 1),0),
IF(AND(OR(AP$279=123, AP$279=13, AP$279=23, AP$279=3), Cultivar_3_Cohort_Year_Selection=$AG$278), ROUND(MAX(0,AO$512 - 1),0),
ROUND(MAX(0,AO$512),0)))))))),""),""),"")</f>
        <v/>
      </c>
      <c r="AQ513" s="495" t="str">
        <f>IF(ISNUMBER($B$513),
IF($C513&lt;&gt;"",
IF(AND(ISNUMBER(AP$512), AP$512&gt;0),
IF(AND(AQ$279=123, Cultivar_1_Cohort_Year_Selection=$AH$278,Cultivar_2_Cohort_Year_Selection=$AH$278,Cultivar_3_Cohort_Year_Selection=$AH$278), ROUND(MAX(0,AP$512 - 3),0),
IF(AND(OR(AQ$279=123, AQ$279=12), Cultivar_1_Cohort_Year_Selection=$AH$278,Cultivar_2_Cohort_Year_Selection=$AH$278), ROUND(MAX(0,AP$512 - 2),0),
IF(AND(OR(AQ$279=123, AQ$279=13), Cultivar_1_Cohort_Year_Selection=$AH$278,Cultivar_3_Cohort_Year_Selection=$AH$278), ROUND(MAX(0,AP$512 - 2),0),
IF(AND(OR(AQ$279=123, AQ$279=23), Cultivar_2_Cohort_Year_Selection=$AH$278,Cultivar_3_Cohort_Year_Selection=$AH$278), ROUND(MAX(0,AP$512 - 2),0),
IF(AND(OR(AQ$279=123, AQ$279=12, AQ$279=13, AQ$279=1), Cultivar_1_Cohort_Year_Selection=$AH$278), ROUND(MAX(0,AP$512 - 1),0),
IF(AND(OR(AQ$279=123, AQ$279=12, AQ$279=23, AQ$279=2), Cultivar_2_Cohort_Year_Selection=$AH$278), ROUND(MAX(0,AP$512 - 1),0),
IF(AND(OR(AQ$279=123, AQ$279=13, AQ$279=23, AQ$279=3), Cultivar_3_Cohort_Year_Selection=$AH$278), ROUND(MAX(0,AP$512 - 1),0),
ROUND(MAX(0,AP$512),0)))))))),""),""),"")</f>
        <v/>
      </c>
      <c r="AR513" s="495" t="str">
        <f>IF(ISNUMBER($B$513),
IF($C513&lt;&gt;"",
IF(AND(ISNUMBER(AQ$512), AQ$512&gt;0),
IF(AND(AR$279=123, Cultivar_1_Cohort_Year_Selection=$AI$278,Cultivar_2_Cohort_Year_Selection=$AI$278,Cultivar_3_Cohort_Year_Selection=$AI$278), ROUND(MAX(0,AQ$512 - 3),0),
IF(AND(OR(AR$279=123, AR$279=12), Cultivar_1_Cohort_Year_Selection=$AI$278,Cultivar_2_Cohort_Year_Selection=$AI$278), ROUND(MAX(0,AQ$512 - 2),0),
IF(AND(OR(AR$279=123, AR$279=13), Cultivar_1_Cohort_Year_Selection=$AI$278,Cultivar_3_Cohort_Year_Selection=$AI$278), ROUND(MAX(0,AQ$512 - 2),0),
IF(AND(OR(AR$279=123, AR$279=23), Cultivar_2_Cohort_Year_Selection=$AI$278,Cultivar_3_Cohort_Year_Selection=$AI$278), ROUND(MAX(0,AQ$512 - 2),0),
IF(AND(OR(AR$279=123, AR$279=12, AR$279=13, AR$279=1), Cultivar_1_Cohort_Year_Selection=$AI$278), ROUND(MAX(0,AQ$512 - 1),0),
IF(AND(OR(AR$279=123, AR$279=12, AR$279=23, AR$279=2), Cultivar_2_Cohort_Year_Selection=$AI$278), ROUND(MAX(0,AQ$512 - 1),0),
IF(AND(OR(AR$279=123, AR$279=13, AR$279=23, AR$279=3), Cultivar_3_Cohort_Year_Selection=$AI$278), ROUND(MAX(0,AQ$512 - 1),0),
ROUND(MAX(0,AQ$512),0)))))))),""),""),"")</f>
        <v/>
      </c>
      <c r="AS513" s="495" t="str">
        <f>IF(ISNUMBER($B$513),
IF($C513&lt;&gt;"",
IF(AND(ISNUMBER(AR$512), AR$512&gt;0),
IF(AND(AS$279=123, Cultivar_1_Cohort_Year_Selection=$AJ$278,Cultivar_2_Cohort_Year_Selection=$AJ$278,Cultivar_3_Cohort_Year_Selection=$AJ$278), ROUND(MAX(0,AR$512 - 3),0),
IF(AND(OR(AS$279=123, AS$279=12), Cultivar_1_Cohort_Year_Selection=$AJ$278,Cultivar_2_Cohort_Year_Selection=$AJ$278), ROUND(MAX(0,AR$512 - 2),0),
IF(AND(OR(AS$279=123, AS$279=13), Cultivar_1_Cohort_Year_Selection=$AJ$278,Cultivar_3_Cohort_Year_Selection=$AJ$278), ROUND(MAX(0,AR$512 - 2),0),
IF(AND(OR(AS$279=123, AS$279=23), Cultivar_2_Cohort_Year_Selection=$AJ$278,Cultivar_3_Cohort_Year_Selection=$AJ$278), ROUND(MAX(0,AR$512 - 2),0),
IF(AND(OR(AS$279=123, AS$279=12, AS$279=13, AS$279=1), Cultivar_1_Cohort_Year_Selection=$AJ$278), ROUND(MAX(0,AR$512 - 1),0),
IF(AND(OR(AS$279=123, AS$279=12, AS$279=23, AS$279=2), Cultivar_2_Cohort_Year_Selection=$AJ$278), ROUND(MAX(0,AR$512 - 1),0),
IF(AND(OR(AS$279=123, AS$279=13, AS$279=23, AS$279=3), Cultivar_3_Cohort_Year_Selection=$AJ$278), ROUND(MAX(0,AR$512 - 1),0),
ROUND(MAX(0,AR$512),0)))))))),""),""),"")</f>
        <v/>
      </c>
      <c r="AT513" s="495" t="str">
        <f>IF(ISNUMBER($B$513),
IF($C513&lt;&gt;"",
IF(AND(ISNUMBER(AS$512), AS$512&gt;0),
IF(AND(AT$279=123, Cultivar_1_Cohort_Year_Selection=$AK$278,Cultivar_2_Cohort_Year_Selection=$AK$278,Cultivar_3_Cohort_Year_Selection=$AK$278), ROUND(MAX(0,AS$512 - 3),0),
IF(AND(OR(AT$279=123, AT$279=12), Cultivar_1_Cohort_Year_Selection=$AK$278,Cultivar_2_Cohort_Year_Selection=$AK$278), ROUND(MAX(0,AS$512 - 2),0),
IF(AND(OR(AT$279=123, AT$279=13), Cultivar_1_Cohort_Year_Selection=$AK$278,Cultivar_3_Cohort_Year_Selection=$AK$278), ROUND(MAX(0,AS$512 - 2),0),
IF(AND(OR(AT$279=123, AT$279=23), Cultivar_2_Cohort_Year_Selection=$AK$278,Cultivar_3_Cohort_Year_Selection=$AK$278), ROUND(MAX(0,AS$512 - 2),0),
IF(AND(OR(AT$279=123, AT$279=12, AT$279=13, AT$279=1), Cultivar_1_Cohort_Year_Selection=$AK$278), ROUND(MAX(0,AS$512 - 1),0),
IF(AND(OR(AT$279=123, AT$279=12, AT$279=23, AT$279=2), Cultivar_2_Cohort_Year_Selection=$AK$278), ROUND(MAX(0,AS$512 - 1),0),
IF(AND(OR(AT$279=123, AT$279=13, AT$279=23, AT$279=3), Cultivar_3_Cohort_Year_Selection=$AK$278), ROUND(MAX(0,AS$512 - 1),0),
ROUND(MAX(0,AS$512),0)))))))),""),""),"")</f>
        <v/>
      </c>
      <c r="AU513" s="495" t="str">
        <f>IF(ISNUMBER($B$513),
IF($C513&lt;&gt;"",
IF(AND(ISNUMBER(AT$512), AT$512&gt;0),
IF(AND(AU$279=123, Cultivar_1_Cohort_Year_Selection=$AL$278,Cultivar_2_Cohort_Year_Selection=$AL$278,Cultivar_3_Cohort_Year_Selection=$AL$278), ROUND(MAX(0,AT$512 - 3),0),
IF(AND(OR(AU$279=123, AU$279=12), Cultivar_1_Cohort_Year_Selection=$AL$278,Cultivar_2_Cohort_Year_Selection=$AL$278), ROUND(MAX(0,AT$512 - 2),0),
IF(AND(OR(AU$279=123, AU$279=13), Cultivar_1_Cohort_Year_Selection=$AL$278,Cultivar_3_Cohort_Year_Selection=$AL$278), ROUND(MAX(0,AT$512 - 2),0),
IF(AND(OR(AU$279=123, AU$279=23), Cultivar_2_Cohort_Year_Selection=$AL$278,Cultivar_3_Cohort_Year_Selection=$AL$278), ROUND(MAX(0,AT$512 - 2),0),
IF(AND(OR(AU$279=123, AU$279=12, AU$279=13, AU$279=1), Cultivar_1_Cohort_Year_Selection=$AL$278), ROUND(MAX(0,AT$512 - 1),0),
IF(AND(OR(AU$279=123, AU$279=12, AU$279=23, AU$279=2), Cultivar_2_Cohort_Year_Selection=$AL$278), ROUND(MAX(0,AT$512 - 1),0),
IF(AND(OR(AU$279=123, AU$279=13, AU$279=23, AU$279=3), Cultivar_3_Cohort_Year_Selection=$AL$278), ROUND(MAX(0,AT$512 - 1),0),
ROUND(MAX(0,AT$512),0)))))))),""),""),"")</f>
        <v/>
      </c>
      <c r="AV513" s="495" t="str">
        <f>IF(ISNUMBER($B$513),
IF($C513&lt;&gt;"",
IF(AND(ISNUMBER(AU$512), AU$512&gt;0),
IF(AND(AV$279=123, Cultivar_1_Cohort_Year_Selection=$AM$278,Cultivar_2_Cohort_Year_Selection=$AM$278,Cultivar_3_Cohort_Year_Selection=$AM$278), ROUND(MAX(0,AU$512 - 3),0),
IF(AND(OR(AV$279=123, AV$279=12), Cultivar_1_Cohort_Year_Selection=$AM$278,Cultivar_2_Cohort_Year_Selection=$AM$278), ROUND(MAX(0,AU$512 - 2),0),
IF(AND(OR(AV$279=123, AV$279=13), Cultivar_1_Cohort_Year_Selection=$AM$278,Cultivar_3_Cohort_Year_Selection=$AM$278), ROUND(MAX(0,AU$512 - 2),0),
IF(AND(OR(AV$279=123, AV$279=23), Cultivar_2_Cohort_Year_Selection=$AM$278,Cultivar_3_Cohort_Year_Selection=$AM$278), ROUND(MAX(0,AU$512 - 2),0),
IF(AND(OR(AV$279=123, AV$279=12, AV$279=13, AV$279=1), Cultivar_1_Cohort_Year_Selection=$AM$278), ROUND(MAX(0,AU$512 - 1),0),
IF(AND(OR(AV$279=123, AV$279=12, AV$279=23, AV$279=2), Cultivar_2_Cohort_Year_Selection=$AM$278), ROUND(MAX(0,AU$512 - 1),0),
IF(AND(OR(AV$279=123, AV$279=13, AV$279=23, AV$279=3), Cultivar_3_Cohort_Year_Selection=$AM$278), ROUND(MAX(0,AU$512 - 1),0),
ROUND(MAX(0,AU$512),0)))))))),""),""),"")</f>
        <v/>
      </c>
      <c r="AW513" s="495" t="str">
        <f>IF(ISNUMBER($B$513),
IF($C513&lt;&gt;"",
IF(AND(ISNUMBER(AV$512), AV$512&gt;0),
IF(AND(AW$279=123, Cultivar_1_Cohort_Year_Selection=$AN$278,Cultivar_2_Cohort_Year_Selection=$AN$278,Cultivar_3_Cohort_Year_Selection=$AN$278), ROUND(MAX(0,AV$512 - 3),0),
IF(AND(OR(AW$279=123, AW$279=12), Cultivar_1_Cohort_Year_Selection=$AN$278,Cultivar_2_Cohort_Year_Selection=$AN$278), ROUND(MAX(0,AV$512 - 2),0),
IF(AND(OR(AW$279=123, AW$279=13), Cultivar_1_Cohort_Year_Selection=$AN$278,Cultivar_3_Cohort_Year_Selection=$AN$278), ROUND(MAX(0,AV$512 - 2),0),
IF(AND(OR(AW$279=123, AW$279=23), Cultivar_2_Cohort_Year_Selection=$AN$278,Cultivar_3_Cohort_Year_Selection=$AN$278), ROUND(MAX(0,AV$512 - 2),0),
IF(AND(OR(AW$279=123, AW$279=12, AW$279=13, AW$279=1), Cultivar_1_Cohort_Year_Selection=$AN$278), ROUND(MAX(0,AV$512 - 1),0),
IF(AND(OR(AW$279=123, AW$279=12, AW$279=23, AW$279=2), Cultivar_2_Cohort_Year_Selection=$AN$278), ROUND(MAX(0,AV$512 - 1),0),
IF(AND(OR(AW$279=123, AW$279=13, AW$279=23, AW$279=3), Cultivar_3_Cohort_Year_Selection=$AN$278), ROUND(MAX(0,AV$512 - 1),0),
ROUND(MAX(0,AV$512),0)))))))),""),""),"")</f>
        <v/>
      </c>
      <c r="AX513" s="495" t="str">
        <f>IF(ISNUMBER($B$513),
IF($C513&lt;&gt;"",
IF(AND(ISNUMBER(AW$512), AW$512&gt;0),
IF(AND(AX$279=123, Cultivar_1_Cohort_Year_Selection=$AO$278,Cultivar_2_Cohort_Year_Selection=$AO$278,Cultivar_3_Cohort_Year_Selection=$AO$278), ROUND(MAX(0,AW$512 - 3),0),
IF(AND(OR(AX$279=123, AX$279=12), Cultivar_1_Cohort_Year_Selection=$AO$278,Cultivar_2_Cohort_Year_Selection=$AO$278), ROUND(MAX(0,AW$512 - 2),0),
IF(AND(OR(AX$279=123, AX$279=13), Cultivar_1_Cohort_Year_Selection=$AO$278,Cultivar_3_Cohort_Year_Selection=$AO$278), ROUND(MAX(0,AW$512 - 2),0),
IF(AND(OR(AX$279=123, AX$279=23), Cultivar_2_Cohort_Year_Selection=$AO$278,Cultivar_3_Cohort_Year_Selection=$AO$278), ROUND(MAX(0,AW$512 - 2),0),
IF(AND(OR(AX$279=123, AX$279=12, AX$279=13, AX$279=1), Cultivar_1_Cohort_Year_Selection=$AO$278), ROUND(MAX(0,AW$512 - 1),0),
IF(AND(OR(AX$279=123, AX$279=12, AX$279=23, AX$279=2), Cultivar_2_Cohort_Year_Selection=$AO$278), ROUND(MAX(0,AW$512 - 1),0),
IF(AND(OR(AX$279=123, AX$279=13, AX$279=23, AX$279=3), Cultivar_3_Cohort_Year_Selection=$AO$278), ROUND(MAX(0,AW$512 - 1),0),
ROUND(MAX(0,AW$512),0)))))))),""),""),"")</f>
        <v/>
      </c>
      <c r="AY513" s="495" t="str">
        <f>IF(ISNUMBER($B$513),
IF($C513&lt;&gt;"",
IF(AND(ISNUMBER(AX$512), AX$512&gt;0),
IF(AND(AY$279=123, Cultivar_1_Cohort_Year_Selection=$AP$278,Cultivar_2_Cohort_Year_Selection=$AP$278,Cultivar_3_Cohort_Year_Selection=$AP$278), ROUND(MAX(0,AX$512 - 3),0),
IF(AND(OR(AY$279=123, AY$279=12), Cultivar_1_Cohort_Year_Selection=$AP$278,Cultivar_2_Cohort_Year_Selection=$AP$278), ROUND(MAX(0,AX$512 - 2),0),
IF(AND(OR(AY$279=123, AY$279=13), Cultivar_1_Cohort_Year_Selection=$AP$278,Cultivar_3_Cohort_Year_Selection=$AP$278), ROUND(MAX(0,AX$512 - 2),0),
IF(AND(OR(AY$279=123, AY$279=23), Cultivar_2_Cohort_Year_Selection=$AP$278,Cultivar_3_Cohort_Year_Selection=$AP$278), ROUND(MAX(0,AX$512 - 2),0),
IF(AND(OR(AY$279=123, AY$279=12, AY$279=13, AY$279=1), Cultivar_1_Cohort_Year_Selection=$AP$278), ROUND(MAX(0,AX$512 - 1),0),
IF(AND(OR(AY$279=123, AY$279=12, AY$279=23, AY$279=2), Cultivar_2_Cohort_Year_Selection=$AP$278), ROUND(MAX(0,AX$512 - 1),0),
IF(AND(OR(AY$279=123, AY$279=13, AY$279=23, AY$279=3), Cultivar_3_Cohort_Year_Selection=$AP$278), ROUND(MAX(0,AX$512 - 1),0),
ROUND(MAX(0,AX$512),0)))))))),""),""),"")</f>
        <v/>
      </c>
    </row>
    <row r="514" spans="1:51" x14ac:dyDescent="0.25">
      <c r="A514" s="518"/>
      <c r="B514" s="504"/>
      <c r="C514" s="521"/>
      <c r="D514" s="94" t="str">
        <f>IF(AND(C513&lt;&gt;"", 'Cost Inputs'!$G$106&lt;&gt;""), 'Cost Inputs'!$G$106, "")</f>
        <v/>
      </c>
      <c r="E514" s="94" t="str">
        <f>IF(AND(C513&lt;&gt;"", 'Cost Inputs'!H323&lt;&gt;""), 'Cost Inputs'!H323, "")</f>
        <v/>
      </c>
      <c r="F514" s="492"/>
      <c r="G514" s="102" t="str">
        <f t="shared" si="333"/>
        <v/>
      </c>
      <c r="H514" s="492"/>
      <c r="I514" s="102" t="str">
        <f>IF($C513&lt;&gt;"", IF(AND($E514&lt;&gt;"", H513&lt;&gt;""), H513/($E513*$E514), 0), "")</f>
        <v/>
      </c>
      <c r="J514" s="492" t="str">
        <f>IF(AND(C514&lt;&gt;"",('Cost Inputs'!$I$86+'Cost Inputs'!$J$86+'Cost Inputs'!$K$86)&gt;0), 'Cost Inputs'!$I$86+'Cost Inputs'!$J$86+'Cost Inputs'!$K$86, "")</f>
        <v/>
      </c>
      <c r="K514" s="102" t="str">
        <f>IF($C513&lt;&gt;"", IF(AND($E514&lt;&gt;"", J513&lt;&gt;""), J513/($E513*$E514), 0), "")</f>
        <v/>
      </c>
      <c r="L514" s="525"/>
      <c r="M514" s="525"/>
      <c r="X514" s="496" t="str">
        <f t="shared" ref="X514" si="394">IF(ISNUMBER($B$345),
IF($C514&lt;&gt;"",
IF(AND(ISNUMBER(W$368), W$368&gt;0),
IF(AND(X$279=123, Cultivar_1_Cohort_Year_Selection=$O$278,Cultivar_2_Cohort_Year_Selection=$O$278,Cultivar_3_Cohort_Year_Selection=$O$278), ROUND(MAX(0,W$368 - 3),0),
IF(AND(OR(X$279=123, X$279=12), Cultivar_1_Cohort_Year_Selection=$O$278,Cultivar_2_Cohort_Year_Selection=$O$278), ROUND(MAX(0,W$368 - 2),0),
IF(AND(OR(X$279=123, X$279=13), Cultivar_1_Cohort_Year_Selection=$O$278,Cultivar_3_Cohort_Year_Selection=$O$278), ROUND(MAX(0,W$368 - 2),0),
IF(AND(OR(X$279=123, X$279=23), Cultivar_2_Cohort_Year_Selection=$O$278,Cultivar_3_Cohort_Year_Selection=$O$278), ROUND(MAX(0,W$368 - 2),0),
IF(AND(OR(X$279=123, X$279=12, X$279=13, X$279=1), Cultivar_1_Cohort_Year_Selection=$O$278), ROUND(MAX(0,W$368 - 1),0),
IF(AND(OR(X$279=123, X$279=12, X$279=23, X$279=2), Cultivar_2_Cohort_Year_Selection=$O$278), ROUND(MAX(0,W$368 - 1),0),
IF(AND(OR(X$279=123, X$279=13, X$279=23, X$279=3), Cultivar_3_Cohort_Year_Selection=$O$278), ROUND(MAX(0,W$368 - 1),0),
ROUND(MAX(0,W$368),0)))))))),""),""),"")</f>
        <v/>
      </c>
      <c r="Y514" s="496" t="str">
        <f t="shared" ref="Y514:AY514" si="395">IF(ISNUMBER($B$345),
IF($C514&lt;&gt;"",
IF(AND(ISNUMBER(X$368), X$368&gt;0),
IF(AND(Y$279=123, Cultivar_1_Cohort_Year_Selection=$O$278,Cultivar_2_Cohort_Year_Selection=$O$278,Cultivar_3_Cohort_Year_Selection=$O$278), ROUND(MAX(0,X$368 - 3),0),
IF(AND(OR(Y$279=123, Y$279=12), Cultivar_1_Cohort_Year_Selection=$O$278,Cultivar_2_Cohort_Year_Selection=$O$278), ROUND(MAX(0,X$368 - 2),0),
IF(AND(OR(Y$279=123, Y$279=13), Cultivar_1_Cohort_Year_Selection=$O$278,Cultivar_3_Cohort_Year_Selection=$O$278), ROUND(MAX(0,X$368 - 2),0),
IF(AND(OR(Y$279=123, Y$279=23), Cultivar_2_Cohort_Year_Selection=$O$278,Cultivar_3_Cohort_Year_Selection=$O$278), ROUND(MAX(0,X$368 - 2),0),
IF(AND(OR(Y$279=123, Y$279=12, Y$279=13, Y$279=1), Cultivar_1_Cohort_Year_Selection=$O$278), ROUND(MAX(0,X$368 - 1),0),
IF(AND(OR(Y$279=123, Y$279=12, Y$279=23, Y$279=2), Cultivar_2_Cohort_Year_Selection=$O$278), ROUND(MAX(0,X$368 - 1),0),
IF(AND(OR(Y$279=123, Y$279=13, Y$279=23, Y$279=3), Cultivar_3_Cohort_Year_Selection=$O$278), ROUND(MAX(0,X$368 - 1),0),
ROUND(MAX(0,X$368),0)))))))),""),""),"")</f>
        <v/>
      </c>
      <c r="Z514" s="496" t="str">
        <f t="shared" si="395"/>
        <v/>
      </c>
      <c r="AA514" s="496" t="str">
        <f t="shared" si="395"/>
        <v/>
      </c>
      <c r="AB514" s="496" t="str">
        <f t="shared" si="395"/>
        <v/>
      </c>
      <c r="AC514" s="496" t="str">
        <f t="shared" si="395"/>
        <v/>
      </c>
      <c r="AD514" s="496" t="str">
        <f t="shared" si="395"/>
        <v/>
      </c>
      <c r="AE514" s="496" t="str">
        <f t="shared" si="395"/>
        <v/>
      </c>
      <c r="AF514" s="496" t="str">
        <f t="shared" si="395"/>
        <v/>
      </c>
      <c r="AG514" s="496" t="str">
        <f t="shared" si="395"/>
        <v/>
      </c>
      <c r="AH514" s="496" t="str">
        <f t="shared" si="395"/>
        <v/>
      </c>
      <c r="AI514" s="496" t="str">
        <f t="shared" si="395"/>
        <v/>
      </c>
      <c r="AJ514" s="496" t="str">
        <f t="shared" si="395"/>
        <v/>
      </c>
      <c r="AK514" s="496" t="str">
        <f t="shared" si="395"/>
        <v/>
      </c>
      <c r="AL514" s="496" t="str">
        <f t="shared" si="395"/>
        <v/>
      </c>
      <c r="AM514" s="496" t="str">
        <f t="shared" si="395"/>
        <v/>
      </c>
      <c r="AN514" s="496" t="str">
        <f t="shared" si="395"/>
        <v/>
      </c>
      <c r="AO514" s="496" t="str">
        <f t="shared" si="395"/>
        <v/>
      </c>
      <c r="AP514" s="496" t="str">
        <f t="shared" si="395"/>
        <v/>
      </c>
      <c r="AQ514" s="496" t="str">
        <f t="shared" si="395"/>
        <v/>
      </c>
      <c r="AR514" s="496" t="str">
        <f t="shared" si="395"/>
        <v/>
      </c>
      <c r="AS514" s="496" t="str">
        <f t="shared" si="395"/>
        <v/>
      </c>
      <c r="AT514" s="496" t="str">
        <f t="shared" si="395"/>
        <v/>
      </c>
      <c r="AU514" s="496" t="str">
        <f t="shared" si="395"/>
        <v/>
      </c>
      <c r="AV514" s="496" t="str">
        <f t="shared" si="395"/>
        <v/>
      </c>
      <c r="AW514" s="496" t="str">
        <f t="shared" si="395"/>
        <v/>
      </c>
      <c r="AX514" s="496" t="str">
        <f t="shared" si="395"/>
        <v/>
      </c>
      <c r="AY514" s="496" t="str">
        <f t="shared" si="395"/>
        <v/>
      </c>
    </row>
    <row r="515" spans="1:51" x14ac:dyDescent="0.25">
      <c r="A515" s="518"/>
      <c r="B515" s="504"/>
      <c r="C515" s="104" t="str">
        <f>IF(AND(ISNUMBER(B513), OR('Cost Inputs'!$H$107&lt;&gt;"", 'Cost Inputs'!$I$107&lt;&gt;"", 'Cost Inputs'!$J$107&lt;&gt;"")), _4_3_1, "")</f>
        <v/>
      </c>
      <c r="D515" s="17" t="str">
        <f>IF(AND(C515&lt;&gt;"", 'Cost Inputs'!$G$107&lt;&gt;""), 'Cost Inputs'!$G$107, "")</f>
        <v/>
      </c>
      <c r="E515" s="17" t="str">
        <f>IF(AND(C515&lt;&gt;"", 'Cost Inputs'!$H$107&lt;&gt;""), 'Cost Inputs'!$H$107, "")</f>
        <v/>
      </c>
      <c r="F515" s="17" t="str">
        <f>IF(AND(C515&lt;&gt;"", 'Cost Inputs'!$I$107&lt;&gt;""), 'Cost Inputs'!$I$107, "")</f>
        <v/>
      </c>
      <c r="G515" s="105" t="str">
        <f t="shared" si="333"/>
        <v/>
      </c>
      <c r="H515" s="17" t="str">
        <f>IF(AND(C515&lt;&gt;"", 'Cost Inputs'!$J$107&lt;&gt;""), 'Cost Inputs'!$J$107, "")</f>
        <v/>
      </c>
      <c r="I515" s="17" t="str">
        <f t="shared" ref="I515:I523" si="396">IF($C515&lt;&gt;"", IF(AND($E515&lt;&gt;"", H515&lt;&gt;""), H515/$E515, 0),"")</f>
        <v/>
      </c>
      <c r="J515" s="17" t="str">
        <f>IF(AND(C515&lt;&gt;"",('Cost Inputs'!$I$107+'Cost Inputs'!$J$107+'Cost Inputs'!$K$107)&gt;0), 'Cost Inputs'!$I$107+'Cost Inputs'!$J$107+'Cost Inputs'!$K$107, "")</f>
        <v/>
      </c>
      <c r="K515" s="17" t="str">
        <f t="shared" ref="K515:K523" si="397">IF($C515&lt;&gt;"", IF(AND($E515&lt;&gt;"", J515&lt;&gt;""), J515/$E515, 0),"")</f>
        <v/>
      </c>
      <c r="L515" s="525"/>
      <c r="M515" s="525"/>
      <c r="X515" s="17" t="str">
        <f t="shared" ref="X515:X523" si="398">IF(ISNUMBER($B$513),
IF($C515&lt;&gt;"",
IF(AND(ISNUMBER(W$512), W$512&gt;0),
IF(AND(X$279=123, Cultivar_1_Cohort_Year_Selection=$O$278,Cultivar_2_Cohort_Year_Selection=$O$278,Cultivar_3_Cohort_Year_Selection=$O$278), ROUND(MAX(0,W$512 - 3),0),
IF(AND(OR(X$279=123, X$279=12), Cultivar_1_Cohort_Year_Selection=$O$278,Cultivar_2_Cohort_Year_Selection=$O$278), ROUND(MAX(0,W$512 - 2),0),
IF(AND(OR(X$279=123, X$279=13), Cultivar_1_Cohort_Year_Selection=$O$278,Cultivar_3_Cohort_Year_Selection=$O$278), ROUND(MAX(0,W$512 - 2),0),
IF(AND(OR(X$279=123, X$279=23), Cultivar_2_Cohort_Year_Selection=$O$278,Cultivar_3_Cohort_Year_Selection=$O$278), ROUND(MAX(0,W$512 - 2),0),
IF(AND(OR(X$279=123, X$279=12, X$279=13, X$279=1), Cultivar_1_Cohort_Year_Selection=$O$278), ROUND(MAX(0,W$512 - 1),0),
IF(AND(OR(X$279=123, X$279=12, X$279=23, X$279=2), Cultivar_2_Cohort_Year_Selection=$O$278), ROUND(MAX(0,W$512 - 1),0),
IF(AND(OR(X$279=123, X$279=13, X$279=23, X$279=3), Cultivar_3_Cohort_Year_Selection=$O$278), ROUND(MAX(0,W$512 - 1),0),
ROUND(MAX(0,W$512),0)))))))),""),""),"")</f>
        <v/>
      </c>
      <c r="Y515" s="17" t="str">
        <f t="shared" ref="Y515:Y523" si="399">IF(ISNUMBER($B$513),
IF($C515&lt;&gt;"",
IF(AND(ISNUMBER(X$512), X$512&gt;0),
IF(AND(Y$279=123, Cultivar_1_Cohort_Year_Selection=$P$278,Cultivar_2_Cohort_Year_Selection=$P$278,Cultivar_3_Cohort_Year_Selection=$P$278), ROUND(MAX(0,X$512 - 3),0),
IF(AND(OR(Y$279=123, Y$279=12), Cultivar_1_Cohort_Year_Selection=$P$278,Cultivar_2_Cohort_Year_Selection=$P$278), ROUND(MAX(0,X$512 - 2),0),
IF(AND(OR(Y$279=123, Y$279=13), Cultivar_1_Cohort_Year_Selection=$P$278,Cultivar_3_Cohort_Year_Selection=$P$278), ROUND(MAX(0,X$512 - 2),0),
IF(AND(OR(Y$279=123, Y$279=23), Cultivar_2_Cohort_Year_Selection=$P$278,Cultivar_3_Cohort_Year_Selection=$P$278), ROUND(MAX(0,X$512 - 2),0),
IF(AND(OR(Y$279=123, Y$279=12, Y$279=13, Y$279=1), Cultivar_1_Cohort_Year_Selection=$P$278), ROUND(MAX(0,X$512 - 1),0),
IF(AND(OR(Y$279=123, Y$279=12, Y$279=23, Y$279=2), Cultivar_2_Cohort_Year_Selection=$P$278), ROUND(MAX(0,X$512 - 1),0),
IF(AND(OR(Y$279=123, Y$279=13, Y$279=23, Y$279=3), Cultivar_3_Cohort_Year_Selection=$P$278), ROUND(MAX(0,X$512 - 1),0),
ROUND(MAX(0,X$512),0)))))))),""),""),"")</f>
        <v/>
      </c>
      <c r="Z515" s="17" t="str">
        <f t="shared" ref="Z515:Z523" si="400">IF(ISNUMBER($B$513),
IF($C515&lt;&gt;"",
IF(AND(ISNUMBER(Y$512), Y$512&gt;0),
IF(AND(Z$279=123, Cultivar_1_Cohort_Year_Selection=$Q$278,Cultivar_2_Cohort_Year_Selection=$Q$278,Cultivar_3_Cohort_Year_Selection=$Q$278), ROUND(MAX(0,Y$512 - 3),0),
IF(AND(OR(Z$279=123, Z$279=12), Cultivar_1_Cohort_Year_Selection=$Q$278,Cultivar_2_Cohort_Year_Selection=$Q$278), ROUND(MAX(0,Y$512 - 2),0),
IF(AND(OR(Z$279=123, Z$279=13), Cultivar_1_Cohort_Year_Selection=$Q$278,Cultivar_3_Cohort_Year_Selection=$Q$278), ROUND(MAX(0,Y$512 - 2),0),
IF(AND(OR(Z$279=123, Z$279=23), Cultivar_2_Cohort_Year_Selection=$Q$278,Cultivar_3_Cohort_Year_Selection=$Q$278), ROUND(MAX(0,Y$512 - 2),0),
IF(AND(OR(Z$279=123, Z$279=12, Z$279=13, Z$279=1), Cultivar_1_Cohort_Year_Selection=$Q$278), ROUND(MAX(0,Y$512 - 1),0),
IF(AND(OR(Z$279=123, Z$279=12, Z$279=23, Z$279=2), Cultivar_2_Cohort_Year_Selection=$Q$278), ROUND(MAX(0,Y$512 - 1),0),
IF(AND(OR(Z$279=123, Z$279=13, Z$279=23, Z$279=3), Cultivar_3_Cohort_Year_Selection=$Q$278), ROUND(MAX(0,Y$512 - 1),0),
ROUND(MAX(0,Y$512),0)))))))),""),""),"")</f>
        <v/>
      </c>
      <c r="AA515" s="17" t="str">
        <f t="shared" ref="AA515:AA523" si="401">IF(ISNUMBER($B$513),
IF($C515&lt;&gt;"",
IF(AND(ISNUMBER(Z$512), Z$512&gt;0),
IF(AND(AA$279=123, Cultivar_1_Cohort_Year_Selection=$R$278,Cultivar_2_Cohort_Year_Selection=$R$278,Cultivar_3_Cohort_Year_Selection=$R$278), ROUND(MAX(0,Z$512 - 3),0),
IF(AND(OR(AA$279=123, AA$279=12), Cultivar_1_Cohort_Year_Selection=$R$278,Cultivar_2_Cohort_Year_Selection=$R$278), ROUND(MAX(0,Z$512 - 2),0),
IF(AND(OR(AA$279=123, AA$279=13), Cultivar_1_Cohort_Year_Selection=$R$278,Cultivar_3_Cohort_Year_Selection=$R$278), ROUND(MAX(0,Z$512 - 2),0),
IF(AND(OR(AA$279=123, AA$279=23), Cultivar_2_Cohort_Year_Selection=$R$278,Cultivar_3_Cohort_Year_Selection=$R$278), ROUND(MAX(0,Z$512 - 2),0),
IF(AND(OR(AA$279=123, AA$279=12, AA$279=13, AA$279=1), Cultivar_1_Cohort_Year_Selection=$R$278), ROUND(MAX(0,Z$512 - 1),0),
IF(AND(OR(AA$279=123, AA$279=12, AA$279=23, AA$279=2), Cultivar_2_Cohort_Year_Selection=$R$278), ROUND(MAX(0,Z$512 - 1),0),
IF(AND(OR(AA$279=123, AA$279=13, AA$279=23, AA$279=3), Cultivar_3_Cohort_Year_Selection=$R$278), ROUND(MAX(0,Z$512 - 1),0),
ROUND(MAX(0,Z$512),0)))))))),""),""),"")</f>
        <v/>
      </c>
      <c r="AB515" s="17" t="str">
        <f t="shared" ref="AB515:AB523" si="402">IF(ISNUMBER($B$513),
IF($C515&lt;&gt;"",
IF(AND(ISNUMBER(AA$512), AA$512&gt;0),
IF(AND(AB$279=123, Cultivar_1_Cohort_Year_Selection=$S$278,Cultivar_2_Cohort_Year_Selection=$S$278,Cultivar_3_Cohort_Year_Selection=$S$278), ROUND(MAX(0,AA$512 - 3),0),
IF(AND(OR(AB$279=123, AB$279=12), Cultivar_1_Cohort_Year_Selection=$S$278,Cultivar_2_Cohort_Year_Selection=$S$278), ROUND(MAX(0,AA$512 - 2),0),
IF(AND(OR(AB$279=123, AB$279=13), Cultivar_1_Cohort_Year_Selection=$S$278,Cultivar_3_Cohort_Year_Selection=$S$278), ROUND(MAX(0,AA$512 - 2),0),
IF(AND(OR(AB$279=123, AB$279=23), Cultivar_2_Cohort_Year_Selection=$S$278,Cultivar_3_Cohort_Year_Selection=$S$278), ROUND(MAX(0,AA$512 - 2),0),
IF(AND(OR(AB$279=123, AB$279=12, AB$279=13, AB$279=1), Cultivar_1_Cohort_Year_Selection=$S$278), ROUND(MAX(0,AA$512 - 1),0),
IF(AND(OR(AB$279=123, AB$279=12, AB$279=23, AB$279=2), Cultivar_2_Cohort_Year_Selection=$S$278), ROUND(MAX(0,AA$512 - 1),0),
IF(AND(OR(AB$279=123, AB$279=13, AB$279=23, AB$279=3), Cultivar_3_Cohort_Year_Selection=$S$278), ROUND(MAX(0,AA$512 - 1),0),
ROUND(MAX(0,AA$512),0)))))))),""),""),"")</f>
        <v/>
      </c>
      <c r="AC515" s="17" t="str">
        <f t="shared" ref="AC515:AC523" si="403">IF(ISNUMBER($B$513),
IF($C515&lt;&gt;"",
IF(AND(ISNUMBER(AB$512), AB$512&gt;0),
IF(AND(AC$279=123, Cultivar_1_Cohort_Year_Selection=$T$278,Cultivar_2_Cohort_Year_Selection=$T$278,Cultivar_3_Cohort_Year_Selection=$T$278), ROUND(MAX(0,AB$512 - 3),0),
IF(AND(OR(AC$279=123, AC$279=12), Cultivar_1_Cohort_Year_Selection=$T$278,Cultivar_2_Cohort_Year_Selection=$T$278), ROUND(MAX(0,AB$512 - 2),0),
IF(AND(OR(AC$279=123, AC$279=13), Cultivar_1_Cohort_Year_Selection=$T$278,Cultivar_3_Cohort_Year_Selection=$T$278), ROUND(MAX(0,AB$512 - 2),0),
IF(AND(OR(AC$279=123, AC$279=23), Cultivar_2_Cohort_Year_Selection=$T$278,Cultivar_3_Cohort_Year_Selection=$T$278), ROUND(MAX(0,AB$512 - 2),0),
IF(AND(OR(AC$279=123, AC$279=12, AC$279=13, AC$279=1), Cultivar_1_Cohort_Year_Selection=$T$278), ROUND(MAX(0,AB$512 - 1),0),
IF(AND(OR(AC$279=123, AC$279=12, AC$279=23, AC$279=2), Cultivar_2_Cohort_Year_Selection=$T$278), ROUND(MAX(0,AB$512 - 1),0),
IF(AND(OR(AC$279=123, AC$279=13, AC$279=23, AC$279=3), Cultivar_3_Cohort_Year_Selection=$T$278), ROUND(MAX(0,AB$512 - 1),0),
ROUND(MAX(0,AB$512),0)))))))),""),""),"")</f>
        <v/>
      </c>
      <c r="AD515" s="17" t="str">
        <f t="shared" ref="AD515:AD523" si="404">IF(ISNUMBER($B$513),
IF($C515&lt;&gt;"",
IF(AND(ISNUMBER(AC$512), AC$512&gt;0),
IF(AND(AD$279=123, Cultivar_1_Cohort_Year_Selection=$U$278,Cultivar_2_Cohort_Year_Selection=$U$278,Cultivar_3_Cohort_Year_Selection=$U$278), ROUND(MAX(0,AC$512 - 3),0),
IF(AND(OR(AD$279=123, AD$279=12), Cultivar_1_Cohort_Year_Selection=$U$278,Cultivar_2_Cohort_Year_Selection=$U$278), ROUND(MAX(0,AC$512 - 2),0),
IF(AND(OR(AD$279=123, AD$279=13), Cultivar_1_Cohort_Year_Selection=$U$278,Cultivar_3_Cohort_Year_Selection=$U$278), ROUND(MAX(0,AC$512 - 2),0),
IF(AND(OR(AD$279=123, AD$279=23), Cultivar_2_Cohort_Year_Selection=$U$278,Cultivar_3_Cohort_Year_Selection=$U$278), ROUND(MAX(0,AC$512 - 2),0),
IF(AND(OR(AD$279=123, AD$279=12, AD$279=13, AD$279=1), Cultivar_1_Cohort_Year_Selection=$U$278), ROUND(MAX(0,AC$512 - 1),0),
IF(AND(OR(AD$279=123, AD$279=12, AD$279=23, AD$279=2), Cultivar_2_Cohort_Year_Selection=$U$278), ROUND(MAX(0,AC$512 - 1),0),
IF(AND(OR(AD$279=123, AD$279=13, AD$279=23, AD$279=3), Cultivar_3_Cohort_Year_Selection=$U$278), ROUND(MAX(0,AC$512 - 1),0),
ROUND(MAX(0,AC$512),0)))))))),""),""),"")</f>
        <v/>
      </c>
      <c r="AE515" s="17" t="str">
        <f t="shared" ref="AE515:AE523" si="405">IF(ISNUMBER($B$513),
IF($C515&lt;&gt;"",
IF(AND(ISNUMBER(AD$512), AD$512&gt;0),
IF(AND(AE$279=123, Cultivar_1_Cohort_Year_Selection=$V$278,Cultivar_2_Cohort_Year_Selection=$V$278,Cultivar_3_Cohort_Year_Selection=$V$278), ROUND(MAX(0,AD$512 - 3),0),
IF(AND(OR(AE$279=123, AE$279=12), Cultivar_1_Cohort_Year_Selection=$V$278,Cultivar_2_Cohort_Year_Selection=$V$278), ROUND(MAX(0,AD$512 - 2),0),
IF(AND(OR(AE$279=123, AE$279=13), Cultivar_1_Cohort_Year_Selection=$V$278,Cultivar_3_Cohort_Year_Selection=$V$278), ROUND(MAX(0,AD$512 - 2),0),
IF(AND(OR(AE$279=123, AE$279=23), Cultivar_2_Cohort_Year_Selection=$V$278,Cultivar_3_Cohort_Year_Selection=$V$278), ROUND(MAX(0,AD$512 - 2),0),
IF(AND(OR(AE$279=123, AE$279=12, AE$279=13, AE$279=1), Cultivar_1_Cohort_Year_Selection=$V$278), ROUND(MAX(0,AD$512 - 1),0),
IF(AND(OR(AE$279=123, AE$279=12, AE$279=23, AE$279=2), Cultivar_2_Cohort_Year_Selection=$V$278), ROUND(MAX(0,AD$512 - 1),0),
IF(AND(OR(AE$279=123, AE$279=13, AE$279=23, AE$279=3), Cultivar_3_Cohort_Year_Selection=$V$278), ROUND(MAX(0,AD$512 - 1),0),
ROUND(MAX(0,AD$512),0)))))))),""),""),"")</f>
        <v/>
      </c>
      <c r="AF515" s="17" t="str">
        <f t="shared" ref="AF515:AF523" si="406">IF(ISNUMBER($B$513),
IF($C515&lt;&gt;"",
IF(AND(ISNUMBER(AE$512), AE$512&gt;0),
IF(AND(AF$279=123, Cultivar_1_Cohort_Year_Selection=$W$278,Cultivar_2_Cohort_Year_Selection=$W$278,Cultivar_3_Cohort_Year_Selection=$W$278), ROUND(MAX(0,AE$512 - 3),0),
IF(AND(OR(AF$279=123, AF$279=12), Cultivar_1_Cohort_Year_Selection=$W$278,Cultivar_2_Cohort_Year_Selection=$W$278), ROUND(MAX(0,AE$512 - 2),0),
IF(AND(OR(AF$279=123, AF$279=13), Cultivar_1_Cohort_Year_Selection=$W$278,Cultivar_3_Cohort_Year_Selection=$W$278), ROUND(MAX(0,AE$512 - 2),0),
IF(AND(OR(AF$279=123, AF$279=23), Cultivar_2_Cohort_Year_Selection=$W$278,Cultivar_3_Cohort_Year_Selection=$W$278), ROUND(MAX(0,AE$512 - 2),0),
IF(AND(OR(AF$279=123, AF$279=12, AF$279=13, AF$279=1), Cultivar_1_Cohort_Year_Selection=$W$278), ROUND(MAX(0,AE$512 - 1),0),
IF(AND(OR(AF$279=123, AF$279=12, AF$279=23, AF$279=2), Cultivar_2_Cohort_Year_Selection=$W$278), ROUND(MAX(0,AE$512 - 1),0),
IF(AND(OR(AF$279=123, AF$279=13, AF$279=23, AF$279=3), Cultivar_3_Cohort_Year_Selection=$W$278), ROUND(MAX(0,AE$512 - 1),0),
ROUND(MAX(0,AE$512),0)))))))),""),""),"")</f>
        <v/>
      </c>
      <c r="AG515" s="17" t="str">
        <f t="shared" ref="AG515:AG523" si="407">IF(ISNUMBER($B$513),
IF($C515&lt;&gt;"",
IF(AND(ISNUMBER(AF$512), AF$512&gt;0),
IF(AND(AG$279=123, Cultivar_1_Cohort_Year_Selection=$X$278,Cultivar_2_Cohort_Year_Selection=$X$278,Cultivar_3_Cohort_Year_Selection=$X$278), ROUND(MAX(0,AF$512 - 3),0),
IF(AND(OR(AG$279=123, AG$279=12), Cultivar_1_Cohort_Year_Selection=$X$278,Cultivar_2_Cohort_Year_Selection=$X$278), ROUND(MAX(0,AF$512 - 2),0),
IF(AND(OR(AG$279=123, AG$279=13), Cultivar_1_Cohort_Year_Selection=$X$278,Cultivar_3_Cohort_Year_Selection=$X$278), ROUND(MAX(0,AF$512 - 2),0),
IF(AND(OR(AG$279=123, AG$279=23), Cultivar_2_Cohort_Year_Selection=$X$278,Cultivar_3_Cohort_Year_Selection=$X$278), ROUND(MAX(0,AF$512 - 2),0),
IF(AND(OR(AG$279=123, AG$279=12, AG$279=13, AG$279=1), Cultivar_1_Cohort_Year_Selection=$X$278), ROUND(MAX(0,AF$512 - 1),0),
IF(AND(OR(AG$279=123, AG$279=12, AG$279=23, AG$279=2), Cultivar_2_Cohort_Year_Selection=$X$278), ROUND(MAX(0,AF$512 - 1),0),
IF(AND(OR(AG$279=123, AG$279=13, AG$279=23, AG$279=3), Cultivar_3_Cohort_Year_Selection=$X$278), ROUND(MAX(0,AF$512 - 1),0),
ROUND(MAX(0,AF$512),0)))))))),""),""),"")</f>
        <v/>
      </c>
      <c r="AH515" s="17" t="str">
        <f t="shared" ref="AH515:AH523" si="408">IF(ISNUMBER($B$513),
IF($C515&lt;&gt;"",
IF(AND(ISNUMBER(AG$512), AG$512&gt;0),
IF(AND(AH$279=123, Cultivar_1_Cohort_Year_Selection=$Y$278,Cultivar_2_Cohort_Year_Selection=$Y$278,Cultivar_3_Cohort_Year_Selection=$Y$278), ROUND(MAX(0,AG$512 - 3),0),
IF(AND(OR(AH$279=123, AH$279=12), Cultivar_1_Cohort_Year_Selection=$Y$278,Cultivar_2_Cohort_Year_Selection=$Y$278), ROUND(MAX(0,AG$512 - 2),0),
IF(AND(OR(AH$279=123, AH$279=13), Cultivar_1_Cohort_Year_Selection=$Y$278,Cultivar_3_Cohort_Year_Selection=$Y$278), ROUND(MAX(0,AG$512 - 2),0),
IF(AND(OR(AH$279=123, AH$279=23), Cultivar_2_Cohort_Year_Selection=$Y$278,Cultivar_3_Cohort_Year_Selection=$Y$278), ROUND(MAX(0,AG$512 - 2),0),
IF(AND(OR(AH$279=123, AH$279=12, AH$279=13, AH$279=1), Cultivar_1_Cohort_Year_Selection=$Y$278), ROUND(MAX(0,AG$512 - 1),0),
IF(AND(OR(AH$279=123, AH$279=12, AH$279=23, AH$279=2), Cultivar_2_Cohort_Year_Selection=$Y$278), ROUND(MAX(0,AG$512 - 1),0),
IF(AND(OR(AH$279=123, AH$279=13, AH$279=23, AH$279=3), Cultivar_3_Cohort_Year_Selection=$Y$278), ROUND(MAX(0,AG$512 - 1),0),
ROUND(MAX(0,AG$512),0)))))))),""),""),"")</f>
        <v/>
      </c>
      <c r="AI515" s="17" t="str">
        <f t="shared" ref="AI515:AI523" si="409">IF(ISNUMBER($B$513),
IF($C515&lt;&gt;"",
IF(AND(ISNUMBER(AH$512), AH$512&gt;0),
IF(AND(AI$279=123, Cultivar_1_Cohort_Year_Selection=$Z$278,Cultivar_2_Cohort_Year_Selection=$Z$278,Cultivar_3_Cohort_Year_Selection=$Z$278), ROUND(MAX(0,AH$512 - 3),0),
IF(AND(OR(AI$279=123, AI$279=12), Cultivar_1_Cohort_Year_Selection=$Z$278,Cultivar_2_Cohort_Year_Selection=$Z$278), ROUND(MAX(0,AH$512 - 2),0),
IF(AND(OR(AI$279=123, AI$279=13), Cultivar_1_Cohort_Year_Selection=$Z$278,Cultivar_3_Cohort_Year_Selection=$Z$278), ROUND(MAX(0,AH$512 - 2),0),
IF(AND(OR(AI$279=123, AI$279=23), Cultivar_2_Cohort_Year_Selection=$Z$278,Cultivar_3_Cohort_Year_Selection=$Z$278), ROUND(MAX(0,AH$512 - 2),0),
IF(AND(OR(AI$279=123, AI$279=12, AI$279=13, AI$279=1), Cultivar_1_Cohort_Year_Selection=$Z$278), ROUND(MAX(0,AH$512 - 1),0),
IF(AND(OR(AI$279=123, AI$279=12, AI$279=23, AI$279=2), Cultivar_2_Cohort_Year_Selection=$Z$278), ROUND(MAX(0,AH$512 - 1),0),
IF(AND(OR(AI$279=123, AI$279=13, AI$279=23, AI$279=3), Cultivar_3_Cohort_Year_Selection=$Z$278), ROUND(MAX(0,AH$512 - 1),0),
ROUND(MAX(0,AH$512),0)))))))),""),""),"")</f>
        <v/>
      </c>
      <c r="AJ515" s="17" t="str">
        <f t="shared" ref="AJ515:AJ523" si="410">IF(ISNUMBER($B$513),
IF($C515&lt;&gt;"",
IF(AND(ISNUMBER(AI$512), AI$512&gt;0),
IF(AND(AJ$279=123, Cultivar_1_Cohort_Year_Selection=$AA$278,Cultivar_2_Cohort_Year_Selection=$AA$278,Cultivar_3_Cohort_Year_Selection=$AA$278), ROUND(MAX(0,AI$512 - 3),0),
IF(AND(OR(AJ$279=123, AJ$279=12), Cultivar_1_Cohort_Year_Selection=$AA$278,Cultivar_2_Cohort_Year_Selection=$AA$278), ROUND(MAX(0,AI$512 - 2),0),
IF(AND(OR(AJ$279=123, AJ$279=13), Cultivar_1_Cohort_Year_Selection=$AA$278,Cultivar_3_Cohort_Year_Selection=$AA$278), ROUND(MAX(0,AI$512 - 2),0),
IF(AND(OR(AJ$279=123, AJ$279=23), Cultivar_2_Cohort_Year_Selection=$AA$278,Cultivar_3_Cohort_Year_Selection=$AA$278), ROUND(MAX(0,AI$512 - 2),0),
IF(AND(OR(AJ$279=123, AJ$279=12, AJ$279=13, AJ$279=1), Cultivar_1_Cohort_Year_Selection=$AA$278), ROUND(MAX(0,AI$512 - 1),0),
IF(AND(OR(AJ$279=123, AJ$279=12, AJ$279=23, AJ$279=2), Cultivar_2_Cohort_Year_Selection=$AA$278), ROUND(MAX(0,AI$512 - 1),0),
IF(AND(OR(AJ$279=123, AJ$279=13, AJ$279=23, AJ$279=3), Cultivar_3_Cohort_Year_Selection=$AA$278), ROUND(MAX(0,AI$512 - 1),0),
ROUND(MAX(0,AI$512),0)))))))),""),""),"")</f>
        <v/>
      </c>
      <c r="AK515" s="17" t="str">
        <f t="shared" ref="AK515:AK523" si="411">IF(ISNUMBER($B$513),
IF($C515&lt;&gt;"",
IF(AND(ISNUMBER(AJ$512), AJ$512&gt;0),
IF(AND(AK$279=123, Cultivar_1_Cohort_Year_Selection=$AB$278,Cultivar_2_Cohort_Year_Selection=$AB$278,Cultivar_3_Cohort_Year_Selection=$AB$278), ROUND(MAX(0,AJ$512 - 3),0),
IF(AND(OR(AK$279=123, AK$279=12), Cultivar_1_Cohort_Year_Selection=$AB$278,Cultivar_2_Cohort_Year_Selection=$AB$278), ROUND(MAX(0,AJ$512 - 2),0),
IF(AND(OR(AK$279=123, AK$279=13), Cultivar_1_Cohort_Year_Selection=$AB$278,Cultivar_3_Cohort_Year_Selection=$AB$278), ROUND(MAX(0,AJ$512 - 2),0),
IF(AND(OR(AK$279=123, AK$279=23), Cultivar_2_Cohort_Year_Selection=$AB$278,Cultivar_3_Cohort_Year_Selection=$AB$278), ROUND(MAX(0,AJ$512 - 2),0),
IF(AND(OR(AK$279=123, AK$279=12, AK$279=13, AK$279=1), Cultivar_1_Cohort_Year_Selection=$AB$278), ROUND(MAX(0,AJ$512 - 1),0),
IF(AND(OR(AK$279=123, AK$279=12, AK$279=23, AK$279=2), Cultivar_2_Cohort_Year_Selection=$AB$278), ROUND(MAX(0,AJ$512 - 1),0),
IF(AND(OR(AK$279=123, AK$279=13, AK$279=23, AK$279=3), Cultivar_3_Cohort_Year_Selection=$AB$278), ROUND(MAX(0,AJ$512 - 1),0),
ROUND(MAX(0,AJ$512),0)))))))),""),""),"")</f>
        <v/>
      </c>
      <c r="AL515" s="17" t="str">
        <f t="shared" ref="AL515:AL523" si="412">IF(ISNUMBER($B$513),
IF($C515&lt;&gt;"",
IF(AND(ISNUMBER(AK$512), AK$512&gt;0),
IF(AND(AL$279=123, Cultivar_1_Cohort_Year_Selection=$AC$278,Cultivar_2_Cohort_Year_Selection=$AC$278,Cultivar_3_Cohort_Year_Selection=$AC$278), ROUND(MAX(0,AK$512 - 3),0),
IF(AND(OR(AL$279=123, AL$279=12), Cultivar_1_Cohort_Year_Selection=$AC$278,Cultivar_2_Cohort_Year_Selection=$AC$278), ROUND(MAX(0,AK$512 - 2),0),
IF(AND(OR(AL$279=123, AL$279=13), Cultivar_1_Cohort_Year_Selection=$AC$278,Cultivar_3_Cohort_Year_Selection=$AC$278), ROUND(MAX(0,AK$512 - 2),0),
IF(AND(OR(AL$279=123, AL$279=23), Cultivar_2_Cohort_Year_Selection=$AC$278,Cultivar_3_Cohort_Year_Selection=$AC$278), ROUND(MAX(0,AK$512 - 2),0),
IF(AND(OR(AL$279=123, AL$279=12, AL$279=13, AL$279=1), Cultivar_1_Cohort_Year_Selection=$AC$278), ROUND(MAX(0,AK$512 - 1),0),
IF(AND(OR(AL$279=123, AL$279=12, AL$279=23, AL$279=2), Cultivar_2_Cohort_Year_Selection=$AC$278), ROUND(MAX(0,AK$512 - 1),0),
IF(AND(OR(AL$279=123, AL$279=13, AL$279=23, AL$279=3), Cultivar_3_Cohort_Year_Selection=$AC$278), ROUND(MAX(0,AK$512 - 1),0),
ROUND(MAX(0,AK$512),0)))))))),""),""),"")</f>
        <v/>
      </c>
      <c r="AM515" s="17" t="str">
        <f t="shared" ref="AM515:AM523" si="413">IF(ISNUMBER($B$513),
IF($C515&lt;&gt;"",
IF(AND(ISNUMBER(AL$512), AL$512&gt;0),
IF(AND(AM$279=123, Cultivar_1_Cohort_Year_Selection=$AD$278,Cultivar_2_Cohort_Year_Selection=$AD$278,Cultivar_3_Cohort_Year_Selection=$AD$278), ROUND(MAX(0,AL$512 - 3),0),
IF(AND(OR(AM$279=123, AM$279=12), Cultivar_1_Cohort_Year_Selection=$AD$278,Cultivar_2_Cohort_Year_Selection=$AD$278), ROUND(MAX(0,AL$512 - 2),0),
IF(AND(OR(AM$279=123, AM$279=13), Cultivar_1_Cohort_Year_Selection=$AD$278,Cultivar_3_Cohort_Year_Selection=$AD$278), ROUND(MAX(0,AL$512 - 2),0),
IF(AND(OR(AM$279=123, AM$279=23), Cultivar_2_Cohort_Year_Selection=$AD$278,Cultivar_3_Cohort_Year_Selection=$AD$278), ROUND(MAX(0,AL$512 - 2),0),
IF(AND(OR(AM$279=123, AM$279=12, AM$279=13, AM$279=1), Cultivar_1_Cohort_Year_Selection=$AD$278), ROUND(MAX(0,AL$512 - 1),0),
IF(AND(OR(AM$279=123, AM$279=12, AM$279=23, AM$279=2), Cultivar_2_Cohort_Year_Selection=$AD$278), ROUND(MAX(0,AL$512 - 1),0),
IF(AND(OR(AM$279=123, AM$279=13, AM$279=23, AM$279=3), Cultivar_3_Cohort_Year_Selection=$AD$278), ROUND(MAX(0,AL$512 - 1),0),
ROUND(MAX(0,AL$512),0)))))))),""),""),"")</f>
        <v/>
      </c>
      <c r="AN515" s="17" t="str">
        <f t="shared" ref="AN515:AN523" si="414">IF(ISNUMBER($B$513),
IF($C515&lt;&gt;"",
IF(AND(ISNUMBER(AM$512), AM$512&gt;0),
IF(AND(AN$279=123, Cultivar_1_Cohort_Year_Selection=$AE$278,Cultivar_2_Cohort_Year_Selection=$AE$278,Cultivar_3_Cohort_Year_Selection=$AE$278), ROUND(MAX(0,AM$512 - 3),0),
IF(AND(OR(AN$279=123, AN$279=12), Cultivar_1_Cohort_Year_Selection=$AE$278,Cultivar_2_Cohort_Year_Selection=$AE$278), ROUND(MAX(0,AM$512 - 2),0),
IF(AND(OR(AN$279=123, AN$279=13), Cultivar_1_Cohort_Year_Selection=$AE$278,Cultivar_3_Cohort_Year_Selection=$AE$278), ROUND(MAX(0,AM$512 - 2),0),
IF(AND(OR(AN$279=123, AN$279=23), Cultivar_2_Cohort_Year_Selection=$AE$278,Cultivar_3_Cohort_Year_Selection=$AE$278), ROUND(MAX(0,AM$512 - 2),0),
IF(AND(OR(AN$279=123, AN$279=12, AN$279=13, AN$279=1), Cultivar_1_Cohort_Year_Selection=$AE$278), ROUND(MAX(0,AM$512 - 1),0),
IF(AND(OR(AN$279=123, AN$279=12, AN$279=23, AN$279=2), Cultivar_2_Cohort_Year_Selection=$AE$278), ROUND(MAX(0,AM$512 - 1),0),
IF(AND(OR(AN$279=123, AN$279=13, AN$279=23, AN$279=3), Cultivar_3_Cohort_Year_Selection=$AE$278), ROUND(MAX(0,AM$512 - 1),0),
ROUND(MAX(0,AM$512),0)))))))),""),""),"")</f>
        <v/>
      </c>
      <c r="AO515" s="17" t="str">
        <f t="shared" ref="AO515:AO523" si="415">IF(ISNUMBER($B$513),
IF($C515&lt;&gt;"",
IF(AND(ISNUMBER(AN$512), AN$512&gt;0),
IF(AND(AO$279=123, Cultivar_1_Cohort_Year_Selection=$AF$278,Cultivar_2_Cohort_Year_Selection=$AF$278,Cultivar_3_Cohort_Year_Selection=$AF$278), ROUND(MAX(0,AN$512 - 3),0),
IF(AND(OR(AO$279=123, AO$279=12), Cultivar_1_Cohort_Year_Selection=$AF$278,Cultivar_2_Cohort_Year_Selection=$AF$278), ROUND(MAX(0,AN$512 - 2),0),
IF(AND(OR(AO$279=123, AO$279=13), Cultivar_1_Cohort_Year_Selection=$AF$278,Cultivar_3_Cohort_Year_Selection=$AF$278), ROUND(MAX(0,AN$512 - 2),0),
IF(AND(OR(AO$279=123, AO$279=23), Cultivar_2_Cohort_Year_Selection=$AF$278,Cultivar_3_Cohort_Year_Selection=$AF$278), ROUND(MAX(0,AN$512 - 2),0),
IF(AND(OR(AO$279=123, AO$279=12, AO$279=13, AO$279=1), Cultivar_1_Cohort_Year_Selection=$AF$278), ROUND(MAX(0,AN$512 - 1),0),
IF(AND(OR(AO$279=123, AO$279=12, AO$279=23, AO$279=2), Cultivar_2_Cohort_Year_Selection=$AF$278), ROUND(MAX(0,AN$512 - 1),0),
IF(AND(OR(AO$279=123, AO$279=13, AO$279=23, AO$279=3), Cultivar_3_Cohort_Year_Selection=$AF$278), ROUND(MAX(0,AN$512 - 1),0),
ROUND(MAX(0,AN$512),0)))))))),""),""),"")</f>
        <v/>
      </c>
      <c r="AP515" s="17" t="str">
        <f t="shared" ref="AP515:AP523" si="416">IF(ISNUMBER($B$513),
IF($C515&lt;&gt;"",
IF(AND(ISNUMBER(AO$512), AO$512&gt;0),
IF(AND(AP$279=123, Cultivar_1_Cohort_Year_Selection=$AG$278,Cultivar_2_Cohort_Year_Selection=$AG$278,Cultivar_3_Cohort_Year_Selection=$AG$278), ROUND(MAX(0,AO$512 - 3),0),
IF(AND(OR(AP$279=123, AP$279=12), Cultivar_1_Cohort_Year_Selection=$AG$278,Cultivar_2_Cohort_Year_Selection=$AG$278), ROUND(MAX(0,AO$512 - 2),0),
IF(AND(OR(AP$279=123, AP$279=13), Cultivar_1_Cohort_Year_Selection=$AG$278,Cultivar_3_Cohort_Year_Selection=$AG$278), ROUND(MAX(0,AO$512 - 2),0),
IF(AND(OR(AP$279=123, AP$279=23), Cultivar_2_Cohort_Year_Selection=$AG$278,Cultivar_3_Cohort_Year_Selection=$AG$278), ROUND(MAX(0,AO$512 - 2),0),
IF(AND(OR(AP$279=123, AP$279=12, AP$279=13, AP$279=1), Cultivar_1_Cohort_Year_Selection=$AG$278), ROUND(MAX(0,AO$512 - 1),0),
IF(AND(OR(AP$279=123, AP$279=12, AP$279=23, AP$279=2), Cultivar_2_Cohort_Year_Selection=$AG$278), ROUND(MAX(0,AO$512 - 1),0),
IF(AND(OR(AP$279=123, AP$279=13, AP$279=23, AP$279=3), Cultivar_3_Cohort_Year_Selection=$AG$278), ROUND(MAX(0,AO$512 - 1),0),
ROUND(MAX(0,AO$512),0)))))))),""),""),"")</f>
        <v/>
      </c>
      <c r="AQ515" s="17" t="str">
        <f t="shared" ref="AQ515:AQ523" si="417">IF(ISNUMBER($B$513),
IF($C515&lt;&gt;"",
IF(AND(ISNUMBER(AP$512), AP$512&gt;0),
IF(AND(AQ$279=123, Cultivar_1_Cohort_Year_Selection=$AH$278,Cultivar_2_Cohort_Year_Selection=$AH$278,Cultivar_3_Cohort_Year_Selection=$AH$278), ROUND(MAX(0,AP$512 - 3),0),
IF(AND(OR(AQ$279=123, AQ$279=12), Cultivar_1_Cohort_Year_Selection=$AH$278,Cultivar_2_Cohort_Year_Selection=$AH$278), ROUND(MAX(0,AP$512 - 2),0),
IF(AND(OR(AQ$279=123, AQ$279=13), Cultivar_1_Cohort_Year_Selection=$AH$278,Cultivar_3_Cohort_Year_Selection=$AH$278), ROUND(MAX(0,AP$512 - 2),0),
IF(AND(OR(AQ$279=123, AQ$279=23), Cultivar_2_Cohort_Year_Selection=$AH$278,Cultivar_3_Cohort_Year_Selection=$AH$278), ROUND(MAX(0,AP$512 - 2),0),
IF(AND(OR(AQ$279=123, AQ$279=12, AQ$279=13, AQ$279=1), Cultivar_1_Cohort_Year_Selection=$AH$278), ROUND(MAX(0,AP$512 - 1),0),
IF(AND(OR(AQ$279=123, AQ$279=12, AQ$279=23, AQ$279=2), Cultivar_2_Cohort_Year_Selection=$AH$278), ROUND(MAX(0,AP$512 - 1),0),
IF(AND(OR(AQ$279=123, AQ$279=13, AQ$279=23, AQ$279=3), Cultivar_3_Cohort_Year_Selection=$AH$278), ROUND(MAX(0,AP$512 - 1),0),
ROUND(MAX(0,AP$512),0)))))))),""),""),"")</f>
        <v/>
      </c>
      <c r="AR515" s="17" t="str">
        <f t="shared" ref="AR515:AR523" si="418">IF(ISNUMBER($B$513),
IF($C515&lt;&gt;"",
IF(AND(ISNUMBER(AQ$512), AQ$512&gt;0),
IF(AND(AR$279=123, Cultivar_1_Cohort_Year_Selection=$AI$278,Cultivar_2_Cohort_Year_Selection=$AI$278,Cultivar_3_Cohort_Year_Selection=$AI$278), ROUND(MAX(0,AQ$512 - 3),0),
IF(AND(OR(AR$279=123, AR$279=12), Cultivar_1_Cohort_Year_Selection=$AI$278,Cultivar_2_Cohort_Year_Selection=$AI$278), ROUND(MAX(0,AQ$512 - 2),0),
IF(AND(OR(AR$279=123, AR$279=13), Cultivar_1_Cohort_Year_Selection=$AI$278,Cultivar_3_Cohort_Year_Selection=$AI$278), ROUND(MAX(0,AQ$512 - 2),0),
IF(AND(OR(AR$279=123, AR$279=23), Cultivar_2_Cohort_Year_Selection=$AI$278,Cultivar_3_Cohort_Year_Selection=$AI$278), ROUND(MAX(0,AQ$512 - 2),0),
IF(AND(OR(AR$279=123, AR$279=12, AR$279=13, AR$279=1), Cultivar_1_Cohort_Year_Selection=$AI$278), ROUND(MAX(0,AQ$512 - 1),0),
IF(AND(OR(AR$279=123, AR$279=12, AR$279=23, AR$279=2), Cultivar_2_Cohort_Year_Selection=$AI$278), ROUND(MAX(0,AQ$512 - 1),0),
IF(AND(OR(AR$279=123, AR$279=13, AR$279=23, AR$279=3), Cultivar_3_Cohort_Year_Selection=$AI$278), ROUND(MAX(0,AQ$512 - 1),0),
ROUND(MAX(0,AQ$512),0)))))))),""),""),"")</f>
        <v/>
      </c>
      <c r="AS515" s="17" t="str">
        <f t="shared" ref="AS515:AS523" si="419">IF(ISNUMBER($B$513),
IF($C515&lt;&gt;"",
IF(AND(ISNUMBER(AR$512), AR$512&gt;0),
IF(AND(AS$279=123, Cultivar_1_Cohort_Year_Selection=$AJ$278,Cultivar_2_Cohort_Year_Selection=$AJ$278,Cultivar_3_Cohort_Year_Selection=$AJ$278), ROUND(MAX(0,AR$512 - 3),0),
IF(AND(OR(AS$279=123, AS$279=12), Cultivar_1_Cohort_Year_Selection=$AJ$278,Cultivar_2_Cohort_Year_Selection=$AJ$278), ROUND(MAX(0,AR$512 - 2),0),
IF(AND(OR(AS$279=123, AS$279=13), Cultivar_1_Cohort_Year_Selection=$AJ$278,Cultivar_3_Cohort_Year_Selection=$AJ$278), ROUND(MAX(0,AR$512 - 2),0),
IF(AND(OR(AS$279=123, AS$279=23), Cultivar_2_Cohort_Year_Selection=$AJ$278,Cultivar_3_Cohort_Year_Selection=$AJ$278), ROUND(MAX(0,AR$512 - 2),0),
IF(AND(OR(AS$279=123, AS$279=12, AS$279=13, AS$279=1), Cultivar_1_Cohort_Year_Selection=$AJ$278), ROUND(MAX(0,AR$512 - 1),0),
IF(AND(OR(AS$279=123, AS$279=12, AS$279=23, AS$279=2), Cultivar_2_Cohort_Year_Selection=$AJ$278), ROUND(MAX(0,AR$512 - 1),0),
IF(AND(OR(AS$279=123, AS$279=13, AS$279=23, AS$279=3), Cultivar_3_Cohort_Year_Selection=$AJ$278), ROUND(MAX(0,AR$512 - 1),0),
ROUND(MAX(0,AR$512),0)))))))),""),""),"")</f>
        <v/>
      </c>
      <c r="AT515" s="17" t="str">
        <f t="shared" ref="AT515:AT523" si="420">IF(ISNUMBER($B$513),
IF($C515&lt;&gt;"",
IF(AND(ISNUMBER(AS$512), AS$512&gt;0),
IF(AND(AT$279=123, Cultivar_1_Cohort_Year_Selection=$AK$278,Cultivar_2_Cohort_Year_Selection=$AK$278,Cultivar_3_Cohort_Year_Selection=$AK$278), ROUND(MAX(0,AS$512 - 3),0),
IF(AND(OR(AT$279=123, AT$279=12), Cultivar_1_Cohort_Year_Selection=$AK$278,Cultivar_2_Cohort_Year_Selection=$AK$278), ROUND(MAX(0,AS$512 - 2),0),
IF(AND(OR(AT$279=123, AT$279=13), Cultivar_1_Cohort_Year_Selection=$AK$278,Cultivar_3_Cohort_Year_Selection=$AK$278), ROUND(MAX(0,AS$512 - 2),0),
IF(AND(OR(AT$279=123, AT$279=23), Cultivar_2_Cohort_Year_Selection=$AK$278,Cultivar_3_Cohort_Year_Selection=$AK$278), ROUND(MAX(0,AS$512 - 2),0),
IF(AND(OR(AT$279=123, AT$279=12, AT$279=13, AT$279=1), Cultivar_1_Cohort_Year_Selection=$AK$278), ROUND(MAX(0,AS$512 - 1),0),
IF(AND(OR(AT$279=123, AT$279=12, AT$279=23, AT$279=2), Cultivar_2_Cohort_Year_Selection=$AK$278), ROUND(MAX(0,AS$512 - 1),0),
IF(AND(OR(AT$279=123, AT$279=13, AT$279=23, AT$279=3), Cultivar_3_Cohort_Year_Selection=$AK$278), ROUND(MAX(0,AS$512 - 1),0),
ROUND(MAX(0,AS$512),0)))))))),""),""),"")</f>
        <v/>
      </c>
      <c r="AU515" s="17" t="str">
        <f t="shared" ref="AU515:AU523" si="421">IF(ISNUMBER($B$513),
IF($C515&lt;&gt;"",
IF(AND(ISNUMBER(AT$512), AT$512&gt;0),
IF(AND(AU$279=123, Cultivar_1_Cohort_Year_Selection=$AL$278,Cultivar_2_Cohort_Year_Selection=$AL$278,Cultivar_3_Cohort_Year_Selection=$AL$278), ROUND(MAX(0,AT$512 - 3),0),
IF(AND(OR(AU$279=123, AU$279=12), Cultivar_1_Cohort_Year_Selection=$AL$278,Cultivar_2_Cohort_Year_Selection=$AL$278), ROUND(MAX(0,AT$512 - 2),0),
IF(AND(OR(AU$279=123, AU$279=13), Cultivar_1_Cohort_Year_Selection=$AL$278,Cultivar_3_Cohort_Year_Selection=$AL$278), ROUND(MAX(0,AT$512 - 2),0),
IF(AND(OR(AU$279=123, AU$279=23), Cultivar_2_Cohort_Year_Selection=$AL$278,Cultivar_3_Cohort_Year_Selection=$AL$278), ROUND(MAX(0,AT$512 - 2),0),
IF(AND(OR(AU$279=123, AU$279=12, AU$279=13, AU$279=1), Cultivar_1_Cohort_Year_Selection=$AL$278), ROUND(MAX(0,AT$512 - 1),0),
IF(AND(OR(AU$279=123, AU$279=12, AU$279=23, AU$279=2), Cultivar_2_Cohort_Year_Selection=$AL$278), ROUND(MAX(0,AT$512 - 1),0),
IF(AND(OR(AU$279=123, AU$279=13, AU$279=23, AU$279=3), Cultivar_3_Cohort_Year_Selection=$AL$278), ROUND(MAX(0,AT$512 - 1),0),
ROUND(MAX(0,AT$512),0)))))))),""),""),"")</f>
        <v/>
      </c>
      <c r="AV515" s="17" t="str">
        <f t="shared" ref="AV515:AV523" si="422">IF(ISNUMBER($B$513),
IF($C515&lt;&gt;"",
IF(AND(ISNUMBER(AU$512), AU$512&gt;0),
IF(AND(AV$279=123, Cultivar_1_Cohort_Year_Selection=$AM$278,Cultivar_2_Cohort_Year_Selection=$AM$278,Cultivar_3_Cohort_Year_Selection=$AM$278), ROUND(MAX(0,AU$512 - 3),0),
IF(AND(OR(AV$279=123, AV$279=12), Cultivar_1_Cohort_Year_Selection=$AM$278,Cultivar_2_Cohort_Year_Selection=$AM$278), ROUND(MAX(0,AU$512 - 2),0),
IF(AND(OR(AV$279=123, AV$279=13), Cultivar_1_Cohort_Year_Selection=$AM$278,Cultivar_3_Cohort_Year_Selection=$AM$278), ROUND(MAX(0,AU$512 - 2),0),
IF(AND(OR(AV$279=123, AV$279=23), Cultivar_2_Cohort_Year_Selection=$AM$278,Cultivar_3_Cohort_Year_Selection=$AM$278), ROUND(MAX(0,AU$512 - 2),0),
IF(AND(OR(AV$279=123, AV$279=12, AV$279=13, AV$279=1), Cultivar_1_Cohort_Year_Selection=$AM$278), ROUND(MAX(0,AU$512 - 1),0),
IF(AND(OR(AV$279=123, AV$279=12, AV$279=23, AV$279=2), Cultivar_2_Cohort_Year_Selection=$AM$278), ROUND(MAX(0,AU$512 - 1),0),
IF(AND(OR(AV$279=123, AV$279=13, AV$279=23, AV$279=3), Cultivar_3_Cohort_Year_Selection=$AM$278), ROUND(MAX(0,AU$512 - 1),0),
ROUND(MAX(0,AU$512),0)))))))),""),""),"")</f>
        <v/>
      </c>
      <c r="AW515" s="17" t="str">
        <f t="shared" ref="AW515:AW523" si="423">IF(ISNUMBER($B$513),
IF($C515&lt;&gt;"",
IF(AND(ISNUMBER(AV$512), AV$512&gt;0),
IF(AND(AW$279=123, Cultivar_1_Cohort_Year_Selection=$AN$278,Cultivar_2_Cohort_Year_Selection=$AN$278,Cultivar_3_Cohort_Year_Selection=$AN$278), ROUND(MAX(0,AV$512 - 3),0),
IF(AND(OR(AW$279=123, AW$279=12), Cultivar_1_Cohort_Year_Selection=$AN$278,Cultivar_2_Cohort_Year_Selection=$AN$278), ROUND(MAX(0,AV$512 - 2),0),
IF(AND(OR(AW$279=123, AW$279=13), Cultivar_1_Cohort_Year_Selection=$AN$278,Cultivar_3_Cohort_Year_Selection=$AN$278), ROUND(MAX(0,AV$512 - 2),0),
IF(AND(OR(AW$279=123, AW$279=23), Cultivar_2_Cohort_Year_Selection=$AN$278,Cultivar_3_Cohort_Year_Selection=$AN$278), ROUND(MAX(0,AV$512 - 2),0),
IF(AND(OR(AW$279=123, AW$279=12, AW$279=13, AW$279=1), Cultivar_1_Cohort_Year_Selection=$AN$278), ROUND(MAX(0,AV$512 - 1),0),
IF(AND(OR(AW$279=123, AW$279=12, AW$279=23, AW$279=2), Cultivar_2_Cohort_Year_Selection=$AN$278), ROUND(MAX(0,AV$512 - 1),0),
IF(AND(OR(AW$279=123, AW$279=13, AW$279=23, AW$279=3), Cultivar_3_Cohort_Year_Selection=$AN$278), ROUND(MAX(0,AV$512 - 1),0),
ROUND(MAX(0,AV$512),0)))))))),""),""),"")</f>
        <v/>
      </c>
      <c r="AX515" s="17" t="str">
        <f t="shared" ref="AX515:AX523" si="424">IF(ISNUMBER($B$513),
IF($C515&lt;&gt;"",
IF(AND(ISNUMBER(AW$512), AW$512&gt;0),
IF(AND(AX$279=123, Cultivar_1_Cohort_Year_Selection=$AO$278,Cultivar_2_Cohort_Year_Selection=$AO$278,Cultivar_3_Cohort_Year_Selection=$AO$278), ROUND(MAX(0,AW$512 - 3),0),
IF(AND(OR(AX$279=123, AX$279=12), Cultivar_1_Cohort_Year_Selection=$AO$278,Cultivar_2_Cohort_Year_Selection=$AO$278), ROUND(MAX(0,AW$512 - 2),0),
IF(AND(OR(AX$279=123, AX$279=13), Cultivar_1_Cohort_Year_Selection=$AO$278,Cultivar_3_Cohort_Year_Selection=$AO$278), ROUND(MAX(0,AW$512 - 2),0),
IF(AND(OR(AX$279=123, AX$279=23), Cultivar_2_Cohort_Year_Selection=$AO$278,Cultivar_3_Cohort_Year_Selection=$AO$278), ROUND(MAX(0,AW$512 - 2),0),
IF(AND(OR(AX$279=123, AX$279=12, AX$279=13, AX$279=1), Cultivar_1_Cohort_Year_Selection=$AO$278), ROUND(MAX(0,AW$512 - 1),0),
IF(AND(OR(AX$279=123, AX$279=12, AX$279=23, AX$279=2), Cultivar_2_Cohort_Year_Selection=$AO$278), ROUND(MAX(0,AW$512 - 1),0),
IF(AND(OR(AX$279=123, AX$279=13, AX$279=23, AX$279=3), Cultivar_3_Cohort_Year_Selection=$AO$278), ROUND(MAX(0,AW$512 - 1),0),
ROUND(MAX(0,AW$512),0)))))))),""),""),"")</f>
        <v/>
      </c>
      <c r="AY515" s="17" t="str">
        <f t="shared" ref="AY515:AY523" si="425">IF(ISNUMBER($B$513),
IF($C515&lt;&gt;"",
IF(AND(ISNUMBER(AX$512), AX$512&gt;0),
IF(AND(AY$279=123, Cultivar_1_Cohort_Year_Selection=$AP$278,Cultivar_2_Cohort_Year_Selection=$AP$278,Cultivar_3_Cohort_Year_Selection=$AP$278), ROUND(MAX(0,AX$512 - 3),0),
IF(AND(OR(AY$279=123, AY$279=12), Cultivar_1_Cohort_Year_Selection=$AP$278,Cultivar_2_Cohort_Year_Selection=$AP$278), ROUND(MAX(0,AX$512 - 2),0),
IF(AND(OR(AY$279=123, AY$279=13), Cultivar_1_Cohort_Year_Selection=$AP$278,Cultivar_3_Cohort_Year_Selection=$AP$278), ROUND(MAX(0,AX$512 - 2),0),
IF(AND(OR(AY$279=123, AY$279=23), Cultivar_2_Cohort_Year_Selection=$AP$278,Cultivar_3_Cohort_Year_Selection=$AP$278), ROUND(MAX(0,AX$512 - 2),0),
IF(AND(OR(AY$279=123, AY$279=12, AY$279=13, AY$279=1), Cultivar_1_Cohort_Year_Selection=$AP$278), ROUND(MAX(0,AX$512 - 1),0),
IF(AND(OR(AY$279=123, AY$279=12, AY$279=23, AY$279=2), Cultivar_2_Cohort_Year_Selection=$AP$278), ROUND(MAX(0,AX$512 - 1),0),
IF(AND(OR(AY$279=123, AY$279=13, AY$279=23, AY$279=3), Cultivar_3_Cohort_Year_Selection=$AP$278), ROUND(MAX(0,AX$512 - 1),0),
ROUND(MAX(0,AX$512),0)))))))),""),""),"")</f>
        <v/>
      </c>
    </row>
    <row r="516" spans="1:51" x14ac:dyDescent="0.25">
      <c r="A516" s="518"/>
      <c r="B516" s="504"/>
      <c r="C516" s="107" t="str">
        <f>IF(AND(ISNUMBER(B513), OR('Cost Inputs'!$H$108&lt;&gt;"", 'Cost Inputs'!$I$108&lt;&gt;"", 'Cost Inputs'!$J$108&lt;&gt;"")), _4_3_2, "")</f>
        <v/>
      </c>
      <c r="D516" s="93" t="str">
        <f>IF(AND(C516&lt;&gt;"", 'Cost Inputs'!$G$108&lt;&gt;""), 'Cost Inputs'!$G$108, "")</f>
        <v/>
      </c>
      <c r="E516" s="93" t="str">
        <f>IF(AND(C516&lt;&gt;"", 'Cost Inputs'!$H$108&lt;&gt;""), 'Cost Inputs'!$H$108, "")</f>
        <v/>
      </c>
      <c r="F516" s="93" t="str">
        <f>IF(AND(C516&lt;&gt;"", 'Cost Inputs'!$I$108&lt;&gt;""), 'Cost Inputs'!$I$108, "")</f>
        <v/>
      </c>
      <c r="G516" s="108" t="str">
        <f t="shared" si="333"/>
        <v/>
      </c>
      <c r="H516" s="93" t="str">
        <f>IF(AND(C516&lt;&gt;"", 'Cost Inputs'!$J$108&lt;&gt;""), 'Cost Inputs'!$J$108, "")</f>
        <v/>
      </c>
      <c r="I516" s="93" t="str">
        <f t="shared" si="396"/>
        <v/>
      </c>
      <c r="J516" s="93" t="str">
        <f>IF(AND(C516&lt;&gt;"",('Cost Inputs'!$I$108+'Cost Inputs'!$J$108+'Cost Inputs'!$K$108)&gt;0), 'Cost Inputs'!$I$108+'Cost Inputs'!$J$108+'Cost Inputs'!$K$108, "")</f>
        <v/>
      </c>
      <c r="K516" s="93" t="str">
        <f t="shared" si="397"/>
        <v/>
      </c>
      <c r="L516" s="525"/>
      <c r="M516" s="525"/>
      <c r="X516" s="93" t="str">
        <f t="shared" si="398"/>
        <v/>
      </c>
      <c r="Y516" s="93" t="str">
        <f t="shared" si="399"/>
        <v/>
      </c>
      <c r="Z516" s="93" t="str">
        <f t="shared" si="400"/>
        <v/>
      </c>
      <c r="AA516" s="93" t="str">
        <f t="shared" si="401"/>
        <v/>
      </c>
      <c r="AB516" s="93" t="str">
        <f t="shared" si="402"/>
        <v/>
      </c>
      <c r="AC516" s="93" t="str">
        <f t="shared" si="403"/>
        <v/>
      </c>
      <c r="AD516" s="93" t="str">
        <f t="shared" si="404"/>
        <v/>
      </c>
      <c r="AE516" s="93" t="str">
        <f t="shared" si="405"/>
        <v/>
      </c>
      <c r="AF516" s="93" t="str">
        <f t="shared" si="406"/>
        <v/>
      </c>
      <c r="AG516" s="93" t="str">
        <f t="shared" si="407"/>
        <v/>
      </c>
      <c r="AH516" s="93" t="str">
        <f t="shared" si="408"/>
        <v/>
      </c>
      <c r="AI516" s="93" t="str">
        <f t="shared" si="409"/>
        <v/>
      </c>
      <c r="AJ516" s="93" t="str">
        <f t="shared" si="410"/>
        <v/>
      </c>
      <c r="AK516" s="93" t="str">
        <f t="shared" si="411"/>
        <v/>
      </c>
      <c r="AL516" s="93" t="str">
        <f t="shared" si="412"/>
        <v/>
      </c>
      <c r="AM516" s="93" t="str">
        <f t="shared" si="413"/>
        <v/>
      </c>
      <c r="AN516" s="93" t="str">
        <f t="shared" si="414"/>
        <v/>
      </c>
      <c r="AO516" s="93" t="str">
        <f t="shared" si="415"/>
        <v/>
      </c>
      <c r="AP516" s="93" t="str">
        <f t="shared" si="416"/>
        <v/>
      </c>
      <c r="AQ516" s="93" t="str">
        <f t="shared" si="417"/>
        <v/>
      </c>
      <c r="AR516" s="93" t="str">
        <f t="shared" si="418"/>
        <v/>
      </c>
      <c r="AS516" s="93" t="str">
        <f t="shared" si="419"/>
        <v/>
      </c>
      <c r="AT516" s="93" t="str">
        <f t="shared" si="420"/>
        <v/>
      </c>
      <c r="AU516" s="93" t="str">
        <f t="shared" si="421"/>
        <v/>
      </c>
      <c r="AV516" s="93" t="str">
        <f t="shared" si="422"/>
        <v/>
      </c>
      <c r="AW516" s="93" t="str">
        <f t="shared" si="423"/>
        <v/>
      </c>
      <c r="AX516" s="93" t="str">
        <f t="shared" si="424"/>
        <v/>
      </c>
      <c r="AY516" s="93" t="str">
        <f t="shared" si="425"/>
        <v/>
      </c>
    </row>
    <row r="517" spans="1:51" x14ac:dyDescent="0.25">
      <c r="A517" s="518"/>
      <c r="B517" s="504"/>
      <c r="C517" s="110" t="str">
        <f>IF(ISNUMBER(B513), _4_4_0, "")</f>
        <v/>
      </c>
      <c r="D517" s="94" t="str">
        <f>IF(AND(C517&lt;&gt;"", 'Cost Inputs'!$G$109&lt;&gt;""), 'Cost Inputs'!$G$109, "")</f>
        <v/>
      </c>
      <c r="E517" s="94" t="str">
        <f>IF(AND(C517&lt;&gt;"", 'Cost Inputs'!$H$109&lt;&gt;""), 'Cost Inputs'!$H$109, "")</f>
        <v/>
      </c>
      <c r="F517" s="94" t="str">
        <f>IF(AND(C517&lt;&gt;"", 'Cost Inputs'!$I$109&lt;&gt;""), 'Cost Inputs'!$I$109, "")</f>
        <v/>
      </c>
      <c r="G517" s="102" t="str">
        <f t="shared" si="333"/>
        <v/>
      </c>
      <c r="H517" s="102" t="str">
        <f>IF(AND(C517&lt;&gt;"", 'Cost Inputs'!$J$109&lt;&gt;""), 'Cost Inputs'!$J$109, "")</f>
        <v/>
      </c>
      <c r="I517" s="102" t="str">
        <f t="shared" si="396"/>
        <v/>
      </c>
      <c r="J517" s="102" t="str">
        <f>IF(AND(C517&lt;&gt;"",('Cost Inputs'!$I$109+'Cost Inputs'!$J$109+'Cost Inputs'!$K$109)&gt;0), 'Cost Inputs'!$I$109+'Cost Inputs'!$J$109+'Cost Inputs'!$K$109, "")</f>
        <v/>
      </c>
      <c r="K517" s="102" t="str">
        <f t="shared" si="397"/>
        <v/>
      </c>
      <c r="L517" s="525"/>
      <c r="M517" s="525"/>
      <c r="X517" s="102" t="str">
        <f t="shared" si="398"/>
        <v/>
      </c>
      <c r="Y517" s="102" t="str">
        <f t="shared" si="399"/>
        <v/>
      </c>
      <c r="Z517" s="102" t="str">
        <f t="shared" si="400"/>
        <v/>
      </c>
      <c r="AA517" s="102" t="str">
        <f t="shared" si="401"/>
        <v/>
      </c>
      <c r="AB517" s="102" t="str">
        <f t="shared" si="402"/>
        <v/>
      </c>
      <c r="AC517" s="102" t="str">
        <f t="shared" si="403"/>
        <v/>
      </c>
      <c r="AD517" s="102" t="str">
        <f t="shared" si="404"/>
        <v/>
      </c>
      <c r="AE517" s="102" t="str">
        <f t="shared" si="405"/>
        <v/>
      </c>
      <c r="AF517" s="102" t="str">
        <f t="shared" si="406"/>
        <v/>
      </c>
      <c r="AG517" s="102" t="str">
        <f t="shared" si="407"/>
        <v/>
      </c>
      <c r="AH517" s="102" t="str">
        <f t="shared" si="408"/>
        <v/>
      </c>
      <c r="AI517" s="102" t="str">
        <f t="shared" si="409"/>
        <v/>
      </c>
      <c r="AJ517" s="102" t="str">
        <f t="shared" si="410"/>
        <v/>
      </c>
      <c r="AK517" s="102" t="str">
        <f t="shared" si="411"/>
        <v/>
      </c>
      <c r="AL517" s="102" t="str">
        <f t="shared" si="412"/>
        <v/>
      </c>
      <c r="AM517" s="102" t="str">
        <f t="shared" si="413"/>
        <v/>
      </c>
      <c r="AN517" s="102" t="str">
        <f t="shared" si="414"/>
        <v/>
      </c>
      <c r="AO517" s="102" t="str">
        <f t="shared" si="415"/>
        <v/>
      </c>
      <c r="AP517" s="102" t="str">
        <f t="shared" si="416"/>
        <v/>
      </c>
      <c r="AQ517" s="102" t="str">
        <f t="shared" si="417"/>
        <v/>
      </c>
      <c r="AR517" s="102" t="str">
        <f t="shared" si="418"/>
        <v/>
      </c>
      <c r="AS517" s="102" t="str">
        <f t="shared" si="419"/>
        <v/>
      </c>
      <c r="AT517" s="102" t="str">
        <f t="shared" si="420"/>
        <v/>
      </c>
      <c r="AU517" s="102" t="str">
        <f t="shared" si="421"/>
        <v/>
      </c>
      <c r="AV517" s="102" t="str">
        <f t="shared" si="422"/>
        <v/>
      </c>
      <c r="AW517" s="102" t="str">
        <f t="shared" si="423"/>
        <v/>
      </c>
      <c r="AX517" s="102" t="str">
        <f t="shared" si="424"/>
        <v/>
      </c>
      <c r="AY517" s="102" t="str">
        <f t="shared" si="425"/>
        <v/>
      </c>
    </row>
    <row r="518" spans="1:51" x14ac:dyDescent="0.25">
      <c r="A518" s="518"/>
      <c r="B518" s="504"/>
      <c r="C518" s="104" t="str">
        <f>IF(AND(ISNUMBER(B513), OR('Cost Inputs'!$H$110&lt;&gt;"", 'Cost Inputs'!$I$110&lt;&gt;"", 'Cost Inputs'!$J$110&lt;&gt;"")), _4_4_1, "")</f>
        <v/>
      </c>
      <c r="D518" s="17" t="str">
        <f>IF(AND(C518&lt;&gt;"", 'Cost Inputs'!$G$110&lt;&gt;""), 'Cost Inputs'!$G$110, "")</f>
        <v/>
      </c>
      <c r="E518" s="17" t="str">
        <f>IF(AND(C518&lt;&gt;"", 'Cost Inputs'!$H$110&lt;&gt;""), 'Cost Inputs'!$H$110, "")</f>
        <v/>
      </c>
      <c r="F518" s="17" t="str">
        <f>IF(AND(C518&lt;&gt;"", 'Cost Inputs'!$I$110&lt;&gt;""), 'Cost Inputs'!$I$110, "")</f>
        <v/>
      </c>
      <c r="G518" s="105" t="str">
        <f t="shared" si="333"/>
        <v/>
      </c>
      <c r="H518" s="17" t="str">
        <f>IF(AND(C518&lt;&gt;"", 'Cost Inputs'!$J$110&lt;&gt;""), 'Cost Inputs'!$J$110, "")</f>
        <v/>
      </c>
      <c r="I518" s="17" t="str">
        <f t="shared" si="396"/>
        <v/>
      </c>
      <c r="J518" s="17" t="str">
        <f>IF(AND(C518&lt;&gt;"",('Cost Inputs'!$I$110+'Cost Inputs'!$J$110+'Cost Inputs'!$K$110)&gt;0), 'Cost Inputs'!$I$110+'Cost Inputs'!$J$110+'Cost Inputs'!$K$110, "")</f>
        <v/>
      </c>
      <c r="K518" s="17" t="str">
        <f t="shared" si="397"/>
        <v/>
      </c>
      <c r="L518" s="525"/>
      <c r="M518" s="525"/>
      <c r="X518" s="17" t="str">
        <f t="shared" si="398"/>
        <v/>
      </c>
      <c r="Y518" s="17" t="str">
        <f t="shared" si="399"/>
        <v/>
      </c>
      <c r="Z518" s="17" t="str">
        <f t="shared" si="400"/>
        <v/>
      </c>
      <c r="AA518" s="17" t="str">
        <f t="shared" si="401"/>
        <v/>
      </c>
      <c r="AB518" s="17" t="str">
        <f t="shared" si="402"/>
        <v/>
      </c>
      <c r="AC518" s="17" t="str">
        <f t="shared" si="403"/>
        <v/>
      </c>
      <c r="AD518" s="17" t="str">
        <f t="shared" si="404"/>
        <v/>
      </c>
      <c r="AE518" s="17" t="str">
        <f t="shared" si="405"/>
        <v/>
      </c>
      <c r="AF518" s="17" t="str">
        <f t="shared" si="406"/>
        <v/>
      </c>
      <c r="AG518" s="17" t="str">
        <f t="shared" si="407"/>
        <v/>
      </c>
      <c r="AH518" s="17" t="str">
        <f t="shared" si="408"/>
        <v/>
      </c>
      <c r="AI518" s="17" t="str">
        <f t="shared" si="409"/>
        <v/>
      </c>
      <c r="AJ518" s="17" t="str">
        <f t="shared" si="410"/>
        <v/>
      </c>
      <c r="AK518" s="17" t="str">
        <f t="shared" si="411"/>
        <v/>
      </c>
      <c r="AL518" s="17" t="str">
        <f t="shared" si="412"/>
        <v/>
      </c>
      <c r="AM518" s="17" t="str">
        <f t="shared" si="413"/>
        <v/>
      </c>
      <c r="AN518" s="17" t="str">
        <f t="shared" si="414"/>
        <v/>
      </c>
      <c r="AO518" s="17" t="str">
        <f t="shared" si="415"/>
        <v/>
      </c>
      <c r="AP518" s="17" t="str">
        <f t="shared" si="416"/>
        <v/>
      </c>
      <c r="AQ518" s="17" t="str">
        <f t="shared" si="417"/>
        <v/>
      </c>
      <c r="AR518" s="17" t="str">
        <f t="shared" si="418"/>
        <v/>
      </c>
      <c r="AS518" s="17" t="str">
        <f t="shared" si="419"/>
        <v/>
      </c>
      <c r="AT518" s="17" t="str">
        <f t="shared" si="420"/>
        <v/>
      </c>
      <c r="AU518" s="17" t="str">
        <f t="shared" si="421"/>
        <v/>
      </c>
      <c r="AV518" s="17" t="str">
        <f t="shared" si="422"/>
        <v/>
      </c>
      <c r="AW518" s="17" t="str">
        <f t="shared" si="423"/>
        <v/>
      </c>
      <c r="AX518" s="17" t="str">
        <f t="shared" si="424"/>
        <v/>
      </c>
      <c r="AY518" s="17" t="str">
        <f t="shared" si="425"/>
        <v/>
      </c>
    </row>
    <row r="519" spans="1:51" x14ac:dyDescent="0.25">
      <c r="A519" s="518"/>
      <c r="B519" s="504"/>
      <c r="C519" s="107" t="str">
        <f>IF(AND(ISNUMBER(B513), OR('Cost Inputs'!$H$111&lt;&gt;"", 'Cost Inputs'!$I$111&lt;&gt;"", 'Cost Inputs'!$J$111&lt;&gt;"")), _4_4_2, "")</f>
        <v/>
      </c>
      <c r="D519" s="93" t="str">
        <f>IF(AND(C519&lt;&gt;"", 'Cost Inputs'!$G$111&lt;&gt;""), 'Cost Inputs'!$G$111, "")</f>
        <v/>
      </c>
      <c r="E519" s="93" t="str">
        <f>IF(AND(C519&lt;&gt;"", 'Cost Inputs'!$H$111&lt;&gt;""), 'Cost Inputs'!$H$111, "")</f>
        <v/>
      </c>
      <c r="F519" s="93" t="str">
        <f>IF(AND(C519&lt;&gt;"", 'Cost Inputs'!$I$111&lt;&gt;""), 'Cost Inputs'!$I$111, "")</f>
        <v/>
      </c>
      <c r="G519" s="108" t="str">
        <f t="shared" si="333"/>
        <v/>
      </c>
      <c r="H519" s="93" t="str">
        <f>IF(AND(C519&lt;&gt;"", 'Cost Inputs'!$J$111&lt;&gt;""), 'Cost Inputs'!$J$111, "")</f>
        <v/>
      </c>
      <c r="I519" s="93" t="str">
        <f t="shared" si="396"/>
        <v/>
      </c>
      <c r="J519" s="93" t="str">
        <f>IF(AND(C519&lt;&gt;"",('Cost Inputs'!$I$111+'Cost Inputs'!$J$111+'Cost Inputs'!$K$111)&gt;0), 'Cost Inputs'!$I$111+'Cost Inputs'!$J$111+'Cost Inputs'!$K$111, "")</f>
        <v/>
      </c>
      <c r="K519" s="93" t="str">
        <f t="shared" si="397"/>
        <v/>
      </c>
      <c r="L519" s="525"/>
      <c r="M519" s="525"/>
      <c r="X519" s="93" t="str">
        <f t="shared" si="398"/>
        <v/>
      </c>
      <c r="Y519" s="93" t="str">
        <f t="shared" si="399"/>
        <v/>
      </c>
      <c r="Z519" s="93" t="str">
        <f t="shared" si="400"/>
        <v/>
      </c>
      <c r="AA519" s="93" t="str">
        <f t="shared" si="401"/>
        <v/>
      </c>
      <c r="AB519" s="93" t="str">
        <f t="shared" si="402"/>
        <v/>
      </c>
      <c r="AC519" s="93" t="str">
        <f t="shared" si="403"/>
        <v/>
      </c>
      <c r="AD519" s="93" t="str">
        <f t="shared" si="404"/>
        <v/>
      </c>
      <c r="AE519" s="93" t="str">
        <f t="shared" si="405"/>
        <v/>
      </c>
      <c r="AF519" s="93" t="str">
        <f t="shared" si="406"/>
        <v/>
      </c>
      <c r="AG519" s="93" t="str">
        <f t="shared" si="407"/>
        <v/>
      </c>
      <c r="AH519" s="93" t="str">
        <f t="shared" si="408"/>
        <v/>
      </c>
      <c r="AI519" s="93" t="str">
        <f t="shared" si="409"/>
        <v/>
      </c>
      <c r="AJ519" s="93" t="str">
        <f t="shared" si="410"/>
        <v/>
      </c>
      <c r="AK519" s="93" t="str">
        <f t="shared" si="411"/>
        <v/>
      </c>
      <c r="AL519" s="93" t="str">
        <f t="shared" si="412"/>
        <v/>
      </c>
      <c r="AM519" s="93" t="str">
        <f t="shared" si="413"/>
        <v/>
      </c>
      <c r="AN519" s="93" t="str">
        <f t="shared" si="414"/>
        <v/>
      </c>
      <c r="AO519" s="93" t="str">
        <f t="shared" si="415"/>
        <v/>
      </c>
      <c r="AP519" s="93" t="str">
        <f t="shared" si="416"/>
        <v/>
      </c>
      <c r="AQ519" s="93" t="str">
        <f t="shared" si="417"/>
        <v/>
      </c>
      <c r="AR519" s="93" t="str">
        <f t="shared" si="418"/>
        <v/>
      </c>
      <c r="AS519" s="93" t="str">
        <f t="shared" si="419"/>
        <v/>
      </c>
      <c r="AT519" s="93" t="str">
        <f t="shared" si="420"/>
        <v/>
      </c>
      <c r="AU519" s="93" t="str">
        <f t="shared" si="421"/>
        <v/>
      </c>
      <c r="AV519" s="93" t="str">
        <f t="shared" si="422"/>
        <v/>
      </c>
      <c r="AW519" s="93" t="str">
        <f t="shared" si="423"/>
        <v/>
      </c>
      <c r="AX519" s="93" t="str">
        <f t="shared" si="424"/>
        <v/>
      </c>
      <c r="AY519" s="93" t="str">
        <f t="shared" si="425"/>
        <v/>
      </c>
    </row>
    <row r="520" spans="1:51" x14ac:dyDescent="0.25">
      <c r="A520" s="518"/>
      <c r="B520" s="504"/>
      <c r="C520" s="104" t="str">
        <f>IF(AND(ISNUMBER(B513), OR('Cost Inputs'!$H$112&lt;&gt;"", 'Cost Inputs'!$I$112&lt;&gt;"", 'Cost Inputs'!$J$112&lt;&gt;"")), _4_4_3, "")</f>
        <v/>
      </c>
      <c r="D520" s="17" t="str">
        <f>IF(AND(C520&lt;&gt;"", 'Cost Inputs'!$G$112&lt;&gt;""), 'Cost Inputs'!$G$112, "")</f>
        <v/>
      </c>
      <c r="E520" s="17" t="str">
        <f>IF(AND(C520&lt;&gt;"", 'Cost Inputs'!$H$112&lt;&gt;""), 'Cost Inputs'!$H$112, "")</f>
        <v/>
      </c>
      <c r="F520" s="17" t="str">
        <f>IF(AND(C520&lt;&gt;"", 'Cost Inputs'!$I$112&lt;&gt;""), 'Cost Inputs'!$I$112, "")</f>
        <v/>
      </c>
      <c r="G520" s="105" t="str">
        <f t="shared" si="333"/>
        <v/>
      </c>
      <c r="H520" s="17" t="str">
        <f>IF(AND(C520&lt;&gt;"", 'Cost Inputs'!$J$112&lt;&gt;""), 'Cost Inputs'!$J$112, "")</f>
        <v/>
      </c>
      <c r="I520" s="17" t="str">
        <f t="shared" si="396"/>
        <v/>
      </c>
      <c r="J520" s="17" t="str">
        <f>IF(AND(C520&lt;&gt;"",('Cost Inputs'!$I$112+'Cost Inputs'!$J$112+'Cost Inputs'!$K$112)&gt;0), 'Cost Inputs'!$I$112+'Cost Inputs'!$J$112+'Cost Inputs'!$K$112, "")</f>
        <v/>
      </c>
      <c r="K520" s="17" t="str">
        <f t="shared" si="397"/>
        <v/>
      </c>
      <c r="L520" s="525"/>
      <c r="M520" s="525"/>
      <c r="X520" s="17" t="str">
        <f t="shared" si="398"/>
        <v/>
      </c>
      <c r="Y520" s="17" t="str">
        <f t="shared" si="399"/>
        <v/>
      </c>
      <c r="Z520" s="17" t="str">
        <f t="shared" si="400"/>
        <v/>
      </c>
      <c r="AA520" s="17" t="str">
        <f t="shared" si="401"/>
        <v/>
      </c>
      <c r="AB520" s="17" t="str">
        <f t="shared" si="402"/>
        <v/>
      </c>
      <c r="AC520" s="17" t="str">
        <f t="shared" si="403"/>
        <v/>
      </c>
      <c r="AD520" s="17" t="str">
        <f t="shared" si="404"/>
        <v/>
      </c>
      <c r="AE520" s="17" t="str">
        <f t="shared" si="405"/>
        <v/>
      </c>
      <c r="AF520" s="17" t="str">
        <f t="shared" si="406"/>
        <v/>
      </c>
      <c r="AG520" s="17" t="str">
        <f t="shared" si="407"/>
        <v/>
      </c>
      <c r="AH520" s="17" t="str">
        <f t="shared" si="408"/>
        <v/>
      </c>
      <c r="AI520" s="17" t="str">
        <f t="shared" si="409"/>
        <v/>
      </c>
      <c r="AJ520" s="17" t="str">
        <f t="shared" si="410"/>
        <v/>
      </c>
      <c r="AK520" s="17" t="str">
        <f t="shared" si="411"/>
        <v/>
      </c>
      <c r="AL520" s="17" t="str">
        <f t="shared" si="412"/>
        <v/>
      </c>
      <c r="AM520" s="17" t="str">
        <f t="shared" si="413"/>
        <v/>
      </c>
      <c r="AN520" s="17" t="str">
        <f t="shared" si="414"/>
        <v/>
      </c>
      <c r="AO520" s="17" t="str">
        <f t="shared" si="415"/>
        <v/>
      </c>
      <c r="AP520" s="17" t="str">
        <f t="shared" si="416"/>
        <v/>
      </c>
      <c r="AQ520" s="17" t="str">
        <f t="shared" si="417"/>
        <v/>
      </c>
      <c r="AR520" s="17" t="str">
        <f t="shared" si="418"/>
        <v/>
      </c>
      <c r="AS520" s="17" t="str">
        <f t="shared" si="419"/>
        <v/>
      </c>
      <c r="AT520" s="17" t="str">
        <f t="shared" si="420"/>
        <v/>
      </c>
      <c r="AU520" s="17" t="str">
        <f t="shared" si="421"/>
        <v/>
      </c>
      <c r="AV520" s="17" t="str">
        <f t="shared" si="422"/>
        <v/>
      </c>
      <c r="AW520" s="17" t="str">
        <f t="shared" si="423"/>
        <v/>
      </c>
      <c r="AX520" s="17" t="str">
        <f t="shared" si="424"/>
        <v/>
      </c>
      <c r="AY520" s="17" t="str">
        <f t="shared" si="425"/>
        <v/>
      </c>
    </row>
    <row r="521" spans="1:51" x14ac:dyDescent="0.25">
      <c r="A521" s="518"/>
      <c r="B521" s="504"/>
      <c r="C521" s="107" t="str">
        <f>IF(AND(ISNUMBER(B513), OR('Cost Inputs'!$H$113&lt;&gt;"", 'Cost Inputs'!$I$113&lt;&gt;"", 'Cost Inputs'!$J$113&lt;&gt;"")), _4_4_4, "")</f>
        <v/>
      </c>
      <c r="D521" s="93" t="str">
        <f>IF(AND(C521&lt;&gt;"", 'Cost Inputs'!$G$113&lt;&gt;""), 'Cost Inputs'!$G$113, "")</f>
        <v/>
      </c>
      <c r="E521" s="93" t="str">
        <f>IF(AND(C521&lt;&gt;"", 'Cost Inputs'!$H$113&lt;&gt;""), 'Cost Inputs'!$H$113, "")</f>
        <v/>
      </c>
      <c r="F521" s="93" t="str">
        <f>IF(AND(C521&lt;&gt;"", 'Cost Inputs'!$I$113&lt;&gt;""), 'Cost Inputs'!$I$113, "")</f>
        <v/>
      </c>
      <c r="G521" s="108" t="str">
        <f t="shared" si="333"/>
        <v/>
      </c>
      <c r="H521" s="93" t="str">
        <f>IF(AND(C521&lt;&gt;"", 'Cost Inputs'!$J$113&lt;&gt;""), 'Cost Inputs'!$J$113, "")</f>
        <v/>
      </c>
      <c r="I521" s="93" t="str">
        <f t="shared" si="396"/>
        <v/>
      </c>
      <c r="J521" s="93" t="str">
        <f>IF(AND(C521&lt;&gt;"",('Cost Inputs'!$I$113+'Cost Inputs'!$J$113+'Cost Inputs'!$K$113)&gt;0), 'Cost Inputs'!$I$113+'Cost Inputs'!$J$113+'Cost Inputs'!$K$113, "")</f>
        <v/>
      </c>
      <c r="K521" s="93" t="str">
        <f t="shared" si="397"/>
        <v/>
      </c>
      <c r="L521" s="525"/>
      <c r="M521" s="525"/>
      <c r="X521" s="93" t="str">
        <f t="shared" si="398"/>
        <v/>
      </c>
      <c r="Y521" s="93" t="str">
        <f t="shared" si="399"/>
        <v/>
      </c>
      <c r="Z521" s="93" t="str">
        <f t="shared" si="400"/>
        <v/>
      </c>
      <c r="AA521" s="93" t="str">
        <f t="shared" si="401"/>
        <v/>
      </c>
      <c r="AB521" s="93" t="str">
        <f t="shared" si="402"/>
        <v/>
      </c>
      <c r="AC521" s="93" t="str">
        <f t="shared" si="403"/>
        <v/>
      </c>
      <c r="AD521" s="93" t="str">
        <f t="shared" si="404"/>
        <v/>
      </c>
      <c r="AE521" s="93" t="str">
        <f t="shared" si="405"/>
        <v/>
      </c>
      <c r="AF521" s="93" t="str">
        <f t="shared" si="406"/>
        <v/>
      </c>
      <c r="AG521" s="93" t="str">
        <f t="shared" si="407"/>
        <v/>
      </c>
      <c r="AH521" s="93" t="str">
        <f t="shared" si="408"/>
        <v/>
      </c>
      <c r="AI521" s="93" t="str">
        <f t="shared" si="409"/>
        <v/>
      </c>
      <c r="AJ521" s="93" t="str">
        <f t="shared" si="410"/>
        <v/>
      </c>
      <c r="AK521" s="93" t="str">
        <f t="shared" si="411"/>
        <v/>
      </c>
      <c r="AL521" s="93" t="str">
        <f t="shared" si="412"/>
        <v/>
      </c>
      <c r="AM521" s="93" t="str">
        <f t="shared" si="413"/>
        <v/>
      </c>
      <c r="AN521" s="93" t="str">
        <f t="shared" si="414"/>
        <v/>
      </c>
      <c r="AO521" s="93" t="str">
        <f t="shared" si="415"/>
        <v/>
      </c>
      <c r="AP521" s="93" t="str">
        <f t="shared" si="416"/>
        <v/>
      </c>
      <c r="AQ521" s="93" t="str">
        <f t="shared" si="417"/>
        <v/>
      </c>
      <c r="AR521" s="93" t="str">
        <f t="shared" si="418"/>
        <v/>
      </c>
      <c r="AS521" s="93" t="str">
        <f t="shared" si="419"/>
        <v/>
      </c>
      <c r="AT521" s="93" t="str">
        <f t="shared" si="420"/>
        <v/>
      </c>
      <c r="AU521" s="93" t="str">
        <f t="shared" si="421"/>
        <v/>
      </c>
      <c r="AV521" s="93" t="str">
        <f t="shared" si="422"/>
        <v/>
      </c>
      <c r="AW521" s="93" t="str">
        <f t="shared" si="423"/>
        <v/>
      </c>
      <c r="AX521" s="93" t="str">
        <f t="shared" si="424"/>
        <v/>
      </c>
      <c r="AY521" s="93" t="str">
        <f t="shared" si="425"/>
        <v/>
      </c>
    </row>
    <row r="522" spans="1:51" x14ac:dyDescent="0.25">
      <c r="A522" s="518"/>
      <c r="B522" s="504"/>
      <c r="C522" s="104" t="str">
        <f>IF(AND(ISNUMBER(B513), OR('Cost Inputs'!$H$114&lt;&gt;"", 'Cost Inputs'!$I$114&lt;&gt;"", 'Cost Inputs'!$J$114&lt;&gt;"")), _4_4_5, "")</f>
        <v/>
      </c>
      <c r="D522" s="17" t="str">
        <f>IF(AND(C522&lt;&gt;"", 'Cost Inputs'!$G$114&lt;&gt;""), 'Cost Inputs'!$G$114, "")</f>
        <v/>
      </c>
      <c r="E522" s="17" t="str">
        <f>IF(AND(C522&lt;&gt;"", 'Cost Inputs'!$H$114&lt;&gt;""), 'Cost Inputs'!$H$114, "")</f>
        <v/>
      </c>
      <c r="F522" s="17" t="str">
        <f>IF(AND(C522&lt;&gt;"", 'Cost Inputs'!$I$114&lt;&gt;""), 'Cost Inputs'!$I$114, "")</f>
        <v/>
      </c>
      <c r="G522" s="105" t="str">
        <f t="shared" si="333"/>
        <v/>
      </c>
      <c r="H522" s="17" t="str">
        <f>IF(AND(C522&lt;&gt;"", 'Cost Inputs'!$J$114&lt;&gt;""), 'Cost Inputs'!$J$114, "")</f>
        <v/>
      </c>
      <c r="I522" s="17" t="str">
        <f t="shared" si="396"/>
        <v/>
      </c>
      <c r="J522" s="17" t="str">
        <f>IF(AND(C522&lt;&gt;"",('Cost Inputs'!$I$114+'Cost Inputs'!$J$114+'Cost Inputs'!$K$114)&gt;0), 'Cost Inputs'!$I$114+'Cost Inputs'!$J$114+'Cost Inputs'!$K$114, "")</f>
        <v/>
      </c>
      <c r="K522" s="17" t="str">
        <f t="shared" si="397"/>
        <v/>
      </c>
      <c r="L522" s="525"/>
      <c r="M522" s="525"/>
      <c r="X522" s="17" t="str">
        <f t="shared" si="398"/>
        <v/>
      </c>
      <c r="Y522" s="17" t="str">
        <f t="shared" si="399"/>
        <v/>
      </c>
      <c r="Z522" s="17" t="str">
        <f t="shared" si="400"/>
        <v/>
      </c>
      <c r="AA522" s="17" t="str">
        <f t="shared" si="401"/>
        <v/>
      </c>
      <c r="AB522" s="17" t="str">
        <f t="shared" si="402"/>
        <v/>
      </c>
      <c r="AC522" s="17" t="str">
        <f t="shared" si="403"/>
        <v/>
      </c>
      <c r="AD522" s="17" t="str">
        <f t="shared" si="404"/>
        <v/>
      </c>
      <c r="AE522" s="17" t="str">
        <f t="shared" si="405"/>
        <v/>
      </c>
      <c r="AF522" s="17" t="str">
        <f t="shared" si="406"/>
        <v/>
      </c>
      <c r="AG522" s="17" t="str">
        <f t="shared" si="407"/>
        <v/>
      </c>
      <c r="AH522" s="17" t="str">
        <f t="shared" si="408"/>
        <v/>
      </c>
      <c r="AI522" s="17" t="str">
        <f t="shared" si="409"/>
        <v/>
      </c>
      <c r="AJ522" s="17" t="str">
        <f t="shared" si="410"/>
        <v/>
      </c>
      <c r="AK522" s="17" t="str">
        <f t="shared" si="411"/>
        <v/>
      </c>
      <c r="AL522" s="17" t="str">
        <f t="shared" si="412"/>
        <v/>
      </c>
      <c r="AM522" s="17" t="str">
        <f t="shared" si="413"/>
        <v/>
      </c>
      <c r="AN522" s="17" t="str">
        <f t="shared" si="414"/>
        <v/>
      </c>
      <c r="AO522" s="17" t="str">
        <f t="shared" si="415"/>
        <v/>
      </c>
      <c r="AP522" s="17" t="str">
        <f t="shared" si="416"/>
        <v/>
      </c>
      <c r="AQ522" s="17" t="str">
        <f t="shared" si="417"/>
        <v/>
      </c>
      <c r="AR522" s="17" t="str">
        <f t="shared" si="418"/>
        <v/>
      </c>
      <c r="AS522" s="17" t="str">
        <f t="shared" si="419"/>
        <v/>
      </c>
      <c r="AT522" s="17" t="str">
        <f t="shared" si="420"/>
        <v/>
      </c>
      <c r="AU522" s="17" t="str">
        <f t="shared" si="421"/>
        <v/>
      </c>
      <c r="AV522" s="17" t="str">
        <f t="shared" si="422"/>
        <v/>
      </c>
      <c r="AW522" s="17" t="str">
        <f t="shared" si="423"/>
        <v/>
      </c>
      <c r="AX522" s="17" t="str">
        <f t="shared" si="424"/>
        <v/>
      </c>
      <c r="AY522" s="17" t="str">
        <f t="shared" si="425"/>
        <v/>
      </c>
    </row>
    <row r="523" spans="1:51" x14ac:dyDescent="0.25">
      <c r="A523" s="518"/>
      <c r="B523" s="504"/>
      <c r="C523" s="107" t="str">
        <f>IF(AND(ISNUMBER(B513), OR('Cost Inputs'!$H$115&lt;&gt;"", 'Cost Inputs'!$I$115&lt;&gt;"", 'Cost Inputs'!$J$115&lt;&gt;"")), _4_4_6, "")</f>
        <v/>
      </c>
      <c r="D523" s="93" t="str">
        <f>IF(AND(C523&lt;&gt;"", 'Cost Inputs'!$G$115&lt;&gt;""), 'Cost Inputs'!$G$115, "")</f>
        <v/>
      </c>
      <c r="E523" s="93" t="str">
        <f>IF(AND(C523&lt;&gt;"", 'Cost Inputs'!$H$115&lt;&gt;""), 'Cost Inputs'!$H$115, "")</f>
        <v/>
      </c>
      <c r="F523" s="93" t="str">
        <f>IF(AND(C523&lt;&gt;"", 'Cost Inputs'!$I$115&lt;&gt;""), 'Cost Inputs'!$I$115, "")</f>
        <v/>
      </c>
      <c r="G523" s="108" t="str">
        <f t="shared" si="333"/>
        <v/>
      </c>
      <c r="H523" s="93" t="str">
        <f>IF(AND(C523&lt;&gt;"", 'Cost Inputs'!$J$115&lt;&gt;""), 'Cost Inputs'!$J$115, "")</f>
        <v/>
      </c>
      <c r="I523" s="93" t="str">
        <f t="shared" si="396"/>
        <v/>
      </c>
      <c r="J523" s="93" t="str">
        <f>IF(AND(C523&lt;&gt;"",('Cost Inputs'!$I$115+'Cost Inputs'!$J$115+'Cost Inputs'!$K$115)&gt;0), 'Cost Inputs'!$I$115+'Cost Inputs'!$J$115+'Cost Inputs'!$K$115, "")</f>
        <v/>
      </c>
      <c r="K523" s="93" t="str">
        <f t="shared" si="397"/>
        <v/>
      </c>
      <c r="L523" s="525"/>
      <c r="M523" s="525"/>
      <c r="X523" s="93" t="str">
        <f t="shared" si="398"/>
        <v/>
      </c>
      <c r="Y523" s="93" t="str">
        <f t="shared" si="399"/>
        <v/>
      </c>
      <c r="Z523" s="93" t="str">
        <f t="shared" si="400"/>
        <v/>
      </c>
      <c r="AA523" s="93" t="str">
        <f t="shared" si="401"/>
        <v/>
      </c>
      <c r="AB523" s="93" t="str">
        <f t="shared" si="402"/>
        <v/>
      </c>
      <c r="AC523" s="93" t="str">
        <f t="shared" si="403"/>
        <v/>
      </c>
      <c r="AD523" s="93" t="str">
        <f t="shared" si="404"/>
        <v/>
      </c>
      <c r="AE523" s="93" t="str">
        <f t="shared" si="405"/>
        <v/>
      </c>
      <c r="AF523" s="93" t="str">
        <f t="shared" si="406"/>
        <v/>
      </c>
      <c r="AG523" s="93" t="str">
        <f t="shared" si="407"/>
        <v/>
      </c>
      <c r="AH523" s="93" t="str">
        <f t="shared" si="408"/>
        <v/>
      </c>
      <c r="AI523" s="93" t="str">
        <f t="shared" si="409"/>
        <v/>
      </c>
      <c r="AJ523" s="93" t="str">
        <f t="shared" si="410"/>
        <v/>
      </c>
      <c r="AK523" s="93" t="str">
        <f t="shared" si="411"/>
        <v/>
      </c>
      <c r="AL523" s="93" t="str">
        <f t="shared" si="412"/>
        <v/>
      </c>
      <c r="AM523" s="93" t="str">
        <f t="shared" si="413"/>
        <v/>
      </c>
      <c r="AN523" s="93" t="str">
        <f t="shared" si="414"/>
        <v/>
      </c>
      <c r="AO523" s="93" t="str">
        <f t="shared" si="415"/>
        <v/>
      </c>
      <c r="AP523" s="93" t="str">
        <f t="shared" si="416"/>
        <v/>
      </c>
      <c r="AQ523" s="93" t="str">
        <f t="shared" si="417"/>
        <v/>
      </c>
      <c r="AR523" s="93" t="str">
        <f t="shared" si="418"/>
        <v/>
      </c>
      <c r="AS523" s="93" t="str">
        <f t="shared" si="419"/>
        <v/>
      </c>
      <c r="AT523" s="93" t="str">
        <f t="shared" si="420"/>
        <v/>
      </c>
      <c r="AU523" s="93" t="str">
        <f t="shared" si="421"/>
        <v/>
      </c>
      <c r="AV523" s="93" t="str">
        <f t="shared" si="422"/>
        <v/>
      </c>
      <c r="AW523" s="93" t="str">
        <f t="shared" si="423"/>
        <v/>
      </c>
      <c r="AX523" s="93" t="str">
        <f t="shared" si="424"/>
        <v/>
      </c>
      <c r="AY523" s="93" t="str">
        <f t="shared" si="425"/>
        <v/>
      </c>
    </row>
    <row r="524" spans="1:51" x14ac:dyDescent="0.25">
      <c r="A524" s="518"/>
      <c r="B524" s="504"/>
      <c r="C524" s="489" t="str">
        <f>IF('Model_ of_individuals'!C517&lt;&gt;"", "Percentage decrease in marker culling","")</f>
        <v/>
      </c>
      <c r="D524" s="490"/>
      <c r="E524" s="490"/>
      <c r="F524" s="490"/>
      <c r="G524" s="490"/>
      <c r="H524" s="490"/>
      <c r="I524" s="490"/>
      <c r="J524" s="490"/>
      <c r="K524" s="491"/>
      <c r="L524" s="525"/>
      <c r="M524" s="525"/>
      <c r="X524" s="17" t="str">
        <f>IF(OR('Breeding Inputs'!$I$17="Y",'Model_ of_individuals'!$C517&lt;&gt;""),
IF('Breeding Inputs'!$I$44="Y",
IF(OR('Breeding Inputs'!$I$45=1), 25%,
IF('Breeding Inputs'!$I$44="N",
IF('Breeding Inputs'!$I$45=1,
IF(ISNUMBER('Breeding Inputs'!$I$46),'Breeding Inputs'!$I$46,""),""),"")),""),"")</f>
        <v/>
      </c>
      <c r="Y524" s="17" t="str">
        <f>IF(OR('Breeding Inputs'!$I$17="Y",'Model_ of_individuals'!$C517&lt;&gt;""),
IF('Breeding Inputs'!$I$44="Y",
IF(OR('Breeding Inputs'!$I$45=1), 25%,
IF(ISNUMBER(X524), X524,
IF('Breeding Inputs'!$I$44="N",
IF(OR('Breeding Inputs'!$I$45=1),
IF(ISNUMBER('Breeding Inputs'!$I$46),'Breeding Inputs'!$I$46,""),""),""))),""),"")</f>
        <v/>
      </c>
      <c r="Z524" s="17" t="str">
        <f>IF(OR('Breeding Inputs'!$I$17="Y",'Model_ of_individuals'!$C517&lt;&gt;""),
IF('Breeding Inputs'!$I$44="Y",
IF(OR('Breeding Inputs'!$I$45=1, 'Breeding Inputs'!$I$45=2), 25%,
IF(ISNUMBER(Y524), Y524,
IF('Breeding Inputs'!$I$44="N",
IF(OR('Breeding Inputs'!$I$45=1, 'Breeding Inputs'!$I$45=2),
IF(ISNUMBER('Breeding Inputs'!$I$46),'Breeding Inputs'!$I$46,""),""),""))),""),"")</f>
        <v/>
      </c>
      <c r="AA524" s="17" t="str">
        <f>IF(OR('Breeding Inputs'!$I$17="Y",'Model_ of_individuals'!$C517&lt;&gt;""),
IF('Breeding Inputs'!$I$44="Y",
IF(OR('Breeding Inputs'!$I$45=1, 'Breeding Inputs'!$I$45=3), 25%,
IF(ISNUMBER(Z524), Z524,
IF('Breeding Inputs'!$I$44="N",
IF(OR('Breeding Inputs'!$I$45=1, 'Breeding Inputs'!$I$45=3),
IF(ISNUMBER('Breeding Inputs'!$I$46),'Breeding Inputs'!$I$46,""),""),""))),""),"")</f>
        <v/>
      </c>
      <c r="AB524" s="17" t="str">
        <f>IF(OR('Breeding Inputs'!$I$17="Y",'Model_ of_individuals'!$C517&lt;&gt;""),
IF('Breeding Inputs'!$I$44="Y",
IF(OR('Breeding Inputs'!$I$45=1, 'Breeding Inputs'!$I$45=2, 'Breeding Inputs'!$I$45=4), 25%,
IF(ISNUMBER(AA524), AA524,
IF('Breeding Inputs'!$I$44="N",
IF(OR('Breeding Inputs'!$I$45=1, 'Breeding Inputs'!$I$45=2, 'Breeding Inputs'!$I$45=4),
IF(ISNUMBER('Breeding Inputs'!$I$46),'Breeding Inputs'!$I$46,""),""),""))),""),"")</f>
        <v/>
      </c>
      <c r="AC524" s="17" t="str">
        <f>IF(OR('Breeding Inputs'!$I$17="Y",'Model_ of_individuals'!$C517&lt;&gt;""),
IF('Breeding Inputs'!$I$44="Y",
IF(OR('Breeding Inputs'!$I$45=1, 'Breeding Inputs'!$I$45=5), 25%,
IF(ISNUMBER(AB524), AB524,
IF('Breeding Inputs'!$I$44="N",
IF(OR('Breeding Inputs'!$I$45=1, 'Breeding Inputs'!$I$45=5),
IF(ISNUMBER('Breeding Inputs'!$I$46),'Breeding Inputs'!$I$46,""),""),""))),""),"")</f>
        <v/>
      </c>
      <c r="AD524" s="17" t="str">
        <f>IF(OR('Breeding Inputs'!$I$17="Y",'Model_ of_individuals'!$C517&lt;&gt;""),
IF('Breeding Inputs'!$I$44="Y",
IF(OR('Breeding Inputs'!$I$45=1, 'Breeding Inputs'!$I$45=2, 'Breeding Inputs'!$I$45=3, 'Breeding Inputs'!$I$45=6), 25%,
IF(ISNUMBER(AC524), AC524,
IF('Breeding Inputs'!$I$44="N",
IF(OR('Breeding Inputs'!$I$45=1, 'Breeding Inputs'!$I$45=2, 'Breeding Inputs'!$I$45=3, 'Breeding Inputs'!$I$45=6),
IF(ISNUMBER('Breeding Inputs'!$I$46),'Breeding Inputs'!$I$46,""),""),""))),""),"")</f>
        <v/>
      </c>
      <c r="AE524" s="17" t="str">
        <f>IF(OR('Breeding Inputs'!$I$17="Y",'Model_ of_individuals'!$C517&lt;&gt;""),
IF('Breeding Inputs'!$I$44="Y",
IF(OR('Breeding Inputs'!$I$45=1, 'Breeding Inputs'!$I$45=7), 25%,
IF(ISNUMBER(AD524), AD524,
IF('Breeding Inputs'!$I$44="N",
IF(OR('Breeding Inputs'!$I$45=1, 'Breeding Inputs'!$I$45=7),
IF(ISNUMBER('Breeding Inputs'!$I$46),'Breeding Inputs'!$I$46,""),""),""))),""),"")</f>
        <v/>
      </c>
      <c r="AF524" s="17" t="str">
        <f>IF(OR('Breeding Inputs'!$I$17="Y",'Model_ of_individuals'!$C517&lt;&gt;""),
IF('Breeding Inputs'!$I$44="Y",
IF(OR('Breeding Inputs'!$I$45=1, 'Breeding Inputs'!$I$45=2, 'Breeding Inputs'!$I$45=4, 'Breeding Inputs'!$I$45=8), 25%,
IF(ISNUMBER(AE524), AE524,
IF('Breeding Inputs'!$I$44="N",
IF(OR('Breeding Inputs'!$I$45=1, 'Breeding Inputs'!$I$45=2, 'Breeding Inputs'!$I$45=4, 'Breeding Inputs'!$I$45=8),
IF(ISNUMBER('Breeding Inputs'!$I$46),'Breeding Inputs'!$I$46,""),""),""))),""),"")</f>
        <v/>
      </c>
      <c r="AG524" s="17" t="str">
        <f>IF(OR('Breeding Inputs'!$I$17="Y",'Model_ of_individuals'!$C517&lt;&gt;""),
IF('Breeding Inputs'!$I$44="Y",
IF(OR('Breeding Inputs'!$I$45=1, 'Breeding Inputs'!$I$45=3, 'Breeding Inputs'!$I$45=9), 25%,
IF(ISNUMBER(AF524), AF524,
IF('Breeding Inputs'!$I$44="N",
IF(OR('Breeding Inputs'!$I$45=1, 'Breeding Inputs'!$I$45=3, 'Breeding Inputs'!$I$45=9),
IF(ISNUMBER('Breeding Inputs'!$I$46),'Breeding Inputs'!$I$46,""),""),""))),""),"")</f>
        <v/>
      </c>
      <c r="AH524" s="17" t="str">
        <f>IF(OR('Breeding Inputs'!$I$17="Y",'Model_ of_individuals'!$C517&lt;&gt;""),
IF('Breeding Inputs'!$I$44="Y",
IF(OR('Breeding Inputs'!$I$45=1, 'Breeding Inputs'!$I$45=3, 'Breeding Inputs'!$I$45=9), 25%,
IF(ISNUMBER(AG524), AG524,
IF('Breeding Inputs'!$I$44="N",
IF(OR('Breeding Inputs'!$I$45=1, 'Breeding Inputs'!$I$45=3, 'Breeding Inputs'!$I$45=9),
IF(ISNUMBER('Breeding Inputs'!$I$46),'Breeding Inputs'!$I$46,""),""),""))),""),"")</f>
        <v/>
      </c>
      <c r="AI524" s="17" t="str">
        <f>IF(OR('Breeding Inputs'!$I$17="Y",'Model_ of_individuals'!$C517&lt;&gt;""),
IF('Breeding Inputs'!$I$44="Y",
IF(OR('Breeding Inputs'!$I$45=1, 'Breeding Inputs'!$I$45=3, 'Breeding Inputs'!$I$45=9), 25%,
IF(ISNUMBER(AH524), AH524,
IF('Breeding Inputs'!$I$44="N",
IF(OR('Breeding Inputs'!$I$45=1, 'Breeding Inputs'!$I$45=3, 'Breeding Inputs'!$I$45=9),
IF(ISNUMBER('Breeding Inputs'!$I$46),'Breeding Inputs'!$I$46,""),""),""))),""),"")</f>
        <v/>
      </c>
      <c r="AJ524" s="17" t="str">
        <f>IF(OR('Breeding Inputs'!$I$17="Y",'Model_ of_individuals'!$C517&lt;&gt;""),
IF('Breeding Inputs'!$I$44="Y",
IF(OR('Breeding Inputs'!$I$45=1, 'Breeding Inputs'!$I$45=3, 'Breeding Inputs'!$I$45=9), 25%,
IF(ISNUMBER(AI524), AI524,
IF('Breeding Inputs'!$I$44="N",
IF(OR('Breeding Inputs'!$I$45=1, 'Breeding Inputs'!$I$45=3, 'Breeding Inputs'!$I$45=9),
IF(ISNUMBER('Breeding Inputs'!$I$46),'Breeding Inputs'!$I$46,""),""),""))),""),"")</f>
        <v/>
      </c>
      <c r="AK524" s="17" t="str">
        <f>IF(OR('Breeding Inputs'!$I$17="Y",'Model_ of_individuals'!$C517&lt;&gt;""),
IF('Breeding Inputs'!$I$44="Y",
IF(OR('Breeding Inputs'!$I$45=1, 'Breeding Inputs'!$I$45=3, 'Breeding Inputs'!$I$45=9), 25%,
IF(ISNUMBER(AJ524), AJ524,
IF('Breeding Inputs'!$I$44="N",
IF(OR('Breeding Inputs'!$I$45=1, 'Breeding Inputs'!$I$45=3, 'Breeding Inputs'!$I$45=9),
IF(ISNUMBER('Breeding Inputs'!$I$46),'Breeding Inputs'!$I$46,""),""),""))),""),"")</f>
        <v/>
      </c>
      <c r="AL524" s="17" t="str">
        <f>IF(OR('Breeding Inputs'!$I$17="Y",'Model_ of_individuals'!$C517&lt;&gt;""),
IF('Breeding Inputs'!$I$44="Y",
IF(OR('Breeding Inputs'!$I$45=1, 'Breeding Inputs'!$I$45=3, 'Breeding Inputs'!$I$45=9), 25%,
IF(ISNUMBER(AK524), AK524,
IF('Breeding Inputs'!$I$44="N",
IF(OR('Breeding Inputs'!$I$45=1, 'Breeding Inputs'!$I$45=3, 'Breeding Inputs'!$I$45=9),
IF(ISNUMBER('Breeding Inputs'!$I$46),'Breeding Inputs'!$I$46,""),""),""))),""),"")</f>
        <v/>
      </c>
      <c r="AM524" s="17" t="str">
        <f>IF(OR('Breeding Inputs'!$I$17="Y",'Model_ of_individuals'!$C517&lt;&gt;""),
IF('Breeding Inputs'!$I$44="Y",
IF(OR('Breeding Inputs'!$I$45=1, 'Breeding Inputs'!$I$45=3, 'Breeding Inputs'!$I$45=9), 25%,
IF(ISNUMBER(AL524), AL524,
IF('Breeding Inputs'!$I$44="N",
IF(OR('Breeding Inputs'!$I$45=1, 'Breeding Inputs'!$I$45=3, 'Breeding Inputs'!$I$45=9),
IF(ISNUMBER('Breeding Inputs'!$I$46),'Breeding Inputs'!$I$46,""),""),""))),""),"")</f>
        <v/>
      </c>
      <c r="AN524" s="17" t="str">
        <f>IF(OR('Breeding Inputs'!$I$17="Y",'Model_ of_individuals'!$C517&lt;&gt;""),
IF('Breeding Inputs'!$I$44="Y",
IF(OR('Breeding Inputs'!$I$45=1, 'Breeding Inputs'!$I$45=3, 'Breeding Inputs'!$I$45=9), 25%,
IF(ISNUMBER(AM524), AM524,
IF('Breeding Inputs'!$I$44="N",
IF(OR('Breeding Inputs'!$I$45=1, 'Breeding Inputs'!$I$45=3, 'Breeding Inputs'!$I$45=9),
IF(ISNUMBER('Breeding Inputs'!$I$46),'Breeding Inputs'!$I$46,""),""),""))),""),"")</f>
        <v/>
      </c>
      <c r="AO524" s="17" t="str">
        <f>IF(OR('Breeding Inputs'!$I$17="Y",'Model_ of_individuals'!$C517&lt;&gt;""),
IF('Breeding Inputs'!$I$44="Y",
IF(OR('Breeding Inputs'!$I$45=1, 'Breeding Inputs'!$I$45=3, 'Breeding Inputs'!$I$45=9), 25%,
IF(ISNUMBER(AN524), AN524,
IF('Breeding Inputs'!$I$44="N",
IF(OR('Breeding Inputs'!$I$45=1, 'Breeding Inputs'!$I$45=3, 'Breeding Inputs'!$I$45=9),
IF(ISNUMBER('Breeding Inputs'!$I$46),'Breeding Inputs'!$I$46,""),""),""))),""),"")</f>
        <v/>
      </c>
      <c r="AP524" s="17" t="str">
        <f>IF(OR('Breeding Inputs'!$I$17="Y",'Model_ of_individuals'!$C517&lt;&gt;""),
IF('Breeding Inputs'!$I$44="Y",
IF(OR('Breeding Inputs'!$I$45=1, 'Breeding Inputs'!$I$45=3, 'Breeding Inputs'!$I$45=9), 25%,
IF(ISNUMBER(AO524), AO524,
IF('Breeding Inputs'!$I$44="N",
IF(OR('Breeding Inputs'!$I$45=1, 'Breeding Inputs'!$I$45=3, 'Breeding Inputs'!$I$45=9),
IF(ISNUMBER('Breeding Inputs'!$I$46),'Breeding Inputs'!$I$46,""),""),""))),""),"")</f>
        <v/>
      </c>
      <c r="AQ524" s="17" t="str">
        <f>IF(OR('Breeding Inputs'!$I$17="Y",'Model_ of_individuals'!$C517&lt;&gt;""),
IF('Breeding Inputs'!$I$44="Y",
IF(OR('Breeding Inputs'!$I$45=1, 'Breeding Inputs'!$I$45=3, 'Breeding Inputs'!$I$45=9), 25%,
IF(ISNUMBER(AP524), AP524,
IF('Breeding Inputs'!$I$44="N",
IF(OR('Breeding Inputs'!$I$45=1, 'Breeding Inputs'!$I$45=3, 'Breeding Inputs'!$I$45=9),
IF(ISNUMBER('Breeding Inputs'!$I$46),'Breeding Inputs'!$I$46,""),""),""))),""),"")</f>
        <v/>
      </c>
      <c r="AR524" s="17" t="str">
        <f>IF(OR('Breeding Inputs'!$I$17="Y",'Model_ of_individuals'!$C517&lt;&gt;""),
IF('Breeding Inputs'!$I$44="Y",
IF(OR('Breeding Inputs'!$I$45=1, 'Breeding Inputs'!$I$45=3, 'Breeding Inputs'!$I$45=9), 25%,
IF(ISNUMBER(AQ524), AQ524,
IF('Breeding Inputs'!$I$44="N",
IF(OR('Breeding Inputs'!$I$45=1, 'Breeding Inputs'!$I$45=3, 'Breeding Inputs'!$I$45=9),
IF(ISNUMBER('Breeding Inputs'!$I$46),'Breeding Inputs'!$I$46,""),""),""))),""),"")</f>
        <v/>
      </c>
      <c r="AS524" s="17" t="str">
        <f>IF(OR('Breeding Inputs'!$I$17="Y",'Model_ of_individuals'!$C517&lt;&gt;""),
IF('Breeding Inputs'!$I$44="Y",
IF(OR('Breeding Inputs'!$I$45=1, 'Breeding Inputs'!$I$45=3, 'Breeding Inputs'!$I$45=9), 25%,
IF(ISNUMBER(AR524), AR524,
IF('Breeding Inputs'!$I$44="N",
IF(OR('Breeding Inputs'!$I$45=1, 'Breeding Inputs'!$I$45=3, 'Breeding Inputs'!$I$45=9),
IF(ISNUMBER('Breeding Inputs'!$I$46),'Breeding Inputs'!$I$46,""),""),""))),""),"")</f>
        <v/>
      </c>
      <c r="AT524" s="17" t="str">
        <f>IF(OR('Breeding Inputs'!$I$17="Y",'Model_ of_individuals'!$C517&lt;&gt;""),
IF('Breeding Inputs'!$I$44="Y",
IF(OR('Breeding Inputs'!$I$45=1, 'Breeding Inputs'!$I$45=3, 'Breeding Inputs'!$I$45=9), 25%,
IF(ISNUMBER(AS524), AS524,
IF('Breeding Inputs'!$I$44="N",
IF(OR('Breeding Inputs'!$I$45=1, 'Breeding Inputs'!$I$45=3, 'Breeding Inputs'!$I$45=9),
IF(ISNUMBER('Breeding Inputs'!$I$46),'Breeding Inputs'!$I$46,""),""),""))),""),"")</f>
        <v/>
      </c>
      <c r="AU524" s="17" t="str">
        <f>IF(OR('Breeding Inputs'!$I$17="Y",'Model_ of_individuals'!$C517&lt;&gt;""),
IF('Breeding Inputs'!$I$44="Y",
IF(OR('Breeding Inputs'!$I$45=1, 'Breeding Inputs'!$I$45=3, 'Breeding Inputs'!$I$45=9), 25%,
IF(ISNUMBER(AT524), AT524,
IF('Breeding Inputs'!$I$44="N",
IF(OR('Breeding Inputs'!$I$45=1, 'Breeding Inputs'!$I$45=3, 'Breeding Inputs'!$I$45=9),
IF(ISNUMBER('Breeding Inputs'!$I$46),'Breeding Inputs'!$I$46,""),""),""))),""),"")</f>
        <v/>
      </c>
      <c r="AV524" s="17" t="str">
        <f>IF(OR('Breeding Inputs'!$I$17="Y",'Model_ of_individuals'!$C517&lt;&gt;""),
IF('Breeding Inputs'!$I$44="Y",
IF(OR('Breeding Inputs'!$I$45=1, 'Breeding Inputs'!$I$45=3, 'Breeding Inputs'!$I$45=9), 25%,
IF(ISNUMBER(AU524), AU524,
IF('Breeding Inputs'!$I$44="N",
IF(OR('Breeding Inputs'!$I$45=1, 'Breeding Inputs'!$I$45=3, 'Breeding Inputs'!$I$45=9),
IF(ISNUMBER('Breeding Inputs'!$I$46),'Breeding Inputs'!$I$46,""),""),""))),""),"")</f>
        <v/>
      </c>
      <c r="AW524" s="17" t="str">
        <f>IF(OR('Breeding Inputs'!$I$17="Y",'Model_ of_individuals'!$C517&lt;&gt;""),
IF('Breeding Inputs'!$I$44="Y",
IF(OR('Breeding Inputs'!$I$45=1, 'Breeding Inputs'!$I$45=3, 'Breeding Inputs'!$I$45=9), 25%,
IF(ISNUMBER(AV524), AV524,
IF('Breeding Inputs'!$I$44="N",
IF(OR('Breeding Inputs'!$I$45=1, 'Breeding Inputs'!$I$45=3, 'Breeding Inputs'!$I$45=9),
IF(ISNUMBER('Breeding Inputs'!$I$46),'Breeding Inputs'!$I$46,""),""),""))),""),"")</f>
        <v/>
      </c>
      <c r="AX524" s="17" t="str">
        <f>IF(OR('Breeding Inputs'!$I$17="Y",'Model_ of_individuals'!$C517&lt;&gt;""),
IF('Breeding Inputs'!$I$44="Y",
IF(OR('Breeding Inputs'!$I$45=1, 'Breeding Inputs'!$I$45=3, 'Breeding Inputs'!$I$45=9), 25%,
IF(ISNUMBER(AW524), AW524,
IF('Breeding Inputs'!$I$44="N",
IF(OR('Breeding Inputs'!$I$45=1, 'Breeding Inputs'!$I$45=3, 'Breeding Inputs'!$I$45=9),
IF(ISNUMBER('Breeding Inputs'!$I$46),'Breeding Inputs'!$I$46,""),""),""))),""),"")</f>
        <v/>
      </c>
      <c r="AY524" s="17" t="str">
        <f>IF(OR('Breeding Inputs'!$I$17="Y",'Model_ of_individuals'!$C517&lt;&gt;""),
IF('Breeding Inputs'!$I$44="Y",
IF(OR('Breeding Inputs'!$I$45=1, 'Breeding Inputs'!$I$45=3, 'Breeding Inputs'!$I$45=9), 25%,
IF(ISNUMBER(AX524), AX524,
IF('Breeding Inputs'!$I$44="N",
IF(OR('Breeding Inputs'!$I$45=1, 'Breeding Inputs'!$I$45=3, 'Breeding Inputs'!$I$45=9),
IF(ISNUMBER('Breeding Inputs'!$I$46),'Breeding Inputs'!$I$46,""),""),""))),""),"")</f>
        <v/>
      </c>
    </row>
    <row r="525" spans="1:51" x14ac:dyDescent="0.25">
      <c r="A525" s="518"/>
      <c r="B525" s="504"/>
      <c r="C525" s="521" t="str">
        <f>IF(AND(B513&lt;&gt;"", ISNUMBER(B513), ISNUMBER(Stage2EvaluationBegins)), IF((INDEX(ProgramYearStage2,MATCH(Stage2EvaluationBegins,Years_in_Stage2,0)))=B513, _4_5_0, IF(AND(B513&lt;&gt;"", C501&lt;&gt;""), _4_5_0, IF(AND(B513&lt;&gt;"", ISNUMBER(B513), OR(Stage2EvaluationBegins=0, Stage2EvaluationBegins="")),"", ""))),"")</f>
        <v/>
      </c>
      <c r="D525" s="94" t="str">
        <f>IF(AND(C525&lt;&gt;"", 'Cost Inputs'!$G$116&lt;&gt;""), 'Cost Inputs'!$G$116, "")</f>
        <v/>
      </c>
      <c r="E525" s="94" t="str">
        <f>IF(AND(C525&lt;&gt;"", 'Cost Inputs'!$H$116&lt;&gt;""), 'Cost Inputs'!$H$116, "")</f>
        <v/>
      </c>
      <c r="F525" s="492" t="str">
        <f>IF(AND(C525&lt;&gt;"", 'Cost Inputs'!$I$116&lt;&gt;""), 'Cost Inputs'!$I$116, "")</f>
        <v/>
      </c>
      <c r="G525" s="102" t="str">
        <f t="shared" si="333"/>
        <v/>
      </c>
      <c r="H525" s="492" t="str">
        <f>IF(AND(C525&lt;&gt;"", 'Cost Inputs'!$J$116&lt;&gt;""), 'Cost Inputs'!$J$116, "")</f>
        <v/>
      </c>
      <c r="I525" s="102" t="str">
        <f>IF($C525&lt;&gt;"",IF(AND($E525&lt;&gt;"",H525&lt;&gt;""), H525/$E525, 0),"")</f>
        <v/>
      </c>
      <c r="J525" s="492" t="str">
        <f>IF(AND(C525&lt;&gt;"",('Cost Inputs'!$I$116+'Cost Inputs'!$J$116+'Cost Inputs'!$K$116)&gt;0), 'Cost Inputs'!$I$116+'Cost Inputs'!$J$116+'Cost Inputs'!$K$116, "")</f>
        <v/>
      </c>
      <c r="K525" s="102" t="str">
        <f>IF($C525&lt;&gt;"",IF(AND($E525&lt;&gt;"",J525&lt;&gt;""), J525/$E525, 0),"")</f>
        <v/>
      </c>
      <c r="L525" s="525"/>
      <c r="M525" s="525"/>
      <c r="X525" s="496" t="str">
        <f t="shared" ref="X525:X532" si="426">IF(ISNUMBER($B$513),
IF($C525&lt;&gt;"",
IF(AND(ISNUMBER(W$512), W$512&gt;0),
IF(AND(X$279=123, Cultivar_1_Cohort_Year_Selection=$O$278,Cultivar_2_Cohort_Year_Selection=$O$278,Cultivar_3_Cohort_Year_Selection=$O$278), ROUND(MAX(0,W$512 - 3),0),
IF(AND(OR(X$279=123, X$279=12), Cultivar_1_Cohort_Year_Selection=$O$278,Cultivar_2_Cohort_Year_Selection=$O$278), ROUND(MAX(0,W$512 - 2),0),
IF(AND(OR(X$279=123, X$279=13), Cultivar_1_Cohort_Year_Selection=$O$278,Cultivar_3_Cohort_Year_Selection=$O$278), ROUND(MAX(0,W$512 - 2),0),
IF(AND(OR(X$279=123, X$279=23), Cultivar_2_Cohort_Year_Selection=$O$278,Cultivar_3_Cohort_Year_Selection=$O$278), ROUND(MAX(0,W$512 - 2),0),
IF(AND(OR(X$279=123, X$279=12, X$279=13, X$279=1), Cultivar_1_Cohort_Year_Selection=$O$278), ROUND(MAX(0,W$512 - 1),0),
IF(AND(OR(X$279=123, X$279=12, X$279=23, X$279=2), Cultivar_2_Cohort_Year_Selection=$O$278), ROUND(MAX(0,W$512 - 1),0),
IF(AND(OR(X$279=123, X$279=13, X$279=23, X$279=3), Cultivar_3_Cohort_Year_Selection=$O$278), ROUND(MAX(0,W$512 - 1),0),
ROUND(MAX(0,W$512),0)))))))),""),""),"")</f>
        <v/>
      </c>
      <c r="Y525" s="496" t="str">
        <f t="shared" ref="Y525:Y532" si="427">IF(ISNUMBER($B$513),
IF($C525&lt;&gt;"",
IF(AND(ISNUMBER(X$512), X$512&gt;0),
IF(AND(Y$279=123, Cultivar_1_Cohort_Year_Selection=$P$278,Cultivar_2_Cohort_Year_Selection=$P$278,Cultivar_3_Cohort_Year_Selection=$P$278), ROUND(MAX(0,X$512 - 3),0),
IF(AND(OR(Y$279=123, Y$279=12), Cultivar_1_Cohort_Year_Selection=$P$278,Cultivar_2_Cohort_Year_Selection=$P$278), ROUND(MAX(0,X$512 - 2),0),
IF(AND(OR(Y$279=123, Y$279=13), Cultivar_1_Cohort_Year_Selection=$P$278,Cultivar_3_Cohort_Year_Selection=$P$278), ROUND(MAX(0,X$512 - 2),0),
IF(AND(OR(Y$279=123, Y$279=23), Cultivar_2_Cohort_Year_Selection=$P$278,Cultivar_3_Cohort_Year_Selection=$P$278), ROUND(MAX(0,X$512 - 2),0),
IF(AND(OR(Y$279=123, Y$279=12, Y$279=13, Y$279=1), Cultivar_1_Cohort_Year_Selection=$P$278), ROUND(MAX(0,X$512 - 1),0),
IF(AND(OR(Y$279=123, Y$279=12, Y$279=23, Y$279=2), Cultivar_2_Cohort_Year_Selection=$P$278), ROUND(MAX(0,X$512 - 1),0),
IF(AND(OR(Y$279=123, Y$279=13, Y$279=23, Y$279=3), Cultivar_3_Cohort_Year_Selection=$P$278), ROUND(MAX(0,X$512 - 1),0),
ROUND(MAX(0,X$512),0)))))))),""),""),"")</f>
        <v/>
      </c>
      <c r="Z525" s="496" t="str">
        <f t="shared" ref="Z525:Z532" si="428">IF(ISNUMBER($B$513),
IF($C525&lt;&gt;"",
IF(AND(ISNUMBER(Y$512), Y$512&gt;0),
IF(AND(Z$279=123, Cultivar_1_Cohort_Year_Selection=$Q$278,Cultivar_2_Cohort_Year_Selection=$Q$278,Cultivar_3_Cohort_Year_Selection=$Q$278), ROUND(MAX(0,Y$512 - 3),0),
IF(AND(OR(Z$279=123, Z$279=12), Cultivar_1_Cohort_Year_Selection=$Q$278,Cultivar_2_Cohort_Year_Selection=$Q$278), ROUND(MAX(0,Y$512 - 2),0),
IF(AND(OR(Z$279=123, Z$279=13), Cultivar_1_Cohort_Year_Selection=$Q$278,Cultivar_3_Cohort_Year_Selection=$Q$278), ROUND(MAX(0,Y$512 - 2),0),
IF(AND(OR(Z$279=123, Z$279=23), Cultivar_2_Cohort_Year_Selection=$Q$278,Cultivar_3_Cohort_Year_Selection=$Q$278), ROUND(MAX(0,Y$512 - 2),0),
IF(AND(OR(Z$279=123, Z$279=12, Z$279=13, Z$279=1), Cultivar_1_Cohort_Year_Selection=$Q$278), ROUND(MAX(0,Y$512 - 1),0),
IF(AND(OR(Z$279=123, Z$279=12, Z$279=23, Z$279=2), Cultivar_2_Cohort_Year_Selection=$Q$278), ROUND(MAX(0,Y$512 - 1),0),
IF(AND(OR(Z$279=123, Z$279=13, Z$279=23, Z$279=3), Cultivar_3_Cohort_Year_Selection=$Q$278), ROUND(MAX(0,Y$512 - 1),0),
ROUND(MAX(0,Y$512),0)))))))),""),""),"")</f>
        <v/>
      </c>
      <c r="AA525" s="496" t="str">
        <f t="shared" ref="AA525:AA532" si="429">IF(ISNUMBER($B$513),
IF($C525&lt;&gt;"",
IF(AND(ISNUMBER(Z$512), Z$512&gt;0),
IF(AND(AA$279=123, Cultivar_1_Cohort_Year_Selection=$R$278,Cultivar_2_Cohort_Year_Selection=$R$278,Cultivar_3_Cohort_Year_Selection=$R$278), ROUND(MAX(0,Z$512 - 3),0),
IF(AND(OR(AA$279=123, AA$279=12), Cultivar_1_Cohort_Year_Selection=$R$278,Cultivar_2_Cohort_Year_Selection=$R$278), ROUND(MAX(0,Z$512 - 2),0),
IF(AND(OR(AA$279=123, AA$279=13), Cultivar_1_Cohort_Year_Selection=$R$278,Cultivar_3_Cohort_Year_Selection=$R$278), ROUND(MAX(0,Z$512 - 2),0),
IF(AND(OR(AA$279=123, AA$279=23), Cultivar_2_Cohort_Year_Selection=$R$278,Cultivar_3_Cohort_Year_Selection=$R$278), ROUND(MAX(0,Z$512 - 2),0),
IF(AND(OR(AA$279=123, AA$279=12, AA$279=13, AA$279=1), Cultivar_1_Cohort_Year_Selection=$R$278), ROUND(MAX(0,Z$512 - 1),0),
IF(AND(OR(AA$279=123, AA$279=12, AA$279=23, AA$279=2), Cultivar_2_Cohort_Year_Selection=$R$278), ROUND(MAX(0,Z$512 - 1),0),
IF(AND(OR(AA$279=123, AA$279=13, AA$279=23, AA$279=3), Cultivar_3_Cohort_Year_Selection=$R$278), ROUND(MAX(0,Z$512 - 1),0),
ROUND(MAX(0,Z$512),0)))))))),""),""),"")</f>
        <v/>
      </c>
      <c r="AB525" s="496" t="str">
        <f t="shared" ref="AB525:AB532" si="430">IF(ISNUMBER($B$513),
IF($C525&lt;&gt;"",
IF(AND(ISNUMBER(AA$512), AA$512&gt;0),
IF(AND(AB$279=123, Cultivar_1_Cohort_Year_Selection=$S$278,Cultivar_2_Cohort_Year_Selection=$S$278,Cultivar_3_Cohort_Year_Selection=$S$278), ROUND(MAX(0,AA$512 - 3),0),
IF(AND(OR(AB$279=123, AB$279=12), Cultivar_1_Cohort_Year_Selection=$S$278,Cultivar_2_Cohort_Year_Selection=$S$278), ROUND(MAX(0,AA$512 - 2),0),
IF(AND(OR(AB$279=123, AB$279=13), Cultivar_1_Cohort_Year_Selection=$S$278,Cultivar_3_Cohort_Year_Selection=$S$278), ROUND(MAX(0,AA$512 - 2),0),
IF(AND(OR(AB$279=123, AB$279=23), Cultivar_2_Cohort_Year_Selection=$S$278,Cultivar_3_Cohort_Year_Selection=$S$278), ROUND(MAX(0,AA$512 - 2),0),
IF(AND(OR(AB$279=123, AB$279=12, AB$279=13, AB$279=1), Cultivar_1_Cohort_Year_Selection=$S$278), ROUND(MAX(0,AA$512 - 1),0),
IF(AND(OR(AB$279=123, AB$279=12, AB$279=23, AB$279=2), Cultivar_2_Cohort_Year_Selection=$S$278), ROUND(MAX(0,AA$512 - 1),0),
IF(AND(OR(AB$279=123, AB$279=13, AB$279=23, AB$279=3), Cultivar_3_Cohort_Year_Selection=$S$278), ROUND(MAX(0,AA$512 - 1),0),
ROUND(MAX(0,AA$512),0)))))))),""),""),"")</f>
        <v/>
      </c>
      <c r="AC525" s="496" t="str">
        <f t="shared" ref="AC525:AC532" si="431">IF(ISNUMBER($B$513),
IF($C525&lt;&gt;"",
IF(AND(ISNUMBER(AB$512), AB$512&gt;0),
IF(AND(AC$279=123, Cultivar_1_Cohort_Year_Selection=$T$278,Cultivar_2_Cohort_Year_Selection=$T$278,Cultivar_3_Cohort_Year_Selection=$T$278), ROUND(MAX(0,AB$512 - 3),0),
IF(AND(OR(AC$279=123, AC$279=12), Cultivar_1_Cohort_Year_Selection=$T$278,Cultivar_2_Cohort_Year_Selection=$T$278), ROUND(MAX(0,AB$512 - 2),0),
IF(AND(OR(AC$279=123, AC$279=13), Cultivar_1_Cohort_Year_Selection=$T$278,Cultivar_3_Cohort_Year_Selection=$T$278), ROUND(MAX(0,AB$512 - 2),0),
IF(AND(OR(AC$279=123, AC$279=23), Cultivar_2_Cohort_Year_Selection=$T$278,Cultivar_3_Cohort_Year_Selection=$T$278), ROUND(MAX(0,AB$512 - 2),0),
IF(AND(OR(AC$279=123, AC$279=12, AC$279=13, AC$279=1), Cultivar_1_Cohort_Year_Selection=$T$278), ROUND(MAX(0,AB$512 - 1),0),
IF(AND(OR(AC$279=123, AC$279=12, AC$279=23, AC$279=2), Cultivar_2_Cohort_Year_Selection=$T$278), ROUND(MAX(0,AB$512 - 1),0),
IF(AND(OR(AC$279=123, AC$279=13, AC$279=23, AC$279=3), Cultivar_3_Cohort_Year_Selection=$T$278), ROUND(MAX(0,AB$512 - 1),0),
ROUND(MAX(0,AB$512),0)))))))),""),""),"")</f>
        <v/>
      </c>
      <c r="AD525" s="496" t="str">
        <f t="shared" ref="AD525:AD532" si="432">IF(ISNUMBER($B$513),
IF($C525&lt;&gt;"",
IF(AND(ISNUMBER(AC$512), AC$512&gt;0),
IF(AND(AD$279=123, Cultivar_1_Cohort_Year_Selection=$U$278,Cultivar_2_Cohort_Year_Selection=$U$278,Cultivar_3_Cohort_Year_Selection=$U$278), ROUND(MAX(0,AC$512 - 3),0),
IF(AND(OR(AD$279=123, AD$279=12), Cultivar_1_Cohort_Year_Selection=$U$278,Cultivar_2_Cohort_Year_Selection=$U$278), ROUND(MAX(0,AC$512 - 2),0),
IF(AND(OR(AD$279=123, AD$279=13), Cultivar_1_Cohort_Year_Selection=$U$278,Cultivar_3_Cohort_Year_Selection=$U$278), ROUND(MAX(0,AC$512 - 2),0),
IF(AND(OR(AD$279=123, AD$279=23), Cultivar_2_Cohort_Year_Selection=$U$278,Cultivar_3_Cohort_Year_Selection=$U$278), ROUND(MAX(0,AC$512 - 2),0),
IF(AND(OR(AD$279=123, AD$279=12, AD$279=13, AD$279=1), Cultivar_1_Cohort_Year_Selection=$U$278), ROUND(MAX(0,AC$512 - 1),0),
IF(AND(OR(AD$279=123, AD$279=12, AD$279=23, AD$279=2), Cultivar_2_Cohort_Year_Selection=$U$278), ROUND(MAX(0,AC$512 - 1),0),
IF(AND(OR(AD$279=123, AD$279=13, AD$279=23, AD$279=3), Cultivar_3_Cohort_Year_Selection=$U$278), ROUND(MAX(0,AC$512 - 1),0),
ROUND(MAX(0,AC$512),0)))))))),""),""),"")</f>
        <v/>
      </c>
      <c r="AE525" s="496" t="str">
        <f t="shared" ref="AE525:AE532" si="433">IF(ISNUMBER($B$513),
IF($C525&lt;&gt;"",
IF(AND(ISNUMBER(AD$512), AD$512&gt;0),
IF(AND(AE$279=123, Cultivar_1_Cohort_Year_Selection=$V$278,Cultivar_2_Cohort_Year_Selection=$V$278,Cultivar_3_Cohort_Year_Selection=$V$278), ROUND(MAX(0,AD$512 - 3),0),
IF(AND(OR(AE$279=123, AE$279=12), Cultivar_1_Cohort_Year_Selection=$V$278,Cultivar_2_Cohort_Year_Selection=$V$278), ROUND(MAX(0,AD$512 - 2),0),
IF(AND(OR(AE$279=123, AE$279=13), Cultivar_1_Cohort_Year_Selection=$V$278,Cultivar_3_Cohort_Year_Selection=$V$278), ROUND(MAX(0,AD$512 - 2),0),
IF(AND(OR(AE$279=123, AE$279=23), Cultivar_2_Cohort_Year_Selection=$V$278,Cultivar_3_Cohort_Year_Selection=$V$278), ROUND(MAX(0,AD$512 - 2),0),
IF(AND(OR(AE$279=123, AE$279=12, AE$279=13, AE$279=1), Cultivar_1_Cohort_Year_Selection=$V$278), ROUND(MAX(0,AD$512 - 1),0),
IF(AND(OR(AE$279=123, AE$279=12, AE$279=23, AE$279=2), Cultivar_2_Cohort_Year_Selection=$V$278), ROUND(MAX(0,AD$512 - 1),0),
IF(AND(OR(AE$279=123, AE$279=13, AE$279=23, AE$279=3), Cultivar_3_Cohort_Year_Selection=$V$278), ROUND(MAX(0,AD$512 - 1),0),
ROUND(MAX(0,AD$512),0)))))))),""),""),"")</f>
        <v/>
      </c>
      <c r="AF525" s="496" t="str">
        <f t="shared" ref="AF525:AF532" si="434">IF(ISNUMBER($B$513),
IF($C525&lt;&gt;"",
IF(AND(ISNUMBER(AE$512), AE$512&gt;0),
IF(AND(AF$279=123, Cultivar_1_Cohort_Year_Selection=$W$278,Cultivar_2_Cohort_Year_Selection=$W$278,Cultivar_3_Cohort_Year_Selection=$W$278), ROUND(MAX(0,AE$512 - 3),0),
IF(AND(OR(AF$279=123, AF$279=12), Cultivar_1_Cohort_Year_Selection=$W$278,Cultivar_2_Cohort_Year_Selection=$W$278), ROUND(MAX(0,AE$512 - 2),0),
IF(AND(OR(AF$279=123, AF$279=13), Cultivar_1_Cohort_Year_Selection=$W$278,Cultivar_3_Cohort_Year_Selection=$W$278), ROUND(MAX(0,AE$512 - 2),0),
IF(AND(OR(AF$279=123, AF$279=23), Cultivar_2_Cohort_Year_Selection=$W$278,Cultivar_3_Cohort_Year_Selection=$W$278), ROUND(MAX(0,AE$512 - 2),0),
IF(AND(OR(AF$279=123, AF$279=12, AF$279=13, AF$279=1), Cultivar_1_Cohort_Year_Selection=$W$278), ROUND(MAX(0,AE$512 - 1),0),
IF(AND(OR(AF$279=123, AF$279=12, AF$279=23, AF$279=2), Cultivar_2_Cohort_Year_Selection=$W$278), ROUND(MAX(0,AE$512 - 1),0),
IF(AND(OR(AF$279=123, AF$279=13, AF$279=23, AF$279=3), Cultivar_3_Cohort_Year_Selection=$W$278), ROUND(MAX(0,AE$512 - 1),0),
ROUND(MAX(0,AE$512),0)))))))),""),""),"")</f>
        <v/>
      </c>
      <c r="AG525" s="496" t="str">
        <f t="shared" ref="AG525:AG532" si="435">IF(ISNUMBER($B$513),
IF($C525&lt;&gt;"",
IF(AND(ISNUMBER(AF$512), AF$512&gt;0),
IF(AND(AG$279=123, Cultivar_1_Cohort_Year_Selection=$X$278,Cultivar_2_Cohort_Year_Selection=$X$278,Cultivar_3_Cohort_Year_Selection=$X$278), ROUND(MAX(0,AF$512 - 3),0),
IF(AND(OR(AG$279=123, AG$279=12), Cultivar_1_Cohort_Year_Selection=$X$278,Cultivar_2_Cohort_Year_Selection=$X$278), ROUND(MAX(0,AF$512 - 2),0),
IF(AND(OR(AG$279=123, AG$279=13), Cultivar_1_Cohort_Year_Selection=$X$278,Cultivar_3_Cohort_Year_Selection=$X$278), ROUND(MAX(0,AF$512 - 2),0),
IF(AND(OR(AG$279=123, AG$279=23), Cultivar_2_Cohort_Year_Selection=$X$278,Cultivar_3_Cohort_Year_Selection=$X$278), ROUND(MAX(0,AF$512 - 2),0),
IF(AND(OR(AG$279=123, AG$279=12, AG$279=13, AG$279=1), Cultivar_1_Cohort_Year_Selection=$X$278), ROUND(MAX(0,AF$512 - 1),0),
IF(AND(OR(AG$279=123, AG$279=12, AG$279=23, AG$279=2), Cultivar_2_Cohort_Year_Selection=$X$278), ROUND(MAX(0,AF$512 - 1),0),
IF(AND(OR(AG$279=123, AG$279=13, AG$279=23, AG$279=3), Cultivar_3_Cohort_Year_Selection=$X$278), ROUND(MAX(0,AF$512 - 1),0),
ROUND(MAX(0,AF$512),0)))))))),""),""),"")</f>
        <v/>
      </c>
      <c r="AH525" s="496" t="str">
        <f t="shared" ref="AH525:AH532" si="436">IF(ISNUMBER($B$513),
IF($C525&lt;&gt;"",
IF(AND(ISNUMBER(AG$512), AG$512&gt;0),
IF(AND(AH$279=123, Cultivar_1_Cohort_Year_Selection=$Y$278,Cultivar_2_Cohort_Year_Selection=$Y$278,Cultivar_3_Cohort_Year_Selection=$Y$278), ROUND(MAX(0,AG$512 - 3),0),
IF(AND(OR(AH$279=123, AH$279=12), Cultivar_1_Cohort_Year_Selection=$Y$278,Cultivar_2_Cohort_Year_Selection=$Y$278), ROUND(MAX(0,AG$512 - 2),0),
IF(AND(OR(AH$279=123, AH$279=13), Cultivar_1_Cohort_Year_Selection=$Y$278,Cultivar_3_Cohort_Year_Selection=$Y$278), ROUND(MAX(0,AG$512 - 2),0),
IF(AND(OR(AH$279=123, AH$279=23), Cultivar_2_Cohort_Year_Selection=$Y$278,Cultivar_3_Cohort_Year_Selection=$Y$278), ROUND(MAX(0,AG$512 - 2),0),
IF(AND(OR(AH$279=123, AH$279=12, AH$279=13, AH$279=1), Cultivar_1_Cohort_Year_Selection=$Y$278), ROUND(MAX(0,AG$512 - 1),0),
IF(AND(OR(AH$279=123, AH$279=12, AH$279=23, AH$279=2), Cultivar_2_Cohort_Year_Selection=$Y$278), ROUND(MAX(0,AG$512 - 1),0),
IF(AND(OR(AH$279=123, AH$279=13, AH$279=23, AH$279=3), Cultivar_3_Cohort_Year_Selection=$Y$278), ROUND(MAX(0,AG$512 - 1),0),
ROUND(MAX(0,AG$512),0)))))))),""),""),"")</f>
        <v/>
      </c>
      <c r="AI525" s="496" t="str">
        <f t="shared" ref="AI525:AI532" si="437">IF(ISNUMBER($B$513),
IF($C525&lt;&gt;"",
IF(AND(ISNUMBER(AH$512), AH$512&gt;0),
IF(AND(AI$279=123, Cultivar_1_Cohort_Year_Selection=$Z$278,Cultivar_2_Cohort_Year_Selection=$Z$278,Cultivar_3_Cohort_Year_Selection=$Z$278), ROUND(MAX(0,AH$512 - 3),0),
IF(AND(OR(AI$279=123, AI$279=12), Cultivar_1_Cohort_Year_Selection=$Z$278,Cultivar_2_Cohort_Year_Selection=$Z$278), ROUND(MAX(0,AH$512 - 2),0),
IF(AND(OR(AI$279=123, AI$279=13), Cultivar_1_Cohort_Year_Selection=$Z$278,Cultivar_3_Cohort_Year_Selection=$Z$278), ROUND(MAX(0,AH$512 - 2),0),
IF(AND(OR(AI$279=123, AI$279=23), Cultivar_2_Cohort_Year_Selection=$Z$278,Cultivar_3_Cohort_Year_Selection=$Z$278), ROUND(MAX(0,AH$512 - 2),0),
IF(AND(OR(AI$279=123, AI$279=12, AI$279=13, AI$279=1), Cultivar_1_Cohort_Year_Selection=$Z$278), ROUND(MAX(0,AH$512 - 1),0),
IF(AND(OR(AI$279=123, AI$279=12, AI$279=23, AI$279=2), Cultivar_2_Cohort_Year_Selection=$Z$278), ROUND(MAX(0,AH$512 - 1),0),
IF(AND(OR(AI$279=123, AI$279=13, AI$279=23, AI$279=3), Cultivar_3_Cohort_Year_Selection=$Z$278), ROUND(MAX(0,AH$512 - 1),0),
ROUND(MAX(0,AH$512),0)))))))),""),""),"")</f>
        <v/>
      </c>
      <c r="AJ525" s="496" t="str">
        <f t="shared" ref="AJ525:AJ532" si="438">IF(ISNUMBER($B$513),
IF($C525&lt;&gt;"",
IF(AND(ISNUMBER(AI$512), AI$512&gt;0),
IF(AND(AJ$279=123, Cultivar_1_Cohort_Year_Selection=$AA$278,Cultivar_2_Cohort_Year_Selection=$AA$278,Cultivar_3_Cohort_Year_Selection=$AA$278), ROUND(MAX(0,AI$512 - 3),0),
IF(AND(OR(AJ$279=123, AJ$279=12), Cultivar_1_Cohort_Year_Selection=$AA$278,Cultivar_2_Cohort_Year_Selection=$AA$278), ROUND(MAX(0,AI$512 - 2),0),
IF(AND(OR(AJ$279=123, AJ$279=13), Cultivar_1_Cohort_Year_Selection=$AA$278,Cultivar_3_Cohort_Year_Selection=$AA$278), ROUND(MAX(0,AI$512 - 2),0),
IF(AND(OR(AJ$279=123, AJ$279=23), Cultivar_2_Cohort_Year_Selection=$AA$278,Cultivar_3_Cohort_Year_Selection=$AA$278), ROUND(MAX(0,AI$512 - 2),0),
IF(AND(OR(AJ$279=123, AJ$279=12, AJ$279=13, AJ$279=1), Cultivar_1_Cohort_Year_Selection=$AA$278), ROUND(MAX(0,AI$512 - 1),0),
IF(AND(OR(AJ$279=123, AJ$279=12, AJ$279=23, AJ$279=2), Cultivar_2_Cohort_Year_Selection=$AA$278), ROUND(MAX(0,AI$512 - 1),0),
IF(AND(OR(AJ$279=123, AJ$279=13, AJ$279=23, AJ$279=3), Cultivar_3_Cohort_Year_Selection=$AA$278), ROUND(MAX(0,AI$512 - 1),0),
ROUND(MAX(0,AI$512),0)))))))),""),""),"")</f>
        <v/>
      </c>
      <c r="AK525" s="496" t="str">
        <f t="shared" ref="AK525:AK532" si="439">IF(ISNUMBER($B$513),
IF($C525&lt;&gt;"",
IF(AND(ISNUMBER(AJ$512), AJ$512&gt;0),
IF(AND(AK$279=123, Cultivar_1_Cohort_Year_Selection=$AB$278,Cultivar_2_Cohort_Year_Selection=$AB$278,Cultivar_3_Cohort_Year_Selection=$AB$278), ROUND(MAX(0,AJ$512 - 3),0),
IF(AND(OR(AK$279=123, AK$279=12), Cultivar_1_Cohort_Year_Selection=$AB$278,Cultivar_2_Cohort_Year_Selection=$AB$278), ROUND(MAX(0,AJ$512 - 2),0),
IF(AND(OR(AK$279=123, AK$279=13), Cultivar_1_Cohort_Year_Selection=$AB$278,Cultivar_3_Cohort_Year_Selection=$AB$278), ROUND(MAX(0,AJ$512 - 2),0),
IF(AND(OR(AK$279=123, AK$279=23), Cultivar_2_Cohort_Year_Selection=$AB$278,Cultivar_3_Cohort_Year_Selection=$AB$278), ROUND(MAX(0,AJ$512 - 2),0),
IF(AND(OR(AK$279=123, AK$279=12, AK$279=13, AK$279=1), Cultivar_1_Cohort_Year_Selection=$AB$278), ROUND(MAX(0,AJ$512 - 1),0),
IF(AND(OR(AK$279=123, AK$279=12, AK$279=23, AK$279=2), Cultivar_2_Cohort_Year_Selection=$AB$278), ROUND(MAX(0,AJ$512 - 1),0),
IF(AND(OR(AK$279=123, AK$279=13, AK$279=23, AK$279=3), Cultivar_3_Cohort_Year_Selection=$AB$278), ROUND(MAX(0,AJ$512 - 1),0),
ROUND(MAX(0,AJ$512),0)))))))),""),""),"")</f>
        <v/>
      </c>
      <c r="AL525" s="496" t="str">
        <f t="shared" ref="AL525:AL532" si="440">IF(ISNUMBER($B$513),
IF($C525&lt;&gt;"",
IF(AND(ISNUMBER(AK$512), AK$512&gt;0),
IF(AND(AL$279=123, Cultivar_1_Cohort_Year_Selection=$AC$278,Cultivar_2_Cohort_Year_Selection=$AC$278,Cultivar_3_Cohort_Year_Selection=$AC$278), ROUND(MAX(0,AK$512 - 3),0),
IF(AND(OR(AL$279=123, AL$279=12), Cultivar_1_Cohort_Year_Selection=$AC$278,Cultivar_2_Cohort_Year_Selection=$AC$278), ROUND(MAX(0,AK$512 - 2),0),
IF(AND(OR(AL$279=123, AL$279=13), Cultivar_1_Cohort_Year_Selection=$AC$278,Cultivar_3_Cohort_Year_Selection=$AC$278), ROUND(MAX(0,AK$512 - 2),0),
IF(AND(OR(AL$279=123, AL$279=23), Cultivar_2_Cohort_Year_Selection=$AC$278,Cultivar_3_Cohort_Year_Selection=$AC$278), ROUND(MAX(0,AK$512 - 2),0),
IF(AND(OR(AL$279=123, AL$279=12, AL$279=13, AL$279=1), Cultivar_1_Cohort_Year_Selection=$AC$278), ROUND(MAX(0,AK$512 - 1),0),
IF(AND(OR(AL$279=123, AL$279=12, AL$279=23, AL$279=2), Cultivar_2_Cohort_Year_Selection=$AC$278), ROUND(MAX(0,AK$512 - 1),0),
IF(AND(OR(AL$279=123, AL$279=13, AL$279=23, AL$279=3), Cultivar_3_Cohort_Year_Selection=$AC$278), ROUND(MAX(0,AK$512 - 1),0),
ROUND(MAX(0,AK$512),0)))))))),""),""),"")</f>
        <v/>
      </c>
      <c r="AM525" s="496" t="str">
        <f t="shared" ref="AM525:AM532" si="441">IF(ISNUMBER($B$513),
IF($C525&lt;&gt;"",
IF(AND(ISNUMBER(AL$512), AL$512&gt;0),
IF(AND(AM$279=123, Cultivar_1_Cohort_Year_Selection=$AD$278,Cultivar_2_Cohort_Year_Selection=$AD$278,Cultivar_3_Cohort_Year_Selection=$AD$278), ROUND(MAX(0,AL$512 - 3),0),
IF(AND(OR(AM$279=123, AM$279=12), Cultivar_1_Cohort_Year_Selection=$AD$278,Cultivar_2_Cohort_Year_Selection=$AD$278), ROUND(MAX(0,AL$512 - 2),0),
IF(AND(OR(AM$279=123, AM$279=13), Cultivar_1_Cohort_Year_Selection=$AD$278,Cultivar_3_Cohort_Year_Selection=$AD$278), ROUND(MAX(0,AL$512 - 2),0),
IF(AND(OR(AM$279=123, AM$279=23), Cultivar_2_Cohort_Year_Selection=$AD$278,Cultivar_3_Cohort_Year_Selection=$AD$278), ROUND(MAX(0,AL$512 - 2),0),
IF(AND(OR(AM$279=123, AM$279=12, AM$279=13, AM$279=1), Cultivar_1_Cohort_Year_Selection=$AD$278), ROUND(MAX(0,AL$512 - 1),0),
IF(AND(OR(AM$279=123, AM$279=12, AM$279=23, AM$279=2), Cultivar_2_Cohort_Year_Selection=$AD$278), ROUND(MAX(0,AL$512 - 1),0),
IF(AND(OR(AM$279=123, AM$279=13, AM$279=23, AM$279=3), Cultivar_3_Cohort_Year_Selection=$AD$278), ROUND(MAX(0,AL$512 - 1),0),
ROUND(MAX(0,AL$512),0)))))))),""),""),"")</f>
        <v/>
      </c>
      <c r="AN525" s="496" t="str">
        <f t="shared" ref="AN525:AN532" si="442">IF(ISNUMBER($B$513),
IF($C525&lt;&gt;"",
IF(AND(ISNUMBER(AM$512), AM$512&gt;0),
IF(AND(AN$279=123, Cultivar_1_Cohort_Year_Selection=$AE$278,Cultivar_2_Cohort_Year_Selection=$AE$278,Cultivar_3_Cohort_Year_Selection=$AE$278), ROUND(MAX(0,AM$512 - 3),0),
IF(AND(OR(AN$279=123, AN$279=12), Cultivar_1_Cohort_Year_Selection=$AE$278,Cultivar_2_Cohort_Year_Selection=$AE$278), ROUND(MAX(0,AM$512 - 2),0),
IF(AND(OR(AN$279=123, AN$279=13), Cultivar_1_Cohort_Year_Selection=$AE$278,Cultivar_3_Cohort_Year_Selection=$AE$278), ROUND(MAX(0,AM$512 - 2),0),
IF(AND(OR(AN$279=123, AN$279=23), Cultivar_2_Cohort_Year_Selection=$AE$278,Cultivar_3_Cohort_Year_Selection=$AE$278), ROUND(MAX(0,AM$512 - 2),0),
IF(AND(OR(AN$279=123, AN$279=12, AN$279=13, AN$279=1), Cultivar_1_Cohort_Year_Selection=$AE$278), ROUND(MAX(0,AM$512 - 1),0),
IF(AND(OR(AN$279=123, AN$279=12, AN$279=23, AN$279=2), Cultivar_2_Cohort_Year_Selection=$AE$278), ROUND(MAX(0,AM$512 - 1),0),
IF(AND(OR(AN$279=123, AN$279=13, AN$279=23, AN$279=3), Cultivar_3_Cohort_Year_Selection=$AE$278), ROUND(MAX(0,AM$512 - 1),0),
ROUND(MAX(0,AM$512),0)))))))),""),""),"")</f>
        <v/>
      </c>
      <c r="AO525" s="496" t="str">
        <f t="shared" ref="AO525:AO532" si="443">IF(ISNUMBER($B$513),
IF($C525&lt;&gt;"",
IF(AND(ISNUMBER(AN$512), AN$512&gt;0),
IF(AND(AO$279=123, Cultivar_1_Cohort_Year_Selection=$AF$278,Cultivar_2_Cohort_Year_Selection=$AF$278,Cultivar_3_Cohort_Year_Selection=$AF$278), ROUND(MAX(0,AN$512 - 3),0),
IF(AND(OR(AO$279=123, AO$279=12), Cultivar_1_Cohort_Year_Selection=$AF$278,Cultivar_2_Cohort_Year_Selection=$AF$278), ROUND(MAX(0,AN$512 - 2),0),
IF(AND(OR(AO$279=123, AO$279=13), Cultivar_1_Cohort_Year_Selection=$AF$278,Cultivar_3_Cohort_Year_Selection=$AF$278), ROUND(MAX(0,AN$512 - 2),0),
IF(AND(OR(AO$279=123, AO$279=23), Cultivar_2_Cohort_Year_Selection=$AF$278,Cultivar_3_Cohort_Year_Selection=$AF$278), ROUND(MAX(0,AN$512 - 2),0),
IF(AND(OR(AO$279=123, AO$279=12, AO$279=13, AO$279=1), Cultivar_1_Cohort_Year_Selection=$AF$278), ROUND(MAX(0,AN$512 - 1),0),
IF(AND(OR(AO$279=123, AO$279=12, AO$279=23, AO$279=2), Cultivar_2_Cohort_Year_Selection=$AF$278), ROUND(MAX(0,AN$512 - 1),0),
IF(AND(OR(AO$279=123, AO$279=13, AO$279=23, AO$279=3), Cultivar_3_Cohort_Year_Selection=$AF$278), ROUND(MAX(0,AN$512 - 1),0),
ROUND(MAX(0,AN$512),0)))))))),""),""),"")</f>
        <v/>
      </c>
      <c r="AP525" s="496" t="str">
        <f t="shared" ref="AP525:AP532" si="444">IF(ISNUMBER($B$513),
IF($C525&lt;&gt;"",
IF(AND(ISNUMBER(AO$512), AO$512&gt;0),
IF(AND(AP$279=123, Cultivar_1_Cohort_Year_Selection=$AG$278,Cultivar_2_Cohort_Year_Selection=$AG$278,Cultivar_3_Cohort_Year_Selection=$AG$278), ROUND(MAX(0,AO$512 - 3),0),
IF(AND(OR(AP$279=123, AP$279=12), Cultivar_1_Cohort_Year_Selection=$AG$278,Cultivar_2_Cohort_Year_Selection=$AG$278), ROUND(MAX(0,AO$512 - 2),0),
IF(AND(OR(AP$279=123, AP$279=13), Cultivar_1_Cohort_Year_Selection=$AG$278,Cultivar_3_Cohort_Year_Selection=$AG$278), ROUND(MAX(0,AO$512 - 2),0),
IF(AND(OR(AP$279=123, AP$279=23), Cultivar_2_Cohort_Year_Selection=$AG$278,Cultivar_3_Cohort_Year_Selection=$AG$278), ROUND(MAX(0,AO$512 - 2),0),
IF(AND(OR(AP$279=123, AP$279=12, AP$279=13, AP$279=1), Cultivar_1_Cohort_Year_Selection=$AG$278), ROUND(MAX(0,AO$512 - 1),0),
IF(AND(OR(AP$279=123, AP$279=12, AP$279=23, AP$279=2), Cultivar_2_Cohort_Year_Selection=$AG$278), ROUND(MAX(0,AO$512 - 1),0),
IF(AND(OR(AP$279=123, AP$279=13, AP$279=23, AP$279=3), Cultivar_3_Cohort_Year_Selection=$AG$278), ROUND(MAX(0,AO$512 - 1),0),
ROUND(MAX(0,AO$512),0)))))))),""),""),"")</f>
        <v/>
      </c>
      <c r="AQ525" s="496" t="str">
        <f t="shared" ref="AQ525:AQ532" si="445">IF(ISNUMBER($B$513),
IF($C525&lt;&gt;"",
IF(AND(ISNUMBER(AP$512), AP$512&gt;0),
IF(AND(AQ$279=123, Cultivar_1_Cohort_Year_Selection=$AH$278,Cultivar_2_Cohort_Year_Selection=$AH$278,Cultivar_3_Cohort_Year_Selection=$AH$278), ROUND(MAX(0,AP$512 - 3),0),
IF(AND(OR(AQ$279=123, AQ$279=12), Cultivar_1_Cohort_Year_Selection=$AH$278,Cultivar_2_Cohort_Year_Selection=$AH$278), ROUND(MAX(0,AP$512 - 2),0),
IF(AND(OR(AQ$279=123, AQ$279=13), Cultivar_1_Cohort_Year_Selection=$AH$278,Cultivar_3_Cohort_Year_Selection=$AH$278), ROUND(MAX(0,AP$512 - 2),0),
IF(AND(OR(AQ$279=123, AQ$279=23), Cultivar_2_Cohort_Year_Selection=$AH$278,Cultivar_3_Cohort_Year_Selection=$AH$278), ROUND(MAX(0,AP$512 - 2),0),
IF(AND(OR(AQ$279=123, AQ$279=12, AQ$279=13, AQ$279=1), Cultivar_1_Cohort_Year_Selection=$AH$278), ROUND(MAX(0,AP$512 - 1),0),
IF(AND(OR(AQ$279=123, AQ$279=12, AQ$279=23, AQ$279=2), Cultivar_2_Cohort_Year_Selection=$AH$278), ROUND(MAX(0,AP$512 - 1),0),
IF(AND(OR(AQ$279=123, AQ$279=13, AQ$279=23, AQ$279=3), Cultivar_3_Cohort_Year_Selection=$AH$278), ROUND(MAX(0,AP$512 - 1),0),
ROUND(MAX(0,AP$512),0)))))))),""),""),"")</f>
        <v/>
      </c>
      <c r="AR525" s="496" t="str">
        <f t="shared" ref="AR525:AR532" si="446">IF(ISNUMBER($B$513),
IF($C525&lt;&gt;"",
IF(AND(ISNUMBER(AQ$512), AQ$512&gt;0),
IF(AND(AR$279=123, Cultivar_1_Cohort_Year_Selection=$AI$278,Cultivar_2_Cohort_Year_Selection=$AI$278,Cultivar_3_Cohort_Year_Selection=$AI$278), ROUND(MAX(0,AQ$512 - 3),0),
IF(AND(OR(AR$279=123, AR$279=12), Cultivar_1_Cohort_Year_Selection=$AI$278,Cultivar_2_Cohort_Year_Selection=$AI$278), ROUND(MAX(0,AQ$512 - 2),0),
IF(AND(OR(AR$279=123, AR$279=13), Cultivar_1_Cohort_Year_Selection=$AI$278,Cultivar_3_Cohort_Year_Selection=$AI$278), ROUND(MAX(0,AQ$512 - 2),0),
IF(AND(OR(AR$279=123, AR$279=23), Cultivar_2_Cohort_Year_Selection=$AI$278,Cultivar_3_Cohort_Year_Selection=$AI$278), ROUND(MAX(0,AQ$512 - 2),0),
IF(AND(OR(AR$279=123, AR$279=12, AR$279=13, AR$279=1), Cultivar_1_Cohort_Year_Selection=$AI$278), ROUND(MAX(0,AQ$512 - 1),0),
IF(AND(OR(AR$279=123, AR$279=12, AR$279=23, AR$279=2), Cultivar_2_Cohort_Year_Selection=$AI$278), ROUND(MAX(0,AQ$512 - 1),0),
IF(AND(OR(AR$279=123, AR$279=13, AR$279=23, AR$279=3), Cultivar_3_Cohort_Year_Selection=$AI$278), ROUND(MAX(0,AQ$512 - 1),0),
ROUND(MAX(0,AQ$512),0)))))))),""),""),"")</f>
        <v/>
      </c>
      <c r="AS525" s="496" t="str">
        <f t="shared" ref="AS525:AS532" si="447">IF(ISNUMBER($B$513),
IF($C525&lt;&gt;"",
IF(AND(ISNUMBER(AR$512), AR$512&gt;0),
IF(AND(AS$279=123, Cultivar_1_Cohort_Year_Selection=$AJ$278,Cultivar_2_Cohort_Year_Selection=$AJ$278,Cultivar_3_Cohort_Year_Selection=$AJ$278), ROUND(MAX(0,AR$512 - 3),0),
IF(AND(OR(AS$279=123, AS$279=12), Cultivar_1_Cohort_Year_Selection=$AJ$278,Cultivar_2_Cohort_Year_Selection=$AJ$278), ROUND(MAX(0,AR$512 - 2),0),
IF(AND(OR(AS$279=123, AS$279=13), Cultivar_1_Cohort_Year_Selection=$AJ$278,Cultivar_3_Cohort_Year_Selection=$AJ$278), ROUND(MAX(0,AR$512 - 2),0),
IF(AND(OR(AS$279=123, AS$279=23), Cultivar_2_Cohort_Year_Selection=$AJ$278,Cultivar_3_Cohort_Year_Selection=$AJ$278), ROUND(MAX(0,AR$512 - 2),0),
IF(AND(OR(AS$279=123, AS$279=12, AS$279=13, AS$279=1), Cultivar_1_Cohort_Year_Selection=$AJ$278), ROUND(MAX(0,AR$512 - 1),0),
IF(AND(OR(AS$279=123, AS$279=12, AS$279=23, AS$279=2), Cultivar_2_Cohort_Year_Selection=$AJ$278), ROUND(MAX(0,AR$512 - 1),0),
IF(AND(OR(AS$279=123, AS$279=13, AS$279=23, AS$279=3), Cultivar_3_Cohort_Year_Selection=$AJ$278), ROUND(MAX(0,AR$512 - 1),0),
ROUND(MAX(0,AR$512),0)))))))),""),""),"")</f>
        <v/>
      </c>
      <c r="AT525" s="496" t="str">
        <f t="shared" ref="AT525:AT532" si="448">IF(ISNUMBER($B$513),
IF($C525&lt;&gt;"",
IF(AND(ISNUMBER(AS$512), AS$512&gt;0),
IF(AND(AT$279=123, Cultivar_1_Cohort_Year_Selection=$AK$278,Cultivar_2_Cohort_Year_Selection=$AK$278,Cultivar_3_Cohort_Year_Selection=$AK$278), ROUND(MAX(0,AS$512 - 3),0),
IF(AND(OR(AT$279=123, AT$279=12), Cultivar_1_Cohort_Year_Selection=$AK$278,Cultivar_2_Cohort_Year_Selection=$AK$278), ROUND(MAX(0,AS$512 - 2),0),
IF(AND(OR(AT$279=123, AT$279=13), Cultivar_1_Cohort_Year_Selection=$AK$278,Cultivar_3_Cohort_Year_Selection=$AK$278), ROUND(MAX(0,AS$512 - 2),0),
IF(AND(OR(AT$279=123, AT$279=23), Cultivar_2_Cohort_Year_Selection=$AK$278,Cultivar_3_Cohort_Year_Selection=$AK$278), ROUND(MAX(0,AS$512 - 2),0),
IF(AND(OR(AT$279=123, AT$279=12, AT$279=13, AT$279=1), Cultivar_1_Cohort_Year_Selection=$AK$278), ROUND(MAX(0,AS$512 - 1),0),
IF(AND(OR(AT$279=123, AT$279=12, AT$279=23, AT$279=2), Cultivar_2_Cohort_Year_Selection=$AK$278), ROUND(MAX(0,AS$512 - 1),0),
IF(AND(OR(AT$279=123, AT$279=13, AT$279=23, AT$279=3), Cultivar_3_Cohort_Year_Selection=$AK$278), ROUND(MAX(0,AS$512 - 1),0),
ROUND(MAX(0,AS$512),0)))))))),""),""),"")</f>
        <v/>
      </c>
      <c r="AU525" s="496" t="str">
        <f t="shared" ref="AU525:AU532" si="449">IF(ISNUMBER($B$513),
IF($C525&lt;&gt;"",
IF(AND(ISNUMBER(AT$512), AT$512&gt;0),
IF(AND(AU$279=123, Cultivar_1_Cohort_Year_Selection=$AL$278,Cultivar_2_Cohort_Year_Selection=$AL$278,Cultivar_3_Cohort_Year_Selection=$AL$278), ROUND(MAX(0,AT$512 - 3),0),
IF(AND(OR(AU$279=123, AU$279=12), Cultivar_1_Cohort_Year_Selection=$AL$278,Cultivar_2_Cohort_Year_Selection=$AL$278), ROUND(MAX(0,AT$512 - 2),0),
IF(AND(OR(AU$279=123, AU$279=13), Cultivar_1_Cohort_Year_Selection=$AL$278,Cultivar_3_Cohort_Year_Selection=$AL$278), ROUND(MAX(0,AT$512 - 2),0),
IF(AND(OR(AU$279=123, AU$279=23), Cultivar_2_Cohort_Year_Selection=$AL$278,Cultivar_3_Cohort_Year_Selection=$AL$278), ROUND(MAX(0,AT$512 - 2),0),
IF(AND(OR(AU$279=123, AU$279=12, AU$279=13, AU$279=1), Cultivar_1_Cohort_Year_Selection=$AL$278), ROUND(MAX(0,AT$512 - 1),0),
IF(AND(OR(AU$279=123, AU$279=12, AU$279=23, AU$279=2), Cultivar_2_Cohort_Year_Selection=$AL$278), ROUND(MAX(0,AT$512 - 1),0),
IF(AND(OR(AU$279=123, AU$279=13, AU$279=23, AU$279=3), Cultivar_3_Cohort_Year_Selection=$AL$278), ROUND(MAX(0,AT$512 - 1),0),
ROUND(MAX(0,AT$512),0)))))))),""),""),"")</f>
        <v/>
      </c>
      <c r="AV525" s="496" t="str">
        <f t="shared" ref="AV525:AV532" si="450">IF(ISNUMBER($B$513),
IF($C525&lt;&gt;"",
IF(AND(ISNUMBER(AU$512), AU$512&gt;0),
IF(AND(AV$279=123, Cultivar_1_Cohort_Year_Selection=$AM$278,Cultivar_2_Cohort_Year_Selection=$AM$278,Cultivar_3_Cohort_Year_Selection=$AM$278), ROUND(MAX(0,AU$512 - 3),0),
IF(AND(OR(AV$279=123, AV$279=12), Cultivar_1_Cohort_Year_Selection=$AM$278,Cultivar_2_Cohort_Year_Selection=$AM$278), ROUND(MAX(0,AU$512 - 2),0),
IF(AND(OR(AV$279=123, AV$279=13), Cultivar_1_Cohort_Year_Selection=$AM$278,Cultivar_3_Cohort_Year_Selection=$AM$278), ROUND(MAX(0,AU$512 - 2),0),
IF(AND(OR(AV$279=123, AV$279=23), Cultivar_2_Cohort_Year_Selection=$AM$278,Cultivar_3_Cohort_Year_Selection=$AM$278), ROUND(MAX(0,AU$512 - 2),0),
IF(AND(OR(AV$279=123, AV$279=12, AV$279=13, AV$279=1), Cultivar_1_Cohort_Year_Selection=$AM$278), ROUND(MAX(0,AU$512 - 1),0),
IF(AND(OR(AV$279=123, AV$279=12, AV$279=23, AV$279=2), Cultivar_2_Cohort_Year_Selection=$AM$278), ROUND(MAX(0,AU$512 - 1),0),
IF(AND(OR(AV$279=123, AV$279=13, AV$279=23, AV$279=3), Cultivar_3_Cohort_Year_Selection=$AM$278), ROUND(MAX(0,AU$512 - 1),0),
ROUND(MAX(0,AU$512),0)))))))),""),""),"")</f>
        <v/>
      </c>
      <c r="AW525" s="496" t="str">
        <f t="shared" ref="AW525:AW532" si="451">IF(ISNUMBER($B$513),
IF($C525&lt;&gt;"",
IF(AND(ISNUMBER(AV$512), AV$512&gt;0),
IF(AND(AW$279=123, Cultivar_1_Cohort_Year_Selection=$AN$278,Cultivar_2_Cohort_Year_Selection=$AN$278,Cultivar_3_Cohort_Year_Selection=$AN$278), ROUND(MAX(0,AV$512 - 3),0),
IF(AND(OR(AW$279=123, AW$279=12), Cultivar_1_Cohort_Year_Selection=$AN$278,Cultivar_2_Cohort_Year_Selection=$AN$278), ROUND(MAX(0,AV$512 - 2),0),
IF(AND(OR(AW$279=123, AW$279=13), Cultivar_1_Cohort_Year_Selection=$AN$278,Cultivar_3_Cohort_Year_Selection=$AN$278), ROUND(MAX(0,AV$512 - 2),0),
IF(AND(OR(AW$279=123, AW$279=23), Cultivar_2_Cohort_Year_Selection=$AN$278,Cultivar_3_Cohort_Year_Selection=$AN$278), ROUND(MAX(0,AV$512 - 2),0),
IF(AND(OR(AW$279=123, AW$279=12, AW$279=13, AW$279=1), Cultivar_1_Cohort_Year_Selection=$AN$278), ROUND(MAX(0,AV$512 - 1),0),
IF(AND(OR(AW$279=123, AW$279=12, AW$279=23, AW$279=2), Cultivar_2_Cohort_Year_Selection=$AN$278), ROUND(MAX(0,AV$512 - 1),0),
IF(AND(OR(AW$279=123, AW$279=13, AW$279=23, AW$279=3), Cultivar_3_Cohort_Year_Selection=$AN$278), ROUND(MAX(0,AV$512 - 1),0),
ROUND(MAX(0,AV$512),0)))))))),""),""),"")</f>
        <v/>
      </c>
      <c r="AX525" s="496" t="str">
        <f t="shared" ref="AX525:AX532" si="452">IF(ISNUMBER($B$513),
IF($C525&lt;&gt;"",
IF(AND(ISNUMBER(AW$512), AW$512&gt;0),
IF(AND(AX$279=123, Cultivar_1_Cohort_Year_Selection=$AO$278,Cultivar_2_Cohort_Year_Selection=$AO$278,Cultivar_3_Cohort_Year_Selection=$AO$278), ROUND(MAX(0,AW$512 - 3),0),
IF(AND(OR(AX$279=123, AX$279=12), Cultivar_1_Cohort_Year_Selection=$AO$278,Cultivar_2_Cohort_Year_Selection=$AO$278), ROUND(MAX(0,AW$512 - 2),0),
IF(AND(OR(AX$279=123, AX$279=13), Cultivar_1_Cohort_Year_Selection=$AO$278,Cultivar_3_Cohort_Year_Selection=$AO$278), ROUND(MAX(0,AW$512 - 2),0),
IF(AND(OR(AX$279=123, AX$279=23), Cultivar_2_Cohort_Year_Selection=$AO$278,Cultivar_3_Cohort_Year_Selection=$AO$278), ROUND(MAX(0,AW$512 - 2),0),
IF(AND(OR(AX$279=123, AX$279=12, AX$279=13, AX$279=1), Cultivar_1_Cohort_Year_Selection=$AO$278), ROUND(MAX(0,AW$512 - 1),0),
IF(AND(OR(AX$279=123, AX$279=12, AX$279=23, AX$279=2), Cultivar_2_Cohort_Year_Selection=$AO$278), ROUND(MAX(0,AW$512 - 1),0),
IF(AND(OR(AX$279=123, AX$279=13, AX$279=23, AX$279=3), Cultivar_3_Cohort_Year_Selection=$AO$278), ROUND(MAX(0,AW$512 - 1),0),
ROUND(MAX(0,AW$512),0)))))))),""),""),"")</f>
        <v/>
      </c>
      <c r="AY525" s="496" t="str">
        <f t="shared" ref="AY525:AY532" si="453">IF(ISNUMBER($B$513),
IF($C525&lt;&gt;"",
IF(AND(ISNUMBER(AX$512), AX$512&gt;0),
IF(AND(AY$279=123, Cultivar_1_Cohort_Year_Selection=$AP$278,Cultivar_2_Cohort_Year_Selection=$AP$278,Cultivar_3_Cohort_Year_Selection=$AP$278), ROUND(MAX(0,AX$512 - 3),0),
IF(AND(OR(AY$279=123, AY$279=12), Cultivar_1_Cohort_Year_Selection=$AP$278,Cultivar_2_Cohort_Year_Selection=$AP$278), ROUND(MAX(0,AX$512 - 2),0),
IF(AND(OR(AY$279=123, AY$279=13), Cultivar_1_Cohort_Year_Selection=$AP$278,Cultivar_3_Cohort_Year_Selection=$AP$278), ROUND(MAX(0,AX$512 - 2),0),
IF(AND(OR(AY$279=123, AY$279=23), Cultivar_2_Cohort_Year_Selection=$AP$278,Cultivar_3_Cohort_Year_Selection=$AP$278), ROUND(MAX(0,AX$512 - 2),0),
IF(AND(OR(AY$279=123, AY$279=12, AY$279=13, AY$279=1), Cultivar_1_Cohort_Year_Selection=$AP$278), ROUND(MAX(0,AX$512 - 1),0),
IF(AND(OR(AY$279=123, AY$279=12, AY$279=23, AY$279=2), Cultivar_2_Cohort_Year_Selection=$AP$278), ROUND(MAX(0,AX$512 - 1),0),
IF(AND(OR(AY$279=123, AY$279=13, AY$279=23, AY$279=3), Cultivar_3_Cohort_Year_Selection=$AP$278), ROUND(MAX(0,AX$512 - 1),0),
ROUND(MAX(0,AX$512),0)))))))),""),""),"")</f>
        <v/>
      </c>
    </row>
    <row r="526" spans="1:51" x14ac:dyDescent="0.25">
      <c r="A526" s="518"/>
      <c r="B526" s="504"/>
      <c r="C526" s="521"/>
      <c r="D526" s="94" t="str">
        <f>IF(AND(C525&lt;&gt;"", 'Cost Inputs'!$G$117&lt;&gt;""), 'Cost Inputs'!$G$117, "")</f>
        <v/>
      </c>
      <c r="E526" s="94" t="str">
        <f>IF(AND(C525&lt;&gt;"", 'Cost Inputs'!$H$117&lt;&gt;""), 'Cost Inputs'!$H$117, "")</f>
        <v/>
      </c>
      <c r="F526" s="492"/>
      <c r="G526" s="102" t="str">
        <f t="shared" si="333"/>
        <v/>
      </c>
      <c r="H526" s="492"/>
      <c r="I526" s="102" t="str">
        <f>IF($C525&lt;&gt;"", IF(AND($E526&lt;&gt;"", H525&lt;&gt;""), H525/($E525*$E526), 0), "")</f>
        <v/>
      </c>
      <c r="J526" s="492" t="str">
        <f>IF(AND(C526&lt;&gt;"",('Cost Inputs'!$I$86+'Cost Inputs'!$J$86+'Cost Inputs'!$K$86)&gt;0), 'Cost Inputs'!$I$86+'Cost Inputs'!$J$86+'Cost Inputs'!$K$86, "")</f>
        <v/>
      </c>
      <c r="K526" s="102" t="str">
        <f>IF($C525&lt;&gt;"", IF(AND($E526&lt;&gt;"", J525&lt;&gt;""), J525/($E525*$E526), 0), "")</f>
        <v/>
      </c>
      <c r="L526" s="525"/>
      <c r="M526" s="525"/>
      <c r="X526" s="496" t="str">
        <f t="shared" si="426"/>
        <v/>
      </c>
      <c r="Y526" s="496" t="str">
        <f t="shared" si="427"/>
        <v/>
      </c>
      <c r="Z526" s="496" t="str">
        <f t="shared" si="428"/>
        <v/>
      </c>
      <c r="AA526" s="496" t="str">
        <f t="shared" si="429"/>
        <v/>
      </c>
      <c r="AB526" s="496" t="str">
        <f t="shared" si="430"/>
        <v/>
      </c>
      <c r="AC526" s="496" t="str">
        <f t="shared" si="431"/>
        <v/>
      </c>
      <c r="AD526" s="496" t="str">
        <f t="shared" si="432"/>
        <v/>
      </c>
      <c r="AE526" s="496" t="str">
        <f t="shared" si="433"/>
        <v/>
      </c>
      <c r="AF526" s="496" t="str">
        <f t="shared" si="434"/>
        <v/>
      </c>
      <c r="AG526" s="496" t="str">
        <f t="shared" si="435"/>
        <v/>
      </c>
      <c r="AH526" s="496" t="str">
        <f t="shared" si="436"/>
        <v/>
      </c>
      <c r="AI526" s="496" t="str">
        <f t="shared" si="437"/>
        <v/>
      </c>
      <c r="AJ526" s="496" t="str">
        <f t="shared" si="438"/>
        <v/>
      </c>
      <c r="AK526" s="496" t="str">
        <f t="shared" si="439"/>
        <v/>
      </c>
      <c r="AL526" s="496" t="str">
        <f t="shared" si="440"/>
        <v/>
      </c>
      <c r="AM526" s="496" t="str">
        <f t="shared" si="441"/>
        <v/>
      </c>
      <c r="AN526" s="496" t="str">
        <f t="shared" si="442"/>
        <v/>
      </c>
      <c r="AO526" s="496" t="str">
        <f t="shared" si="443"/>
        <v/>
      </c>
      <c r="AP526" s="496" t="str">
        <f t="shared" si="444"/>
        <v/>
      </c>
      <c r="AQ526" s="496" t="str">
        <f t="shared" si="445"/>
        <v/>
      </c>
      <c r="AR526" s="496" t="str">
        <f t="shared" si="446"/>
        <v/>
      </c>
      <c r="AS526" s="496" t="str">
        <f t="shared" si="447"/>
        <v/>
      </c>
      <c r="AT526" s="496" t="str">
        <f t="shared" si="448"/>
        <v/>
      </c>
      <c r="AU526" s="496" t="str">
        <f t="shared" si="449"/>
        <v/>
      </c>
      <c r="AV526" s="496" t="str">
        <f t="shared" si="450"/>
        <v/>
      </c>
      <c r="AW526" s="496" t="str">
        <f t="shared" si="451"/>
        <v/>
      </c>
      <c r="AX526" s="496" t="str">
        <f t="shared" si="452"/>
        <v/>
      </c>
      <c r="AY526" s="496" t="str">
        <f t="shared" si="453"/>
        <v/>
      </c>
    </row>
    <row r="527" spans="1:51" x14ac:dyDescent="0.25">
      <c r="A527" s="518"/>
      <c r="B527" s="504"/>
      <c r="C527" s="376" t="str">
        <f>IF(AND(ISNUMBER(B513), C525&lt;&gt;"", OR('Cost Inputs'!$H$118&lt;&gt;"", 'Cost Inputs'!$I$118&lt;&gt;"", 'Cost Inputs'!$J$118&lt;&gt;"")), _4_5_1, "")</f>
        <v/>
      </c>
      <c r="D527" s="17" t="str">
        <f>IF(AND(C527&lt;&gt;"", 'Cost Inputs'!$G$118&lt;&gt;""), 'Cost Inputs'!$G$118, "")</f>
        <v/>
      </c>
      <c r="E527" s="17" t="str">
        <f>IF(AND(C527&lt;&gt;"", 'Cost Inputs'!$H$118&lt;&gt;""), 'Cost Inputs'!$H$118, "")</f>
        <v/>
      </c>
      <c r="F527" s="493" t="str">
        <f>IF(AND(C527&lt;&gt;"", 'Cost Inputs'!$I$118&lt;&gt;""), 'Cost Inputs'!$I$118, "")</f>
        <v/>
      </c>
      <c r="G527" s="105" t="str">
        <f t="shared" si="333"/>
        <v/>
      </c>
      <c r="H527" s="493" t="str">
        <f>IF(AND(C527&lt;&gt;"", 'Cost Inputs'!$J$118&lt;&gt;""), 'Cost Inputs'!$J$118, "")</f>
        <v/>
      </c>
      <c r="I527" s="105" t="str">
        <f>IF($C527&lt;&gt;"",IF(AND($E527&lt;&gt;"",H527&lt;&gt;""), H527/$E527, 0),"")</f>
        <v/>
      </c>
      <c r="J527" s="493" t="str">
        <f>IF(AND(C527&lt;&gt;"",('Cost Inputs'!$I$118+'Cost Inputs'!$J$118+'Cost Inputs'!$K$118)&gt;0), 'Cost Inputs'!$I$118+'Cost Inputs'!$J$118+'Cost Inputs'!$K$118, "")</f>
        <v/>
      </c>
      <c r="K527" s="105" t="str">
        <f>IF($C527&lt;&gt;"",IF(AND($E527&lt;&gt;"",J527&lt;&gt;""), J527/$E527, 0),"")</f>
        <v/>
      </c>
      <c r="L527" s="525"/>
      <c r="M527" s="525"/>
      <c r="X527" s="497" t="str">
        <f t="shared" si="426"/>
        <v/>
      </c>
      <c r="Y527" s="497" t="str">
        <f t="shared" si="427"/>
        <v/>
      </c>
      <c r="Z527" s="497" t="str">
        <f t="shared" si="428"/>
        <v/>
      </c>
      <c r="AA527" s="497" t="str">
        <f t="shared" si="429"/>
        <v/>
      </c>
      <c r="AB527" s="497" t="str">
        <f t="shared" si="430"/>
        <v/>
      </c>
      <c r="AC527" s="497" t="str">
        <f t="shared" si="431"/>
        <v/>
      </c>
      <c r="AD527" s="497" t="str">
        <f t="shared" si="432"/>
        <v/>
      </c>
      <c r="AE527" s="497" t="str">
        <f t="shared" si="433"/>
        <v/>
      </c>
      <c r="AF527" s="497" t="str">
        <f t="shared" si="434"/>
        <v/>
      </c>
      <c r="AG527" s="497" t="str">
        <f t="shared" si="435"/>
        <v/>
      </c>
      <c r="AH527" s="497" t="str">
        <f t="shared" si="436"/>
        <v/>
      </c>
      <c r="AI527" s="497" t="str">
        <f t="shared" si="437"/>
        <v/>
      </c>
      <c r="AJ527" s="497" t="str">
        <f t="shared" si="438"/>
        <v/>
      </c>
      <c r="AK527" s="497" t="str">
        <f t="shared" si="439"/>
        <v/>
      </c>
      <c r="AL527" s="497" t="str">
        <f t="shared" si="440"/>
        <v/>
      </c>
      <c r="AM527" s="497" t="str">
        <f t="shared" si="441"/>
        <v/>
      </c>
      <c r="AN527" s="497" t="str">
        <f t="shared" si="442"/>
        <v/>
      </c>
      <c r="AO527" s="497" t="str">
        <f t="shared" si="443"/>
        <v/>
      </c>
      <c r="AP527" s="497" t="str">
        <f t="shared" si="444"/>
        <v/>
      </c>
      <c r="AQ527" s="497" t="str">
        <f t="shared" si="445"/>
        <v/>
      </c>
      <c r="AR527" s="497" t="str">
        <f t="shared" si="446"/>
        <v/>
      </c>
      <c r="AS527" s="497" t="str">
        <f t="shared" si="447"/>
        <v/>
      </c>
      <c r="AT527" s="497" t="str">
        <f t="shared" si="448"/>
        <v/>
      </c>
      <c r="AU527" s="497" t="str">
        <f t="shared" si="449"/>
        <v/>
      </c>
      <c r="AV527" s="497" t="str">
        <f t="shared" si="450"/>
        <v/>
      </c>
      <c r="AW527" s="497" t="str">
        <f t="shared" si="451"/>
        <v/>
      </c>
      <c r="AX527" s="497" t="str">
        <f t="shared" si="452"/>
        <v/>
      </c>
      <c r="AY527" s="497" t="str">
        <f t="shared" si="453"/>
        <v/>
      </c>
    </row>
    <row r="528" spans="1:51" x14ac:dyDescent="0.25">
      <c r="A528" s="518"/>
      <c r="B528" s="504"/>
      <c r="C528" s="376" t="str">
        <f>IF(AND(ISNUMBER(B508), OR('Cost Inputs'!$H$85&lt;&gt;"", 'Cost Inputs'!$I$85&lt;&gt;"", 'Cost Inputs'!$J$85&lt;&gt;"")), _3_5_1, "")</f>
        <v/>
      </c>
      <c r="D528" s="17" t="str">
        <f>IF(AND(C527&lt;&gt;"", 'Cost Inputs'!$G$119&lt;&gt;""), 'Cost Inputs'!$G$119, "")</f>
        <v/>
      </c>
      <c r="E528" s="17" t="str">
        <f>IF(AND(C527&lt;&gt;"", 'Cost Inputs'!$H$119&lt;&gt;""), 'Cost Inputs'!$H$119, "")</f>
        <v/>
      </c>
      <c r="F528" s="493"/>
      <c r="G528" s="105" t="str">
        <f t="shared" si="333"/>
        <v/>
      </c>
      <c r="H528" s="493"/>
      <c r="I528" s="105" t="str">
        <f>IF($C527&lt;&gt;"", IF(AND($E528&lt;&gt;"", H527&lt;&gt;""), H527/($E527*$E528), 0), "")</f>
        <v/>
      </c>
      <c r="J528" s="493" t="str">
        <f>IF(AND(C528&lt;&gt;"",('Cost Inputs'!$I$86+'Cost Inputs'!$J$86+'Cost Inputs'!$K$86)&gt;0), 'Cost Inputs'!$I$86+'Cost Inputs'!$J$86+'Cost Inputs'!$K$86, "")</f>
        <v/>
      </c>
      <c r="K528" s="105" t="str">
        <f>IF($C527&lt;&gt;"", IF(AND($E528&lt;&gt;"", J527&lt;&gt;""), J527/($E527*$E528), 0), "")</f>
        <v/>
      </c>
      <c r="L528" s="525"/>
      <c r="M528" s="525"/>
      <c r="X528" s="497" t="str">
        <f t="shared" si="426"/>
        <v/>
      </c>
      <c r="Y528" s="497" t="str">
        <f t="shared" si="427"/>
        <v/>
      </c>
      <c r="Z528" s="497" t="str">
        <f t="shared" si="428"/>
        <v/>
      </c>
      <c r="AA528" s="497" t="str">
        <f t="shared" si="429"/>
        <v/>
      </c>
      <c r="AB528" s="497" t="str">
        <f t="shared" si="430"/>
        <v/>
      </c>
      <c r="AC528" s="497" t="str">
        <f t="shared" si="431"/>
        <v/>
      </c>
      <c r="AD528" s="497" t="str">
        <f t="shared" si="432"/>
        <v/>
      </c>
      <c r="AE528" s="497" t="str">
        <f t="shared" si="433"/>
        <v/>
      </c>
      <c r="AF528" s="497" t="str">
        <f t="shared" si="434"/>
        <v/>
      </c>
      <c r="AG528" s="497" t="str">
        <f t="shared" si="435"/>
        <v/>
      </c>
      <c r="AH528" s="497" t="str">
        <f t="shared" si="436"/>
        <v/>
      </c>
      <c r="AI528" s="497" t="str">
        <f t="shared" si="437"/>
        <v/>
      </c>
      <c r="AJ528" s="497" t="str">
        <f t="shared" si="438"/>
        <v/>
      </c>
      <c r="AK528" s="497" t="str">
        <f t="shared" si="439"/>
        <v/>
      </c>
      <c r="AL528" s="497" t="str">
        <f t="shared" si="440"/>
        <v/>
      </c>
      <c r="AM528" s="497" t="str">
        <f t="shared" si="441"/>
        <v/>
      </c>
      <c r="AN528" s="497" t="str">
        <f t="shared" si="442"/>
        <v/>
      </c>
      <c r="AO528" s="497" t="str">
        <f t="shared" si="443"/>
        <v/>
      </c>
      <c r="AP528" s="497" t="str">
        <f t="shared" si="444"/>
        <v/>
      </c>
      <c r="AQ528" s="497" t="str">
        <f t="shared" si="445"/>
        <v/>
      </c>
      <c r="AR528" s="497" t="str">
        <f t="shared" si="446"/>
        <v/>
      </c>
      <c r="AS528" s="497" t="str">
        <f t="shared" si="447"/>
        <v/>
      </c>
      <c r="AT528" s="497" t="str">
        <f t="shared" si="448"/>
        <v/>
      </c>
      <c r="AU528" s="497" t="str">
        <f t="shared" si="449"/>
        <v/>
      </c>
      <c r="AV528" s="497" t="str">
        <f t="shared" si="450"/>
        <v/>
      </c>
      <c r="AW528" s="497" t="str">
        <f t="shared" si="451"/>
        <v/>
      </c>
      <c r="AX528" s="497" t="str">
        <f t="shared" si="452"/>
        <v/>
      </c>
      <c r="AY528" s="497" t="str">
        <f t="shared" si="453"/>
        <v/>
      </c>
    </row>
    <row r="529" spans="1:51" x14ac:dyDescent="0.25">
      <c r="A529" s="518"/>
      <c r="B529" s="504"/>
      <c r="C529" s="107" t="str">
        <f>IF(AND(ISNUMBER(B513), C525&lt;&gt;"", OR('Cost Inputs'!$H$120&lt;&gt;"", 'Cost Inputs'!$I$120&lt;&gt;"", 'Cost Inputs'!$J$120&lt;&gt;"")), _4_5_2, "")</f>
        <v/>
      </c>
      <c r="D529" s="93" t="str">
        <f>IF(AND(C529&lt;&gt;"", 'Cost Inputs'!$G$120&lt;&gt;""), 'Cost Inputs'!$G$120, "")</f>
        <v/>
      </c>
      <c r="E529" s="93" t="str">
        <f>IF(AND(C529&lt;&gt;"", 'Cost Inputs'!$H$120&lt;&gt;""), 'Cost Inputs'!$H$120, "")</f>
        <v/>
      </c>
      <c r="F529" s="93" t="str">
        <f>IF(AND(C529&lt;&gt;"", 'Cost Inputs'!$I$120&lt;&gt;""), 'Cost Inputs'!$I$120, "")</f>
        <v/>
      </c>
      <c r="G529" s="108" t="str">
        <f t="shared" si="333"/>
        <v/>
      </c>
      <c r="H529" s="93" t="str">
        <f>IF(AND(C529&lt;&gt;"", 'Cost Inputs'!$J$120&lt;&gt;""), 'Cost Inputs'!$J$120, "")</f>
        <v/>
      </c>
      <c r="I529" s="93" t="str">
        <f>IF($C529&lt;&gt;"", IF(AND($E529&lt;&gt;"", H529&lt;&gt;""), H529/$E529, 0),"")</f>
        <v/>
      </c>
      <c r="J529" s="93" t="str">
        <f>IF(AND(C529&lt;&gt;"",('Cost Inputs'!$I$120+'Cost Inputs'!$J$120+'Cost Inputs'!$K$120)&gt;0), 'Cost Inputs'!$I$120+'Cost Inputs'!$J$120+'Cost Inputs'!$K$120, "")</f>
        <v/>
      </c>
      <c r="K529" s="93" t="str">
        <f>IF($C529&lt;&gt;"", IF(AND($E529&lt;&gt;"", J529&lt;&gt;""), J529/$E529, 0),"")</f>
        <v/>
      </c>
      <c r="L529" s="525"/>
      <c r="M529" s="525"/>
      <c r="X529" s="93" t="str">
        <f t="shared" si="426"/>
        <v/>
      </c>
      <c r="Y529" s="93" t="str">
        <f t="shared" si="427"/>
        <v/>
      </c>
      <c r="Z529" s="93" t="str">
        <f t="shared" si="428"/>
        <v/>
      </c>
      <c r="AA529" s="93" t="str">
        <f t="shared" si="429"/>
        <v/>
      </c>
      <c r="AB529" s="93" t="str">
        <f t="shared" si="430"/>
        <v/>
      </c>
      <c r="AC529" s="93" t="str">
        <f t="shared" si="431"/>
        <v/>
      </c>
      <c r="AD529" s="93" t="str">
        <f t="shared" si="432"/>
        <v/>
      </c>
      <c r="AE529" s="93" t="str">
        <f t="shared" si="433"/>
        <v/>
      </c>
      <c r="AF529" s="93" t="str">
        <f t="shared" si="434"/>
        <v/>
      </c>
      <c r="AG529" s="93" t="str">
        <f t="shared" si="435"/>
        <v/>
      </c>
      <c r="AH529" s="93" t="str">
        <f t="shared" si="436"/>
        <v/>
      </c>
      <c r="AI529" s="93" t="str">
        <f t="shared" si="437"/>
        <v/>
      </c>
      <c r="AJ529" s="93" t="str">
        <f t="shared" si="438"/>
        <v/>
      </c>
      <c r="AK529" s="93" t="str">
        <f t="shared" si="439"/>
        <v/>
      </c>
      <c r="AL529" s="93" t="str">
        <f t="shared" si="440"/>
        <v/>
      </c>
      <c r="AM529" s="93" t="str">
        <f t="shared" si="441"/>
        <v/>
      </c>
      <c r="AN529" s="93" t="str">
        <f t="shared" si="442"/>
        <v/>
      </c>
      <c r="AO529" s="93" t="str">
        <f t="shared" si="443"/>
        <v/>
      </c>
      <c r="AP529" s="93" t="str">
        <f t="shared" si="444"/>
        <v/>
      </c>
      <c r="AQ529" s="93" t="str">
        <f t="shared" si="445"/>
        <v/>
      </c>
      <c r="AR529" s="93" t="str">
        <f t="shared" si="446"/>
        <v/>
      </c>
      <c r="AS529" s="93" t="str">
        <f t="shared" si="447"/>
        <v/>
      </c>
      <c r="AT529" s="93" t="str">
        <f t="shared" si="448"/>
        <v/>
      </c>
      <c r="AU529" s="93" t="str">
        <f t="shared" si="449"/>
        <v/>
      </c>
      <c r="AV529" s="93" t="str">
        <f t="shared" si="450"/>
        <v/>
      </c>
      <c r="AW529" s="93" t="str">
        <f t="shared" si="451"/>
        <v/>
      </c>
      <c r="AX529" s="93" t="str">
        <f t="shared" si="452"/>
        <v/>
      </c>
      <c r="AY529" s="93" t="str">
        <f t="shared" si="453"/>
        <v/>
      </c>
    </row>
    <row r="530" spans="1:51" x14ac:dyDescent="0.25">
      <c r="A530" s="518"/>
      <c r="B530" s="504"/>
      <c r="C530" s="104" t="str">
        <f>IF(AND(ISNUMBER(B513), C525&lt;&gt;"", OR('Cost Inputs'!$H$121&lt;&gt;"", 'Cost Inputs'!$I$121&lt;&gt;"", 'Cost Inputs'!$J$121&lt;&gt;"")), _4_5_3, "")</f>
        <v/>
      </c>
      <c r="D530" s="17" t="str">
        <f>IF(AND(C530&lt;&gt;"", 'Cost Inputs'!$G$121&lt;&gt;""), 'Cost Inputs'!$G$121, "")</f>
        <v/>
      </c>
      <c r="E530" s="17" t="str">
        <f>IF(AND(C530&lt;&gt;"", 'Cost Inputs'!$H$121&lt;&gt;""), 'Cost Inputs'!$H$121, "")</f>
        <v/>
      </c>
      <c r="F530" s="17" t="str">
        <f>IF(AND(C530&lt;&gt;"", 'Cost Inputs'!$I$121&lt;&gt;""), 'Cost Inputs'!$I$121, "")</f>
        <v/>
      </c>
      <c r="G530" s="105" t="str">
        <f t="shared" si="333"/>
        <v/>
      </c>
      <c r="H530" s="17" t="str">
        <f>IF(AND(C530&lt;&gt;"", 'Cost Inputs'!$J$121&lt;&gt;""), 'Cost Inputs'!$J$121, "")</f>
        <v/>
      </c>
      <c r="I530" s="17" t="str">
        <f>IF($C530&lt;&gt;"", IF(AND($E530&lt;&gt;"", H530&lt;&gt;""), H530/$E530, 0),"")</f>
        <v/>
      </c>
      <c r="J530" s="17" t="str">
        <f>IF(AND(C530&lt;&gt;"",('Cost Inputs'!$I$121+'Cost Inputs'!$J$121+'Cost Inputs'!$K$121)&gt;0), 'Cost Inputs'!$I$121+'Cost Inputs'!$J$121+'Cost Inputs'!$K$121, "")</f>
        <v/>
      </c>
      <c r="K530" s="17" t="str">
        <f>IF($C530&lt;&gt;"", IF(AND($E530&lt;&gt;"", J530&lt;&gt;""), J530/$E530, 0),"")</f>
        <v/>
      </c>
      <c r="L530" s="525"/>
      <c r="M530" s="525"/>
      <c r="X530" s="17" t="str">
        <f t="shared" si="426"/>
        <v/>
      </c>
      <c r="Y530" s="17" t="str">
        <f t="shared" si="427"/>
        <v/>
      </c>
      <c r="Z530" s="17" t="str">
        <f t="shared" si="428"/>
        <v/>
      </c>
      <c r="AA530" s="17" t="str">
        <f t="shared" si="429"/>
        <v/>
      </c>
      <c r="AB530" s="17" t="str">
        <f t="shared" si="430"/>
        <v/>
      </c>
      <c r="AC530" s="17" t="str">
        <f t="shared" si="431"/>
        <v/>
      </c>
      <c r="AD530" s="17" t="str">
        <f t="shared" si="432"/>
        <v/>
      </c>
      <c r="AE530" s="17" t="str">
        <f t="shared" si="433"/>
        <v/>
      </c>
      <c r="AF530" s="17" t="str">
        <f t="shared" si="434"/>
        <v/>
      </c>
      <c r="AG530" s="17" t="str">
        <f t="shared" si="435"/>
        <v/>
      </c>
      <c r="AH530" s="17" t="str">
        <f t="shared" si="436"/>
        <v/>
      </c>
      <c r="AI530" s="17" t="str">
        <f t="shared" si="437"/>
        <v/>
      </c>
      <c r="AJ530" s="17" t="str">
        <f t="shared" si="438"/>
        <v/>
      </c>
      <c r="AK530" s="17" t="str">
        <f t="shared" si="439"/>
        <v/>
      </c>
      <c r="AL530" s="17" t="str">
        <f t="shared" si="440"/>
        <v/>
      </c>
      <c r="AM530" s="17" t="str">
        <f t="shared" si="441"/>
        <v/>
      </c>
      <c r="AN530" s="17" t="str">
        <f t="shared" si="442"/>
        <v/>
      </c>
      <c r="AO530" s="17" t="str">
        <f t="shared" si="443"/>
        <v/>
      </c>
      <c r="AP530" s="17" t="str">
        <f t="shared" si="444"/>
        <v/>
      </c>
      <c r="AQ530" s="17" t="str">
        <f t="shared" si="445"/>
        <v/>
      </c>
      <c r="AR530" s="17" t="str">
        <f t="shared" si="446"/>
        <v/>
      </c>
      <c r="AS530" s="17" t="str">
        <f t="shared" si="447"/>
        <v/>
      </c>
      <c r="AT530" s="17" t="str">
        <f t="shared" si="448"/>
        <v/>
      </c>
      <c r="AU530" s="17" t="str">
        <f t="shared" si="449"/>
        <v/>
      </c>
      <c r="AV530" s="17" t="str">
        <f t="shared" si="450"/>
        <v/>
      </c>
      <c r="AW530" s="17" t="str">
        <f t="shared" si="451"/>
        <v/>
      </c>
      <c r="AX530" s="17" t="str">
        <f t="shared" si="452"/>
        <v/>
      </c>
      <c r="AY530" s="17" t="str">
        <f t="shared" si="453"/>
        <v/>
      </c>
    </row>
    <row r="531" spans="1:51" x14ac:dyDescent="0.25">
      <c r="A531" s="518"/>
      <c r="B531" s="504"/>
      <c r="C531" s="107" t="str">
        <f>IF(AND(ISNUMBER(B513), C525&lt;&gt;"", OR('Cost Inputs'!$H$122&lt;&gt;"", 'Cost Inputs'!$I$122&lt;&gt;"", 'Cost Inputs'!$J$122&lt;&gt;"")), _4_5_2, "")</f>
        <v/>
      </c>
      <c r="D531" s="93" t="str">
        <f>IF(AND(C531&lt;&gt;"", 'Cost Inputs'!$G$122&lt;&gt;""), 'Cost Inputs'!$G$122, "")</f>
        <v/>
      </c>
      <c r="E531" s="93" t="str">
        <f>IF(AND(C531&lt;&gt;"", 'Cost Inputs'!$H$122&lt;&gt;""), 'Cost Inputs'!$H$122, "")</f>
        <v/>
      </c>
      <c r="F531" s="93" t="str">
        <f>IF(AND(C531&lt;&gt;"", 'Cost Inputs'!$I$122&lt;&gt;""), 'Cost Inputs'!$I$122, "")</f>
        <v/>
      </c>
      <c r="G531" s="108" t="str">
        <f t="shared" si="333"/>
        <v/>
      </c>
      <c r="H531" s="93" t="str">
        <f>IF(AND(C531&lt;&gt;"", 'Cost Inputs'!$J$122&lt;&gt;""), 'Cost Inputs'!$J$122, "")</f>
        <v/>
      </c>
      <c r="I531" s="93" t="str">
        <f>IF($C531&lt;&gt;"", IF(AND($E531&lt;&gt;"", H531&lt;&gt;""), H531/$E531, 0),"")</f>
        <v/>
      </c>
      <c r="J531" s="93" t="str">
        <f>IF(AND(C531&lt;&gt;"",('Cost Inputs'!$I$122+'Cost Inputs'!$J$122+'Cost Inputs'!$K$122)&gt;0), 'Cost Inputs'!$I$122+'Cost Inputs'!$J$122+'Cost Inputs'!$K$122, "")</f>
        <v/>
      </c>
      <c r="K531" s="93" t="str">
        <f>IF($C531&lt;&gt;"", IF(AND($E531&lt;&gt;"", J531&lt;&gt;""), J531/$E531, 0),"")</f>
        <v/>
      </c>
      <c r="L531" s="525"/>
      <c r="M531" s="525"/>
      <c r="X531" s="93" t="str">
        <f t="shared" si="426"/>
        <v/>
      </c>
      <c r="Y531" s="93" t="str">
        <f t="shared" si="427"/>
        <v/>
      </c>
      <c r="Z531" s="93" t="str">
        <f t="shared" si="428"/>
        <v/>
      </c>
      <c r="AA531" s="93" t="str">
        <f t="shared" si="429"/>
        <v/>
      </c>
      <c r="AB531" s="93" t="str">
        <f t="shared" si="430"/>
        <v/>
      </c>
      <c r="AC531" s="93" t="str">
        <f t="shared" si="431"/>
        <v/>
      </c>
      <c r="AD531" s="93" t="str">
        <f t="shared" si="432"/>
        <v/>
      </c>
      <c r="AE531" s="93" t="str">
        <f t="shared" si="433"/>
        <v/>
      </c>
      <c r="AF531" s="93" t="str">
        <f t="shared" si="434"/>
        <v/>
      </c>
      <c r="AG531" s="93" t="str">
        <f t="shared" si="435"/>
        <v/>
      </c>
      <c r="AH531" s="93" t="str">
        <f t="shared" si="436"/>
        <v/>
      </c>
      <c r="AI531" s="93" t="str">
        <f t="shared" si="437"/>
        <v/>
      </c>
      <c r="AJ531" s="93" t="str">
        <f t="shared" si="438"/>
        <v/>
      </c>
      <c r="AK531" s="93" t="str">
        <f t="shared" si="439"/>
        <v/>
      </c>
      <c r="AL531" s="93" t="str">
        <f t="shared" si="440"/>
        <v/>
      </c>
      <c r="AM531" s="93" t="str">
        <f t="shared" si="441"/>
        <v/>
      </c>
      <c r="AN531" s="93" t="str">
        <f t="shared" si="442"/>
        <v/>
      </c>
      <c r="AO531" s="93" t="str">
        <f t="shared" si="443"/>
        <v/>
      </c>
      <c r="AP531" s="93" t="str">
        <f t="shared" si="444"/>
        <v/>
      </c>
      <c r="AQ531" s="93" t="str">
        <f t="shared" si="445"/>
        <v/>
      </c>
      <c r="AR531" s="93" t="str">
        <f t="shared" si="446"/>
        <v/>
      </c>
      <c r="AS531" s="93" t="str">
        <f t="shared" si="447"/>
        <v/>
      </c>
      <c r="AT531" s="93" t="str">
        <f t="shared" si="448"/>
        <v/>
      </c>
      <c r="AU531" s="93" t="str">
        <f t="shared" si="449"/>
        <v/>
      </c>
      <c r="AV531" s="93" t="str">
        <f t="shared" si="450"/>
        <v/>
      </c>
      <c r="AW531" s="93" t="str">
        <f t="shared" si="451"/>
        <v/>
      </c>
      <c r="AX531" s="93" t="str">
        <f t="shared" si="452"/>
        <v/>
      </c>
      <c r="AY531" s="93" t="str">
        <f t="shared" si="453"/>
        <v/>
      </c>
    </row>
    <row r="532" spans="1:51" x14ac:dyDescent="0.25">
      <c r="A532" s="518"/>
      <c r="B532" s="504"/>
      <c r="C532" s="104" t="str">
        <f>IF(AND(ISNUMBER(B513), C525&lt;&gt;"", OR('Cost Inputs'!$H$123&lt;&gt;"", 'Cost Inputs'!$I$123&lt;&gt;"", 'Cost Inputs'!$J$123&lt;&gt;"")), _4_5_3, "")</f>
        <v/>
      </c>
      <c r="D532" s="17" t="str">
        <f>IF(AND(C532&lt;&gt;"", 'Cost Inputs'!$G$123&lt;&gt;""), 'Cost Inputs'!$G$123, "")</f>
        <v/>
      </c>
      <c r="E532" s="17" t="str">
        <f>IF(AND(C532&lt;&gt;"", 'Cost Inputs'!$H$123&lt;&gt;""), 'Cost Inputs'!$H$123, "")</f>
        <v/>
      </c>
      <c r="F532" s="17" t="str">
        <f>IF(AND(C532&lt;&gt;"", 'Cost Inputs'!$I$123&lt;&gt;""), 'Cost Inputs'!$I$123, "")</f>
        <v/>
      </c>
      <c r="G532" s="105" t="str">
        <f t="shared" si="333"/>
        <v/>
      </c>
      <c r="H532" s="17" t="str">
        <f>IF(AND(C532&lt;&gt;"", 'Cost Inputs'!$J$123&lt;&gt;""), 'Cost Inputs'!$J$123, "")</f>
        <v/>
      </c>
      <c r="I532" s="17" t="str">
        <f>IF($C532&lt;&gt;"", IF(AND($E532&lt;&gt;"", H532&lt;&gt;""), H532/$E532, 0),"")</f>
        <v/>
      </c>
      <c r="J532" s="17" t="str">
        <f>IF(AND(C532&lt;&gt;"",('Cost Inputs'!$I$123+'Cost Inputs'!$J$123+'Cost Inputs'!$K$123)&gt;0), 'Cost Inputs'!$I$123+'Cost Inputs'!$J$123+'Cost Inputs'!$K$123, "")</f>
        <v/>
      </c>
      <c r="K532" s="17" t="str">
        <f>IF($C532&lt;&gt;"", IF(AND($E532&lt;&gt;"", J532&lt;&gt;""), J532/$E532, 0),"")</f>
        <v/>
      </c>
      <c r="L532" s="525"/>
      <c r="M532" s="525"/>
      <c r="X532" s="17" t="str">
        <f t="shared" si="426"/>
        <v/>
      </c>
      <c r="Y532" s="17" t="str">
        <f t="shared" si="427"/>
        <v/>
      </c>
      <c r="Z532" s="17" t="str">
        <f t="shared" si="428"/>
        <v/>
      </c>
      <c r="AA532" s="17" t="str">
        <f t="shared" si="429"/>
        <v/>
      </c>
      <c r="AB532" s="17" t="str">
        <f t="shared" si="430"/>
        <v/>
      </c>
      <c r="AC532" s="17" t="str">
        <f t="shared" si="431"/>
        <v/>
      </c>
      <c r="AD532" s="17" t="str">
        <f t="shared" si="432"/>
        <v/>
      </c>
      <c r="AE532" s="17" t="str">
        <f t="shared" si="433"/>
        <v/>
      </c>
      <c r="AF532" s="17" t="str">
        <f t="shared" si="434"/>
        <v/>
      </c>
      <c r="AG532" s="17" t="str">
        <f t="shared" si="435"/>
        <v/>
      </c>
      <c r="AH532" s="17" t="str">
        <f t="shared" si="436"/>
        <v/>
      </c>
      <c r="AI532" s="17" t="str">
        <f t="shared" si="437"/>
        <v/>
      </c>
      <c r="AJ532" s="17" t="str">
        <f t="shared" si="438"/>
        <v/>
      </c>
      <c r="AK532" s="17" t="str">
        <f t="shared" si="439"/>
        <v/>
      </c>
      <c r="AL532" s="17" t="str">
        <f t="shared" si="440"/>
        <v/>
      </c>
      <c r="AM532" s="17" t="str">
        <f t="shared" si="441"/>
        <v/>
      </c>
      <c r="AN532" s="17" t="str">
        <f t="shared" si="442"/>
        <v/>
      </c>
      <c r="AO532" s="17" t="str">
        <f t="shared" si="443"/>
        <v/>
      </c>
      <c r="AP532" s="17" t="str">
        <f t="shared" si="444"/>
        <v/>
      </c>
      <c r="AQ532" s="17" t="str">
        <f t="shared" si="445"/>
        <v/>
      </c>
      <c r="AR532" s="17" t="str">
        <f t="shared" si="446"/>
        <v/>
      </c>
      <c r="AS532" s="17" t="str">
        <f t="shared" si="447"/>
        <v/>
      </c>
      <c r="AT532" s="17" t="str">
        <f t="shared" si="448"/>
        <v/>
      </c>
      <c r="AU532" s="17" t="str">
        <f t="shared" si="449"/>
        <v/>
      </c>
      <c r="AV532" s="17" t="str">
        <f t="shared" si="450"/>
        <v/>
      </c>
      <c r="AW532" s="17" t="str">
        <f t="shared" si="451"/>
        <v/>
      </c>
      <c r="AX532" s="17" t="str">
        <f t="shared" si="452"/>
        <v/>
      </c>
      <c r="AY532" s="17" t="str">
        <f t="shared" si="453"/>
        <v/>
      </c>
    </row>
    <row r="533" spans="1:51" x14ac:dyDescent="0.25">
      <c r="A533" s="518"/>
      <c r="B533" s="504"/>
      <c r="C533" s="110" t="str">
        <f>IF(ISNUMBER(B513), _4_6_0, "")</f>
        <v/>
      </c>
      <c r="D533" s="94" t="str">
        <f>IF(AND(C533&lt;&gt;"", 'Cost Inputs'!$G$124&lt;&gt;""), 'Cost Inputs'!$G$124, "")</f>
        <v/>
      </c>
      <c r="E533" s="94" t="str">
        <f>IF(AND(C533&lt;&gt;"", 'Cost Inputs'!$H$124&lt;&gt;""), 'Cost Inputs'!$H$124, "")</f>
        <v/>
      </c>
      <c r="F533" s="94" t="str">
        <f>IF(AND(C533&lt;&gt;"", 'Cost Inputs'!$I$124&lt;&gt;""), 'Cost Inputs'!$I$124, "")</f>
        <v/>
      </c>
      <c r="G533" s="102" t="str">
        <f t="shared" si="333"/>
        <v/>
      </c>
      <c r="H533" s="94" t="str">
        <f>IF(AND(C533&lt;&gt;"", 'Cost Inputs'!$J$124&lt;&gt;""), 'Cost Inputs'!$J$124, "")</f>
        <v/>
      </c>
      <c r="I533" s="102" t="str">
        <f>IF($C533&lt;&gt;"",IF(AND($E533&lt;&gt;"",H533&lt;&gt;""), H533/$E533, 0),"")</f>
        <v/>
      </c>
      <c r="J533" s="94" t="str">
        <f>IF(AND(C533&lt;&gt;"",('Cost Inputs'!$I$124+'Cost Inputs'!$J$124+'Cost Inputs'!$K$124)&gt;0), 'Cost Inputs'!$I$124+'Cost Inputs'!$J$124+'Cost Inputs'!$K$124, "")</f>
        <v/>
      </c>
      <c r="K533" s="102" t="str">
        <f>IF($C533&lt;&gt;"",IF(AND($E533&lt;&gt;"",J533&lt;&gt;""), J533/$E533, 0),"")</f>
        <v/>
      </c>
      <c r="L533" s="525"/>
      <c r="M533" s="525"/>
      <c r="X533" s="102" t="str">
        <f>IF(ISNUMBER($B$513), IF($C533&lt;&gt;"", IF(AND(ISNUMBER('Stage 2 Randomized Selection'!E$2),'Stage 2 Randomized Selection'!E$2&gt;0),'Stage 2 Randomized Selection'!E$2*$M513, ""),""),"")</f>
        <v/>
      </c>
      <c r="Y533" s="102" t="str">
        <f>IF(ISNUMBER($B$513), IF($C533&lt;&gt;"", IF(AND(ISNUMBER('Stage 2 Randomized Selection'!F$2),'Stage 2 Randomized Selection'!F$2&gt;0),'Stage 2 Randomized Selection'!F$2*$M513, ""),""),"")</f>
        <v/>
      </c>
      <c r="Z533" s="102" t="str">
        <f>IF(ISNUMBER($B$513), IF($C533&lt;&gt;"", IF(AND(ISNUMBER('Stage 2 Randomized Selection'!G$2),'Stage 2 Randomized Selection'!G$2&gt;0),'Stage 2 Randomized Selection'!G$2*$M513, ""),""),"")</f>
        <v/>
      </c>
      <c r="AA533" s="102" t="str">
        <f>IF(ISNUMBER($B$513), IF($C533&lt;&gt;"", IF(AND(ISNUMBER('Stage 2 Randomized Selection'!H$2),'Stage 2 Randomized Selection'!H$2&gt;0),'Stage 2 Randomized Selection'!H$2*$M513, ""),""),"")</f>
        <v/>
      </c>
      <c r="AB533" s="102" t="str">
        <f>IF(ISNUMBER($B$513), IF($C533&lt;&gt;"", IF(AND(ISNUMBER('Stage 2 Randomized Selection'!I$2),'Stage 2 Randomized Selection'!I$2&gt;0),'Stage 2 Randomized Selection'!I$2*$M513, ""),""),"")</f>
        <v/>
      </c>
      <c r="AC533" s="102" t="str">
        <f>IF(ISNUMBER($B$513), IF($C533&lt;&gt;"", IF(AND(ISNUMBER('Stage 2 Randomized Selection'!J$2),'Stage 2 Randomized Selection'!J$2&gt;0),'Stage 2 Randomized Selection'!J$2*$M513, ""),""),"")</f>
        <v/>
      </c>
      <c r="AD533" s="102" t="str">
        <f>IF(ISNUMBER($B$513), IF($C533&lt;&gt;"", IF(AND(ISNUMBER('Stage 2 Randomized Selection'!K$2),'Stage 2 Randomized Selection'!K$2&gt;0),'Stage 2 Randomized Selection'!K$2*$M513, ""),""),"")</f>
        <v/>
      </c>
      <c r="AE533" s="102" t="str">
        <f>IF(ISNUMBER($B$513), IF($C533&lt;&gt;"", IF(AND(ISNUMBER('Stage 2 Randomized Selection'!L$2),'Stage 2 Randomized Selection'!L$2&gt;0),'Stage 2 Randomized Selection'!L$2*$M513, ""),""),"")</f>
        <v/>
      </c>
      <c r="AF533" s="102" t="str">
        <f>IF(ISNUMBER($B$513), IF($C533&lt;&gt;"", IF(AND(ISNUMBER('Stage 2 Randomized Selection'!M$2),'Stage 2 Randomized Selection'!M$2&gt;0),'Stage 2 Randomized Selection'!M$2*$M513, ""),""),"")</f>
        <v/>
      </c>
      <c r="AG533" s="102" t="str">
        <f>IF(ISNUMBER($B$513), IF($C533&lt;&gt;"", IF(AND(ISNUMBER('Stage 2 Randomized Selection'!N$2),'Stage 2 Randomized Selection'!N$2&gt;0),'Stage 2 Randomized Selection'!N$2*$M513, ""),""),"")</f>
        <v/>
      </c>
      <c r="AH533" s="102" t="str">
        <f>IF(ISNUMBER($B$513), IF($C533&lt;&gt;"", IF(AND(ISNUMBER('Stage 2 Randomized Selection'!O$2),'Stage 2 Randomized Selection'!O$2&gt;0),'Stage 2 Randomized Selection'!O$2*$M513, ""),""),"")</f>
        <v/>
      </c>
      <c r="AI533" s="102" t="str">
        <f>IF(ISNUMBER($B$513), IF($C533&lt;&gt;"", IF(AND(ISNUMBER('Stage 2 Randomized Selection'!P$2),'Stage 2 Randomized Selection'!P$2&gt;0),'Stage 2 Randomized Selection'!P$2*$M513, ""),""),"")</f>
        <v/>
      </c>
      <c r="AJ533" s="102" t="str">
        <f>IF(ISNUMBER($B$513), IF($C533&lt;&gt;"", IF(AND(ISNUMBER('Stage 2 Randomized Selection'!Q$2),'Stage 2 Randomized Selection'!Q$2&gt;0),'Stage 2 Randomized Selection'!Q$2*$M513, ""),""),"")</f>
        <v/>
      </c>
      <c r="AK533" s="102" t="str">
        <f>IF(ISNUMBER($B$513), IF($C533&lt;&gt;"", IF(AND(ISNUMBER('Stage 2 Randomized Selection'!R$2),'Stage 2 Randomized Selection'!R$2&gt;0),'Stage 2 Randomized Selection'!R$2*$M513, ""),""),"")</f>
        <v/>
      </c>
      <c r="AL533" s="102" t="str">
        <f>IF(ISNUMBER($B$513), IF($C533&lt;&gt;"", IF(AND(ISNUMBER('Stage 2 Randomized Selection'!S$2),'Stage 2 Randomized Selection'!S$2&gt;0),'Stage 2 Randomized Selection'!S$2*$M513, ""),""),"")</f>
        <v/>
      </c>
      <c r="AM533" s="102" t="str">
        <f>IF(ISNUMBER($B$513), IF($C533&lt;&gt;"", IF(AND(ISNUMBER('Stage 2 Randomized Selection'!T$2),'Stage 2 Randomized Selection'!T$2&gt;0),'Stage 2 Randomized Selection'!T$2*$M513, ""),""),"")</f>
        <v/>
      </c>
      <c r="AN533" s="102" t="str">
        <f>IF(ISNUMBER($B$513), IF($C533&lt;&gt;"", IF(AND(ISNUMBER('Stage 2 Randomized Selection'!U$2),'Stage 2 Randomized Selection'!U$2&gt;0),'Stage 2 Randomized Selection'!U$2*$M513, ""),""),"")</f>
        <v/>
      </c>
      <c r="AO533" s="102" t="str">
        <f>IF(ISNUMBER($B$513), IF($C533&lt;&gt;"", IF(AND(ISNUMBER('Stage 2 Randomized Selection'!V$2),'Stage 2 Randomized Selection'!V$2&gt;0),'Stage 2 Randomized Selection'!V$2*$M513, ""),""),"")</f>
        <v/>
      </c>
      <c r="AP533" s="102" t="str">
        <f>IF(ISNUMBER($B$513), IF($C533&lt;&gt;"", IF(AND(ISNUMBER('Stage 2 Randomized Selection'!W$2),'Stage 2 Randomized Selection'!W$2&gt;0),'Stage 2 Randomized Selection'!W$2*$M513, ""),""),"")</f>
        <v/>
      </c>
      <c r="AQ533" s="102" t="str">
        <f>IF(ISNUMBER($B$513), IF($C533&lt;&gt;"", IF(AND(ISNUMBER('Stage 2 Randomized Selection'!X$2),'Stage 2 Randomized Selection'!X$2&gt;0),'Stage 2 Randomized Selection'!X$2*$M513, ""),""),"")</f>
        <v/>
      </c>
      <c r="AR533" s="102" t="str">
        <f>IF(ISNUMBER($B$513), IF($C533&lt;&gt;"", IF(AND(ISNUMBER('Stage 2 Randomized Selection'!Y$2),'Stage 2 Randomized Selection'!Y$2&gt;0),'Stage 2 Randomized Selection'!Y$2*$M513, ""),""),"")</f>
        <v/>
      </c>
      <c r="AS533" s="102" t="str">
        <f>IF(ISNUMBER($B$513), IF($C533&lt;&gt;"", IF(AND(ISNUMBER('Stage 2 Randomized Selection'!Z$2),'Stage 2 Randomized Selection'!Z$2&gt;0),'Stage 2 Randomized Selection'!Z$2*$M513, ""),""),"")</f>
        <v/>
      </c>
      <c r="AT533" s="102" t="str">
        <f>IF(ISNUMBER($B$513), IF($C533&lt;&gt;"", IF(AND(ISNUMBER('Stage 2 Randomized Selection'!AA$2),'Stage 2 Randomized Selection'!AA$2&gt;0),'Stage 2 Randomized Selection'!AA$2*$M513, ""),""),"")</f>
        <v/>
      </c>
      <c r="AU533" s="102" t="str">
        <f>IF(ISNUMBER($B$513), IF($C533&lt;&gt;"", IF(AND(ISNUMBER('Stage 2 Randomized Selection'!AB$2),'Stage 2 Randomized Selection'!AB$2&gt;0),'Stage 2 Randomized Selection'!AB$2*$M513, ""),""),"")</f>
        <v/>
      </c>
      <c r="AV533" s="102" t="str">
        <f>IF(ISNUMBER($B$513), IF($C533&lt;&gt;"", IF(AND(ISNUMBER('Stage 2 Randomized Selection'!AC$2),'Stage 2 Randomized Selection'!AC$2&gt;0),'Stage 2 Randomized Selection'!AC$2*$M513, ""),""),"")</f>
        <v/>
      </c>
      <c r="AW533" s="102" t="str">
        <f>IF(ISNUMBER($B$513), IF($C533&lt;&gt;"", IF(AND(ISNUMBER('Stage 2 Randomized Selection'!AD$2),'Stage 2 Randomized Selection'!AD$2&gt;0),'Stage 2 Randomized Selection'!AD$2*$M513, ""),""),"")</f>
        <v/>
      </c>
      <c r="AX533" s="102" t="str">
        <f>IF(ISNUMBER($B$513), IF($C533&lt;&gt;"", IF(AND(ISNUMBER('Stage 2 Randomized Selection'!AE$2),'Stage 2 Randomized Selection'!AE$2&gt;0),'Stage 2 Randomized Selection'!AE$2*$M513, ""),""),"")</f>
        <v/>
      </c>
      <c r="AY533" s="102" t="str">
        <f>IF(ISNUMBER($B$513), IF($C533&lt;&gt;"", IF(AND(ISNUMBER('Stage 2 Randomized Selection'!AF$2),'Stage 2 Randomized Selection'!AF$2&gt;0),'Stage 2 Randomized Selection'!AF$2*$M513, ""),""),"")</f>
        <v/>
      </c>
    </row>
    <row r="534" spans="1:51" x14ac:dyDescent="0.25">
      <c r="A534" s="518"/>
      <c r="B534" s="504"/>
      <c r="C534" s="104" t="str">
        <f>IF(AND(ISNUMBER(B513), OR('Cost Inputs'!$H$125&lt;&gt;"", 'Cost Inputs'!$I$125&lt;&gt;"", 'Cost Inputs'!$J$125&lt;&gt;"")), _4_5_3, "")</f>
        <v/>
      </c>
      <c r="D534" s="17" t="str">
        <f>IF(AND(C534&lt;&gt;"", 'Cost Inputs'!$G$125&lt;&gt;""), 'Cost Inputs'!$G$125, "")</f>
        <v/>
      </c>
      <c r="E534" s="17" t="str">
        <f>IF(AND(C534&lt;&gt;"", 'Cost Inputs'!$H$125&lt;&gt;""), 'Cost Inputs'!$H$125, "")</f>
        <v/>
      </c>
      <c r="F534" s="17" t="str">
        <f>IF(AND(C534&lt;&gt;"", 'Cost Inputs'!$I$125&lt;&gt;""), 'Cost Inputs'!$I$125, "")</f>
        <v/>
      </c>
      <c r="G534" s="105" t="str">
        <f t="shared" si="333"/>
        <v/>
      </c>
      <c r="H534" s="17" t="str">
        <f>IF(AND(C534&lt;&gt;"", 'Cost Inputs'!$J$125&lt;&gt;""), 'Cost Inputs'!$J$125, "")</f>
        <v/>
      </c>
      <c r="I534" s="17" t="str">
        <f>IF($C534&lt;&gt;"", IF(AND($E534&lt;&gt;"", H534&lt;&gt;""), H534/$E534, 0),"")</f>
        <v/>
      </c>
      <c r="J534" s="17" t="str">
        <f>IF(AND(C534&lt;&gt;"",('Cost Inputs'!$I$125+'Cost Inputs'!$J$125+'Cost Inputs'!$K$125)&gt;0), 'Cost Inputs'!$I$125+'Cost Inputs'!$J$125+'Cost Inputs'!$K$125, "")</f>
        <v/>
      </c>
      <c r="K534" s="17" t="str">
        <f>IF($C534&lt;&gt;"", IF(AND($E534&lt;&gt;"", J534&lt;&gt;""), J534/$E534, 0),"")</f>
        <v/>
      </c>
      <c r="L534" s="525"/>
      <c r="M534" s="525"/>
      <c r="X534" s="17" t="str">
        <f>IF(ISNUMBER($B$513),
IF($C534&lt;&gt;"",
IF(AND(ISNUMBER(W$512), W$512&gt;0),
IF(AND(X$279=123, Cultivar_1_Cohort_Year_Selection=$O$278,Cultivar_2_Cohort_Year_Selection=$O$278,Cultivar_3_Cohort_Year_Selection=$O$278), ROUND(MAX(0,W$512 - 3),0),
IF(AND(OR(X$279=123, X$279=12), Cultivar_1_Cohort_Year_Selection=$O$278,Cultivar_2_Cohort_Year_Selection=$O$278), ROUND(MAX(0,W$512 - 2),0),
IF(AND(OR(X$279=123, X$279=13), Cultivar_1_Cohort_Year_Selection=$O$278,Cultivar_3_Cohort_Year_Selection=$O$278), ROUND(MAX(0,W$512 - 2),0),
IF(AND(OR(X$279=123, X$279=23), Cultivar_2_Cohort_Year_Selection=$O$278,Cultivar_3_Cohort_Year_Selection=$O$278), ROUND(MAX(0,W$512 - 2),0),
IF(AND(OR(X$279=123, X$279=12, X$279=13, X$279=1), Cultivar_1_Cohort_Year_Selection=$O$278), ROUND(MAX(0,W$512 - 1),0),
IF(AND(OR(X$279=123, X$279=12, X$279=23, X$279=2), Cultivar_2_Cohort_Year_Selection=$O$278), ROUND(MAX(0,W$512 - 1),0),
IF(AND(OR(X$279=123, X$279=13, X$279=23, X$279=3), Cultivar_3_Cohort_Year_Selection=$O$278), ROUND(MAX(0,W$512 - 1),0),
ROUND(MAX(0,W$512),0)))))))),""),""),"")</f>
        <v/>
      </c>
      <c r="Y534" s="17" t="str">
        <f>IF(ISNUMBER($B$513),
IF($C534&lt;&gt;"",
IF(AND(ISNUMBER(X$512), X$512&gt;0),
IF(AND(Y$279=123, Cultivar_1_Cohort_Year_Selection=$P$278,Cultivar_2_Cohort_Year_Selection=$P$278,Cultivar_3_Cohort_Year_Selection=$P$278), ROUND(MAX(0,X$512 - 3),0),
IF(AND(OR(Y$279=123, Y$279=12), Cultivar_1_Cohort_Year_Selection=$P$278,Cultivar_2_Cohort_Year_Selection=$P$278), ROUND(MAX(0,X$512 - 2),0),
IF(AND(OR(Y$279=123, Y$279=13), Cultivar_1_Cohort_Year_Selection=$P$278,Cultivar_3_Cohort_Year_Selection=$P$278), ROUND(MAX(0,X$512 - 2),0),
IF(AND(OR(Y$279=123, Y$279=23), Cultivar_2_Cohort_Year_Selection=$P$278,Cultivar_3_Cohort_Year_Selection=$P$278), ROUND(MAX(0,X$512 - 2),0),
IF(AND(OR(Y$279=123, Y$279=12, Y$279=13, Y$279=1), Cultivar_1_Cohort_Year_Selection=$P$278), ROUND(MAX(0,X$512 - 1),0),
IF(AND(OR(Y$279=123, Y$279=12, Y$279=23, Y$279=2), Cultivar_2_Cohort_Year_Selection=$P$278), ROUND(MAX(0,X$512 - 1),0),
IF(AND(OR(Y$279=123, Y$279=13, Y$279=23, Y$279=3), Cultivar_3_Cohort_Year_Selection=$P$278), ROUND(MAX(0,X$512 - 1),0),
ROUND(MAX(0,X$512),0)))))))),""),""),"")</f>
        <v/>
      </c>
      <c r="Z534" s="17" t="str">
        <f>IF(ISNUMBER($B$513),
IF($C534&lt;&gt;"",
IF(AND(ISNUMBER(Y$512), Y$512&gt;0),
IF(AND(Z$279=123, Cultivar_1_Cohort_Year_Selection=$Q$278,Cultivar_2_Cohort_Year_Selection=$Q$278,Cultivar_3_Cohort_Year_Selection=$Q$278), ROUND(MAX(0,Y$512 - 3),0),
IF(AND(OR(Z$279=123, Z$279=12), Cultivar_1_Cohort_Year_Selection=$Q$278,Cultivar_2_Cohort_Year_Selection=$Q$278), ROUND(MAX(0,Y$512 - 2),0),
IF(AND(OR(Z$279=123, Z$279=13), Cultivar_1_Cohort_Year_Selection=$Q$278,Cultivar_3_Cohort_Year_Selection=$Q$278), ROUND(MAX(0,Y$512 - 2),0),
IF(AND(OR(Z$279=123, Z$279=23), Cultivar_2_Cohort_Year_Selection=$Q$278,Cultivar_3_Cohort_Year_Selection=$Q$278), ROUND(MAX(0,Y$512 - 2),0),
IF(AND(OR(Z$279=123, Z$279=12, Z$279=13, Z$279=1), Cultivar_1_Cohort_Year_Selection=$Q$278), ROUND(MAX(0,Y$512 - 1),0),
IF(AND(OR(Z$279=123, Z$279=12, Z$279=23, Z$279=2), Cultivar_2_Cohort_Year_Selection=$Q$278), ROUND(MAX(0,Y$512 - 1),0),
IF(AND(OR(Z$279=123, Z$279=13, Z$279=23, Z$279=3), Cultivar_3_Cohort_Year_Selection=$Q$278), ROUND(MAX(0,Y$512 - 1),0),
ROUND(MAX(0,Y$512),0)))))))),""),""),"")</f>
        <v/>
      </c>
      <c r="AA534" s="17" t="str">
        <f>IF(ISNUMBER($B$513),
IF($C534&lt;&gt;"",
IF(AND(ISNUMBER(Z$512), Z$512&gt;0),
IF(AND(AA$279=123, Cultivar_1_Cohort_Year_Selection=$R$278,Cultivar_2_Cohort_Year_Selection=$R$278,Cultivar_3_Cohort_Year_Selection=$R$278), ROUND(MAX(0,Z$512 - 3),0),
IF(AND(OR(AA$279=123, AA$279=12), Cultivar_1_Cohort_Year_Selection=$R$278,Cultivar_2_Cohort_Year_Selection=$R$278), ROUND(MAX(0,Z$512 - 2),0),
IF(AND(OR(AA$279=123, AA$279=13), Cultivar_1_Cohort_Year_Selection=$R$278,Cultivar_3_Cohort_Year_Selection=$R$278), ROUND(MAX(0,Z$512 - 2),0),
IF(AND(OR(AA$279=123, AA$279=23), Cultivar_2_Cohort_Year_Selection=$R$278,Cultivar_3_Cohort_Year_Selection=$R$278), ROUND(MAX(0,Z$512 - 2),0),
IF(AND(OR(AA$279=123, AA$279=12, AA$279=13, AA$279=1), Cultivar_1_Cohort_Year_Selection=$R$278), ROUND(MAX(0,Z$512 - 1),0),
IF(AND(OR(AA$279=123, AA$279=12, AA$279=23, AA$279=2), Cultivar_2_Cohort_Year_Selection=$R$278), ROUND(MAX(0,Z$512 - 1),0),
IF(AND(OR(AA$279=123, AA$279=13, AA$279=23, AA$279=3), Cultivar_3_Cohort_Year_Selection=$R$278), ROUND(MAX(0,Z$512 - 1),0),
ROUND(MAX(0,Z$512),0)))))))),""),""),"")</f>
        <v/>
      </c>
      <c r="AB534" s="17" t="str">
        <f>IF(ISNUMBER($B$513),
IF($C534&lt;&gt;"",
IF(AND(ISNUMBER(AA$512), AA$512&gt;0),
IF(AND(AB$279=123, Cultivar_1_Cohort_Year_Selection=$S$278,Cultivar_2_Cohort_Year_Selection=$S$278,Cultivar_3_Cohort_Year_Selection=$S$278), ROUND(MAX(0,AA$512 - 3),0),
IF(AND(OR(AB$279=123, AB$279=12), Cultivar_1_Cohort_Year_Selection=$S$278,Cultivar_2_Cohort_Year_Selection=$S$278), ROUND(MAX(0,AA$512 - 2),0),
IF(AND(OR(AB$279=123, AB$279=13), Cultivar_1_Cohort_Year_Selection=$S$278,Cultivar_3_Cohort_Year_Selection=$S$278), ROUND(MAX(0,AA$512 - 2),0),
IF(AND(OR(AB$279=123, AB$279=23), Cultivar_2_Cohort_Year_Selection=$S$278,Cultivar_3_Cohort_Year_Selection=$S$278), ROUND(MAX(0,AA$512 - 2),0),
IF(AND(OR(AB$279=123, AB$279=12, AB$279=13, AB$279=1), Cultivar_1_Cohort_Year_Selection=$S$278), ROUND(MAX(0,AA$512 - 1),0),
IF(AND(OR(AB$279=123, AB$279=12, AB$279=23, AB$279=2), Cultivar_2_Cohort_Year_Selection=$S$278), ROUND(MAX(0,AA$512 - 1),0),
IF(AND(OR(AB$279=123, AB$279=13, AB$279=23, AB$279=3), Cultivar_3_Cohort_Year_Selection=$S$278), ROUND(MAX(0,AA$512 - 1),0),
ROUND(MAX(0,AA$512),0)))))))),""),""),"")</f>
        <v/>
      </c>
      <c r="AC534" s="17" t="str">
        <f>IF(ISNUMBER($B$513),
IF($C534&lt;&gt;"",
IF(AND(ISNUMBER(AB$512), AB$512&gt;0),
IF(AND(AC$279=123, Cultivar_1_Cohort_Year_Selection=$T$278,Cultivar_2_Cohort_Year_Selection=$T$278,Cultivar_3_Cohort_Year_Selection=$T$278), ROUND(MAX(0,AB$512 - 3),0),
IF(AND(OR(AC$279=123, AC$279=12), Cultivar_1_Cohort_Year_Selection=$T$278,Cultivar_2_Cohort_Year_Selection=$T$278), ROUND(MAX(0,AB$512 - 2),0),
IF(AND(OR(AC$279=123, AC$279=13), Cultivar_1_Cohort_Year_Selection=$T$278,Cultivar_3_Cohort_Year_Selection=$T$278), ROUND(MAX(0,AB$512 - 2),0),
IF(AND(OR(AC$279=123, AC$279=23), Cultivar_2_Cohort_Year_Selection=$T$278,Cultivar_3_Cohort_Year_Selection=$T$278), ROUND(MAX(0,AB$512 - 2),0),
IF(AND(OR(AC$279=123, AC$279=12, AC$279=13, AC$279=1), Cultivar_1_Cohort_Year_Selection=$T$278), ROUND(MAX(0,AB$512 - 1),0),
IF(AND(OR(AC$279=123, AC$279=12, AC$279=23, AC$279=2), Cultivar_2_Cohort_Year_Selection=$T$278), ROUND(MAX(0,AB$512 - 1),0),
IF(AND(OR(AC$279=123, AC$279=13, AC$279=23, AC$279=3), Cultivar_3_Cohort_Year_Selection=$T$278), ROUND(MAX(0,AB$512 - 1),0),
ROUND(MAX(0,AB$512),0)))))))),""),""),"")</f>
        <v/>
      </c>
      <c r="AD534" s="17" t="str">
        <f>IF(ISNUMBER($B$513),
IF($C534&lt;&gt;"",
IF(AND(ISNUMBER(AC$512), AC$512&gt;0),
IF(AND(AD$279=123, Cultivar_1_Cohort_Year_Selection=$U$278,Cultivar_2_Cohort_Year_Selection=$U$278,Cultivar_3_Cohort_Year_Selection=$U$278), ROUND(MAX(0,AC$512 - 3),0),
IF(AND(OR(AD$279=123, AD$279=12), Cultivar_1_Cohort_Year_Selection=$U$278,Cultivar_2_Cohort_Year_Selection=$U$278), ROUND(MAX(0,AC$512 - 2),0),
IF(AND(OR(AD$279=123, AD$279=13), Cultivar_1_Cohort_Year_Selection=$U$278,Cultivar_3_Cohort_Year_Selection=$U$278), ROUND(MAX(0,AC$512 - 2),0),
IF(AND(OR(AD$279=123, AD$279=23), Cultivar_2_Cohort_Year_Selection=$U$278,Cultivar_3_Cohort_Year_Selection=$U$278), ROUND(MAX(0,AC$512 - 2),0),
IF(AND(OR(AD$279=123, AD$279=12, AD$279=13, AD$279=1), Cultivar_1_Cohort_Year_Selection=$U$278), ROUND(MAX(0,AC$512 - 1),0),
IF(AND(OR(AD$279=123, AD$279=12, AD$279=23, AD$279=2), Cultivar_2_Cohort_Year_Selection=$U$278), ROUND(MAX(0,AC$512 - 1),0),
IF(AND(OR(AD$279=123, AD$279=13, AD$279=23, AD$279=3), Cultivar_3_Cohort_Year_Selection=$U$278), ROUND(MAX(0,AC$512 - 1),0),
ROUND(MAX(0,AC$512),0)))))))),""),""),"")</f>
        <v/>
      </c>
      <c r="AE534" s="17" t="str">
        <f>IF(ISNUMBER($B$513),
IF($C534&lt;&gt;"",
IF(AND(ISNUMBER(AD$512), AD$512&gt;0),
IF(AND(AE$279=123, Cultivar_1_Cohort_Year_Selection=$V$278,Cultivar_2_Cohort_Year_Selection=$V$278,Cultivar_3_Cohort_Year_Selection=$V$278), ROUND(MAX(0,AD$512 - 3),0),
IF(AND(OR(AE$279=123, AE$279=12), Cultivar_1_Cohort_Year_Selection=$V$278,Cultivar_2_Cohort_Year_Selection=$V$278), ROUND(MAX(0,AD$512 - 2),0),
IF(AND(OR(AE$279=123, AE$279=13), Cultivar_1_Cohort_Year_Selection=$V$278,Cultivar_3_Cohort_Year_Selection=$V$278), ROUND(MAX(0,AD$512 - 2),0),
IF(AND(OR(AE$279=123, AE$279=23), Cultivar_2_Cohort_Year_Selection=$V$278,Cultivar_3_Cohort_Year_Selection=$V$278), ROUND(MAX(0,AD$512 - 2),0),
IF(AND(OR(AE$279=123, AE$279=12, AE$279=13, AE$279=1), Cultivar_1_Cohort_Year_Selection=$V$278), ROUND(MAX(0,AD$512 - 1),0),
IF(AND(OR(AE$279=123, AE$279=12, AE$279=23, AE$279=2), Cultivar_2_Cohort_Year_Selection=$V$278), ROUND(MAX(0,AD$512 - 1),0),
IF(AND(OR(AE$279=123, AE$279=13, AE$279=23, AE$279=3), Cultivar_3_Cohort_Year_Selection=$V$278), ROUND(MAX(0,AD$512 - 1),0),
ROUND(MAX(0,AD$512),0)))))))),""),""),"")</f>
        <v/>
      </c>
      <c r="AF534" s="17" t="str">
        <f>IF(ISNUMBER($B$513),
IF($C534&lt;&gt;"",
IF(AND(ISNUMBER(AE$512), AE$512&gt;0),
IF(AND(AF$279=123, Cultivar_1_Cohort_Year_Selection=$W$278,Cultivar_2_Cohort_Year_Selection=$W$278,Cultivar_3_Cohort_Year_Selection=$W$278), ROUND(MAX(0,AE$512 - 3),0),
IF(AND(OR(AF$279=123, AF$279=12), Cultivar_1_Cohort_Year_Selection=$W$278,Cultivar_2_Cohort_Year_Selection=$W$278), ROUND(MAX(0,AE$512 - 2),0),
IF(AND(OR(AF$279=123, AF$279=13), Cultivar_1_Cohort_Year_Selection=$W$278,Cultivar_3_Cohort_Year_Selection=$W$278), ROUND(MAX(0,AE$512 - 2),0),
IF(AND(OR(AF$279=123, AF$279=23), Cultivar_2_Cohort_Year_Selection=$W$278,Cultivar_3_Cohort_Year_Selection=$W$278), ROUND(MAX(0,AE$512 - 2),0),
IF(AND(OR(AF$279=123, AF$279=12, AF$279=13, AF$279=1), Cultivar_1_Cohort_Year_Selection=$W$278), ROUND(MAX(0,AE$512 - 1),0),
IF(AND(OR(AF$279=123, AF$279=12, AF$279=23, AF$279=2), Cultivar_2_Cohort_Year_Selection=$W$278), ROUND(MAX(0,AE$512 - 1),0),
IF(AND(OR(AF$279=123, AF$279=13, AF$279=23, AF$279=3), Cultivar_3_Cohort_Year_Selection=$W$278), ROUND(MAX(0,AE$512 - 1),0),
ROUND(MAX(0,AE$512),0)))))))),""),""),"")</f>
        <v/>
      </c>
      <c r="AG534" s="17" t="str">
        <f>IF(ISNUMBER($B$513),
IF($C534&lt;&gt;"",
IF(AND(ISNUMBER(AF$512), AF$512&gt;0),
IF(AND(AG$279=123, Cultivar_1_Cohort_Year_Selection=$X$278,Cultivar_2_Cohort_Year_Selection=$X$278,Cultivar_3_Cohort_Year_Selection=$X$278), ROUND(MAX(0,AF$512 - 3),0),
IF(AND(OR(AG$279=123, AG$279=12), Cultivar_1_Cohort_Year_Selection=$X$278,Cultivar_2_Cohort_Year_Selection=$X$278), ROUND(MAX(0,AF$512 - 2),0),
IF(AND(OR(AG$279=123, AG$279=13), Cultivar_1_Cohort_Year_Selection=$X$278,Cultivar_3_Cohort_Year_Selection=$X$278), ROUND(MAX(0,AF$512 - 2),0),
IF(AND(OR(AG$279=123, AG$279=23), Cultivar_2_Cohort_Year_Selection=$X$278,Cultivar_3_Cohort_Year_Selection=$X$278), ROUND(MAX(0,AF$512 - 2),0),
IF(AND(OR(AG$279=123, AG$279=12, AG$279=13, AG$279=1), Cultivar_1_Cohort_Year_Selection=$X$278), ROUND(MAX(0,AF$512 - 1),0),
IF(AND(OR(AG$279=123, AG$279=12, AG$279=23, AG$279=2), Cultivar_2_Cohort_Year_Selection=$X$278), ROUND(MAX(0,AF$512 - 1),0),
IF(AND(OR(AG$279=123, AG$279=13, AG$279=23, AG$279=3), Cultivar_3_Cohort_Year_Selection=$X$278), ROUND(MAX(0,AF$512 - 1),0),
ROUND(MAX(0,AF$512),0)))))))),""),""),"")</f>
        <v/>
      </c>
      <c r="AH534" s="17" t="str">
        <f>IF(ISNUMBER($B$513),
IF($C534&lt;&gt;"",
IF(AND(ISNUMBER(AG$512), AG$512&gt;0),
IF(AND(AH$279=123, Cultivar_1_Cohort_Year_Selection=$Y$278,Cultivar_2_Cohort_Year_Selection=$Y$278,Cultivar_3_Cohort_Year_Selection=$Y$278), ROUND(MAX(0,AG$512 - 3),0),
IF(AND(OR(AH$279=123, AH$279=12), Cultivar_1_Cohort_Year_Selection=$Y$278,Cultivar_2_Cohort_Year_Selection=$Y$278), ROUND(MAX(0,AG$512 - 2),0),
IF(AND(OR(AH$279=123, AH$279=13), Cultivar_1_Cohort_Year_Selection=$Y$278,Cultivar_3_Cohort_Year_Selection=$Y$278), ROUND(MAX(0,AG$512 - 2),0),
IF(AND(OR(AH$279=123, AH$279=23), Cultivar_2_Cohort_Year_Selection=$Y$278,Cultivar_3_Cohort_Year_Selection=$Y$278), ROUND(MAX(0,AG$512 - 2),0),
IF(AND(OR(AH$279=123, AH$279=12, AH$279=13, AH$279=1), Cultivar_1_Cohort_Year_Selection=$Y$278), ROUND(MAX(0,AG$512 - 1),0),
IF(AND(OR(AH$279=123, AH$279=12, AH$279=23, AH$279=2), Cultivar_2_Cohort_Year_Selection=$Y$278), ROUND(MAX(0,AG$512 - 1),0),
IF(AND(OR(AH$279=123, AH$279=13, AH$279=23, AH$279=3), Cultivar_3_Cohort_Year_Selection=$Y$278), ROUND(MAX(0,AG$512 - 1),0),
ROUND(MAX(0,AG$512),0)))))))),""),""),"")</f>
        <v/>
      </c>
      <c r="AI534" s="17" t="str">
        <f>IF(ISNUMBER($B$513),
IF($C534&lt;&gt;"",
IF(AND(ISNUMBER(AH$512), AH$512&gt;0),
IF(AND(AI$279=123, Cultivar_1_Cohort_Year_Selection=$Z$278,Cultivar_2_Cohort_Year_Selection=$Z$278,Cultivar_3_Cohort_Year_Selection=$Z$278), ROUND(MAX(0,AH$512 - 3),0),
IF(AND(OR(AI$279=123, AI$279=12), Cultivar_1_Cohort_Year_Selection=$Z$278,Cultivar_2_Cohort_Year_Selection=$Z$278), ROUND(MAX(0,AH$512 - 2),0),
IF(AND(OR(AI$279=123, AI$279=13), Cultivar_1_Cohort_Year_Selection=$Z$278,Cultivar_3_Cohort_Year_Selection=$Z$278), ROUND(MAX(0,AH$512 - 2),0),
IF(AND(OR(AI$279=123, AI$279=23), Cultivar_2_Cohort_Year_Selection=$Z$278,Cultivar_3_Cohort_Year_Selection=$Z$278), ROUND(MAX(0,AH$512 - 2),0),
IF(AND(OR(AI$279=123, AI$279=12, AI$279=13, AI$279=1), Cultivar_1_Cohort_Year_Selection=$Z$278), ROUND(MAX(0,AH$512 - 1),0),
IF(AND(OR(AI$279=123, AI$279=12, AI$279=23, AI$279=2), Cultivar_2_Cohort_Year_Selection=$Z$278), ROUND(MAX(0,AH$512 - 1),0),
IF(AND(OR(AI$279=123, AI$279=13, AI$279=23, AI$279=3), Cultivar_3_Cohort_Year_Selection=$Z$278), ROUND(MAX(0,AH$512 - 1),0),
ROUND(MAX(0,AH$512),0)))))))),""),""),"")</f>
        <v/>
      </c>
      <c r="AJ534" s="17" t="str">
        <f>IF(ISNUMBER($B$513),
IF($C534&lt;&gt;"",
IF(AND(ISNUMBER(AI$512), AI$512&gt;0),
IF(AND(AJ$279=123, Cultivar_1_Cohort_Year_Selection=$AA$278,Cultivar_2_Cohort_Year_Selection=$AA$278,Cultivar_3_Cohort_Year_Selection=$AA$278), ROUND(MAX(0,AI$512 - 3),0),
IF(AND(OR(AJ$279=123, AJ$279=12), Cultivar_1_Cohort_Year_Selection=$AA$278,Cultivar_2_Cohort_Year_Selection=$AA$278), ROUND(MAX(0,AI$512 - 2),0),
IF(AND(OR(AJ$279=123, AJ$279=13), Cultivar_1_Cohort_Year_Selection=$AA$278,Cultivar_3_Cohort_Year_Selection=$AA$278), ROUND(MAX(0,AI$512 - 2),0),
IF(AND(OR(AJ$279=123, AJ$279=23), Cultivar_2_Cohort_Year_Selection=$AA$278,Cultivar_3_Cohort_Year_Selection=$AA$278), ROUND(MAX(0,AI$512 - 2),0),
IF(AND(OR(AJ$279=123, AJ$279=12, AJ$279=13, AJ$279=1), Cultivar_1_Cohort_Year_Selection=$AA$278), ROUND(MAX(0,AI$512 - 1),0),
IF(AND(OR(AJ$279=123, AJ$279=12, AJ$279=23, AJ$279=2), Cultivar_2_Cohort_Year_Selection=$AA$278), ROUND(MAX(0,AI$512 - 1),0),
IF(AND(OR(AJ$279=123, AJ$279=13, AJ$279=23, AJ$279=3), Cultivar_3_Cohort_Year_Selection=$AA$278), ROUND(MAX(0,AI$512 - 1),0),
ROUND(MAX(0,AI$512),0)))))))),""),""),"")</f>
        <v/>
      </c>
      <c r="AK534" s="17" t="str">
        <f>IF(ISNUMBER($B$513),
IF($C534&lt;&gt;"",
IF(AND(ISNUMBER(AJ$512), AJ$512&gt;0),
IF(AND(AK$279=123, Cultivar_1_Cohort_Year_Selection=$AB$278,Cultivar_2_Cohort_Year_Selection=$AB$278,Cultivar_3_Cohort_Year_Selection=$AB$278), ROUND(MAX(0,AJ$512 - 3),0),
IF(AND(OR(AK$279=123, AK$279=12), Cultivar_1_Cohort_Year_Selection=$AB$278,Cultivar_2_Cohort_Year_Selection=$AB$278), ROUND(MAX(0,AJ$512 - 2),0),
IF(AND(OR(AK$279=123, AK$279=13), Cultivar_1_Cohort_Year_Selection=$AB$278,Cultivar_3_Cohort_Year_Selection=$AB$278), ROUND(MAX(0,AJ$512 - 2),0),
IF(AND(OR(AK$279=123, AK$279=23), Cultivar_2_Cohort_Year_Selection=$AB$278,Cultivar_3_Cohort_Year_Selection=$AB$278), ROUND(MAX(0,AJ$512 - 2),0),
IF(AND(OR(AK$279=123, AK$279=12, AK$279=13, AK$279=1), Cultivar_1_Cohort_Year_Selection=$AB$278), ROUND(MAX(0,AJ$512 - 1),0),
IF(AND(OR(AK$279=123, AK$279=12, AK$279=23, AK$279=2), Cultivar_2_Cohort_Year_Selection=$AB$278), ROUND(MAX(0,AJ$512 - 1),0),
IF(AND(OR(AK$279=123, AK$279=13, AK$279=23, AK$279=3), Cultivar_3_Cohort_Year_Selection=$AB$278), ROUND(MAX(0,AJ$512 - 1),0),
ROUND(MAX(0,AJ$512),0)))))))),""),""),"")</f>
        <v/>
      </c>
      <c r="AL534" s="17" t="str">
        <f>IF(ISNUMBER($B$513),
IF($C534&lt;&gt;"",
IF(AND(ISNUMBER(AK$512), AK$512&gt;0),
IF(AND(AL$279=123, Cultivar_1_Cohort_Year_Selection=$AC$278,Cultivar_2_Cohort_Year_Selection=$AC$278,Cultivar_3_Cohort_Year_Selection=$AC$278), ROUND(MAX(0,AK$512 - 3),0),
IF(AND(OR(AL$279=123, AL$279=12), Cultivar_1_Cohort_Year_Selection=$AC$278,Cultivar_2_Cohort_Year_Selection=$AC$278), ROUND(MAX(0,AK$512 - 2),0),
IF(AND(OR(AL$279=123, AL$279=13), Cultivar_1_Cohort_Year_Selection=$AC$278,Cultivar_3_Cohort_Year_Selection=$AC$278), ROUND(MAX(0,AK$512 - 2),0),
IF(AND(OR(AL$279=123, AL$279=23), Cultivar_2_Cohort_Year_Selection=$AC$278,Cultivar_3_Cohort_Year_Selection=$AC$278), ROUND(MAX(0,AK$512 - 2),0),
IF(AND(OR(AL$279=123, AL$279=12, AL$279=13, AL$279=1), Cultivar_1_Cohort_Year_Selection=$AC$278), ROUND(MAX(0,AK$512 - 1),0),
IF(AND(OR(AL$279=123, AL$279=12, AL$279=23, AL$279=2), Cultivar_2_Cohort_Year_Selection=$AC$278), ROUND(MAX(0,AK$512 - 1),0),
IF(AND(OR(AL$279=123, AL$279=13, AL$279=23, AL$279=3), Cultivar_3_Cohort_Year_Selection=$AC$278), ROUND(MAX(0,AK$512 - 1),0),
ROUND(MAX(0,AK$512),0)))))))),""),""),"")</f>
        <v/>
      </c>
      <c r="AM534" s="17" t="str">
        <f>IF(ISNUMBER($B$513),
IF($C534&lt;&gt;"",
IF(AND(ISNUMBER(AL$512), AL$512&gt;0),
IF(AND(AM$279=123, Cultivar_1_Cohort_Year_Selection=$AD$278,Cultivar_2_Cohort_Year_Selection=$AD$278,Cultivar_3_Cohort_Year_Selection=$AD$278), ROUND(MAX(0,AL$512 - 3),0),
IF(AND(OR(AM$279=123, AM$279=12), Cultivar_1_Cohort_Year_Selection=$AD$278,Cultivar_2_Cohort_Year_Selection=$AD$278), ROUND(MAX(0,AL$512 - 2),0),
IF(AND(OR(AM$279=123, AM$279=13), Cultivar_1_Cohort_Year_Selection=$AD$278,Cultivar_3_Cohort_Year_Selection=$AD$278), ROUND(MAX(0,AL$512 - 2),0),
IF(AND(OR(AM$279=123, AM$279=23), Cultivar_2_Cohort_Year_Selection=$AD$278,Cultivar_3_Cohort_Year_Selection=$AD$278), ROUND(MAX(0,AL$512 - 2),0),
IF(AND(OR(AM$279=123, AM$279=12, AM$279=13, AM$279=1), Cultivar_1_Cohort_Year_Selection=$AD$278), ROUND(MAX(0,AL$512 - 1),0),
IF(AND(OR(AM$279=123, AM$279=12, AM$279=23, AM$279=2), Cultivar_2_Cohort_Year_Selection=$AD$278), ROUND(MAX(0,AL$512 - 1),0),
IF(AND(OR(AM$279=123, AM$279=13, AM$279=23, AM$279=3), Cultivar_3_Cohort_Year_Selection=$AD$278), ROUND(MAX(0,AL$512 - 1),0),
ROUND(MAX(0,AL$512),0)))))))),""),""),"")</f>
        <v/>
      </c>
      <c r="AN534" s="17" t="str">
        <f>IF(ISNUMBER($B$513),
IF($C534&lt;&gt;"",
IF(AND(ISNUMBER(AM$512), AM$512&gt;0),
IF(AND(AN$279=123, Cultivar_1_Cohort_Year_Selection=$AE$278,Cultivar_2_Cohort_Year_Selection=$AE$278,Cultivar_3_Cohort_Year_Selection=$AE$278), ROUND(MAX(0,AM$512 - 3),0),
IF(AND(OR(AN$279=123, AN$279=12), Cultivar_1_Cohort_Year_Selection=$AE$278,Cultivar_2_Cohort_Year_Selection=$AE$278), ROUND(MAX(0,AM$512 - 2),0),
IF(AND(OR(AN$279=123, AN$279=13), Cultivar_1_Cohort_Year_Selection=$AE$278,Cultivar_3_Cohort_Year_Selection=$AE$278), ROUND(MAX(0,AM$512 - 2),0),
IF(AND(OR(AN$279=123, AN$279=23), Cultivar_2_Cohort_Year_Selection=$AE$278,Cultivar_3_Cohort_Year_Selection=$AE$278), ROUND(MAX(0,AM$512 - 2),0),
IF(AND(OR(AN$279=123, AN$279=12, AN$279=13, AN$279=1), Cultivar_1_Cohort_Year_Selection=$AE$278), ROUND(MAX(0,AM$512 - 1),0),
IF(AND(OR(AN$279=123, AN$279=12, AN$279=23, AN$279=2), Cultivar_2_Cohort_Year_Selection=$AE$278), ROUND(MAX(0,AM$512 - 1),0),
IF(AND(OR(AN$279=123, AN$279=13, AN$279=23, AN$279=3), Cultivar_3_Cohort_Year_Selection=$AE$278), ROUND(MAX(0,AM$512 - 1),0),
ROUND(MAX(0,AM$512),0)))))))),""),""),"")</f>
        <v/>
      </c>
      <c r="AO534" s="17" t="str">
        <f>IF(ISNUMBER($B$513),
IF($C534&lt;&gt;"",
IF(AND(ISNUMBER(AN$512), AN$512&gt;0),
IF(AND(AO$279=123, Cultivar_1_Cohort_Year_Selection=$AF$278,Cultivar_2_Cohort_Year_Selection=$AF$278,Cultivar_3_Cohort_Year_Selection=$AF$278), ROUND(MAX(0,AN$512 - 3),0),
IF(AND(OR(AO$279=123, AO$279=12), Cultivar_1_Cohort_Year_Selection=$AF$278,Cultivar_2_Cohort_Year_Selection=$AF$278), ROUND(MAX(0,AN$512 - 2),0),
IF(AND(OR(AO$279=123, AO$279=13), Cultivar_1_Cohort_Year_Selection=$AF$278,Cultivar_3_Cohort_Year_Selection=$AF$278), ROUND(MAX(0,AN$512 - 2),0),
IF(AND(OR(AO$279=123, AO$279=23), Cultivar_2_Cohort_Year_Selection=$AF$278,Cultivar_3_Cohort_Year_Selection=$AF$278), ROUND(MAX(0,AN$512 - 2),0),
IF(AND(OR(AO$279=123, AO$279=12, AO$279=13, AO$279=1), Cultivar_1_Cohort_Year_Selection=$AF$278), ROUND(MAX(0,AN$512 - 1),0),
IF(AND(OR(AO$279=123, AO$279=12, AO$279=23, AO$279=2), Cultivar_2_Cohort_Year_Selection=$AF$278), ROUND(MAX(0,AN$512 - 1),0),
IF(AND(OR(AO$279=123, AO$279=13, AO$279=23, AO$279=3), Cultivar_3_Cohort_Year_Selection=$AF$278), ROUND(MAX(0,AN$512 - 1),0),
ROUND(MAX(0,AN$512),0)))))))),""),""),"")</f>
        <v/>
      </c>
      <c r="AP534" s="17" t="str">
        <f>IF(ISNUMBER($B$513),
IF($C534&lt;&gt;"",
IF(AND(ISNUMBER(AO$512), AO$512&gt;0),
IF(AND(AP$279=123, Cultivar_1_Cohort_Year_Selection=$AG$278,Cultivar_2_Cohort_Year_Selection=$AG$278,Cultivar_3_Cohort_Year_Selection=$AG$278), ROUND(MAX(0,AO$512 - 3),0),
IF(AND(OR(AP$279=123, AP$279=12), Cultivar_1_Cohort_Year_Selection=$AG$278,Cultivar_2_Cohort_Year_Selection=$AG$278), ROUND(MAX(0,AO$512 - 2),0),
IF(AND(OR(AP$279=123, AP$279=13), Cultivar_1_Cohort_Year_Selection=$AG$278,Cultivar_3_Cohort_Year_Selection=$AG$278), ROUND(MAX(0,AO$512 - 2),0),
IF(AND(OR(AP$279=123, AP$279=23), Cultivar_2_Cohort_Year_Selection=$AG$278,Cultivar_3_Cohort_Year_Selection=$AG$278), ROUND(MAX(0,AO$512 - 2),0),
IF(AND(OR(AP$279=123, AP$279=12, AP$279=13, AP$279=1), Cultivar_1_Cohort_Year_Selection=$AG$278), ROUND(MAX(0,AO$512 - 1),0),
IF(AND(OR(AP$279=123, AP$279=12, AP$279=23, AP$279=2), Cultivar_2_Cohort_Year_Selection=$AG$278), ROUND(MAX(0,AO$512 - 1),0),
IF(AND(OR(AP$279=123, AP$279=13, AP$279=23, AP$279=3), Cultivar_3_Cohort_Year_Selection=$AG$278), ROUND(MAX(0,AO$512 - 1),0),
ROUND(MAX(0,AO$512),0)))))))),""),""),"")</f>
        <v/>
      </c>
      <c r="AQ534" s="17" t="str">
        <f>IF(ISNUMBER($B$513),
IF($C534&lt;&gt;"",
IF(AND(ISNUMBER(AP$512), AP$512&gt;0),
IF(AND(AQ$279=123, Cultivar_1_Cohort_Year_Selection=$AH$278,Cultivar_2_Cohort_Year_Selection=$AH$278,Cultivar_3_Cohort_Year_Selection=$AH$278), ROUND(MAX(0,AP$512 - 3),0),
IF(AND(OR(AQ$279=123, AQ$279=12), Cultivar_1_Cohort_Year_Selection=$AH$278,Cultivar_2_Cohort_Year_Selection=$AH$278), ROUND(MAX(0,AP$512 - 2),0),
IF(AND(OR(AQ$279=123, AQ$279=13), Cultivar_1_Cohort_Year_Selection=$AH$278,Cultivar_3_Cohort_Year_Selection=$AH$278), ROUND(MAX(0,AP$512 - 2),0),
IF(AND(OR(AQ$279=123, AQ$279=23), Cultivar_2_Cohort_Year_Selection=$AH$278,Cultivar_3_Cohort_Year_Selection=$AH$278), ROUND(MAX(0,AP$512 - 2),0),
IF(AND(OR(AQ$279=123, AQ$279=12, AQ$279=13, AQ$279=1), Cultivar_1_Cohort_Year_Selection=$AH$278), ROUND(MAX(0,AP$512 - 1),0),
IF(AND(OR(AQ$279=123, AQ$279=12, AQ$279=23, AQ$279=2), Cultivar_2_Cohort_Year_Selection=$AH$278), ROUND(MAX(0,AP$512 - 1),0),
IF(AND(OR(AQ$279=123, AQ$279=13, AQ$279=23, AQ$279=3), Cultivar_3_Cohort_Year_Selection=$AH$278), ROUND(MAX(0,AP$512 - 1),0),
ROUND(MAX(0,AP$512),0)))))))),""),""),"")</f>
        <v/>
      </c>
      <c r="AR534" s="17" t="str">
        <f>IF(ISNUMBER($B$513),
IF($C534&lt;&gt;"",
IF(AND(ISNUMBER(AQ$512), AQ$512&gt;0),
IF(AND(AR$279=123, Cultivar_1_Cohort_Year_Selection=$AI$278,Cultivar_2_Cohort_Year_Selection=$AI$278,Cultivar_3_Cohort_Year_Selection=$AI$278), ROUND(MAX(0,AQ$512 - 3),0),
IF(AND(OR(AR$279=123, AR$279=12), Cultivar_1_Cohort_Year_Selection=$AI$278,Cultivar_2_Cohort_Year_Selection=$AI$278), ROUND(MAX(0,AQ$512 - 2),0),
IF(AND(OR(AR$279=123, AR$279=13), Cultivar_1_Cohort_Year_Selection=$AI$278,Cultivar_3_Cohort_Year_Selection=$AI$278), ROUND(MAX(0,AQ$512 - 2),0),
IF(AND(OR(AR$279=123, AR$279=23), Cultivar_2_Cohort_Year_Selection=$AI$278,Cultivar_3_Cohort_Year_Selection=$AI$278), ROUND(MAX(0,AQ$512 - 2),0),
IF(AND(OR(AR$279=123, AR$279=12, AR$279=13, AR$279=1), Cultivar_1_Cohort_Year_Selection=$AI$278), ROUND(MAX(0,AQ$512 - 1),0),
IF(AND(OR(AR$279=123, AR$279=12, AR$279=23, AR$279=2), Cultivar_2_Cohort_Year_Selection=$AI$278), ROUND(MAX(0,AQ$512 - 1),0),
IF(AND(OR(AR$279=123, AR$279=13, AR$279=23, AR$279=3), Cultivar_3_Cohort_Year_Selection=$AI$278), ROUND(MAX(0,AQ$512 - 1),0),
ROUND(MAX(0,AQ$512),0)))))))),""),""),"")</f>
        <v/>
      </c>
      <c r="AS534" s="17" t="str">
        <f>IF(ISNUMBER($B$513),
IF($C534&lt;&gt;"",
IF(AND(ISNUMBER(AR$512), AR$512&gt;0),
IF(AND(AS$279=123, Cultivar_1_Cohort_Year_Selection=$AJ$278,Cultivar_2_Cohort_Year_Selection=$AJ$278,Cultivar_3_Cohort_Year_Selection=$AJ$278), ROUND(MAX(0,AR$512 - 3),0),
IF(AND(OR(AS$279=123, AS$279=12), Cultivar_1_Cohort_Year_Selection=$AJ$278,Cultivar_2_Cohort_Year_Selection=$AJ$278), ROUND(MAX(0,AR$512 - 2),0),
IF(AND(OR(AS$279=123, AS$279=13), Cultivar_1_Cohort_Year_Selection=$AJ$278,Cultivar_3_Cohort_Year_Selection=$AJ$278), ROUND(MAX(0,AR$512 - 2),0),
IF(AND(OR(AS$279=123, AS$279=23), Cultivar_2_Cohort_Year_Selection=$AJ$278,Cultivar_3_Cohort_Year_Selection=$AJ$278), ROUND(MAX(0,AR$512 - 2),0),
IF(AND(OR(AS$279=123, AS$279=12, AS$279=13, AS$279=1), Cultivar_1_Cohort_Year_Selection=$AJ$278), ROUND(MAX(0,AR$512 - 1),0),
IF(AND(OR(AS$279=123, AS$279=12, AS$279=23, AS$279=2), Cultivar_2_Cohort_Year_Selection=$AJ$278), ROUND(MAX(0,AR$512 - 1),0),
IF(AND(OR(AS$279=123, AS$279=13, AS$279=23, AS$279=3), Cultivar_3_Cohort_Year_Selection=$AJ$278), ROUND(MAX(0,AR$512 - 1),0),
ROUND(MAX(0,AR$512),0)))))))),""),""),"")</f>
        <v/>
      </c>
      <c r="AT534" s="17" t="str">
        <f>IF(ISNUMBER($B$513),
IF($C534&lt;&gt;"",
IF(AND(ISNUMBER(AS$512), AS$512&gt;0),
IF(AND(AT$279=123, Cultivar_1_Cohort_Year_Selection=$AK$278,Cultivar_2_Cohort_Year_Selection=$AK$278,Cultivar_3_Cohort_Year_Selection=$AK$278), ROUND(MAX(0,AS$512 - 3),0),
IF(AND(OR(AT$279=123, AT$279=12), Cultivar_1_Cohort_Year_Selection=$AK$278,Cultivar_2_Cohort_Year_Selection=$AK$278), ROUND(MAX(0,AS$512 - 2),0),
IF(AND(OR(AT$279=123, AT$279=13), Cultivar_1_Cohort_Year_Selection=$AK$278,Cultivar_3_Cohort_Year_Selection=$AK$278), ROUND(MAX(0,AS$512 - 2),0),
IF(AND(OR(AT$279=123, AT$279=23), Cultivar_2_Cohort_Year_Selection=$AK$278,Cultivar_3_Cohort_Year_Selection=$AK$278), ROUND(MAX(0,AS$512 - 2),0),
IF(AND(OR(AT$279=123, AT$279=12, AT$279=13, AT$279=1), Cultivar_1_Cohort_Year_Selection=$AK$278), ROUND(MAX(0,AS$512 - 1),0),
IF(AND(OR(AT$279=123, AT$279=12, AT$279=23, AT$279=2), Cultivar_2_Cohort_Year_Selection=$AK$278), ROUND(MAX(0,AS$512 - 1),0),
IF(AND(OR(AT$279=123, AT$279=13, AT$279=23, AT$279=3), Cultivar_3_Cohort_Year_Selection=$AK$278), ROUND(MAX(0,AS$512 - 1),0),
ROUND(MAX(0,AS$512),0)))))))),""),""),"")</f>
        <v/>
      </c>
      <c r="AU534" s="17" t="str">
        <f>IF(ISNUMBER($B$513),
IF($C534&lt;&gt;"",
IF(AND(ISNUMBER(AT$512), AT$512&gt;0),
IF(AND(AU$279=123, Cultivar_1_Cohort_Year_Selection=$AL$278,Cultivar_2_Cohort_Year_Selection=$AL$278,Cultivar_3_Cohort_Year_Selection=$AL$278), ROUND(MAX(0,AT$512 - 3),0),
IF(AND(OR(AU$279=123, AU$279=12), Cultivar_1_Cohort_Year_Selection=$AL$278,Cultivar_2_Cohort_Year_Selection=$AL$278), ROUND(MAX(0,AT$512 - 2),0),
IF(AND(OR(AU$279=123, AU$279=13), Cultivar_1_Cohort_Year_Selection=$AL$278,Cultivar_3_Cohort_Year_Selection=$AL$278), ROUND(MAX(0,AT$512 - 2),0),
IF(AND(OR(AU$279=123, AU$279=23), Cultivar_2_Cohort_Year_Selection=$AL$278,Cultivar_3_Cohort_Year_Selection=$AL$278), ROUND(MAX(0,AT$512 - 2),0),
IF(AND(OR(AU$279=123, AU$279=12, AU$279=13, AU$279=1), Cultivar_1_Cohort_Year_Selection=$AL$278), ROUND(MAX(0,AT$512 - 1),0),
IF(AND(OR(AU$279=123, AU$279=12, AU$279=23, AU$279=2), Cultivar_2_Cohort_Year_Selection=$AL$278), ROUND(MAX(0,AT$512 - 1),0),
IF(AND(OR(AU$279=123, AU$279=13, AU$279=23, AU$279=3), Cultivar_3_Cohort_Year_Selection=$AL$278), ROUND(MAX(0,AT$512 - 1),0),
ROUND(MAX(0,AT$512),0)))))))),""),""),"")</f>
        <v/>
      </c>
      <c r="AV534" s="17" t="str">
        <f>IF(ISNUMBER($B$513),
IF($C534&lt;&gt;"",
IF(AND(ISNUMBER(AU$512), AU$512&gt;0),
IF(AND(AV$279=123, Cultivar_1_Cohort_Year_Selection=$AM$278,Cultivar_2_Cohort_Year_Selection=$AM$278,Cultivar_3_Cohort_Year_Selection=$AM$278), ROUND(MAX(0,AU$512 - 3),0),
IF(AND(OR(AV$279=123, AV$279=12), Cultivar_1_Cohort_Year_Selection=$AM$278,Cultivar_2_Cohort_Year_Selection=$AM$278), ROUND(MAX(0,AU$512 - 2),0),
IF(AND(OR(AV$279=123, AV$279=13), Cultivar_1_Cohort_Year_Selection=$AM$278,Cultivar_3_Cohort_Year_Selection=$AM$278), ROUND(MAX(0,AU$512 - 2),0),
IF(AND(OR(AV$279=123, AV$279=23), Cultivar_2_Cohort_Year_Selection=$AM$278,Cultivar_3_Cohort_Year_Selection=$AM$278), ROUND(MAX(0,AU$512 - 2),0),
IF(AND(OR(AV$279=123, AV$279=12, AV$279=13, AV$279=1), Cultivar_1_Cohort_Year_Selection=$AM$278), ROUND(MAX(0,AU$512 - 1),0),
IF(AND(OR(AV$279=123, AV$279=12, AV$279=23, AV$279=2), Cultivar_2_Cohort_Year_Selection=$AM$278), ROUND(MAX(0,AU$512 - 1),0),
IF(AND(OR(AV$279=123, AV$279=13, AV$279=23, AV$279=3), Cultivar_3_Cohort_Year_Selection=$AM$278), ROUND(MAX(0,AU$512 - 1),0),
ROUND(MAX(0,AU$512),0)))))))),""),""),"")</f>
        <v/>
      </c>
      <c r="AW534" s="17" t="str">
        <f>IF(ISNUMBER($B$513),
IF($C534&lt;&gt;"",
IF(AND(ISNUMBER(AV$512), AV$512&gt;0),
IF(AND(AW$279=123, Cultivar_1_Cohort_Year_Selection=$AN$278,Cultivar_2_Cohort_Year_Selection=$AN$278,Cultivar_3_Cohort_Year_Selection=$AN$278), ROUND(MAX(0,AV$512 - 3),0),
IF(AND(OR(AW$279=123, AW$279=12), Cultivar_1_Cohort_Year_Selection=$AN$278,Cultivar_2_Cohort_Year_Selection=$AN$278), ROUND(MAX(0,AV$512 - 2),0),
IF(AND(OR(AW$279=123, AW$279=13), Cultivar_1_Cohort_Year_Selection=$AN$278,Cultivar_3_Cohort_Year_Selection=$AN$278), ROUND(MAX(0,AV$512 - 2),0),
IF(AND(OR(AW$279=123, AW$279=23), Cultivar_2_Cohort_Year_Selection=$AN$278,Cultivar_3_Cohort_Year_Selection=$AN$278), ROUND(MAX(0,AV$512 - 2),0),
IF(AND(OR(AW$279=123, AW$279=12, AW$279=13, AW$279=1), Cultivar_1_Cohort_Year_Selection=$AN$278), ROUND(MAX(0,AV$512 - 1),0),
IF(AND(OR(AW$279=123, AW$279=12, AW$279=23, AW$279=2), Cultivar_2_Cohort_Year_Selection=$AN$278), ROUND(MAX(0,AV$512 - 1),0),
IF(AND(OR(AW$279=123, AW$279=13, AW$279=23, AW$279=3), Cultivar_3_Cohort_Year_Selection=$AN$278), ROUND(MAX(0,AV$512 - 1),0),
ROUND(MAX(0,AV$512),0)))))))),""),""),"")</f>
        <v/>
      </c>
      <c r="AX534" s="17" t="str">
        <f>IF(ISNUMBER($B$513),
IF($C534&lt;&gt;"",
IF(AND(ISNUMBER(AW$512), AW$512&gt;0),
IF(AND(AX$279=123, Cultivar_1_Cohort_Year_Selection=$AO$278,Cultivar_2_Cohort_Year_Selection=$AO$278,Cultivar_3_Cohort_Year_Selection=$AO$278), ROUND(MAX(0,AW$512 - 3),0),
IF(AND(OR(AX$279=123, AX$279=12), Cultivar_1_Cohort_Year_Selection=$AO$278,Cultivar_2_Cohort_Year_Selection=$AO$278), ROUND(MAX(0,AW$512 - 2),0),
IF(AND(OR(AX$279=123, AX$279=13), Cultivar_1_Cohort_Year_Selection=$AO$278,Cultivar_3_Cohort_Year_Selection=$AO$278), ROUND(MAX(0,AW$512 - 2),0),
IF(AND(OR(AX$279=123, AX$279=23), Cultivar_2_Cohort_Year_Selection=$AO$278,Cultivar_3_Cohort_Year_Selection=$AO$278), ROUND(MAX(0,AW$512 - 2),0),
IF(AND(OR(AX$279=123, AX$279=12, AX$279=13, AX$279=1), Cultivar_1_Cohort_Year_Selection=$AO$278), ROUND(MAX(0,AW$512 - 1),0),
IF(AND(OR(AX$279=123, AX$279=12, AX$279=23, AX$279=2), Cultivar_2_Cohort_Year_Selection=$AO$278), ROUND(MAX(0,AW$512 - 1),0),
IF(AND(OR(AX$279=123, AX$279=13, AX$279=23, AX$279=3), Cultivar_3_Cohort_Year_Selection=$AO$278), ROUND(MAX(0,AW$512 - 1),0),
ROUND(MAX(0,AW$512),0)))))))),""),""),"")</f>
        <v/>
      </c>
      <c r="AY534" s="17" t="str">
        <f>IF(ISNUMBER($B$513),
IF($C534&lt;&gt;"",
IF(AND(ISNUMBER(AX$512), AX$512&gt;0),
IF(AND(AY$279=123, Cultivar_1_Cohort_Year_Selection=$AP$278,Cultivar_2_Cohort_Year_Selection=$AP$278,Cultivar_3_Cohort_Year_Selection=$AP$278), ROUND(MAX(0,AX$512 - 3),0),
IF(AND(OR(AY$279=123, AY$279=12), Cultivar_1_Cohort_Year_Selection=$AP$278,Cultivar_2_Cohort_Year_Selection=$AP$278), ROUND(MAX(0,AX$512 - 2),0),
IF(AND(OR(AY$279=123, AY$279=13), Cultivar_1_Cohort_Year_Selection=$AP$278,Cultivar_3_Cohort_Year_Selection=$AP$278), ROUND(MAX(0,AX$512 - 2),0),
IF(AND(OR(AY$279=123, AY$279=23), Cultivar_2_Cohort_Year_Selection=$AP$278,Cultivar_3_Cohort_Year_Selection=$AP$278), ROUND(MAX(0,AX$512 - 2),0),
IF(AND(OR(AY$279=123, AY$279=12, AY$279=13, AY$279=1), Cultivar_1_Cohort_Year_Selection=$AP$278), ROUND(MAX(0,AX$512 - 1),0),
IF(AND(OR(AY$279=123, AY$279=12, AY$279=23, AY$279=2), Cultivar_2_Cohort_Year_Selection=$AP$278), ROUND(MAX(0,AX$512 - 1),0),
IF(AND(OR(AY$279=123, AY$279=13, AY$279=23, AY$279=3), Cultivar_3_Cohort_Year_Selection=$AP$278), ROUND(MAX(0,AX$512 - 1),0),
ROUND(MAX(0,AX$512),0)))))))),""),""),"")</f>
        <v/>
      </c>
    </row>
    <row r="535" spans="1:51" ht="15.75" thickBot="1" x14ac:dyDescent="0.3">
      <c r="A535" s="518"/>
      <c r="B535" s="504"/>
      <c r="C535" s="111" t="str">
        <f>IF(AND(ISNUMBER(B513), OR('Cost Inputs'!$H$126&lt;&gt;"", 'Cost Inputs'!$I$126&lt;&gt;"", 'Cost Inputs'!$J$126&lt;&gt;"")), _4_5_2, "")</f>
        <v/>
      </c>
      <c r="D535" s="95" t="str">
        <f>IF(AND(C535&lt;&gt;"", 'Cost Inputs'!$G$126&lt;&gt;""), 'Cost Inputs'!$G$126, "")</f>
        <v/>
      </c>
      <c r="E535" s="95" t="str">
        <f>IF(AND(C535&lt;&gt;"", 'Cost Inputs'!$H$126&lt;&gt;""), 'Cost Inputs'!$H$126, "")</f>
        <v/>
      </c>
      <c r="F535" s="95" t="str">
        <f>IF(AND(C535&lt;&gt;"", 'Cost Inputs'!$I$126&lt;&gt;""), 'Cost Inputs'!$I$126, "")</f>
        <v/>
      </c>
      <c r="G535" s="112" t="str">
        <f t="shared" si="333"/>
        <v/>
      </c>
      <c r="H535" s="95" t="str">
        <f>IF(AND(C535&lt;&gt;"", 'Cost Inputs'!$J$126&lt;&gt;""), 'Cost Inputs'!$J$126, "")</f>
        <v/>
      </c>
      <c r="I535" s="95" t="str">
        <f>IF($C535&lt;&gt;"", IF(AND($E535&lt;&gt;"", H535&lt;&gt;""), H535/$E535, 0),"")</f>
        <v/>
      </c>
      <c r="J535" s="95" t="str">
        <f>IF(AND(C535&lt;&gt;"",('Cost Inputs'!$I$126+'Cost Inputs'!$J$126+'Cost Inputs'!$K$126)&gt;0), 'Cost Inputs'!$I$126+'Cost Inputs'!$J$126+'Cost Inputs'!$K$126, "")</f>
        <v/>
      </c>
      <c r="K535" s="95" t="str">
        <f>IF($C535&lt;&gt;"", IF(AND($E535&lt;&gt;"", J535&lt;&gt;""), J535/$E535, 0),"")</f>
        <v/>
      </c>
      <c r="L535" s="526"/>
      <c r="M535" s="525"/>
      <c r="X535" s="93" t="str">
        <f>IF(ISNUMBER($B$513),
IF($C535&lt;&gt;"",
IF(AND(ISNUMBER(W$512), W$512&gt;0),
IF(AND(X$279=123, Cultivar_1_Cohort_Year_Selection=$O$278,Cultivar_2_Cohort_Year_Selection=$O$278,Cultivar_3_Cohort_Year_Selection=$O$278), ROUND(MAX(0,W$512 - 3),0),
IF(AND(OR(X$279=123, X$279=12), Cultivar_1_Cohort_Year_Selection=$O$278,Cultivar_2_Cohort_Year_Selection=$O$278), ROUND(MAX(0,W$512 - 2),0),
IF(AND(OR(X$279=123, X$279=13), Cultivar_1_Cohort_Year_Selection=$O$278,Cultivar_3_Cohort_Year_Selection=$O$278), ROUND(MAX(0,W$512 - 2),0),
IF(AND(OR(X$279=123, X$279=23), Cultivar_2_Cohort_Year_Selection=$O$278,Cultivar_3_Cohort_Year_Selection=$O$278), ROUND(MAX(0,W$512 - 2),0),
IF(AND(OR(X$279=123, X$279=12, X$279=13, X$279=1), Cultivar_1_Cohort_Year_Selection=$O$278), ROUND(MAX(0,W$512 - 1),0),
IF(AND(OR(X$279=123, X$279=12, X$279=23, X$279=2), Cultivar_2_Cohort_Year_Selection=$O$278), ROUND(MAX(0,W$512 - 1),0),
IF(AND(OR(X$279=123, X$279=13, X$279=23, X$279=3), Cultivar_3_Cohort_Year_Selection=$O$278), ROUND(MAX(0,W$512 - 1),0),
ROUND(MAX(0,W$512),0)))))))),""),""),"")</f>
        <v/>
      </c>
      <c r="Y535" s="93" t="str">
        <f>IF(ISNUMBER($B$513),
IF($C535&lt;&gt;"",
IF(AND(ISNUMBER(X$512), X$512&gt;0),
IF(AND(Y$279=123, Cultivar_1_Cohort_Year_Selection=$P$278,Cultivar_2_Cohort_Year_Selection=$P$278,Cultivar_3_Cohort_Year_Selection=$P$278), ROUND(MAX(0,X$512 - 3),0),
IF(AND(OR(Y$279=123, Y$279=12), Cultivar_1_Cohort_Year_Selection=$P$278,Cultivar_2_Cohort_Year_Selection=$P$278), ROUND(MAX(0,X$512 - 2),0),
IF(AND(OR(Y$279=123, Y$279=13), Cultivar_1_Cohort_Year_Selection=$P$278,Cultivar_3_Cohort_Year_Selection=$P$278), ROUND(MAX(0,X$512 - 2),0),
IF(AND(OR(Y$279=123, Y$279=23), Cultivar_2_Cohort_Year_Selection=$P$278,Cultivar_3_Cohort_Year_Selection=$P$278), ROUND(MAX(0,X$512 - 2),0),
IF(AND(OR(Y$279=123, Y$279=12, Y$279=13, Y$279=1), Cultivar_1_Cohort_Year_Selection=$P$278), ROUND(MAX(0,X$512 - 1),0),
IF(AND(OR(Y$279=123, Y$279=12, Y$279=23, Y$279=2), Cultivar_2_Cohort_Year_Selection=$P$278), ROUND(MAX(0,X$512 - 1),0),
IF(AND(OR(Y$279=123, Y$279=13, Y$279=23, Y$279=3), Cultivar_3_Cohort_Year_Selection=$P$278), ROUND(MAX(0,X$512 - 1),0),
ROUND(MAX(0,X$512),0)))))))),""),""),"")</f>
        <v/>
      </c>
      <c r="Z535" s="93" t="str">
        <f>IF(ISNUMBER($B$513),
IF($C535&lt;&gt;"",
IF(AND(ISNUMBER(Y$512), Y$512&gt;0),
IF(AND(Z$279=123, Cultivar_1_Cohort_Year_Selection=$Q$278,Cultivar_2_Cohort_Year_Selection=$Q$278,Cultivar_3_Cohort_Year_Selection=$Q$278), ROUND(MAX(0,Y$512 - 3),0),
IF(AND(OR(Z$279=123, Z$279=12), Cultivar_1_Cohort_Year_Selection=$Q$278,Cultivar_2_Cohort_Year_Selection=$Q$278), ROUND(MAX(0,Y$512 - 2),0),
IF(AND(OR(Z$279=123, Z$279=13), Cultivar_1_Cohort_Year_Selection=$Q$278,Cultivar_3_Cohort_Year_Selection=$Q$278), ROUND(MAX(0,Y$512 - 2),0),
IF(AND(OR(Z$279=123, Z$279=23), Cultivar_2_Cohort_Year_Selection=$Q$278,Cultivar_3_Cohort_Year_Selection=$Q$278), ROUND(MAX(0,Y$512 - 2),0),
IF(AND(OR(Z$279=123, Z$279=12, Z$279=13, Z$279=1), Cultivar_1_Cohort_Year_Selection=$Q$278), ROUND(MAX(0,Y$512 - 1),0),
IF(AND(OR(Z$279=123, Z$279=12, Z$279=23, Z$279=2), Cultivar_2_Cohort_Year_Selection=$Q$278), ROUND(MAX(0,Y$512 - 1),0),
IF(AND(OR(Z$279=123, Z$279=13, Z$279=23, Z$279=3), Cultivar_3_Cohort_Year_Selection=$Q$278), ROUND(MAX(0,Y$512 - 1),0),
ROUND(MAX(0,Y$512),0)))))))),""),""),"")</f>
        <v/>
      </c>
      <c r="AA535" s="93" t="str">
        <f>IF(ISNUMBER($B$513),
IF($C535&lt;&gt;"",
IF(AND(ISNUMBER(Z$512), Z$512&gt;0),
IF(AND(AA$279=123, Cultivar_1_Cohort_Year_Selection=$R$278,Cultivar_2_Cohort_Year_Selection=$R$278,Cultivar_3_Cohort_Year_Selection=$R$278), ROUND(MAX(0,Z$512 - 3),0),
IF(AND(OR(AA$279=123, AA$279=12), Cultivar_1_Cohort_Year_Selection=$R$278,Cultivar_2_Cohort_Year_Selection=$R$278), ROUND(MAX(0,Z$512 - 2),0),
IF(AND(OR(AA$279=123, AA$279=13), Cultivar_1_Cohort_Year_Selection=$R$278,Cultivar_3_Cohort_Year_Selection=$R$278), ROUND(MAX(0,Z$512 - 2),0),
IF(AND(OR(AA$279=123, AA$279=23), Cultivar_2_Cohort_Year_Selection=$R$278,Cultivar_3_Cohort_Year_Selection=$R$278), ROUND(MAX(0,Z$512 - 2),0),
IF(AND(OR(AA$279=123, AA$279=12, AA$279=13, AA$279=1), Cultivar_1_Cohort_Year_Selection=$R$278), ROUND(MAX(0,Z$512 - 1),0),
IF(AND(OR(AA$279=123, AA$279=12, AA$279=23, AA$279=2), Cultivar_2_Cohort_Year_Selection=$R$278), ROUND(MAX(0,Z$512 - 1),0),
IF(AND(OR(AA$279=123, AA$279=13, AA$279=23, AA$279=3), Cultivar_3_Cohort_Year_Selection=$R$278), ROUND(MAX(0,Z$512 - 1),0),
ROUND(MAX(0,Z$512),0)))))))),""),""),"")</f>
        <v/>
      </c>
      <c r="AB535" s="93" t="str">
        <f>IF(ISNUMBER($B$513),
IF($C535&lt;&gt;"",
IF(AND(ISNUMBER(AA$512), AA$512&gt;0),
IF(AND(AB$279=123, Cultivar_1_Cohort_Year_Selection=$S$278,Cultivar_2_Cohort_Year_Selection=$S$278,Cultivar_3_Cohort_Year_Selection=$S$278), ROUND(MAX(0,AA$512 - 3),0),
IF(AND(OR(AB$279=123, AB$279=12), Cultivar_1_Cohort_Year_Selection=$S$278,Cultivar_2_Cohort_Year_Selection=$S$278), ROUND(MAX(0,AA$512 - 2),0),
IF(AND(OR(AB$279=123, AB$279=13), Cultivar_1_Cohort_Year_Selection=$S$278,Cultivar_3_Cohort_Year_Selection=$S$278), ROUND(MAX(0,AA$512 - 2),0),
IF(AND(OR(AB$279=123, AB$279=23), Cultivar_2_Cohort_Year_Selection=$S$278,Cultivar_3_Cohort_Year_Selection=$S$278), ROUND(MAX(0,AA$512 - 2),0),
IF(AND(OR(AB$279=123, AB$279=12, AB$279=13, AB$279=1), Cultivar_1_Cohort_Year_Selection=$S$278), ROUND(MAX(0,AA$512 - 1),0),
IF(AND(OR(AB$279=123, AB$279=12, AB$279=23, AB$279=2), Cultivar_2_Cohort_Year_Selection=$S$278), ROUND(MAX(0,AA$512 - 1),0),
IF(AND(OR(AB$279=123, AB$279=13, AB$279=23, AB$279=3), Cultivar_3_Cohort_Year_Selection=$S$278), ROUND(MAX(0,AA$512 - 1),0),
ROUND(MAX(0,AA$512),0)))))))),""),""),"")</f>
        <v/>
      </c>
      <c r="AC535" s="93" t="str">
        <f>IF(ISNUMBER($B$513),
IF($C535&lt;&gt;"",
IF(AND(ISNUMBER(AB$512), AB$512&gt;0),
IF(AND(AC$279=123, Cultivar_1_Cohort_Year_Selection=$T$278,Cultivar_2_Cohort_Year_Selection=$T$278,Cultivar_3_Cohort_Year_Selection=$T$278), ROUND(MAX(0,AB$512 - 3),0),
IF(AND(OR(AC$279=123, AC$279=12), Cultivar_1_Cohort_Year_Selection=$T$278,Cultivar_2_Cohort_Year_Selection=$T$278), ROUND(MAX(0,AB$512 - 2),0),
IF(AND(OR(AC$279=123, AC$279=13), Cultivar_1_Cohort_Year_Selection=$T$278,Cultivar_3_Cohort_Year_Selection=$T$278), ROUND(MAX(0,AB$512 - 2),0),
IF(AND(OR(AC$279=123, AC$279=23), Cultivar_2_Cohort_Year_Selection=$T$278,Cultivar_3_Cohort_Year_Selection=$T$278), ROUND(MAX(0,AB$512 - 2),0),
IF(AND(OR(AC$279=123, AC$279=12, AC$279=13, AC$279=1), Cultivar_1_Cohort_Year_Selection=$T$278), ROUND(MAX(0,AB$512 - 1),0),
IF(AND(OR(AC$279=123, AC$279=12, AC$279=23, AC$279=2), Cultivar_2_Cohort_Year_Selection=$T$278), ROUND(MAX(0,AB$512 - 1),0),
IF(AND(OR(AC$279=123, AC$279=13, AC$279=23, AC$279=3), Cultivar_3_Cohort_Year_Selection=$T$278), ROUND(MAX(0,AB$512 - 1),0),
ROUND(MAX(0,AB$512),0)))))))),""),""),"")</f>
        <v/>
      </c>
      <c r="AD535" s="93" t="str">
        <f>IF(ISNUMBER($B$513),
IF($C535&lt;&gt;"",
IF(AND(ISNUMBER(AC$512), AC$512&gt;0),
IF(AND(AD$279=123, Cultivar_1_Cohort_Year_Selection=$U$278,Cultivar_2_Cohort_Year_Selection=$U$278,Cultivar_3_Cohort_Year_Selection=$U$278), ROUND(MAX(0,AC$512 - 3),0),
IF(AND(OR(AD$279=123, AD$279=12), Cultivar_1_Cohort_Year_Selection=$U$278,Cultivar_2_Cohort_Year_Selection=$U$278), ROUND(MAX(0,AC$512 - 2),0),
IF(AND(OR(AD$279=123, AD$279=13), Cultivar_1_Cohort_Year_Selection=$U$278,Cultivar_3_Cohort_Year_Selection=$U$278), ROUND(MAX(0,AC$512 - 2),0),
IF(AND(OR(AD$279=123, AD$279=23), Cultivar_2_Cohort_Year_Selection=$U$278,Cultivar_3_Cohort_Year_Selection=$U$278), ROUND(MAX(0,AC$512 - 2),0),
IF(AND(OR(AD$279=123, AD$279=12, AD$279=13, AD$279=1), Cultivar_1_Cohort_Year_Selection=$U$278), ROUND(MAX(0,AC$512 - 1),0),
IF(AND(OR(AD$279=123, AD$279=12, AD$279=23, AD$279=2), Cultivar_2_Cohort_Year_Selection=$U$278), ROUND(MAX(0,AC$512 - 1),0),
IF(AND(OR(AD$279=123, AD$279=13, AD$279=23, AD$279=3), Cultivar_3_Cohort_Year_Selection=$U$278), ROUND(MAX(0,AC$512 - 1),0),
ROUND(MAX(0,AC$512),0)))))))),""),""),"")</f>
        <v/>
      </c>
      <c r="AE535" s="93" t="str">
        <f>IF(ISNUMBER($B$513),
IF($C535&lt;&gt;"",
IF(AND(ISNUMBER(AD$512), AD$512&gt;0),
IF(AND(AE$279=123, Cultivar_1_Cohort_Year_Selection=$V$278,Cultivar_2_Cohort_Year_Selection=$V$278,Cultivar_3_Cohort_Year_Selection=$V$278), ROUND(MAX(0,AD$512 - 3),0),
IF(AND(OR(AE$279=123, AE$279=12), Cultivar_1_Cohort_Year_Selection=$V$278,Cultivar_2_Cohort_Year_Selection=$V$278), ROUND(MAX(0,AD$512 - 2),0),
IF(AND(OR(AE$279=123, AE$279=13), Cultivar_1_Cohort_Year_Selection=$V$278,Cultivar_3_Cohort_Year_Selection=$V$278), ROUND(MAX(0,AD$512 - 2),0),
IF(AND(OR(AE$279=123, AE$279=23), Cultivar_2_Cohort_Year_Selection=$V$278,Cultivar_3_Cohort_Year_Selection=$V$278), ROUND(MAX(0,AD$512 - 2),0),
IF(AND(OR(AE$279=123, AE$279=12, AE$279=13, AE$279=1), Cultivar_1_Cohort_Year_Selection=$V$278), ROUND(MAX(0,AD$512 - 1),0),
IF(AND(OR(AE$279=123, AE$279=12, AE$279=23, AE$279=2), Cultivar_2_Cohort_Year_Selection=$V$278), ROUND(MAX(0,AD$512 - 1),0),
IF(AND(OR(AE$279=123, AE$279=13, AE$279=23, AE$279=3), Cultivar_3_Cohort_Year_Selection=$V$278), ROUND(MAX(0,AD$512 - 1),0),
ROUND(MAX(0,AD$512),0)))))))),""),""),"")</f>
        <v/>
      </c>
      <c r="AF535" s="93" t="str">
        <f>IF(ISNUMBER($B$513),
IF($C535&lt;&gt;"",
IF(AND(ISNUMBER(AE$512), AE$512&gt;0),
IF(AND(AF$279=123, Cultivar_1_Cohort_Year_Selection=$W$278,Cultivar_2_Cohort_Year_Selection=$W$278,Cultivar_3_Cohort_Year_Selection=$W$278), ROUND(MAX(0,AE$512 - 3),0),
IF(AND(OR(AF$279=123, AF$279=12), Cultivar_1_Cohort_Year_Selection=$W$278,Cultivar_2_Cohort_Year_Selection=$W$278), ROUND(MAX(0,AE$512 - 2),0),
IF(AND(OR(AF$279=123, AF$279=13), Cultivar_1_Cohort_Year_Selection=$W$278,Cultivar_3_Cohort_Year_Selection=$W$278), ROUND(MAX(0,AE$512 - 2),0),
IF(AND(OR(AF$279=123, AF$279=23), Cultivar_2_Cohort_Year_Selection=$W$278,Cultivar_3_Cohort_Year_Selection=$W$278), ROUND(MAX(0,AE$512 - 2),0),
IF(AND(OR(AF$279=123, AF$279=12, AF$279=13, AF$279=1), Cultivar_1_Cohort_Year_Selection=$W$278), ROUND(MAX(0,AE$512 - 1),0),
IF(AND(OR(AF$279=123, AF$279=12, AF$279=23, AF$279=2), Cultivar_2_Cohort_Year_Selection=$W$278), ROUND(MAX(0,AE$512 - 1),0),
IF(AND(OR(AF$279=123, AF$279=13, AF$279=23, AF$279=3), Cultivar_3_Cohort_Year_Selection=$W$278), ROUND(MAX(0,AE$512 - 1),0),
ROUND(MAX(0,AE$512),0)))))))),""),""),"")</f>
        <v/>
      </c>
      <c r="AG535" s="93" t="str">
        <f>IF(ISNUMBER($B$513),
IF($C535&lt;&gt;"",
IF(AND(ISNUMBER(AF$512), AF$512&gt;0),
IF(AND(AG$279=123, Cultivar_1_Cohort_Year_Selection=$X$278,Cultivar_2_Cohort_Year_Selection=$X$278,Cultivar_3_Cohort_Year_Selection=$X$278), ROUND(MAX(0,AF$512 - 3),0),
IF(AND(OR(AG$279=123, AG$279=12), Cultivar_1_Cohort_Year_Selection=$X$278,Cultivar_2_Cohort_Year_Selection=$X$278), ROUND(MAX(0,AF$512 - 2),0),
IF(AND(OR(AG$279=123, AG$279=13), Cultivar_1_Cohort_Year_Selection=$X$278,Cultivar_3_Cohort_Year_Selection=$X$278), ROUND(MAX(0,AF$512 - 2),0),
IF(AND(OR(AG$279=123, AG$279=23), Cultivar_2_Cohort_Year_Selection=$X$278,Cultivar_3_Cohort_Year_Selection=$X$278), ROUND(MAX(0,AF$512 - 2),0),
IF(AND(OR(AG$279=123, AG$279=12, AG$279=13, AG$279=1), Cultivar_1_Cohort_Year_Selection=$X$278), ROUND(MAX(0,AF$512 - 1),0),
IF(AND(OR(AG$279=123, AG$279=12, AG$279=23, AG$279=2), Cultivar_2_Cohort_Year_Selection=$X$278), ROUND(MAX(0,AF$512 - 1),0),
IF(AND(OR(AG$279=123, AG$279=13, AG$279=23, AG$279=3), Cultivar_3_Cohort_Year_Selection=$X$278), ROUND(MAX(0,AF$512 - 1),0),
ROUND(MAX(0,AF$512),0)))))))),""),""),"")</f>
        <v/>
      </c>
      <c r="AH535" s="93" t="str">
        <f>IF(ISNUMBER($B$513),
IF($C535&lt;&gt;"",
IF(AND(ISNUMBER(AG$512), AG$512&gt;0),
IF(AND(AH$279=123, Cultivar_1_Cohort_Year_Selection=$Y$278,Cultivar_2_Cohort_Year_Selection=$Y$278,Cultivar_3_Cohort_Year_Selection=$Y$278), ROUND(MAX(0,AG$512 - 3),0),
IF(AND(OR(AH$279=123, AH$279=12), Cultivar_1_Cohort_Year_Selection=$Y$278,Cultivar_2_Cohort_Year_Selection=$Y$278), ROUND(MAX(0,AG$512 - 2),0),
IF(AND(OR(AH$279=123, AH$279=13), Cultivar_1_Cohort_Year_Selection=$Y$278,Cultivar_3_Cohort_Year_Selection=$Y$278), ROUND(MAX(0,AG$512 - 2),0),
IF(AND(OR(AH$279=123, AH$279=23), Cultivar_2_Cohort_Year_Selection=$Y$278,Cultivar_3_Cohort_Year_Selection=$Y$278), ROUND(MAX(0,AG$512 - 2),0),
IF(AND(OR(AH$279=123, AH$279=12, AH$279=13, AH$279=1), Cultivar_1_Cohort_Year_Selection=$Y$278), ROUND(MAX(0,AG$512 - 1),0),
IF(AND(OR(AH$279=123, AH$279=12, AH$279=23, AH$279=2), Cultivar_2_Cohort_Year_Selection=$Y$278), ROUND(MAX(0,AG$512 - 1),0),
IF(AND(OR(AH$279=123, AH$279=13, AH$279=23, AH$279=3), Cultivar_3_Cohort_Year_Selection=$Y$278), ROUND(MAX(0,AG$512 - 1),0),
ROUND(MAX(0,AG$512),0)))))))),""),""),"")</f>
        <v/>
      </c>
      <c r="AI535" s="93" t="str">
        <f>IF(ISNUMBER($B$513),
IF($C535&lt;&gt;"",
IF(AND(ISNUMBER(AH$512), AH$512&gt;0),
IF(AND(AI$279=123, Cultivar_1_Cohort_Year_Selection=$Z$278,Cultivar_2_Cohort_Year_Selection=$Z$278,Cultivar_3_Cohort_Year_Selection=$Z$278), ROUND(MAX(0,AH$512 - 3),0),
IF(AND(OR(AI$279=123, AI$279=12), Cultivar_1_Cohort_Year_Selection=$Z$278,Cultivar_2_Cohort_Year_Selection=$Z$278), ROUND(MAX(0,AH$512 - 2),0),
IF(AND(OR(AI$279=123, AI$279=13), Cultivar_1_Cohort_Year_Selection=$Z$278,Cultivar_3_Cohort_Year_Selection=$Z$278), ROUND(MAX(0,AH$512 - 2),0),
IF(AND(OR(AI$279=123, AI$279=23), Cultivar_2_Cohort_Year_Selection=$Z$278,Cultivar_3_Cohort_Year_Selection=$Z$278), ROUND(MAX(0,AH$512 - 2),0),
IF(AND(OR(AI$279=123, AI$279=12, AI$279=13, AI$279=1), Cultivar_1_Cohort_Year_Selection=$Z$278), ROUND(MAX(0,AH$512 - 1),0),
IF(AND(OR(AI$279=123, AI$279=12, AI$279=23, AI$279=2), Cultivar_2_Cohort_Year_Selection=$Z$278), ROUND(MAX(0,AH$512 - 1),0),
IF(AND(OR(AI$279=123, AI$279=13, AI$279=23, AI$279=3), Cultivar_3_Cohort_Year_Selection=$Z$278), ROUND(MAX(0,AH$512 - 1),0),
ROUND(MAX(0,AH$512),0)))))))),""),""),"")</f>
        <v/>
      </c>
      <c r="AJ535" s="93" t="str">
        <f>IF(ISNUMBER($B$513),
IF($C535&lt;&gt;"",
IF(AND(ISNUMBER(AI$512), AI$512&gt;0),
IF(AND(AJ$279=123, Cultivar_1_Cohort_Year_Selection=$AA$278,Cultivar_2_Cohort_Year_Selection=$AA$278,Cultivar_3_Cohort_Year_Selection=$AA$278), ROUND(MAX(0,AI$512 - 3),0),
IF(AND(OR(AJ$279=123, AJ$279=12), Cultivar_1_Cohort_Year_Selection=$AA$278,Cultivar_2_Cohort_Year_Selection=$AA$278), ROUND(MAX(0,AI$512 - 2),0),
IF(AND(OR(AJ$279=123, AJ$279=13), Cultivar_1_Cohort_Year_Selection=$AA$278,Cultivar_3_Cohort_Year_Selection=$AA$278), ROUND(MAX(0,AI$512 - 2),0),
IF(AND(OR(AJ$279=123, AJ$279=23), Cultivar_2_Cohort_Year_Selection=$AA$278,Cultivar_3_Cohort_Year_Selection=$AA$278), ROUND(MAX(0,AI$512 - 2),0),
IF(AND(OR(AJ$279=123, AJ$279=12, AJ$279=13, AJ$279=1), Cultivar_1_Cohort_Year_Selection=$AA$278), ROUND(MAX(0,AI$512 - 1),0),
IF(AND(OR(AJ$279=123, AJ$279=12, AJ$279=23, AJ$279=2), Cultivar_2_Cohort_Year_Selection=$AA$278), ROUND(MAX(0,AI$512 - 1),0),
IF(AND(OR(AJ$279=123, AJ$279=13, AJ$279=23, AJ$279=3), Cultivar_3_Cohort_Year_Selection=$AA$278), ROUND(MAX(0,AI$512 - 1),0),
ROUND(MAX(0,AI$512),0)))))))),""),""),"")</f>
        <v/>
      </c>
      <c r="AK535" s="93" t="str">
        <f>IF(ISNUMBER($B$513),
IF($C535&lt;&gt;"",
IF(AND(ISNUMBER(AJ$512), AJ$512&gt;0),
IF(AND(AK$279=123, Cultivar_1_Cohort_Year_Selection=$AB$278,Cultivar_2_Cohort_Year_Selection=$AB$278,Cultivar_3_Cohort_Year_Selection=$AB$278), ROUND(MAX(0,AJ$512 - 3),0),
IF(AND(OR(AK$279=123, AK$279=12), Cultivar_1_Cohort_Year_Selection=$AB$278,Cultivar_2_Cohort_Year_Selection=$AB$278), ROUND(MAX(0,AJ$512 - 2),0),
IF(AND(OR(AK$279=123, AK$279=13), Cultivar_1_Cohort_Year_Selection=$AB$278,Cultivar_3_Cohort_Year_Selection=$AB$278), ROUND(MAX(0,AJ$512 - 2),0),
IF(AND(OR(AK$279=123, AK$279=23), Cultivar_2_Cohort_Year_Selection=$AB$278,Cultivar_3_Cohort_Year_Selection=$AB$278), ROUND(MAX(0,AJ$512 - 2),0),
IF(AND(OR(AK$279=123, AK$279=12, AK$279=13, AK$279=1), Cultivar_1_Cohort_Year_Selection=$AB$278), ROUND(MAX(0,AJ$512 - 1),0),
IF(AND(OR(AK$279=123, AK$279=12, AK$279=23, AK$279=2), Cultivar_2_Cohort_Year_Selection=$AB$278), ROUND(MAX(0,AJ$512 - 1),0),
IF(AND(OR(AK$279=123, AK$279=13, AK$279=23, AK$279=3), Cultivar_3_Cohort_Year_Selection=$AB$278), ROUND(MAX(0,AJ$512 - 1),0),
ROUND(MAX(0,AJ$512),0)))))))),""),""),"")</f>
        <v/>
      </c>
      <c r="AL535" s="93" t="str">
        <f>IF(ISNUMBER($B$513),
IF($C535&lt;&gt;"",
IF(AND(ISNUMBER(AK$512), AK$512&gt;0),
IF(AND(AL$279=123, Cultivar_1_Cohort_Year_Selection=$AC$278,Cultivar_2_Cohort_Year_Selection=$AC$278,Cultivar_3_Cohort_Year_Selection=$AC$278), ROUND(MAX(0,AK$512 - 3),0),
IF(AND(OR(AL$279=123, AL$279=12), Cultivar_1_Cohort_Year_Selection=$AC$278,Cultivar_2_Cohort_Year_Selection=$AC$278), ROUND(MAX(0,AK$512 - 2),0),
IF(AND(OR(AL$279=123, AL$279=13), Cultivar_1_Cohort_Year_Selection=$AC$278,Cultivar_3_Cohort_Year_Selection=$AC$278), ROUND(MAX(0,AK$512 - 2),0),
IF(AND(OR(AL$279=123, AL$279=23), Cultivar_2_Cohort_Year_Selection=$AC$278,Cultivar_3_Cohort_Year_Selection=$AC$278), ROUND(MAX(0,AK$512 - 2),0),
IF(AND(OR(AL$279=123, AL$279=12, AL$279=13, AL$279=1), Cultivar_1_Cohort_Year_Selection=$AC$278), ROUND(MAX(0,AK$512 - 1),0),
IF(AND(OR(AL$279=123, AL$279=12, AL$279=23, AL$279=2), Cultivar_2_Cohort_Year_Selection=$AC$278), ROUND(MAX(0,AK$512 - 1),0),
IF(AND(OR(AL$279=123, AL$279=13, AL$279=23, AL$279=3), Cultivar_3_Cohort_Year_Selection=$AC$278), ROUND(MAX(0,AK$512 - 1),0),
ROUND(MAX(0,AK$512),0)))))))),""),""),"")</f>
        <v/>
      </c>
      <c r="AM535" s="93" t="str">
        <f>IF(ISNUMBER($B$513),
IF($C535&lt;&gt;"",
IF(AND(ISNUMBER(AL$512), AL$512&gt;0),
IF(AND(AM$279=123, Cultivar_1_Cohort_Year_Selection=$AD$278,Cultivar_2_Cohort_Year_Selection=$AD$278,Cultivar_3_Cohort_Year_Selection=$AD$278), ROUND(MAX(0,AL$512 - 3),0),
IF(AND(OR(AM$279=123, AM$279=12), Cultivar_1_Cohort_Year_Selection=$AD$278,Cultivar_2_Cohort_Year_Selection=$AD$278), ROUND(MAX(0,AL$512 - 2),0),
IF(AND(OR(AM$279=123, AM$279=13), Cultivar_1_Cohort_Year_Selection=$AD$278,Cultivar_3_Cohort_Year_Selection=$AD$278), ROUND(MAX(0,AL$512 - 2),0),
IF(AND(OR(AM$279=123, AM$279=23), Cultivar_2_Cohort_Year_Selection=$AD$278,Cultivar_3_Cohort_Year_Selection=$AD$278), ROUND(MAX(0,AL$512 - 2),0),
IF(AND(OR(AM$279=123, AM$279=12, AM$279=13, AM$279=1), Cultivar_1_Cohort_Year_Selection=$AD$278), ROUND(MAX(0,AL$512 - 1),0),
IF(AND(OR(AM$279=123, AM$279=12, AM$279=23, AM$279=2), Cultivar_2_Cohort_Year_Selection=$AD$278), ROUND(MAX(0,AL$512 - 1),0),
IF(AND(OR(AM$279=123, AM$279=13, AM$279=23, AM$279=3), Cultivar_3_Cohort_Year_Selection=$AD$278), ROUND(MAX(0,AL$512 - 1),0),
ROUND(MAX(0,AL$512),0)))))))),""),""),"")</f>
        <v/>
      </c>
      <c r="AN535" s="93" t="str">
        <f>IF(ISNUMBER($B$513),
IF($C535&lt;&gt;"",
IF(AND(ISNUMBER(AM$512), AM$512&gt;0),
IF(AND(AN$279=123, Cultivar_1_Cohort_Year_Selection=$AE$278,Cultivar_2_Cohort_Year_Selection=$AE$278,Cultivar_3_Cohort_Year_Selection=$AE$278), ROUND(MAX(0,AM$512 - 3),0),
IF(AND(OR(AN$279=123, AN$279=12), Cultivar_1_Cohort_Year_Selection=$AE$278,Cultivar_2_Cohort_Year_Selection=$AE$278), ROUND(MAX(0,AM$512 - 2),0),
IF(AND(OR(AN$279=123, AN$279=13), Cultivar_1_Cohort_Year_Selection=$AE$278,Cultivar_3_Cohort_Year_Selection=$AE$278), ROUND(MAX(0,AM$512 - 2),0),
IF(AND(OR(AN$279=123, AN$279=23), Cultivar_2_Cohort_Year_Selection=$AE$278,Cultivar_3_Cohort_Year_Selection=$AE$278), ROUND(MAX(0,AM$512 - 2),0),
IF(AND(OR(AN$279=123, AN$279=12, AN$279=13, AN$279=1), Cultivar_1_Cohort_Year_Selection=$AE$278), ROUND(MAX(0,AM$512 - 1),0),
IF(AND(OR(AN$279=123, AN$279=12, AN$279=23, AN$279=2), Cultivar_2_Cohort_Year_Selection=$AE$278), ROUND(MAX(0,AM$512 - 1),0),
IF(AND(OR(AN$279=123, AN$279=13, AN$279=23, AN$279=3), Cultivar_3_Cohort_Year_Selection=$AE$278), ROUND(MAX(0,AM$512 - 1),0),
ROUND(MAX(0,AM$512),0)))))))),""),""),"")</f>
        <v/>
      </c>
      <c r="AO535" s="93" t="str">
        <f>IF(ISNUMBER($B$513),
IF($C535&lt;&gt;"",
IF(AND(ISNUMBER(AN$512), AN$512&gt;0),
IF(AND(AO$279=123, Cultivar_1_Cohort_Year_Selection=$AF$278,Cultivar_2_Cohort_Year_Selection=$AF$278,Cultivar_3_Cohort_Year_Selection=$AF$278), ROUND(MAX(0,AN$512 - 3),0),
IF(AND(OR(AO$279=123, AO$279=12), Cultivar_1_Cohort_Year_Selection=$AF$278,Cultivar_2_Cohort_Year_Selection=$AF$278), ROUND(MAX(0,AN$512 - 2),0),
IF(AND(OR(AO$279=123, AO$279=13), Cultivar_1_Cohort_Year_Selection=$AF$278,Cultivar_3_Cohort_Year_Selection=$AF$278), ROUND(MAX(0,AN$512 - 2),0),
IF(AND(OR(AO$279=123, AO$279=23), Cultivar_2_Cohort_Year_Selection=$AF$278,Cultivar_3_Cohort_Year_Selection=$AF$278), ROUND(MAX(0,AN$512 - 2),0),
IF(AND(OR(AO$279=123, AO$279=12, AO$279=13, AO$279=1), Cultivar_1_Cohort_Year_Selection=$AF$278), ROUND(MAX(0,AN$512 - 1),0),
IF(AND(OR(AO$279=123, AO$279=12, AO$279=23, AO$279=2), Cultivar_2_Cohort_Year_Selection=$AF$278), ROUND(MAX(0,AN$512 - 1),0),
IF(AND(OR(AO$279=123, AO$279=13, AO$279=23, AO$279=3), Cultivar_3_Cohort_Year_Selection=$AF$278), ROUND(MAX(0,AN$512 - 1),0),
ROUND(MAX(0,AN$512),0)))))))),""),""),"")</f>
        <v/>
      </c>
      <c r="AP535" s="93" t="str">
        <f>IF(ISNUMBER($B$513),
IF($C535&lt;&gt;"",
IF(AND(ISNUMBER(AO$512), AO$512&gt;0),
IF(AND(AP$279=123, Cultivar_1_Cohort_Year_Selection=$AG$278,Cultivar_2_Cohort_Year_Selection=$AG$278,Cultivar_3_Cohort_Year_Selection=$AG$278), ROUND(MAX(0,AO$512 - 3),0),
IF(AND(OR(AP$279=123, AP$279=12), Cultivar_1_Cohort_Year_Selection=$AG$278,Cultivar_2_Cohort_Year_Selection=$AG$278), ROUND(MAX(0,AO$512 - 2),0),
IF(AND(OR(AP$279=123, AP$279=13), Cultivar_1_Cohort_Year_Selection=$AG$278,Cultivar_3_Cohort_Year_Selection=$AG$278), ROUND(MAX(0,AO$512 - 2),0),
IF(AND(OR(AP$279=123, AP$279=23), Cultivar_2_Cohort_Year_Selection=$AG$278,Cultivar_3_Cohort_Year_Selection=$AG$278), ROUND(MAX(0,AO$512 - 2),0),
IF(AND(OR(AP$279=123, AP$279=12, AP$279=13, AP$279=1), Cultivar_1_Cohort_Year_Selection=$AG$278), ROUND(MAX(0,AO$512 - 1),0),
IF(AND(OR(AP$279=123, AP$279=12, AP$279=23, AP$279=2), Cultivar_2_Cohort_Year_Selection=$AG$278), ROUND(MAX(0,AO$512 - 1),0),
IF(AND(OR(AP$279=123, AP$279=13, AP$279=23, AP$279=3), Cultivar_3_Cohort_Year_Selection=$AG$278), ROUND(MAX(0,AO$512 - 1),0),
ROUND(MAX(0,AO$512),0)))))))),""),""),"")</f>
        <v/>
      </c>
      <c r="AQ535" s="93" t="str">
        <f>IF(ISNUMBER($B$513),
IF($C535&lt;&gt;"",
IF(AND(ISNUMBER(AP$512), AP$512&gt;0),
IF(AND(AQ$279=123, Cultivar_1_Cohort_Year_Selection=$AH$278,Cultivar_2_Cohort_Year_Selection=$AH$278,Cultivar_3_Cohort_Year_Selection=$AH$278), ROUND(MAX(0,AP$512 - 3),0),
IF(AND(OR(AQ$279=123, AQ$279=12), Cultivar_1_Cohort_Year_Selection=$AH$278,Cultivar_2_Cohort_Year_Selection=$AH$278), ROUND(MAX(0,AP$512 - 2),0),
IF(AND(OR(AQ$279=123, AQ$279=13), Cultivar_1_Cohort_Year_Selection=$AH$278,Cultivar_3_Cohort_Year_Selection=$AH$278), ROUND(MAX(0,AP$512 - 2),0),
IF(AND(OR(AQ$279=123, AQ$279=23), Cultivar_2_Cohort_Year_Selection=$AH$278,Cultivar_3_Cohort_Year_Selection=$AH$278), ROUND(MAX(0,AP$512 - 2),0),
IF(AND(OR(AQ$279=123, AQ$279=12, AQ$279=13, AQ$279=1), Cultivar_1_Cohort_Year_Selection=$AH$278), ROUND(MAX(0,AP$512 - 1),0),
IF(AND(OR(AQ$279=123, AQ$279=12, AQ$279=23, AQ$279=2), Cultivar_2_Cohort_Year_Selection=$AH$278), ROUND(MAX(0,AP$512 - 1),0),
IF(AND(OR(AQ$279=123, AQ$279=13, AQ$279=23, AQ$279=3), Cultivar_3_Cohort_Year_Selection=$AH$278), ROUND(MAX(0,AP$512 - 1),0),
ROUND(MAX(0,AP$512),0)))))))),""),""),"")</f>
        <v/>
      </c>
      <c r="AR535" s="93" t="str">
        <f>IF(ISNUMBER($B$513),
IF($C535&lt;&gt;"",
IF(AND(ISNUMBER(AQ$512), AQ$512&gt;0),
IF(AND(AR$279=123, Cultivar_1_Cohort_Year_Selection=$AI$278,Cultivar_2_Cohort_Year_Selection=$AI$278,Cultivar_3_Cohort_Year_Selection=$AI$278), ROUND(MAX(0,AQ$512 - 3),0),
IF(AND(OR(AR$279=123, AR$279=12), Cultivar_1_Cohort_Year_Selection=$AI$278,Cultivar_2_Cohort_Year_Selection=$AI$278), ROUND(MAX(0,AQ$512 - 2),0),
IF(AND(OR(AR$279=123, AR$279=13), Cultivar_1_Cohort_Year_Selection=$AI$278,Cultivar_3_Cohort_Year_Selection=$AI$278), ROUND(MAX(0,AQ$512 - 2),0),
IF(AND(OR(AR$279=123, AR$279=23), Cultivar_2_Cohort_Year_Selection=$AI$278,Cultivar_3_Cohort_Year_Selection=$AI$278), ROUND(MAX(0,AQ$512 - 2),0),
IF(AND(OR(AR$279=123, AR$279=12, AR$279=13, AR$279=1), Cultivar_1_Cohort_Year_Selection=$AI$278), ROUND(MAX(0,AQ$512 - 1),0),
IF(AND(OR(AR$279=123, AR$279=12, AR$279=23, AR$279=2), Cultivar_2_Cohort_Year_Selection=$AI$278), ROUND(MAX(0,AQ$512 - 1),0),
IF(AND(OR(AR$279=123, AR$279=13, AR$279=23, AR$279=3), Cultivar_3_Cohort_Year_Selection=$AI$278), ROUND(MAX(0,AQ$512 - 1),0),
ROUND(MAX(0,AQ$512),0)))))))),""),""),"")</f>
        <v/>
      </c>
      <c r="AS535" s="93" t="str">
        <f>IF(ISNUMBER($B$513),
IF($C535&lt;&gt;"",
IF(AND(ISNUMBER(AR$512), AR$512&gt;0),
IF(AND(AS$279=123, Cultivar_1_Cohort_Year_Selection=$AJ$278,Cultivar_2_Cohort_Year_Selection=$AJ$278,Cultivar_3_Cohort_Year_Selection=$AJ$278), ROUND(MAX(0,AR$512 - 3),0),
IF(AND(OR(AS$279=123, AS$279=12), Cultivar_1_Cohort_Year_Selection=$AJ$278,Cultivar_2_Cohort_Year_Selection=$AJ$278), ROUND(MAX(0,AR$512 - 2),0),
IF(AND(OR(AS$279=123, AS$279=13), Cultivar_1_Cohort_Year_Selection=$AJ$278,Cultivar_3_Cohort_Year_Selection=$AJ$278), ROUND(MAX(0,AR$512 - 2),0),
IF(AND(OR(AS$279=123, AS$279=23), Cultivar_2_Cohort_Year_Selection=$AJ$278,Cultivar_3_Cohort_Year_Selection=$AJ$278), ROUND(MAX(0,AR$512 - 2),0),
IF(AND(OR(AS$279=123, AS$279=12, AS$279=13, AS$279=1), Cultivar_1_Cohort_Year_Selection=$AJ$278), ROUND(MAX(0,AR$512 - 1),0),
IF(AND(OR(AS$279=123, AS$279=12, AS$279=23, AS$279=2), Cultivar_2_Cohort_Year_Selection=$AJ$278), ROUND(MAX(0,AR$512 - 1),0),
IF(AND(OR(AS$279=123, AS$279=13, AS$279=23, AS$279=3), Cultivar_3_Cohort_Year_Selection=$AJ$278), ROUND(MAX(0,AR$512 - 1),0),
ROUND(MAX(0,AR$512),0)))))))),""),""),"")</f>
        <v/>
      </c>
      <c r="AT535" s="93" t="str">
        <f>IF(ISNUMBER($B$513),
IF($C535&lt;&gt;"",
IF(AND(ISNUMBER(AS$512), AS$512&gt;0),
IF(AND(AT$279=123, Cultivar_1_Cohort_Year_Selection=$AK$278,Cultivar_2_Cohort_Year_Selection=$AK$278,Cultivar_3_Cohort_Year_Selection=$AK$278), ROUND(MAX(0,AS$512 - 3),0),
IF(AND(OR(AT$279=123, AT$279=12), Cultivar_1_Cohort_Year_Selection=$AK$278,Cultivar_2_Cohort_Year_Selection=$AK$278), ROUND(MAX(0,AS$512 - 2),0),
IF(AND(OR(AT$279=123, AT$279=13), Cultivar_1_Cohort_Year_Selection=$AK$278,Cultivar_3_Cohort_Year_Selection=$AK$278), ROUND(MAX(0,AS$512 - 2),0),
IF(AND(OR(AT$279=123, AT$279=23), Cultivar_2_Cohort_Year_Selection=$AK$278,Cultivar_3_Cohort_Year_Selection=$AK$278), ROUND(MAX(0,AS$512 - 2),0),
IF(AND(OR(AT$279=123, AT$279=12, AT$279=13, AT$279=1), Cultivar_1_Cohort_Year_Selection=$AK$278), ROUND(MAX(0,AS$512 - 1),0),
IF(AND(OR(AT$279=123, AT$279=12, AT$279=23, AT$279=2), Cultivar_2_Cohort_Year_Selection=$AK$278), ROUND(MAX(0,AS$512 - 1),0),
IF(AND(OR(AT$279=123, AT$279=13, AT$279=23, AT$279=3), Cultivar_3_Cohort_Year_Selection=$AK$278), ROUND(MAX(0,AS$512 - 1),0),
ROUND(MAX(0,AS$512),0)))))))),""),""),"")</f>
        <v/>
      </c>
      <c r="AU535" s="93" t="str">
        <f>IF(ISNUMBER($B$513),
IF($C535&lt;&gt;"",
IF(AND(ISNUMBER(AT$512), AT$512&gt;0),
IF(AND(AU$279=123, Cultivar_1_Cohort_Year_Selection=$AL$278,Cultivar_2_Cohort_Year_Selection=$AL$278,Cultivar_3_Cohort_Year_Selection=$AL$278), ROUND(MAX(0,AT$512 - 3),0),
IF(AND(OR(AU$279=123, AU$279=12), Cultivar_1_Cohort_Year_Selection=$AL$278,Cultivar_2_Cohort_Year_Selection=$AL$278), ROUND(MAX(0,AT$512 - 2),0),
IF(AND(OR(AU$279=123, AU$279=13), Cultivar_1_Cohort_Year_Selection=$AL$278,Cultivar_3_Cohort_Year_Selection=$AL$278), ROUND(MAX(0,AT$512 - 2),0),
IF(AND(OR(AU$279=123, AU$279=23), Cultivar_2_Cohort_Year_Selection=$AL$278,Cultivar_3_Cohort_Year_Selection=$AL$278), ROUND(MAX(0,AT$512 - 2),0),
IF(AND(OR(AU$279=123, AU$279=12, AU$279=13, AU$279=1), Cultivar_1_Cohort_Year_Selection=$AL$278), ROUND(MAX(0,AT$512 - 1),0),
IF(AND(OR(AU$279=123, AU$279=12, AU$279=23, AU$279=2), Cultivar_2_Cohort_Year_Selection=$AL$278), ROUND(MAX(0,AT$512 - 1),0),
IF(AND(OR(AU$279=123, AU$279=13, AU$279=23, AU$279=3), Cultivar_3_Cohort_Year_Selection=$AL$278), ROUND(MAX(0,AT$512 - 1),0),
ROUND(MAX(0,AT$512),0)))))))),""),""),"")</f>
        <v/>
      </c>
      <c r="AV535" s="93" t="str">
        <f>IF(ISNUMBER($B$513),
IF($C535&lt;&gt;"",
IF(AND(ISNUMBER(AU$512), AU$512&gt;0),
IF(AND(AV$279=123, Cultivar_1_Cohort_Year_Selection=$AM$278,Cultivar_2_Cohort_Year_Selection=$AM$278,Cultivar_3_Cohort_Year_Selection=$AM$278), ROUND(MAX(0,AU$512 - 3),0),
IF(AND(OR(AV$279=123, AV$279=12), Cultivar_1_Cohort_Year_Selection=$AM$278,Cultivar_2_Cohort_Year_Selection=$AM$278), ROUND(MAX(0,AU$512 - 2),0),
IF(AND(OR(AV$279=123, AV$279=13), Cultivar_1_Cohort_Year_Selection=$AM$278,Cultivar_3_Cohort_Year_Selection=$AM$278), ROUND(MAX(0,AU$512 - 2),0),
IF(AND(OR(AV$279=123, AV$279=23), Cultivar_2_Cohort_Year_Selection=$AM$278,Cultivar_3_Cohort_Year_Selection=$AM$278), ROUND(MAX(0,AU$512 - 2),0),
IF(AND(OR(AV$279=123, AV$279=12, AV$279=13, AV$279=1), Cultivar_1_Cohort_Year_Selection=$AM$278), ROUND(MAX(0,AU$512 - 1),0),
IF(AND(OR(AV$279=123, AV$279=12, AV$279=23, AV$279=2), Cultivar_2_Cohort_Year_Selection=$AM$278), ROUND(MAX(0,AU$512 - 1),0),
IF(AND(OR(AV$279=123, AV$279=13, AV$279=23, AV$279=3), Cultivar_3_Cohort_Year_Selection=$AM$278), ROUND(MAX(0,AU$512 - 1),0),
ROUND(MAX(0,AU$512),0)))))))),""),""),"")</f>
        <v/>
      </c>
      <c r="AW535" s="93" t="str">
        <f>IF(ISNUMBER($B$513),
IF($C535&lt;&gt;"",
IF(AND(ISNUMBER(AV$512), AV$512&gt;0),
IF(AND(AW$279=123, Cultivar_1_Cohort_Year_Selection=$AN$278,Cultivar_2_Cohort_Year_Selection=$AN$278,Cultivar_3_Cohort_Year_Selection=$AN$278), ROUND(MAX(0,AV$512 - 3),0),
IF(AND(OR(AW$279=123, AW$279=12), Cultivar_1_Cohort_Year_Selection=$AN$278,Cultivar_2_Cohort_Year_Selection=$AN$278), ROUND(MAX(0,AV$512 - 2),0),
IF(AND(OR(AW$279=123, AW$279=13), Cultivar_1_Cohort_Year_Selection=$AN$278,Cultivar_3_Cohort_Year_Selection=$AN$278), ROUND(MAX(0,AV$512 - 2),0),
IF(AND(OR(AW$279=123, AW$279=23), Cultivar_2_Cohort_Year_Selection=$AN$278,Cultivar_3_Cohort_Year_Selection=$AN$278), ROUND(MAX(0,AV$512 - 2),0),
IF(AND(OR(AW$279=123, AW$279=12, AW$279=13, AW$279=1), Cultivar_1_Cohort_Year_Selection=$AN$278), ROUND(MAX(0,AV$512 - 1),0),
IF(AND(OR(AW$279=123, AW$279=12, AW$279=23, AW$279=2), Cultivar_2_Cohort_Year_Selection=$AN$278), ROUND(MAX(0,AV$512 - 1),0),
IF(AND(OR(AW$279=123, AW$279=13, AW$279=23, AW$279=3), Cultivar_3_Cohort_Year_Selection=$AN$278), ROUND(MAX(0,AV$512 - 1),0),
ROUND(MAX(0,AV$512),0)))))))),""),""),"")</f>
        <v/>
      </c>
      <c r="AX535" s="93" t="str">
        <f>IF(ISNUMBER($B$513),
IF($C535&lt;&gt;"",
IF(AND(ISNUMBER(AW$512), AW$512&gt;0),
IF(AND(AX$279=123, Cultivar_1_Cohort_Year_Selection=$AO$278,Cultivar_2_Cohort_Year_Selection=$AO$278,Cultivar_3_Cohort_Year_Selection=$AO$278), ROUND(MAX(0,AW$512 - 3),0),
IF(AND(OR(AX$279=123, AX$279=12), Cultivar_1_Cohort_Year_Selection=$AO$278,Cultivar_2_Cohort_Year_Selection=$AO$278), ROUND(MAX(0,AW$512 - 2),0),
IF(AND(OR(AX$279=123, AX$279=13), Cultivar_1_Cohort_Year_Selection=$AO$278,Cultivar_3_Cohort_Year_Selection=$AO$278), ROUND(MAX(0,AW$512 - 2),0),
IF(AND(OR(AX$279=123, AX$279=23), Cultivar_2_Cohort_Year_Selection=$AO$278,Cultivar_3_Cohort_Year_Selection=$AO$278), ROUND(MAX(0,AW$512 - 2),0),
IF(AND(OR(AX$279=123, AX$279=12, AX$279=13, AX$279=1), Cultivar_1_Cohort_Year_Selection=$AO$278), ROUND(MAX(0,AW$512 - 1),0),
IF(AND(OR(AX$279=123, AX$279=12, AX$279=23, AX$279=2), Cultivar_2_Cohort_Year_Selection=$AO$278), ROUND(MAX(0,AW$512 - 1),0),
IF(AND(OR(AX$279=123, AX$279=13, AX$279=23, AX$279=3), Cultivar_3_Cohort_Year_Selection=$AO$278), ROUND(MAX(0,AW$512 - 1),0),
ROUND(MAX(0,AW$512),0)))))))),""),""),"")</f>
        <v/>
      </c>
      <c r="AY535" s="93" t="str">
        <f>IF(ISNUMBER($B$513),
IF($C535&lt;&gt;"",
IF(AND(ISNUMBER(AX$512), AX$512&gt;0),
IF(AND(AY$279=123, Cultivar_1_Cohort_Year_Selection=$AP$278,Cultivar_2_Cohort_Year_Selection=$AP$278,Cultivar_3_Cohort_Year_Selection=$AP$278), ROUND(MAX(0,AX$512 - 3),0),
IF(AND(OR(AY$279=123, AY$279=12), Cultivar_1_Cohort_Year_Selection=$AP$278,Cultivar_2_Cohort_Year_Selection=$AP$278), ROUND(MAX(0,AX$512 - 2),0),
IF(AND(OR(AY$279=123, AY$279=13), Cultivar_1_Cohort_Year_Selection=$AP$278,Cultivar_3_Cohort_Year_Selection=$AP$278), ROUND(MAX(0,AX$512 - 2),0),
IF(AND(OR(AY$279=123, AY$279=23), Cultivar_2_Cohort_Year_Selection=$AP$278,Cultivar_3_Cohort_Year_Selection=$AP$278), ROUND(MAX(0,AX$512 - 2),0),
IF(AND(OR(AY$279=123, AY$279=12, AY$279=13, AY$279=1), Cultivar_1_Cohort_Year_Selection=$AP$278), ROUND(MAX(0,AX$512 - 1),0),
IF(AND(OR(AY$279=123, AY$279=12, AY$279=23, AY$279=2), Cultivar_2_Cohort_Year_Selection=$AP$278), ROUND(MAX(0,AX$512 - 1),0),
IF(AND(OR(AY$279=123, AY$279=13, AY$279=23, AY$279=3), Cultivar_3_Cohort_Year_Selection=$AP$278), ROUND(MAX(0,AX$512 - 1),0),
ROUND(MAX(0,AX$512),0)))))))),""),""),"")</f>
        <v/>
      </c>
    </row>
    <row r="536" spans="1:51" ht="44.45" customHeight="1" thickBot="1" x14ac:dyDescent="0.3">
      <c r="A536" s="98"/>
      <c r="B536" s="99"/>
      <c r="C536" s="114"/>
      <c r="D536" s="114"/>
      <c r="E536" s="114"/>
      <c r="F536" s="114"/>
      <c r="G536" s="114" t="str">
        <f t="shared" si="333"/>
        <v/>
      </c>
      <c r="H536" s="114"/>
      <c r="I536" s="114"/>
      <c r="J536" s="114"/>
      <c r="K536" s="114"/>
      <c r="L536" s="114"/>
      <c r="M536" s="289"/>
      <c r="O536" s="291" t="str">
        <f>'Breeding Inputs'!B101</f>
        <v/>
      </c>
      <c r="P536" s="292" t="e">
        <f>O536+1</f>
        <v>#VALUE!</v>
      </c>
      <c r="Q536" s="292" t="e">
        <f t="shared" ref="Q536:AG536" si="454">P536+1</f>
        <v>#VALUE!</v>
      </c>
      <c r="R536" s="292" t="e">
        <f t="shared" si="454"/>
        <v>#VALUE!</v>
      </c>
      <c r="S536" s="292" t="e">
        <f t="shared" si="454"/>
        <v>#VALUE!</v>
      </c>
      <c r="T536" s="292" t="e">
        <f t="shared" si="454"/>
        <v>#VALUE!</v>
      </c>
      <c r="U536" s="292" t="e">
        <f t="shared" si="454"/>
        <v>#VALUE!</v>
      </c>
      <c r="V536" s="292" t="e">
        <f t="shared" si="454"/>
        <v>#VALUE!</v>
      </c>
      <c r="W536" s="292" t="e">
        <f t="shared" si="454"/>
        <v>#VALUE!</v>
      </c>
      <c r="X536" s="292" t="e">
        <f t="shared" si="454"/>
        <v>#VALUE!</v>
      </c>
      <c r="Y536" s="292" t="e">
        <f t="shared" si="454"/>
        <v>#VALUE!</v>
      </c>
      <c r="Z536" s="292" t="e">
        <f t="shared" si="454"/>
        <v>#VALUE!</v>
      </c>
      <c r="AA536" s="292" t="e">
        <f t="shared" si="454"/>
        <v>#VALUE!</v>
      </c>
      <c r="AB536" s="292" t="e">
        <f t="shared" si="454"/>
        <v>#VALUE!</v>
      </c>
      <c r="AC536" s="292" t="e">
        <f t="shared" si="454"/>
        <v>#VALUE!</v>
      </c>
      <c r="AD536" s="292" t="e">
        <f t="shared" si="454"/>
        <v>#VALUE!</v>
      </c>
      <c r="AE536" s="292" t="e">
        <f t="shared" si="454"/>
        <v>#VALUE!</v>
      </c>
      <c r="AF536" s="292" t="e">
        <f t="shared" si="454"/>
        <v>#VALUE!</v>
      </c>
      <c r="AG536" s="294" t="e">
        <f t="shared" si="454"/>
        <v>#VALUE!</v>
      </c>
      <c r="AH536" s="293"/>
      <c r="AI536" s="293"/>
      <c r="AJ536" s="293"/>
      <c r="AK536" s="293"/>
      <c r="AL536" s="293"/>
      <c r="AM536" s="293"/>
      <c r="AN536" s="293"/>
      <c r="AO536" s="293"/>
      <c r="AP536" s="293"/>
      <c r="AQ536" s="293"/>
      <c r="AR536" s="3"/>
      <c r="AS536" s="3"/>
      <c r="AT536" s="3"/>
      <c r="AU536" s="3"/>
      <c r="AV536" s="3"/>
      <c r="AW536" s="3"/>
      <c r="AX536" s="3"/>
      <c r="AY536" s="3"/>
    </row>
    <row r="537" spans="1:51" x14ac:dyDescent="0.25">
      <c r="A537" s="527" t="str">
        <f>Fifth_Stage</f>
        <v>Stage 3 Clonal Replication with Increased Repetitions</v>
      </c>
      <c r="B537" s="504" t="str">
        <f>'Breeding Inputs'!B101</f>
        <v/>
      </c>
      <c r="C537" s="521" t="str">
        <f>IF(ISNUMBER(B537), _5_1_0, "")</f>
        <v/>
      </c>
      <c r="D537" s="94" t="str">
        <f>IF(AND(C537&lt;&gt;"", 'Cost Inputs'!$G$128&lt;&gt;""), 'Cost Inputs'!$G$128, "")</f>
        <v/>
      </c>
      <c r="E537" s="94" t="str">
        <f>IF(AND(C537&lt;&gt;"", 'Cost Inputs'!$H$128&lt;&gt;""), 'Cost Inputs'!$H$128, "")</f>
        <v/>
      </c>
      <c r="F537" s="492" t="str">
        <f>IF(AND(C537&lt;&gt;"", 'Cost Inputs'!$I$128&lt;&gt;""), 'Cost Inputs'!$I$128, "")</f>
        <v/>
      </c>
      <c r="G537" s="102" t="str">
        <f t="shared" si="333"/>
        <v/>
      </c>
      <c r="H537" s="492" t="str">
        <f>IF(AND(C537&lt;&gt;"", 'Cost Inputs'!$J$128&lt;&gt;""), 'Cost Inputs'!$J$128, "")</f>
        <v/>
      </c>
      <c r="I537" s="102" t="str">
        <f>IF($C537&lt;&gt;"",IF(AND($E537&lt;&gt;"",H537&lt;&gt;""), H537/$E537, 0),"")</f>
        <v/>
      </c>
      <c r="J537" s="492" t="str">
        <f>IF(AND(C537&lt;&gt;"",('Cost Inputs'!$I$128+'Cost Inputs'!$J$128+'Cost Inputs'!$K$128)&gt;0), 'Cost Inputs'!$I$128+'Cost Inputs'!$J$128+'Cost Inputs'!$K$128, "")</f>
        <v/>
      </c>
      <c r="K537" s="102" t="str">
        <f>IF($C537&lt;&gt;"",IF(AND($E537&lt;&gt;"",J537&lt;&gt;""), J537/$E537, 0),"")</f>
        <v/>
      </c>
      <c r="L537" s="94"/>
      <c r="M537" s="103"/>
      <c r="O537" s="492" t="str">
        <f>IF(ISNUMBER($B$537), IF($C537&lt;&gt;"", IF('Cost Inputs'!$L$128="Y", $E537, IF('Cost Inputs'!$L$128="N", IF(ISNUMBER('Cost Inputs'!$M$128), $E537, ""),"")),""),"")</f>
        <v/>
      </c>
      <c r="P537" s="492" t="str">
        <f>IF(ISNUMBER($B$537), IF($C537&lt;&gt;"", IF('Cost Inputs'!$L$128="Y", $E537, IF('Cost Inputs'!$L$128="N", "", "")),""),"")</f>
        <v/>
      </c>
      <c r="Q537" s="492" t="str">
        <f>IF(ISNUMBER($B$537), IF($C537&lt;&gt;"", IF('Cost Inputs'!$L$128="Y", $E537, IF('Cost Inputs'!$L$128="N", IF(AND(ISNUMBER('Cost Inputs'!$M$128), OR('Cost Inputs'!$M$128=2)), $E537, ""),"")),""),"")</f>
        <v/>
      </c>
      <c r="R537" s="492" t="str">
        <f>IF(ISNUMBER($B$537), IF($C537&lt;&gt;"", IF('Cost Inputs'!$L$128="Y", $E537, IF('Cost Inputs'!$L$128="N", IF(AND(ISNUMBER('Cost Inputs'!$M$128), OR('Cost Inputs'!$M$128=3)), $E537, ""),"")),""),"")</f>
        <v/>
      </c>
      <c r="S537" s="492" t="str">
        <f>IF(ISNUMBER($B$537), IF($C537&lt;&gt;"", IF('Cost Inputs'!$L$128="Y", $E537, IF('Cost Inputs'!$L$128="N", IF(AND(ISNUMBER('Cost Inputs'!$M$128), OR('Cost Inputs'!$M$128=2, 'Cost Inputs'!$M$128=4)), $E537, ""),"")),""),"")</f>
        <v/>
      </c>
      <c r="T537" s="492" t="str">
        <f>IF(ISNUMBER($B$537), IF($C537&lt;&gt;"", IF('Cost Inputs'!$L$128="Y", $E537, IF('Cost Inputs'!$L$128="N", IF(AND(ISNUMBER('Cost Inputs'!$M$128), OR('Cost Inputs'!$M$128=2,'Cost Inputs'!$M$128=5)), $E537, ""),"")),""),"")</f>
        <v/>
      </c>
      <c r="U537" s="492" t="str">
        <f>IF(ISNUMBER($B$537), IF($C537&lt;&gt;"", IF('Cost Inputs'!$L$128="Y", $E537, IF('Cost Inputs'!$L$128="N", IF(AND(ISNUMBER('Cost Inputs'!$M$128), OR('Cost Inputs'!$M$128=2,'Cost Inputs'!$M$128=3,'Cost Inputs'!$M$128=6)), $E537, ""),"")),""),"")</f>
        <v/>
      </c>
      <c r="V537" s="492" t="str">
        <f>IF(ISNUMBER($B$537), IF($C537&lt;&gt;"", IF('Cost Inputs'!$L$128="Y", $E537, IF('Cost Inputs'!$L$128="N", IF(AND(ISNUMBER('Cost Inputs'!$M$128), OR('Cost Inputs'!$M$128=2,'Cost Inputs'!$M$128=7)), $E537, ""),"")),""),"")</f>
        <v/>
      </c>
      <c r="W537" s="492" t="str">
        <f>IF(ISNUMBER($B$537), IF($C537&lt;&gt;"", IF('Cost Inputs'!$L$128="Y", $E537, IF('Cost Inputs'!$L$128="N", IF(AND(ISNUMBER('Cost Inputs'!$M$128), OR('Cost Inputs'!$M$128=2,'Cost Inputs'!$M$128=4,'Cost Inputs'!$M$128=8)), $E537, ""),"")),""),"")</f>
        <v/>
      </c>
      <c r="X537" s="492" t="str">
        <f>IF(ISNUMBER($B$537), IF($C537&lt;&gt;"", IF('Cost Inputs'!$L$128="Y", $E537, IF('Cost Inputs'!$L$128="N", IF(AND(ISNUMBER('Cost Inputs'!$M$128), OR('Cost Inputs'!$M$128=2,'Cost Inputs'!$M$128=3,'Cost Inputs'!$M$128=9)), $E537, ""),"")),""),"")</f>
        <v/>
      </c>
      <c r="Y537" s="493"/>
      <c r="Z537" s="493"/>
      <c r="AA537" s="493"/>
      <c r="AB537" s="493"/>
      <c r="AC537" s="493"/>
      <c r="AD537" s="493"/>
      <c r="AE537" s="493"/>
      <c r="AF537" s="493"/>
      <c r="AG537" s="493"/>
      <c r="AH537" s="493"/>
      <c r="AI537" s="493"/>
      <c r="AJ537" s="493"/>
      <c r="AK537" s="493"/>
      <c r="AL537" s="493"/>
      <c r="AM537" s="493"/>
      <c r="AN537" s="493"/>
      <c r="AO537" s="493"/>
      <c r="AP537" s="493"/>
      <c r="AQ537" s="493"/>
    </row>
    <row r="538" spans="1:51" x14ac:dyDescent="0.25">
      <c r="A538" s="518"/>
      <c r="B538" s="504"/>
      <c r="C538" s="521"/>
      <c r="D538" s="94" t="str">
        <f>IF(AND(C537&lt;&gt;"", 'Cost Inputs'!$G$129&lt;&gt;""), 'Cost Inputs'!$G$129, "")</f>
        <v/>
      </c>
      <c r="E538" s="94" t="str">
        <f>IF(AND(C537&lt;&gt;"", 'Cost Inputs'!$H$129&lt;&gt;""), 'Cost Inputs'!$H$129, "")</f>
        <v/>
      </c>
      <c r="F538" s="492" t="str">
        <f>IF(AND(C538&lt;&gt;"", 'Cost Inputs'!$I$86&lt;&gt;""), 'Cost Inputs'!$I$86, "")</f>
        <v/>
      </c>
      <c r="G538" s="102" t="str">
        <f t="shared" si="333"/>
        <v/>
      </c>
      <c r="H538" s="492" t="str">
        <f>IF(AND(C538&lt;&gt;"", 'Cost Inputs'!$J$86&lt;&gt;""), 'Cost Inputs'!$J$86, "")</f>
        <v/>
      </c>
      <c r="I538" s="102" t="str">
        <f>IF($C537&lt;&gt;"", IF(AND($E538&lt;&gt;"", H537&lt;&gt;""), H537/($E537*$E538), 0), "")</f>
        <v/>
      </c>
      <c r="J538" s="492" t="str">
        <f>IF(AND(C538&lt;&gt;"",('Cost Inputs'!$I$86+'Cost Inputs'!$J$86+'Cost Inputs'!$K$86)&gt;0), 'Cost Inputs'!$I$86+'Cost Inputs'!$J$86+'Cost Inputs'!$K$86, "")</f>
        <v/>
      </c>
      <c r="K538" s="102" t="str">
        <f>IF($C537&lt;&gt;"", IF(AND($E538&lt;&gt;"", J537&lt;&gt;""), J537/($E537*$E538), 0), "")</f>
        <v/>
      </c>
      <c r="L538" s="94"/>
      <c r="M538" s="103"/>
      <c r="O538" s="492"/>
      <c r="P538" s="492"/>
      <c r="Q538" s="492"/>
      <c r="R538" s="492"/>
      <c r="S538" s="492"/>
      <c r="T538" s="492"/>
      <c r="U538" s="492"/>
      <c r="V538" s="492"/>
      <c r="W538" s="492"/>
      <c r="X538" s="492"/>
      <c r="Y538" s="493"/>
      <c r="Z538" s="493"/>
      <c r="AA538" s="493"/>
      <c r="AB538" s="493"/>
      <c r="AC538" s="493"/>
      <c r="AD538" s="493"/>
      <c r="AE538" s="493"/>
      <c r="AF538" s="493"/>
      <c r="AG538" s="493"/>
      <c r="AH538" s="493"/>
      <c r="AI538" s="493"/>
      <c r="AJ538" s="493"/>
      <c r="AK538" s="493"/>
      <c r="AL538" s="493"/>
      <c r="AM538" s="493"/>
      <c r="AN538" s="493"/>
      <c r="AO538" s="493"/>
      <c r="AP538" s="493"/>
      <c r="AQ538" s="493"/>
    </row>
    <row r="539" spans="1:51" x14ac:dyDescent="0.25">
      <c r="A539" s="518"/>
      <c r="B539" s="504"/>
      <c r="C539" s="376" t="str">
        <f>IF(AND(ISNUMBER(B537), OR('Cost Inputs'!$H$130&lt;&gt;"", 'Cost Inputs'!$I$130&lt;&gt;"", 'Cost Inputs'!$J$130&lt;&gt;"")), _5_1_1, "")</f>
        <v/>
      </c>
      <c r="D539" s="17" t="str">
        <f>IF(AND(C539&lt;&gt;"", 'Cost Inputs'!$G$130&lt;&gt;""), 'Cost Inputs'!$G$130, "")</f>
        <v/>
      </c>
      <c r="E539" s="17" t="str">
        <f>IF(AND(C539&lt;&gt;"", 'Cost Inputs'!$H$130&lt;&gt;""), 'Cost Inputs'!$H$130, "")</f>
        <v/>
      </c>
      <c r="F539" s="493" t="str">
        <f>IF(AND(C539&lt;&gt;"", 'Cost Inputs'!$I$130&lt;&gt;""), 'Cost Inputs'!$I$130, "")</f>
        <v/>
      </c>
      <c r="G539" s="105" t="str">
        <f t="shared" si="333"/>
        <v/>
      </c>
      <c r="H539" s="493" t="str">
        <f>IF(AND(C539&lt;&gt;"", 'Cost Inputs'!$J$130&lt;&gt;""), 'Cost Inputs'!$J$130, "")</f>
        <v/>
      </c>
      <c r="I539" s="105" t="str">
        <f>IF($C539&lt;&gt;"",IF(AND($E539&lt;&gt;"",H539&lt;&gt;""), H539/$E539, 0),"")</f>
        <v/>
      </c>
      <c r="J539" s="493" t="str">
        <f>IF(AND(C539&lt;&gt;"",('Cost Inputs'!$I$130+'Cost Inputs'!$J$130+'Cost Inputs'!$K$130)&gt;0), 'Cost Inputs'!$I$130+'Cost Inputs'!$J$130+'Cost Inputs'!$K$130, "")</f>
        <v/>
      </c>
      <c r="K539" s="105" t="str">
        <f>IF($C539&lt;&gt;"",IF(AND($E539&lt;&gt;"",J539&lt;&gt;""), J539/$E539, 0),"")</f>
        <v/>
      </c>
      <c r="M539" s="106"/>
      <c r="O539" s="493" t="str">
        <f>IF(ISNUMBER($B$537), IF($C539&lt;&gt;"", IF('Cost Inputs'!$L$130="Y", $E539, IF('Cost Inputs'!$L$130="N", IF(ISNUMBER('Cost Inputs'!$M$130), $E539, ""),"")),""),"")</f>
        <v/>
      </c>
      <c r="P539" s="493" t="str">
        <f>IF(ISNUMBER($B$537), IF($C539&lt;&gt;"", IF('Cost Inputs'!$L$130="Y", $E539, IF('Cost Inputs'!$L$130="N", "", "")),""),"")</f>
        <v/>
      </c>
      <c r="Q539" s="493" t="str">
        <f>IF(ISNUMBER($B$537), IF($C539&lt;&gt;"", IF('Cost Inputs'!$L$130="Y", $E539, IF('Cost Inputs'!$L$130="N", IF(AND(ISNUMBER('Cost Inputs'!$M$130), OR('Cost Inputs'!$M$130=2)), $E539, ""),"")),""),"")</f>
        <v/>
      </c>
      <c r="R539" s="493" t="str">
        <f>IF(ISNUMBER($B$537), IF($C539&lt;&gt;"", IF('Cost Inputs'!$L$130="Y", $E539, IF('Cost Inputs'!$L$130="N", IF(AND(ISNUMBER('Cost Inputs'!$M$130), OR('Cost Inputs'!$M$130=3)), $E539, ""),"")),""),"")</f>
        <v/>
      </c>
      <c r="S539" s="493" t="str">
        <f>IF(ISNUMBER($B$537), IF($C539&lt;&gt;"", IF('Cost Inputs'!$L$130="Y", $E539, IF('Cost Inputs'!$L$130="N", IF(AND(ISNUMBER('Cost Inputs'!$M$130), OR('Cost Inputs'!$M$130=2, 'Cost Inputs'!$M$130=4)), $E539, ""),"")),""),"")</f>
        <v/>
      </c>
      <c r="T539" s="493" t="str">
        <f>IF(ISNUMBER($B$537), IF($C539&lt;&gt;"", IF('Cost Inputs'!$L$130="Y", $E539, IF('Cost Inputs'!$L$130="N", IF(AND(ISNUMBER('Cost Inputs'!$M$130), OR('Cost Inputs'!$M$130=2,'Cost Inputs'!$M$130=5)), $E539, ""),"")),""),"")</f>
        <v/>
      </c>
      <c r="U539" s="493" t="str">
        <f>IF(ISNUMBER($B$537), IF($C539&lt;&gt;"", IF('Cost Inputs'!$L$130="Y", $E539, IF('Cost Inputs'!$L$130="N", IF(AND(ISNUMBER('Cost Inputs'!$M$130), OR('Cost Inputs'!$M$130=2,'Cost Inputs'!$M$130=3,'Cost Inputs'!$M$130=6)), $E539, ""),"")),""),"")</f>
        <v/>
      </c>
      <c r="V539" s="493" t="str">
        <f>IF(ISNUMBER($B$537), IF($C539&lt;&gt;"", IF('Cost Inputs'!$L$130="Y", $E539, IF('Cost Inputs'!$L$130="N", IF(AND(ISNUMBER('Cost Inputs'!$M$130), OR('Cost Inputs'!$M$130=2,'Cost Inputs'!$M$130=7)), $E539, ""),"")),""),"")</f>
        <v/>
      </c>
      <c r="W539" s="493" t="str">
        <f>IF(ISNUMBER($B$537), IF($C539&lt;&gt;"", IF('Cost Inputs'!$L$130="Y", $E539, IF('Cost Inputs'!$L$130="N", IF(AND(ISNUMBER('Cost Inputs'!$M$130), OR('Cost Inputs'!$M$130=2,'Cost Inputs'!$M$130=4,'Cost Inputs'!$M$130=8)), $E539, ""),"")),""),"")</f>
        <v/>
      </c>
      <c r="X539" s="493" t="str">
        <f>IF(ISNUMBER($B$537), IF($C539&lt;&gt;"", IF('Cost Inputs'!$L$130="Y", $E539, IF('Cost Inputs'!$L$130="N", IF(AND(ISNUMBER('Cost Inputs'!$M$130), OR('Cost Inputs'!$M$130=2,'Cost Inputs'!$M$130=3,'Cost Inputs'!$M$130=9)), $E539, ""),"")),""),"")</f>
        <v/>
      </c>
      <c r="Y539" s="493"/>
      <c r="Z539" s="493"/>
      <c r="AA539" s="493"/>
      <c r="AB539" s="493"/>
      <c r="AC539" s="493"/>
      <c r="AD539" s="493"/>
      <c r="AE539" s="493"/>
      <c r="AF539" s="493"/>
      <c r="AG539" s="493"/>
      <c r="AH539" s="493"/>
      <c r="AI539" s="493"/>
      <c r="AJ539" s="493"/>
      <c r="AK539" s="493"/>
      <c r="AL539" s="493"/>
      <c r="AM539" s="493"/>
      <c r="AN539" s="493"/>
      <c r="AO539" s="493"/>
      <c r="AP539" s="493"/>
      <c r="AQ539" s="493"/>
    </row>
    <row r="540" spans="1:51" x14ac:dyDescent="0.25">
      <c r="A540" s="518"/>
      <c r="B540" s="504"/>
      <c r="C540" s="376" t="str">
        <f>IF(AND(ISNUMBER(B521), OR('Cost Inputs'!$H$85&lt;&gt;"", 'Cost Inputs'!$I$85&lt;&gt;"", 'Cost Inputs'!$J$85&lt;&gt;"")), _3_5_1, "")</f>
        <v/>
      </c>
      <c r="D540" s="17" t="str">
        <f>IF(AND(C539&lt;&gt;"", 'Cost Inputs'!$G$131&lt;&gt;""), 'Cost Inputs'!$G$131, "")</f>
        <v/>
      </c>
      <c r="E540" s="17" t="str">
        <f>IF(AND(C539&lt;&gt;"", 'Cost Inputs'!$H$131&lt;&gt;""), 'Cost Inputs'!$H$131, "")</f>
        <v/>
      </c>
      <c r="F540" s="493"/>
      <c r="G540" s="105" t="str">
        <f t="shared" si="333"/>
        <v/>
      </c>
      <c r="H540" s="493"/>
      <c r="I540" s="105" t="str">
        <f>IF($C539&lt;&gt;"", IF(AND($E540&lt;&gt;"", H539&lt;&gt;""), H539/($E539*$E540), 0), "")</f>
        <v/>
      </c>
      <c r="J540" s="493" t="str">
        <f>IF(AND(C540&lt;&gt;"",('Cost Inputs'!$I$86+'Cost Inputs'!$J$86+'Cost Inputs'!$K$86)&gt;0), 'Cost Inputs'!$I$86+'Cost Inputs'!$J$86+'Cost Inputs'!$K$86, "")</f>
        <v/>
      </c>
      <c r="K540" s="105" t="str">
        <f>IF($C539&lt;&gt;"", IF(AND($E540&lt;&gt;"", J539&lt;&gt;""), J539/($E539*$E540), 0), "")</f>
        <v/>
      </c>
      <c r="M540" s="106"/>
      <c r="O540" s="493"/>
      <c r="P540" s="493"/>
      <c r="Q540" s="493"/>
      <c r="R540" s="493"/>
      <c r="S540" s="493"/>
      <c r="T540" s="493"/>
      <c r="U540" s="493"/>
      <c r="V540" s="493"/>
      <c r="W540" s="493"/>
      <c r="X540" s="493"/>
      <c r="Y540" s="493"/>
      <c r="Z540" s="493"/>
      <c r="AA540" s="493"/>
      <c r="AB540" s="493"/>
      <c r="AC540" s="493"/>
      <c r="AD540" s="493"/>
      <c r="AE540" s="493"/>
      <c r="AF540" s="493"/>
      <c r="AG540" s="493"/>
      <c r="AH540" s="493"/>
      <c r="AI540" s="493"/>
      <c r="AJ540" s="493"/>
      <c r="AK540" s="493"/>
      <c r="AL540" s="493"/>
      <c r="AM540" s="493"/>
      <c r="AN540" s="493"/>
      <c r="AO540" s="493"/>
      <c r="AP540" s="493"/>
      <c r="AQ540" s="493"/>
    </row>
    <row r="541" spans="1:51" x14ac:dyDescent="0.25">
      <c r="A541" s="518"/>
      <c r="B541" s="504"/>
      <c r="C541" s="523" t="str">
        <f>IF(AND(ISNUMBER(B537), OR('Cost Inputs'!$H$132&lt;&gt;"", 'Cost Inputs'!$I$132&lt;&gt;"", 'Cost Inputs'!$J$132&lt;&gt;"")), _5_1_2, "")</f>
        <v/>
      </c>
      <c r="D541" s="93" t="str">
        <f>IF(AND(C541&lt;&gt;"", 'Cost Inputs'!$G$132&lt;&gt;""), 'Cost Inputs'!$G$132, "")</f>
        <v/>
      </c>
      <c r="E541" s="93" t="str">
        <f>IF(AND(C541&lt;&gt;"", 'Cost Inputs'!$H$132&lt;&gt;""), 'Cost Inputs'!$H$132, "")</f>
        <v/>
      </c>
      <c r="F541" s="494" t="str">
        <f>IF(AND(C541&lt;&gt;"", 'Cost Inputs'!$I$132&lt;&gt;""), 'Cost Inputs'!$I$132, "")</f>
        <v/>
      </c>
      <c r="G541" s="108" t="str">
        <f t="shared" si="333"/>
        <v/>
      </c>
      <c r="H541" s="494" t="str">
        <f>IF(AND(C541&lt;&gt;"", 'Cost Inputs'!$J$132&lt;&gt;""), 'Cost Inputs'!$J$132, "")</f>
        <v/>
      </c>
      <c r="I541" s="108" t="str">
        <f>IF($C541&lt;&gt;"",IF(AND($E541&lt;&gt;"",H541&lt;&gt;""), H541/$E541, 0),"")</f>
        <v/>
      </c>
      <c r="J541" s="494" t="str">
        <f>IF(AND(C541&lt;&gt;"",('Cost Inputs'!$I$132+'Cost Inputs'!$J$132+'Cost Inputs'!$K$132)&gt;0), 'Cost Inputs'!$I$132+'Cost Inputs'!$J$132+'Cost Inputs'!$K$132, "")</f>
        <v/>
      </c>
      <c r="K541" s="108" t="str">
        <f>IF($C541&lt;&gt;"",IF(AND($E541&lt;&gt;"",J541&lt;&gt;""), J541/$E541, 0),"")</f>
        <v/>
      </c>
      <c r="L541" s="93"/>
      <c r="M541" s="109"/>
      <c r="O541" s="494" t="str">
        <f>IF(ISNUMBER($B$537), IF($C541&lt;&gt;"", IF('Cost Inputs'!$L$132="Y", $E541, IF('Cost Inputs'!$L$132="N", IF(ISNUMBER('Cost Inputs'!$M$132), $E541, ""),"")),""),"")</f>
        <v/>
      </c>
      <c r="P541" s="494" t="str">
        <f>IF(ISNUMBER($B$537), IF($C541&lt;&gt;"", IF('Cost Inputs'!$L$132="Y", $E541, IF('Cost Inputs'!$L$132="N", "", "")),""),"")</f>
        <v/>
      </c>
      <c r="Q541" s="494" t="str">
        <f>IF(ISNUMBER($B$537), IF($C541&lt;&gt;"", IF('Cost Inputs'!$L$132="Y", $E541, IF('Cost Inputs'!$L$132="N", IF(AND(ISNUMBER('Cost Inputs'!$M$132), OR('Cost Inputs'!$M$132=2)), $E541, ""),"")),""),"")</f>
        <v/>
      </c>
      <c r="R541" s="494" t="str">
        <f>IF(ISNUMBER($B$537), IF($C541&lt;&gt;"", IF('Cost Inputs'!$L$132="Y", $E541, IF('Cost Inputs'!$L$132="N", IF(AND(ISNUMBER('Cost Inputs'!$M$132), OR('Cost Inputs'!$M$132=3)), $E541, ""),"")),""),"")</f>
        <v/>
      </c>
      <c r="S541" s="494" t="str">
        <f>IF(ISNUMBER($B$537), IF($C541&lt;&gt;"", IF('Cost Inputs'!$L$132="Y", $E541, IF('Cost Inputs'!$L$132="N", IF(AND(ISNUMBER('Cost Inputs'!$M$132), OR('Cost Inputs'!$M$132=2, 'Cost Inputs'!$M$132=4)), $E541, ""),"")),""),"")</f>
        <v/>
      </c>
      <c r="T541" s="494" t="str">
        <f>IF(ISNUMBER($B$537), IF($C541&lt;&gt;"", IF('Cost Inputs'!$L$132="Y", $E541, IF('Cost Inputs'!$L$132="N", IF(AND(ISNUMBER('Cost Inputs'!$M$132), OR('Cost Inputs'!$M$132=2,'Cost Inputs'!$M$132=5)), $E541, ""),"")),""),"")</f>
        <v/>
      </c>
      <c r="U541" s="494" t="str">
        <f>IF(ISNUMBER($B$537), IF($C541&lt;&gt;"", IF('Cost Inputs'!$L$132="Y", $E541, IF('Cost Inputs'!$L$132="N", IF(AND(ISNUMBER('Cost Inputs'!$M$132), OR('Cost Inputs'!$M$132=2,'Cost Inputs'!$M$132=3,'Cost Inputs'!$M$132=6)), $E541, ""),"")),""),"")</f>
        <v/>
      </c>
      <c r="V541" s="494" t="str">
        <f>IF(ISNUMBER($B$537), IF($C541&lt;&gt;"", IF('Cost Inputs'!$L$132="Y", $E541, IF('Cost Inputs'!$L$132="N", IF(AND(ISNUMBER('Cost Inputs'!$M$132), OR('Cost Inputs'!$M$132=2,'Cost Inputs'!$M$132=7)), $E541, ""),"")),""),"")</f>
        <v/>
      </c>
      <c r="W541" s="494" t="str">
        <f>IF(ISNUMBER($B$537), IF($C541&lt;&gt;"", IF('Cost Inputs'!$L$132="Y", $E541, IF('Cost Inputs'!$L$132="N", IF(AND(ISNUMBER('Cost Inputs'!$M$132), OR('Cost Inputs'!$M$132=2,'Cost Inputs'!$M$132=4,'Cost Inputs'!$M$132=8)), $E541, ""),"")),""),"")</f>
        <v/>
      </c>
      <c r="X541" s="494" t="str">
        <f>IF(ISNUMBER($B$537), IF($C541&lt;&gt;"", IF('Cost Inputs'!$L$132="Y", $E541, IF('Cost Inputs'!$L$132="N", IF(AND(ISNUMBER('Cost Inputs'!$M$132), OR('Cost Inputs'!$M$132=2,'Cost Inputs'!$M$132=3,'Cost Inputs'!$M$132=9)), $E541, ""),"")),""),"")</f>
        <v/>
      </c>
      <c r="Y541" s="493"/>
      <c r="Z541" s="493"/>
      <c r="AA541" s="493"/>
      <c r="AB541" s="493"/>
      <c r="AC541" s="493"/>
      <c r="AD541" s="493"/>
      <c r="AE541" s="493"/>
      <c r="AF541" s="493"/>
      <c r="AG541" s="493"/>
      <c r="AH541" s="493"/>
      <c r="AI541" s="493"/>
      <c r="AJ541" s="493"/>
      <c r="AK541" s="493"/>
      <c r="AL541" s="493"/>
      <c r="AM541" s="493"/>
      <c r="AN541" s="493"/>
      <c r="AO541" s="493"/>
      <c r="AP541" s="493"/>
      <c r="AQ541" s="493"/>
    </row>
    <row r="542" spans="1:51" x14ac:dyDescent="0.25">
      <c r="A542" s="518"/>
      <c r="B542" s="504"/>
      <c r="C542" s="523"/>
      <c r="D542" s="93" t="str">
        <f>IF(AND(C541&lt;&gt;"", 'Cost Inputs'!$G$133&lt;&gt;""), 'Cost Inputs'!$G$133, "")</f>
        <v/>
      </c>
      <c r="E542" s="93" t="str">
        <f>IF(AND(C541&lt;&gt;"", 'Cost Inputs'!$H$133&lt;&gt;""), 'Cost Inputs'!$H$133, "")</f>
        <v/>
      </c>
      <c r="F542" s="494"/>
      <c r="G542" s="108" t="str">
        <f t="shared" si="333"/>
        <v/>
      </c>
      <c r="H542" s="494"/>
      <c r="I542" s="108" t="str">
        <f>IF($C541&lt;&gt;"", IF(AND($E542&lt;&gt;"", H541&lt;&gt;""), H541/($E541*$E542), 0), "")</f>
        <v/>
      </c>
      <c r="J542" s="494"/>
      <c r="K542" s="108" t="str">
        <f>IF($C541&lt;&gt;"", IF(AND($E542&lt;&gt;"", J541&lt;&gt;""), J541/($E541*$E542), 0), "")</f>
        <v/>
      </c>
      <c r="L542" s="93"/>
      <c r="M542" s="109"/>
      <c r="O542" s="494"/>
      <c r="P542" s="494"/>
      <c r="Q542" s="494"/>
      <c r="R542" s="494"/>
      <c r="S542" s="494"/>
      <c r="T542" s="494"/>
      <c r="U542" s="494"/>
      <c r="V542" s="494"/>
      <c r="W542" s="494"/>
      <c r="X542" s="494"/>
      <c r="Y542" s="493"/>
      <c r="Z542" s="493"/>
      <c r="AA542" s="493"/>
      <c r="AB542" s="493"/>
      <c r="AC542" s="493"/>
      <c r="AD542" s="493"/>
      <c r="AE542" s="493"/>
      <c r="AF542" s="493"/>
      <c r="AG542" s="493"/>
      <c r="AH542" s="493"/>
      <c r="AI542" s="493"/>
      <c r="AJ542" s="493"/>
      <c r="AK542" s="493"/>
      <c r="AL542" s="493"/>
      <c r="AM542" s="493"/>
      <c r="AN542" s="493"/>
      <c r="AO542" s="493"/>
      <c r="AP542" s="493"/>
      <c r="AQ542" s="493"/>
    </row>
    <row r="543" spans="1:51" x14ac:dyDescent="0.25">
      <c r="A543" s="518"/>
      <c r="B543" s="504"/>
      <c r="C543" s="376" t="str">
        <f>IF(AND(ISNUMBER(B537), OR('Cost Inputs'!$H$134&lt;&gt;"", 'Cost Inputs'!$I$134&lt;&gt;"", 'Cost Inputs'!$J$134&lt;&gt;"")), _5_1_3, "")</f>
        <v/>
      </c>
      <c r="D543" s="17" t="str">
        <f>IF(AND(C543&lt;&gt;"", 'Cost Inputs'!$G$134&lt;&gt;""), 'Cost Inputs'!$G$134, "")</f>
        <v/>
      </c>
      <c r="E543" s="17" t="str">
        <f>IF(AND(C543&lt;&gt;"", 'Cost Inputs'!$H$134&lt;&gt;""), 'Cost Inputs'!$H$134, "")</f>
        <v/>
      </c>
      <c r="F543" s="493" t="str">
        <f>IF(AND(C543&lt;&gt;"", 'Cost Inputs'!$I$134&lt;&gt;""), 'Cost Inputs'!$I$134, "")</f>
        <v/>
      </c>
      <c r="G543" s="105" t="str">
        <f t="shared" si="333"/>
        <v/>
      </c>
      <c r="H543" s="493" t="str">
        <f>IF(AND(C543&lt;&gt;"", 'Cost Inputs'!$J$134&lt;&gt;""), 'Cost Inputs'!$J$134, "")</f>
        <v/>
      </c>
      <c r="I543" s="105" t="str">
        <f>IF($C543&lt;&gt;"",IF(AND($E543&lt;&gt;"",H543&lt;&gt;""), H543/$E543, 0),"")</f>
        <v/>
      </c>
      <c r="J543" s="493" t="str">
        <f>IF(AND(C543&lt;&gt;"",('Cost Inputs'!$I$134+'Cost Inputs'!$J$134+'Cost Inputs'!$K$134)&gt;0), 'Cost Inputs'!$I$134+'Cost Inputs'!$J$134+'Cost Inputs'!$K$134, "")</f>
        <v/>
      </c>
      <c r="K543" s="105" t="str">
        <f>IF($C543&lt;&gt;"",IF(AND($E543&lt;&gt;"",J543&lt;&gt;""), J543/$E543, 0),"")</f>
        <v/>
      </c>
      <c r="M543" s="106"/>
      <c r="O543" s="493" t="str">
        <f>IF(ISNUMBER($B$537), IF($C543&lt;&gt;"", IF('Cost Inputs'!$L$134="Y", $E543, IF('Cost Inputs'!$L$134="N", IF(ISNUMBER('Cost Inputs'!$M$134), $E543, ""),"")),""),"")</f>
        <v/>
      </c>
      <c r="P543" s="493" t="str">
        <f>IF(ISNUMBER($B$537), IF($C543&lt;&gt;"", IF('Cost Inputs'!$L$134="Y", $E543, IF('Cost Inputs'!$L$134="N", "", "")),""),"")</f>
        <v/>
      </c>
      <c r="Q543" s="493" t="str">
        <f>IF(ISNUMBER($B$537), IF($C543&lt;&gt;"", IF('Cost Inputs'!$L$134="Y", $E543, IF('Cost Inputs'!$L$134="N", IF(AND(ISNUMBER('Cost Inputs'!$M$134), OR('Cost Inputs'!$M$134=2)), $E543, ""),"")),""),"")</f>
        <v/>
      </c>
      <c r="R543" s="493" t="str">
        <f>IF(ISNUMBER($B$537), IF($C543&lt;&gt;"", IF('Cost Inputs'!$L$134="Y", $E543, IF('Cost Inputs'!$L$134="N", IF(AND(ISNUMBER('Cost Inputs'!$M$134), OR('Cost Inputs'!$M$134=3)), $E543, ""),"")),""),"")</f>
        <v/>
      </c>
      <c r="S543" s="493" t="str">
        <f>IF(ISNUMBER($B$537), IF($C543&lt;&gt;"", IF('Cost Inputs'!$L$134="Y", $E543, IF('Cost Inputs'!$L$134="N", IF(AND(ISNUMBER('Cost Inputs'!$M$134), OR('Cost Inputs'!$M$134=2, 'Cost Inputs'!$M$134=4)), $E543, ""),"")),""),"")</f>
        <v/>
      </c>
      <c r="T543" s="493" t="str">
        <f>IF(ISNUMBER($B$537), IF($C543&lt;&gt;"", IF('Cost Inputs'!$L$134="Y", $E543, IF('Cost Inputs'!$L$134="N", IF(AND(ISNUMBER('Cost Inputs'!$M$134), OR('Cost Inputs'!$M$134=2,'Cost Inputs'!$M$134=5)), $E543, ""),"")),""),"")</f>
        <v/>
      </c>
      <c r="U543" s="493" t="str">
        <f>IF(ISNUMBER($B$537), IF($C543&lt;&gt;"", IF('Cost Inputs'!$L$134="Y", $E543, IF('Cost Inputs'!$L$134="N", IF(AND(ISNUMBER('Cost Inputs'!$M$134), OR('Cost Inputs'!$M$134=2,'Cost Inputs'!$M$134=3,'Cost Inputs'!$M$134=6)), $E543, ""),"")),""),"")</f>
        <v/>
      </c>
      <c r="V543" s="493" t="str">
        <f>IF(ISNUMBER($B$537), IF($C543&lt;&gt;"", IF('Cost Inputs'!$L$134="Y", $E543, IF('Cost Inputs'!$L$134="N", IF(AND(ISNUMBER('Cost Inputs'!$M$134), OR('Cost Inputs'!$M$134=2,'Cost Inputs'!$M$134=7)), $E543, ""),"")),""),"")</f>
        <v/>
      </c>
      <c r="W543" s="493" t="str">
        <f>IF(ISNUMBER($B$537), IF($C543&lt;&gt;"", IF('Cost Inputs'!$L$134="Y", $E543, IF('Cost Inputs'!$L$134="N", IF(AND(ISNUMBER('Cost Inputs'!$M$134), OR('Cost Inputs'!$M$134=2,'Cost Inputs'!$M$134=4,'Cost Inputs'!$M$134=8)), $E543, ""),"")),""),"")</f>
        <v/>
      </c>
      <c r="X543" s="493" t="str">
        <f>IF(ISNUMBER($B$537), IF($C543&lt;&gt;"", IF('Cost Inputs'!$L$134="Y", $E543, IF('Cost Inputs'!$L$134="N", IF(AND(ISNUMBER('Cost Inputs'!$M$134), OR('Cost Inputs'!$M$134=2,'Cost Inputs'!$M$134=3,'Cost Inputs'!$M$134=9)), $E543, ""),"")),""),"")</f>
        <v/>
      </c>
      <c r="Y543" s="493"/>
      <c r="Z543" s="493"/>
      <c r="AA543" s="493"/>
      <c r="AB543" s="493"/>
      <c r="AC543" s="493"/>
      <c r="AD543" s="493"/>
      <c r="AE543" s="493"/>
      <c r="AF543" s="493"/>
      <c r="AG543" s="493"/>
      <c r="AH543" s="493"/>
      <c r="AI543" s="493"/>
      <c r="AJ543" s="493"/>
      <c r="AK543" s="493"/>
      <c r="AL543" s="493"/>
      <c r="AM543" s="493"/>
      <c r="AN543" s="493"/>
      <c r="AO543" s="493"/>
      <c r="AP543" s="493"/>
      <c r="AQ543" s="493"/>
    </row>
    <row r="544" spans="1:51" x14ac:dyDescent="0.25">
      <c r="A544" s="518"/>
      <c r="B544" s="504"/>
      <c r="C544" s="376"/>
      <c r="D544" s="17" t="str">
        <f>IF(AND(C543&lt;&gt;"", 'Cost Inputs'!$G$135&lt;&gt;""), 'Cost Inputs'!$G$135, "")</f>
        <v/>
      </c>
      <c r="E544" s="17" t="str">
        <f>IF(AND(C543&lt;&gt;"", 'Cost Inputs'!$H$135&lt;&gt;""), 'Cost Inputs'!$H$135, "")</f>
        <v/>
      </c>
      <c r="F544" s="493"/>
      <c r="G544" s="105" t="str">
        <f t="shared" si="333"/>
        <v/>
      </c>
      <c r="H544" s="493"/>
      <c r="I544" s="105" t="str">
        <f>IF($C543&lt;&gt;"", IF(AND($E544&lt;&gt;"", H543&lt;&gt;""), H543/($E543*$E544), 0), "")</f>
        <v/>
      </c>
      <c r="J544" s="493"/>
      <c r="K544" s="105" t="str">
        <f>IF($C543&lt;&gt;"", IF(AND($E544&lt;&gt;"", J543&lt;&gt;""), J543/($E543*$E544), 0), "")</f>
        <v/>
      </c>
      <c r="M544" s="106"/>
      <c r="O544" s="493"/>
      <c r="P544" s="493"/>
      <c r="Q544" s="493"/>
      <c r="R544" s="493"/>
      <c r="S544" s="493"/>
      <c r="T544" s="493"/>
      <c r="U544" s="493"/>
      <c r="V544" s="493"/>
      <c r="W544" s="493"/>
      <c r="X544" s="493"/>
      <c r="Y544" s="493"/>
      <c r="Z544" s="493"/>
      <c r="AA544" s="493"/>
      <c r="AB544" s="493"/>
      <c r="AC544" s="493"/>
      <c r="AD544" s="493"/>
      <c r="AE544" s="493"/>
      <c r="AF544" s="493"/>
      <c r="AG544" s="493"/>
      <c r="AH544" s="493"/>
      <c r="AI544" s="493"/>
      <c r="AJ544" s="493"/>
      <c r="AK544" s="493"/>
      <c r="AL544" s="493"/>
      <c r="AM544" s="493"/>
      <c r="AN544" s="493"/>
      <c r="AO544" s="493"/>
      <c r="AP544" s="493"/>
      <c r="AQ544" s="493"/>
    </row>
    <row r="545" spans="1:43" x14ac:dyDescent="0.25">
      <c r="A545" s="518"/>
      <c r="B545" s="504"/>
      <c r="C545" s="107" t="str">
        <f>IF(AND(ISNUMBER(B537), OR('Cost Inputs'!$H$136&lt;&gt;"", 'Cost Inputs'!$I$136&lt;&gt;"", 'Cost Inputs'!$J$136&lt;&gt;"")), _5_1_4, "")</f>
        <v/>
      </c>
      <c r="D545" s="93" t="str">
        <f>IF(AND(C545&lt;&gt;"", 'Cost Inputs'!$G$136&lt;&gt;""), 'Cost Inputs'!$G$136, "")</f>
        <v/>
      </c>
      <c r="E545" s="93" t="str">
        <f>IF(AND(C545&lt;&gt;"", 'Cost Inputs'!$H$136&lt;&gt;""), 'Cost Inputs'!$H$136, "")</f>
        <v/>
      </c>
      <c r="F545" s="93" t="str">
        <f>IF(AND(C545&lt;&gt;"", 'Cost Inputs'!$I$136&lt;&gt;""), 'Cost Inputs'!$I$136, "")</f>
        <v/>
      </c>
      <c r="G545" s="108" t="str">
        <f t="shared" si="333"/>
        <v/>
      </c>
      <c r="H545" s="93" t="str">
        <f>IF(AND(C545&lt;&gt;"", 'Cost Inputs'!$J$136&lt;&gt;""), 'Cost Inputs'!$J$136, "")</f>
        <v/>
      </c>
      <c r="I545" s="108" t="str">
        <f>IF($C545&lt;&gt;"", IF(AND($E545&lt;&gt;"", H545&lt;&gt;""), H545/$E545, 0),"")</f>
        <v/>
      </c>
      <c r="J545" s="93" t="str">
        <f>IF(AND(C545&lt;&gt;"",('Cost Inputs'!$I$136+'Cost Inputs'!$J$136+'Cost Inputs'!$K$136)&gt;0), 'Cost Inputs'!$I$136+'Cost Inputs'!$J$136+'Cost Inputs'!$K$136, "")</f>
        <v/>
      </c>
      <c r="K545" s="108" t="str">
        <f>IF($C545&lt;&gt;"", IF(AND($E545&lt;&gt;"", J545&lt;&gt;""), J545/$E545, 0),"")</f>
        <v/>
      </c>
      <c r="L545" s="93"/>
      <c r="M545" s="109"/>
      <c r="O545" s="93" t="str">
        <f>IF(ISNUMBER($B$537), IF($C545&lt;&gt;"", IF('Cost Inputs'!$L$136="Y", $E545, IF('Cost Inputs'!$L$136="N", IF(ISNUMBER('Cost Inputs'!$M$136), $E545, ""),"")),""),"")</f>
        <v/>
      </c>
      <c r="P545" s="93" t="str">
        <f>IF(ISNUMBER($B$537), IF($C545&lt;&gt;"", IF('Cost Inputs'!$L$136="Y", $E545, IF('Cost Inputs'!$L$136="N", "", "")),""),"")</f>
        <v/>
      </c>
      <c r="Q545" s="93" t="str">
        <f>IF(ISNUMBER($B$537), IF($C545&lt;&gt;"", IF('Cost Inputs'!$L$136="Y", $E545, IF('Cost Inputs'!$L$136="N", IF(AND(ISNUMBER('Cost Inputs'!$M$136), OR('Cost Inputs'!$M$136=2)), $E545, ""),"")),""),"")</f>
        <v/>
      </c>
      <c r="R545" s="93" t="str">
        <f>IF(ISNUMBER($B$537), IF($C545&lt;&gt;"", IF('Cost Inputs'!$L$136="Y", $E545, IF('Cost Inputs'!$L$136="N", IF(AND(ISNUMBER('Cost Inputs'!$M$136), OR('Cost Inputs'!$M$136=3)), $E545, ""),"")),""),"")</f>
        <v/>
      </c>
      <c r="S545" s="93" t="str">
        <f>IF(ISNUMBER($B$537), IF($C545&lt;&gt;"", IF('Cost Inputs'!$L$136="Y", $E545, IF('Cost Inputs'!$L$136="N", IF(AND(ISNUMBER('Cost Inputs'!$M$136), OR('Cost Inputs'!$M$136=2, 'Cost Inputs'!$M$136=4)), $E545, ""),"")),""),"")</f>
        <v/>
      </c>
      <c r="T545" s="93" t="str">
        <f>IF(ISNUMBER($B$537), IF($C545&lt;&gt;"", IF('Cost Inputs'!$L$136="Y", $E545, IF('Cost Inputs'!$L$136="N", IF(AND(ISNUMBER('Cost Inputs'!$M$136), OR('Cost Inputs'!$M$136=2,'Cost Inputs'!$M$136=5)), $E545, ""),"")),""),"")</f>
        <v/>
      </c>
      <c r="U545" s="93" t="str">
        <f>IF(ISNUMBER($B$537), IF($C545&lt;&gt;"", IF('Cost Inputs'!$L$136="Y", $E545, IF('Cost Inputs'!$L$136="N", IF(AND(ISNUMBER('Cost Inputs'!$M$136), OR('Cost Inputs'!$M$136=2,'Cost Inputs'!$M$136=3,'Cost Inputs'!$M$136=6)), $E545, ""),"")),""),"")</f>
        <v/>
      </c>
      <c r="V545" s="93" t="str">
        <f>IF(ISNUMBER($B$537), IF($C545&lt;&gt;"", IF('Cost Inputs'!$L$136="Y", $E545, IF('Cost Inputs'!$L$136="N", IF(AND(ISNUMBER('Cost Inputs'!$M$136), OR('Cost Inputs'!$M$136=2,'Cost Inputs'!$M$136=7)), $E545, ""),"")),""),"")</f>
        <v/>
      </c>
      <c r="W545" s="93" t="str">
        <f>IF(ISNUMBER($B$537), IF($C545&lt;&gt;"", IF('Cost Inputs'!$L$136="Y", $E545, IF('Cost Inputs'!$L$136="N", IF(AND(ISNUMBER('Cost Inputs'!$M$136), OR('Cost Inputs'!$M$136=2,'Cost Inputs'!$M$136=4,'Cost Inputs'!$M$136=8)), $E545, ""),"")),""),"")</f>
        <v/>
      </c>
      <c r="X545" s="93" t="str">
        <f>IF(ISNUMBER($B$537), IF($C545&lt;&gt;"", IF('Cost Inputs'!$L$136="Y", $E545, IF('Cost Inputs'!$L$136="N", IF(AND(ISNUMBER('Cost Inputs'!$M$136), OR('Cost Inputs'!$M$136=2,'Cost Inputs'!$M$136=3,'Cost Inputs'!$M$136=9)), $E545, ""),"")),""),"")</f>
        <v/>
      </c>
      <c r="Y545" s="17"/>
      <c r="Z545" s="17"/>
      <c r="AA545" s="17"/>
      <c r="AB545" s="17"/>
      <c r="AC545" s="17"/>
      <c r="AD545" s="17"/>
      <c r="AE545" s="17"/>
      <c r="AF545" s="17"/>
      <c r="AG545" s="17"/>
      <c r="AH545" s="17"/>
      <c r="AI545" s="17"/>
      <c r="AJ545" s="17"/>
      <c r="AK545" s="17"/>
      <c r="AL545" s="17"/>
      <c r="AM545" s="17"/>
      <c r="AN545" s="17"/>
      <c r="AO545" s="17"/>
      <c r="AP545" s="17"/>
      <c r="AQ545" s="17"/>
    </row>
    <row r="546" spans="1:43" x14ac:dyDescent="0.25">
      <c r="A546" s="518"/>
      <c r="B546" s="504"/>
      <c r="C546" s="104" t="str">
        <f>IF(AND(ISNUMBER(B537), OR('Cost Inputs'!$H$137&lt;&gt;"", 'Cost Inputs'!$I$137&lt;&gt;"", 'Cost Inputs'!$J$137&lt;&gt;"")), _5_1_5, "")</f>
        <v/>
      </c>
      <c r="D546" s="17" t="str">
        <f>IF(AND(C546&lt;&gt;"", 'Cost Inputs'!$G$137&lt;&gt;""), 'Cost Inputs'!$G$137, "")</f>
        <v/>
      </c>
      <c r="E546" s="17" t="str">
        <f>IF(AND(C546&lt;&gt;"", 'Cost Inputs'!$H$137&lt;&gt;""), 'Cost Inputs'!$H$137, "")</f>
        <v/>
      </c>
      <c r="F546" s="17" t="str">
        <f>IF(AND(C546&lt;&gt;"", 'Cost Inputs'!$I$137&lt;&gt;""), 'Cost Inputs'!$I$137, "")</f>
        <v/>
      </c>
      <c r="G546" s="105" t="str">
        <f t="shared" si="333"/>
        <v/>
      </c>
      <c r="H546" s="17" t="str">
        <f>IF(AND(C546&lt;&gt;"", 'Cost Inputs'!$J$137&lt;&gt;""), 'Cost Inputs'!$J$137, "")</f>
        <v/>
      </c>
      <c r="I546" s="105" t="str">
        <f>IF($C546&lt;&gt;"", IF(AND($E546&lt;&gt;"", H546&lt;&gt;""), H546/$E546, 0),"")</f>
        <v/>
      </c>
      <c r="J546" s="17" t="str">
        <f>IF(AND(C546&lt;&gt;"",('Cost Inputs'!$I$137+'Cost Inputs'!$J$137+'Cost Inputs'!$K$137)&gt;0), 'Cost Inputs'!$I$137+'Cost Inputs'!$J$137+'Cost Inputs'!$K$137, "")</f>
        <v/>
      </c>
      <c r="K546" s="105"/>
      <c r="M546" s="106"/>
      <c r="O546" s="17" t="str">
        <f>IF(ISNUMBER($B$537), IF($C546&lt;&gt;"", IF('Cost Inputs'!$L$137="Y", $E546, IF('Cost Inputs'!$L$137="N", IF(ISNUMBER('Cost Inputs'!$M$137), $E546, ""),"")),""),"")</f>
        <v/>
      </c>
      <c r="P546" s="17" t="str">
        <f>IF(ISNUMBER($B$537), IF($C546&lt;&gt;"", IF('Cost Inputs'!$L$137="Y", $E546, IF('Cost Inputs'!$L$137="N", "", "")),""),"")</f>
        <v/>
      </c>
      <c r="Q546" s="17" t="str">
        <f>IF(ISNUMBER($B$537), IF($C546&lt;&gt;"", IF('Cost Inputs'!$L$137="Y", $E546, IF('Cost Inputs'!$L$137="N", IF(AND(ISNUMBER('Cost Inputs'!$M$137), OR('Cost Inputs'!$M$137=2)), $E546, ""),"")),""),"")</f>
        <v/>
      </c>
      <c r="R546" s="17" t="str">
        <f>IF(ISNUMBER($B$537), IF($C546&lt;&gt;"", IF('Cost Inputs'!$L$137="Y", $E546, IF('Cost Inputs'!$L$137="N", IF(AND(ISNUMBER('Cost Inputs'!$M$137), OR('Cost Inputs'!$M$137=3)), $E546, ""),"")),""),"")</f>
        <v/>
      </c>
      <c r="S546" s="17" t="str">
        <f>IF(ISNUMBER($B$537), IF($C546&lt;&gt;"", IF('Cost Inputs'!$L$137="Y", $E546, IF('Cost Inputs'!$L$137="N", IF(AND(ISNUMBER('Cost Inputs'!$M$137), OR('Cost Inputs'!$M$137=2, 'Cost Inputs'!$M$137=4)), $E546, ""),"")),""),"")</f>
        <v/>
      </c>
      <c r="T546" s="17" t="str">
        <f>IF(ISNUMBER($B$537), IF($C546&lt;&gt;"", IF('Cost Inputs'!$L$137="Y", $E546, IF('Cost Inputs'!$L$137="N", IF(AND(ISNUMBER('Cost Inputs'!$M$137), OR('Cost Inputs'!$M$137=2,'Cost Inputs'!$M$137=5)), $E546, ""),"")),""),"")</f>
        <v/>
      </c>
      <c r="U546" s="17" t="str">
        <f>IF(ISNUMBER($B$537), IF($C546&lt;&gt;"", IF('Cost Inputs'!$L$137="Y", $E546, IF('Cost Inputs'!$L$137="N", IF(AND(ISNUMBER('Cost Inputs'!$M$137), OR('Cost Inputs'!$M$137=2,'Cost Inputs'!$M$137=3,'Cost Inputs'!$M$137=6)), $E546, ""),"")),""),"")</f>
        <v/>
      </c>
      <c r="V546" s="17" t="str">
        <f>IF(ISNUMBER($B$537), IF($C546&lt;&gt;"", IF('Cost Inputs'!$L$137="Y", $E546, IF('Cost Inputs'!$L$137="N", IF(AND(ISNUMBER('Cost Inputs'!$M$137), OR('Cost Inputs'!$M$137=2,'Cost Inputs'!$M$137=7)), $E546, ""),"")),""),"")</f>
        <v/>
      </c>
      <c r="W546" s="17" t="str">
        <f>IF(ISNUMBER($B$537), IF($C546&lt;&gt;"", IF('Cost Inputs'!$L$137="Y", $E546, IF('Cost Inputs'!$L$137="N", IF(AND(ISNUMBER('Cost Inputs'!$M$137), OR('Cost Inputs'!$M$137=2,'Cost Inputs'!$M$137=4,'Cost Inputs'!$M$137=8)), $E546, ""),"")),""),"")</f>
        <v/>
      </c>
      <c r="X546" s="17" t="str">
        <f>IF(ISNUMBER($B$537), IF($C546&lt;&gt;"", IF('Cost Inputs'!$L$137="Y", $E546, IF('Cost Inputs'!$L$137="N", IF(AND(ISNUMBER('Cost Inputs'!$M$137), OR('Cost Inputs'!$M$137=2,'Cost Inputs'!$M$137=3,'Cost Inputs'!$M$137=9)), $E546, ""),"")),""),"")</f>
        <v/>
      </c>
      <c r="Y546" s="17"/>
      <c r="Z546" s="17"/>
      <c r="AA546" s="17"/>
      <c r="AB546" s="17"/>
      <c r="AC546" s="17"/>
      <c r="AD546" s="17"/>
      <c r="AE546" s="17"/>
      <c r="AF546" s="17"/>
      <c r="AG546" s="17"/>
      <c r="AH546" s="17"/>
      <c r="AI546" s="17"/>
      <c r="AJ546" s="17"/>
      <c r="AK546" s="17"/>
      <c r="AL546" s="17"/>
      <c r="AM546" s="17"/>
      <c r="AN546" s="17"/>
      <c r="AO546" s="17"/>
      <c r="AP546" s="17"/>
      <c r="AQ546" s="17"/>
    </row>
    <row r="547" spans="1:43" x14ac:dyDescent="0.25">
      <c r="A547" s="518"/>
      <c r="B547" s="504"/>
      <c r="C547" s="521" t="str">
        <f>IF(ISNUMBER(B537), _5_2_0, "")</f>
        <v/>
      </c>
      <c r="D547" s="94" t="str">
        <f>IF(AND(C547&lt;&gt;"", 'Cost Inputs'!$G$138&lt;&gt;""), 'Cost Inputs'!$G$138, "")</f>
        <v/>
      </c>
      <c r="E547" s="94" t="str">
        <f>IF(AND(C547&lt;&gt;"", 'Cost Inputs'!$H$138&lt;&gt;""), 'Cost Inputs'!$H$138, "")</f>
        <v/>
      </c>
      <c r="F547" s="492" t="str">
        <f>IF(AND(C547&lt;&gt;"", 'Cost Inputs'!$I$138&lt;&gt;""), 'Cost Inputs'!$I$138, "")</f>
        <v/>
      </c>
      <c r="G547" s="102" t="str">
        <f t="shared" ref="G547:G610" si="455">IF(AND($E547&lt;&gt;"", $E547&gt;0, F547&lt;&gt;""), F547/$E547, "")</f>
        <v/>
      </c>
      <c r="H547" s="492" t="str">
        <f>IF(AND(C547&lt;&gt;"", 'Cost Inputs'!$J$138&lt;&gt;""), 'Cost Inputs'!$J$138, "")</f>
        <v/>
      </c>
      <c r="I547" s="102" t="str">
        <f>IF($C547&lt;&gt;"",IF(AND($E547&lt;&gt;"",H547&lt;&gt;""), H547/$E547, 0),"")</f>
        <v/>
      </c>
      <c r="J547" s="492" t="str">
        <f>IF(AND(C547&lt;&gt;"",('Cost Inputs'!$I$138+'Cost Inputs'!$J$138+'Cost Inputs'!$K$138)&gt;0), 'Cost Inputs'!$I$138+'Cost Inputs'!$J$138+'Cost Inputs'!$K$138, "")</f>
        <v/>
      </c>
      <c r="K547" s="102" t="str">
        <f>IF($C547&lt;&gt;"",IF(AND($E547&lt;&gt;"",J547&lt;&gt;""), J547/$E547, 0),"")</f>
        <v/>
      </c>
      <c r="L547" s="94"/>
      <c r="M547" s="103"/>
      <c r="O547" s="492" t="str">
        <f>IF(ISNUMBER($B$537), IF($C547&lt;&gt;"", IF('Cost Inputs'!$L$138="Y", $E547, IF('Cost Inputs'!$L$138="N", IF(ISNUMBER('Cost Inputs'!$M$138), $E547, ""),"")),""),"")</f>
        <v/>
      </c>
      <c r="P547" s="492" t="str">
        <f>IF(ISNUMBER($B$537), IF($C547&lt;&gt;"", IF('Cost Inputs'!$L$138="Y", $E547, IF('Cost Inputs'!$L$138="N", "", "")),""),"")</f>
        <v/>
      </c>
      <c r="Q547" s="492" t="str">
        <f>IF(ISNUMBER($B$537), IF($C547&lt;&gt;"", IF('Cost Inputs'!$L$138="Y", $E547, IF('Cost Inputs'!$L$138="N", IF(AND(ISNUMBER('Cost Inputs'!$M$138), OR('Cost Inputs'!$M$138=2)), $E547, ""),"")),""),"")</f>
        <v/>
      </c>
      <c r="R547" s="492" t="str">
        <f>IF(ISNUMBER($B$537), IF($C547&lt;&gt;"", IF('Cost Inputs'!$L$138="Y", $E547, IF('Cost Inputs'!$L$138="N", IF(AND(ISNUMBER('Cost Inputs'!$M$138), OR('Cost Inputs'!$M$138=3)), $E547, ""),"")),""),"")</f>
        <v/>
      </c>
      <c r="S547" s="492" t="str">
        <f>IF(ISNUMBER($B$537), IF($C547&lt;&gt;"", IF('Cost Inputs'!$L$138="Y", $E547, IF('Cost Inputs'!$L$138="N", IF(AND(ISNUMBER('Cost Inputs'!$M$138), OR('Cost Inputs'!$M$138=2, 'Cost Inputs'!$M$138=4)), $E547, ""),"")),""),"")</f>
        <v/>
      </c>
      <c r="T547" s="492" t="str">
        <f>IF(ISNUMBER($B$537), IF($C547&lt;&gt;"", IF('Cost Inputs'!$L$138="Y", $E547, IF('Cost Inputs'!$L$138="N", IF(AND(ISNUMBER('Cost Inputs'!$M$138), OR('Cost Inputs'!$M$138=2,'Cost Inputs'!$M$138=5)), $E547, ""),"")),""),"")</f>
        <v/>
      </c>
      <c r="U547" s="492" t="str">
        <f>IF(ISNUMBER($B$537), IF($C547&lt;&gt;"", IF('Cost Inputs'!$L$138="Y", $E547, IF('Cost Inputs'!$L$138="N", IF(AND(ISNUMBER('Cost Inputs'!$M$138), OR('Cost Inputs'!$M$138=2,'Cost Inputs'!$M$138=3,'Cost Inputs'!$M$138=6)), $E547, ""),"")),""),"")</f>
        <v/>
      </c>
      <c r="V547" s="492" t="str">
        <f>IF(ISNUMBER($B$537), IF($C547&lt;&gt;"", IF('Cost Inputs'!$L$138="Y", $E547, IF('Cost Inputs'!$L$138="N", IF(AND(ISNUMBER('Cost Inputs'!$M$138), OR('Cost Inputs'!$M$138=2,'Cost Inputs'!$M$138=7)), $E547, ""),"")),""),"")</f>
        <v/>
      </c>
      <c r="W547" s="492" t="str">
        <f>IF(ISNUMBER($B$537), IF($C547&lt;&gt;"", IF('Cost Inputs'!$L$138="Y", $E547, IF('Cost Inputs'!$L$138="N", IF(AND(ISNUMBER('Cost Inputs'!$M$138), OR('Cost Inputs'!$M$138=2,'Cost Inputs'!$M$138=4,'Cost Inputs'!$M$138=8)), $E547, ""),"")),""),"")</f>
        <v/>
      </c>
      <c r="X547" s="492" t="str">
        <f>IF(ISNUMBER($B$537), IF($C547&lt;&gt;"", IF('Cost Inputs'!$L$138="Y", $E547, IF('Cost Inputs'!$L$138="N", IF(AND(ISNUMBER('Cost Inputs'!$M$138), OR('Cost Inputs'!$M$138=2,'Cost Inputs'!$M$138=3,'Cost Inputs'!$M$138=9)), $E547, ""),"")),""),"")</f>
        <v/>
      </c>
      <c r="Y547" s="493"/>
      <c r="Z547" s="493"/>
      <c r="AA547" s="493"/>
      <c r="AB547" s="493"/>
      <c r="AC547" s="493"/>
      <c r="AD547" s="493"/>
      <c r="AE547" s="493"/>
      <c r="AF547" s="493"/>
      <c r="AG547" s="493"/>
      <c r="AH547" s="493"/>
      <c r="AI547" s="493"/>
      <c r="AJ547" s="493"/>
      <c r="AK547" s="493"/>
      <c r="AL547" s="493"/>
      <c r="AM547" s="493"/>
      <c r="AN547" s="493"/>
      <c r="AO547" s="493"/>
      <c r="AP547" s="493"/>
      <c r="AQ547" s="493"/>
    </row>
    <row r="548" spans="1:43" x14ac:dyDescent="0.25">
      <c r="A548" s="518"/>
      <c r="B548" s="504"/>
      <c r="C548" s="521"/>
      <c r="D548" s="94" t="str">
        <f>IF(AND(C547&lt;&gt;"", 'Cost Inputs'!$G$139&lt;&gt;""), 'Cost Inputs'!$G$139, "")</f>
        <v/>
      </c>
      <c r="E548" s="94" t="str">
        <f>IF(AND(C547&lt;&gt;"", 'Cost Inputs'!$H$139&lt;&gt;""), 'Cost Inputs'!$H$139, "")</f>
        <v/>
      </c>
      <c r="F548" s="492"/>
      <c r="G548" s="102" t="str">
        <f t="shared" si="455"/>
        <v/>
      </c>
      <c r="H548" s="492"/>
      <c r="I548" s="102" t="str">
        <f>IF($C547&lt;&gt;"", IF(AND($E548&lt;&gt;"", H547&lt;&gt;""), H547/($E547*$E548), 0), "")</f>
        <v/>
      </c>
      <c r="J548" s="492" t="str">
        <f>IF(AND(C548&lt;&gt;"",('Cost Inputs'!$I$86+'Cost Inputs'!$J$86+'Cost Inputs'!$K$86)&gt;0), 'Cost Inputs'!$I$86+'Cost Inputs'!$J$86+'Cost Inputs'!$K$86, "")</f>
        <v/>
      </c>
      <c r="K548" s="102" t="str">
        <f>IF($C547&lt;&gt;"", IF(AND($E548&lt;&gt;"", J547&lt;&gt;""), J547/($E547*$E548), 0), "")</f>
        <v/>
      </c>
      <c r="L548" s="94"/>
      <c r="M548" s="103"/>
      <c r="O548" s="492" t="str">
        <f>IF(ISNUMBER($B$537), IF($C548&lt;&gt;"", IF('Cost Inputs'!$L139="Y", $E548, IF('Cost Inputs'!$L139="N", IF(ISNUMBER('Cost Inputs'!$M139), $E548, ""),"")),""),"")</f>
        <v/>
      </c>
      <c r="P548" s="492" t="str">
        <f>IF(ISNUMBER($B$537), IF($C548&lt;&gt;"", IF('Cost Inputs'!$L139="Y", $E548, IF('Cost Inputs'!$L139="N", "", "")),""),"")</f>
        <v/>
      </c>
      <c r="Q548" s="492" t="str">
        <f>IF(ISNUMBER($B$537), IF($C548&lt;&gt;"", IF('Cost Inputs'!$L139="Y", $E548, IF('Cost Inputs'!$L139="N", IF(AND(ISNUMBER('Cost Inputs'!$M139), OR('Cost Inputs'!$M139=2)), $E548, ""),"")),""),"")</f>
        <v/>
      </c>
      <c r="R548" s="492" t="str">
        <f>IF(ISNUMBER($B$537), IF($C548&lt;&gt;"", IF('Cost Inputs'!$L139="Y", $E548, IF('Cost Inputs'!$L139="N", IF(AND(ISNUMBER('Cost Inputs'!$M139), OR('Cost Inputs'!$M139=3)), $E548, ""),"")),""),"")</f>
        <v/>
      </c>
      <c r="S548" s="492" t="str">
        <f>IF(ISNUMBER($B$537), IF($C548&lt;&gt;"", IF('Cost Inputs'!$L139="Y", $E548, IF('Cost Inputs'!$L139="N", IF(AND(ISNUMBER('Cost Inputs'!$M139), OR('Cost Inputs'!$M139=2, 'Cost Inputs'!$M139=4)), $E548, ""),"")),""),"")</f>
        <v/>
      </c>
      <c r="T548" s="492" t="str">
        <f>IF(ISNUMBER($B$537), IF($C548&lt;&gt;"", IF('Cost Inputs'!$L139="Y", $E548, IF('Cost Inputs'!$L139="N", IF(AND(ISNUMBER('Cost Inputs'!$M139), OR('Cost Inputs'!$M139=2,'Cost Inputs'!$M139=5)), $E548, ""),"")),""),"")</f>
        <v/>
      </c>
      <c r="U548" s="492" t="str">
        <f>IF(ISNUMBER($B$537), IF($C548&lt;&gt;"", IF('Cost Inputs'!$L139="Y", $E548, IF('Cost Inputs'!$L139="N", IF(AND(ISNUMBER('Cost Inputs'!$M139), OR('Cost Inputs'!$M139=2,'Cost Inputs'!$M139=3,'Cost Inputs'!$M139=6)), $E548, ""),"")),""),"")</f>
        <v/>
      </c>
      <c r="V548" s="492" t="str">
        <f>IF(ISNUMBER($B$537), IF($C548&lt;&gt;"", IF('Cost Inputs'!$L139="Y", $E548, IF('Cost Inputs'!$L139="N", IF(AND(ISNUMBER('Cost Inputs'!$M139), OR('Cost Inputs'!$M139=2,'Cost Inputs'!$M139=7)), $E548, ""),"")),""),"")</f>
        <v/>
      </c>
      <c r="W548" s="492" t="str">
        <f>IF(ISNUMBER($B$537), IF($C548&lt;&gt;"", IF('Cost Inputs'!$L139="Y", $E548, IF('Cost Inputs'!$L139="N", IF(AND(ISNUMBER('Cost Inputs'!$M139), OR('Cost Inputs'!$M139=2,'Cost Inputs'!$M139=4,'Cost Inputs'!$M139=8)), $E548, ""),"")),""),"")</f>
        <v/>
      </c>
      <c r="X548" s="492" t="str">
        <f>IF(ISNUMBER($B$537), IF($C548&lt;&gt;"", IF('Cost Inputs'!$L139="Y", $E548, IF('Cost Inputs'!$L139="N", IF(AND(ISNUMBER('Cost Inputs'!$M139), OR('Cost Inputs'!$M139=2,'Cost Inputs'!$M139=3,'Cost Inputs'!$M139=9)), $E548, ""),"")),""),"")</f>
        <v/>
      </c>
      <c r="Y548" s="493"/>
      <c r="Z548" s="493"/>
      <c r="AA548" s="493"/>
      <c r="AB548" s="493"/>
      <c r="AC548" s="493"/>
      <c r="AD548" s="493"/>
      <c r="AE548" s="493"/>
      <c r="AF548" s="493"/>
      <c r="AG548" s="493"/>
      <c r="AH548" s="493"/>
      <c r="AI548" s="493"/>
      <c r="AJ548" s="493"/>
      <c r="AK548" s="493"/>
      <c r="AL548" s="493"/>
      <c r="AM548" s="493"/>
      <c r="AN548" s="493"/>
      <c r="AO548" s="493"/>
      <c r="AP548" s="493"/>
      <c r="AQ548" s="493"/>
    </row>
    <row r="549" spans="1:43" x14ac:dyDescent="0.25">
      <c r="A549" s="518"/>
      <c r="B549" s="504"/>
      <c r="C549" s="376" t="str">
        <f>IF(AND(ISNUMBER(B537), OR('Cost Inputs'!$H$140&lt;&gt;"", 'Cost Inputs'!$I$140&lt;&gt;"", 'Cost Inputs'!$J$140&lt;&gt;"")), _5_2_1, "")</f>
        <v/>
      </c>
      <c r="D549" s="17" t="str">
        <f>IF(AND(C549&lt;&gt;"", 'Cost Inputs'!$G$140&lt;&gt;""), 'Cost Inputs'!$G$140, "")</f>
        <v/>
      </c>
      <c r="E549" s="17" t="str">
        <f>IF(AND(C549&lt;&gt;"", 'Cost Inputs'!$H$140&lt;&gt;""), 'Cost Inputs'!$H$140, "")</f>
        <v/>
      </c>
      <c r="F549" s="493" t="str">
        <f>IF(AND(C549&lt;&gt;"", 'Cost Inputs'!$I$140&lt;&gt;""), 'Cost Inputs'!$I$140, "")</f>
        <v/>
      </c>
      <c r="G549" s="105" t="str">
        <f t="shared" si="455"/>
        <v/>
      </c>
      <c r="H549" s="493" t="str">
        <f>IF(AND(C549&lt;&gt;"", 'Cost Inputs'!$J$140&lt;&gt;""), 'Cost Inputs'!$J$140, "")</f>
        <v/>
      </c>
      <c r="I549" s="105" t="str">
        <f>IF($C549&lt;&gt;"",IF(AND($E549&lt;&gt;"",H549&lt;&gt;""), H549/$E549, 0),"")</f>
        <v/>
      </c>
      <c r="J549" s="493" t="str">
        <f>IF(AND(C549&lt;&gt;"",('Cost Inputs'!$I$140+'Cost Inputs'!$J$140+'Cost Inputs'!$K$140)&gt;0), 'Cost Inputs'!$I$140+'Cost Inputs'!$J$140+'Cost Inputs'!$K$140, "")</f>
        <v/>
      </c>
      <c r="K549" s="105" t="str">
        <f>IF($C549&lt;&gt;"",IF(AND($E549&lt;&gt;"",J549&lt;&gt;""), J549/$E549, 0),"")</f>
        <v/>
      </c>
      <c r="M549" s="106"/>
      <c r="O549" s="493" t="str">
        <f>IF(ISNUMBER($B$537), IF($C549&lt;&gt;"", IF('Cost Inputs'!$L$140="Y", $E549, IF('Cost Inputs'!$L$140="N", IF(ISNUMBER('Cost Inputs'!$M$140), $E549, ""),"")),""),"")</f>
        <v/>
      </c>
      <c r="P549" s="493" t="str">
        <f>IF(ISNUMBER($B$537), IF($C549&lt;&gt;"", IF('Cost Inputs'!$L$140="Y", $E549, IF('Cost Inputs'!$L$140="N", "", "")),""),"")</f>
        <v/>
      </c>
      <c r="Q549" s="493" t="str">
        <f>IF(ISNUMBER($B$537), IF($C549&lt;&gt;"", IF('Cost Inputs'!$L$140="Y", $E549, IF('Cost Inputs'!$L$140="N", IF(AND(ISNUMBER('Cost Inputs'!$M$140), OR('Cost Inputs'!$M$140=2)), $E549, ""),"")),""),"")</f>
        <v/>
      </c>
      <c r="R549" s="493" t="str">
        <f>IF(ISNUMBER($B$537), IF($C549&lt;&gt;"", IF('Cost Inputs'!$L$140="Y", $E549, IF('Cost Inputs'!$L$140="N", IF(AND(ISNUMBER('Cost Inputs'!$M$140), OR('Cost Inputs'!$M$140=3)), $E549, ""),"")),""),"")</f>
        <v/>
      </c>
      <c r="S549" s="493" t="str">
        <f>IF(ISNUMBER($B$537), IF($C549&lt;&gt;"", IF('Cost Inputs'!$L$140="Y", $E549, IF('Cost Inputs'!$L$140="N", IF(AND(ISNUMBER('Cost Inputs'!$M$140), OR('Cost Inputs'!$M$140=2, 'Cost Inputs'!$M$140=4)), $E549, ""),"")),""),"")</f>
        <v/>
      </c>
      <c r="T549" s="493" t="str">
        <f>IF(ISNUMBER($B$537), IF($C549&lt;&gt;"", IF('Cost Inputs'!$L$140="Y", $E549, IF('Cost Inputs'!$L$140="N", IF(AND(ISNUMBER('Cost Inputs'!$M$140), OR('Cost Inputs'!$M$140=2,'Cost Inputs'!$M$140=5)), $E549, ""),"")),""),"")</f>
        <v/>
      </c>
      <c r="U549" s="493" t="str">
        <f>IF(ISNUMBER($B$537), IF($C549&lt;&gt;"", IF('Cost Inputs'!$L$140="Y", $E549, IF('Cost Inputs'!$L$140="N", IF(AND(ISNUMBER('Cost Inputs'!$M$140), OR('Cost Inputs'!$M$140=2,'Cost Inputs'!$M$140=3,'Cost Inputs'!$M$140=6)), $E549, ""),"")),""),"")</f>
        <v/>
      </c>
      <c r="V549" s="493" t="str">
        <f>IF(ISNUMBER($B$537), IF($C549&lt;&gt;"", IF('Cost Inputs'!$L$140="Y", $E549, IF('Cost Inputs'!$L$140="N", IF(AND(ISNUMBER('Cost Inputs'!$M$140), OR('Cost Inputs'!$M$140=2,'Cost Inputs'!$M$140=7)), $E549, ""),"")),""),"")</f>
        <v/>
      </c>
      <c r="W549" s="493" t="str">
        <f>IF(ISNUMBER($B$537), IF($C549&lt;&gt;"", IF('Cost Inputs'!$L$140="Y", $E549, IF('Cost Inputs'!$L$140="N", IF(AND(ISNUMBER('Cost Inputs'!$M$140), OR('Cost Inputs'!$M$140=2,'Cost Inputs'!$M$140=4,'Cost Inputs'!$M$140=8)), $E549, ""),"")),""),"")</f>
        <v/>
      </c>
      <c r="X549" s="493" t="str">
        <f>IF(ISNUMBER($B$537), IF($C549&lt;&gt;"", IF('Cost Inputs'!$L$140="Y", $E549, IF('Cost Inputs'!$L$140="N", IF(AND(ISNUMBER('Cost Inputs'!$M$140), OR('Cost Inputs'!$M$140=2,'Cost Inputs'!$M$140=3,'Cost Inputs'!$M$140=9)), $E549, ""),"")),""),"")</f>
        <v/>
      </c>
      <c r="Y549" s="493"/>
      <c r="Z549" s="493"/>
      <c r="AA549" s="493"/>
      <c r="AB549" s="493"/>
      <c r="AC549" s="493"/>
      <c r="AD549" s="493"/>
      <c r="AE549" s="493"/>
      <c r="AF549" s="493"/>
      <c r="AG549" s="493"/>
      <c r="AH549" s="493"/>
      <c r="AI549" s="493"/>
      <c r="AJ549" s="493"/>
      <c r="AK549" s="493"/>
      <c r="AL549" s="493"/>
      <c r="AM549" s="493"/>
      <c r="AN549" s="493"/>
      <c r="AO549" s="493"/>
      <c r="AP549" s="493"/>
      <c r="AQ549" s="493"/>
    </row>
    <row r="550" spans="1:43" x14ac:dyDescent="0.25">
      <c r="A550" s="518"/>
      <c r="B550" s="504"/>
      <c r="C550" s="376" t="str">
        <f>IF(AND(ISNUMBER(B531), OR('Cost Inputs'!$H$85&lt;&gt;"", 'Cost Inputs'!$I$85&lt;&gt;"", 'Cost Inputs'!$J$85&lt;&gt;"")), _3_5_1, "")</f>
        <v/>
      </c>
      <c r="D550" s="17" t="str">
        <f>IF(AND(C549&lt;&gt;"", 'Cost Inputs'!$G$141&lt;&gt;""), 'Cost Inputs'!$G$141, "")</f>
        <v/>
      </c>
      <c r="E550" s="17" t="str">
        <f>IF(AND(C549&lt;&gt;"", 'Cost Inputs'!$H$141&lt;&gt;""), 'Cost Inputs'!$H$141, "")</f>
        <v/>
      </c>
      <c r="F550" s="493"/>
      <c r="G550" s="105" t="str">
        <f t="shared" si="455"/>
        <v/>
      </c>
      <c r="H550" s="493"/>
      <c r="I550" s="105" t="str">
        <f>IF($C549&lt;&gt;"", IF(AND($E550&lt;&gt;"", H549&lt;&gt;""), H549/($E549*$E550), 0), "")</f>
        <v/>
      </c>
      <c r="J550" s="493" t="str">
        <f>IF(AND(C550&lt;&gt;"",('Cost Inputs'!$I$86+'Cost Inputs'!$J$86+'Cost Inputs'!$K$86)&gt;0), 'Cost Inputs'!$I$86+'Cost Inputs'!$J$86+'Cost Inputs'!$K$86, "")</f>
        <v/>
      </c>
      <c r="K550" s="105" t="str">
        <f>IF($C549&lt;&gt;"", IF(AND($E550&lt;&gt;"", J549&lt;&gt;""), J549/($E549*$E550), 0), "")</f>
        <v/>
      </c>
      <c r="M550" s="106"/>
      <c r="O550" s="493" t="str">
        <f>IF(ISNUMBER($B$537), IF($C550&lt;&gt;"", IF('Cost Inputs'!$L141="Y", $E550, IF('Cost Inputs'!$L141="N", IF(ISNUMBER('Cost Inputs'!$M141), $E550, ""),"")),""),"")</f>
        <v/>
      </c>
      <c r="P550" s="493" t="str">
        <f>IF(ISNUMBER($B$537), IF($C550&lt;&gt;"", IF('Cost Inputs'!$L141="Y", $E550, IF('Cost Inputs'!$L141="N", "", "")),""),"")</f>
        <v/>
      </c>
      <c r="Q550" s="493" t="str">
        <f>IF(ISNUMBER($B$537), IF($C550&lt;&gt;"", IF('Cost Inputs'!$L141="Y", $E550, IF('Cost Inputs'!$L141="N", IF(AND(ISNUMBER('Cost Inputs'!$M141), OR('Cost Inputs'!$M141=2)), $E550, ""),"")),""),"")</f>
        <v/>
      </c>
      <c r="R550" s="493" t="str">
        <f>IF(ISNUMBER($B$537), IF($C550&lt;&gt;"", IF('Cost Inputs'!$L141="Y", $E550, IF('Cost Inputs'!$L141="N", IF(AND(ISNUMBER('Cost Inputs'!$M141), OR('Cost Inputs'!$M141=3)), $E550, ""),"")),""),"")</f>
        <v/>
      </c>
      <c r="S550" s="493" t="str">
        <f>IF(ISNUMBER($B$537), IF($C550&lt;&gt;"", IF('Cost Inputs'!$L141="Y", $E550, IF('Cost Inputs'!$L141="N", IF(AND(ISNUMBER('Cost Inputs'!$M141), OR('Cost Inputs'!$M141=2, 'Cost Inputs'!$M141=4)), $E550, ""),"")),""),"")</f>
        <v/>
      </c>
      <c r="T550" s="493" t="str">
        <f>IF(ISNUMBER($B$537), IF($C550&lt;&gt;"", IF('Cost Inputs'!$L141="Y", $E550, IF('Cost Inputs'!$L141="N", IF(AND(ISNUMBER('Cost Inputs'!$M141), OR('Cost Inputs'!$M141=2,'Cost Inputs'!$M141=5)), $E550, ""),"")),""),"")</f>
        <v/>
      </c>
      <c r="U550" s="493" t="str">
        <f>IF(ISNUMBER($B$537), IF($C550&lt;&gt;"", IF('Cost Inputs'!$L141="Y", $E550, IF('Cost Inputs'!$L141="N", IF(AND(ISNUMBER('Cost Inputs'!$M141), OR('Cost Inputs'!$M141=2,'Cost Inputs'!$M141=3,'Cost Inputs'!$M141=6)), $E550, ""),"")),""),"")</f>
        <v/>
      </c>
      <c r="V550" s="493" t="str">
        <f>IF(ISNUMBER($B$537), IF($C550&lt;&gt;"", IF('Cost Inputs'!$L141="Y", $E550, IF('Cost Inputs'!$L141="N", IF(AND(ISNUMBER('Cost Inputs'!$M141), OR('Cost Inputs'!$M141=2,'Cost Inputs'!$M141=7)), $E550, ""),"")),""),"")</f>
        <v/>
      </c>
      <c r="W550" s="493" t="str">
        <f>IF(ISNUMBER($B$537), IF($C550&lt;&gt;"", IF('Cost Inputs'!$L141="Y", $E550, IF('Cost Inputs'!$L141="N", IF(AND(ISNUMBER('Cost Inputs'!$M141), OR('Cost Inputs'!$M141=2,'Cost Inputs'!$M141=4,'Cost Inputs'!$M141=8)), $E550, ""),"")),""),"")</f>
        <v/>
      </c>
      <c r="X550" s="493" t="str">
        <f>IF(ISNUMBER($B$537), IF($C550&lt;&gt;"", IF('Cost Inputs'!$L141="Y", $E550, IF('Cost Inputs'!$L141="N", IF(AND(ISNUMBER('Cost Inputs'!$M141), OR('Cost Inputs'!$M141=2,'Cost Inputs'!$M141=3,'Cost Inputs'!$M141=9)), $E550, ""),"")),""),"")</f>
        <v/>
      </c>
      <c r="Y550" s="493"/>
      <c r="Z550" s="493"/>
      <c r="AA550" s="493"/>
      <c r="AB550" s="493"/>
      <c r="AC550" s="493"/>
      <c r="AD550" s="493"/>
      <c r="AE550" s="493"/>
      <c r="AF550" s="493"/>
      <c r="AG550" s="493"/>
      <c r="AH550" s="493"/>
      <c r="AI550" s="493"/>
      <c r="AJ550" s="493"/>
      <c r="AK550" s="493"/>
      <c r="AL550" s="493"/>
      <c r="AM550" s="493"/>
      <c r="AN550" s="493"/>
      <c r="AO550" s="493"/>
      <c r="AP550" s="493"/>
      <c r="AQ550" s="493"/>
    </row>
    <row r="551" spans="1:43" x14ac:dyDescent="0.25">
      <c r="A551" s="518"/>
      <c r="B551" s="504"/>
      <c r="C551" s="523" t="str">
        <f>IF(AND(ISNUMBER(B537), OR('Cost Inputs'!$H$142&lt;&gt;"", 'Cost Inputs'!$I$142&lt;&gt;"", 'Cost Inputs'!$J$142&lt;&gt;"")), _5_2_2, "")</f>
        <v/>
      </c>
      <c r="D551" s="93" t="str">
        <f>IF(AND(C551&lt;&gt;"", 'Cost Inputs'!$G$142&lt;&gt;""), 'Cost Inputs'!$G$142, "")</f>
        <v/>
      </c>
      <c r="E551" s="93" t="str">
        <f>IF(AND(C551&lt;&gt;"", 'Cost Inputs'!$H$142&lt;&gt;""), 'Cost Inputs'!$H$142, "")</f>
        <v/>
      </c>
      <c r="F551" s="494" t="str">
        <f>IF(AND(C551&lt;&gt;"", 'Cost Inputs'!$I$142&lt;&gt;""), 'Cost Inputs'!$I$142, "")</f>
        <v/>
      </c>
      <c r="G551" s="108" t="str">
        <f t="shared" si="455"/>
        <v/>
      </c>
      <c r="H551" s="494" t="str">
        <f>IF(AND(C551&lt;&gt;"", 'Cost Inputs'!$J$142&lt;&gt;""), 'Cost Inputs'!$J$142, "")</f>
        <v/>
      </c>
      <c r="I551" s="108" t="str">
        <f>IF($C551&lt;&gt;"",IF(AND($E551&lt;&gt;"",H551&lt;&gt;""), H551/$E551, 0),"")</f>
        <v/>
      </c>
      <c r="J551" s="494" t="str">
        <f>IF(AND(C551&lt;&gt;"",('Cost Inputs'!$I$142+'Cost Inputs'!$J$142+'Cost Inputs'!$K$142)&gt;0), 'Cost Inputs'!$I$142+'Cost Inputs'!$J$142+'Cost Inputs'!$K$142, "")</f>
        <v/>
      </c>
      <c r="K551" s="108" t="str">
        <f>IF($C551&lt;&gt;"",IF(AND($E551&lt;&gt;"",J551&lt;&gt;""), J551/$E551, 0),"")</f>
        <v/>
      </c>
      <c r="L551" s="93"/>
      <c r="M551" s="109"/>
      <c r="O551" s="494" t="str">
        <f>IF(ISNUMBER($B$537), IF($C551&lt;&gt;"", IF('Cost Inputs'!$L$142="Y", $E551, IF('Cost Inputs'!$L$142="N", IF(ISNUMBER('Cost Inputs'!$M$142), $E551, ""),"")),""),"")</f>
        <v/>
      </c>
      <c r="P551" s="494" t="str">
        <f>IF(ISNUMBER($B$537), IF($C551&lt;&gt;"", IF('Cost Inputs'!$L$142="Y", $E551, IF('Cost Inputs'!$L$142="N", "", "")),""),"")</f>
        <v/>
      </c>
      <c r="Q551" s="494" t="str">
        <f>IF(ISNUMBER($B$537), IF($C551&lt;&gt;"", IF('Cost Inputs'!$L$142="Y", $E551, IF('Cost Inputs'!$L$142="N", IF(AND(ISNUMBER('Cost Inputs'!$M$142), OR('Cost Inputs'!$M$142=2)), $E551, ""),"")),""),"")</f>
        <v/>
      </c>
      <c r="R551" s="494" t="str">
        <f>IF(ISNUMBER($B$537), IF($C551&lt;&gt;"", IF('Cost Inputs'!$L$142="Y", $E551, IF('Cost Inputs'!$L$142="N", IF(AND(ISNUMBER('Cost Inputs'!$M$142), OR('Cost Inputs'!$M$142=3)), $E551, ""),"")),""),"")</f>
        <v/>
      </c>
      <c r="S551" s="494" t="str">
        <f>IF(ISNUMBER($B$537), IF($C551&lt;&gt;"", IF('Cost Inputs'!$L$142="Y", $E551, IF('Cost Inputs'!$L$142="N", IF(AND(ISNUMBER('Cost Inputs'!$M$142), OR('Cost Inputs'!$M$142=2, 'Cost Inputs'!$M$142=4)), $E551, ""),"")),""),"")</f>
        <v/>
      </c>
      <c r="T551" s="494" t="str">
        <f>IF(ISNUMBER($B$537), IF($C551&lt;&gt;"", IF('Cost Inputs'!$L$142="Y", $E551, IF('Cost Inputs'!$L$142="N", IF(AND(ISNUMBER('Cost Inputs'!$M$142), OR('Cost Inputs'!$M$142=2,'Cost Inputs'!$M$142=5)), $E551, ""),"")),""),"")</f>
        <v/>
      </c>
      <c r="U551" s="494" t="str">
        <f>IF(ISNUMBER($B$537), IF($C551&lt;&gt;"", IF('Cost Inputs'!$L$142="Y", $E551, IF('Cost Inputs'!$L$142="N", IF(AND(ISNUMBER('Cost Inputs'!$M$142), OR('Cost Inputs'!$M$142=2,'Cost Inputs'!$M$142=3,'Cost Inputs'!$M$142=6)), $E551, ""),"")),""),"")</f>
        <v/>
      </c>
      <c r="V551" s="494" t="str">
        <f>IF(ISNUMBER($B$537), IF($C551&lt;&gt;"", IF('Cost Inputs'!$L$142="Y", $E551, IF('Cost Inputs'!$L$142="N", IF(AND(ISNUMBER('Cost Inputs'!$M$142), OR('Cost Inputs'!$M$142=2,'Cost Inputs'!$M$142=7)), $E551, ""),"")),""),"")</f>
        <v/>
      </c>
      <c r="W551" s="494" t="str">
        <f>IF(ISNUMBER($B$537), IF($C551&lt;&gt;"", IF('Cost Inputs'!$L$142="Y", $E551, IF('Cost Inputs'!$L$142="N", IF(AND(ISNUMBER('Cost Inputs'!$M$142), OR('Cost Inputs'!$M$142=2,'Cost Inputs'!$M$142=4,'Cost Inputs'!$M$142=8)), $E551, ""),"")),""),"")</f>
        <v/>
      </c>
      <c r="X551" s="494" t="str">
        <f>IF(ISNUMBER($B$537), IF($C551&lt;&gt;"", IF('Cost Inputs'!$L$142="Y", $E551, IF('Cost Inputs'!$L$142="N", IF(AND(ISNUMBER('Cost Inputs'!$M$142), OR('Cost Inputs'!$M$142=2,'Cost Inputs'!$M$142=3,'Cost Inputs'!$M$142=9)), $E551, ""),"")),""),"")</f>
        <v/>
      </c>
      <c r="Y551" s="493"/>
      <c r="Z551" s="493"/>
      <c r="AA551" s="493"/>
      <c r="AB551" s="493"/>
      <c r="AC551" s="493"/>
      <c r="AD551" s="493"/>
      <c r="AE551" s="493"/>
      <c r="AF551" s="493"/>
      <c r="AG551" s="493"/>
      <c r="AH551" s="493"/>
      <c r="AI551" s="493"/>
      <c r="AJ551" s="493"/>
      <c r="AK551" s="493"/>
      <c r="AL551" s="493"/>
      <c r="AM551" s="493"/>
      <c r="AN551" s="493"/>
      <c r="AO551" s="493"/>
      <c r="AP551" s="493"/>
      <c r="AQ551" s="493"/>
    </row>
    <row r="552" spans="1:43" x14ac:dyDescent="0.25">
      <c r="A552" s="518"/>
      <c r="B552" s="504"/>
      <c r="C552" s="523" t="str">
        <f>IF(AND(ISNUMBER(B533), OR('Cost Inputs'!$H$85&lt;&gt;"", 'Cost Inputs'!$I$85&lt;&gt;"", 'Cost Inputs'!$J$85&lt;&gt;"")), _3_5_1, "")</f>
        <v/>
      </c>
      <c r="D552" s="93" t="str">
        <f>IF(AND(C551&lt;&gt;"", 'Cost Inputs'!$G$143&lt;&gt;""), 'Cost Inputs'!$G$143, "")</f>
        <v/>
      </c>
      <c r="E552" s="93" t="str">
        <f>IF(AND(C551&lt;&gt;"", 'Cost Inputs'!$H$143&lt;&gt;""), 'Cost Inputs'!$H$143, "")</f>
        <v/>
      </c>
      <c r="F552" s="494"/>
      <c r="G552" s="108" t="str">
        <f t="shared" si="455"/>
        <v/>
      </c>
      <c r="H552" s="494"/>
      <c r="I552" s="108" t="str">
        <f>IF($C551&lt;&gt;"", IF(AND($E552&lt;&gt;"", H551&lt;&gt;""), H551/($E551*$E552), 0), "")</f>
        <v/>
      </c>
      <c r="J552" s="494" t="str">
        <f>IF(AND(C552&lt;&gt;"",('Cost Inputs'!$I$86+'Cost Inputs'!$J$86+'Cost Inputs'!$K$86)&gt;0), 'Cost Inputs'!$I$86+'Cost Inputs'!$J$86+'Cost Inputs'!$K$86, "")</f>
        <v/>
      </c>
      <c r="K552" s="108" t="str">
        <f>IF($C551&lt;&gt;"", IF(AND($E552&lt;&gt;"", J551&lt;&gt;""), J551/($E551*$E552), 0), "")</f>
        <v/>
      </c>
      <c r="L552" s="93"/>
      <c r="M552" s="109"/>
      <c r="O552" s="494" t="str">
        <f>IF(ISNUMBER($B$537), IF($C552&lt;&gt;"", IF('Cost Inputs'!$L143="Y", $E552, IF('Cost Inputs'!$L143="N", IF(ISNUMBER('Cost Inputs'!$M143), $E552, ""),"")),""),"")</f>
        <v/>
      </c>
      <c r="P552" s="494" t="str">
        <f>IF(ISNUMBER($B$537), IF($C552&lt;&gt;"", IF('Cost Inputs'!$L143="Y", $E552, IF('Cost Inputs'!$L143="N", "", "")),""),"")</f>
        <v/>
      </c>
      <c r="Q552" s="494" t="str">
        <f>IF(ISNUMBER($B$537), IF($C552&lt;&gt;"", IF('Cost Inputs'!$L143="Y", $E552, IF('Cost Inputs'!$L143="N", IF(AND(ISNUMBER('Cost Inputs'!$M143), OR('Cost Inputs'!$M143=2)), $E552, ""),"")),""),"")</f>
        <v/>
      </c>
      <c r="R552" s="494" t="str">
        <f>IF(ISNUMBER($B$537), IF($C552&lt;&gt;"", IF('Cost Inputs'!$L143="Y", $E552, IF('Cost Inputs'!$L143="N", IF(AND(ISNUMBER('Cost Inputs'!$M143), OR('Cost Inputs'!$M143=3)), $E552, ""),"")),""),"")</f>
        <v/>
      </c>
      <c r="S552" s="494" t="str">
        <f>IF(ISNUMBER($B$537), IF($C552&lt;&gt;"", IF('Cost Inputs'!$L143="Y", $E552, IF('Cost Inputs'!$L143="N", IF(AND(ISNUMBER('Cost Inputs'!$M143), OR('Cost Inputs'!$M143=2, 'Cost Inputs'!$M143=4)), $E552, ""),"")),""),"")</f>
        <v/>
      </c>
      <c r="T552" s="494" t="str">
        <f>IF(ISNUMBER($B$537), IF($C552&lt;&gt;"", IF('Cost Inputs'!$L143="Y", $E552, IF('Cost Inputs'!$L143="N", IF(AND(ISNUMBER('Cost Inputs'!$M143), OR('Cost Inputs'!$M143=2,'Cost Inputs'!$M143=5)), $E552, ""),"")),""),"")</f>
        <v/>
      </c>
      <c r="U552" s="494" t="str">
        <f>IF(ISNUMBER($B$537), IF($C552&lt;&gt;"", IF('Cost Inputs'!$L143="Y", $E552, IF('Cost Inputs'!$L143="N", IF(AND(ISNUMBER('Cost Inputs'!$M143), OR('Cost Inputs'!$M143=2,'Cost Inputs'!$M143=3,'Cost Inputs'!$M143=6)), $E552, ""),"")),""),"")</f>
        <v/>
      </c>
      <c r="V552" s="494" t="str">
        <f>IF(ISNUMBER($B$537), IF($C552&lt;&gt;"", IF('Cost Inputs'!$L143="Y", $E552, IF('Cost Inputs'!$L143="N", IF(AND(ISNUMBER('Cost Inputs'!$M143), OR('Cost Inputs'!$M143=2,'Cost Inputs'!$M143=7)), $E552, ""),"")),""),"")</f>
        <v/>
      </c>
      <c r="W552" s="494" t="str">
        <f>IF(ISNUMBER($B$537), IF($C552&lt;&gt;"", IF('Cost Inputs'!$L143="Y", $E552, IF('Cost Inputs'!$L143="N", IF(AND(ISNUMBER('Cost Inputs'!$M143), OR('Cost Inputs'!$M143=2,'Cost Inputs'!$M143=4,'Cost Inputs'!$M143=8)), $E552, ""),"")),""),"")</f>
        <v/>
      </c>
      <c r="X552" s="494" t="str">
        <f>IF(ISNUMBER($B$537), IF($C552&lt;&gt;"", IF('Cost Inputs'!$L143="Y", $E552, IF('Cost Inputs'!$L143="N", IF(AND(ISNUMBER('Cost Inputs'!$M143), OR('Cost Inputs'!$M143=2,'Cost Inputs'!$M143=3,'Cost Inputs'!$M143=9)), $E552, ""),"")),""),"")</f>
        <v/>
      </c>
      <c r="Y552" s="493"/>
      <c r="Z552" s="493"/>
      <c r="AA552" s="493"/>
      <c r="AB552" s="493"/>
      <c r="AC552" s="493"/>
      <c r="AD552" s="493"/>
      <c r="AE552" s="493"/>
      <c r="AF552" s="493"/>
      <c r="AG552" s="493"/>
      <c r="AH552" s="493"/>
      <c r="AI552" s="493"/>
      <c r="AJ552" s="493"/>
      <c r="AK552" s="493"/>
      <c r="AL552" s="493"/>
      <c r="AM552" s="493"/>
      <c r="AN552" s="493"/>
      <c r="AO552" s="493"/>
      <c r="AP552" s="493"/>
      <c r="AQ552" s="493"/>
    </row>
    <row r="553" spans="1:43" x14ac:dyDescent="0.25">
      <c r="A553" s="518"/>
      <c r="B553" s="504"/>
      <c r="C553" s="104" t="str">
        <f>IF(AND(ISNUMBER(B537), OR('Cost Inputs'!$H$144&lt;&gt;"", 'Cost Inputs'!$I$144&lt;&gt;"", 'Cost Inputs'!$J$144&lt;&gt;"")), _5_2_3, "")</f>
        <v/>
      </c>
      <c r="D553" s="17" t="str">
        <f>IF(AND(C553&lt;&gt;"", 'Cost Inputs'!$G$144&lt;&gt;""), 'Cost Inputs'!$G$144, "")</f>
        <v/>
      </c>
      <c r="E553" s="17" t="str">
        <f>IF(AND(C553&lt;&gt;"", 'Cost Inputs'!$H$144&lt;&gt;""), 'Cost Inputs'!$H$144, "")</f>
        <v/>
      </c>
      <c r="F553" s="17" t="str">
        <f>IF(AND(C553&lt;&gt;"", 'Cost Inputs'!$I$144&lt;&gt;""), 'Cost Inputs'!$I$144, "")</f>
        <v/>
      </c>
      <c r="G553" s="105" t="str">
        <f t="shared" si="455"/>
        <v/>
      </c>
      <c r="H553" s="17" t="str">
        <f>IF(AND(C553&lt;&gt;"", 'Cost Inputs'!$J$144&lt;&gt;""), 'Cost Inputs'!$J$144, "")</f>
        <v/>
      </c>
      <c r="I553" s="17" t="str">
        <f>IF($C553&lt;&gt;"", IF(AND($E553&lt;&gt;"", H553&lt;&gt;""), H553/$E553, 0),"")</f>
        <v/>
      </c>
      <c r="J553" s="17" t="str">
        <f>IF(AND(C553&lt;&gt;"",('Cost Inputs'!$I$144+'Cost Inputs'!$J$144+'Cost Inputs'!$K$144)&gt;0), 'Cost Inputs'!$I$144+'Cost Inputs'!$J$144+'Cost Inputs'!$K$144, "")</f>
        <v/>
      </c>
      <c r="K553" s="17" t="str">
        <f>IF($C553&lt;&gt;"", IF(AND($E553&lt;&gt;"", J553&lt;&gt;""), J553/$E553, 0),"")</f>
        <v/>
      </c>
      <c r="M553" s="106"/>
      <c r="O553" s="17" t="str">
        <f>IF(ISNUMBER($B$537), IF($C553&lt;&gt;"", IF('Cost Inputs'!$L$144="Y", $E553, IF('Cost Inputs'!$L$144="N", IF(ISNUMBER('Cost Inputs'!$M$144), $E553, ""),"")),""),"")</f>
        <v/>
      </c>
      <c r="P553" s="17" t="str">
        <f>IF(ISNUMBER($B$537), IF($C553&lt;&gt;"", IF('Cost Inputs'!$L$144="Y", $E553, IF('Cost Inputs'!$L$144="N", "", "")),""),"")</f>
        <v/>
      </c>
      <c r="Q553" s="17" t="str">
        <f>IF(ISNUMBER($B$537), IF($C553&lt;&gt;"", IF('Cost Inputs'!$L$144="Y", $E553, IF('Cost Inputs'!$L$144="N", IF(AND(ISNUMBER('Cost Inputs'!$M$144), OR('Cost Inputs'!$M$144=2)), $E553, ""),"")),""),"")</f>
        <v/>
      </c>
      <c r="R553" s="17" t="str">
        <f>IF(ISNUMBER($B$537), IF($C553&lt;&gt;"", IF('Cost Inputs'!$L$144="Y", $E553, IF('Cost Inputs'!$L$144="N", IF(AND(ISNUMBER('Cost Inputs'!$M$144), OR('Cost Inputs'!$M$144=3)), $E553, ""),"")),""),"")</f>
        <v/>
      </c>
      <c r="S553" s="17" t="str">
        <f>IF(ISNUMBER($B$537), IF($C553&lt;&gt;"", IF('Cost Inputs'!$L$144="Y", $E553, IF('Cost Inputs'!$L$144="N", IF(AND(ISNUMBER('Cost Inputs'!$M$144), OR('Cost Inputs'!$M$144=2, 'Cost Inputs'!$M$144=4)), $E553, ""),"")),""),"")</f>
        <v/>
      </c>
      <c r="T553" s="17" t="str">
        <f>IF(ISNUMBER($B$537), IF($C553&lt;&gt;"", IF('Cost Inputs'!$L$144="Y", $E553, IF('Cost Inputs'!$L$144="N", IF(AND(ISNUMBER('Cost Inputs'!$M$144), OR('Cost Inputs'!$M$144=2,'Cost Inputs'!$M$144=5)), $E553, ""),"")),""),"")</f>
        <v/>
      </c>
      <c r="U553" s="17" t="str">
        <f>IF(ISNUMBER($B$537), IF($C553&lt;&gt;"", IF('Cost Inputs'!$L$144="Y", $E553, IF('Cost Inputs'!$L$144="N", IF(AND(ISNUMBER('Cost Inputs'!$M$144), OR('Cost Inputs'!$M$144=2,'Cost Inputs'!$M$144=3,'Cost Inputs'!$M$144=6)), $E553, ""),"")),""),"")</f>
        <v/>
      </c>
      <c r="V553" s="17" t="str">
        <f>IF(ISNUMBER($B$537), IF($C553&lt;&gt;"", IF('Cost Inputs'!$L$144="Y", $E553, IF('Cost Inputs'!$L$144="N", IF(AND(ISNUMBER('Cost Inputs'!$M$144), OR('Cost Inputs'!$M$144=2,'Cost Inputs'!$M$144=7)), $E553, ""),"")),""),"")</f>
        <v/>
      </c>
      <c r="W553" s="17" t="str">
        <f>IF(ISNUMBER($B$537), IF($C553&lt;&gt;"", IF('Cost Inputs'!$L$144="Y", $E553, IF('Cost Inputs'!$L$144="N", IF(AND(ISNUMBER('Cost Inputs'!$M$144), OR('Cost Inputs'!$M$144=2,'Cost Inputs'!$M$144=4,'Cost Inputs'!$M$144=8)), $E553, ""),"")),""),"")</f>
        <v/>
      </c>
      <c r="X553" s="17" t="str">
        <f>IF(ISNUMBER($B$537), IF($C553&lt;&gt;"", IF('Cost Inputs'!$L$144="Y", $E553, IF('Cost Inputs'!$L$144="N", IF(AND(ISNUMBER('Cost Inputs'!$M$144), OR('Cost Inputs'!$M$144=2,'Cost Inputs'!$M$144=3,'Cost Inputs'!$M$144=9)), $E553, ""),"")),""),"")</f>
        <v/>
      </c>
      <c r="Y553" s="17"/>
      <c r="Z553" s="17"/>
      <c r="AA553" s="17"/>
      <c r="AB553" s="17"/>
      <c r="AC553" s="17"/>
      <c r="AD553" s="17"/>
      <c r="AE553" s="17"/>
      <c r="AF553" s="17"/>
      <c r="AG553" s="17"/>
      <c r="AH553" s="17"/>
      <c r="AI553" s="17"/>
      <c r="AJ553" s="17"/>
      <c r="AK553" s="17"/>
      <c r="AL553" s="17"/>
      <c r="AM553" s="17"/>
      <c r="AN553" s="17"/>
      <c r="AO553" s="17"/>
      <c r="AP553" s="17"/>
      <c r="AQ553" s="17"/>
    </row>
    <row r="554" spans="1:43" x14ac:dyDescent="0.25">
      <c r="A554" s="518"/>
      <c r="B554" s="504"/>
      <c r="C554" s="107" t="str">
        <f>IF(AND(ISNUMBER(B537), OR('Cost Inputs'!$H$145&lt;&gt;"", 'Cost Inputs'!$I$145&lt;&gt;"", 'Cost Inputs'!$J$145&lt;&gt;"")), _5_2_4, "")</f>
        <v/>
      </c>
      <c r="D554" s="93" t="str">
        <f>IF(AND(C554&lt;&gt;"", 'Cost Inputs'!$G$145&lt;&gt;""), 'Cost Inputs'!$G$145, "")</f>
        <v/>
      </c>
      <c r="E554" s="93" t="str">
        <f>IF(AND(C554&lt;&gt;"", 'Cost Inputs'!$H$145&lt;&gt;""), 'Cost Inputs'!$H$145, "")</f>
        <v/>
      </c>
      <c r="F554" s="93" t="str">
        <f>IF(AND(C554&lt;&gt;"", 'Cost Inputs'!$I$145&lt;&gt;""), 'Cost Inputs'!$I$145, "")</f>
        <v/>
      </c>
      <c r="G554" s="108" t="str">
        <f t="shared" si="455"/>
        <v/>
      </c>
      <c r="H554" s="93" t="str">
        <f>IF(AND(C554&lt;&gt;"", 'Cost Inputs'!$J$145&lt;&gt;""), 'Cost Inputs'!$J$145, "")</f>
        <v/>
      </c>
      <c r="I554" s="93" t="str">
        <f>IF($C554&lt;&gt;"", IF(AND($E554&lt;&gt;"", H554&lt;&gt;""), H554/$E554, 0),"")</f>
        <v/>
      </c>
      <c r="J554" s="93" t="str">
        <f>IF(AND(C554&lt;&gt;"",('Cost Inputs'!$I$145+'Cost Inputs'!$J$145+'Cost Inputs'!$K$145)&gt;0), 'Cost Inputs'!$I$145+'Cost Inputs'!$J$145+'Cost Inputs'!$K$145, "")</f>
        <v/>
      </c>
      <c r="K554" s="93" t="str">
        <f>IF($C554&lt;&gt;"", IF(AND($E554&lt;&gt;"", J554&lt;&gt;""), J554/$E554, 0),"")</f>
        <v/>
      </c>
      <c r="L554" s="93"/>
      <c r="M554" s="109"/>
      <c r="O554" s="93" t="str">
        <f>IF(ISNUMBER($B$537), IF($C554&lt;&gt;"", IF('Cost Inputs'!$L$145="Y", $E554, IF('Cost Inputs'!$L$145="N", IF(ISNUMBER('Cost Inputs'!$M$145), $E554, ""),"")),""),"")</f>
        <v/>
      </c>
      <c r="P554" s="93" t="str">
        <f>IF(ISNUMBER($B$537), IF($C554&lt;&gt;"", IF('Cost Inputs'!$L$145="Y", $E554, IF('Cost Inputs'!$L$145="N", "", "")),""),"")</f>
        <v/>
      </c>
      <c r="Q554" s="93" t="str">
        <f>IF(ISNUMBER($B$537), IF($C554&lt;&gt;"", IF('Cost Inputs'!$L$145="Y", $E554, IF('Cost Inputs'!$L$145="N", IF(AND(ISNUMBER('Cost Inputs'!$M$145), OR('Cost Inputs'!$M$145=2)), $E554, ""),"")),""),"")</f>
        <v/>
      </c>
      <c r="R554" s="93" t="str">
        <f>IF(ISNUMBER($B$537), IF($C554&lt;&gt;"", IF('Cost Inputs'!$L$145="Y", $E554, IF('Cost Inputs'!$L$145="N", IF(AND(ISNUMBER('Cost Inputs'!$M$145), OR('Cost Inputs'!$M$145=3)), $E554, ""),"")),""),"")</f>
        <v/>
      </c>
      <c r="S554" s="93" t="str">
        <f>IF(ISNUMBER($B$537), IF($C554&lt;&gt;"", IF('Cost Inputs'!$L$145="Y", $E554, IF('Cost Inputs'!$L$145="N", IF(AND(ISNUMBER('Cost Inputs'!$M$145), OR('Cost Inputs'!$M$145=2, 'Cost Inputs'!$M$145=4)), $E554, ""),"")),""),"")</f>
        <v/>
      </c>
      <c r="T554" s="93" t="str">
        <f>IF(ISNUMBER($B$537), IF($C554&lt;&gt;"", IF('Cost Inputs'!$L$145="Y", $E554, IF('Cost Inputs'!$L$145="N", IF(AND(ISNUMBER('Cost Inputs'!$M$145), OR('Cost Inputs'!$M$145=2,'Cost Inputs'!$M$145=5)), $E554, ""),"")),""),"")</f>
        <v/>
      </c>
      <c r="U554" s="93" t="str">
        <f>IF(ISNUMBER($B$537), IF($C554&lt;&gt;"", IF('Cost Inputs'!$L$145="Y", $E554, IF('Cost Inputs'!$L$145="N", IF(AND(ISNUMBER('Cost Inputs'!$M$145), OR('Cost Inputs'!$M$145=2,'Cost Inputs'!$M$145=3,'Cost Inputs'!$M$145=6)), $E554, ""),"")),""),"")</f>
        <v/>
      </c>
      <c r="V554" s="93" t="str">
        <f>IF(ISNUMBER($B$537), IF($C554&lt;&gt;"", IF('Cost Inputs'!$L$145="Y", $E554, IF('Cost Inputs'!$L$145="N", IF(AND(ISNUMBER('Cost Inputs'!$M$145), OR('Cost Inputs'!$M$145=2,'Cost Inputs'!$M$145=7)), $E554, ""),"")),""),"")</f>
        <v/>
      </c>
      <c r="W554" s="93" t="str">
        <f>IF(ISNUMBER($B$537), IF($C554&lt;&gt;"", IF('Cost Inputs'!$L$145="Y", $E554, IF('Cost Inputs'!$L$145="N", IF(AND(ISNUMBER('Cost Inputs'!$M$145), OR('Cost Inputs'!$M$145=2,'Cost Inputs'!$M$145=4,'Cost Inputs'!$M$145=8)), $E554, ""),"")),""),"")</f>
        <v/>
      </c>
      <c r="X554" s="93" t="str">
        <f>IF(ISNUMBER($B$537), IF($C554&lt;&gt;"", IF('Cost Inputs'!$L$145="Y", $E554, IF('Cost Inputs'!$L$145="N", IF(AND(ISNUMBER('Cost Inputs'!$M$145), OR('Cost Inputs'!$M$145=2,'Cost Inputs'!$M$145=3,'Cost Inputs'!$M$145=9)), $E554, ""),"")),""),"")</f>
        <v/>
      </c>
      <c r="Y554" s="17"/>
      <c r="Z554" s="17"/>
      <c r="AA554" s="17"/>
      <c r="AB554" s="17"/>
      <c r="AC554" s="17"/>
      <c r="AD554" s="17"/>
      <c r="AE554" s="17"/>
      <c r="AF554" s="17"/>
      <c r="AG554" s="17"/>
      <c r="AH554" s="17"/>
      <c r="AI554" s="17"/>
      <c r="AJ554" s="17"/>
      <c r="AK554" s="17"/>
      <c r="AL554" s="17"/>
      <c r="AM554" s="17"/>
      <c r="AN554" s="17"/>
      <c r="AO554" s="17"/>
      <c r="AP554" s="17"/>
      <c r="AQ554" s="17"/>
    </row>
    <row r="555" spans="1:43" x14ac:dyDescent="0.25">
      <c r="A555" s="518"/>
      <c r="B555" s="504"/>
      <c r="C555" s="521" t="str">
        <f>IF(ISNUMBER(B537), _5_3_0, "")</f>
        <v/>
      </c>
      <c r="D555" s="94" t="str">
        <f>IF(AND(C555&lt;&gt;"", 'Cost Inputs'!$G$146&lt;&gt;""), 'Cost Inputs'!$G$146, "")</f>
        <v/>
      </c>
      <c r="E555" s="94" t="str">
        <f>IF(AND(C555&lt;&gt;"", 'Cost Inputs'!$H$146&lt;&gt;""), 'Cost Inputs'!$H$146, "")</f>
        <v/>
      </c>
      <c r="F555" s="492" t="str">
        <f>IF(AND(C555&lt;&gt;"", 'Cost Inputs'!$I$146&lt;&gt;""), 'Cost Inputs'!$I$146, "")</f>
        <v/>
      </c>
      <c r="G555" s="102" t="str">
        <f t="shared" si="455"/>
        <v/>
      </c>
      <c r="H555" s="492" t="str">
        <f>IF(AND(C555&lt;&gt;"", 'Cost Inputs'!$J$146&lt;&gt;""), 'Cost Inputs'!$J$146, "")</f>
        <v/>
      </c>
      <c r="I555" s="102" t="str">
        <f>IF($C555&lt;&gt;"",IF(AND($E555&lt;&gt;"",H555&lt;&gt;""), H555/$E555, 0),"")</f>
        <v/>
      </c>
      <c r="J555" s="492" t="str">
        <f>IF(AND(C555&lt;&gt;"",('Cost Inputs'!$I$146+'Cost Inputs'!$J$146+'Cost Inputs'!$K$146)&gt;0), 'Cost Inputs'!$I$146+'Cost Inputs'!$J$146+'Cost Inputs'!$K$146, "")</f>
        <v/>
      </c>
      <c r="K555" s="102" t="str">
        <f>IF($C555&lt;&gt;"",IF(AND($E555&lt;&gt;"",J555&lt;&gt;""), J555/$E555, 0),"")</f>
        <v/>
      </c>
      <c r="L555" s="94"/>
      <c r="M555" s="103"/>
      <c r="O555" s="492" t="str">
        <f>IF(ISNUMBER($B$537), IF($C555&lt;&gt;"", IF('Cost Inputs'!$L$146="Y", $E555, IF('Cost Inputs'!$L$146="N", IF(ISNUMBER('Cost Inputs'!$M$146), $E555, ""),"")),""),"")</f>
        <v/>
      </c>
      <c r="P555" s="492" t="str">
        <f>IF(ISNUMBER($B$537), IF($C555&lt;&gt;"", IF('Cost Inputs'!$L$146="Y", $E555, IF('Cost Inputs'!$L$146="N", "", "")),""),"")</f>
        <v/>
      </c>
      <c r="Q555" s="492" t="str">
        <f>IF(ISNUMBER($B$537), IF($C555&lt;&gt;"", IF('Cost Inputs'!$L$146="Y", $E555, IF('Cost Inputs'!$L$146="N", IF(AND(ISNUMBER('Cost Inputs'!$M$146), OR('Cost Inputs'!$M$146=2)), $E555, ""),"")),""),"")</f>
        <v/>
      </c>
      <c r="R555" s="492" t="str">
        <f>IF(ISNUMBER($B$537), IF($C555&lt;&gt;"", IF('Cost Inputs'!$L$146="Y", $E555, IF('Cost Inputs'!$L$146="N", IF(AND(ISNUMBER('Cost Inputs'!$M$146), OR('Cost Inputs'!$M$146=3)), $E555, ""),"")),""),"")</f>
        <v/>
      </c>
      <c r="S555" s="492" t="str">
        <f>IF(ISNUMBER($B$537), IF($C555&lt;&gt;"", IF('Cost Inputs'!$L$146="Y", $E555, IF('Cost Inputs'!$L$146="N", IF(AND(ISNUMBER('Cost Inputs'!$M$146), OR('Cost Inputs'!$M$146=2, 'Cost Inputs'!$M$146=4)), $E555, ""),"")),""),"")</f>
        <v/>
      </c>
      <c r="T555" s="492" t="str">
        <f>IF(ISNUMBER($B$537), IF($C555&lt;&gt;"", IF('Cost Inputs'!$L$146="Y", $E555, IF('Cost Inputs'!$L$146="N", IF(AND(ISNUMBER('Cost Inputs'!$M$146), OR('Cost Inputs'!$M$146=2,'Cost Inputs'!$M$146=5)), $E555, ""),"")),""),"")</f>
        <v/>
      </c>
      <c r="U555" s="492" t="str">
        <f>IF(ISNUMBER($B$537), IF($C555&lt;&gt;"", IF('Cost Inputs'!$L$146="Y", $E555, IF('Cost Inputs'!$L$146="N", IF(AND(ISNUMBER('Cost Inputs'!$M$146), OR('Cost Inputs'!$M$146=2,'Cost Inputs'!$M$146=3,'Cost Inputs'!$M$146=6)), $E555, ""),"")),""),"")</f>
        <v/>
      </c>
      <c r="V555" s="492" t="str">
        <f>IF(ISNUMBER($B$537), IF($C555&lt;&gt;"", IF('Cost Inputs'!$L$146="Y", $E555, IF('Cost Inputs'!$L$146="N", IF(AND(ISNUMBER('Cost Inputs'!$M$146), OR('Cost Inputs'!$M$146=2,'Cost Inputs'!$M$146=7)), $E555, ""),"")),""),"")</f>
        <v/>
      </c>
      <c r="W555" s="492" t="str">
        <f>IF(ISNUMBER($B$537), IF($C555&lt;&gt;"", IF('Cost Inputs'!$L$146="Y", $E555, IF('Cost Inputs'!$L$146="N", IF(AND(ISNUMBER('Cost Inputs'!$M$146), OR('Cost Inputs'!$M$146=2,'Cost Inputs'!$M$146=4,'Cost Inputs'!$M$146=8)), $E555, ""),"")),""),"")</f>
        <v/>
      </c>
      <c r="X555" s="492" t="str">
        <f>IF(ISNUMBER($B$537), IF($C555&lt;&gt;"", IF('Cost Inputs'!$L$146="Y", $E555, IF('Cost Inputs'!$L$146="N", IF(AND(ISNUMBER('Cost Inputs'!$M$146), OR('Cost Inputs'!$M$146=2,'Cost Inputs'!$M$146=3,'Cost Inputs'!$M$146=9)), $E555, ""),"")),""),"")</f>
        <v/>
      </c>
      <c r="Y555" s="493"/>
      <c r="Z555" s="493"/>
      <c r="AA555" s="493"/>
      <c r="AB555" s="493"/>
      <c r="AC555" s="493"/>
      <c r="AD555" s="493"/>
      <c r="AE555" s="493"/>
      <c r="AF555" s="493"/>
      <c r="AG555" s="493"/>
      <c r="AH555" s="493"/>
      <c r="AI555" s="493"/>
      <c r="AJ555" s="493"/>
      <c r="AK555" s="493"/>
      <c r="AL555" s="493"/>
      <c r="AM555" s="493"/>
      <c r="AN555" s="493"/>
      <c r="AO555" s="493"/>
      <c r="AP555" s="493"/>
      <c r="AQ555" s="493"/>
    </row>
    <row r="556" spans="1:43" x14ac:dyDescent="0.25">
      <c r="A556" s="518"/>
      <c r="B556" s="504"/>
      <c r="C556" s="521"/>
      <c r="D556" s="94" t="str">
        <f>IF(AND(C555&lt;&gt;"", 'Cost Inputs'!$G$147&lt;&gt;""), 'Cost Inputs'!$G$147, "")</f>
        <v/>
      </c>
      <c r="E556" s="94" t="str">
        <f>IF(AND(C555&lt;&gt;"", 'Cost Inputs'!$H$147&lt;&gt;""), 'Cost Inputs'!$H$147, "")</f>
        <v/>
      </c>
      <c r="F556" s="492"/>
      <c r="G556" s="102" t="str">
        <f t="shared" si="455"/>
        <v/>
      </c>
      <c r="H556" s="492"/>
      <c r="I556" s="102" t="str">
        <f>IF($C555&lt;&gt;"", IF(AND($E556&lt;&gt;"", H555&lt;&gt;""), H555/($E555*$E556), 0), "")</f>
        <v/>
      </c>
      <c r="J556" s="492" t="str">
        <f>IF(AND(C556&lt;&gt;"",('Cost Inputs'!$I$86+'Cost Inputs'!$J$86+'Cost Inputs'!$K$86)&gt;0), 'Cost Inputs'!$I$86+'Cost Inputs'!$J$86+'Cost Inputs'!$K$86, "")</f>
        <v/>
      </c>
      <c r="K556" s="102" t="str">
        <f>IF($C555&lt;&gt;"", IF(AND($E556&lt;&gt;"", J555&lt;&gt;""), J555/($E555*$E556), 0), "")</f>
        <v/>
      </c>
      <c r="L556" s="94"/>
      <c r="M556" s="103"/>
      <c r="O556" s="492" t="str">
        <f>IF(ISNUMBER($B$537), IF($C556&lt;&gt;"", IF('Cost Inputs'!$L147="Y", $E556, IF('Cost Inputs'!$L147="N", IF(ISNUMBER('Cost Inputs'!$M147), $E556, ""),"")),""),"")</f>
        <v/>
      </c>
      <c r="P556" s="492" t="str">
        <f>IF(ISNUMBER($B$537), IF($C556&lt;&gt;"", IF('Cost Inputs'!$L147="Y", $E556, IF('Cost Inputs'!$L147="N", "", "")),""),"")</f>
        <v/>
      </c>
      <c r="Q556" s="492" t="str">
        <f>IF(ISNUMBER($B$537), IF($C556&lt;&gt;"", IF('Cost Inputs'!$L147="Y", $E556, IF('Cost Inputs'!$L147="N", IF(AND(ISNUMBER('Cost Inputs'!$M147), OR('Cost Inputs'!$M147=2)), $E556, ""),"")),""),"")</f>
        <v/>
      </c>
      <c r="R556" s="492" t="str">
        <f>IF(ISNUMBER($B$537), IF($C556&lt;&gt;"", IF('Cost Inputs'!$L147="Y", $E556, IF('Cost Inputs'!$L147="N", IF(AND(ISNUMBER('Cost Inputs'!$M147), OR('Cost Inputs'!$M147=3)), $E556, ""),"")),""),"")</f>
        <v/>
      </c>
      <c r="S556" s="492" t="str">
        <f>IF(ISNUMBER($B$537), IF($C556&lt;&gt;"", IF('Cost Inputs'!$L147="Y", $E556, IF('Cost Inputs'!$L147="N", IF(AND(ISNUMBER('Cost Inputs'!$M147), OR('Cost Inputs'!$M147=2, 'Cost Inputs'!$M147=4)), $E556, ""),"")),""),"")</f>
        <v/>
      </c>
      <c r="T556" s="492" t="str">
        <f>IF(ISNUMBER($B$537), IF($C556&lt;&gt;"", IF('Cost Inputs'!$L147="Y", $E556, IF('Cost Inputs'!$L147="N", IF(AND(ISNUMBER('Cost Inputs'!$M147), OR('Cost Inputs'!$M147=2,'Cost Inputs'!$M147=5)), $E556, ""),"")),""),"")</f>
        <v/>
      </c>
      <c r="U556" s="492" t="str">
        <f>IF(ISNUMBER($B$537), IF($C556&lt;&gt;"", IF('Cost Inputs'!$L147="Y", $E556, IF('Cost Inputs'!$L147="N", IF(AND(ISNUMBER('Cost Inputs'!$M147), OR('Cost Inputs'!$M147=2,'Cost Inputs'!$M147=3,'Cost Inputs'!$M147=6)), $E556, ""),"")),""),"")</f>
        <v/>
      </c>
      <c r="V556" s="492" t="str">
        <f>IF(ISNUMBER($B$537), IF($C556&lt;&gt;"", IF('Cost Inputs'!$L147="Y", $E556, IF('Cost Inputs'!$L147="N", IF(AND(ISNUMBER('Cost Inputs'!$M147), OR('Cost Inputs'!$M147=2,'Cost Inputs'!$M147=7)), $E556, ""),"")),""),"")</f>
        <v/>
      </c>
      <c r="W556" s="492" t="str">
        <f>IF(ISNUMBER($B$537), IF($C556&lt;&gt;"", IF('Cost Inputs'!$L147="Y", $E556, IF('Cost Inputs'!$L147="N", IF(AND(ISNUMBER('Cost Inputs'!$M147), OR('Cost Inputs'!$M147=2,'Cost Inputs'!$M147=4,'Cost Inputs'!$M147=8)), $E556, ""),"")),""),"")</f>
        <v/>
      </c>
      <c r="X556" s="492" t="str">
        <f>IF(ISNUMBER($B$537), IF($C556&lt;&gt;"", IF('Cost Inputs'!$L147="Y", $E556, IF('Cost Inputs'!$L147="N", IF(AND(ISNUMBER('Cost Inputs'!$M147), OR('Cost Inputs'!$M147=2,'Cost Inputs'!$M147=3,'Cost Inputs'!$M147=9)), $E556, ""),"")),""),"")</f>
        <v/>
      </c>
      <c r="Y556" s="493"/>
      <c r="Z556" s="493"/>
      <c r="AA556" s="493"/>
      <c r="AB556" s="493"/>
      <c r="AC556" s="493"/>
      <c r="AD556" s="493"/>
      <c r="AE556" s="493"/>
      <c r="AF556" s="493"/>
      <c r="AG556" s="493"/>
      <c r="AH556" s="493"/>
      <c r="AI556" s="493"/>
      <c r="AJ556" s="493"/>
      <c r="AK556" s="493"/>
      <c r="AL556" s="493"/>
      <c r="AM556" s="493"/>
      <c r="AN556" s="493"/>
      <c r="AO556" s="493"/>
      <c r="AP556" s="493"/>
      <c r="AQ556" s="493"/>
    </row>
    <row r="557" spans="1:43" x14ac:dyDescent="0.25">
      <c r="A557" s="518"/>
      <c r="B557" s="504"/>
      <c r="C557" s="104" t="str">
        <f>IF(AND(ISNUMBER(B537), OR('Cost Inputs'!$H$148&lt;&gt;"", 'Cost Inputs'!$I$148&lt;&gt;"", 'Cost Inputs'!$J$148&lt;&gt;"")), _5_3_1, "")</f>
        <v/>
      </c>
      <c r="D557" s="17" t="str">
        <f>IF(AND(C557&lt;&gt;"", 'Cost Inputs'!$G$148&lt;&gt;""), 'Cost Inputs'!$G$148, "")</f>
        <v/>
      </c>
      <c r="E557" s="17" t="str">
        <f>IF(AND(C557&lt;&gt;"", 'Cost Inputs'!$H$148&lt;&gt;""), 'Cost Inputs'!$H$148, "")</f>
        <v/>
      </c>
      <c r="F557" s="17" t="str">
        <f>IF(AND(C557&lt;&gt;"", 'Cost Inputs'!$I$148&lt;&gt;""), 'Cost Inputs'!$I$148, "")</f>
        <v/>
      </c>
      <c r="G557" s="105" t="str">
        <f t="shared" si="455"/>
        <v/>
      </c>
      <c r="H557" s="17" t="str">
        <f>IF(AND(C557&lt;&gt;"", 'Cost Inputs'!$J$148&lt;&gt;""), 'Cost Inputs'!$J$148, "")</f>
        <v/>
      </c>
      <c r="I557" s="17" t="str">
        <f t="shared" ref="I557:I565" si="456">IF($C557&lt;&gt;"", IF(AND($E557&lt;&gt;"", H557&lt;&gt;""), H557/$E557, 0),"")</f>
        <v/>
      </c>
      <c r="J557" s="17" t="str">
        <f>IF(AND(C557&lt;&gt;"",('Cost Inputs'!$I$148+'Cost Inputs'!$J$148+'Cost Inputs'!$K$148)&gt;0), 'Cost Inputs'!$I$148+'Cost Inputs'!$J$148+'Cost Inputs'!$K$148, "")</f>
        <v/>
      </c>
      <c r="K557" s="17" t="str">
        <f t="shared" ref="K557:K565" si="457">IF($C557&lt;&gt;"", IF(AND($E557&lt;&gt;"", J557&lt;&gt;""), J557/$E557, 0),"")</f>
        <v/>
      </c>
      <c r="M557" s="106"/>
      <c r="O557" s="17" t="str">
        <f>IF(ISNUMBER($B$537), IF($C557&lt;&gt;"", IF('Cost Inputs'!$L$148="Y", $E557, IF('Cost Inputs'!$L$148="N", IF(ISNUMBER('Cost Inputs'!$M$148), $E557, ""),"")),""),"")</f>
        <v/>
      </c>
      <c r="P557" s="17" t="str">
        <f>IF(ISNUMBER($B$537), IF($C557&lt;&gt;"", IF('Cost Inputs'!$L$148="Y", $E557, IF('Cost Inputs'!$L$148="N", "", "")),""),"")</f>
        <v/>
      </c>
      <c r="Q557" s="17" t="str">
        <f>IF(ISNUMBER($B$537), IF($C557&lt;&gt;"", IF('Cost Inputs'!$L$148="Y", $E557, IF('Cost Inputs'!$L$148="N", IF(AND(ISNUMBER('Cost Inputs'!$M$148), OR('Cost Inputs'!$M$148=2)), $E557, ""),"")),""),"")</f>
        <v/>
      </c>
      <c r="R557" s="17" t="str">
        <f>IF(ISNUMBER($B$537), IF($C557&lt;&gt;"", IF('Cost Inputs'!$L$148="Y", $E557, IF('Cost Inputs'!$L$148="N", IF(AND(ISNUMBER('Cost Inputs'!$M$148), OR('Cost Inputs'!$M$148=3)), $E557, ""),"")),""),"")</f>
        <v/>
      </c>
      <c r="S557" s="17" t="str">
        <f>IF(ISNUMBER($B$537), IF($C557&lt;&gt;"", IF('Cost Inputs'!$L$148="Y", $E557, IF('Cost Inputs'!$L$148="N", IF(AND(ISNUMBER('Cost Inputs'!$M$148), OR('Cost Inputs'!$M$148=2, 'Cost Inputs'!$M$148=4)), $E557, ""),"")),""),"")</f>
        <v/>
      </c>
      <c r="T557" s="17" t="str">
        <f>IF(ISNUMBER($B$537), IF($C557&lt;&gt;"", IF('Cost Inputs'!$L$148="Y", $E557, IF('Cost Inputs'!$L$148="N", IF(AND(ISNUMBER('Cost Inputs'!$M$148), OR('Cost Inputs'!$M$148=2,'Cost Inputs'!$M$148=5)), $E557, ""),"")),""),"")</f>
        <v/>
      </c>
      <c r="U557" s="17" t="str">
        <f>IF(ISNUMBER($B$537), IF($C557&lt;&gt;"", IF('Cost Inputs'!$L$148="Y", $E557, IF('Cost Inputs'!$L$148="N", IF(AND(ISNUMBER('Cost Inputs'!$M$148), OR('Cost Inputs'!$M$148=2,'Cost Inputs'!$M$148=3,'Cost Inputs'!$M$148=6)), $E557, ""),"")),""),"")</f>
        <v/>
      </c>
      <c r="V557" s="17" t="str">
        <f>IF(ISNUMBER($B$537), IF($C557&lt;&gt;"", IF('Cost Inputs'!$L$148="Y", $E557, IF('Cost Inputs'!$L$148="N", IF(AND(ISNUMBER('Cost Inputs'!$M$148), OR('Cost Inputs'!$M$148=2,'Cost Inputs'!$M$148=7)), $E557, ""),"")),""),"")</f>
        <v/>
      </c>
      <c r="W557" s="17" t="str">
        <f>IF(ISNUMBER($B$537), IF($C557&lt;&gt;"", IF('Cost Inputs'!$L$148="Y", $E557, IF('Cost Inputs'!$L$148="N", IF(AND(ISNUMBER('Cost Inputs'!$M$148), OR('Cost Inputs'!$M$148=2,'Cost Inputs'!$M$148=4,'Cost Inputs'!$M$148=8)), $E557, ""),"")),""),"")</f>
        <v/>
      </c>
      <c r="X557" s="17" t="str">
        <f>IF(ISNUMBER($B$537), IF($C557&lt;&gt;"", IF('Cost Inputs'!$L$148="Y", $E557, IF('Cost Inputs'!$L$148="N", IF(AND(ISNUMBER('Cost Inputs'!$M$148), OR('Cost Inputs'!$M$148=2,'Cost Inputs'!$M$148=3,'Cost Inputs'!$M$148=9)), $E557, ""),"")),""),"")</f>
        <v/>
      </c>
      <c r="Y557" s="17"/>
      <c r="Z557" s="17"/>
      <c r="AA557" s="17"/>
      <c r="AB557" s="17"/>
      <c r="AC557" s="17"/>
      <c r="AD557" s="17"/>
      <c r="AE557" s="17"/>
      <c r="AF557" s="17"/>
      <c r="AG557" s="17"/>
      <c r="AH557" s="17"/>
      <c r="AI557" s="17"/>
      <c r="AJ557" s="17"/>
      <c r="AK557" s="17"/>
      <c r="AL557" s="17"/>
      <c r="AM557" s="17"/>
      <c r="AN557" s="17"/>
      <c r="AO557" s="17"/>
      <c r="AP557" s="17"/>
      <c r="AQ557" s="17"/>
    </row>
    <row r="558" spans="1:43" x14ac:dyDescent="0.25">
      <c r="A558" s="518"/>
      <c r="B558" s="504"/>
      <c r="C558" s="107" t="str">
        <f>IF(AND(ISNUMBER(B537), OR('Cost Inputs'!$H$149&lt;&gt;"", 'Cost Inputs'!$I$149&lt;&gt;"", 'Cost Inputs'!$J$149&lt;&gt;"")), _5_3_2, "")</f>
        <v/>
      </c>
      <c r="D558" s="93" t="str">
        <f>IF(AND(C558&lt;&gt;"", 'Cost Inputs'!$G$149&lt;&gt;""), 'Cost Inputs'!$G$149, "")</f>
        <v/>
      </c>
      <c r="E558" s="93" t="str">
        <f>IF(AND(C558&lt;&gt;"", 'Cost Inputs'!$H$149&lt;&gt;""), 'Cost Inputs'!$H$149, "")</f>
        <v/>
      </c>
      <c r="F558" s="93" t="str">
        <f>IF(AND(C558&lt;&gt;"", 'Cost Inputs'!$I$149&lt;&gt;""), 'Cost Inputs'!$I$149, "")</f>
        <v/>
      </c>
      <c r="G558" s="108" t="str">
        <f t="shared" si="455"/>
        <v/>
      </c>
      <c r="H558" s="93" t="str">
        <f>IF(AND(C558&lt;&gt;"", 'Cost Inputs'!$J$149&lt;&gt;""), 'Cost Inputs'!$J$149, "")</f>
        <v/>
      </c>
      <c r="I558" s="93" t="str">
        <f t="shared" si="456"/>
        <v/>
      </c>
      <c r="J558" s="93" t="str">
        <f>IF(AND(C558&lt;&gt;"",('Cost Inputs'!$I$149+'Cost Inputs'!$J$149+'Cost Inputs'!$K$149)&gt;0), 'Cost Inputs'!$I$149+'Cost Inputs'!$J$149+'Cost Inputs'!$K$149, "")</f>
        <v/>
      </c>
      <c r="K558" s="93" t="str">
        <f t="shared" si="457"/>
        <v/>
      </c>
      <c r="L558" s="93"/>
      <c r="M558" s="109"/>
      <c r="O558" s="93" t="str">
        <f>IF(ISNUMBER($B$537), IF($C558&lt;&gt;"", IF('Cost Inputs'!$L$149="Y", $E558, IF('Cost Inputs'!$L$149="N", IF(ISNUMBER('Cost Inputs'!$M$149), $E558, ""),"")),""),"")</f>
        <v/>
      </c>
      <c r="P558" s="93" t="str">
        <f>IF(ISNUMBER($B$537), IF($C558&lt;&gt;"", IF('Cost Inputs'!$L$149="Y", $E558, IF('Cost Inputs'!$L$149="N", "", "")),""),"")</f>
        <v/>
      </c>
      <c r="Q558" s="93" t="str">
        <f>IF(ISNUMBER($B$537), IF($C558&lt;&gt;"", IF('Cost Inputs'!$L$149="Y", $E558, IF('Cost Inputs'!$L$149="N", IF(AND(ISNUMBER('Cost Inputs'!$M$149), OR('Cost Inputs'!$M$149=2)), $E558, ""),"")),""),"")</f>
        <v/>
      </c>
      <c r="R558" s="93" t="str">
        <f>IF(ISNUMBER($B$537), IF($C558&lt;&gt;"", IF('Cost Inputs'!$L$149="Y", $E558, IF('Cost Inputs'!$L$149="N", IF(AND(ISNUMBER('Cost Inputs'!$M$149), OR('Cost Inputs'!$M$149=3)), $E558, ""),"")),""),"")</f>
        <v/>
      </c>
      <c r="S558" s="93" t="str">
        <f>IF(ISNUMBER($B$537), IF($C558&lt;&gt;"", IF('Cost Inputs'!$L$149="Y", $E558, IF('Cost Inputs'!$L$149="N", IF(AND(ISNUMBER('Cost Inputs'!$M$149), OR('Cost Inputs'!$M$149=2, 'Cost Inputs'!$M$149=4)), $E558, ""),"")),""),"")</f>
        <v/>
      </c>
      <c r="T558" s="93" t="str">
        <f>IF(ISNUMBER($B$537), IF($C558&lt;&gt;"", IF('Cost Inputs'!$L$149="Y", $E558, IF('Cost Inputs'!$L$149="N", IF(AND(ISNUMBER('Cost Inputs'!$M$149), OR('Cost Inputs'!$M$149=2,'Cost Inputs'!$M$149=5)), $E558, ""),"")),""),"")</f>
        <v/>
      </c>
      <c r="U558" s="93" t="str">
        <f>IF(ISNUMBER($B$537), IF($C558&lt;&gt;"", IF('Cost Inputs'!$L$149="Y", $E558, IF('Cost Inputs'!$L$149="N", IF(AND(ISNUMBER('Cost Inputs'!$M$149), OR('Cost Inputs'!$M$149=2,'Cost Inputs'!$M$149=3,'Cost Inputs'!$M$149=6)), $E558, ""),"")),""),"")</f>
        <v/>
      </c>
      <c r="V558" s="93" t="str">
        <f>IF(ISNUMBER($B$537), IF($C558&lt;&gt;"", IF('Cost Inputs'!$L$149="Y", $E558, IF('Cost Inputs'!$L$149="N", IF(AND(ISNUMBER('Cost Inputs'!$M$149), OR('Cost Inputs'!$M$149=2,'Cost Inputs'!$M$149=7)), $E558, ""),"")),""),"")</f>
        <v/>
      </c>
      <c r="W558" s="93" t="str">
        <f>IF(ISNUMBER($B$537), IF($C558&lt;&gt;"", IF('Cost Inputs'!$L$149="Y", $E558, IF('Cost Inputs'!$L$149="N", IF(AND(ISNUMBER('Cost Inputs'!$M$149), OR('Cost Inputs'!$M$149=2,'Cost Inputs'!$M$149=4,'Cost Inputs'!$M$149=8)), $E558, ""),"")),""),"")</f>
        <v/>
      </c>
      <c r="X558" s="93" t="str">
        <f>IF(ISNUMBER($B$537), IF($C558&lt;&gt;"", IF('Cost Inputs'!$L$149="Y", $E558, IF('Cost Inputs'!$L$149="N", IF(AND(ISNUMBER('Cost Inputs'!$M$149), OR('Cost Inputs'!$M$149=2,'Cost Inputs'!$M$149=3,'Cost Inputs'!$M$149=9)), $E558, ""),"")),""),"")</f>
        <v/>
      </c>
      <c r="Y558" s="17"/>
      <c r="Z558" s="17"/>
      <c r="AA558" s="17"/>
      <c r="AB558" s="17"/>
      <c r="AC558" s="17"/>
      <c r="AD558" s="17"/>
      <c r="AE558" s="17"/>
      <c r="AF558" s="17"/>
      <c r="AG558" s="17"/>
      <c r="AH558" s="17"/>
      <c r="AI558" s="17"/>
      <c r="AJ558" s="17"/>
      <c r="AK558" s="17"/>
      <c r="AL558" s="17"/>
      <c r="AM558" s="17"/>
      <c r="AN558" s="17"/>
      <c r="AO558" s="17"/>
      <c r="AP558" s="17"/>
      <c r="AQ558" s="17"/>
    </row>
    <row r="559" spans="1:43" x14ac:dyDescent="0.25">
      <c r="A559" s="518"/>
      <c r="B559" s="504"/>
      <c r="C559" s="110" t="str">
        <f>IF(ISNUMBER(B537), _5_4_0, "")</f>
        <v/>
      </c>
      <c r="D559" s="94" t="str">
        <f>IF(AND(C559&lt;&gt;"", 'Cost Inputs'!$G$150&lt;&gt;""), 'Cost Inputs'!$G$150, "")</f>
        <v/>
      </c>
      <c r="E559" s="94" t="str">
        <f>IF(AND(C559&lt;&gt;"", 'Cost Inputs'!$H$150&lt;&gt;""), 'Cost Inputs'!$H$150, "")</f>
        <v/>
      </c>
      <c r="F559" s="94" t="str">
        <f>IF(AND(C559&lt;&gt;"", 'Cost Inputs'!$I$150&lt;&gt;""), 'Cost Inputs'!$I$150, "")</f>
        <v/>
      </c>
      <c r="G559" s="102" t="str">
        <f t="shared" si="455"/>
        <v/>
      </c>
      <c r="H559" s="102" t="str">
        <f>IF(AND(C559&lt;&gt;"", 'Cost Inputs'!$J$150&lt;&gt;""), 'Cost Inputs'!$J$150, "")</f>
        <v/>
      </c>
      <c r="I559" s="102" t="str">
        <f t="shared" si="456"/>
        <v/>
      </c>
      <c r="J559" s="102" t="str">
        <f>IF(AND(C559&lt;&gt;"",('Cost Inputs'!$I$150+'Cost Inputs'!$J$150+'Cost Inputs'!$K$150)&gt;0), 'Cost Inputs'!$I$150+'Cost Inputs'!$J$150+'Cost Inputs'!$K$150, "")</f>
        <v/>
      </c>
      <c r="K559" s="102" t="str">
        <f t="shared" si="457"/>
        <v/>
      </c>
      <c r="L559" s="94"/>
      <c r="M559" s="103"/>
      <c r="O559" s="102" t="str">
        <f>IF(ISNUMBER($B$537), IF($C559&lt;&gt;"", IF('Cost Inputs'!$L$150="Y", $E559, IF('Cost Inputs'!$L$150="N", IF(ISNUMBER('Cost Inputs'!$M$150), $E559, ""),"")),""),"")</f>
        <v/>
      </c>
      <c r="P559" s="102" t="str">
        <f>IF(ISNUMBER($B$537), IF($C559&lt;&gt;"", IF('Cost Inputs'!$L$150="Y", $E559, IF('Cost Inputs'!$L$150="N", "", "")),""),"")</f>
        <v/>
      </c>
      <c r="Q559" s="102" t="str">
        <f>IF(ISNUMBER($B$537), IF($C559&lt;&gt;"", IF('Cost Inputs'!$L$150="Y", $E559, IF('Cost Inputs'!$L$150="N", IF(AND(ISNUMBER('Cost Inputs'!$M$150), OR('Cost Inputs'!$M$150=2)), $E559, ""),"")),""),"")</f>
        <v/>
      </c>
      <c r="R559" s="102" t="str">
        <f>IF(ISNUMBER($B$537), IF($C559&lt;&gt;"", IF('Cost Inputs'!$L$150="Y", $E559, IF('Cost Inputs'!$L$150="N", IF(AND(ISNUMBER('Cost Inputs'!$M$150), OR('Cost Inputs'!$M$150=3)), $E559, ""),"")),""),"")</f>
        <v/>
      </c>
      <c r="S559" s="102" t="str">
        <f>IF(ISNUMBER($B$537), IF($C559&lt;&gt;"", IF('Cost Inputs'!$L$150="Y", $E559, IF('Cost Inputs'!$L$150="N", IF(AND(ISNUMBER('Cost Inputs'!$M$150), OR('Cost Inputs'!$M$150=2, 'Cost Inputs'!$M$150=4)), $E559, ""),"")),""),"")</f>
        <v/>
      </c>
      <c r="T559" s="102" t="str">
        <f>IF(ISNUMBER($B$537), IF($C559&lt;&gt;"", IF('Cost Inputs'!$L$150="Y", $E559, IF('Cost Inputs'!$L$150="N", IF(AND(ISNUMBER('Cost Inputs'!$M$150), OR('Cost Inputs'!$M$150=2,'Cost Inputs'!$M$150=5)), $E559, ""),"")),""),"")</f>
        <v/>
      </c>
      <c r="U559" s="102" t="str">
        <f>IF(ISNUMBER($B$537), IF($C559&lt;&gt;"", IF('Cost Inputs'!$L$150="Y", $E559, IF('Cost Inputs'!$L$150="N", IF(AND(ISNUMBER('Cost Inputs'!$M$150), OR('Cost Inputs'!$M$150=2,'Cost Inputs'!$M$150=3,'Cost Inputs'!$M$150=6)), $E559, ""),"")),""),"")</f>
        <v/>
      </c>
      <c r="V559" s="102" t="str">
        <f>IF(ISNUMBER($B$537), IF($C559&lt;&gt;"", IF('Cost Inputs'!$L$150="Y", $E559, IF('Cost Inputs'!$L$150="N", IF(AND(ISNUMBER('Cost Inputs'!$M$150), OR('Cost Inputs'!$M$150=2,'Cost Inputs'!$M$150=7)), $E559, ""),"")),""),"")</f>
        <v/>
      </c>
      <c r="W559" s="102" t="str">
        <f>IF(ISNUMBER($B$537), IF($C559&lt;&gt;"", IF('Cost Inputs'!$L$150="Y", $E559, IF('Cost Inputs'!$L$150="N", IF(AND(ISNUMBER('Cost Inputs'!$M$150), OR('Cost Inputs'!$M$150=2,'Cost Inputs'!$M$150=4,'Cost Inputs'!$M$150=8)), $E559, ""),"")),""),"")</f>
        <v/>
      </c>
      <c r="X559" s="102" t="str">
        <f>IF(ISNUMBER($B$537), IF($C559&lt;&gt;"", IF('Cost Inputs'!$L$150="Y", $E559, IF('Cost Inputs'!$L$150="N", IF(AND(ISNUMBER('Cost Inputs'!$M$150), OR('Cost Inputs'!$M$150=2,'Cost Inputs'!$M$150=3,'Cost Inputs'!$M$150=9)), $E559, ""),"")),""),"")</f>
        <v/>
      </c>
      <c r="Y559" s="105"/>
      <c r="Z559" s="105"/>
      <c r="AA559" s="105"/>
      <c r="AB559" s="105"/>
      <c r="AC559" s="105"/>
      <c r="AD559" s="105"/>
      <c r="AE559" s="105"/>
      <c r="AF559" s="105"/>
      <c r="AG559" s="105"/>
      <c r="AH559" s="105"/>
      <c r="AI559" s="105"/>
      <c r="AJ559" s="105"/>
      <c r="AK559" s="105"/>
      <c r="AL559" s="105"/>
      <c r="AM559" s="105"/>
      <c r="AN559" s="105"/>
      <c r="AO559" s="105"/>
      <c r="AP559" s="105"/>
      <c r="AQ559" s="105"/>
    </row>
    <row r="560" spans="1:43" x14ac:dyDescent="0.25">
      <c r="A560" s="518"/>
      <c r="B560" s="504"/>
      <c r="C560" s="104" t="str">
        <f>IF(AND(ISNUMBER(B537), OR('Cost Inputs'!$H$151&lt;&gt;"", 'Cost Inputs'!$I$151&lt;&gt;"", 'Cost Inputs'!$J$151&lt;&gt;"")), _5_4_1, "")</f>
        <v/>
      </c>
      <c r="D560" s="17" t="str">
        <f>IF(AND(C560&lt;&gt;"", 'Cost Inputs'!$G$151&lt;&gt;""), 'Cost Inputs'!$G$151, "")</f>
        <v/>
      </c>
      <c r="E560" s="17" t="str">
        <f>IF(AND(C560&lt;&gt;"", 'Cost Inputs'!$H$151&lt;&gt;""), 'Cost Inputs'!$H$151, "")</f>
        <v/>
      </c>
      <c r="F560" s="17" t="str">
        <f>IF(AND(C560&lt;&gt;"", 'Cost Inputs'!$I$151&lt;&gt;""), 'Cost Inputs'!$I$151, "")</f>
        <v/>
      </c>
      <c r="G560" s="105" t="str">
        <f t="shared" si="455"/>
        <v/>
      </c>
      <c r="H560" s="17" t="str">
        <f>IF(AND(C560&lt;&gt;"", 'Cost Inputs'!$J$151&lt;&gt;""), 'Cost Inputs'!$J$151, "")</f>
        <v/>
      </c>
      <c r="I560" s="17" t="str">
        <f t="shared" si="456"/>
        <v/>
      </c>
      <c r="J560" s="17" t="str">
        <f>IF(AND(C560&lt;&gt;"",('Cost Inputs'!$I$151+'Cost Inputs'!$J$151+'Cost Inputs'!$K$151)&gt;0), 'Cost Inputs'!$I$151+'Cost Inputs'!$J$151+'Cost Inputs'!$K$151, "")</f>
        <v/>
      </c>
      <c r="K560" s="17" t="str">
        <f t="shared" si="457"/>
        <v/>
      </c>
      <c r="M560" s="106"/>
      <c r="O560" s="17" t="str">
        <f>IF(ISNUMBER($B$537), IF($C560&lt;&gt;"", IF('Cost Inputs'!$L$151="Y", $E560, IF('Cost Inputs'!$L$151="N", IF(ISNUMBER('Cost Inputs'!$M$151), $E560, ""),"")),""),"")</f>
        <v/>
      </c>
      <c r="P560" s="17" t="str">
        <f>IF(ISNUMBER($B$537), IF($C560&lt;&gt;"", IF('Cost Inputs'!$L$151="Y", $E560, IF('Cost Inputs'!$L$151="N", "", "")),""),"")</f>
        <v/>
      </c>
      <c r="Q560" s="17" t="str">
        <f>IF(ISNUMBER($B$537), IF($C560&lt;&gt;"", IF('Cost Inputs'!$L$151="Y", $E560, IF('Cost Inputs'!$L$151="N", IF(AND(ISNUMBER('Cost Inputs'!$M$151), OR('Cost Inputs'!$M$151=2)), $E560, ""),"")),""),"")</f>
        <v/>
      </c>
      <c r="R560" s="17" t="str">
        <f>IF(ISNUMBER($B$537), IF($C560&lt;&gt;"", IF('Cost Inputs'!$L$151="Y", $E560, IF('Cost Inputs'!$L$151="N", IF(AND(ISNUMBER('Cost Inputs'!$M$151), OR('Cost Inputs'!$M$151=3)), $E560, ""),"")),""),"")</f>
        <v/>
      </c>
      <c r="S560" s="17" t="str">
        <f>IF(ISNUMBER($B$537), IF($C560&lt;&gt;"", IF('Cost Inputs'!$L$151="Y", $E560, IF('Cost Inputs'!$L$151="N", IF(AND(ISNUMBER('Cost Inputs'!$M$151), OR('Cost Inputs'!$M$151=2, 'Cost Inputs'!$M$151=4)), $E560, ""),"")),""),"")</f>
        <v/>
      </c>
      <c r="T560" s="17" t="str">
        <f>IF(ISNUMBER($B$537), IF($C560&lt;&gt;"", IF('Cost Inputs'!$L$151="Y", $E560, IF('Cost Inputs'!$L$151="N", IF(AND(ISNUMBER('Cost Inputs'!$M$151), OR('Cost Inputs'!$M$151=2,'Cost Inputs'!$M$151=5)), $E560, ""),"")),""),"")</f>
        <v/>
      </c>
      <c r="U560" s="17" t="str">
        <f>IF(ISNUMBER($B$537), IF($C560&lt;&gt;"", IF('Cost Inputs'!$L$151="Y", $E560, IF('Cost Inputs'!$L$151="N", IF(AND(ISNUMBER('Cost Inputs'!$M$151), OR('Cost Inputs'!$M$151=2,'Cost Inputs'!$M$151=3,'Cost Inputs'!$M$151=6)), $E560, ""),"")),""),"")</f>
        <v/>
      </c>
      <c r="V560" s="17" t="str">
        <f>IF(ISNUMBER($B$537), IF($C560&lt;&gt;"", IF('Cost Inputs'!$L$151="Y", $E560, IF('Cost Inputs'!$L$151="N", IF(AND(ISNUMBER('Cost Inputs'!$M$151), OR('Cost Inputs'!$M$151=2,'Cost Inputs'!$M$151=7)), $E560, ""),"")),""),"")</f>
        <v/>
      </c>
      <c r="W560" s="17" t="str">
        <f>IF(ISNUMBER($B$537), IF($C560&lt;&gt;"", IF('Cost Inputs'!$L$151="Y", $E560, IF('Cost Inputs'!$L$151="N", IF(AND(ISNUMBER('Cost Inputs'!$M$151), OR('Cost Inputs'!$M$151=2,'Cost Inputs'!$M$151=4,'Cost Inputs'!$M$151=8)), $E560, ""),"")),""),"")</f>
        <v/>
      </c>
      <c r="X560" s="17" t="str">
        <f>IF(ISNUMBER($B$537), IF($C560&lt;&gt;"", IF('Cost Inputs'!$L$151="Y", $E560, IF('Cost Inputs'!$L$151="N", IF(AND(ISNUMBER('Cost Inputs'!$M$151), OR('Cost Inputs'!$M$151=2,'Cost Inputs'!$M$151=3,'Cost Inputs'!$M$151=9)), $E560, ""),"")),""),"")</f>
        <v/>
      </c>
      <c r="Y560" s="17"/>
      <c r="Z560" s="17"/>
      <c r="AA560" s="17"/>
      <c r="AB560" s="17"/>
      <c r="AC560" s="17"/>
      <c r="AD560" s="17"/>
      <c r="AE560" s="17"/>
      <c r="AF560" s="17"/>
      <c r="AG560" s="17"/>
      <c r="AH560" s="17"/>
      <c r="AI560" s="17"/>
      <c r="AJ560" s="17"/>
      <c r="AK560" s="17"/>
      <c r="AL560" s="17"/>
      <c r="AM560" s="17"/>
      <c r="AN560" s="17"/>
      <c r="AO560" s="17"/>
      <c r="AP560" s="17"/>
      <c r="AQ560" s="17"/>
    </row>
    <row r="561" spans="1:43" x14ac:dyDescent="0.25">
      <c r="A561" s="518"/>
      <c r="B561" s="504"/>
      <c r="C561" s="107" t="str">
        <f>IF(AND(ISNUMBER(B537), OR('Cost Inputs'!$H$152&lt;&gt;"", 'Cost Inputs'!$I$152&lt;&gt;"", 'Cost Inputs'!$J$152&lt;&gt;"")), _5_4_2, "")</f>
        <v/>
      </c>
      <c r="D561" s="93" t="str">
        <f>IF(AND(C561&lt;&gt;"", 'Cost Inputs'!$G$152&lt;&gt;""), 'Cost Inputs'!$G$152, "")</f>
        <v/>
      </c>
      <c r="E561" s="93" t="str">
        <f>IF(AND(C561&lt;&gt;"", 'Cost Inputs'!$H$152&lt;&gt;""), 'Cost Inputs'!$H$152, "")</f>
        <v/>
      </c>
      <c r="F561" s="93" t="str">
        <f>IF(AND(C561&lt;&gt;"", 'Cost Inputs'!$I$152&lt;&gt;""), 'Cost Inputs'!$I$152, "")</f>
        <v/>
      </c>
      <c r="G561" s="108" t="str">
        <f t="shared" si="455"/>
        <v/>
      </c>
      <c r="H561" s="93" t="str">
        <f>IF(AND(C561&lt;&gt;"", 'Cost Inputs'!$J$152&lt;&gt;""), 'Cost Inputs'!$J$152, "")</f>
        <v/>
      </c>
      <c r="I561" s="93" t="str">
        <f t="shared" si="456"/>
        <v/>
      </c>
      <c r="J561" s="93" t="str">
        <f>IF(AND(C561&lt;&gt;"",('Cost Inputs'!$I$152+'Cost Inputs'!$J$152+'Cost Inputs'!$K$152)&gt;0), 'Cost Inputs'!$I$152+'Cost Inputs'!$J$152+'Cost Inputs'!$K$152, "")</f>
        <v/>
      </c>
      <c r="K561" s="93" t="str">
        <f t="shared" si="457"/>
        <v/>
      </c>
      <c r="L561" s="93"/>
      <c r="M561" s="109"/>
      <c r="O561" s="93" t="str">
        <f>IF(ISNUMBER($B$537), IF($C561&lt;&gt;"", IF('Cost Inputs'!$L$152="Y", $E561, IF('Cost Inputs'!$L$152="N", IF(ISNUMBER('Cost Inputs'!$M$152), $E561, ""),"")),""),"")</f>
        <v/>
      </c>
      <c r="P561" s="93" t="str">
        <f>IF(ISNUMBER($B$537), IF($C561&lt;&gt;"", IF('Cost Inputs'!$L$152="Y", $E561, IF('Cost Inputs'!$L$152="N", "", "")),""),"")</f>
        <v/>
      </c>
      <c r="Q561" s="93" t="str">
        <f>IF(ISNUMBER($B$537), IF($C561&lt;&gt;"", IF('Cost Inputs'!$L$152="Y", $E561, IF('Cost Inputs'!$L$152="N", IF(AND(ISNUMBER('Cost Inputs'!$M$152), OR('Cost Inputs'!$M$152=2)), $E561, ""),"")),""),"")</f>
        <v/>
      </c>
      <c r="R561" s="93" t="str">
        <f>IF(ISNUMBER($B$537), IF($C561&lt;&gt;"", IF('Cost Inputs'!$L$152="Y", $E561, IF('Cost Inputs'!$L$152="N", IF(AND(ISNUMBER('Cost Inputs'!$M$152), OR('Cost Inputs'!$M$152=3)), $E561, ""),"")),""),"")</f>
        <v/>
      </c>
      <c r="S561" s="93" t="str">
        <f>IF(ISNUMBER($B$537), IF($C561&lt;&gt;"", IF('Cost Inputs'!$L$152="Y", $E561, IF('Cost Inputs'!$L$152="N", IF(AND(ISNUMBER('Cost Inputs'!$M$152), OR('Cost Inputs'!$M$152=2, 'Cost Inputs'!$M$152=4)), $E561, ""),"")),""),"")</f>
        <v/>
      </c>
      <c r="T561" s="93" t="str">
        <f>IF(ISNUMBER($B$537), IF($C561&lt;&gt;"", IF('Cost Inputs'!$L$152="Y", $E561, IF('Cost Inputs'!$L$152="N", IF(AND(ISNUMBER('Cost Inputs'!$M$152), OR('Cost Inputs'!$M$152=2,'Cost Inputs'!$M$152=5)), $E561, ""),"")),""),"")</f>
        <v/>
      </c>
      <c r="U561" s="93" t="str">
        <f>IF(ISNUMBER($B$537), IF($C561&lt;&gt;"", IF('Cost Inputs'!$L$152="Y", $E561, IF('Cost Inputs'!$L$152="N", IF(AND(ISNUMBER('Cost Inputs'!$M$152), OR('Cost Inputs'!$M$152=2,'Cost Inputs'!$M$152=3,'Cost Inputs'!$M$152=6)), $E561, ""),"")),""),"")</f>
        <v/>
      </c>
      <c r="V561" s="93" t="str">
        <f>IF(ISNUMBER($B$537), IF($C561&lt;&gt;"", IF('Cost Inputs'!$L$152="Y", $E561, IF('Cost Inputs'!$L$152="N", IF(AND(ISNUMBER('Cost Inputs'!$M$152), OR('Cost Inputs'!$M$152=2,'Cost Inputs'!$M$152=7)), $E561, ""),"")),""),"")</f>
        <v/>
      </c>
      <c r="W561" s="93" t="str">
        <f>IF(ISNUMBER($B$537), IF($C561&lt;&gt;"", IF('Cost Inputs'!$L$152="Y", $E561, IF('Cost Inputs'!$L$152="N", IF(AND(ISNUMBER('Cost Inputs'!$M$152), OR('Cost Inputs'!$M$152=2,'Cost Inputs'!$M$152=4,'Cost Inputs'!$M$152=8)), $E561, ""),"")),""),"")</f>
        <v/>
      </c>
      <c r="X561" s="93" t="str">
        <f>IF(ISNUMBER($B$537), IF($C561&lt;&gt;"", IF('Cost Inputs'!$L$152="Y", $E561, IF('Cost Inputs'!$L$152="N", IF(AND(ISNUMBER('Cost Inputs'!$M$152), OR('Cost Inputs'!$M$152=2,'Cost Inputs'!$M$152=3,'Cost Inputs'!$M$152=9)), $E561, ""),"")),""),"")</f>
        <v/>
      </c>
      <c r="Y561" s="17"/>
      <c r="Z561" s="17"/>
      <c r="AA561" s="17"/>
      <c r="AB561" s="17"/>
      <c r="AC561" s="17"/>
      <c r="AD561" s="17"/>
      <c r="AE561" s="17"/>
      <c r="AF561" s="17"/>
      <c r="AG561" s="17"/>
      <c r="AH561" s="17"/>
      <c r="AI561" s="17"/>
      <c r="AJ561" s="17"/>
      <c r="AK561" s="17"/>
      <c r="AL561" s="17"/>
      <c r="AM561" s="17"/>
      <c r="AN561" s="17"/>
      <c r="AO561" s="17"/>
      <c r="AP561" s="17"/>
      <c r="AQ561" s="17"/>
    </row>
    <row r="562" spans="1:43" x14ac:dyDescent="0.25">
      <c r="A562" s="518"/>
      <c r="B562" s="504"/>
      <c r="C562" s="104" t="str">
        <f>IF(AND(ISNUMBER(B537), OR('Cost Inputs'!$H$153&lt;&gt;"", 'Cost Inputs'!$I$153&lt;&gt;"", 'Cost Inputs'!$J$153&lt;&gt;"")), _5_4_3, "")</f>
        <v/>
      </c>
      <c r="D562" s="17" t="str">
        <f>IF(AND(C562&lt;&gt;"", 'Cost Inputs'!$G$153&lt;&gt;""), 'Cost Inputs'!$G$153, "")</f>
        <v/>
      </c>
      <c r="E562" s="17" t="str">
        <f>IF(AND(C562&lt;&gt;"", 'Cost Inputs'!$H$153&lt;&gt;""), 'Cost Inputs'!$H$153, "")</f>
        <v/>
      </c>
      <c r="F562" s="17" t="str">
        <f>IF(AND(C562&lt;&gt;"", 'Cost Inputs'!$I$153&lt;&gt;""), 'Cost Inputs'!$I$153, "")</f>
        <v/>
      </c>
      <c r="G562" s="105" t="str">
        <f t="shared" si="455"/>
        <v/>
      </c>
      <c r="H562" s="17" t="str">
        <f>IF(AND(C562&lt;&gt;"", 'Cost Inputs'!$J$153&lt;&gt;""), 'Cost Inputs'!$J$153, "")</f>
        <v/>
      </c>
      <c r="I562" s="17" t="str">
        <f t="shared" si="456"/>
        <v/>
      </c>
      <c r="J562" s="17" t="str">
        <f>IF(AND(C562&lt;&gt;"",('Cost Inputs'!$I$153+'Cost Inputs'!$J$153+'Cost Inputs'!$K$153)&gt;0), 'Cost Inputs'!$I$153+'Cost Inputs'!$J$153+'Cost Inputs'!$K$153, "")</f>
        <v/>
      </c>
      <c r="K562" s="17" t="str">
        <f t="shared" si="457"/>
        <v/>
      </c>
      <c r="M562" s="106"/>
      <c r="O562" s="17" t="str">
        <f>IF(ISNUMBER($B$537), IF($C562&lt;&gt;"", IF('Cost Inputs'!$L$153="Y", $E562, IF('Cost Inputs'!$L$153="N", IF(ISNUMBER('Cost Inputs'!$M$153), $E562, ""),"")),""),"")</f>
        <v/>
      </c>
      <c r="P562" s="17" t="str">
        <f>IF(ISNUMBER($B$537), IF($C562&lt;&gt;"", IF('Cost Inputs'!$L$153="Y", $E562, IF('Cost Inputs'!$L$153="N", "", "")),""),"")</f>
        <v/>
      </c>
      <c r="Q562" s="17" t="str">
        <f>IF(ISNUMBER($B$537), IF($C562&lt;&gt;"", IF('Cost Inputs'!$L$153="Y", $E562, IF('Cost Inputs'!$L$153="N", IF(AND(ISNUMBER('Cost Inputs'!$M$153), OR('Cost Inputs'!$M$153=2)), $E562, ""),"")),""),"")</f>
        <v/>
      </c>
      <c r="R562" s="17" t="str">
        <f>IF(ISNUMBER($B$537), IF($C562&lt;&gt;"", IF('Cost Inputs'!$L$153="Y", $E562, IF('Cost Inputs'!$L$153="N", IF(AND(ISNUMBER('Cost Inputs'!$M$153), OR('Cost Inputs'!$M$153=3)), $E562, ""),"")),""),"")</f>
        <v/>
      </c>
      <c r="S562" s="17" t="str">
        <f>IF(ISNUMBER($B$537), IF($C562&lt;&gt;"", IF('Cost Inputs'!$L$153="Y", $E562, IF('Cost Inputs'!$L$153="N", IF(AND(ISNUMBER('Cost Inputs'!$M$153), OR('Cost Inputs'!$M$153=2, 'Cost Inputs'!$M$153=4)), $E562, ""),"")),""),"")</f>
        <v/>
      </c>
      <c r="T562" s="17" t="str">
        <f>IF(ISNUMBER($B$537), IF($C562&lt;&gt;"", IF('Cost Inputs'!$L$153="Y", $E562, IF('Cost Inputs'!$L$153="N", IF(AND(ISNUMBER('Cost Inputs'!$M$153), OR('Cost Inputs'!$M$153=2,'Cost Inputs'!$M$153=5)), $E562, ""),"")),""),"")</f>
        <v/>
      </c>
      <c r="U562" s="17" t="str">
        <f>IF(ISNUMBER($B$537), IF($C562&lt;&gt;"", IF('Cost Inputs'!$L$153="Y", $E562, IF('Cost Inputs'!$L$153="N", IF(AND(ISNUMBER('Cost Inputs'!$M$153), OR('Cost Inputs'!$M$153=2,'Cost Inputs'!$M$153=3,'Cost Inputs'!$M$153=6)), $E562, ""),"")),""),"")</f>
        <v/>
      </c>
      <c r="V562" s="17" t="str">
        <f>IF(ISNUMBER($B$537), IF($C562&lt;&gt;"", IF('Cost Inputs'!$L$153="Y", $E562, IF('Cost Inputs'!$L$153="N", IF(AND(ISNUMBER('Cost Inputs'!$M$153), OR('Cost Inputs'!$M$153=2,'Cost Inputs'!$M$153=7)), $E562, ""),"")),""),"")</f>
        <v/>
      </c>
      <c r="W562" s="17" t="str">
        <f>IF(ISNUMBER($B$537), IF($C562&lt;&gt;"", IF('Cost Inputs'!$L$153="Y", $E562, IF('Cost Inputs'!$L$153="N", IF(AND(ISNUMBER('Cost Inputs'!$M$153), OR('Cost Inputs'!$M$153=2,'Cost Inputs'!$M$153=4,'Cost Inputs'!$M$153=8)), $E562, ""),"")),""),"")</f>
        <v/>
      </c>
      <c r="X562" s="17" t="str">
        <f>IF(ISNUMBER($B$537), IF($C562&lt;&gt;"", IF('Cost Inputs'!$L$153="Y", $E562, IF('Cost Inputs'!$L$153="N", IF(AND(ISNUMBER('Cost Inputs'!$M$153), OR('Cost Inputs'!$M$153=2,'Cost Inputs'!$M$153=3,'Cost Inputs'!$M$153=9)), $E562, ""),"")),""),"")</f>
        <v/>
      </c>
      <c r="Y562" s="17"/>
      <c r="Z562" s="17"/>
      <c r="AA562" s="17"/>
      <c r="AB562" s="17"/>
      <c r="AC562" s="17"/>
      <c r="AD562" s="17"/>
      <c r="AE562" s="17"/>
      <c r="AF562" s="17"/>
      <c r="AG562" s="17"/>
      <c r="AH562" s="17"/>
      <c r="AI562" s="17"/>
      <c r="AJ562" s="17"/>
      <c r="AK562" s="17"/>
      <c r="AL562" s="17"/>
      <c r="AM562" s="17"/>
      <c r="AN562" s="17"/>
      <c r="AO562" s="17"/>
      <c r="AP562" s="17"/>
      <c r="AQ562" s="17"/>
    </row>
    <row r="563" spans="1:43" x14ac:dyDescent="0.25">
      <c r="A563" s="518"/>
      <c r="B563" s="504"/>
      <c r="C563" s="107" t="str">
        <f>IF(AND(ISNUMBER(B537), OR('Cost Inputs'!$H$154&lt;&gt;"", 'Cost Inputs'!$I$154&lt;&gt;"", 'Cost Inputs'!$J$154&lt;&gt;"")), _5_4_4, "")</f>
        <v/>
      </c>
      <c r="D563" s="93" t="str">
        <f>IF(AND(C563&lt;&gt;"", 'Cost Inputs'!$G$154&lt;&gt;""), 'Cost Inputs'!$G$154, "")</f>
        <v/>
      </c>
      <c r="E563" s="93" t="str">
        <f>IF(AND(C563&lt;&gt;"", 'Cost Inputs'!$H$154&lt;&gt;""), 'Cost Inputs'!$H$154, "")</f>
        <v/>
      </c>
      <c r="F563" s="93" t="str">
        <f>IF(AND(C563&lt;&gt;"", 'Cost Inputs'!$I$154&lt;&gt;""), 'Cost Inputs'!$I$154, "")</f>
        <v/>
      </c>
      <c r="G563" s="108" t="str">
        <f t="shared" si="455"/>
        <v/>
      </c>
      <c r="H563" s="93" t="str">
        <f>IF(AND(C563&lt;&gt;"", 'Cost Inputs'!$J$154&lt;&gt;""), 'Cost Inputs'!$J$154, "")</f>
        <v/>
      </c>
      <c r="I563" s="93" t="str">
        <f t="shared" si="456"/>
        <v/>
      </c>
      <c r="J563" s="93" t="str">
        <f>IF(AND(C563&lt;&gt;"",('Cost Inputs'!$I$154+'Cost Inputs'!$J$154+'Cost Inputs'!$K$154)&gt;0), 'Cost Inputs'!$I$154+'Cost Inputs'!$J$154+'Cost Inputs'!$K$154, "")</f>
        <v/>
      </c>
      <c r="K563" s="93" t="str">
        <f t="shared" si="457"/>
        <v/>
      </c>
      <c r="L563" s="93"/>
      <c r="M563" s="109"/>
      <c r="O563" s="93" t="str">
        <f>IF(ISNUMBER($B$537), IF($C563&lt;&gt;"", IF('Cost Inputs'!$L$154="Y", $E563, IF('Cost Inputs'!$L$154="N", IF(ISNUMBER('Cost Inputs'!$M$154), $E563, ""),"")),""),"")</f>
        <v/>
      </c>
      <c r="P563" s="93" t="str">
        <f>IF(ISNUMBER($B$537), IF($C563&lt;&gt;"", IF('Cost Inputs'!$L$154="Y", $E563, IF('Cost Inputs'!$L$154="N", "", "")),""),"")</f>
        <v/>
      </c>
      <c r="Q563" s="93" t="str">
        <f>IF(ISNUMBER($B$537), IF($C563&lt;&gt;"", IF('Cost Inputs'!$L$154="Y", $E563, IF('Cost Inputs'!$L$154="N", IF(AND(ISNUMBER('Cost Inputs'!$M$154), OR('Cost Inputs'!$M$154=2)), $E563, ""),"")),""),"")</f>
        <v/>
      </c>
      <c r="R563" s="93" t="str">
        <f>IF(ISNUMBER($B$537), IF($C563&lt;&gt;"", IF('Cost Inputs'!$L$154="Y", $E563, IF('Cost Inputs'!$L$154="N", IF(AND(ISNUMBER('Cost Inputs'!$M$154), OR('Cost Inputs'!$M$154=3)), $E563, ""),"")),""),"")</f>
        <v/>
      </c>
      <c r="S563" s="93" t="str">
        <f>IF(ISNUMBER($B$537), IF($C563&lt;&gt;"", IF('Cost Inputs'!$L$154="Y", $E563, IF('Cost Inputs'!$L$154="N", IF(AND(ISNUMBER('Cost Inputs'!$M$154), OR('Cost Inputs'!$M$154=2, 'Cost Inputs'!$M$154=4)), $E563, ""),"")),""),"")</f>
        <v/>
      </c>
      <c r="T563" s="93" t="str">
        <f>IF(ISNUMBER($B$537), IF($C563&lt;&gt;"", IF('Cost Inputs'!$L$154="Y", $E563, IF('Cost Inputs'!$L$154="N", IF(AND(ISNUMBER('Cost Inputs'!$M$154), OR('Cost Inputs'!$M$154=2,'Cost Inputs'!$M$154=5)), $E563, ""),"")),""),"")</f>
        <v/>
      </c>
      <c r="U563" s="93" t="str">
        <f>IF(ISNUMBER($B$537), IF($C563&lt;&gt;"", IF('Cost Inputs'!$L$154="Y", $E563, IF('Cost Inputs'!$L$154="N", IF(AND(ISNUMBER('Cost Inputs'!$M$154), OR('Cost Inputs'!$M$154=2,'Cost Inputs'!$M$154=3,'Cost Inputs'!$M$154=6)), $E563, ""),"")),""),"")</f>
        <v/>
      </c>
      <c r="V563" s="93" t="str">
        <f>IF(ISNUMBER($B$537), IF($C563&lt;&gt;"", IF('Cost Inputs'!$L$154="Y", $E563, IF('Cost Inputs'!$L$154="N", IF(AND(ISNUMBER('Cost Inputs'!$M$154), OR('Cost Inputs'!$M$154=2,'Cost Inputs'!$M$154=7)), $E563, ""),"")),""),"")</f>
        <v/>
      </c>
      <c r="W563" s="93" t="str">
        <f>IF(ISNUMBER($B$537), IF($C563&lt;&gt;"", IF('Cost Inputs'!$L$154="Y", $E563, IF('Cost Inputs'!$L$154="N", IF(AND(ISNUMBER('Cost Inputs'!$M$154), OR('Cost Inputs'!$M$154=2,'Cost Inputs'!$M$154=4,'Cost Inputs'!$M$154=8)), $E563, ""),"")),""),"")</f>
        <v/>
      </c>
      <c r="X563" s="93" t="str">
        <f>IF(ISNUMBER($B$537), IF($C563&lt;&gt;"", IF('Cost Inputs'!$L$154="Y", $E563, IF('Cost Inputs'!$L$154="N", IF(AND(ISNUMBER('Cost Inputs'!$M$154), OR('Cost Inputs'!$M$154=2,'Cost Inputs'!$M$154=3,'Cost Inputs'!$M$154=9)), $E563, ""),"")),""),"")</f>
        <v/>
      </c>
      <c r="Y563" s="17"/>
      <c r="Z563" s="17"/>
      <c r="AA563" s="17"/>
      <c r="AB563" s="17"/>
      <c r="AC563" s="17"/>
      <c r="AD563" s="17"/>
      <c r="AE563" s="17"/>
      <c r="AF563" s="17"/>
      <c r="AG563" s="17"/>
      <c r="AH563" s="17"/>
      <c r="AI563" s="17"/>
      <c r="AJ563" s="17"/>
      <c r="AK563" s="17"/>
      <c r="AL563" s="17"/>
      <c r="AM563" s="17"/>
      <c r="AN563" s="17"/>
      <c r="AO563" s="17"/>
      <c r="AP563" s="17"/>
      <c r="AQ563" s="17"/>
    </row>
    <row r="564" spans="1:43" x14ac:dyDescent="0.25">
      <c r="A564" s="518"/>
      <c r="B564" s="504"/>
      <c r="C564" s="104" t="str">
        <f>IF(AND(ISNUMBER(B537), OR('Cost Inputs'!$H$155&lt;&gt;"", 'Cost Inputs'!$I$155&lt;&gt;"", 'Cost Inputs'!$J$155&lt;&gt;"")), _5_4_5, "")</f>
        <v/>
      </c>
      <c r="D564" s="17" t="str">
        <f>IF(AND(C564&lt;&gt;"", 'Cost Inputs'!$G$155&lt;&gt;""), 'Cost Inputs'!$G$155, "")</f>
        <v/>
      </c>
      <c r="E564" s="17" t="str">
        <f>IF(AND(C564&lt;&gt;"", 'Cost Inputs'!$H$155&lt;&gt;""), 'Cost Inputs'!$H$155, "")</f>
        <v/>
      </c>
      <c r="F564" s="17" t="str">
        <f>IF(AND(C564&lt;&gt;"", 'Cost Inputs'!$I$155&lt;&gt;""), 'Cost Inputs'!$I$155, "")</f>
        <v/>
      </c>
      <c r="G564" s="105" t="str">
        <f t="shared" si="455"/>
        <v/>
      </c>
      <c r="H564" s="17" t="str">
        <f>IF(AND(C564&lt;&gt;"", 'Cost Inputs'!$J$155&lt;&gt;""), 'Cost Inputs'!$J$155, "")</f>
        <v/>
      </c>
      <c r="I564" s="17" t="str">
        <f t="shared" si="456"/>
        <v/>
      </c>
      <c r="J564" s="17" t="str">
        <f>IF(AND(C564&lt;&gt;"",('Cost Inputs'!$I$155+'Cost Inputs'!$J$155+'Cost Inputs'!$K$155)&gt;0), 'Cost Inputs'!$I$155+'Cost Inputs'!$J$155+'Cost Inputs'!$K$155, "")</f>
        <v/>
      </c>
      <c r="K564" s="17" t="str">
        <f t="shared" si="457"/>
        <v/>
      </c>
      <c r="M564" s="106"/>
      <c r="O564" s="17" t="str">
        <f>IF(ISNUMBER($B$537), IF($C564&lt;&gt;"", IF('Cost Inputs'!$L$155="Y", $E564, IF('Cost Inputs'!$L$155="N", IF(ISNUMBER('Cost Inputs'!$M$155), $E564, ""),"")),""),"")</f>
        <v/>
      </c>
      <c r="P564" s="17" t="str">
        <f>IF(ISNUMBER($B$537), IF($C564&lt;&gt;"", IF('Cost Inputs'!$L$155="Y", $E564, IF('Cost Inputs'!$L$155="N", "", "")),""),"")</f>
        <v/>
      </c>
      <c r="Q564" s="17" t="str">
        <f>IF(ISNUMBER($B$537), IF($C564&lt;&gt;"", IF('Cost Inputs'!$L$155="Y", $E564, IF('Cost Inputs'!$L$155="N", IF(AND(ISNUMBER('Cost Inputs'!$M$155), OR('Cost Inputs'!$M$155=2)), $E564, ""),"")),""),"")</f>
        <v/>
      </c>
      <c r="R564" s="17" t="str">
        <f>IF(ISNUMBER($B$537), IF($C564&lt;&gt;"", IF('Cost Inputs'!$L$155="Y", $E564, IF('Cost Inputs'!$L$155="N", IF(AND(ISNUMBER('Cost Inputs'!$M$155), OR('Cost Inputs'!$M$155=3)), $E564, ""),"")),""),"")</f>
        <v/>
      </c>
      <c r="S564" s="17" t="str">
        <f>IF(ISNUMBER($B$537), IF($C564&lt;&gt;"", IF('Cost Inputs'!$L$155="Y", $E564, IF('Cost Inputs'!$L$155="N", IF(AND(ISNUMBER('Cost Inputs'!$M$155), OR('Cost Inputs'!$M$155=2, 'Cost Inputs'!$M$155=4)), $E564, ""),"")),""),"")</f>
        <v/>
      </c>
      <c r="T564" s="17" t="str">
        <f>IF(ISNUMBER($B$537), IF($C564&lt;&gt;"", IF('Cost Inputs'!$L$155="Y", $E564, IF('Cost Inputs'!$L$155="N", IF(AND(ISNUMBER('Cost Inputs'!$M$155), OR('Cost Inputs'!$M$155=2,'Cost Inputs'!$M$155=5)), $E564, ""),"")),""),"")</f>
        <v/>
      </c>
      <c r="U564" s="17" t="str">
        <f>IF(ISNUMBER($B$537), IF($C564&lt;&gt;"", IF('Cost Inputs'!$L$155="Y", $E564, IF('Cost Inputs'!$L$155="N", IF(AND(ISNUMBER('Cost Inputs'!$M$155), OR('Cost Inputs'!$M$155=2,'Cost Inputs'!$M$155=3,'Cost Inputs'!$M$155=6)), $E564, ""),"")),""),"")</f>
        <v/>
      </c>
      <c r="V564" s="17" t="str">
        <f>IF(ISNUMBER($B$537), IF($C564&lt;&gt;"", IF('Cost Inputs'!$L$155="Y", $E564, IF('Cost Inputs'!$L$155="N", IF(AND(ISNUMBER('Cost Inputs'!$M$155), OR('Cost Inputs'!$M$155=2,'Cost Inputs'!$M$155=7)), $E564, ""),"")),""),"")</f>
        <v/>
      </c>
      <c r="W564" s="17" t="str">
        <f>IF(ISNUMBER($B$537), IF($C564&lt;&gt;"", IF('Cost Inputs'!$L$155="Y", $E564, IF('Cost Inputs'!$L$155="N", IF(AND(ISNUMBER('Cost Inputs'!$M$155), OR('Cost Inputs'!$M$155=2,'Cost Inputs'!$M$155=4,'Cost Inputs'!$M$155=8)), $E564, ""),"")),""),"")</f>
        <v/>
      </c>
      <c r="X564" s="17" t="str">
        <f>IF(ISNUMBER($B$537), IF($C564&lt;&gt;"", IF('Cost Inputs'!$L$155="Y", $E564, IF('Cost Inputs'!$L$155="N", IF(AND(ISNUMBER('Cost Inputs'!$M$155), OR('Cost Inputs'!$M$155=2,'Cost Inputs'!$M$155=3,'Cost Inputs'!$M$155=9)), $E564, ""),"")),""),"")</f>
        <v/>
      </c>
      <c r="Y564" s="17"/>
      <c r="Z564" s="17"/>
      <c r="AA564" s="17"/>
      <c r="AB564" s="17"/>
      <c r="AC564" s="17"/>
      <c r="AD564" s="17"/>
      <c r="AE564" s="17"/>
      <c r="AF564" s="17"/>
      <c r="AG564" s="17"/>
      <c r="AH564" s="17"/>
      <c r="AI564" s="17"/>
      <c r="AJ564" s="17"/>
      <c r="AK564" s="17"/>
      <c r="AL564" s="17"/>
      <c r="AM564" s="17"/>
      <c r="AN564" s="17"/>
      <c r="AO564" s="17"/>
      <c r="AP564" s="17"/>
      <c r="AQ564" s="17"/>
    </row>
    <row r="565" spans="1:43" x14ac:dyDescent="0.25">
      <c r="A565" s="518"/>
      <c r="B565" s="504"/>
      <c r="C565" s="107" t="str">
        <f>IF(AND(ISNUMBER(B537), OR('Cost Inputs'!$H$156&lt;&gt;"", 'Cost Inputs'!$I$156&lt;&gt;"", 'Cost Inputs'!$J$156&lt;&gt;"")), _5_4_6, "")</f>
        <v/>
      </c>
      <c r="D565" s="93" t="str">
        <f>IF(AND(C565&lt;&gt;"", 'Cost Inputs'!$G$156&lt;&gt;""), 'Cost Inputs'!$G$156, "")</f>
        <v/>
      </c>
      <c r="E565" s="93" t="str">
        <f>IF(AND(C565&lt;&gt;"", 'Cost Inputs'!$H$156&lt;&gt;""), 'Cost Inputs'!$H$156, "")</f>
        <v/>
      </c>
      <c r="F565" s="93" t="str">
        <f>IF(AND(C565&lt;&gt;"", 'Cost Inputs'!$I$156&lt;&gt;""), 'Cost Inputs'!$I$156, "")</f>
        <v/>
      </c>
      <c r="G565" s="108" t="str">
        <f t="shared" si="455"/>
        <v/>
      </c>
      <c r="H565" s="93" t="str">
        <f>IF(AND(C565&lt;&gt;"", 'Cost Inputs'!$J$156&lt;&gt;""), 'Cost Inputs'!$J$16, "")</f>
        <v/>
      </c>
      <c r="I565" s="93" t="str">
        <f t="shared" si="456"/>
        <v/>
      </c>
      <c r="J565" s="93" t="str">
        <f>IF(AND(C565&lt;&gt;"",('Cost Inputs'!$I$156+'Cost Inputs'!$J$156+'Cost Inputs'!$K$156)&gt;0), 'Cost Inputs'!$I$156+'Cost Inputs'!$J$156+'Cost Inputs'!$K$156, "")</f>
        <v/>
      </c>
      <c r="K565" s="93" t="str">
        <f t="shared" si="457"/>
        <v/>
      </c>
      <c r="L565" s="93"/>
      <c r="M565" s="109"/>
      <c r="O565" s="93" t="str">
        <f>IF(ISNUMBER($B$537), IF($C565&lt;&gt;"", IF('Cost Inputs'!$L$156="Y", $E565, IF('Cost Inputs'!$L$156="N", IF(ISNUMBER('Cost Inputs'!$M$156), $E565, ""),"")),""),"")</f>
        <v/>
      </c>
      <c r="P565" s="93" t="str">
        <f>IF(ISNUMBER($B$537), IF($C565&lt;&gt;"", IF('Cost Inputs'!$L$156="Y", $E565, IF('Cost Inputs'!$L$156="N", "", "")),""),"")</f>
        <v/>
      </c>
      <c r="Q565" s="93" t="str">
        <f>IF(ISNUMBER($B$537), IF($C565&lt;&gt;"", IF('Cost Inputs'!$L$156="Y", $E565, IF('Cost Inputs'!$L$156="N", IF(AND(ISNUMBER('Cost Inputs'!$M$156), OR('Cost Inputs'!$M$156=2)), $E565, ""),"")),""),"")</f>
        <v/>
      </c>
      <c r="R565" s="93" t="str">
        <f>IF(ISNUMBER($B$537), IF($C565&lt;&gt;"", IF('Cost Inputs'!$L$156="Y", $E565, IF('Cost Inputs'!$L$156="N", IF(AND(ISNUMBER('Cost Inputs'!$M$156), OR('Cost Inputs'!$M$156=3)), $E565, ""),"")),""),"")</f>
        <v/>
      </c>
      <c r="S565" s="93" t="str">
        <f>IF(ISNUMBER($B$537), IF($C565&lt;&gt;"", IF('Cost Inputs'!$L$156="Y", $E565, IF('Cost Inputs'!$L$156="N", IF(AND(ISNUMBER('Cost Inputs'!$M$156), OR('Cost Inputs'!$M$156=2, 'Cost Inputs'!$M$156=4)), $E565, ""),"")),""),"")</f>
        <v/>
      </c>
      <c r="T565" s="93" t="str">
        <f>IF(ISNUMBER($B$537), IF($C565&lt;&gt;"", IF('Cost Inputs'!$L$156="Y", $E565, IF('Cost Inputs'!$L$156="N", IF(AND(ISNUMBER('Cost Inputs'!$M$156), OR('Cost Inputs'!$M$156=2,'Cost Inputs'!$M$156=5)), $E565, ""),"")),""),"")</f>
        <v/>
      </c>
      <c r="U565" s="93" t="str">
        <f>IF(ISNUMBER($B$537), IF($C565&lt;&gt;"", IF('Cost Inputs'!$L$156="Y", $E565, IF('Cost Inputs'!$L$156="N", IF(AND(ISNUMBER('Cost Inputs'!$M$156), OR('Cost Inputs'!$M$156=2,'Cost Inputs'!$M$156=3,'Cost Inputs'!$M$156=6)), $E565, ""),"")),""),"")</f>
        <v/>
      </c>
      <c r="V565" s="93" t="str">
        <f>IF(ISNUMBER($B$537), IF($C565&lt;&gt;"", IF('Cost Inputs'!$L$156="Y", $E565, IF('Cost Inputs'!$L$156="N", IF(AND(ISNUMBER('Cost Inputs'!$M$156), OR('Cost Inputs'!$M$156=2,'Cost Inputs'!$M$156=7)), $E565, ""),"")),""),"")</f>
        <v/>
      </c>
      <c r="W565" s="93" t="str">
        <f>IF(ISNUMBER($B$537), IF($C565&lt;&gt;"", IF('Cost Inputs'!$L$156="Y", $E565, IF('Cost Inputs'!$L$156="N", IF(AND(ISNUMBER('Cost Inputs'!$M$156), OR('Cost Inputs'!$M$156=2,'Cost Inputs'!$M$156=4,'Cost Inputs'!$M$156=8)), $E565, ""),"")),""),"")</f>
        <v/>
      </c>
      <c r="X565" s="93" t="str">
        <f>IF(ISNUMBER($B$537), IF($C565&lt;&gt;"", IF('Cost Inputs'!$L$156="Y", $E565, IF('Cost Inputs'!$L$156="N", IF(AND(ISNUMBER('Cost Inputs'!$M$156), OR('Cost Inputs'!$M$156=2,'Cost Inputs'!$M$156=3,'Cost Inputs'!$M$156=9)), $E565, ""),"")),""),"")</f>
        <v/>
      </c>
      <c r="Y565" s="17"/>
      <c r="Z565" s="17"/>
      <c r="AA565" s="17"/>
      <c r="AB565" s="17"/>
      <c r="AC565" s="17"/>
      <c r="AD565" s="17"/>
      <c r="AE565" s="17"/>
      <c r="AF565" s="17"/>
      <c r="AG565" s="17"/>
      <c r="AH565" s="17"/>
      <c r="AI565" s="17"/>
      <c r="AJ565" s="17"/>
      <c r="AK565" s="17"/>
      <c r="AL565" s="17"/>
      <c r="AM565" s="17"/>
      <c r="AN565" s="17"/>
      <c r="AO565" s="17"/>
      <c r="AP565" s="17"/>
      <c r="AQ565" s="17"/>
    </row>
    <row r="566" spans="1:43" x14ac:dyDescent="0.25">
      <c r="A566" s="518"/>
      <c r="B566" s="504"/>
      <c r="C566" s="521" t="str">
        <f>IF(AND(B537&lt;&gt;"", ISNUMBER(B537), ISNUMBER(Stage3EvaluationBegins)), IF((INDEX(ProgramYearStage3,MATCH(Stage3EvaluationBegins,Years_in_Stage3,0)))=B537, _5_5_0, IF(AND(B537&lt;&gt;"", ISNUMBER(B537), OR(Stage3EvaluationBegins=0, Stage3EvaluationBegins="")),"", "")),"")</f>
        <v/>
      </c>
      <c r="D566" s="94" t="str">
        <f>IF(AND(C566&lt;&gt;"", 'Cost Inputs'!$G$157&lt;&gt;""), 'Cost Inputs'!$G$157, "")</f>
        <v/>
      </c>
      <c r="E566" s="94" t="str">
        <f>IF(AND(C566&lt;&gt;"", 'Cost Inputs'!$H$157&lt;&gt;""), 'Cost Inputs'!$H$157, "")</f>
        <v/>
      </c>
      <c r="F566" s="492" t="str">
        <f>IF(AND(C566&lt;&gt;"", 'Cost Inputs'!$I$157&lt;&gt;""), 'Cost Inputs'!$I$157, "")</f>
        <v/>
      </c>
      <c r="G566" s="102" t="str">
        <f t="shared" si="455"/>
        <v/>
      </c>
      <c r="H566" s="492" t="str">
        <f>IF(AND(C566&lt;&gt;"", 'Cost Inputs'!$J$157&lt;&gt;""), 'Cost Inputs'!$J$157, "")</f>
        <v/>
      </c>
      <c r="I566" s="102" t="str">
        <f>IF($C566&lt;&gt;"",IF(AND($E566&lt;&gt;"",H566&lt;&gt;""), H566/$E566, 0),"")</f>
        <v/>
      </c>
      <c r="J566" s="492" t="str">
        <f>IF(AND(C566&lt;&gt;"",('Cost Inputs'!$I$157+'Cost Inputs'!$J$157+'Cost Inputs'!$K$157)&gt;0), 'Cost Inputs'!$I$157+'Cost Inputs'!$J$157+'Cost Inputs'!$K$157, "")</f>
        <v/>
      </c>
      <c r="K566" s="102" t="str">
        <f>IF($C566&lt;&gt;"",IF(AND($E566&lt;&gt;"",J566&lt;&gt;""), J566/$E566, 0),"")</f>
        <v/>
      </c>
      <c r="L566" s="94"/>
      <c r="M566" s="103"/>
      <c r="O566" s="492" t="str">
        <f>IF(ISNUMBER($B$537), IF($C566&lt;&gt;"", IF('Cost Inputs'!$L$157="Y", $E566, IF('Cost Inputs'!$L$157="N", IF(ISNUMBER('Cost Inputs'!$M$157), $E566, ""),"")),""),"")</f>
        <v/>
      </c>
      <c r="P566" s="492" t="str">
        <f>IF(ISNUMBER($B$537), IF($C566&lt;&gt;"", IF('Cost Inputs'!$L$157="Y", $E566, IF('Cost Inputs'!$L$157="N", "", "")),""),"")</f>
        <v/>
      </c>
      <c r="Q566" s="492" t="str">
        <f>IF(ISNUMBER($B$537), IF($C566&lt;&gt;"", IF('Cost Inputs'!$L$157="Y", $E566, IF('Cost Inputs'!$L$157="N", IF(AND(ISNUMBER('Cost Inputs'!$M$157), OR('Cost Inputs'!$M$157=2)), $E566, ""),"")),""),"")</f>
        <v/>
      </c>
      <c r="R566" s="492" t="str">
        <f>IF(ISNUMBER($B$537), IF($C566&lt;&gt;"", IF('Cost Inputs'!$L$157="Y", $E566, IF('Cost Inputs'!$L$157="N", IF(AND(ISNUMBER('Cost Inputs'!$M$157), OR('Cost Inputs'!$M$157=3)), $E566, ""),"")),""),"")</f>
        <v/>
      </c>
      <c r="S566" s="492" t="str">
        <f>IF(ISNUMBER($B$537), IF($C566&lt;&gt;"", IF('Cost Inputs'!$L$157="Y", $E566, IF('Cost Inputs'!$L$157="N", IF(AND(ISNUMBER('Cost Inputs'!$M$157), OR('Cost Inputs'!$M$157=2, 'Cost Inputs'!$M$157=4)), $E566, ""),"")),""),"")</f>
        <v/>
      </c>
      <c r="T566" s="492" t="str">
        <f>IF(ISNUMBER($B$537), IF($C566&lt;&gt;"", IF('Cost Inputs'!$L$157="Y", $E566, IF('Cost Inputs'!$L$157="N", IF(AND(ISNUMBER('Cost Inputs'!$M$157), OR('Cost Inputs'!$M$157=2,'Cost Inputs'!$M$157=5)), $E566, ""),"")),""),"")</f>
        <v/>
      </c>
      <c r="U566" s="492" t="str">
        <f>IF(ISNUMBER($B$537), IF($C566&lt;&gt;"", IF('Cost Inputs'!$L$157="Y", $E566, IF('Cost Inputs'!$L$157="N", IF(AND(ISNUMBER('Cost Inputs'!$M$157), OR('Cost Inputs'!$M$157=2,'Cost Inputs'!$M$157=3,'Cost Inputs'!$M$157=6)), $E566, ""),"")),""),"")</f>
        <v/>
      </c>
      <c r="V566" s="492" t="str">
        <f>IF(ISNUMBER($B$537), IF($C566&lt;&gt;"", IF('Cost Inputs'!$L$157="Y", $E566, IF('Cost Inputs'!$L$157="N", IF(AND(ISNUMBER('Cost Inputs'!$M$157), OR('Cost Inputs'!$M$157=2,'Cost Inputs'!$M$157=7)), $E566, ""),"")),""),"")</f>
        <v/>
      </c>
      <c r="W566" s="492" t="str">
        <f>IF(ISNUMBER($B$537), IF($C566&lt;&gt;"", IF('Cost Inputs'!$L$157="Y", $E566, IF('Cost Inputs'!$L$157="N", IF(AND(ISNUMBER('Cost Inputs'!$M$157), OR('Cost Inputs'!$M$157=2,'Cost Inputs'!$M$157=4,'Cost Inputs'!$M$157=8)), $E566, ""),"")),""),"")</f>
        <v/>
      </c>
      <c r="X566" s="492" t="str">
        <f>IF(ISNUMBER($B$537), IF($C566&lt;&gt;"", IF('Cost Inputs'!$L$157="Y", $E566, IF('Cost Inputs'!$L$157="N", IF(AND(ISNUMBER('Cost Inputs'!$M$157), OR('Cost Inputs'!$M$157=2,'Cost Inputs'!$M$157=3,'Cost Inputs'!$M$157=9)), $E566, ""),"")),""),"")</f>
        <v/>
      </c>
      <c r="Y566" s="493"/>
      <c r="Z566" s="493"/>
      <c r="AA566" s="493"/>
      <c r="AB566" s="493"/>
      <c r="AC566" s="493"/>
      <c r="AD566" s="493"/>
      <c r="AE566" s="493"/>
      <c r="AF566" s="493"/>
      <c r="AG566" s="493"/>
      <c r="AH566" s="493"/>
      <c r="AI566" s="493"/>
      <c r="AJ566" s="493"/>
      <c r="AK566" s="493"/>
      <c r="AL566" s="493"/>
      <c r="AM566" s="493"/>
      <c r="AN566" s="493"/>
      <c r="AO566" s="493"/>
      <c r="AP566" s="493"/>
      <c r="AQ566" s="493"/>
    </row>
    <row r="567" spans="1:43" x14ac:dyDescent="0.25">
      <c r="A567" s="518"/>
      <c r="B567" s="504"/>
      <c r="C567" s="521"/>
      <c r="D567" s="94" t="str">
        <f>IF(AND(C566&lt;&gt;"", 'Cost Inputs'!$G$158&lt;&gt;""), 'Cost Inputs'!$G$158, "")</f>
        <v/>
      </c>
      <c r="E567" s="94" t="str">
        <f>IF(AND(C566&lt;&gt;"", 'Cost Inputs'!$H$158&lt;&gt;""), 'Cost Inputs'!$H$158, "")</f>
        <v/>
      </c>
      <c r="F567" s="492"/>
      <c r="G567" s="102" t="str">
        <f t="shared" si="455"/>
        <v/>
      </c>
      <c r="H567" s="492"/>
      <c r="I567" s="102" t="str">
        <f>IF($C566&lt;&gt;"", IF(AND($E567&lt;&gt;"", H566&lt;&gt;""), H566/($E566*$E567), 0), "")</f>
        <v/>
      </c>
      <c r="J567" s="492" t="str">
        <f>IF(AND(C567&lt;&gt;"",('Cost Inputs'!$I$86+'Cost Inputs'!$J$86+'Cost Inputs'!$K$86)&gt;0), 'Cost Inputs'!$I$86+'Cost Inputs'!$J$86+'Cost Inputs'!$K$86, "")</f>
        <v/>
      </c>
      <c r="K567" s="102" t="str">
        <f>IF($C566&lt;&gt;"", IF(AND($E567&lt;&gt;"", J566&lt;&gt;""), J566/($E566*$E567), 0), "")</f>
        <v/>
      </c>
      <c r="L567" s="94"/>
      <c r="M567" s="103"/>
      <c r="O567" s="492" t="str">
        <f>IF(ISNUMBER($B$537), IF($C567&lt;&gt;"", IF('Cost Inputs'!$L158="Y", $E567, IF('Cost Inputs'!$L158="N", IF(ISNUMBER('Cost Inputs'!$M158), $E567, ""),"")),""),"")</f>
        <v/>
      </c>
      <c r="P567" s="492" t="str">
        <f>IF(ISNUMBER($B$537), IF($C567&lt;&gt;"", IF('Cost Inputs'!$L158="Y", $E567, IF('Cost Inputs'!$L158="N", "", "")),""),"")</f>
        <v/>
      </c>
      <c r="Q567" s="492" t="str">
        <f>IF(ISNUMBER($B$537), IF($C567&lt;&gt;"", IF('Cost Inputs'!$L158="Y", $E567, IF('Cost Inputs'!$L158="N", IF(AND(ISNUMBER('Cost Inputs'!$M158), OR('Cost Inputs'!$M158=2)), $E567, ""),"")),""),"")</f>
        <v/>
      </c>
      <c r="R567" s="492" t="str">
        <f>IF(ISNUMBER($B$537), IF($C567&lt;&gt;"", IF('Cost Inputs'!$L158="Y", $E567, IF('Cost Inputs'!$L158="N", IF(AND(ISNUMBER('Cost Inputs'!$M158), OR('Cost Inputs'!$M158=3)), $E567, ""),"")),""),"")</f>
        <v/>
      </c>
      <c r="S567" s="492" t="str">
        <f>IF(ISNUMBER($B$537), IF($C567&lt;&gt;"", IF('Cost Inputs'!$L158="Y", $E567, IF('Cost Inputs'!$L158="N", IF(AND(ISNUMBER('Cost Inputs'!$M158), OR('Cost Inputs'!$M158=2, 'Cost Inputs'!$M158=4)), $E567, ""),"")),""),"")</f>
        <v/>
      </c>
      <c r="T567" s="492" t="str">
        <f>IF(ISNUMBER($B$537), IF($C567&lt;&gt;"", IF('Cost Inputs'!$L158="Y", $E567, IF('Cost Inputs'!$L158="N", IF(AND(ISNUMBER('Cost Inputs'!$M158), OR('Cost Inputs'!$M158=2,'Cost Inputs'!$M158=5)), $E567, ""),"")),""),"")</f>
        <v/>
      </c>
      <c r="U567" s="492" t="str">
        <f>IF(ISNUMBER($B$537), IF($C567&lt;&gt;"", IF('Cost Inputs'!$L158="Y", $E567, IF('Cost Inputs'!$L158="N", IF(AND(ISNUMBER('Cost Inputs'!$M158), OR('Cost Inputs'!$M158=2,'Cost Inputs'!$M158=3,'Cost Inputs'!$M158=6)), $E567, ""),"")),""),"")</f>
        <v/>
      </c>
      <c r="V567" s="492" t="str">
        <f>IF(ISNUMBER($B$537), IF($C567&lt;&gt;"", IF('Cost Inputs'!$L158="Y", $E567, IF('Cost Inputs'!$L158="N", IF(AND(ISNUMBER('Cost Inputs'!$M158), OR('Cost Inputs'!$M158=2,'Cost Inputs'!$M158=7)), $E567, ""),"")),""),"")</f>
        <v/>
      </c>
      <c r="W567" s="492" t="str">
        <f>IF(ISNUMBER($B$537), IF($C567&lt;&gt;"", IF('Cost Inputs'!$L158="Y", $E567, IF('Cost Inputs'!$L158="N", IF(AND(ISNUMBER('Cost Inputs'!$M158), OR('Cost Inputs'!$M158=2,'Cost Inputs'!$M158=4,'Cost Inputs'!$M158=8)), $E567, ""),"")),""),"")</f>
        <v/>
      </c>
      <c r="X567" s="492" t="str">
        <f>IF(ISNUMBER($B$537), IF($C567&lt;&gt;"", IF('Cost Inputs'!$L158="Y", $E567, IF('Cost Inputs'!$L158="N", IF(AND(ISNUMBER('Cost Inputs'!$M158), OR('Cost Inputs'!$M158=2,'Cost Inputs'!$M158=3,'Cost Inputs'!$M158=9)), $E567, ""),"")),""),"")</f>
        <v/>
      </c>
      <c r="Y567" s="493"/>
      <c r="Z567" s="493"/>
      <c r="AA567" s="493"/>
      <c r="AB567" s="493"/>
      <c r="AC567" s="493"/>
      <c r="AD567" s="493"/>
      <c r="AE567" s="493"/>
      <c r="AF567" s="493"/>
      <c r="AG567" s="493"/>
      <c r="AH567" s="493"/>
      <c r="AI567" s="493"/>
      <c r="AJ567" s="493"/>
      <c r="AK567" s="493"/>
      <c r="AL567" s="493"/>
      <c r="AM567" s="493"/>
      <c r="AN567" s="493"/>
      <c r="AO567" s="493"/>
      <c r="AP567" s="493"/>
      <c r="AQ567" s="493"/>
    </row>
    <row r="568" spans="1:43" x14ac:dyDescent="0.25">
      <c r="A568" s="518"/>
      <c r="B568" s="504"/>
      <c r="C568" s="376" t="str">
        <f>IF(AND(ISNUMBER(B537), C566&lt;&gt;"", OR('Cost Inputs'!$H$159&lt;&gt;"", 'Cost Inputs'!$I$159&lt;&gt;"", 'Cost Inputs'!$J$159&lt;&gt;"")), _5_5_1, "")</f>
        <v/>
      </c>
      <c r="D568" s="17" t="str">
        <f>IF(AND(C568&lt;&gt;"", 'Cost Inputs'!$G$159&lt;&gt;""), 'Cost Inputs'!$G$159, "")</f>
        <v/>
      </c>
      <c r="E568" s="17" t="str">
        <f>IF(AND(C568&lt;&gt;"", 'Cost Inputs'!$H$159&lt;&gt;""), 'Cost Inputs'!$H$159, "")</f>
        <v/>
      </c>
      <c r="F568" s="493" t="str">
        <f>IF(AND(C568&lt;&gt;"", 'Cost Inputs'!$I$159&lt;&gt;""), 'Cost Inputs'!$I$159, "")</f>
        <v/>
      </c>
      <c r="G568" s="105" t="str">
        <f t="shared" si="455"/>
        <v/>
      </c>
      <c r="H568" s="493" t="str">
        <f>IF(AND(C568&lt;&gt;"", 'Cost Inputs'!$J$159&lt;&gt;""), 'Cost Inputs'!$J$159, "")</f>
        <v/>
      </c>
      <c r="I568" s="105" t="str">
        <f>IF($C568&lt;&gt;"",IF(AND($E568&lt;&gt;"",H568&lt;&gt;""), H568/$E568, 0),"")</f>
        <v/>
      </c>
      <c r="J568" s="493" t="str">
        <f>IF(AND(C568&lt;&gt;"",('Cost Inputs'!$I$159+'Cost Inputs'!$J$159+'Cost Inputs'!$K$159)&gt;0), 'Cost Inputs'!$I$159+'Cost Inputs'!$J$159+'Cost Inputs'!$K$159, "")</f>
        <v/>
      </c>
      <c r="K568" s="105" t="str">
        <f>IF($C568&lt;&gt;"",IF(AND($E568&lt;&gt;"",J568&lt;&gt;""), J568/$E568, 0),"")</f>
        <v/>
      </c>
      <c r="M568" s="106"/>
      <c r="O568" s="493" t="str">
        <f>IF(ISNUMBER($B$537), IF($C568&lt;&gt;"", IF('Cost Inputs'!$L$159="Y", $E568, IF('Cost Inputs'!$L$159="N", IF(ISNUMBER('Cost Inputs'!$M$159), $E568, ""),"")),""),"")</f>
        <v/>
      </c>
      <c r="P568" s="493" t="str">
        <f>IF(ISNUMBER($B$537), IF($C568&lt;&gt;"", IF('Cost Inputs'!$L$159="Y", $E568, IF('Cost Inputs'!$L$159="N", "", "")),""),"")</f>
        <v/>
      </c>
      <c r="Q568" s="493" t="str">
        <f>IF(ISNUMBER($B$537), IF($C568&lt;&gt;"", IF('Cost Inputs'!$L$159="Y", $E568, IF('Cost Inputs'!$L$159="N", IF(AND(ISNUMBER('Cost Inputs'!$M$159), OR('Cost Inputs'!$M$159=2)), $E568, ""),"")),""),"")</f>
        <v/>
      </c>
      <c r="R568" s="493" t="str">
        <f>IF(ISNUMBER($B$537), IF($C568&lt;&gt;"", IF('Cost Inputs'!$L$159="Y", $E568, IF('Cost Inputs'!$L$159="N", IF(AND(ISNUMBER('Cost Inputs'!$M$159), OR('Cost Inputs'!$M$159=3)), $E568, ""),"")),""),"")</f>
        <v/>
      </c>
      <c r="S568" s="493" t="str">
        <f>IF(ISNUMBER($B$537), IF($C568&lt;&gt;"", IF('Cost Inputs'!$L$159="Y", $E568, IF('Cost Inputs'!$L$159="N", IF(AND(ISNUMBER('Cost Inputs'!$M$159), OR('Cost Inputs'!$M$159=2, 'Cost Inputs'!$M$159=4)), $E568, ""),"")),""),"")</f>
        <v/>
      </c>
      <c r="T568" s="493" t="str">
        <f>IF(ISNUMBER($B$537), IF($C568&lt;&gt;"", IF('Cost Inputs'!$L$159="Y", $E568, IF('Cost Inputs'!$L$159="N", IF(AND(ISNUMBER('Cost Inputs'!$M$159), OR('Cost Inputs'!$M$159=2,'Cost Inputs'!$M$159=5)), $E568, ""),"")),""),"")</f>
        <v/>
      </c>
      <c r="U568" s="493" t="str">
        <f>IF(ISNUMBER($B$537), IF($C568&lt;&gt;"", IF('Cost Inputs'!$L$159="Y", $E568, IF('Cost Inputs'!$L$159="N", IF(AND(ISNUMBER('Cost Inputs'!$M$159), OR('Cost Inputs'!$M$159=2,'Cost Inputs'!$M$159=3,'Cost Inputs'!$M$159=6)), $E568, ""),"")),""),"")</f>
        <v/>
      </c>
      <c r="V568" s="493" t="str">
        <f>IF(ISNUMBER($B$537), IF($C568&lt;&gt;"", IF('Cost Inputs'!$L$159="Y", $E568, IF('Cost Inputs'!$L$159="N", IF(AND(ISNUMBER('Cost Inputs'!$M$159), OR('Cost Inputs'!$M$159=2,'Cost Inputs'!$M$159=7)), $E568, ""),"")),""),"")</f>
        <v/>
      </c>
      <c r="W568" s="493" t="str">
        <f>IF(ISNUMBER($B$537), IF($C568&lt;&gt;"", IF('Cost Inputs'!$L$159="Y", $E568, IF('Cost Inputs'!$L$159="N", IF(AND(ISNUMBER('Cost Inputs'!$M$159), OR('Cost Inputs'!$M$159=2,'Cost Inputs'!$M$159=4,'Cost Inputs'!$M$159=8)), $E568, ""),"")),""),"")</f>
        <v/>
      </c>
      <c r="X568" s="493" t="str">
        <f>IF(ISNUMBER($B$537), IF($C568&lt;&gt;"", IF('Cost Inputs'!$L$159="Y", $E568, IF('Cost Inputs'!$L$159="N", IF(AND(ISNUMBER('Cost Inputs'!$M$159), OR('Cost Inputs'!$M$159=2,'Cost Inputs'!$M$159=3,'Cost Inputs'!$M$159=9)), $E568, ""),"")),""),"")</f>
        <v/>
      </c>
      <c r="Y568" s="493"/>
      <c r="Z568" s="493"/>
      <c r="AA568" s="493"/>
      <c r="AB568" s="493"/>
      <c r="AC568" s="493"/>
      <c r="AD568" s="493"/>
      <c r="AE568" s="493"/>
      <c r="AF568" s="493"/>
      <c r="AG568" s="493"/>
      <c r="AH568" s="493"/>
      <c r="AI568" s="493"/>
      <c r="AJ568" s="493"/>
      <c r="AK568" s="493"/>
      <c r="AL568" s="493"/>
      <c r="AM568" s="493"/>
      <c r="AN568" s="493"/>
      <c r="AO568" s="493"/>
      <c r="AP568" s="493"/>
      <c r="AQ568" s="493"/>
    </row>
    <row r="569" spans="1:43" x14ac:dyDescent="0.25">
      <c r="A569" s="518"/>
      <c r="B569" s="504"/>
      <c r="C569" s="376" t="str">
        <f>IF(AND(ISNUMBER(B551), OR('Cost Inputs'!$H$85&lt;&gt;"", 'Cost Inputs'!$I$85&lt;&gt;"", 'Cost Inputs'!$J$85&lt;&gt;"")), _3_5_1, "")</f>
        <v/>
      </c>
      <c r="D569" s="17" t="str">
        <f>IF(AND(C568&lt;&gt;"", 'Cost Inputs'!$G$160&lt;&gt;""), 'Cost Inputs'!$G$160, "")</f>
        <v/>
      </c>
      <c r="E569" s="17" t="str">
        <f>IF(AND(C568&lt;&gt;"", 'Cost Inputs'!$H$160&lt;&gt;""), 'Cost Inputs'!$H$160, "")</f>
        <v/>
      </c>
      <c r="F569" s="493"/>
      <c r="G569" s="105" t="str">
        <f t="shared" si="455"/>
        <v/>
      </c>
      <c r="H569" s="493"/>
      <c r="I569" s="105" t="str">
        <f>IF($C568&lt;&gt;"", IF(AND($E569&lt;&gt;"", H568&lt;&gt;""), H568/($E568*$E569), 0), "")</f>
        <v/>
      </c>
      <c r="J569" s="493" t="str">
        <f>IF(AND(C569&lt;&gt;"",('Cost Inputs'!$I$86+'Cost Inputs'!$J$86+'Cost Inputs'!$K$86)&gt;0), 'Cost Inputs'!$I$86+'Cost Inputs'!$J$86+'Cost Inputs'!$K$86, "")</f>
        <v/>
      </c>
      <c r="K569" s="105" t="str">
        <f>IF($C568&lt;&gt;"", IF(AND($E569&lt;&gt;"", J568&lt;&gt;""), J568/($E568*$E569), 0), "")</f>
        <v/>
      </c>
      <c r="M569" s="106"/>
      <c r="O569" s="493" t="str">
        <f>IF(ISNUMBER($B$537), IF($C569&lt;&gt;"", IF('Cost Inputs'!$L160="Y", $E569, IF('Cost Inputs'!$L160="N", IF(ISNUMBER('Cost Inputs'!$M160), $E569, ""),"")),""),"")</f>
        <v/>
      </c>
      <c r="P569" s="493" t="str">
        <f>IF(ISNUMBER($B$537), IF($C569&lt;&gt;"", IF('Cost Inputs'!$L160="Y", $E569, IF('Cost Inputs'!$L160="N", "", "")),""),"")</f>
        <v/>
      </c>
      <c r="Q569" s="493" t="str">
        <f>IF(ISNUMBER($B$537), IF($C569&lt;&gt;"", IF('Cost Inputs'!$L160="Y", $E569, IF('Cost Inputs'!$L160="N", IF(AND(ISNUMBER('Cost Inputs'!$M160), OR('Cost Inputs'!$M160=2)), $E569, ""),"")),""),"")</f>
        <v/>
      </c>
      <c r="R569" s="493" t="str">
        <f>IF(ISNUMBER($B$537), IF($C569&lt;&gt;"", IF('Cost Inputs'!$L160="Y", $E569, IF('Cost Inputs'!$L160="N", IF(AND(ISNUMBER('Cost Inputs'!$M160), OR('Cost Inputs'!$M160=3)), $E569, ""),"")),""),"")</f>
        <v/>
      </c>
      <c r="S569" s="493" t="str">
        <f>IF(ISNUMBER($B$537), IF($C569&lt;&gt;"", IF('Cost Inputs'!$L160="Y", $E569, IF('Cost Inputs'!$L160="N", IF(AND(ISNUMBER('Cost Inputs'!$M160), OR('Cost Inputs'!$M160=2, 'Cost Inputs'!$M160=4)), $E569, ""),"")),""),"")</f>
        <v/>
      </c>
      <c r="T569" s="493" t="str">
        <f>IF(ISNUMBER($B$537), IF($C569&lt;&gt;"", IF('Cost Inputs'!$L160="Y", $E569, IF('Cost Inputs'!$L160="N", IF(AND(ISNUMBER('Cost Inputs'!$M160), OR('Cost Inputs'!$M160=2,'Cost Inputs'!$M160=5)), $E569, ""),"")),""),"")</f>
        <v/>
      </c>
      <c r="U569" s="493" t="str">
        <f>IF(ISNUMBER($B$537), IF($C569&lt;&gt;"", IF('Cost Inputs'!$L160="Y", $E569, IF('Cost Inputs'!$L160="N", IF(AND(ISNUMBER('Cost Inputs'!$M160), OR('Cost Inputs'!$M160=2,'Cost Inputs'!$M160=3,'Cost Inputs'!$M160=6)), $E569, ""),"")),""),"")</f>
        <v/>
      </c>
      <c r="V569" s="493" t="str">
        <f>IF(ISNUMBER($B$537), IF($C569&lt;&gt;"", IF('Cost Inputs'!$L160="Y", $E569, IF('Cost Inputs'!$L160="N", IF(AND(ISNUMBER('Cost Inputs'!$M160), OR('Cost Inputs'!$M160=2,'Cost Inputs'!$M160=7)), $E569, ""),"")),""),"")</f>
        <v/>
      </c>
      <c r="W569" s="493" t="str">
        <f>IF(ISNUMBER($B$537), IF($C569&lt;&gt;"", IF('Cost Inputs'!$L160="Y", $E569, IF('Cost Inputs'!$L160="N", IF(AND(ISNUMBER('Cost Inputs'!$M160), OR('Cost Inputs'!$M160=2,'Cost Inputs'!$M160=4,'Cost Inputs'!$M160=8)), $E569, ""),"")),""),"")</f>
        <v/>
      </c>
      <c r="X569" s="493" t="str">
        <f>IF(ISNUMBER($B$537), IF($C569&lt;&gt;"", IF('Cost Inputs'!$L160="Y", $E569, IF('Cost Inputs'!$L160="N", IF(AND(ISNUMBER('Cost Inputs'!$M160), OR('Cost Inputs'!$M160=2,'Cost Inputs'!$M160=3,'Cost Inputs'!$M160=9)), $E569, ""),"")),""),"")</f>
        <v/>
      </c>
      <c r="Y569" s="493"/>
      <c r="Z569" s="493"/>
      <c r="AA569" s="493"/>
      <c r="AB569" s="493"/>
      <c r="AC569" s="493"/>
      <c r="AD569" s="493"/>
      <c r="AE569" s="493"/>
      <c r="AF569" s="493"/>
      <c r="AG569" s="493"/>
      <c r="AH569" s="493"/>
      <c r="AI569" s="493"/>
      <c r="AJ569" s="493"/>
      <c r="AK569" s="493"/>
      <c r="AL569" s="493"/>
      <c r="AM569" s="493"/>
      <c r="AN569" s="493"/>
      <c r="AO569" s="493"/>
      <c r="AP569" s="493"/>
      <c r="AQ569" s="493"/>
    </row>
    <row r="570" spans="1:43" x14ac:dyDescent="0.25">
      <c r="A570" s="518"/>
      <c r="B570" s="504"/>
      <c r="C570" s="107" t="str">
        <f>IF(AND(ISNUMBER(B537), C566&lt;&gt;"", OR('Cost Inputs'!$H$161&lt;&gt;"", 'Cost Inputs'!$I$161&lt;&gt;"", 'Cost Inputs'!$J$161&lt;&gt;"")), _5_5_2, "")</f>
        <v/>
      </c>
      <c r="D570" s="93" t="str">
        <f>IF(AND(C570&lt;&gt;"", 'Cost Inputs'!$G$161&lt;&gt;""), 'Cost Inputs'!$G$161, "")</f>
        <v/>
      </c>
      <c r="E570" s="93" t="str">
        <f>IF(AND(C570&lt;&gt;"", 'Cost Inputs'!$H$161&lt;&gt;""), 'Cost Inputs'!$H$161, "")</f>
        <v/>
      </c>
      <c r="F570" s="93" t="str">
        <f>IF(AND(C570&lt;&gt;"", 'Cost Inputs'!$I$161&lt;&gt;""), 'Cost Inputs'!$I$161, "")</f>
        <v/>
      </c>
      <c r="G570" s="108" t="str">
        <f t="shared" si="455"/>
        <v/>
      </c>
      <c r="H570" s="93" t="str">
        <f>IF(AND(C570&lt;&gt;"", 'Cost Inputs'!$J$161&lt;&gt;""), 'Cost Inputs'!$J$161, "")</f>
        <v/>
      </c>
      <c r="I570" s="93" t="str">
        <f>IF($C570&lt;&gt;"", IF(AND($E570&lt;&gt;"", H570&lt;&gt;""), H570/$E570, 0),"")</f>
        <v/>
      </c>
      <c r="J570" s="93" t="str">
        <f>IF(AND(C570&lt;&gt;"",('Cost Inputs'!$I$161+'Cost Inputs'!$J$161+'Cost Inputs'!$K$161)&gt;0), 'Cost Inputs'!$I$161+'Cost Inputs'!$J$161+'Cost Inputs'!$K$161, "")</f>
        <v/>
      </c>
      <c r="K570" s="93" t="str">
        <f>IF($C570&lt;&gt;"", IF(AND($E570&lt;&gt;"", J570&lt;&gt;""), J570/$E570, 0),"")</f>
        <v/>
      </c>
      <c r="L570" s="93"/>
      <c r="M570" s="109"/>
      <c r="O570" s="93" t="str">
        <f>IF(ISNUMBER($B$537), IF($C570&lt;&gt;"", IF('Cost Inputs'!$L$161="Y", $E570, IF('Cost Inputs'!$L$161="N", IF(ISNUMBER('Cost Inputs'!$M$161), $E570, ""),"")),""),"")</f>
        <v/>
      </c>
      <c r="P570" s="93" t="str">
        <f>IF(ISNUMBER($B$537), IF($C570&lt;&gt;"", IF('Cost Inputs'!$L$161="Y", $E570, IF('Cost Inputs'!$L$161="N", "", "")),""),"")</f>
        <v/>
      </c>
      <c r="Q570" s="93" t="str">
        <f>IF(ISNUMBER($B$537), IF($C570&lt;&gt;"", IF('Cost Inputs'!$L$161="Y", $E570, IF('Cost Inputs'!$L$161="N", IF(AND(ISNUMBER('Cost Inputs'!$M$161), OR('Cost Inputs'!$M$161=2)), $E570, ""),"")),""),"")</f>
        <v/>
      </c>
      <c r="R570" s="93" t="str">
        <f>IF(ISNUMBER($B$537), IF($C570&lt;&gt;"", IF('Cost Inputs'!$L$161="Y", $E570, IF('Cost Inputs'!$L$161="N", IF(AND(ISNUMBER('Cost Inputs'!$M$161), OR('Cost Inputs'!$M$161=3)), $E570, ""),"")),""),"")</f>
        <v/>
      </c>
      <c r="S570" s="93" t="str">
        <f>IF(ISNUMBER($B$537), IF($C570&lt;&gt;"", IF('Cost Inputs'!$L$161="Y", $E570, IF('Cost Inputs'!$L$161="N", IF(AND(ISNUMBER('Cost Inputs'!$M$161), OR('Cost Inputs'!$M$161=2, 'Cost Inputs'!$M$161=4)), $E570, ""),"")),""),"")</f>
        <v/>
      </c>
      <c r="T570" s="93" t="str">
        <f>IF(ISNUMBER($B$537), IF($C570&lt;&gt;"", IF('Cost Inputs'!$L$161="Y", $E570, IF('Cost Inputs'!$L$161="N", IF(AND(ISNUMBER('Cost Inputs'!$M$161), OR('Cost Inputs'!$M$161=2,'Cost Inputs'!$M$161=5)), $E570, ""),"")),""),"")</f>
        <v/>
      </c>
      <c r="U570" s="93" t="str">
        <f>IF(ISNUMBER($B$537), IF($C570&lt;&gt;"", IF('Cost Inputs'!$L$161="Y", $E570, IF('Cost Inputs'!$L$161="N", IF(AND(ISNUMBER('Cost Inputs'!$M$161), OR('Cost Inputs'!$M$161=2,'Cost Inputs'!$M$161=3,'Cost Inputs'!$M$161=6)), $E570, ""),"")),""),"")</f>
        <v/>
      </c>
      <c r="V570" s="93" t="str">
        <f>IF(ISNUMBER($B$537), IF($C570&lt;&gt;"", IF('Cost Inputs'!$L$161="Y", $E570, IF('Cost Inputs'!$L$161="N", IF(AND(ISNUMBER('Cost Inputs'!$M$161), OR('Cost Inputs'!$M$161=2,'Cost Inputs'!$M$161=7)), $E570, ""),"")),""),"")</f>
        <v/>
      </c>
      <c r="W570" s="93" t="str">
        <f>IF(ISNUMBER($B$537), IF($C570&lt;&gt;"", IF('Cost Inputs'!$L$161="Y", $E570, IF('Cost Inputs'!$L$161="N", IF(AND(ISNUMBER('Cost Inputs'!$M$161), OR('Cost Inputs'!$M$161=2,'Cost Inputs'!$M$161=4,'Cost Inputs'!$M$161=8)), $E570, ""),"")),""),"")</f>
        <v/>
      </c>
      <c r="X570" s="93" t="str">
        <f>IF(ISNUMBER($B$537), IF($C570&lt;&gt;"", IF('Cost Inputs'!$L$161="Y", $E570, IF('Cost Inputs'!$L$161="N", IF(AND(ISNUMBER('Cost Inputs'!$M$161), OR('Cost Inputs'!$M$161=2,'Cost Inputs'!$M$161=3,'Cost Inputs'!$M$161=9)), $E570, ""),"")),""),"")</f>
        <v/>
      </c>
      <c r="Y570" s="17"/>
      <c r="Z570" s="17"/>
      <c r="AA570" s="17"/>
      <c r="AB570" s="17"/>
      <c r="AC570" s="17"/>
      <c r="AD570" s="17"/>
      <c r="AE570" s="17"/>
      <c r="AF570" s="17"/>
      <c r="AG570" s="17"/>
      <c r="AH570" s="17"/>
      <c r="AI570" s="17"/>
      <c r="AJ570" s="17"/>
      <c r="AK570" s="17"/>
      <c r="AL570" s="17"/>
      <c r="AM570" s="17"/>
      <c r="AN570" s="17"/>
      <c r="AO570" s="17"/>
      <c r="AP570" s="17"/>
      <c r="AQ570" s="17"/>
    </row>
    <row r="571" spans="1:43" x14ac:dyDescent="0.25">
      <c r="A571" s="518"/>
      <c r="B571" s="504"/>
      <c r="C571" s="104" t="str">
        <f>IF(AND(ISNUMBER(B537), C566&lt;&gt;"", OR('Cost Inputs'!$H$162&lt;&gt;"", 'Cost Inputs'!$I$162&lt;&gt;"", 'Cost Inputs'!$J$162&lt;&gt;"")), _5_5_3, "")</f>
        <v/>
      </c>
      <c r="D571" s="17" t="str">
        <f>IF(AND(C571&lt;&gt;"", 'Cost Inputs'!$G$162&lt;&gt;""), 'Cost Inputs'!$G$162, "")</f>
        <v/>
      </c>
      <c r="E571" s="17" t="str">
        <f>IF(AND(C571&lt;&gt;"", 'Cost Inputs'!$H$162&lt;&gt;""), 'Cost Inputs'!$H$162, "")</f>
        <v/>
      </c>
      <c r="F571" s="17" t="str">
        <f>IF(AND(C571&lt;&gt;"", 'Cost Inputs'!$I$162&lt;&gt;""), 'Cost Inputs'!$I$162, "")</f>
        <v/>
      </c>
      <c r="G571" s="105" t="str">
        <f t="shared" si="455"/>
        <v/>
      </c>
      <c r="H571" s="17" t="str">
        <f>IF(AND(C571&lt;&gt;"", 'Cost Inputs'!$J$162&lt;&gt;""), 'Cost Inputs'!$J$162, "")</f>
        <v/>
      </c>
      <c r="I571" s="17" t="str">
        <f>IF($C571&lt;&gt;"", IF(AND($E571&lt;&gt;"", H571&lt;&gt;""), H571/$E571, 0),"")</f>
        <v/>
      </c>
      <c r="J571" s="17" t="str">
        <f>IF(AND(C571&lt;&gt;"",('Cost Inputs'!$I$162+'Cost Inputs'!$J$162+'Cost Inputs'!$K$162)&gt;0), 'Cost Inputs'!$I$162+'Cost Inputs'!$J$162+'Cost Inputs'!$K$162, "")</f>
        <v/>
      </c>
      <c r="K571" s="17" t="str">
        <f>IF($C571&lt;&gt;"", IF(AND($E571&lt;&gt;"", J571&lt;&gt;""), J571/$E571, 0),"")</f>
        <v/>
      </c>
      <c r="M571" s="106"/>
      <c r="O571" s="17" t="str">
        <f>IF(ISNUMBER($B$537), IF($C571&lt;&gt;"", IF('Cost Inputs'!$L$162="Y", $E571, IF('Cost Inputs'!$L$162="N", IF(ISNUMBER('Cost Inputs'!$M$162), $E571, ""),"")),""),"")</f>
        <v/>
      </c>
      <c r="P571" s="17" t="str">
        <f>IF(ISNUMBER($B$537), IF($C571&lt;&gt;"", IF('Cost Inputs'!$L$162="Y", $E571, IF('Cost Inputs'!$L$162="N", "", "")),""),"")</f>
        <v/>
      </c>
      <c r="Q571" s="17" t="str">
        <f>IF(ISNUMBER($B$537), IF($C571&lt;&gt;"", IF('Cost Inputs'!$L$162="Y", $E571, IF('Cost Inputs'!$L$162="N", IF(AND(ISNUMBER('Cost Inputs'!$M$162), OR('Cost Inputs'!$M$162=2)), $E571, ""),"")),""),"")</f>
        <v/>
      </c>
      <c r="R571" s="17" t="str">
        <f>IF(ISNUMBER($B$537), IF($C571&lt;&gt;"", IF('Cost Inputs'!$L$162="Y", $E571, IF('Cost Inputs'!$L$162="N", IF(AND(ISNUMBER('Cost Inputs'!$M$162), OR('Cost Inputs'!$M$162=3)), $E571, ""),"")),""),"")</f>
        <v/>
      </c>
      <c r="S571" s="17" t="str">
        <f>IF(ISNUMBER($B$537), IF($C571&lt;&gt;"", IF('Cost Inputs'!$L$162="Y", $E571, IF('Cost Inputs'!$L$162="N", IF(AND(ISNUMBER('Cost Inputs'!$M$162), OR('Cost Inputs'!$M$162=2, 'Cost Inputs'!$M$162=4)), $E571, ""),"")),""),"")</f>
        <v/>
      </c>
      <c r="T571" s="17" t="str">
        <f>IF(ISNUMBER($B$537), IF($C571&lt;&gt;"", IF('Cost Inputs'!$L$162="Y", $E571, IF('Cost Inputs'!$L$162="N", IF(AND(ISNUMBER('Cost Inputs'!$M$162), OR('Cost Inputs'!$M$162=2,'Cost Inputs'!$M$162=5)), $E571, ""),"")),""),"")</f>
        <v/>
      </c>
      <c r="U571" s="17" t="str">
        <f>IF(ISNUMBER($B$537), IF($C571&lt;&gt;"", IF('Cost Inputs'!$L$162="Y", $E571, IF('Cost Inputs'!$L$162="N", IF(AND(ISNUMBER('Cost Inputs'!$M$162), OR('Cost Inputs'!$M$162=2,'Cost Inputs'!$M$162=3,'Cost Inputs'!$M$162=6)), $E571, ""),"")),""),"")</f>
        <v/>
      </c>
      <c r="V571" s="17" t="str">
        <f>IF(ISNUMBER($B$537), IF($C571&lt;&gt;"", IF('Cost Inputs'!$L$162="Y", $E571, IF('Cost Inputs'!$L$162="N", IF(AND(ISNUMBER('Cost Inputs'!$M$162), OR('Cost Inputs'!$M$162=2,'Cost Inputs'!$M$162=7)), $E571, ""),"")),""),"")</f>
        <v/>
      </c>
      <c r="W571" s="17" t="str">
        <f>IF(ISNUMBER($B$537), IF($C571&lt;&gt;"", IF('Cost Inputs'!$L$162="Y", $E571, IF('Cost Inputs'!$L$162="N", IF(AND(ISNUMBER('Cost Inputs'!$M$162), OR('Cost Inputs'!$M$162=2,'Cost Inputs'!$M$162=4,'Cost Inputs'!$M$162=8)), $E571, ""),"")),""),"")</f>
        <v/>
      </c>
      <c r="X571" s="17" t="str">
        <f>IF(ISNUMBER($B$537), IF($C571&lt;&gt;"", IF('Cost Inputs'!$L$162="Y", $E571, IF('Cost Inputs'!$L$162="N", IF(AND(ISNUMBER('Cost Inputs'!$M$162), OR('Cost Inputs'!$M$162=2,'Cost Inputs'!$M$162=3,'Cost Inputs'!$M$162=9)), $E571, ""),"")),""),"")</f>
        <v/>
      </c>
      <c r="Y571" s="17"/>
      <c r="Z571" s="17"/>
      <c r="AA571" s="17"/>
      <c r="AB571" s="17"/>
      <c r="AC571" s="17"/>
      <c r="AD571" s="17"/>
      <c r="AE571" s="17"/>
      <c r="AF571" s="17"/>
      <c r="AG571" s="17"/>
      <c r="AH571" s="17"/>
      <c r="AI571" s="17"/>
      <c r="AJ571" s="17"/>
      <c r="AK571" s="17"/>
      <c r="AL571" s="17"/>
      <c r="AM571" s="17"/>
      <c r="AN571" s="17"/>
      <c r="AO571" s="17"/>
      <c r="AP571" s="17"/>
      <c r="AQ571" s="17"/>
    </row>
    <row r="572" spans="1:43" x14ac:dyDescent="0.25">
      <c r="A572" s="518"/>
      <c r="B572" s="504"/>
      <c r="C572" s="107" t="str">
        <f>IF(AND(ISNUMBER(B537), C566&lt;&gt;"", OR('Cost Inputs'!$H$163&lt;&gt;"", 'Cost Inputs'!$I$163&lt;&gt;"", 'Cost Inputs'!$J$163&lt;&gt;"")), _5_5_4, "")</f>
        <v/>
      </c>
      <c r="D572" s="93" t="str">
        <f>IF(AND(C572&lt;&gt;"", 'Cost Inputs'!$G$163&lt;&gt;""), 'Cost Inputs'!$G$163, "")</f>
        <v/>
      </c>
      <c r="E572" s="93" t="str">
        <f>IF(AND(C572&lt;&gt;"", 'Cost Inputs'!$H$163&lt;&gt;""), 'Cost Inputs'!$H$163, "")</f>
        <v/>
      </c>
      <c r="F572" s="93" t="str">
        <f>IF(AND(C572&lt;&gt;"", 'Cost Inputs'!$I$163&lt;&gt;""), 'Cost Inputs'!$I$163, "")</f>
        <v/>
      </c>
      <c r="G572" s="108" t="str">
        <f t="shared" si="455"/>
        <v/>
      </c>
      <c r="H572" s="93" t="str">
        <f>IF(AND(C572&lt;&gt;"", 'Cost Inputs'!$J$163&lt;&gt;""), 'Cost Inputs'!$J$163, "")</f>
        <v/>
      </c>
      <c r="I572" s="93" t="str">
        <f>IF($C572&lt;&gt;"", IF(AND($E572&lt;&gt;"", H572&lt;&gt;""), H572/$E572, 0),"")</f>
        <v/>
      </c>
      <c r="J572" s="93" t="str">
        <f>IF(AND(C572&lt;&gt;"",('Cost Inputs'!$I$163+'Cost Inputs'!$J$163+'Cost Inputs'!$K$163)&gt;0), 'Cost Inputs'!$I$163+'Cost Inputs'!$J$163+'Cost Inputs'!$K$163, "")</f>
        <v/>
      </c>
      <c r="K572" s="93" t="str">
        <f>IF($C572&lt;&gt;"", IF(AND($E572&lt;&gt;"", J572&lt;&gt;""), J572/$E572, 0),"")</f>
        <v/>
      </c>
      <c r="L572" s="93"/>
      <c r="M572" s="109"/>
      <c r="O572" s="93" t="str">
        <f>IF(ISNUMBER($B$537), IF($C572&lt;&gt;"", IF('Cost Inputs'!$L$163="Y", $E572, IF('Cost Inputs'!$L$163="N", IF(ISNUMBER('Cost Inputs'!$M$163), $E572, ""),"")),""),"")</f>
        <v/>
      </c>
      <c r="P572" s="93" t="str">
        <f>IF(ISNUMBER($B$537), IF($C572&lt;&gt;"", IF('Cost Inputs'!$L$163="Y", $E572, IF('Cost Inputs'!$L$163="N", "", "")),""),"")</f>
        <v/>
      </c>
      <c r="Q572" s="93" t="str">
        <f>IF(ISNUMBER($B$537), IF($C572&lt;&gt;"", IF('Cost Inputs'!$L$163="Y", $E572, IF('Cost Inputs'!$L$163="N", IF(AND(ISNUMBER('Cost Inputs'!$M$163), OR('Cost Inputs'!$M$163=2)), $E572, ""),"")),""),"")</f>
        <v/>
      </c>
      <c r="R572" s="93" t="str">
        <f>IF(ISNUMBER($B$537), IF($C572&lt;&gt;"", IF('Cost Inputs'!$L$163="Y", $E572, IF('Cost Inputs'!$L$163="N", IF(AND(ISNUMBER('Cost Inputs'!$M$163), OR('Cost Inputs'!$M$163=3)), $E572, ""),"")),""),"")</f>
        <v/>
      </c>
      <c r="S572" s="93" t="str">
        <f>IF(ISNUMBER($B$537), IF($C572&lt;&gt;"", IF('Cost Inputs'!$L$163="Y", $E572, IF('Cost Inputs'!$L$163="N", IF(AND(ISNUMBER('Cost Inputs'!$M$163), OR('Cost Inputs'!$M$163=2, 'Cost Inputs'!$M$163=4)), $E572, ""),"")),""),"")</f>
        <v/>
      </c>
      <c r="T572" s="93" t="str">
        <f>IF(ISNUMBER($B$537), IF($C572&lt;&gt;"", IF('Cost Inputs'!$L$163="Y", $E572, IF('Cost Inputs'!$L$163="N", IF(AND(ISNUMBER('Cost Inputs'!$M$163), OR('Cost Inputs'!$M$163=2,'Cost Inputs'!$M$163=5)), $E572, ""),"")),""),"")</f>
        <v/>
      </c>
      <c r="U572" s="93" t="str">
        <f>IF(ISNUMBER($B$537), IF($C572&lt;&gt;"", IF('Cost Inputs'!$L$163="Y", $E572, IF('Cost Inputs'!$L$163="N", IF(AND(ISNUMBER('Cost Inputs'!$M$163), OR('Cost Inputs'!$M$163=2,'Cost Inputs'!$M$163=3,'Cost Inputs'!$M$163=6)), $E572, ""),"")),""),"")</f>
        <v/>
      </c>
      <c r="V572" s="93" t="str">
        <f>IF(ISNUMBER($B$537), IF($C572&lt;&gt;"", IF('Cost Inputs'!$L$163="Y", $E572, IF('Cost Inputs'!$L$163="N", IF(AND(ISNUMBER('Cost Inputs'!$M$163), OR('Cost Inputs'!$M$163=2,'Cost Inputs'!$M$163=7)), $E572, ""),"")),""),"")</f>
        <v/>
      </c>
      <c r="W572" s="93" t="str">
        <f>IF(ISNUMBER($B$537), IF($C572&lt;&gt;"", IF('Cost Inputs'!$L$163="Y", $E572, IF('Cost Inputs'!$L$163="N", IF(AND(ISNUMBER('Cost Inputs'!$M$163), OR('Cost Inputs'!$M$163=2,'Cost Inputs'!$M$163=4,'Cost Inputs'!$M$163=8)), $E572, ""),"")),""),"")</f>
        <v/>
      </c>
      <c r="X572" s="93" t="str">
        <f>IF(ISNUMBER($B$537), IF($C572&lt;&gt;"", IF('Cost Inputs'!$L$163="Y", $E572, IF('Cost Inputs'!$L$163="N", IF(AND(ISNUMBER('Cost Inputs'!$M$163), OR('Cost Inputs'!$M$163=2,'Cost Inputs'!$M$163=3,'Cost Inputs'!$M$163=9)), $E572, ""),"")),""),"")</f>
        <v/>
      </c>
      <c r="Y572" s="17"/>
      <c r="Z572" s="17"/>
      <c r="AA572" s="17"/>
      <c r="AB572" s="17"/>
      <c r="AC572" s="17"/>
      <c r="AD572" s="17"/>
      <c r="AE572" s="17"/>
      <c r="AF572" s="17"/>
      <c r="AG572" s="17"/>
      <c r="AH572" s="17"/>
      <c r="AI572" s="17"/>
      <c r="AJ572" s="17"/>
      <c r="AK572" s="17"/>
      <c r="AL572" s="17"/>
      <c r="AM572" s="17"/>
      <c r="AN572" s="17"/>
      <c r="AO572" s="17"/>
      <c r="AP572" s="17"/>
      <c r="AQ572" s="17"/>
    </row>
    <row r="573" spans="1:43" x14ac:dyDescent="0.25">
      <c r="A573" s="518"/>
      <c r="B573" s="504"/>
      <c r="C573" s="104" t="str">
        <f>IF(AND(ISNUMBER(B537), C566&lt;&gt;"", OR('Cost Inputs'!$H$164&lt;&gt;"", 'Cost Inputs'!$I$164&lt;&gt;"", 'Cost Inputs'!$J$164&lt;&gt;"")), _5_5_5, "")</f>
        <v/>
      </c>
      <c r="D573" s="17" t="str">
        <f>IF(AND(C573&lt;&gt;"", 'Cost Inputs'!$G$164&lt;&gt;""), 'Cost Inputs'!$G$164, "")</f>
        <v/>
      </c>
      <c r="E573" s="17" t="str">
        <f>IF(AND(C573&lt;&gt;"", 'Cost Inputs'!$H$164&lt;&gt;""), 'Cost Inputs'!$H$164, "")</f>
        <v/>
      </c>
      <c r="F573" s="17" t="str">
        <f>IF(AND(C573&lt;&gt;"", 'Cost Inputs'!$I$164&lt;&gt;""), 'Cost Inputs'!$I$164, "")</f>
        <v/>
      </c>
      <c r="G573" s="105" t="str">
        <f t="shared" si="455"/>
        <v/>
      </c>
      <c r="H573" s="17" t="str">
        <f>IF(AND(C573&lt;&gt;"", 'Cost Inputs'!$J$164&lt;&gt;""), 'Cost Inputs'!$J$164, "")</f>
        <v/>
      </c>
      <c r="I573" s="17" t="str">
        <f>IF($C573&lt;&gt;"", IF(AND($E573&lt;&gt;"", H573&lt;&gt;""), H573/$E573, 0),"")</f>
        <v/>
      </c>
      <c r="J573" s="17" t="str">
        <f>IF(AND(C573&lt;&gt;"",('Cost Inputs'!$I$164+'Cost Inputs'!$J$164+'Cost Inputs'!$K$164)&gt;0), 'Cost Inputs'!$I$164+'Cost Inputs'!$J$164+'Cost Inputs'!$K$164, "")</f>
        <v/>
      </c>
      <c r="K573" s="17" t="str">
        <f>IF($C573&lt;&gt;"", IF(AND($E573&lt;&gt;"", J573&lt;&gt;""), J573/$E573, 0),"")</f>
        <v/>
      </c>
      <c r="M573" s="106"/>
      <c r="O573" s="17" t="str">
        <f>IF(ISNUMBER($B$537), IF($C573&lt;&gt;"", IF('Cost Inputs'!$L$164="Y", $E573, IF('Cost Inputs'!$L$164="N", IF(ISNUMBER('Cost Inputs'!$M$164), $E573, ""),"")),""),"")</f>
        <v/>
      </c>
      <c r="P573" s="17" t="str">
        <f>IF(ISNUMBER($B$537), IF($C573&lt;&gt;"", IF('Cost Inputs'!$L$164="Y", $E573, IF('Cost Inputs'!$L$164="N", "", "")),""),"")</f>
        <v/>
      </c>
      <c r="Q573" s="17" t="str">
        <f>IF(ISNUMBER($B$537), IF($C573&lt;&gt;"", IF('Cost Inputs'!$L$164="Y", $E573, IF('Cost Inputs'!$L$164="N", IF(AND(ISNUMBER('Cost Inputs'!$M$164), OR('Cost Inputs'!$M$164=2)), $E573, ""),"")),""),"")</f>
        <v/>
      </c>
      <c r="R573" s="17" t="str">
        <f>IF(ISNUMBER($B$537), IF($C573&lt;&gt;"", IF('Cost Inputs'!$L$164="Y", $E573, IF('Cost Inputs'!$L$164="N", IF(AND(ISNUMBER('Cost Inputs'!$M$164), OR('Cost Inputs'!$M$164=3)), $E573, ""),"")),""),"")</f>
        <v/>
      </c>
      <c r="S573" s="17" t="str">
        <f>IF(ISNUMBER($B$537), IF($C573&lt;&gt;"", IF('Cost Inputs'!$L$164="Y", $E573, IF('Cost Inputs'!$L$164="N", IF(AND(ISNUMBER('Cost Inputs'!$M$164), OR('Cost Inputs'!$M$164=2, 'Cost Inputs'!$M$164=4)), $E573, ""),"")),""),"")</f>
        <v/>
      </c>
      <c r="T573" s="17" t="str">
        <f>IF(ISNUMBER($B$537), IF($C573&lt;&gt;"", IF('Cost Inputs'!$L$164="Y", $E573, IF('Cost Inputs'!$L$164="N", IF(AND(ISNUMBER('Cost Inputs'!$M$164), OR('Cost Inputs'!$M$164=2,'Cost Inputs'!$M$164=5)), $E573, ""),"")),""),"")</f>
        <v/>
      </c>
      <c r="U573" s="17" t="str">
        <f>IF(ISNUMBER($B$537), IF($C573&lt;&gt;"", IF('Cost Inputs'!$L$164="Y", $E573, IF('Cost Inputs'!$L$164="N", IF(AND(ISNUMBER('Cost Inputs'!$M$164), OR('Cost Inputs'!$M$164=2,'Cost Inputs'!$M$164=3,'Cost Inputs'!$M$164=6)), $E573, ""),"")),""),"")</f>
        <v/>
      </c>
      <c r="V573" s="17" t="str">
        <f>IF(ISNUMBER($B$537), IF($C573&lt;&gt;"", IF('Cost Inputs'!$L$164="Y", $E573, IF('Cost Inputs'!$L$164="N", IF(AND(ISNUMBER('Cost Inputs'!$M$164), OR('Cost Inputs'!$M$164=2,'Cost Inputs'!$M$164=7)), $E573, ""),"")),""),"")</f>
        <v/>
      </c>
      <c r="W573" s="17" t="str">
        <f>IF(ISNUMBER($B$537), IF($C573&lt;&gt;"", IF('Cost Inputs'!$L$164="Y", $E573, IF('Cost Inputs'!$L$164="N", IF(AND(ISNUMBER('Cost Inputs'!$M$164), OR('Cost Inputs'!$M$164=2,'Cost Inputs'!$M$164=4,'Cost Inputs'!$M$164=8)), $E573, ""),"")),""),"")</f>
        <v/>
      </c>
      <c r="X573" s="17" t="str">
        <f>IF(ISNUMBER($B$537), IF($C573&lt;&gt;"", IF('Cost Inputs'!$L$164="Y", $E573, IF('Cost Inputs'!$L$164="N", IF(AND(ISNUMBER('Cost Inputs'!$M$164), OR('Cost Inputs'!$M$164=2,'Cost Inputs'!$M$164=3,'Cost Inputs'!$M$164=9)), $E573, ""),"")),""),"")</f>
        <v/>
      </c>
      <c r="Y573" s="17"/>
      <c r="Z573" s="17"/>
      <c r="AA573" s="17"/>
      <c r="AB573" s="17"/>
      <c r="AC573" s="17"/>
      <c r="AD573" s="17"/>
      <c r="AE573" s="17"/>
      <c r="AF573" s="17"/>
      <c r="AG573" s="17"/>
      <c r="AH573" s="17"/>
      <c r="AI573" s="17"/>
      <c r="AJ573" s="17"/>
      <c r="AK573" s="17"/>
      <c r="AL573" s="17"/>
      <c r="AM573" s="17"/>
      <c r="AN573" s="17"/>
      <c r="AO573" s="17"/>
      <c r="AP573" s="17"/>
      <c r="AQ573" s="17"/>
    </row>
    <row r="574" spans="1:43" x14ac:dyDescent="0.25">
      <c r="A574" s="518"/>
      <c r="B574" s="504"/>
      <c r="C574" s="110" t="str">
        <f>IF(ISNUMBER(B537), _5_6_0, "")</f>
        <v/>
      </c>
      <c r="D574" s="94" t="str">
        <f>IF(AND(C574&lt;&gt;"", 'Cost Inputs'!$G$165&lt;&gt;""), 'Cost Inputs'!$G$165, "")</f>
        <v/>
      </c>
      <c r="E574" s="94" t="str">
        <f>IF(AND(C574&lt;&gt;"", 'Cost Inputs'!$H$165&lt;&gt;""), 'Cost Inputs'!$H$165, "")</f>
        <v/>
      </c>
      <c r="F574" s="94" t="str">
        <f>IF(AND(C574&lt;&gt;"", 'Cost Inputs'!$I$165&lt;&gt;""), 'Cost Inputs'!$I$165, "")</f>
        <v/>
      </c>
      <c r="G574" s="102" t="str">
        <f t="shared" si="455"/>
        <v/>
      </c>
      <c r="H574" s="94" t="str">
        <f>IF(AND(C574&lt;&gt;"", 'Cost Inputs'!$J$165&lt;&gt;""), 'Cost Inputs'!$J$165, "")</f>
        <v/>
      </c>
      <c r="I574" s="102" t="str">
        <f>IF($C574&lt;&gt;"",IF(AND($E574&lt;&gt;"",H574&lt;&gt;""), H574/$E574, 0),"")</f>
        <v/>
      </c>
      <c r="J574" s="94" t="str">
        <f>IF(AND(C574&lt;&gt;"",('Cost Inputs'!$I$165+'Cost Inputs'!$J$165+'Cost Inputs'!$K$165)&gt;0), 'Cost Inputs'!$I$165+'Cost Inputs'!$J$165+'Cost Inputs'!$K$165, "")</f>
        <v/>
      </c>
      <c r="K574" s="102" t="str">
        <f>IF($C574&lt;&gt;"",IF(AND($E574&lt;&gt;"",J574&lt;&gt;""), J574/$E574, 0),"")</f>
        <v/>
      </c>
      <c r="L574" s="94"/>
      <c r="M574" s="103"/>
      <c r="O574" s="94" t="str">
        <f>IF(ISNUMBER($B$537), IF($C574&lt;&gt;"", IF('Cost Inputs'!$L$165="Y", $E574, IF('Cost Inputs'!$L$165="N", IF(ISNUMBER('Cost Inputs'!$M$165), $E574, ""),"")),""),"")</f>
        <v/>
      </c>
      <c r="P574" s="94" t="str">
        <f>IF(ISNUMBER($B$537), IF($C574&lt;&gt;"", IF('Cost Inputs'!$L$165="Y", $E574, IF('Cost Inputs'!$L$165="N", "", "")),""),"")</f>
        <v/>
      </c>
      <c r="Q574" s="94" t="str">
        <f>IF(ISNUMBER($B$537), IF($C574&lt;&gt;"", IF('Cost Inputs'!$L$165="Y", $E574, IF('Cost Inputs'!$L$165="N", IF(AND(ISNUMBER('Cost Inputs'!$M$165), OR('Cost Inputs'!$M$165=2)), $E574, ""),"")),""),"")</f>
        <v/>
      </c>
      <c r="R574" s="94" t="str">
        <f>IF(ISNUMBER($B$537), IF($C574&lt;&gt;"", IF('Cost Inputs'!$L$165="Y", $E574, IF('Cost Inputs'!$L$165="N", IF(AND(ISNUMBER('Cost Inputs'!$M$165), OR('Cost Inputs'!$M$165=3)), $E574, ""),"")),""),"")</f>
        <v/>
      </c>
      <c r="S574" s="94" t="str">
        <f>IF(ISNUMBER($B$537), IF($C574&lt;&gt;"", IF('Cost Inputs'!$L$165="Y", $E574, IF('Cost Inputs'!$L$165="N", IF(AND(ISNUMBER('Cost Inputs'!$M$165), OR('Cost Inputs'!$M$165=2, 'Cost Inputs'!$M$165=4)), $E574, ""),"")),""),"")</f>
        <v/>
      </c>
      <c r="T574" s="94" t="str">
        <f>IF(ISNUMBER($B$537), IF($C574&lt;&gt;"", IF('Cost Inputs'!$L$165="Y", $E574, IF('Cost Inputs'!$L$165="N", IF(AND(ISNUMBER('Cost Inputs'!$M$165), OR('Cost Inputs'!$M$165=2,'Cost Inputs'!$M$165=5)), $E574, ""),"")),""),"")</f>
        <v/>
      </c>
      <c r="U574" s="94" t="str">
        <f>IF(ISNUMBER($B$537), IF($C574&lt;&gt;"", IF('Cost Inputs'!$L$165="Y", $E574, IF('Cost Inputs'!$L$165="N", IF(AND(ISNUMBER('Cost Inputs'!$M$165), OR('Cost Inputs'!$M$165=2,'Cost Inputs'!$M$165=3,'Cost Inputs'!$M$165=6)), $E574, ""),"")),""),"")</f>
        <v/>
      </c>
      <c r="V574" s="94" t="str">
        <f>IF(ISNUMBER($B$537), IF($C574&lt;&gt;"", IF('Cost Inputs'!$L$165="Y", $E574, IF('Cost Inputs'!$L$165="N", IF(AND(ISNUMBER('Cost Inputs'!$M$165), OR('Cost Inputs'!$M$165=2,'Cost Inputs'!$M$165=7)), $E574, ""),"")),""),"")</f>
        <v/>
      </c>
      <c r="W574" s="94" t="str">
        <f>IF(ISNUMBER($B$537), IF($C574&lt;&gt;"", IF('Cost Inputs'!$L$165="Y", $E574, IF('Cost Inputs'!$L$165="N", IF(AND(ISNUMBER('Cost Inputs'!$M$165), OR('Cost Inputs'!$M$165=2,'Cost Inputs'!$M$165=4,'Cost Inputs'!$M$165=8)), $E574, ""),"")),""),"")</f>
        <v/>
      </c>
      <c r="X574" s="94" t="str">
        <f>IF(ISNUMBER($B$537), IF($C574&lt;&gt;"", IF('Cost Inputs'!$L$165="Y", $E574, IF('Cost Inputs'!$L$165="N", IF(AND(ISNUMBER('Cost Inputs'!$M$165), OR('Cost Inputs'!$M$165=2,'Cost Inputs'!$M$165=3,'Cost Inputs'!$M$165=9)), $E574, ""),"")),""),"")</f>
        <v/>
      </c>
      <c r="Y574" s="17"/>
      <c r="Z574" s="17"/>
      <c r="AA574" s="17"/>
      <c r="AB574" s="17"/>
      <c r="AC574" s="17"/>
      <c r="AD574" s="17"/>
      <c r="AE574" s="17"/>
      <c r="AF574" s="17"/>
      <c r="AG574" s="17"/>
      <c r="AH574" s="17"/>
      <c r="AI574" s="17"/>
      <c r="AJ574" s="17"/>
      <c r="AK574" s="17"/>
      <c r="AL574" s="17"/>
      <c r="AM574" s="17"/>
      <c r="AN574" s="17"/>
      <c r="AO574" s="17"/>
      <c r="AP574" s="17"/>
      <c r="AQ574" s="17"/>
    </row>
    <row r="575" spans="1:43" x14ac:dyDescent="0.25">
      <c r="A575" s="518"/>
      <c r="B575" s="504"/>
      <c r="C575" s="104" t="str">
        <f>IF(AND(ISNUMBER(B537), OR('Cost Inputs'!$H$166&lt;&gt;"", 'Cost Inputs'!$I$166&lt;&gt;"", 'Cost Inputs'!$J$166&lt;&gt;"")), _5_6_1, "")</f>
        <v/>
      </c>
      <c r="D575" s="17" t="str">
        <f>IF(AND(C575&lt;&gt;"", 'Cost Inputs'!$G$166&lt;&gt;""), 'Cost Inputs'!$G$166, "")</f>
        <v/>
      </c>
      <c r="E575" s="17" t="str">
        <f>IF(AND(C575&lt;&gt;"", 'Cost Inputs'!$H$166&lt;&gt;""), 'Cost Inputs'!$H$166, "")</f>
        <v/>
      </c>
      <c r="F575" s="17" t="str">
        <f>IF(AND(C575&lt;&gt;"", 'Cost Inputs'!$I$166&lt;&gt;""), 'Cost Inputs'!$I$166, "")</f>
        <v/>
      </c>
      <c r="G575" s="105" t="str">
        <f t="shared" si="455"/>
        <v/>
      </c>
      <c r="H575" s="17" t="str">
        <f>IF(AND(C575&lt;&gt;"", 'Cost Inputs'!$J$166&lt;&gt;""), 'Cost Inputs'!$J$166, "")</f>
        <v/>
      </c>
      <c r="I575" s="17" t="str">
        <f>IF($C575&lt;&gt;"", IF(AND($E575&lt;&gt;"", H575&lt;&gt;""), H575/$E575, 0),"")</f>
        <v/>
      </c>
      <c r="J575" s="17" t="str">
        <f>IF(AND(C575&lt;&gt;"",('Cost Inputs'!$I$166+'Cost Inputs'!$J$166+'Cost Inputs'!$K$166)&gt;0), 'Cost Inputs'!$I$166+'Cost Inputs'!$J$166+'Cost Inputs'!$K$166, "")</f>
        <v/>
      </c>
      <c r="K575" s="17" t="str">
        <f>IF($C575&lt;&gt;"", IF(AND($E575&lt;&gt;"", J575&lt;&gt;""), J575/$E575, 0),"")</f>
        <v/>
      </c>
      <c r="M575" s="106"/>
      <c r="O575" s="17" t="str">
        <f>IF(ISNUMBER($B$537), IF($C575&lt;&gt;"", IF('Cost Inputs'!$L$166="Y", $E575, IF('Cost Inputs'!$L$166="N", IF(ISNUMBER('Cost Inputs'!$M$166), $E575, ""),"")),""),"")</f>
        <v/>
      </c>
      <c r="P575" s="17" t="str">
        <f>IF(ISNUMBER($B$537), IF($C575&lt;&gt;"", IF('Cost Inputs'!$L$166="Y", $E575, IF('Cost Inputs'!$L$166="N", "", "")),""),"")</f>
        <v/>
      </c>
      <c r="Q575" s="17" t="str">
        <f>IF(ISNUMBER($B$537), IF($C575&lt;&gt;"", IF('Cost Inputs'!$L$166="Y", $E575, IF('Cost Inputs'!$L$166="N", IF(AND(ISNUMBER('Cost Inputs'!$M$166), OR('Cost Inputs'!$M$166=2)), $E575, ""),"")),""),"")</f>
        <v/>
      </c>
      <c r="R575" s="17" t="str">
        <f>IF(ISNUMBER($B$537), IF($C575&lt;&gt;"", IF('Cost Inputs'!$L$166="Y", $E575, IF('Cost Inputs'!$L$166="N", IF(AND(ISNUMBER('Cost Inputs'!$M$166), OR('Cost Inputs'!$M$166=3)), $E575, ""),"")),""),"")</f>
        <v/>
      </c>
      <c r="S575" s="17" t="str">
        <f>IF(ISNUMBER($B$537), IF($C575&lt;&gt;"", IF('Cost Inputs'!$L$166="Y", $E575, IF('Cost Inputs'!$L$166="N", IF(AND(ISNUMBER('Cost Inputs'!$M$166), OR('Cost Inputs'!$M$166=2, 'Cost Inputs'!$M$166=4)), $E575, ""),"")),""),"")</f>
        <v/>
      </c>
      <c r="T575" s="17" t="str">
        <f>IF(ISNUMBER($B$537), IF($C575&lt;&gt;"", IF('Cost Inputs'!$L$166="Y", $E575, IF('Cost Inputs'!$L$166="N", IF(AND(ISNUMBER('Cost Inputs'!$M$166), OR('Cost Inputs'!$M$166=2,'Cost Inputs'!$M$166=5)), $E575, ""),"")),""),"")</f>
        <v/>
      </c>
      <c r="U575" s="17" t="str">
        <f>IF(ISNUMBER($B$537), IF($C575&lt;&gt;"", IF('Cost Inputs'!$L$166="Y", $E575, IF('Cost Inputs'!$L$166="N", IF(AND(ISNUMBER('Cost Inputs'!$M$166), OR('Cost Inputs'!$M$166=2,'Cost Inputs'!$M$166=3,'Cost Inputs'!$M$166=6)), $E575, ""),"")),""),"")</f>
        <v/>
      </c>
      <c r="V575" s="17" t="str">
        <f>IF(ISNUMBER($B$537), IF($C575&lt;&gt;"", IF('Cost Inputs'!$L$166="Y", $E575, IF('Cost Inputs'!$L$166="N", IF(AND(ISNUMBER('Cost Inputs'!$M$166), OR('Cost Inputs'!$M$166=2,'Cost Inputs'!$M$166=7)), $E575, ""),"")),""),"")</f>
        <v/>
      </c>
      <c r="W575" s="17" t="str">
        <f>IF(ISNUMBER($B$537), IF($C575&lt;&gt;"", IF('Cost Inputs'!$L$166="Y", $E575, IF('Cost Inputs'!$L$166="N", IF(AND(ISNUMBER('Cost Inputs'!$M$166), OR('Cost Inputs'!$M$166=2,'Cost Inputs'!$M$166=4,'Cost Inputs'!$M$166=8)), $E575, ""),"")),""),"")</f>
        <v/>
      </c>
      <c r="X575" s="17" t="str">
        <f>IF(ISNUMBER($B$537), IF($C575&lt;&gt;"", IF('Cost Inputs'!$L$166="Y", $E575, IF('Cost Inputs'!$L$166="N", IF(AND(ISNUMBER('Cost Inputs'!$M$166), OR('Cost Inputs'!$M$166=2,'Cost Inputs'!$M$166=3,'Cost Inputs'!$M$166=9)), $E575, ""),"")),""),"")</f>
        <v/>
      </c>
      <c r="Y575" s="17"/>
      <c r="Z575" s="17"/>
      <c r="AA575" s="17"/>
      <c r="AB575" s="17"/>
      <c r="AC575" s="17"/>
      <c r="AD575" s="17"/>
      <c r="AE575" s="17"/>
      <c r="AF575" s="17"/>
      <c r="AG575" s="17"/>
      <c r="AH575" s="17"/>
      <c r="AI575" s="17"/>
      <c r="AJ575" s="17"/>
      <c r="AK575" s="17"/>
      <c r="AL575" s="17"/>
      <c r="AM575" s="17"/>
      <c r="AN575" s="17"/>
      <c r="AO575" s="17"/>
      <c r="AP575" s="17"/>
      <c r="AQ575" s="17"/>
    </row>
    <row r="576" spans="1:43" ht="15.75" thickBot="1" x14ac:dyDescent="0.3">
      <c r="A576" s="518"/>
      <c r="B576" s="505"/>
      <c r="C576" s="111" t="str">
        <f>IF(AND(ISNUMBER(B537), OR('Cost Inputs'!$H$167&lt;&gt;"", 'Cost Inputs'!$I$167&lt;&gt;"", 'Cost Inputs'!$J$167&lt;&gt;"")), _5_6_2, "")</f>
        <v/>
      </c>
      <c r="D576" s="95" t="str">
        <f>IF(AND(C576&lt;&gt;"", 'Cost Inputs'!$G$167&lt;&gt;""), 'Cost Inputs'!$G$167, "")</f>
        <v/>
      </c>
      <c r="E576" s="95" t="str">
        <f>IF(AND(C576&lt;&gt;"", 'Cost Inputs'!$H$167&lt;&gt;""), 'Cost Inputs'!$H$167, "")</f>
        <v/>
      </c>
      <c r="F576" s="95" t="str">
        <f>IF(AND(C576&lt;&gt;"", 'Cost Inputs'!$I$167&lt;&gt;""), 'Cost Inputs'!$I$167, "")</f>
        <v/>
      </c>
      <c r="G576" s="112" t="str">
        <f t="shared" si="455"/>
        <v/>
      </c>
      <c r="H576" s="95" t="str">
        <f>IF(AND(C576&lt;&gt;"", 'Cost Inputs'!$J$167&lt;&gt;""), 'Cost Inputs'!$J$167, "")</f>
        <v/>
      </c>
      <c r="I576" s="95" t="str">
        <f>IF($C576&lt;&gt;"", IF(AND($E576&lt;&gt;"", H576&lt;&gt;""), H576/$E576, 0),"")</f>
        <v/>
      </c>
      <c r="J576" s="95" t="str">
        <f>IF(AND(C576&lt;&gt;"",('Cost Inputs'!$I$167+'Cost Inputs'!$J$167+'Cost Inputs'!$K$167)&gt;0), 'Cost Inputs'!$I$167+'Cost Inputs'!$J$167+'Cost Inputs'!$K$167, "")</f>
        <v/>
      </c>
      <c r="K576" s="95" t="str">
        <f>IF($C576&lt;&gt;"", IF(AND($E576&lt;&gt;"", J576&lt;&gt;""), J576/$E576, 0),"")</f>
        <v/>
      </c>
      <c r="L576" s="95"/>
      <c r="M576" s="113"/>
      <c r="O576" s="95" t="str">
        <f>IF(ISNUMBER($B$537), IF($C576&lt;&gt;"", IF('Cost Inputs'!$L$167="Y", $E576, IF('Cost Inputs'!$L$167="N", IF(ISNUMBER('Cost Inputs'!$M$167), $E576, ""),"")),""),"")</f>
        <v/>
      </c>
      <c r="P576" s="95" t="str">
        <f>IF(ISNUMBER($B$537), IF($C576&lt;&gt;"", IF('Cost Inputs'!$L$167="Y", $E576, IF('Cost Inputs'!$L$167="N", "", "")),""),"")</f>
        <v/>
      </c>
      <c r="Q576" s="95" t="str">
        <f>IF(ISNUMBER($B$537), IF($C576&lt;&gt;"", IF('Cost Inputs'!$L$167="Y", $E576, IF('Cost Inputs'!$L$167="N", IF(AND(ISNUMBER('Cost Inputs'!$M$167), OR('Cost Inputs'!$M$167=2)), $E576, ""),"")),""),"")</f>
        <v/>
      </c>
      <c r="R576" s="95" t="str">
        <f>IF(ISNUMBER($B$537), IF($C576&lt;&gt;"", IF('Cost Inputs'!$L$167="Y", $E576, IF('Cost Inputs'!$L$167="N", IF(AND(ISNUMBER('Cost Inputs'!$M$167), OR('Cost Inputs'!$M$167=3)), $E576, ""),"")),""),"")</f>
        <v/>
      </c>
      <c r="S576" s="95" t="str">
        <f>IF(ISNUMBER($B$537), IF($C576&lt;&gt;"", IF('Cost Inputs'!$L$167="Y", $E576, IF('Cost Inputs'!$L$167="N", IF(AND(ISNUMBER('Cost Inputs'!$M$167), OR('Cost Inputs'!$M$167=2, 'Cost Inputs'!$M$167=4)), $E576, ""),"")),""),"")</f>
        <v/>
      </c>
      <c r="T576" s="95" t="str">
        <f>IF(ISNUMBER($B$537), IF($C576&lt;&gt;"", IF('Cost Inputs'!$L$167="Y", $E576, IF('Cost Inputs'!$L$167="N", IF(AND(ISNUMBER('Cost Inputs'!$M$167), OR('Cost Inputs'!$M$167=2,'Cost Inputs'!$M$167=5)), $E576, ""),"")),""),"")</f>
        <v/>
      </c>
      <c r="U576" s="95" t="str">
        <f>IF(ISNUMBER($B$537), IF($C576&lt;&gt;"", IF('Cost Inputs'!$L$167="Y", $E576, IF('Cost Inputs'!$L$167="N", IF(AND(ISNUMBER('Cost Inputs'!$M$167), OR('Cost Inputs'!$M$167=2,'Cost Inputs'!$M$167=3,'Cost Inputs'!$M$167=6)), $E576, ""),"")),""),"")</f>
        <v/>
      </c>
      <c r="V576" s="95" t="str">
        <f>IF(ISNUMBER($B$537), IF($C576&lt;&gt;"", IF('Cost Inputs'!$L$167="Y", $E576, IF('Cost Inputs'!$L$167="N", IF(AND(ISNUMBER('Cost Inputs'!$M$167), OR('Cost Inputs'!$M$167=2,'Cost Inputs'!$M$167=7)), $E576, ""),"")),""),"")</f>
        <v/>
      </c>
      <c r="W576" s="95" t="str">
        <f>IF(ISNUMBER($B$537), IF($C576&lt;&gt;"", IF('Cost Inputs'!$L$167="Y", $E576, IF('Cost Inputs'!$L$167="N", IF(AND(ISNUMBER('Cost Inputs'!$M$167), OR('Cost Inputs'!$M$167=2,'Cost Inputs'!$M$167=4,'Cost Inputs'!$M$167=8)), $E576, ""),"")),""),"")</f>
        <v/>
      </c>
      <c r="X576" s="95" t="str">
        <f>IF(ISNUMBER($B$537), IF($C576&lt;&gt;"", IF('Cost Inputs'!$L$167="Y", $E576, IF('Cost Inputs'!$L$167="N", IF(AND(ISNUMBER('Cost Inputs'!$M$167), OR('Cost Inputs'!$M$167=2,'Cost Inputs'!$M$167=3,'Cost Inputs'!$M$167=9)), $E576, ""),"")),""),"")</f>
        <v/>
      </c>
      <c r="Y576" s="17"/>
      <c r="Z576" s="17"/>
      <c r="AA576" s="17"/>
      <c r="AB576" s="17"/>
      <c r="AC576" s="17"/>
      <c r="AD576" s="17"/>
      <c r="AE576" s="17"/>
      <c r="AF576" s="17"/>
      <c r="AG576" s="17"/>
      <c r="AH576" s="17"/>
      <c r="AI576" s="17"/>
      <c r="AJ576" s="17"/>
      <c r="AK576" s="17"/>
      <c r="AL576" s="17"/>
      <c r="AM576" s="17"/>
      <c r="AN576" s="17"/>
      <c r="AO576" s="17"/>
      <c r="AP576" s="17"/>
      <c r="AQ576" s="17"/>
    </row>
    <row r="577" spans="1:25" x14ac:dyDescent="0.25">
      <c r="A577" s="518" t="str">
        <f>Fifth_Stage</f>
        <v>Stage 3 Clonal Replication with Increased Repetitions</v>
      </c>
      <c r="B577" s="503" t="str">
        <f>'Breeding Inputs'!B102</f>
        <v/>
      </c>
      <c r="C577" s="520" t="str">
        <f>IF(ISNUMBER(B577), _5_3_0, "")</f>
        <v/>
      </c>
      <c r="D577" s="92" t="str">
        <f>IF(AND(C577&lt;&gt;"", 'Cost Inputs'!$G$146&lt;&gt;""), 'Cost Inputs'!$G$146, "")</f>
        <v/>
      </c>
      <c r="E577" s="92" t="str">
        <f>IF(AND(C577&lt;&gt;"", 'Cost Inputs'!$H$146&lt;&gt;""), 'Cost Inputs'!$H$146, "")</f>
        <v/>
      </c>
      <c r="F577" s="522" t="str">
        <f>IF(AND(C577&lt;&gt;"", 'Cost Inputs'!$I$146&lt;&gt;""), 'Cost Inputs'!$I$146, "")</f>
        <v/>
      </c>
      <c r="G577" s="100" t="str">
        <f t="shared" si="455"/>
        <v/>
      </c>
      <c r="H577" s="522" t="str">
        <f>IF(AND(C577&lt;&gt;"", 'Cost Inputs'!$J$146&lt;&gt;""), 'Cost Inputs'!$J$146, "")</f>
        <v/>
      </c>
      <c r="I577" s="100" t="str">
        <f>IF($C577&lt;&gt;"",IF(AND($E577&lt;&gt;"",H577&lt;&gt;""), H577/$E577, 0),"")</f>
        <v/>
      </c>
      <c r="J577" s="522" t="str">
        <f>IF(AND(C577&lt;&gt;"",('Cost Inputs'!$I$146+'Cost Inputs'!$J$146+'Cost Inputs'!$K$146)&gt;0), 'Cost Inputs'!$I$146+'Cost Inputs'!$J$146+'Cost Inputs'!$K$146, "")</f>
        <v/>
      </c>
      <c r="K577" s="100" t="str">
        <f>IF($C577&lt;&gt;"",IF(AND($E577&lt;&gt;"",J577&lt;&gt;""), J577/$E577, 0),"")</f>
        <v/>
      </c>
      <c r="L577" s="92"/>
      <c r="M577" s="101"/>
      <c r="P577" s="492" t="str">
        <f>IF(ISNUMBER($B$537), IF($C577&lt;&gt;"", IF('Cost Inputs'!$L$146="Y", $E577, IF('Cost Inputs'!$L$146="N", IF(ISNUMBER('Cost Inputs'!$M$146), $E577, ""),"")),""),"")</f>
        <v/>
      </c>
      <c r="Q577" s="492" t="str">
        <f>IF(ISNUMBER($B$537), IF($C577&lt;&gt;"", IF('Cost Inputs'!$L$146="Y", $E577, IF('Cost Inputs'!$L$146="N", "", "")),""),"")</f>
        <v/>
      </c>
      <c r="R577" s="492" t="str">
        <f>IF(ISNUMBER($B$537), IF($C577&lt;&gt;"", IF('Cost Inputs'!$L$146="Y", $E577, IF('Cost Inputs'!$L$146="N", IF(AND(ISNUMBER('Cost Inputs'!$M$146), OR('Cost Inputs'!$M$146=2)), $E577, ""),"")),""),"")</f>
        <v/>
      </c>
      <c r="S577" s="492" t="str">
        <f>IF(ISNUMBER($B$537), IF($C577&lt;&gt;"", IF('Cost Inputs'!$L$146="Y", $E577, IF('Cost Inputs'!$L$146="N", IF(AND(ISNUMBER('Cost Inputs'!$M$146), OR('Cost Inputs'!$M$146=3)), $E577, ""),"")),""),"")</f>
        <v/>
      </c>
      <c r="T577" s="492" t="str">
        <f>IF(ISNUMBER($B$537), IF($C577&lt;&gt;"", IF('Cost Inputs'!$L$146="Y", $E577, IF('Cost Inputs'!$L$146="N", IF(AND(ISNUMBER('Cost Inputs'!$M$146), OR('Cost Inputs'!$M$146=2, 'Cost Inputs'!$M$146=4)), $E577, ""),"")),""),"")</f>
        <v/>
      </c>
      <c r="U577" s="492" t="str">
        <f>IF(ISNUMBER($B$537), IF($C577&lt;&gt;"", IF('Cost Inputs'!$L$146="Y", $E577, IF('Cost Inputs'!$L$146="N", IF(AND(ISNUMBER('Cost Inputs'!$M$146), OR('Cost Inputs'!$M$146=2,'Cost Inputs'!$M$146=5)), $E577, ""),"")),""),"")</f>
        <v/>
      </c>
      <c r="V577" s="492" t="str">
        <f>IF(ISNUMBER($B$537), IF($C577&lt;&gt;"", IF('Cost Inputs'!$L$146="Y", $E577, IF('Cost Inputs'!$L$146="N", IF(AND(ISNUMBER('Cost Inputs'!$M$146), OR('Cost Inputs'!$M$146=2,'Cost Inputs'!$M$146=3,'Cost Inputs'!$M$146=6)), $E577, ""),"")),""),"")</f>
        <v/>
      </c>
      <c r="W577" s="492" t="str">
        <f>IF(ISNUMBER($B$537), IF($C577&lt;&gt;"", IF('Cost Inputs'!$L$146="Y", $E577, IF('Cost Inputs'!$L$146="N", IF(AND(ISNUMBER('Cost Inputs'!$M$146), OR('Cost Inputs'!$M$146=2,'Cost Inputs'!$M$146=7)), $E577, ""),"")),""),"")</f>
        <v/>
      </c>
      <c r="X577" s="492" t="str">
        <f>IF(ISNUMBER($B$537), IF($C577&lt;&gt;"", IF('Cost Inputs'!$L$146="Y", $E577, IF('Cost Inputs'!$L$146="N", IF(AND(ISNUMBER('Cost Inputs'!$M$146), OR('Cost Inputs'!$M$146=2,'Cost Inputs'!$M$146=4,'Cost Inputs'!$M$146=8)), $E577, ""),"")),""),"")</f>
        <v/>
      </c>
      <c r="Y577" s="492" t="str">
        <f>IF(ISNUMBER($B$537), IF($C577&lt;&gt;"", IF('Cost Inputs'!$L$146="Y", $E577, IF('Cost Inputs'!$L$146="N", IF(AND(ISNUMBER('Cost Inputs'!$M$146), OR('Cost Inputs'!$M$146=2,'Cost Inputs'!$M$146=3,'Cost Inputs'!$M$146=9)), $E577, ""),"")),""),"")</f>
        <v/>
      </c>
    </row>
    <row r="578" spans="1:25" x14ac:dyDescent="0.25">
      <c r="A578" s="518"/>
      <c r="B578" s="504"/>
      <c r="C578" s="521"/>
      <c r="D578" s="94" t="str">
        <f>IF(AND(C577&lt;&gt;"", 'Cost Inputs'!$G$147&lt;&gt;""), 'Cost Inputs'!$G$147, "")</f>
        <v/>
      </c>
      <c r="E578" s="94" t="str">
        <f>IF(AND(C577&lt;&gt;"", 'Cost Inputs'!$H$147&lt;&gt;""), 'Cost Inputs'!$H$147, "")</f>
        <v/>
      </c>
      <c r="F578" s="492"/>
      <c r="G578" s="102" t="str">
        <f t="shared" si="455"/>
        <v/>
      </c>
      <c r="H578" s="492"/>
      <c r="I578" s="102" t="str">
        <f>IF($C577&lt;&gt;"", IF(AND($E578&lt;&gt;"", H577&lt;&gt;""), H577/($E577*$E578), 0), "")</f>
        <v/>
      </c>
      <c r="J578" s="492" t="str">
        <f>IF(AND(C578&lt;&gt;"",('Cost Inputs'!$I$86+'Cost Inputs'!$J$86+'Cost Inputs'!$K$86)&gt;0), 'Cost Inputs'!$I$86+'Cost Inputs'!$J$86+'Cost Inputs'!$K$86, "")</f>
        <v/>
      </c>
      <c r="K578" s="102" t="str">
        <f>IF($C577&lt;&gt;"", IF(AND($E578&lt;&gt;"", J577&lt;&gt;""), J577/($E577*$E578), 0), "")</f>
        <v/>
      </c>
      <c r="L578" s="94"/>
      <c r="M578" s="103"/>
      <c r="P578" s="492" t="str">
        <f>IF(ISNUMBER($B$537), IF($C578&lt;&gt;"", IF('Cost Inputs'!$L169="Y", $E578, IF('Cost Inputs'!$L169="N", IF(ISNUMBER('Cost Inputs'!$M169), $E578, ""),"")),""),"")</f>
        <v/>
      </c>
      <c r="Q578" s="492" t="str">
        <f>IF(ISNUMBER($B$537), IF($C578&lt;&gt;"", IF('Cost Inputs'!$L169="Y", $E578, IF('Cost Inputs'!$L169="N", "", "")),""),"")</f>
        <v/>
      </c>
      <c r="R578" s="492" t="str">
        <f>IF(ISNUMBER($B$537), IF($C578&lt;&gt;"", IF('Cost Inputs'!$L169="Y", $E578, IF('Cost Inputs'!$L169="N", IF(AND(ISNUMBER('Cost Inputs'!$M169), OR('Cost Inputs'!$M169=2)), $E578, ""),"")),""),"")</f>
        <v/>
      </c>
      <c r="S578" s="492" t="str">
        <f>IF(ISNUMBER($B$537), IF($C578&lt;&gt;"", IF('Cost Inputs'!$L169="Y", $E578, IF('Cost Inputs'!$L169="N", IF(AND(ISNUMBER('Cost Inputs'!$M169), OR('Cost Inputs'!$M169=3)), $E578, ""),"")),""),"")</f>
        <v/>
      </c>
      <c r="T578" s="492" t="str">
        <f>IF(ISNUMBER($B$537), IF($C578&lt;&gt;"", IF('Cost Inputs'!$L169="Y", $E578, IF('Cost Inputs'!$L169="N", IF(AND(ISNUMBER('Cost Inputs'!$M169), OR('Cost Inputs'!$M169=2, 'Cost Inputs'!$M169=4)), $E578, ""),"")),""),"")</f>
        <v/>
      </c>
      <c r="U578" s="492" t="str">
        <f>IF(ISNUMBER($B$537), IF($C578&lt;&gt;"", IF('Cost Inputs'!$L169="Y", $E578, IF('Cost Inputs'!$L169="N", IF(AND(ISNUMBER('Cost Inputs'!$M169), OR('Cost Inputs'!$M169=2,'Cost Inputs'!$M169=5)), $E578, ""),"")),""),"")</f>
        <v/>
      </c>
      <c r="V578" s="492" t="str">
        <f>IF(ISNUMBER($B$537), IF($C578&lt;&gt;"", IF('Cost Inputs'!$L169="Y", $E578, IF('Cost Inputs'!$L169="N", IF(AND(ISNUMBER('Cost Inputs'!$M169), OR('Cost Inputs'!$M169=2,'Cost Inputs'!$M169=3,'Cost Inputs'!$M169=6)), $E578, ""),"")),""),"")</f>
        <v/>
      </c>
      <c r="W578" s="492" t="str">
        <f>IF(ISNUMBER($B$537), IF($C578&lt;&gt;"", IF('Cost Inputs'!$L169="Y", $E578, IF('Cost Inputs'!$L169="N", IF(AND(ISNUMBER('Cost Inputs'!$M169), OR('Cost Inputs'!$M169=2,'Cost Inputs'!$M169=7)), $E578, ""),"")),""),"")</f>
        <v/>
      </c>
      <c r="X578" s="492" t="str">
        <f>IF(ISNUMBER($B$537), IF($C578&lt;&gt;"", IF('Cost Inputs'!$L169="Y", $E578, IF('Cost Inputs'!$L169="N", IF(AND(ISNUMBER('Cost Inputs'!$M169), OR('Cost Inputs'!$M169=2,'Cost Inputs'!$M169=4,'Cost Inputs'!$M169=8)), $E578, ""),"")),""),"")</f>
        <v/>
      </c>
      <c r="Y578" s="492" t="str">
        <f>IF(ISNUMBER($B$537), IF($C578&lt;&gt;"", IF('Cost Inputs'!$L169="Y", $E578, IF('Cost Inputs'!$L169="N", IF(AND(ISNUMBER('Cost Inputs'!$M169), OR('Cost Inputs'!$M169=2,'Cost Inputs'!$M169=3,'Cost Inputs'!$M169=9)), $E578, ""),"")),""),"")</f>
        <v/>
      </c>
    </row>
    <row r="579" spans="1:25" x14ac:dyDescent="0.25">
      <c r="A579" s="518"/>
      <c r="B579" s="504"/>
      <c r="C579" s="104" t="str">
        <f>IF(AND(ISNUMBER(B577), OR('Cost Inputs'!$H$148&lt;&gt;"", 'Cost Inputs'!$I$148&lt;&gt;"", 'Cost Inputs'!$J$148&lt;&gt;"")), _5_3_1, "")</f>
        <v/>
      </c>
      <c r="D579" s="17" t="str">
        <f>IF(AND(C579&lt;&gt;"", 'Cost Inputs'!$G$148&lt;&gt;""), 'Cost Inputs'!$G$148, "")</f>
        <v/>
      </c>
      <c r="E579" s="17" t="str">
        <f>IF(AND(C579&lt;&gt;"", 'Cost Inputs'!$H$148&lt;&gt;""), 'Cost Inputs'!$H$148, "")</f>
        <v/>
      </c>
      <c r="F579" s="17" t="str">
        <f>IF(AND(C579&lt;&gt;"", 'Cost Inputs'!$I$148&lt;&gt;""), 'Cost Inputs'!$I$148, "")</f>
        <v/>
      </c>
      <c r="G579" s="105" t="str">
        <f t="shared" si="455"/>
        <v/>
      </c>
      <c r="H579" s="17" t="str">
        <f>IF(AND(C579&lt;&gt;"", 'Cost Inputs'!$J$148&lt;&gt;""), 'Cost Inputs'!$J$148, "")</f>
        <v/>
      </c>
      <c r="I579" s="17" t="str">
        <f t="shared" ref="I579:I587" si="458">IF($C579&lt;&gt;"", IF(AND($E579&lt;&gt;"", H579&lt;&gt;""), H579/$E579, 0),"")</f>
        <v/>
      </c>
      <c r="J579" s="17" t="str">
        <f>IF(AND(C579&lt;&gt;"",('Cost Inputs'!$I$148+'Cost Inputs'!$J$148+'Cost Inputs'!$K$148)&gt;0), 'Cost Inputs'!$I$148+'Cost Inputs'!$J$148+'Cost Inputs'!$K$148, "")</f>
        <v/>
      </c>
      <c r="K579" s="17" t="str">
        <f t="shared" ref="K579:K587" si="459">IF($C579&lt;&gt;"", IF(AND($E579&lt;&gt;"", J579&lt;&gt;""), J579/$E579, 0),"")</f>
        <v/>
      </c>
      <c r="M579" s="106"/>
      <c r="P579" s="17" t="str">
        <f>IF(ISNUMBER($B$537), IF($C579&lt;&gt;"", IF('Cost Inputs'!$L$148="Y", $E579, IF('Cost Inputs'!$L$148="N", IF(ISNUMBER('Cost Inputs'!$M$148), $E579, ""),"")),""),"")</f>
        <v/>
      </c>
      <c r="Q579" s="17" t="str">
        <f>IF(ISNUMBER($B$537), IF($C579&lt;&gt;"", IF('Cost Inputs'!$L$148="Y", $E579, IF('Cost Inputs'!$L$148="N", "", "")),""),"")</f>
        <v/>
      </c>
      <c r="R579" s="17" t="str">
        <f>IF(ISNUMBER($B$537), IF($C579&lt;&gt;"", IF('Cost Inputs'!$L$148="Y", $E579, IF('Cost Inputs'!$L$148="N", IF(AND(ISNUMBER('Cost Inputs'!$M$148), OR('Cost Inputs'!$M$148=2)), $E579, ""),"")),""),"")</f>
        <v/>
      </c>
      <c r="S579" s="17" t="str">
        <f>IF(ISNUMBER($B$537), IF($C579&lt;&gt;"", IF('Cost Inputs'!$L$148="Y", $E579, IF('Cost Inputs'!$L$148="N", IF(AND(ISNUMBER('Cost Inputs'!$M$148), OR('Cost Inputs'!$M$148=3)), $E579, ""),"")),""),"")</f>
        <v/>
      </c>
      <c r="T579" s="17" t="str">
        <f>IF(ISNUMBER($B$537), IF($C579&lt;&gt;"", IF('Cost Inputs'!$L$148="Y", $E579, IF('Cost Inputs'!$L$148="N", IF(AND(ISNUMBER('Cost Inputs'!$M$148), OR('Cost Inputs'!$M$148=2, 'Cost Inputs'!$M$148=4)), $E579, ""),"")),""),"")</f>
        <v/>
      </c>
      <c r="U579" s="17" t="str">
        <f>IF(ISNUMBER($B$537), IF($C579&lt;&gt;"", IF('Cost Inputs'!$L$148="Y", $E579, IF('Cost Inputs'!$L$148="N", IF(AND(ISNUMBER('Cost Inputs'!$M$148), OR('Cost Inputs'!$M$148=2,'Cost Inputs'!$M$148=5)), $E579, ""),"")),""),"")</f>
        <v/>
      </c>
      <c r="V579" s="17" t="str">
        <f>IF(ISNUMBER($B$537), IF($C579&lt;&gt;"", IF('Cost Inputs'!$L$148="Y", $E579, IF('Cost Inputs'!$L$148="N", IF(AND(ISNUMBER('Cost Inputs'!$M$148), OR('Cost Inputs'!$M$148=2,'Cost Inputs'!$M$148=3,'Cost Inputs'!$M$148=6)), $E579, ""),"")),""),"")</f>
        <v/>
      </c>
      <c r="W579" s="17" t="str">
        <f>IF(ISNUMBER($B$537), IF($C579&lt;&gt;"", IF('Cost Inputs'!$L$148="Y", $E579, IF('Cost Inputs'!$L$148="N", IF(AND(ISNUMBER('Cost Inputs'!$M$148), OR('Cost Inputs'!$M$148=2,'Cost Inputs'!$M$148=7)), $E579, ""),"")),""),"")</f>
        <v/>
      </c>
      <c r="X579" s="17" t="str">
        <f>IF(ISNUMBER($B$537), IF($C579&lt;&gt;"", IF('Cost Inputs'!$L$148="Y", $E579, IF('Cost Inputs'!$L$148="N", IF(AND(ISNUMBER('Cost Inputs'!$M$148), OR('Cost Inputs'!$M$148=2,'Cost Inputs'!$M$148=4,'Cost Inputs'!$M$148=8)), $E579, ""),"")),""),"")</f>
        <v/>
      </c>
      <c r="Y579" s="17" t="str">
        <f>IF(ISNUMBER($B$537), IF($C579&lt;&gt;"", IF('Cost Inputs'!$L$148="Y", $E579, IF('Cost Inputs'!$L$148="N", IF(AND(ISNUMBER('Cost Inputs'!$M$148), OR('Cost Inputs'!$M$148=2,'Cost Inputs'!$M$148=3,'Cost Inputs'!$M$148=9)), $E579, ""),"")),""),"")</f>
        <v/>
      </c>
    </row>
    <row r="580" spans="1:25" x14ac:dyDescent="0.25">
      <c r="A580" s="518"/>
      <c r="B580" s="504"/>
      <c r="C580" s="107" t="str">
        <f>IF(AND(ISNUMBER(B577), OR('Cost Inputs'!$H$149&lt;&gt;"", 'Cost Inputs'!$I$149&lt;&gt;"", 'Cost Inputs'!$J$149&lt;&gt;"")), _5_3_2, "")</f>
        <v/>
      </c>
      <c r="D580" s="93" t="str">
        <f>IF(AND(C580&lt;&gt;"", 'Cost Inputs'!$G$149&lt;&gt;""), 'Cost Inputs'!$G$149, "")</f>
        <v/>
      </c>
      <c r="E580" s="93" t="str">
        <f>IF(AND(C580&lt;&gt;"", 'Cost Inputs'!$H$149&lt;&gt;""), 'Cost Inputs'!$H$149, "")</f>
        <v/>
      </c>
      <c r="F580" s="93" t="str">
        <f>IF(AND(C580&lt;&gt;"", 'Cost Inputs'!$I$149&lt;&gt;""), 'Cost Inputs'!$I$149, "")</f>
        <v/>
      </c>
      <c r="G580" s="108" t="str">
        <f t="shared" si="455"/>
        <v/>
      </c>
      <c r="H580" s="93" t="str">
        <f>IF(AND(C580&lt;&gt;"", 'Cost Inputs'!$J$149&lt;&gt;""), 'Cost Inputs'!$J$149, "")</f>
        <v/>
      </c>
      <c r="I580" s="93" t="str">
        <f t="shared" si="458"/>
        <v/>
      </c>
      <c r="J580" s="93" t="str">
        <f>IF(AND(C580&lt;&gt;"",('Cost Inputs'!$I$149+'Cost Inputs'!$J$149+'Cost Inputs'!$K$149)&gt;0), 'Cost Inputs'!$I$149+'Cost Inputs'!$J$149+'Cost Inputs'!$K$149, "")</f>
        <v/>
      </c>
      <c r="K580" s="93" t="str">
        <f t="shared" si="459"/>
        <v/>
      </c>
      <c r="L580" s="93"/>
      <c r="M580" s="109"/>
      <c r="P580" s="93" t="str">
        <f>IF(ISNUMBER($B$537), IF($C580&lt;&gt;"", IF('Cost Inputs'!$L$149="Y", $E580, IF('Cost Inputs'!$L$149="N", IF(ISNUMBER('Cost Inputs'!$M$149), $E580, ""),"")),""),"")</f>
        <v/>
      </c>
      <c r="Q580" s="93" t="str">
        <f>IF(ISNUMBER($B$537), IF($C580&lt;&gt;"", IF('Cost Inputs'!$L$149="Y", $E580, IF('Cost Inputs'!$L$149="N", "", "")),""),"")</f>
        <v/>
      </c>
      <c r="R580" s="93" t="str">
        <f>IF(ISNUMBER($B$537), IF($C580&lt;&gt;"", IF('Cost Inputs'!$L$149="Y", $E580, IF('Cost Inputs'!$L$149="N", IF(AND(ISNUMBER('Cost Inputs'!$M$149), OR('Cost Inputs'!$M$149=2)), $E580, ""),"")),""),"")</f>
        <v/>
      </c>
      <c r="S580" s="93" t="str">
        <f>IF(ISNUMBER($B$537), IF($C580&lt;&gt;"", IF('Cost Inputs'!$L$149="Y", $E580, IF('Cost Inputs'!$L$149="N", IF(AND(ISNUMBER('Cost Inputs'!$M$149), OR('Cost Inputs'!$M$149=3)), $E580, ""),"")),""),"")</f>
        <v/>
      </c>
      <c r="T580" s="93" t="str">
        <f>IF(ISNUMBER($B$537), IF($C580&lt;&gt;"", IF('Cost Inputs'!$L$149="Y", $E580, IF('Cost Inputs'!$L$149="N", IF(AND(ISNUMBER('Cost Inputs'!$M$149), OR('Cost Inputs'!$M$149=2, 'Cost Inputs'!$M$149=4)), $E580, ""),"")),""),"")</f>
        <v/>
      </c>
      <c r="U580" s="93" t="str">
        <f>IF(ISNUMBER($B$537), IF($C580&lt;&gt;"", IF('Cost Inputs'!$L$149="Y", $E580, IF('Cost Inputs'!$L$149="N", IF(AND(ISNUMBER('Cost Inputs'!$M$149), OR('Cost Inputs'!$M$149=2,'Cost Inputs'!$M$149=5)), $E580, ""),"")),""),"")</f>
        <v/>
      </c>
      <c r="V580" s="93" t="str">
        <f>IF(ISNUMBER($B$537), IF($C580&lt;&gt;"", IF('Cost Inputs'!$L$149="Y", $E580, IF('Cost Inputs'!$L$149="N", IF(AND(ISNUMBER('Cost Inputs'!$M$149), OR('Cost Inputs'!$M$149=2,'Cost Inputs'!$M$149=3,'Cost Inputs'!$M$149=6)), $E580, ""),"")),""),"")</f>
        <v/>
      </c>
      <c r="W580" s="93" t="str">
        <f>IF(ISNUMBER($B$537), IF($C580&lt;&gt;"", IF('Cost Inputs'!$L$149="Y", $E580, IF('Cost Inputs'!$L$149="N", IF(AND(ISNUMBER('Cost Inputs'!$M$149), OR('Cost Inputs'!$M$149=2,'Cost Inputs'!$M$149=7)), $E580, ""),"")),""),"")</f>
        <v/>
      </c>
      <c r="X580" s="93" t="str">
        <f>IF(ISNUMBER($B$537), IF($C580&lt;&gt;"", IF('Cost Inputs'!$L$149="Y", $E580, IF('Cost Inputs'!$L$149="N", IF(AND(ISNUMBER('Cost Inputs'!$M$149), OR('Cost Inputs'!$M$149=2,'Cost Inputs'!$M$149=4,'Cost Inputs'!$M$149=8)), $E580, ""),"")),""),"")</f>
        <v/>
      </c>
      <c r="Y580" s="93" t="str">
        <f>IF(ISNUMBER($B$537), IF($C580&lt;&gt;"", IF('Cost Inputs'!$L$149="Y", $E580, IF('Cost Inputs'!$L$149="N", IF(AND(ISNUMBER('Cost Inputs'!$M$149), OR('Cost Inputs'!$M$149=2,'Cost Inputs'!$M$149=3,'Cost Inputs'!$M$149=9)), $E580, ""),"")),""),"")</f>
        <v/>
      </c>
    </row>
    <row r="581" spans="1:25" x14ac:dyDescent="0.25">
      <c r="A581" s="518"/>
      <c r="B581" s="504"/>
      <c r="C581" s="110" t="str">
        <f>IF(ISNUMBER(B577), _5_4_0, "")</f>
        <v/>
      </c>
      <c r="D581" s="94" t="str">
        <f>IF(AND(C581&lt;&gt;"", 'Cost Inputs'!$G$150&lt;&gt;""), 'Cost Inputs'!$G$150, "")</f>
        <v/>
      </c>
      <c r="E581" s="94" t="str">
        <f>IF(AND(C581&lt;&gt;"", 'Cost Inputs'!$H$150&lt;&gt;""), 'Cost Inputs'!$H$150, "")</f>
        <v/>
      </c>
      <c r="F581" s="94" t="str">
        <f>IF(AND(C581&lt;&gt;"", 'Cost Inputs'!$I$150&lt;&gt;""), 'Cost Inputs'!$I$150, "")</f>
        <v/>
      </c>
      <c r="G581" s="102" t="str">
        <f t="shared" si="455"/>
        <v/>
      </c>
      <c r="H581" s="102" t="str">
        <f>IF(AND(C581&lt;&gt;"", 'Cost Inputs'!$J$150&lt;&gt;""), 'Cost Inputs'!$J$150, "")</f>
        <v/>
      </c>
      <c r="I581" s="102" t="str">
        <f t="shared" si="458"/>
        <v/>
      </c>
      <c r="J581" s="102" t="str">
        <f>IF(AND(C581&lt;&gt;"",('Cost Inputs'!$I$150+'Cost Inputs'!$J$150+'Cost Inputs'!$K$150)&gt;0), 'Cost Inputs'!$I$150+'Cost Inputs'!$J$150+'Cost Inputs'!$K$150, "")</f>
        <v/>
      </c>
      <c r="K581" s="102" t="str">
        <f t="shared" si="459"/>
        <v/>
      </c>
      <c r="L581" s="94"/>
      <c r="M581" s="103"/>
      <c r="P581" s="102" t="str">
        <f>IF(ISNUMBER($B$537), IF($C581&lt;&gt;"", IF('Cost Inputs'!$L$150="Y", $E581, IF('Cost Inputs'!$L$150="N", IF(ISNUMBER('Cost Inputs'!$M$150), $E581, ""),"")),""),"")</f>
        <v/>
      </c>
      <c r="Q581" s="102" t="str">
        <f>IF(ISNUMBER($B$537), IF($C581&lt;&gt;"", IF('Cost Inputs'!$L$150="Y", $E581, IF('Cost Inputs'!$L$150="N", "", "")),""),"")</f>
        <v/>
      </c>
      <c r="R581" s="102" t="str">
        <f>IF(ISNUMBER($B$537), IF($C581&lt;&gt;"", IF('Cost Inputs'!$L$150="Y", $E581, IF('Cost Inputs'!$L$150="N", IF(AND(ISNUMBER('Cost Inputs'!$M$150), OR('Cost Inputs'!$M$150=2)), $E581, ""),"")),""),"")</f>
        <v/>
      </c>
      <c r="S581" s="102" t="str">
        <f>IF(ISNUMBER($B$537), IF($C581&lt;&gt;"", IF('Cost Inputs'!$L$150="Y", $E581, IF('Cost Inputs'!$L$150="N", IF(AND(ISNUMBER('Cost Inputs'!$M$150), OR('Cost Inputs'!$M$150=3)), $E581, ""),"")),""),"")</f>
        <v/>
      </c>
      <c r="T581" s="102" t="str">
        <f>IF(ISNUMBER($B$537), IF($C581&lt;&gt;"", IF('Cost Inputs'!$L$150="Y", $E581, IF('Cost Inputs'!$L$150="N", IF(AND(ISNUMBER('Cost Inputs'!$M$150), OR('Cost Inputs'!$M$150=2, 'Cost Inputs'!$M$150=4)), $E581, ""),"")),""),"")</f>
        <v/>
      </c>
      <c r="U581" s="102" t="str">
        <f>IF(ISNUMBER($B$537), IF($C581&lt;&gt;"", IF('Cost Inputs'!$L$150="Y", $E581, IF('Cost Inputs'!$L$150="N", IF(AND(ISNUMBER('Cost Inputs'!$M$150), OR('Cost Inputs'!$M$150=2,'Cost Inputs'!$M$150=5)), $E581, ""),"")),""),"")</f>
        <v/>
      </c>
      <c r="V581" s="102" t="str">
        <f>IF(ISNUMBER($B$537), IF($C581&lt;&gt;"", IF('Cost Inputs'!$L$150="Y", $E581, IF('Cost Inputs'!$L$150="N", IF(AND(ISNUMBER('Cost Inputs'!$M$150), OR('Cost Inputs'!$M$150=2,'Cost Inputs'!$M$150=3,'Cost Inputs'!$M$150=6)), $E581, ""),"")),""),"")</f>
        <v/>
      </c>
      <c r="W581" s="102" t="str">
        <f>IF(ISNUMBER($B$537), IF($C581&lt;&gt;"", IF('Cost Inputs'!$L$150="Y", $E581, IF('Cost Inputs'!$L$150="N", IF(AND(ISNUMBER('Cost Inputs'!$M$150), OR('Cost Inputs'!$M$150=2,'Cost Inputs'!$M$150=7)), $E581, ""),"")),""),"")</f>
        <v/>
      </c>
      <c r="X581" s="102" t="str">
        <f>IF(ISNUMBER($B$537), IF($C581&lt;&gt;"", IF('Cost Inputs'!$L$150="Y", $E581, IF('Cost Inputs'!$L$150="N", IF(AND(ISNUMBER('Cost Inputs'!$M$150), OR('Cost Inputs'!$M$150=2,'Cost Inputs'!$M$150=4,'Cost Inputs'!$M$150=8)), $E581, ""),"")),""),"")</f>
        <v/>
      </c>
      <c r="Y581" s="102" t="str">
        <f>IF(ISNUMBER($B$537), IF($C581&lt;&gt;"", IF('Cost Inputs'!$L$150="Y", $E581, IF('Cost Inputs'!$L$150="N", IF(AND(ISNUMBER('Cost Inputs'!$M$150), OR('Cost Inputs'!$M$150=2,'Cost Inputs'!$M$150=3,'Cost Inputs'!$M$150=9)), $E581, ""),"")),""),"")</f>
        <v/>
      </c>
    </row>
    <row r="582" spans="1:25" x14ac:dyDescent="0.25">
      <c r="A582" s="518"/>
      <c r="B582" s="504"/>
      <c r="C582" s="104" t="str">
        <f>IF(AND(ISNUMBER(B577), OR('Cost Inputs'!$H$151&lt;&gt;"", 'Cost Inputs'!$I$151&lt;&gt;"", 'Cost Inputs'!$J$151&lt;&gt;"")), _5_4_1, "")</f>
        <v/>
      </c>
      <c r="D582" s="17" t="str">
        <f>IF(AND(C582&lt;&gt;"", 'Cost Inputs'!$G$151&lt;&gt;""), 'Cost Inputs'!$G$151, "")</f>
        <v/>
      </c>
      <c r="E582" s="17" t="str">
        <f>IF(AND(C582&lt;&gt;"", 'Cost Inputs'!$H$151&lt;&gt;""), 'Cost Inputs'!$H$151, "")</f>
        <v/>
      </c>
      <c r="F582" s="17" t="str">
        <f>IF(AND(C582&lt;&gt;"", 'Cost Inputs'!$I$151&lt;&gt;""), 'Cost Inputs'!$I$151, "")</f>
        <v/>
      </c>
      <c r="G582" s="105" t="str">
        <f t="shared" si="455"/>
        <v/>
      </c>
      <c r="H582" s="17" t="str">
        <f>IF(AND(C582&lt;&gt;"", 'Cost Inputs'!$J$151&lt;&gt;""), 'Cost Inputs'!$J$151, "")</f>
        <v/>
      </c>
      <c r="I582" s="17" t="str">
        <f t="shared" si="458"/>
        <v/>
      </c>
      <c r="J582" s="17" t="str">
        <f>IF(AND(C582&lt;&gt;"",('Cost Inputs'!$I$151+'Cost Inputs'!$J$151+'Cost Inputs'!$K$151)&gt;0), 'Cost Inputs'!$I$151+'Cost Inputs'!$J$151+'Cost Inputs'!$K$151, "")</f>
        <v/>
      </c>
      <c r="K582" s="17" t="str">
        <f t="shared" si="459"/>
        <v/>
      </c>
      <c r="M582" s="106"/>
      <c r="P582" s="17" t="str">
        <f>IF(ISNUMBER($B$537), IF($C582&lt;&gt;"", IF('Cost Inputs'!$L$151="Y", $E582, IF('Cost Inputs'!$L$151="N", IF(ISNUMBER('Cost Inputs'!$M$151), $E582, ""),"")),""),"")</f>
        <v/>
      </c>
      <c r="Q582" s="17" t="str">
        <f>IF(ISNUMBER($B$537), IF($C582&lt;&gt;"", IF('Cost Inputs'!$L$151="Y", $E582, IF('Cost Inputs'!$L$151="N", "", "")),""),"")</f>
        <v/>
      </c>
      <c r="R582" s="17" t="str">
        <f>IF(ISNUMBER($B$537), IF($C582&lt;&gt;"", IF('Cost Inputs'!$L$151="Y", $E582, IF('Cost Inputs'!$L$151="N", IF(AND(ISNUMBER('Cost Inputs'!$M$151), OR('Cost Inputs'!$M$151=2)), $E582, ""),"")),""),"")</f>
        <v/>
      </c>
      <c r="S582" s="17" t="str">
        <f>IF(ISNUMBER($B$537), IF($C582&lt;&gt;"", IF('Cost Inputs'!$L$151="Y", $E582, IF('Cost Inputs'!$L$151="N", IF(AND(ISNUMBER('Cost Inputs'!$M$151), OR('Cost Inputs'!$M$151=3)), $E582, ""),"")),""),"")</f>
        <v/>
      </c>
      <c r="T582" s="17" t="str">
        <f>IF(ISNUMBER($B$537), IF($C582&lt;&gt;"", IF('Cost Inputs'!$L$151="Y", $E582, IF('Cost Inputs'!$L$151="N", IF(AND(ISNUMBER('Cost Inputs'!$M$151), OR('Cost Inputs'!$M$151=2, 'Cost Inputs'!$M$151=4)), $E582, ""),"")),""),"")</f>
        <v/>
      </c>
      <c r="U582" s="17" t="str">
        <f>IF(ISNUMBER($B$537), IF($C582&lt;&gt;"", IF('Cost Inputs'!$L$151="Y", $E582, IF('Cost Inputs'!$L$151="N", IF(AND(ISNUMBER('Cost Inputs'!$M$151), OR('Cost Inputs'!$M$151=2,'Cost Inputs'!$M$151=5)), $E582, ""),"")),""),"")</f>
        <v/>
      </c>
      <c r="V582" s="17" t="str">
        <f>IF(ISNUMBER($B$537), IF($C582&lt;&gt;"", IF('Cost Inputs'!$L$151="Y", $E582, IF('Cost Inputs'!$L$151="N", IF(AND(ISNUMBER('Cost Inputs'!$M$151), OR('Cost Inputs'!$M$151=2,'Cost Inputs'!$M$151=3,'Cost Inputs'!$M$151=6)), $E582, ""),"")),""),"")</f>
        <v/>
      </c>
      <c r="W582" s="17" t="str">
        <f>IF(ISNUMBER($B$537), IF($C582&lt;&gt;"", IF('Cost Inputs'!$L$151="Y", $E582, IF('Cost Inputs'!$L$151="N", IF(AND(ISNUMBER('Cost Inputs'!$M$151), OR('Cost Inputs'!$M$151=2,'Cost Inputs'!$M$151=7)), $E582, ""),"")),""),"")</f>
        <v/>
      </c>
      <c r="X582" s="17" t="str">
        <f>IF(ISNUMBER($B$537), IF($C582&lt;&gt;"", IF('Cost Inputs'!$L$151="Y", $E582, IF('Cost Inputs'!$L$151="N", IF(AND(ISNUMBER('Cost Inputs'!$M$151), OR('Cost Inputs'!$M$151=2,'Cost Inputs'!$M$151=4,'Cost Inputs'!$M$151=8)), $E582, ""),"")),""),"")</f>
        <v/>
      </c>
      <c r="Y582" s="17" t="str">
        <f>IF(ISNUMBER($B$537), IF($C582&lt;&gt;"", IF('Cost Inputs'!$L$151="Y", $E582, IF('Cost Inputs'!$L$151="N", IF(AND(ISNUMBER('Cost Inputs'!$M$151), OR('Cost Inputs'!$M$151=2,'Cost Inputs'!$M$151=3,'Cost Inputs'!$M$151=9)), $E582, ""),"")),""),"")</f>
        <v/>
      </c>
    </row>
    <row r="583" spans="1:25" x14ac:dyDescent="0.25">
      <c r="A583" s="518"/>
      <c r="B583" s="504"/>
      <c r="C583" s="107" t="str">
        <f>IF(AND(ISNUMBER(B577), OR('Cost Inputs'!$H$152&lt;&gt;"", 'Cost Inputs'!$I$152&lt;&gt;"", 'Cost Inputs'!$J$152&lt;&gt;"")), _5_4_2, "")</f>
        <v/>
      </c>
      <c r="D583" s="93" t="str">
        <f>IF(AND(C583&lt;&gt;"", 'Cost Inputs'!$G$152&lt;&gt;""), 'Cost Inputs'!$G$152, "")</f>
        <v/>
      </c>
      <c r="E583" s="93" t="str">
        <f>IF(AND(C583&lt;&gt;"", 'Cost Inputs'!$H$152&lt;&gt;""), 'Cost Inputs'!$H$152, "")</f>
        <v/>
      </c>
      <c r="F583" s="93" t="str">
        <f>IF(AND(C583&lt;&gt;"", 'Cost Inputs'!$I$152&lt;&gt;""), 'Cost Inputs'!$I$152, "")</f>
        <v/>
      </c>
      <c r="G583" s="108" t="str">
        <f t="shared" si="455"/>
        <v/>
      </c>
      <c r="H583" s="93" t="str">
        <f>IF(AND(C583&lt;&gt;"", 'Cost Inputs'!$J$152&lt;&gt;""), 'Cost Inputs'!$J$152, "")</f>
        <v/>
      </c>
      <c r="I583" s="93" t="str">
        <f t="shared" si="458"/>
        <v/>
      </c>
      <c r="J583" s="93" t="str">
        <f>IF(AND(C583&lt;&gt;"",('Cost Inputs'!$I$152+'Cost Inputs'!$J$152+'Cost Inputs'!$K$152)&gt;0), 'Cost Inputs'!$I$152+'Cost Inputs'!$J$152+'Cost Inputs'!$K$152, "")</f>
        <v/>
      </c>
      <c r="K583" s="93" t="str">
        <f t="shared" si="459"/>
        <v/>
      </c>
      <c r="L583" s="93"/>
      <c r="M583" s="109"/>
      <c r="P583" s="93" t="str">
        <f>IF(ISNUMBER($B$537), IF($C583&lt;&gt;"", IF('Cost Inputs'!$L$152="Y", $E583, IF('Cost Inputs'!$L$152="N", IF(ISNUMBER('Cost Inputs'!$M$152), $E583, ""),"")),""),"")</f>
        <v/>
      </c>
      <c r="Q583" s="93" t="str">
        <f>IF(ISNUMBER($B$537), IF($C583&lt;&gt;"", IF('Cost Inputs'!$L$152="Y", $E583, IF('Cost Inputs'!$L$152="N", "", "")),""),"")</f>
        <v/>
      </c>
      <c r="R583" s="93" t="str">
        <f>IF(ISNUMBER($B$537), IF($C583&lt;&gt;"", IF('Cost Inputs'!$L$152="Y", $E583, IF('Cost Inputs'!$L$152="N", IF(AND(ISNUMBER('Cost Inputs'!$M$152), OR('Cost Inputs'!$M$152=2)), $E583, ""),"")),""),"")</f>
        <v/>
      </c>
      <c r="S583" s="93" t="str">
        <f>IF(ISNUMBER($B$537), IF($C583&lt;&gt;"", IF('Cost Inputs'!$L$152="Y", $E583, IF('Cost Inputs'!$L$152="N", IF(AND(ISNUMBER('Cost Inputs'!$M$152), OR('Cost Inputs'!$M$152=3)), $E583, ""),"")),""),"")</f>
        <v/>
      </c>
      <c r="T583" s="93" t="str">
        <f>IF(ISNUMBER($B$537), IF($C583&lt;&gt;"", IF('Cost Inputs'!$L$152="Y", $E583, IF('Cost Inputs'!$L$152="N", IF(AND(ISNUMBER('Cost Inputs'!$M$152), OR('Cost Inputs'!$M$152=2, 'Cost Inputs'!$M$152=4)), $E583, ""),"")),""),"")</f>
        <v/>
      </c>
      <c r="U583" s="93" t="str">
        <f>IF(ISNUMBER($B$537), IF($C583&lt;&gt;"", IF('Cost Inputs'!$L$152="Y", $E583, IF('Cost Inputs'!$L$152="N", IF(AND(ISNUMBER('Cost Inputs'!$M$152), OR('Cost Inputs'!$M$152=2,'Cost Inputs'!$M$152=5)), $E583, ""),"")),""),"")</f>
        <v/>
      </c>
      <c r="V583" s="93" t="str">
        <f>IF(ISNUMBER($B$537), IF($C583&lt;&gt;"", IF('Cost Inputs'!$L$152="Y", $E583, IF('Cost Inputs'!$L$152="N", IF(AND(ISNUMBER('Cost Inputs'!$M$152), OR('Cost Inputs'!$M$152=2,'Cost Inputs'!$M$152=3,'Cost Inputs'!$M$152=6)), $E583, ""),"")),""),"")</f>
        <v/>
      </c>
      <c r="W583" s="93" t="str">
        <f>IF(ISNUMBER($B$537), IF($C583&lt;&gt;"", IF('Cost Inputs'!$L$152="Y", $E583, IF('Cost Inputs'!$L$152="N", IF(AND(ISNUMBER('Cost Inputs'!$M$152), OR('Cost Inputs'!$M$152=2,'Cost Inputs'!$M$152=7)), $E583, ""),"")),""),"")</f>
        <v/>
      </c>
      <c r="X583" s="93" t="str">
        <f>IF(ISNUMBER($B$537), IF($C583&lt;&gt;"", IF('Cost Inputs'!$L$152="Y", $E583, IF('Cost Inputs'!$L$152="N", IF(AND(ISNUMBER('Cost Inputs'!$M$152), OR('Cost Inputs'!$M$152=2,'Cost Inputs'!$M$152=4,'Cost Inputs'!$M$152=8)), $E583, ""),"")),""),"")</f>
        <v/>
      </c>
      <c r="Y583" s="93" t="str">
        <f>IF(ISNUMBER($B$537), IF($C583&lt;&gt;"", IF('Cost Inputs'!$L$152="Y", $E583, IF('Cost Inputs'!$L$152="N", IF(AND(ISNUMBER('Cost Inputs'!$M$152), OR('Cost Inputs'!$M$152=2,'Cost Inputs'!$M$152=3,'Cost Inputs'!$M$152=9)), $E583, ""),"")),""),"")</f>
        <v/>
      </c>
    </row>
    <row r="584" spans="1:25" x14ac:dyDescent="0.25">
      <c r="A584" s="518"/>
      <c r="B584" s="504"/>
      <c r="C584" s="104" t="str">
        <f>IF(AND(ISNUMBER(B577), OR('Cost Inputs'!$H$153&lt;&gt;"", 'Cost Inputs'!$I$153&lt;&gt;"", 'Cost Inputs'!$J$153&lt;&gt;"")), _5_4_3, "")</f>
        <v/>
      </c>
      <c r="D584" s="17" t="str">
        <f>IF(AND(C584&lt;&gt;"", 'Cost Inputs'!$G$153&lt;&gt;""), 'Cost Inputs'!$G$153, "")</f>
        <v/>
      </c>
      <c r="E584" s="17" t="str">
        <f>IF(AND(C584&lt;&gt;"", 'Cost Inputs'!$H$153&lt;&gt;""), 'Cost Inputs'!$H$153, "")</f>
        <v/>
      </c>
      <c r="F584" s="17" t="str">
        <f>IF(AND(C584&lt;&gt;"", 'Cost Inputs'!$I$153&lt;&gt;""), 'Cost Inputs'!$I$153, "")</f>
        <v/>
      </c>
      <c r="G584" s="105" t="str">
        <f t="shared" si="455"/>
        <v/>
      </c>
      <c r="H584" s="17" t="str">
        <f>IF(AND(C584&lt;&gt;"", 'Cost Inputs'!$J$153&lt;&gt;""), 'Cost Inputs'!$J$153, "")</f>
        <v/>
      </c>
      <c r="I584" s="17" t="str">
        <f t="shared" si="458"/>
        <v/>
      </c>
      <c r="J584" s="17" t="str">
        <f>IF(AND(C584&lt;&gt;"",('Cost Inputs'!$I$153+'Cost Inputs'!$J$153+'Cost Inputs'!$K$153)&gt;0), 'Cost Inputs'!$I$153+'Cost Inputs'!$J$153+'Cost Inputs'!$K$153, "")</f>
        <v/>
      </c>
      <c r="K584" s="17" t="str">
        <f t="shared" si="459"/>
        <v/>
      </c>
      <c r="M584" s="106"/>
      <c r="P584" s="17" t="str">
        <f>IF(ISNUMBER($B$537), IF($C584&lt;&gt;"", IF('Cost Inputs'!$L$153="Y", $E584, IF('Cost Inputs'!$L$153="N", IF(ISNUMBER('Cost Inputs'!$M$153), $E584, ""),"")),""),"")</f>
        <v/>
      </c>
      <c r="Q584" s="17" t="str">
        <f>IF(ISNUMBER($B$537), IF($C584&lt;&gt;"", IF('Cost Inputs'!$L$153="Y", $E584, IF('Cost Inputs'!$L$153="N", "", "")),""),"")</f>
        <v/>
      </c>
      <c r="R584" s="17" t="str">
        <f>IF(ISNUMBER($B$537), IF($C584&lt;&gt;"", IF('Cost Inputs'!$L$153="Y", $E584, IF('Cost Inputs'!$L$153="N", IF(AND(ISNUMBER('Cost Inputs'!$M$153), OR('Cost Inputs'!$M$153=2)), $E584, ""),"")),""),"")</f>
        <v/>
      </c>
      <c r="S584" s="17" t="str">
        <f>IF(ISNUMBER($B$537), IF($C584&lt;&gt;"", IF('Cost Inputs'!$L$153="Y", $E584, IF('Cost Inputs'!$L$153="N", IF(AND(ISNUMBER('Cost Inputs'!$M$153), OR('Cost Inputs'!$M$153=3)), $E584, ""),"")),""),"")</f>
        <v/>
      </c>
      <c r="T584" s="17" t="str">
        <f>IF(ISNUMBER($B$537), IF($C584&lt;&gt;"", IF('Cost Inputs'!$L$153="Y", $E584, IF('Cost Inputs'!$L$153="N", IF(AND(ISNUMBER('Cost Inputs'!$M$153), OR('Cost Inputs'!$M$153=2, 'Cost Inputs'!$M$153=4)), $E584, ""),"")),""),"")</f>
        <v/>
      </c>
      <c r="U584" s="17" t="str">
        <f>IF(ISNUMBER($B$537), IF($C584&lt;&gt;"", IF('Cost Inputs'!$L$153="Y", $E584, IF('Cost Inputs'!$L$153="N", IF(AND(ISNUMBER('Cost Inputs'!$M$153), OR('Cost Inputs'!$M$153=2,'Cost Inputs'!$M$153=5)), $E584, ""),"")),""),"")</f>
        <v/>
      </c>
      <c r="V584" s="17" t="str">
        <f>IF(ISNUMBER($B$537), IF($C584&lt;&gt;"", IF('Cost Inputs'!$L$153="Y", $E584, IF('Cost Inputs'!$L$153="N", IF(AND(ISNUMBER('Cost Inputs'!$M$153), OR('Cost Inputs'!$M$153=2,'Cost Inputs'!$M$153=3,'Cost Inputs'!$M$153=6)), $E584, ""),"")),""),"")</f>
        <v/>
      </c>
      <c r="W584" s="17" t="str">
        <f>IF(ISNUMBER($B$537), IF($C584&lt;&gt;"", IF('Cost Inputs'!$L$153="Y", $E584, IF('Cost Inputs'!$L$153="N", IF(AND(ISNUMBER('Cost Inputs'!$M$153), OR('Cost Inputs'!$M$153=2,'Cost Inputs'!$M$153=7)), $E584, ""),"")),""),"")</f>
        <v/>
      </c>
      <c r="X584" s="17" t="str">
        <f>IF(ISNUMBER($B$537), IF($C584&lt;&gt;"", IF('Cost Inputs'!$L$153="Y", $E584, IF('Cost Inputs'!$L$153="N", IF(AND(ISNUMBER('Cost Inputs'!$M$153), OR('Cost Inputs'!$M$153=2,'Cost Inputs'!$M$153=4,'Cost Inputs'!$M$153=8)), $E584, ""),"")),""),"")</f>
        <v/>
      </c>
      <c r="Y584" s="17" t="str">
        <f>IF(ISNUMBER($B$537), IF($C584&lt;&gt;"", IF('Cost Inputs'!$L$153="Y", $E584, IF('Cost Inputs'!$L$153="N", IF(AND(ISNUMBER('Cost Inputs'!$M$153), OR('Cost Inputs'!$M$153=2,'Cost Inputs'!$M$153=3,'Cost Inputs'!$M$153=9)), $E584, ""),"")),""),"")</f>
        <v/>
      </c>
    </row>
    <row r="585" spans="1:25" x14ac:dyDescent="0.25">
      <c r="A585" s="518"/>
      <c r="B585" s="504"/>
      <c r="C585" s="107" t="str">
        <f>IF(AND(ISNUMBER(B577), OR('Cost Inputs'!$H$154&lt;&gt;"", 'Cost Inputs'!$I$154&lt;&gt;"", 'Cost Inputs'!$J$154&lt;&gt;"")), _5_4_4, "")</f>
        <v/>
      </c>
      <c r="D585" s="93" t="str">
        <f>IF(AND(C585&lt;&gt;"", 'Cost Inputs'!$G$154&lt;&gt;""), 'Cost Inputs'!$G$154, "")</f>
        <v/>
      </c>
      <c r="E585" s="93" t="str">
        <f>IF(AND(C585&lt;&gt;"", 'Cost Inputs'!$H$154&lt;&gt;""), 'Cost Inputs'!$H$154, "")</f>
        <v/>
      </c>
      <c r="F585" s="93" t="str">
        <f>IF(AND(C585&lt;&gt;"", 'Cost Inputs'!$I$154&lt;&gt;""), 'Cost Inputs'!$I$154, "")</f>
        <v/>
      </c>
      <c r="G585" s="108" t="str">
        <f t="shared" si="455"/>
        <v/>
      </c>
      <c r="H585" s="93" t="str">
        <f>IF(AND(C585&lt;&gt;"", 'Cost Inputs'!$J$154&lt;&gt;""), 'Cost Inputs'!$J$154, "")</f>
        <v/>
      </c>
      <c r="I585" s="93" t="str">
        <f t="shared" si="458"/>
        <v/>
      </c>
      <c r="J585" s="93" t="str">
        <f>IF(AND(C585&lt;&gt;"",('Cost Inputs'!$I$154+'Cost Inputs'!$J$154+'Cost Inputs'!$K$154)&gt;0), 'Cost Inputs'!$I$154+'Cost Inputs'!$J$154+'Cost Inputs'!$K$154, "")</f>
        <v/>
      </c>
      <c r="K585" s="93" t="str">
        <f t="shared" si="459"/>
        <v/>
      </c>
      <c r="L585" s="93"/>
      <c r="M585" s="109"/>
      <c r="P585" s="93" t="str">
        <f>IF(ISNUMBER($B$537), IF($C585&lt;&gt;"", IF('Cost Inputs'!$L$154="Y", $E585, IF('Cost Inputs'!$L$154="N", IF(ISNUMBER('Cost Inputs'!$M$154), $E585, ""),"")),""),"")</f>
        <v/>
      </c>
      <c r="Q585" s="93" t="str">
        <f>IF(ISNUMBER($B$537), IF($C585&lt;&gt;"", IF('Cost Inputs'!$L$154="Y", $E585, IF('Cost Inputs'!$L$154="N", "", "")),""),"")</f>
        <v/>
      </c>
      <c r="R585" s="93" t="str">
        <f>IF(ISNUMBER($B$537), IF($C585&lt;&gt;"", IF('Cost Inputs'!$L$154="Y", $E585, IF('Cost Inputs'!$L$154="N", IF(AND(ISNUMBER('Cost Inputs'!$M$154), OR('Cost Inputs'!$M$154=2)), $E585, ""),"")),""),"")</f>
        <v/>
      </c>
      <c r="S585" s="93" t="str">
        <f>IF(ISNUMBER($B$537), IF($C585&lt;&gt;"", IF('Cost Inputs'!$L$154="Y", $E585, IF('Cost Inputs'!$L$154="N", IF(AND(ISNUMBER('Cost Inputs'!$M$154), OR('Cost Inputs'!$M$154=3)), $E585, ""),"")),""),"")</f>
        <v/>
      </c>
      <c r="T585" s="93" t="str">
        <f>IF(ISNUMBER($B$537), IF($C585&lt;&gt;"", IF('Cost Inputs'!$L$154="Y", $E585, IF('Cost Inputs'!$L$154="N", IF(AND(ISNUMBER('Cost Inputs'!$M$154), OR('Cost Inputs'!$M$154=2, 'Cost Inputs'!$M$154=4)), $E585, ""),"")),""),"")</f>
        <v/>
      </c>
      <c r="U585" s="93" t="str">
        <f>IF(ISNUMBER($B$537), IF($C585&lt;&gt;"", IF('Cost Inputs'!$L$154="Y", $E585, IF('Cost Inputs'!$L$154="N", IF(AND(ISNUMBER('Cost Inputs'!$M$154), OR('Cost Inputs'!$M$154=2,'Cost Inputs'!$M$154=5)), $E585, ""),"")),""),"")</f>
        <v/>
      </c>
      <c r="V585" s="93" t="str">
        <f>IF(ISNUMBER($B$537), IF($C585&lt;&gt;"", IF('Cost Inputs'!$L$154="Y", $E585, IF('Cost Inputs'!$L$154="N", IF(AND(ISNUMBER('Cost Inputs'!$M$154), OR('Cost Inputs'!$M$154=2,'Cost Inputs'!$M$154=3,'Cost Inputs'!$M$154=6)), $E585, ""),"")),""),"")</f>
        <v/>
      </c>
      <c r="W585" s="93" t="str">
        <f>IF(ISNUMBER($B$537), IF($C585&lt;&gt;"", IF('Cost Inputs'!$L$154="Y", $E585, IF('Cost Inputs'!$L$154="N", IF(AND(ISNUMBER('Cost Inputs'!$M$154), OR('Cost Inputs'!$M$154=2,'Cost Inputs'!$M$154=7)), $E585, ""),"")),""),"")</f>
        <v/>
      </c>
      <c r="X585" s="93" t="str">
        <f>IF(ISNUMBER($B$537), IF($C585&lt;&gt;"", IF('Cost Inputs'!$L$154="Y", $E585, IF('Cost Inputs'!$L$154="N", IF(AND(ISNUMBER('Cost Inputs'!$M$154), OR('Cost Inputs'!$M$154=2,'Cost Inputs'!$M$154=4,'Cost Inputs'!$M$154=8)), $E585, ""),"")),""),"")</f>
        <v/>
      </c>
      <c r="Y585" s="93" t="str">
        <f>IF(ISNUMBER($B$537), IF($C585&lt;&gt;"", IF('Cost Inputs'!$L$154="Y", $E585, IF('Cost Inputs'!$L$154="N", IF(AND(ISNUMBER('Cost Inputs'!$M$154), OR('Cost Inputs'!$M$154=2,'Cost Inputs'!$M$154=3,'Cost Inputs'!$M$154=9)), $E585, ""),"")),""),"")</f>
        <v/>
      </c>
    </row>
    <row r="586" spans="1:25" x14ac:dyDescent="0.25">
      <c r="A586" s="518"/>
      <c r="B586" s="504"/>
      <c r="C586" s="104" t="str">
        <f>IF(AND(ISNUMBER(B577), OR('Cost Inputs'!$H$155&lt;&gt;"", 'Cost Inputs'!$I$155&lt;&gt;"", 'Cost Inputs'!$J$155&lt;&gt;"")), _5_4_5, "")</f>
        <v/>
      </c>
      <c r="D586" s="17" t="str">
        <f>IF(AND(C586&lt;&gt;"", 'Cost Inputs'!$G$155&lt;&gt;""), 'Cost Inputs'!$G$155, "")</f>
        <v/>
      </c>
      <c r="E586" s="17" t="str">
        <f>IF(AND(C586&lt;&gt;"", 'Cost Inputs'!$H$155&lt;&gt;""), 'Cost Inputs'!$H$155, "")</f>
        <v/>
      </c>
      <c r="F586" s="17" t="str">
        <f>IF(AND(C586&lt;&gt;"", 'Cost Inputs'!$I$155&lt;&gt;""), 'Cost Inputs'!$I$155, "")</f>
        <v/>
      </c>
      <c r="G586" s="105" t="str">
        <f t="shared" si="455"/>
        <v/>
      </c>
      <c r="H586" s="17" t="str">
        <f>IF(AND(C586&lt;&gt;"", 'Cost Inputs'!$J$155&lt;&gt;""), 'Cost Inputs'!$J$155, "")</f>
        <v/>
      </c>
      <c r="I586" s="17" t="str">
        <f t="shared" si="458"/>
        <v/>
      </c>
      <c r="J586" s="17" t="str">
        <f>IF(AND(C586&lt;&gt;"",('Cost Inputs'!$I$155+'Cost Inputs'!$J$155+'Cost Inputs'!$K$155)&gt;0), 'Cost Inputs'!$I$155+'Cost Inputs'!$J$155+'Cost Inputs'!$K$155, "")</f>
        <v/>
      </c>
      <c r="K586" s="17" t="str">
        <f t="shared" si="459"/>
        <v/>
      </c>
      <c r="M586" s="106"/>
      <c r="P586" s="17" t="str">
        <f>IF(ISNUMBER($B$537), IF($C586&lt;&gt;"", IF('Cost Inputs'!$L$155="Y", $E586, IF('Cost Inputs'!$L$155="N", IF(ISNUMBER('Cost Inputs'!$M$155), $E586, ""),"")),""),"")</f>
        <v/>
      </c>
      <c r="Q586" s="17" t="str">
        <f>IF(ISNUMBER($B$537), IF($C586&lt;&gt;"", IF('Cost Inputs'!$L$155="Y", $E586, IF('Cost Inputs'!$L$155="N", "", "")),""),"")</f>
        <v/>
      </c>
      <c r="R586" s="17" t="str">
        <f>IF(ISNUMBER($B$537), IF($C586&lt;&gt;"", IF('Cost Inputs'!$L$155="Y", $E586, IF('Cost Inputs'!$L$155="N", IF(AND(ISNUMBER('Cost Inputs'!$M$155), OR('Cost Inputs'!$M$155=2)), $E586, ""),"")),""),"")</f>
        <v/>
      </c>
      <c r="S586" s="17" t="str">
        <f>IF(ISNUMBER($B$537), IF($C586&lt;&gt;"", IF('Cost Inputs'!$L$155="Y", $E586, IF('Cost Inputs'!$L$155="N", IF(AND(ISNUMBER('Cost Inputs'!$M$155), OR('Cost Inputs'!$M$155=3)), $E586, ""),"")),""),"")</f>
        <v/>
      </c>
      <c r="T586" s="17" t="str">
        <f>IF(ISNUMBER($B$537), IF($C586&lt;&gt;"", IF('Cost Inputs'!$L$155="Y", $E586, IF('Cost Inputs'!$L$155="N", IF(AND(ISNUMBER('Cost Inputs'!$M$155), OR('Cost Inputs'!$M$155=2, 'Cost Inputs'!$M$155=4)), $E586, ""),"")),""),"")</f>
        <v/>
      </c>
      <c r="U586" s="17" t="str">
        <f>IF(ISNUMBER($B$537), IF($C586&lt;&gt;"", IF('Cost Inputs'!$L$155="Y", $E586, IF('Cost Inputs'!$L$155="N", IF(AND(ISNUMBER('Cost Inputs'!$M$155), OR('Cost Inputs'!$M$155=2,'Cost Inputs'!$M$155=5)), $E586, ""),"")),""),"")</f>
        <v/>
      </c>
      <c r="V586" s="17" t="str">
        <f>IF(ISNUMBER($B$537), IF($C586&lt;&gt;"", IF('Cost Inputs'!$L$155="Y", $E586, IF('Cost Inputs'!$L$155="N", IF(AND(ISNUMBER('Cost Inputs'!$M$155), OR('Cost Inputs'!$M$155=2,'Cost Inputs'!$M$155=3,'Cost Inputs'!$M$155=6)), $E586, ""),"")),""),"")</f>
        <v/>
      </c>
      <c r="W586" s="17" t="str">
        <f>IF(ISNUMBER($B$537), IF($C586&lt;&gt;"", IF('Cost Inputs'!$L$155="Y", $E586, IF('Cost Inputs'!$L$155="N", IF(AND(ISNUMBER('Cost Inputs'!$M$155), OR('Cost Inputs'!$M$155=2,'Cost Inputs'!$M$155=7)), $E586, ""),"")),""),"")</f>
        <v/>
      </c>
      <c r="X586" s="17" t="str">
        <f>IF(ISNUMBER($B$537), IF($C586&lt;&gt;"", IF('Cost Inputs'!$L$155="Y", $E586, IF('Cost Inputs'!$L$155="N", IF(AND(ISNUMBER('Cost Inputs'!$M$155), OR('Cost Inputs'!$M$155=2,'Cost Inputs'!$M$155=4,'Cost Inputs'!$M$155=8)), $E586, ""),"")),""),"")</f>
        <v/>
      </c>
      <c r="Y586" s="17" t="str">
        <f>IF(ISNUMBER($B$537), IF($C586&lt;&gt;"", IF('Cost Inputs'!$L$155="Y", $E586, IF('Cost Inputs'!$L$155="N", IF(AND(ISNUMBER('Cost Inputs'!$M$155), OR('Cost Inputs'!$M$155=2,'Cost Inputs'!$M$155=3,'Cost Inputs'!$M$155=9)), $E586, ""),"")),""),"")</f>
        <v/>
      </c>
    </row>
    <row r="587" spans="1:25" x14ac:dyDescent="0.25">
      <c r="A587" s="518"/>
      <c r="B587" s="504"/>
      <c r="C587" s="107" t="str">
        <f>IF(AND(ISNUMBER(B577), OR('Cost Inputs'!$H$156&lt;&gt;"", 'Cost Inputs'!$I$156&lt;&gt;"", 'Cost Inputs'!$J$156&lt;&gt;"")), _5_4_6, "")</f>
        <v/>
      </c>
      <c r="D587" s="93" t="str">
        <f>IF(AND(C587&lt;&gt;"", 'Cost Inputs'!$G$156&lt;&gt;""), 'Cost Inputs'!$G$156, "")</f>
        <v/>
      </c>
      <c r="E587" s="93" t="str">
        <f>IF(AND(C587&lt;&gt;"", 'Cost Inputs'!$H$156&lt;&gt;""), 'Cost Inputs'!$H$156, "")</f>
        <v/>
      </c>
      <c r="F587" s="93" t="str">
        <f>IF(AND(C587&lt;&gt;"", 'Cost Inputs'!$I$156&lt;&gt;""), 'Cost Inputs'!$I$156, "")</f>
        <v/>
      </c>
      <c r="G587" s="108" t="str">
        <f t="shared" si="455"/>
        <v/>
      </c>
      <c r="H587" s="93" t="str">
        <f>IF(AND(C587&lt;&gt;"", 'Cost Inputs'!$J$156&lt;&gt;""), 'Cost Inputs'!$J$16, "")</f>
        <v/>
      </c>
      <c r="I587" s="93" t="str">
        <f t="shared" si="458"/>
        <v/>
      </c>
      <c r="J587" s="93" t="str">
        <f>IF(AND(C587&lt;&gt;"",('Cost Inputs'!$I$156+'Cost Inputs'!$J$156+'Cost Inputs'!$K$156)&gt;0), 'Cost Inputs'!$I$156+'Cost Inputs'!$J$156+'Cost Inputs'!$K$156, "")</f>
        <v/>
      </c>
      <c r="K587" s="93" t="str">
        <f t="shared" si="459"/>
        <v/>
      </c>
      <c r="L587" s="93"/>
      <c r="M587" s="109"/>
      <c r="P587" s="93" t="str">
        <f>IF(ISNUMBER($B$537), IF($C587&lt;&gt;"", IF('Cost Inputs'!$L$156="Y", $E587, IF('Cost Inputs'!$L$156="N", IF(ISNUMBER('Cost Inputs'!$M$156), $E587, ""),"")),""),"")</f>
        <v/>
      </c>
      <c r="Q587" s="93" t="str">
        <f>IF(ISNUMBER($B$537), IF($C587&lt;&gt;"", IF('Cost Inputs'!$L$156="Y", $E587, IF('Cost Inputs'!$L$156="N", "", "")),""),"")</f>
        <v/>
      </c>
      <c r="R587" s="93" t="str">
        <f>IF(ISNUMBER($B$537), IF($C587&lt;&gt;"", IF('Cost Inputs'!$L$156="Y", $E587, IF('Cost Inputs'!$L$156="N", IF(AND(ISNUMBER('Cost Inputs'!$M$156), OR('Cost Inputs'!$M$156=2)), $E587, ""),"")),""),"")</f>
        <v/>
      </c>
      <c r="S587" s="93" t="str">
        <f>IF(ISNUMBER($B$537), IF($C587&lt;&gt;"", IF('Cost Inputs'!$L$156="Y", $E587, IF('Cost Inputs'!$L$156="N", IF(AND(ISNUMBER('Cost Inputs'!$M$156), OR('Cost Inputs'!$M$156=3)), $E587, ""),"")),""),"")</f>
        <v/>
      </c>
      <c r="T587" s="93" t="str">
        <f>IF(ISNUMBER($B$537), IF($C587&lt;&gt;"", IF('Cost Inputs'!$L$156="Y", $E587, IF('Cost Inputs'!$L$156="N", IF(AND(ISNUMBER('Cost Inputs'!$M$156), OR('Cost Inputs'!$M$156=2, 'Cost Inputs'!$M$156=4)), $E587, ""),"")),""),"")</f>
        <v/>
      </c>
      <c r="U587" s="93" t="str">
        <f>IF(ISNUMBER($B$537), IF($C587&lt;&gt;"", IF('Cost Inputs'!$L$156="Y", $E587, IF('Cost Inputs'!$L$156="N", IF(AND(ISNUMBER('Cost Inputs'!$M$156), OR('Cost Inputs'!$M$156=2,'Cost Inputs'!$M$156=5)), $E587, ""),"")),""),"")</f>
        <v/>
      </c>
      <c r="V587" s="93" t="str">
        <f>IF(ISNUMBER($B$537), IF($C587&lt;&gt;"", IF('Cost Inputs'!$L$156="Y", $E587, IF('Cost Inputs'!$L$156="N", IF(AND(ISNUMBER('Cost Inputs'!$M$156), OR('Cost Inputs'!$M$156=2,'Cost Inputs'!$M$156=3,'Cost Inputs'!$M$156=6)), $E587, ""),"")),""),"")</f>
        <v/>
      </c>
      <c r="W587" s="93" t="str">
        <f>IF(ISNUMBER($B$537), IF($C587&lt;&gt;"", IF('Cost Inputs'!$L$156="Y", $E587, IF('Cost Inputs'!$L$156="N", IF(AND(ISNUMBER('Cost Inputs'!$M$156), OR('Cost Inputs'!$M$156=2,'Cost Inputs'!$M$156=7)), $E587, ""),"")),""),"")</f>
        <v/>
      </c>
      <c r="X587" s="93" t="str">
        <f>IF(ISNUMBER($B$537), IF($C587&lt;&gt;"", IF('Cost Inputs'!$L$156="Y", $E587, IF('Cost Inputs'!$L$156="N", IF(AND(ISNUMBER('Cost Inputs'!$M$156), OR('Cost Inputs'!$M$156=2,'Cost Inputs'!$M$156=4,'Cost Inputs'!$M$156=8)), $E587, ""),"")),""),"")</f>
        <v/>
      </c>
      <c r="Y587" s="93" t="str">
        <f>IF(ISNUMBER($B$537), IF($C587&lt;&gt;"", IF('Cost Inputs'!$L$156="Y", $E587, IF('Cost Inputs'!$L$156="N", IF(AND(ISNUMBER('Cost Inputs'!$M$156), OR('Cost Inputs'!$M$156=2,'Cost Inputs'!$M$156=3,'Cost Inputs'!$M$156=9)), $E587, ""),"")),""),"")</f>
        <v/>
      </c>
    </row>
    <row r="588" spans="1:25" x14ac:dyDescent="0.25">
      <c r="A588" s="518"/>
      <c r="B588" s="504"/>
      <c r="C588" s="521" t="str">
        <f>IF(AND(B577&lt;&gt;"",ISNUMBER(B577),ISNUMBER(Stage3EvaluationBegins)),IF((INDEX(ProgramYearStage3,MATCH(Stage3EvaluationBegins,Years_in_Stage3,0)))=B577,_5_5_0,IF(AND(B577&lt;&gt;"",C566&lt;&gt;""),_5_5_0,IF(AND(B577&lt;&gt;"",ISNUMBER(B577),OR(Stage3EvaluationBegins=0,Stage3EvaluationBegins="")),"",""))),"")</f>
        <v/>
      </c>
      <c r="D588" s="94" t="str">
        <f>IF(AND(C588&lt;&gt;"", 'Cost Inputs'!$G$157&lt;&gt;""), 'Cost Inputs'!$G$157, "")</f>
        <v/>
      </c>
      <c r="E588" s="94" t="str">
        <f>IF(AND(C588&lt;&gt;"", 'Cost Inputs'!$H$157&lt;&gt;""), 'Cost Inputs'!$H$157, "")</f>
        <v/>
      </c>
      <c r="F588" s="492" t="str">
        <f>IF(AND(C588&lt;&gt;"", 'Cost Inputs'!$I$157&lt;&gt;""), 'Cost Inputs'!$I$157, "")</f>
        <v/>
      </c>
      <c r="G588" s="102" t="str">
        <f t="shared" si="455"/>
        <v/>
      </c>
      <c r="H588" s="492" t="str">
        <f>IF(AND(C588&lt;&gt;"", 'Cost Inputs'!$J$157&lt;&gt;""), 'Cost Inputs'!$J$157, "")</f>
        <v/>
      </c>
      <c r="I588" s="102" t="str">
        <f>IF($C588&lt;&gt;"",IF(AND($E588&lt;&gt;"",H588&lt;&gt;""), H588/$E588, 0),"")</f>
        <v/>
      </c>
      <c r="J588" s="492" t="str">
        <f>IF(AND(C588&lt;&gt;"",('Cost Inputs'!$I$157+'Cost Inputs'!$J$157+'Cost Inputs'!$K$157)&gt;0), 'Cost Inputs'!$I$157+'Cost Inputs'!$J$157+'Cost Inputs'!$K$157, "")</f>
        <v/>
      </c>
      <c r="K588" s="102" t="str">
        <f>IF($C588&lt;&gt;"",IF(AND($E588&lt;&gt;"",J588&lt;&gt;""), J588/$E588, 0),"")</f>
        <v/>
      </c>
      <c r="L588" s="94"/>
      <c r="M588" s="103"/>
      <c r="P588" s="492" t="str">
        <f>IF(ISNUMBER($B$537), IF($C588&lt;&gt;"", IF('Cost Inputs'!$L$157="Y", $E588, IF('Cost Inputs'!$L$157="N", IF(ISNUMBER('Cost Inputs'!$M$157), $E588, ""),"")),""),"")</f>
        <v/>
      </c>
      <c r="Q588" s="492" t="str">
        <f>IF(ISNUMBER($B$537), IF($C588&lt;&gt;"", IF('Cost Inputs'!$L$157="Y", $E588, IF('Cost Inputs'!$L$157="N", "", "")),""),"")</f>
        <v/>
      </c>
      <c r="R588" s="492" t="str">
        <f>IF(ISNUMBER($B$537), IF($C588&lt;&gt;"", IF('Cost Inputs'!$L$157="Y", $E588, IF('Cost Inputs'!$L$157="N", IF(AND(ISNUMBER('Cost Inputs'!$M$157), OR('Cost Inputs'!$M$157=2)), $E588, ""),"")),""),"")</f>
        <v/>
      </c>
      <c r="S588" s="492" t="str">
        <f>IF(ISNUMBER($B$537), IF($C588&lt;&gt;"", IF('Cost Inputs'!$L$157="Y", $E588, IF('Cost Inputs'!$L$157="N", IF(AND(ISNUMBER('Cost Inputs'!$M$157), OR('Cost Inputs'!$M$157=3)), $E588, ""),"")),""),"")</f>
        <v/>
      </c>
      <c r="T588" s="492" t="str">
        <f>IF(ISNUMBER($B$537), IF($C588&lt;&gt;"", IF('Cost Inputs'!$L$157="Y", $E588, IF('Cost Inputs'!$L$157="N", IF(AND(ISNUMBER('Cost Inputs'!$M$157), OR('Cost Inputs'!$M$157=2, 'Cost Inputs'!$M$157=4)), $E588, ""),"")),""),"")</f>
        <v/>
      </c>
      <c r="U588" s="492" t="str">
        <f>IF(ISNUMBER($B$537), IF($C588&lt;&gt;"", IF('Cost Inputs'!$L$157="Y", $E588, IF('Cost Inputs'!$L$157="N", IF(AND(ISNUMBER('Cost Inputs'!$M$157), OR('Cost Inputs'!$M$157=2,'Cost Inputs'!$M$157=5)), $E588, ""),"")),""),"")</f>
        <v/>
      </c>
      <c r="V588" s="492" t="str">
        <f>IF(ISNUMBER($B$537), IF($C588&lt;&gt;"", IF('Cost Inputs'!$L$157="Y", $E588, IF('Cost Inputs'!$L$157="N", IF(AND(ISNUMBER('Cost Inputs'!$M$157), OR('Cost Inputs'!$M$157=2,'Cost Inputs'!$M$157=3,'Cost Inputs'!$M$157=6)), $E588, ""),"")),""),"")</f>
        <v/>
      </c>
      <c r="W588" s="492" t="str">
        <f>IF(ISNUMBER($B$537), IF($C588&lt;&gt;"", IF('Cost Inputs'!$L$157="Y", $E588, IF('Cost Inputs'!$L$157="N", IF(AND(ISNUMBER('Cost Inputs'!$M$157), OR('Cost Inputs'!$M$157=2,'Cost Inputs'!$M$157=7)), $E588, ""),"")),""),"")</f>
        <v/>
      </c>
      <c r="X588" s="492" t="str">
        <f>IF(ISNUMBER($B$537), IF($C588&lt;&gt;"", IF('Cost Inputs'!$L$157="Y", $E588, IF('Cost Inputs'!$L$157="N", IF(AND(ISNUMBER('Cost Inputs'!$M$157), OR('Cost Inputs'!$M$157=2,'Cost Inputs'!$M$157=4,'Cost Inputs'!$M$157=8)), $E588, ""),"")),""),"")</f>
        <v/>
      </c>
      <c r="Y588" s="492" t="str">
        <f>IF(ISNUMBER($B$537), IF($C588&lt;&gt;"", IF('Cost Inputs'!$L$157="Y", $E588, IF('Cost Inputs'!$L$157="N", IF(AND(ISNUMBER('Cost Inputs'!$M$157), OR('Cost Inputs'!$M$157=2,'Cost Inputs'!$M$157=3,'Cost Inputs'!$M$157=9)), $E588, ""),"")),""),"")</f>
        <v/>
      </c>
    </row>
    <row r="589" spans="1:25" x14ac:dyDescent="0.25">
      <c r="A589" s="518"/>
      <c r="B589" s="504"/>
      <c r="C589" s="521"/>
      <c r="D589" s="94" t="str">
        <f>IF(AND(C588&lt;&gt;"", 'Cost Inputs'!$G$158&lt;&gt;""), 'Cost Inputs'!$G$158, "")</f>
        <v/>
      </c>
      <c r="E589" s="94" t="str">
        <f>IF(AND(C588&lt;&gt;"", 'Cost Inputs'!$H$158&lt;&gt;""), 'Cost Inputs'!$H$158, "")</f>
        <v/>
      </c>
      <c r="F589" s="492"/>
      <c r="G589" s="102" t="str">
        <f t="shared" si="455"/>
        <v/>
      </c>
      <c r="H589" s="492"/>
      <c r="I589" s="102" t="str">
        <f>IF($C588&lt;&gt;"", IF(AND($E589&lt;&gt;"", H588&lt;&gt;""), H588/($E588*$E589), 0), "")</f>
        <v/>
      </c>
      <c r="J589" s="492" t="str">
        <f>IF(AND(C589&lt;&gt;"",('Cost Inputs'!$I$86+'Cost Inputs'!$J$86+'Cost Inputs'!$K$86)&gt;0), 'Cost Inputs'!$I$86+'Cost Inputs'!$J$86+'Cost Inputs'!$K$86, "")</f>
        <v/>
      </c>
      <c r="K589" s="102" t="str">
        <f>IF($C588&lt;&gt;"", IF(AND($E589&lt;&gt;"", J588&lt;&gt;""), J588/($E588*$E589), 0), "")</f>
        <v/>
      </c>
      <c r="L589" s="94"/>
      <c r="M589" s="103"/>
      <c r="P589" s="492" t="str">
        <f>IF(ISNUMBER($B$537), IF($C589&lt;&gt;"", IF('Cost Inputs'!$L180="Y", $E589, IF('Cost Inputs'!$L180="N", IF(ISNUMBER('Cost Inputs'!$M180), $E589, ""),"")),""),"")</f>
        <v/>
      </c>
      <c r="Q589" s="492" t="str">
        <f>IF(ISNUMBER($B$537), IF($C589&lt;&gt;"", IF('Cost Inputs'!$L180="Y", $E589, IF('Cost Inputs'!$L180="N", "", "")),""),"")</f>
        <v/>
      </c>
      <c r="R589" s="492" t="str">
        <f>IF(ISNUMBER($B$537), IF($C589&lt;&gt;"", IF('Cost Inputs'!$L180="Y", $E589, IF('Cost Inputs'!$L180="N", IF(AND(ISNUMBER('Cost Inputs'!$M180), OR('Cost Inputs'!$M180=2)), $E589, ""),"")),""),"")</f>
        <v/>
      </c>
      <c r="S589" s="492" t="str">
        <f>IF(ISNUMBER($B$537), IF($C589&lt;&gt;"", IF('Cost Inputs'!$L180="Y", $E589, IF('Cost Inputs'!$L180="N", IF(AND(ISNUMBER('Cost Inputs'!$M180), OR('Cost Inputs'!$M180=3)), $E589, ""),"")),""),"")</f>
        <v/>
      </c>
      <c r="T589" s="492" t="str">
        <f>IF(ISNUMBER($B$537), IF($C589&lt;&gt;"", IF('Cost Inputs'!$L180="Y", $E589, IF('Cost Inputs'!$L180="N", IF(AND(ISNUMBER('Cost Inputs'!$M180), OR('Cost Inputs'!$M180=2, 'Cost Inputs'!$M180=4)), $E589, ""),"")),""),"")</f>
        <v/>
      </c>
      <c r="U589" s="492" t="str">
        <f>IF(ISNUMBER($B$537), IF($C589&lt;&gt;"", IF('Cost Inputs'!$L180="Y", $E589, IF('Cost Inputs'!$L180="N", IF(AND(ISNUMBER('Cost Inputs'!$M180), OR('Cost Inputs'!$M180=2,'Cost Inputs'!$M180=5)), $E589, ""),"")),""),"")</f>
        <v/>
      </c>
      <c r="V589" s="492" t="str">
        <f>IF(ISNUMBER($B$537), IF($C589&lt;&gt;"", IF('Cost Inputs'!$L180="Y", $E589, IF('Cost Inputs'!$L180="N", IF(AND(ISNUMBER('Cost Inputs'!$M180), OR('Cost Inputs'!$M180=2,'Cost Inputs'!$M180=3,'Cost Inputs'!$M180=6)), $E589, ""),"")),""),"")</f>
        <v/>
      </c>
      <c r="W589" s="492" t="str">
        <f>IF(ISNUMBER($B$537), IF($C589&lt;&gt;"", IF('Cost Inputs'!$L180="Y", $E589, IF('Cost Inputs'!$L180="N", IF(AND(ISNUMBER('Cost Inputs'!$M180), OR('Cost Inputs'!$M180=2,'Cost Inputs'!$M180=7)), $E589, ""),"")),""),"")</f>
        <v/>
      </c>
      <c r="X589" s="492" t="str">
        <f>IF(ISNUMBER($B$537), IF($C589&lt;&gt;"", IF('Cost Inputs'!$L180="Y", $E589, IF('Cost Inputs'!$L180="N", IF(AND(ISNUMBER('Cost Inputs'!$M180), OR('Cost Inputs'!$M180=2,'Cost Inputs'!$M180=4,'Cost Inputs'!$M180=8)), $E589, ""),"")),""),"")</f>
        <v/>
      </c>
      <c r="Y589" s="492" t="str">
        <f>IF(ISNUMBER($B$537), IF($C589&lt;&gt;"", IF('Cost Inputs'!$L180="Y", $E589, IF('Cost Inputs'!$L180="N", IF(AND(ISNUMBER('Cost Inputs'!$M180), OR('Cost Inputs'!$M180=2,'Cost Inputs'!$M180=3,'Cost Inputs'!$M180=9)), $E589, ""),"")),""),"")</f>
        <v/>
      </c>
    </row>
    <row r="590" spans="1:25" x14ac:dyDescent="0.25">
      <c r="A590" s="518"/>
      <c r="B590" s="504"/>
      <c r="C590" s="376" t="str">
        <f>IF(AND(ISNUMBER(B577), C588&lt;&gt;"", OR('Cost Inputs'!$H$159&lt;&gt;"", 'Cost Inputs'!$I$159&lt;&gt;"", 'Cost Inputs'!$J$159&lt;&gt;"")), _5_5_1, "")</f>
        <v/>
      </c>
      <c r="D590" s="17" t="str">
        <f>IF(AND(C590&lt;&gt;"", 'Cost Inputs'!$G$159&lt;&gt;""), 'Cost Inputs'!$G$159, "")</f>
        <v/>
      </c>
      <c r="E590" s="17" t="str">
        <f>IF(AND(C590&lt;&gt;"", 'Cost Inputs'!$H$159&lt;&gt;""), 'Cost Inputs'!$H$159, "")</f>
        <v/>
      </c>
      <c r="F590" s="493" t="str">
        <f>IF(AND(C590&lt;&gt;"", 'Cost Inputs'!$I$159&lt;&gt;""), 'Cost Inputs'!$I$159, "")</f>
        <v/>
      </c>
      <c r="G590" s="105" t="str">
        <f t="shared" si="455"/>
        <v/>
      </c>
      <c r="H590" s="493" t="str">
        <f>IF(AND(C590&lt;&gt;"", 'Cost Inputs'!$J$159&lt;&gt;""), 'Cost Inputs'!$J$159, "")</f>
        <v/>
      </c>
      <c r="I590" s="105" t="str">
        <f>IF($C590&lt;&gt;"",IF(AND($E590&lt;&gt;"",H590&lt;&gt;""), H590/$E590, 0),"")</f>
        <v/>
      </c>
      <c r="J590" s="493" t="str">
        <f>IF(AND(C590&lt;&gt;"",('Cost Inputs'!$I$159+'Cost Inputs'!$J$159+'Cost Inputs'!$K$159)&gt;0), 'Cost Inputs'!$I$159+'Cost Inputs'!$J$159+'Cost Inputs'!$K$159, "")</f>
        <v/>
      </c>
      <c r="K590" s="105" t="str">
        <f>IF($C590&lt;&gt;"",IF(AND($E590&lt;&gt;"",J590&lt;&gt;""), J590/$E590, 0),"")</f>
        <v/>
      </c>
      <c r="M590" s="106"/>
      <c r="P590" s="493" t="str">
        <f>IF(ISNUMBER($B$537), IF($C590&lt;&gt;"", IF('Cost Inputs'!$L$159="Y", $E590, IF('Cost Inputs'!$L$159="N", IF(ISNUMBER('Cost Inputs'!$M$159), $E590, ""),"")),""),"")</f>
        <v/>
      </c>
      <c r="Q590" s="493" t="str">
        <f>IF(ISNUMBER($B$537), IF($C590&lt;&gt;"", IF('Cost Inputs'!$L$159="Y", $E590, IF('Cost Inputs'!$L$159="N", "", "")),""),"")</f>
        <v/>
      </c>
      <c r="R590" s="493" t="str">
        <f>IF(ISNUMBER($B$537), IF($C590&lt;&gt;"", IF('Cost Inputs'!$L$159="Y", $E590, IF('Cost Inputs'!$L$159="N", IF(AND(ISNUMBER('Cost Inputs'!$M$159), OR('Cost Inputs'!$M$159=2)), $E590, ""),"")),""),"")</f>
        <v/>
      </c>
      <c r="S590" s="493" t="str">
        <f>IF(ISNUMBER($B$537), IF($C590&lt;&gt;"", IF('Cost Inputs'!$L$159="Y", $E590, IF('Cost Inputs'!$L$159="N", IF(AND(ISNUMBER('Cost Inputs'!$M$159), OR('Cost Inputs'!$M$159=3)), $E590, ""),"")),""),"")</f>
        <v/>
      </c>
      <c r="T590" s="493" t="str">
        <f>IF(ISNUMBER($B$537), IF($C590&lt;&gt;"", IF('Cost Inputs'!$L$159="Y", $E590, IF('Cost Inputs'!$L$159="N", IF(AND(ISNUMBER('Cost Inputs'!$M$159), OR('Cost Inputs'!$M$159=2, 'Cost Inputs'!$M$159=4)), $E590, ""),"")),""),"")</f>
        <v/>
      </c>
      <c r="U590" s="493" t="str">
        <f>IF(ISNUMBER($B$537), IF($C590&lt;&gt;"", IF('Cost Inputs'!$L$159="Y", $E590, IF('Cost Inputs'!$L$159="N", IF(AND(ISNUMBER('Cost Inputs'!$M$159), OR('Cost Inputs'!$M$159=2,'Cost Inputs'!$M$159=5)), $E590, ""),"")),""),"")</f>
        <v/>
      </c>
      <c r="V590" s="493" t="str">
        <f>IF(ISNUMBER($B$537), IF($C590&lt;&gt;"", IF('Cost Inputs'!$L$159="Y", $E590, IF('Cost Inputs'!$L$159="N", IF(AND(ISNUMBER('Cost Inputs'!$M$159), OR('Cost Inputs'!$M$159=2,'Cost Inputs'!$M$159=3,'Cost Inputs'!$M$159=6)), $E590, ""),"")),""),"")</f>
        <v/>
      </c>
      <c r="W590" s="493" t="str">
        <f>IF(ISNUMBER($B$537), IF($C590&lt;&gt;"", IF('Cost Inputs'!$L$159="Y", $E590, IF('Cost Inputs'!$L$159="N", IF(AND(ISNUMBER('Cost Inputs'!$M$159), OR('Cost Inputs'!$M$159=2,'Cost Inputs'!$M$159=7)), $E590, ""),"")),""),"")</f>
        <v/>
      </c>
      <c r="X590" s="493" t="str">
        <f>IF(ISNUMBER($B$537), IF($C590&lt;&gt;"", IF('Cost Inputs'!$L$159="Y", $E590, IF('Cost Inputs'!$L$159="N", IF(AND(ISNUMBER('Cost Inputs'!$M$159), OR('Cost Inputs'!$M$159=2,'Cost Inputs'!$M$159=4,'Cost Inputs'!$M$159=8)), $E590, ""),"")),""),"")</f>
        <v/>
      </c>
      <c r="Y590" s="493" t="str">
        <f>IF(ISNUMBER($B$537), IF($C590&lt;&gt;"", IF('Cost Inputs'!$L$159="Y", $E590, IF('Cost Inputs'!$L$159="N", IF(AND(ISNUMBER('Cost Inputs'!$M$159), OR('Cost Inputs'!$M$159=2,'Cost Inputs'!$M$159=3,'Cost Inputs'!$M$159=9)), $E590, ""),"")),""),"")</f>
        <v/>
      </c>
    </row>
    <row r="591" spans="1:25" x14ac:dyDescent="0.25">
      <c r="A591" s="518"/>
      <c r="B591" s="504"/>
      <c r="C591" s="376" t="str">
        <f>IF(AND(ISNUMBER(B573), OR('Cost Inputs'!$H$85&lt;&gt;"", 'Cost Inputs'!$I$85&lt;&gt;"", 'Cost Inputs'!$J$85&lt;&gt;"")), _3_5_1, "")</f>
        <v/>
      </c>
      <c r="D591" s="17" t="str">
        <f>IF(AND(C590&lt;&gt;"", 'Cost Inputs'!$G$160&lt;&gt;""), 'Cost Inputs'!$G$160, "")</f>
        <v/>
      </c>
      <c r="E591" s="17" t="str">
        <f>IF(AND(C590&lt;&gt;"", 'Cost Inputs'!$H$160&lt;&gt;""), 'Cost Inputs'!$H$160, "")</f>
        <v/>
      </c>
      <c r="F591" s="493"/>
      <c r="G591" s="105" t="str">
        <f t="shared" si="455"/>
        <v/>
      </c>
      <c r="H591" s="493"/>
      <c r="I591" s="105" t="str">
        <f>IF($C590&lt;&gt;"", IF(AND($E591&lt;&gt;"", H590&lt;&gt;""), H590/($E590*$E591), 0), "")</f>
        <v/>
      </c>
      <c r="J591" s="493" t="str">
        <f>IF(AND(C591&lt;&gt;"",('Cost Inputs'!$I$86+'Cost Inputs'!$J$86+'Cost Inputs'!$K$86)&gt;0), 'Cost Inputs'!$I$86+'Cost Inputs'!$J$86+'Cost Inputs'!$K$86, "")</f>
        <v/>
      </c>
      <c r="K591" s="105" t="str">
        <f>IF($C590&lt;&gt;"", IF(AND($E591&lt;&gt;"", J590&lt;&gt;""), J590/($E590*$E591), 0), "")</f>
        <v/>
      </c>
      <c r="M591" s="106"/>
      <c r="P591" s="493" t="str">
        <f>IF(ISNUMBER($B$537), IF($C591&lt;&gt;"", IF('Cost Inputs'!$L182="Y", $E591, IF('Cost Inputs'!$L182="N", IF(ISNUMBER('Cost Inputs'!$M182), $E591, ""),"")),""),"")</f>
        <v/>
      </c>
      <c r="Q591" s="493" t="str">
        <f>IF(ISNUMBER($B$537), IF($C591&lt;&gt;"", IF('Cost Inputs'!$L182="Y", $E591, IF('Cost Inputs'!$L182="N", "", "")),""),"")</f>
        <v/>
      </c>
      <c r="R591" s="493" t="str">
        <f>IF(ISNUMBER($B$537), IF($C591&lt;&gt;"", IF('Cost Inputs'!$L182="Y", $E591, IF('Cost Inputs'!$L182="N", IF(AND(ISNUMBER('Cost Inputs'!$M182), OR('Cost Inputs'!$M182=2)), $E591, ""),"")),""),"")</f>
        <v/>
      </c>
      <c r="S591" s="493" t="str">
        <f>IF(ISNUMBER($B$537), IF($C591&lt;&gt;"", IF('Cost Inputs'!$L182="Y", $E591, IF('Cost Inputs'!$L182="N", IF(AND(ISNUMBER('Cost Inputs'!$M182), OR('Cost Inputs'!$M182=3)), $E591, ""),"")),""),"")</f>
        <v/>
      </c>
      <c r="T591" s="493" t="str">
        <f>IF(ISNUMBER($B$537), IF($C591&lt;&gt;"", IF('Cost Inputs'!$L182="Y", $E591, IF('Cost Inputs'!$L182="N", IF(AND(ISNUMBER('Cost Inputs'!$M182), OR('Cost Inputs'!$M182=2, 'Cost Inputs'!$M182=4)), $E591, ""),"")),""),"")</f>
        <v/>
      </c>
      <c r="U591" s="493" t="str">
        <f>IF(ISNUMBER($B$537), IF($C591&lt;&gt;"", IF('Cost Inputs'!$L182="Y", $E591, IF('Cost Inputs'!$L182="N", IF(AND(ISNUMBER('Cost Inputs'!$M182), OR('Cost Inputs'!$M182=2,'Cost Inputs'!$M182=5)), $E591, ""),"")),""),"")</f>
        <v/>
      </c>
      <c r="V591" s="493" t="str">
        <f>IF(ISNUMBER($B$537), IF($C591&lt;&gt;"", IF('Cost Inputs'!$L182="Y", $E591, IF('Cost Inputs'!$L182="N", IF(AND(ISNUMBER('Cost Inputs'!$M182), OR('Cost Inputs'!$M182=2,'Cost Inputs'!$M182=3,'Cost Inputs'!$M182=6)), $E591, ""),"")),""),"")</f>
        <v/>
      </c>
      <c r="W591" s="493" t="str">
        <f>IF(ISNUMBER($B$537), IF($C591&lt;&gt;"", IF('Cost Inputs'!$L182="Y", $E591, IF('Cost Inputs'!$L182="N", IF(AND(ISNUMBER('Cost Inputs'!$M182), OR('Cost Inputs'!$M182=2,'Cost Inputs'!$M182=7)), $E591, ""),"")),""),"")</f>
        <v/>
      </c>
      <c r="X591" s="493" t="str">
        <f>IF(ISNUMBER($B$537), IF($C591&lt;&gt;"", IF('Cost Inputs'!$L182="Y", $E591, IF('Cost Inputs'!$L182="N", IF(AND(ISNUMBER('Cost Inputs'!$M182), OR('Cost Inputs'!$M182=2,'Cost Inputs'!$M182=4,'Cost Inputs'!$M182=8)), $E591, ""),"")),""),"")</f>
        <v/>
      </c>
      <c r="Y591" s="493" t="str">
        <f>IF(ISNUMBER($B$537), IF($C591&lt;&gt;"", IF('Cost Inputs'!$L182="Y", $E591, IF('Cost Inputs'!$L182="N", IF(AND(ISNUMBER('Cost Inputs'!$M182), OR('Cost Inputs'!$M182=2,'Cost Inputs'!$M182=3,'Cost Inputs'!$M182=9)), $E591, ""),"")),""),"")</f>
        <v/>
      </c>
    </row>
    <row r="592" spans="1:25" x14ac:dyDescent="0.25">
      <c r="A592" s="518"/>
      <c r="B592" s="504"/>
      <c r="C592" s="107" t="str">
        <f>IF(AND(ISNUMBER(B577), C588&lt;&gt;"", OR('Cost Inputs'!$H$161&lt;&gt;"", 'Cost Inputs'!$I$161&lt;&gt;"", 'Cost Inputs'!$J$161&lt;&gt;"")), _5_5_2, "")</f>
        <v/>
      </c>
      <c r="D592" s="93" t="str">
        <f>IF(AND(C592&lt;&gt;"", 'Cost Inputs'!$G$161&lt;&gt;""), 'Cost Inputs'!$G$161, "")</f>
        <v/>
      </c>
      <c r="E592" s="93" t="str">
        <f>IF(AND(C592&lt;&gt;"", 'Cost Inputs'!$H$161&lt;&gt;""), 'Cost Inputs'!$H$161, "")</f>
        <v/>
      </c>
      <c r="F592" s="93" t="str">
        <f>IF(AND(C592&lt;&gt;"", 'Cost Inputs'!$I$161&lt;&gt;""), 'Cost Inputs'!$I$161, "")</f>
        <v/>
      </c>
      <c r="G592" s="108" t="str">
        <f t="shared" si="455"/>
        <v/>
      </c>
      <c r="H592" s="93" t="str">
        <f>IF(AND(C592&lt;&gt;"", 'Cost Inputs'!$J$161&lt;&gt;""), 'Cost Inputs'!$J$161, "")</f>
        <v/>
      </c>
      <c r="I592" s="93" t="str">
        <f>IF($C592&lt;&gt;"", IF(AND($E592&lt;&gt;"", H592&lt;&gt;""), H592/$E592, 0),"")</f>
        <v/>
      </c>
      <c r="J592" s="93" t="str">
        <f>IF(AND(C592&lt;&gt;"",('Cost Inputs'!$I$161+'Cost Inputs'!$J$161+'Cost Inputs'!$K$161)&gt;0), 'Cost Inputs'!$I$161+'Cost Inputs'!$J$161+'Cost Inputs'!$K$161, "")</f>
        <v/>
      </c>
      <c r="K592" s="93" t="str">
        <f>IF($C592&lt;&gt;"", IF(AND($E592&lt;&gt;"", J592&lt;&gt;""), J592/$E592, 0),"")</f>
        <v/>
      </c>
      <c r="L592" s="93"/>
      <c r="M592" s="109"/>
      <c r="P592" s="93" t="str">
        <f>IF(ISNUMBER($B$537), IF($C592&lt;&gt;"", IF('Cost Inputs'!$L$161="Y", $E592, IF('Cost Inputs'!$L$161="N", IF(ISNUMBER('Cost Inputs'!$M$161), $E592, ""),"")),""),"")</f>
        <v/>
      </c>
      <c r="Q592" s="93" t="str">
        <f>IF(ISNUMBER($B$537), IF($C592&lt;&gt;"", IF('Cost Inputs'!$L$161="Y", $E592, IF('Cost Inputs'!$L$161="N", "", "")),""),"")</f>
        <v/>
      </c>
      <c r="R592" s="93" t="str">
        <f>IF(ISNUMBER($B$537), IF($C592&lt;&gt;"", IF('Cost Inputs'!$L$161="Y", $E592, IF('Cost Inputs'!$L$161="N", IF(AND(ISNUMBER('Cost Inputs'!$M$161), OR('Cost Inputs'!$M$161=2)), $E592, ""),"")),""),"")</f>
        <v/>
      </c>
      <c r="S592" s="93" t="str">
        <f>IF(ISNUMBER($B$537), IF($C592&lt;&gt;"", IF('Cost Inputs'!$L$161="Y", $E592, IF('Cost Inputs'!$L$161="N", IF(AND(ISNUMBER('Cost Inputs'!$M$161), OR('Cost Inputs'!$M$161=3)), $E592, ""),"")),""),"")</f>
        <v/>
      </c>
      <c r="T592" s="93" t="str">
        <f>IF(ISNUMBER($B$537), IF($C592&lt;&gt;"", IF('Cost Inputs'!$L$161="Y", $E592, IF('Cost Inputs'!$L$161="N", IF(AND(ISNUMBER('Cost Inputs'!$M$161), OR('Cost Inputs'!$M$161=2, 'Cost Inputs'!$M$161=4)), $E592, ""),"")),""),"")</f>
        <v/>
      </c>
      <c r="U592" s="93" t="str">
        <f>IF(ISNUMBER($B$537), IF($C592&lt;&gt;"", IF('Cost Inputs'!$L$161="Y", $E592, IF('Cost Inputs'!$L$161="N", IF(AND(ISNUMBER('Cost Inputs'!$M$161), OR('Cost Inputs'!$M$161=2,'Cost Inputs'!$M$161=5)), $E592, ""),"")),""),"")</f>
        <v/>
      </c>
      <c r="V592" s="93" t="str">
        <f>IF(ISNUMBER($B$537), IF($C592&lt;&gt;"", IF('Cost Inputs'!$L$161="Y", $E592, IF('Cost Inputs'!$L$161="N", IF(AND(ISNUMBER('Cost Inputs'!$M$161), OR('Cost Inputs'!$M$161=2,'Cost Inputs'!$M$161=3,'Cost Inputs'!$M$161=6)), $E592, ""),"")),""),"")</f>
        <v/>
      </c>
      <c r="W592" s="93" t="str">
        <f>IF(ISNUMBER($B$537), IF($C592&lt;&gt;"", IF('Cost Inputs'!$L$161="Y", $E592, IF('Cost Inputs'!$L$161="N", IF(AND(ISNUMBER('Cost Inputs'!$M$161), OR('Cost Inputs'!$M$161=2,'Cost Inputs'!$M$161=7)), $E592, ""),"")),""),"")</f>
        <v/>
      </c>
      <c r="X592" s="93" t="str">
        <f>IF(ISNUMBER($B$537), IF($C592&lt;&gt;"", IF('Cost Inputs'!$L$161="Y", $E592, IF('Cost Inputs'!$L$161="N", IF(AND(ISNUMBER('Cost Inputs'!$M$161), OR('Cost Inputs'!$M$161=2,'Cost Inputs'!$M$161=4,'Cost Inputs'!$M$161=8)), $E592, ""),"")),""),"")</f>
        <v/>
      </c>
      <c r="Y592" s="93" t="str">
        <f>IF(ISNUMBER($B$537), IF($C592&lt;&gt;"", IF('Cost Inputs'!$L$161="Y", $E592, IF('Cost Inputs'!$L$161="N", IF(AND(ISNUMBER('Cost Inputs'!$M$161), OR('Cost Inputs'!$M$161=2,'Cost Inputs'!$M$161=3,'Cost Inputs'!$M$161=9)), $E592, ""),"")),""),"")</f>
        <v/>
      </c>
    </row>
    <row r="593" spans="1:26" x14ac:dyDescent="0.25">
      <c r="A593" s="518"/>
      <c r="B593" s="504"/>
      <c r="C593" s="104" t="str">
        <f>IF(AND(ISNUMBER(B577), C588&lt;&gt;"", OR('Cost Inputs'!$H$162&lt;&gt;"", 'Cost Inputs'!$I$162&lt;&gt;"", 'Cost Inputs'!$J$162&lt;&gt;"")), _5_5_3, "")</f>
        <v/>
      </c>
      <c r="D593" s="17" t="str">
        <f>IF(AND(C593&lt;&gt;"", 'Cost Inputs'!$G$162&lt;&gt;""), 'Cost Inputs'!$G$162, "")</f>
        <v/>
      </c>
      <c r="E593" s="17" t="str">
        <f>IF(AND(C593&lt;&gt;"", 'Cost Inputs'!$H$162&lt;&gt;""), 'Cost Inputs'!$H$162, "")</f>
        <v/>
      </c>
      <c r="F593" s="17" t="str">
        <f>IF(AND(C593&lt;&gt;"", 'Cost Inputs'!$I$162&lt;&gt;""), 'Cost Inputs'!$I$162, "")</f>
        <v/>
      </c>
      <c r="G593" s="105" t="str">
        <f t="shared" si="455"/>
        <v/>
      </c>
      <c r="H593" s="17" t="str">
        <f>IF(AND(C593&lt;&gt;"", 'Cost Inputs'!$J$162&lt;&gt;""), 'Cost Inputs'!$J$162, "")</f>
        <v/>
      </c>
      <c r="I593" s="17" t="str">
        <f>IF($C593&lt;&gt;"", IF(AND($E593&lt;&gt;"", H593&lt;&gt;""), H593/$E593, 0),"")</f>
        <v/>
      </c>
      <c r="J593" s="17" t="str">
        <f>IF(AND(C593&lt;&gt;"",('Cost Inputs'!$I$162+'Cost Inputs'!$J$162+'Cost Inputs'!$K$162)&gt;0), 'Cost Inputs'!$I$162+'Cost Inputs'!$J$162+'Cost Inputs'!$K$162, "")</f>
        <v/>
      </c>
      <c r="K593" s="17" t="str">
        <f>IF($C593&lt;&gt;"", IF(AND($E593&lt;&gt;"", J593&lt;&gt;""), J593/$E593, 0),"")</f>
        <v/>
      </c>
      <c r="M593" s="106"/>
      <c r="P593" s="17" t="str">
        <f>IF(ISNUMBER($B$537), IF($C593&lt;&gt;"", IF('Cost Inputs'!$L$162="Y", $E593, IF('Cost Inputs'!$L$162="N", IF(ISNUMBER('Cost Inputs'!$M$162), $E593, ""),"")),""),"")</f>
        <v/>
      </c>
      <c r="Q593" s="17" t="str">
        <f>IF(ISNUMBER($B$537), IF($C593&lt;&gt;"", IF('Cost Inputs'!$L$162="Y", $E593, IF('Cost Inputs'!$L$162="N", "", "")),""),"")</f>
        <v/>
      </c>
      <c r="R593" s="17" t="str">
        <f>IF(ISNUMBER($B$537), IF($C593&lt;&gt;"", IF('Cost Inputs'!$L$162="Y", $E593, IF('Cost Inputs'!$L$162="N", IF(AND(ISNUMBER('Cost Inputs'!$M$162), OR('Cost Inputs'!$M$162=2)), $E593, ""),"")),""),"")</f>
        <v/>
      </c>
      <c r="S593" s="17" t="str">
        <f>IF(ISNUMBER($B$537), IF($C593&lt;&gt;"", IF('Cost Inputs'!$L$162="Y", $E593, IF('Cost Inputs'!$L$162="N", IF(AND(ISNUMBER('Cost Inputs'!$M$162), OR('Cost Inputs'!$M$162=3)), $E593, ""),"")),""),"")</f>
        <v/>
      </c>
      <c r="T593" s="17" t="str">
        <f>IF(ISNUMBER($B$537), IF($C593&lt;&gt;"", IF('Cost Inputs'!$L$162="Y", $E593, IF('Cost Inputs'!$L$162="N", IF(AND(ISNUMBER('Cost Inputs'!$M$162), OR('Cost Inputs'!$M$162=2, 'Cost Inputs'!$M$162=4)), $E593, ""),"")),""),"")</f>
        <v/>
      </c>
      <c r="U593" s="17" t="str">
        <f>IF(ISNUMBER($B$537), IF($C593&lt;&gt;"", IF('Cost Inputs'!$L$162="Y", $E593, IF('Cost Inputs'!$L$162="N", IF(AND(ISNUMBER('Cost Inputs'!$M$162), OR('Cost Inputs'!$M$162=2,'Cost Inputs'!$M$162=5)), $E593, ""),"")),""),"")</f>
        <v/>
      </c>
      <c r="V593" s="17" t="str">
        <f>IF(ISNUMBER($B$537), IF($C593&lt;&gt;"", IF('Cost Inputs'!$L$162="Y", $E593, IF('Cost Inputs'!$L$162="N", IF(AND(ISNUMBER('Cost Inputs'!$M$162), OR('Cost Inputs'!$M$162=2,'Cost Inputs'!$M$162=3,'Cost Inputs'!$M$162=6)), $E593, ""),"")),""),"")</f>
        <v/>
      </c>
      <c r="W593" s="17" t="str">
        <f>IF(ISNUMBER($B$537), IF($C593&lt;&gt;"", IF('Cost Inputs'!$L$162="Y", $E593, IF('Cost Inputs'!$L$162="N", IF(AND(ISNUMBER('Cost Inputs'!$M$162), OR('Cost Inputs'!$M$162=2,'Cost Inputs'!$M$162=7)), $E593, ""),"")),""),"")</f>
        <v/>
      </c>
      <c r="X593" s="17" t="str">
        <f>IF(ISNUMBER($B$537), IF($C593&lt;&gt;"", IF('Cost Inputs'!$L$162="Y", $E593, IF('Cost Inputs'!$L$162="N", IF(AND(ISNUMBER('Cost Inputs'!$M$162), OR('Cost Inputs'!$M$162=2,'Cost Inputs'!$M$162=4,'Cost Inputs'!$M$162=8)), $E593, ""),"")),""),"")</f>
        <v/>
      </c>
      <c r="Y593" s="17" t="str">
        <f>IF(ISNUMBER($B$537), IF($C593&lt;&gt;"", IF('Cost Inputs'!$L$162="Y", $E593, IF('Cost Inputs'!$L$162="N", IF(AND(ISNUMBER('Cost Inputs'!$M$162), OR('Cost Inputs'!$M$162=2,'Cost Inputs'!$M$162=3,'Cost Inputs'!$M$162=9)), $E593, ""),"")),""),"")</f>
        <v/>
      </c>
    </row>
    <row r="594" spans="1:26" x14ac:dyDescent="0.25">
      <c r="A594" s="518"/>
      <c r="B594" s="504"/>
      <c r="C594" s="107" t="str">
        <f>IF(AND(ISNUMBER(B577), C588&lt;&gt;"", OR('Cost Inputs'!$H$163&lt;&gt;"", 'Cost Inputs'!$I$163&lt;&gt;"", 'Cost Inputs'!$J$163&lt;&gt;"")), _5_5_4, "")</f>
        <v/>
      </c>
      <c r="D594" s="93" t="str">
        <f>IF(AND(C594&lt;&gt;"", 'Cost Inputs'!$G$163&lt;&gt;""), 'Cost Inputs'!$G$163, "")</f>
        <v/>
      </c>
      <c r="E594" s="93" t="str">
        <f>IF(AND(C594&lt;&gt;"", 'Cost Inputs'!$H$163&lt;&gt;""), 'Cost Inputs'!$H$163, "")</f>
        <v/>
      </c>
      <c r="F594" s="93" t="str">
        <f>IF(AND(C594&lt;&gt;"", 'Cost Inputs'!$I$163&lt;&gt;""), 'Cost Inputs'!$I$163, "")</f>
        <v/>
      </c>
      <c r="G594" s="108" t="str">
        <f t="shared" si="455"/>
        <v/>
      </c>
      <c r="H594" s="93" t="str">
        <f>IF(AND(C594&lt;&gt;"", 'Cost Inputs'!$J$163&lt;&gt;""), 'Cost Inputs'!$J$163, "")</f>
        <v/>
      </c>
      <c r="I594" s="93" t="str">
        <f>IF($C594&lt;&gt;"", IF(AND($E594&lt;&gt;"", H594&lt;&gt;""), H594/$E594, 0),"")</f>
        <v/>
      </c>
      <c r="J594" s="93" t="str">
        <f>IF(AND(C594&lt;&gt;"",('Cost Inputs'!$I$163+'Cost Inputs'!$J$163+'Cost Inputs'!$K$163)&gt;0), 'Cost Inputs'!$I$163+'Cost Inputs'!$J$163+'Cost Inputs'!$K$163, "")</f>
        <v/>
      </c>
      <c r="K594" s="93" t="str">
        <f>IF($C594&lt;&gt;"", IF(AND($E594&lt;&gt;"", J594&lt;&gt;""), J594/$E594, 0),"")</f>
        <v/>
      </c>
      <c r="L594" s="93"/>
      <c r="M594" s="109"/>
      <c r="P594" s="93" t="str">
        <f>IF(ISNUMBER($B$537), IF($C594&lt;&gt;"", IF('Cost Inputs'!$L$163="Y", $E594, IF('Cost Inputs'!$L$163="N", IF(ISNUMBER('Cost Inputs'!$M$163), $E594, ""),"")),""),"")</f>
        <v/>
      </c>
      <c r="Q594" s="93" t="str">
        <f>IF(ISNUMBER($B$537), IF($C594&lt;&gt;"", IF('Cost Inputs'!$L$163="Y", $E594, IF('Cost Inputs'!$L$163="N", "", "")),""),"")</f>
        <v/>
      </c>
      <c r="R594" s="93" t="str">
        <f>IF(ISNUMBER($B$537), IF($C594&lt;&gt;"", IF('Cost Inputs'!$L$163="Y", $E594, IF('Cost Inputs'!$L$163="N", IF(AND(ISNUMBER('Cost Inputs'!$M$163), OR('Cost Inputs'!$M$163=2)), $E594, ""),"")),""),"")</f>
        <v/>
      </c>
      <c r="S594" s="93" t="str">
        <f>IF(ISNUMBER($B$537), IF($C594&lt;&gt;"", IF('Cost Inputs'!$L$163="Y", $E594, IF('Cost Inputs'!$L$163="N", IF(AND(ISNUMBER('Cost Inputs'!$M$163), OR('Cost Inputs'!$M$163=3)), $E594, ""),"")),""),"")</f>
        <v/>
      </c>
      <c r="T594" s="93" t="str">
        <f>IF(ISNUMBER($B$537), IF($C594&lt;&gt;"", IF('Cost Inputs'!$L$163="Y", $E594, IF('Cost Inputs'!$L$163="N", IF(AND(ISNUMBER('Cost Inputs'!$M$163), OR('Cost Inputs'!$M$163=2, 'Cost Inputs'!$M$163=4)), $E594, ""),"")),""),"")</f>
        <v/>
      </c>
      <c r="U594" s="93" t="str">
        <f>IF(ISNUMBER($B$537), IF($C594&lt;&gt;"", IF('Cost Inputs'!$L$163="Y", $E594, IF('Cost Inputs'!$L$163="N", IF(AND(ISNUMBER('Cost Inputs'!$M$163), OR('Cost Inputs'!$M$163=2,'Cost Inputs'!$M$163=5)), $E594, ""),"")),""),"")</f>
        <v/>
      </c>
      <c r="V594" s="93" t="str">
        <f>IF(ISNUMBER($B$537), IF($C594&lt;&gt;"", IF('Cost Inputs'!$L$163="Y", $E594, IF('Cost Inputs'!$L$163="N", IF(AND(ISNUMBER('Cost Inputs'!$M$163), OR('Cost Inputs'!$M$163=2,'Cost Inputs'!$M$163=3,'Cost Inputs'!$M$163=6)), $E594, ""),"")),""),"")</f>
        <v/>
      </c>
      <c r="W594" s="93" t="str">
        <f>IF(ISNUMBER($B$537), IF($C594&lt;&gt;"", IF('Cost Inputs'!$L$163="Y", $E594, IF('Cost Inputs'!$L$163="N", IF(AND(ISNUMBER('Cost Inputs'!$M$163), OR('Cost Inputs'!$M$163=2,'Cost Inputs'!$M$163=7)), $E594, ""),"")),""),"")</f>
        <v/>
      </c>
      <c r="X594" s="93" t="str">
        <f>IF(ISNUMBER($B$537), IF($C594&lt;&gt;"", IF('Cost Inputs'!$L$163="Y", $E594, IF('Cost Inputs'!$L$163="N", IF(AND(ISNUMBER('Cost Inputs'!$M$163), OR('Cost Inputs'!$M$163=2,'Cost Inputs'!$M$163=4,'Cost Inputs'!$M$163=8)), $E594, ""),"")),""),"")</f>
        <v/>
      </c>
      <c r="Y594" s="93" t="str">
        <f>IF(ISNUMBER($B$537), IF($C594&lt;&gt;"", IF('Cost Inputs'!$L$163="Y", $E594, IF('Cost Inputs'!$L$163="N", IF(AND(ISNUMBER('Cost Inputs'!$M$163), OR('Cost Inputs'!$M$163=2,'Cost Inputs'!$M$163=3,'Cost Inputs'!$M$163=9)), $E594, ""),"")),""),"")</f>
        <v/>
      </c>
    </row>
    <row r="595" spans="1:26" x14ac:dyDescent="0.25">
      <c r="A595" s="518"/>
      <c r="B595" s="504"/>
      <c r="C595" s="104" t="str">
        <f>IF(AND(ISNUMBER(B577), C588&lt;&gt;"", OR('Cost Inputs'!$H$164&lt;&gt;"", 'Cost Inputs'!$I$164&lt;&gt;"", 'Cost Inputs'!$J$164&lt;&gt;"")), _5_5_5, "")</f>
        <v/>
      </c>
      <c r="D595" s="17" t="str">
        <f>IF(AND(C595&lt;&gt;"", 'Cost Inputs'!$G$164&lt;&gt;""), 'Cost Inputs'!$G$164, "")</f>
        <v/>
      </c>
      <c r="E595" s="17" t="str">
        <f>IF(AND(C595&lt;&gt;"", 'Cost Inputs'!$H$164&lt;&gt;""), 'Cost Inputs'!$H$164, "")</f>
        <v/>
      </c>
      <c r="F595" s="17" t="str">
        <f>IF(AND(C595&lt;&gt;"", 'Cost Inputs'!$I$164&lt;&gt;""), 'Cost Inputs'!$I$164, "")</f>
        <v/>
      </c>
      <c r="G595" s="105" t="str">
        <f t="shared" si="455"/>
        <v/>
      </c>
      <c r="H595" s="17" t="str">
        <f>IF(AND(C595&lt;&gt;"", 'Cost Inputs'!$J$164&lt;&gt;""), 'Cost Inputs'!$J$164, "")</f>
        <v/>
      </c>
      <c r="I595" s="17" t="str">
        <f>IF($C595&lt;&gt;"", IF(AND($E595&lt;&gt;"", H595&lt;&gt;""), H595/$E595, 0),"")</f>
        <v/>
      </c>
      <c r="J595" s="17" t="str">
        <f>IF(AND(C595&lt;&gt;"",('Cost Inputs'!$I$164+'Cost Inputs'!$J$164+'Cost Inputs'!$K$164)&gt;0), 'Cost Inputs'!$I$164+'Cost Inputs'!$J$164+'Cost Inputs'!$K$164, "")</f>
        <v/>
      </c>
      <c r="K595" s="17" t="str">
        <f>IF($C595&lt;&gt;"", IF(AND($E595&lt;&gt;"", J595&lt;&gt;""), J595/$E595, 0),"")</f>
        <v/>
      </c>
      <c r="M595" s="106"/>
      <c r="P595" s="17" t="str">
        <f>IF(ISNUMBER($B$537), IF($C595&lt;&gt;"", IF('Cost Inputs'!$L$164="Y", $E595, IF('Cost Inputs'!$L$164="N", IF(ISNUMBER('Cost Inputs'!$M$164), $E595, ""),"")),""),"")</f>
        <v/>
      </c>
      <c r="Q595" s="17" t="str">
        <f>IF(ISNUMBER($B$537), IF($C595&lt;&gt;"", IF('Cost Inputs'!$L$164="Y", $E595, IF('Cost Inputs'!$L$164="N", "", "")),""),"")</f>
        <v/>
      </c>
      <c r="R595" s="17" t="str">
        <f>IF(ISNUMBER($B$537), IF($C595&lt;&gt;"", IF('Cost Inputs'!$L$164="Y", $E595, IF('Cost Inputs'!$L$164="N", IF(AND(ISNUMBER('Cost Inputs'!$M$164), OR('Cost Inputs'!$M$164=2)), $E595, ""),"")),""),"")</f>
        <v/>
      </c>
      <c r="S595" s="17" t="str">
        <f>IF(ISNUMBER($B$537), IF($C595&lt;&gt;"", IF('Cost Inputs'!$L$164="Y", $E595, IF('Cost Inputs'!$L$164="N", IF(AND(ISNUMBER('Cost Inputs'!$M$164), OR('Cost Inputs'!$M$164=3)), $E595, ""),"")),""),"")</f>
        <v/>
      </c>
      <c r="T595" s="17" t="str">
        <f>IF(ISNUMBER($B$537), IF($C595&lt;&gt;"", IF('Cost Inputs'!$L$164="Y", $E595, IF('Cost Inputs'!$L$164="N", IF(AND(ISNUMBER('Cost Inputs'!$M$164), OR('Cost Inputs'!$M$164=2, 'Cost Inputs'!$M$164=4)), $E595, ""),"")),""),"")</f>
        <v/>
      </c>
      <c r="U595" s="17" t="str">
        <f>IF(ISNUMBER($B$537), IF($C595&lt;&gt;"", IF('Cost Inputs'!$L$164="Y", $E595, IF('Cost Inputs'!$L$164="N", IF(AND(ISNUMBER('Cost Inputs'!$M$164), OR('Cost Inputs'!$M$164=2,'Cost Inputs'!$M$164=5)), $E595, ""),"")),""),"")</f>
        <v/>
      </c>
      <c r="V595" s="17" t="str">
        <f>IF(ISNUMBER($B$537), IF($C595&lt;&gt;"", IF('Cost Inputs'!$L$164="Y", $E595, IF('Cost Inputs'!$L$164="N", IF(AND(ISNUMBER('Cost Inputs'!$M$164), OR('Cost Inputs'!$M$164=2,'Cost Inputs'!$M$164=3,'Cost Inputs'!$M$164=6)), $E595, ""),"")),""),"")</f>
        <v/>
      </c>
      <c r="W595" s="17" t="str">
        <f>IF(ISNUMBER($B$537), IF($C595&lt;&gt;"", IF('Cost Inputs'!$L$164="Y", $E595, IF('Cost Inputs'!$L$164="N", IF(AND(ISNUMBER('Cost Inputs'!$M$164), OR('Cost Inputs'!$M$164=2,'Cost Inputs'!$M$164=7)), $E595, ""),"")),""),"")</f>
        <v/>
      </c>
      <c r="X595" s="17" t="str">
        <f>IF(ISNUMBER($B$537), IF($C595&lt;&gt;"", IF('Cost Inputs'!$L$164="Y", $E595, IF('Cost Inputs'!$L$164="N", IF(AND(ISNUMBER('Cost Inputs'!$M$164), OR('Cost Inputs'!$M$164=2,'Cost Inputs'!$M$164=4,'Cost Inputs'!$M$164=8)), $E595, ""),"")),""),"")</f>
        <v/>
      </c>
      <c r="Y595" s="17" t="str">
        <f>IF(ISNUMBER($B$537), IF($C595&lt;&gt;"", IF('Cost Inputs'!$L$164="Y", $E595, IF('Cost Inputs'!$L$164="N", IF(AND(ISNUMBER('Cost Inputs'!$M$164), OR('Cost Inputs'!$M$164=2,'Cost Inputs'!$M$164=3,'Cost Inputs'!$M$164=9)), $E595, ""),"")),""),"")</f>
        <v/>
      </c>
    </row>
    <row r="596" spans="1:26" x14ac:dyDescent="0.25">
      <c r="A596" s="518"/>
      <c r="B596" s="504"/>
      <c r="C596" s="110" t="str">
        <f>IF(ISNUMBER(B577), _5_6_0, "")</f>
        <v/>
      </c>
      <c r="D596" s="94" t="str">
        <f>IF(AND(C596&lt;&gt;"", 'Cost Inputs'!$G$165&lt;&gt;""), 'Cost Inputs'!$G$165, "")</f>
        <v/>
      </c>
      <c r="E596" s="94" t="str">
        <f>IF(AND(C596&lt;&gt;"", 'Cost Inputs'!$H$165&lt;&gt;""), 'Cost Inputs'!$H$165, "")</f>
        <v/>
      </c>
      <c r="F596" s="94" t="str">
        <f>IF(AND(C596&lt;&gt;"", 'Cost Inputs'!$I$165&lt;&gt;""), 'Cost Inputs'!$I$165, "")</f>
        <v/>
      </c>
      <c r="G596" s="102" t="str">
        <f t="shared" si="455"/>
        <v/>
      </c>
      <c r="H596" s="94" t="str">
        <f>IF(AND(C596&lt;&gt;"", 'Cost Inputs'!$J$165&lt;&gt;""), 'Cost Inputs'!$J$165, "")</f>
        <v/>
      </c>
      <c r="I596" s="102" t="str">
        <f>IF($C596&lt;&gt;"",IF(AND($E596&lt;&gt;"",H596&lt;&gt;""), H596/$E596, 0),"")</f>
        <v/>
      </c>
      <c r="J596" s="94" t="str">
        <f>IF(AND(C596&lt;&gt;"",('Cost Inputs'!$I$165+'Cost Inputs'!$J$165+'Cost Inputs'!$K$165)&gt;0), 'Cost Inputs'!$I$165+'Cost Inputs'!$J$165+'Cost Inputs'!$K$165, "")</f>
        <v/>
      </c>
      <c r="K596" s="102" t="str">
        <f>IF($C596&lt;&gt;"",IF(AND($E596&lt;&gt;"",J596&lt;&gt;""), J596/$E596, 0),"")</f>
        <v/>
      </c>
      <c r="L596" s="94"/>
      <c r="M596" s="103"/>
      <c r="P596" s="94" t="str">
        <f>IF(ISNUMBER($B$537), IF($C596&lt;&gt;"", IF('Cost Inputs'!$L$165="Y", $E596, IF('Cost Inputs'!$L$165="N", IF(ISNUMBER('Cost Inputs'!$M$165), $E596, ""),"")),""),"")</f>
        <v/>
      </c>
      <c r="Q596" s="94" t="str">
        <f>IF(ISNUMBER($B$537), IF($C596&lt;&gt;"", IF('Cost Inputs'!$L$165="Y", $E596, IF('Cost Inputs'!$L$165="N", "", "")),""),"")</f>
        <v/>
      </c>
      <c r="R596" s="94" t="str">
        <f>IF(ISNUMBER($B$537), IF($C596&lt;&gt;"", IF('Cost Inputs'!$L$165="Y", $E596, IF('Cost Inputs'!$L$165="N", IF(AND(ISNUMBER('Cost Inputs'!$M$165), OR('Cost Inputs'!$M$165=2)), $E596, ""),"")),""),"")</f>
        <v/>
      </c>
      <c r="S596" s="94" t="str">
        <f>IF(ISNUMBER($B$537), IF($C596&lt;&gt;"", IF('Cost Inputs'!$L$165="Y", $E596, IF('Cost Inputs'!$L$165="N", IF(AND(ISNUMBER('Cost Inputs'!$M$165), OR('Cost Inputs'!$M$165=3)), $E596, ""),"")),""),"")</f>
        <v/>
      </c>
      <c r="T596" s="94" t="str">
        <f>IF(ISNUMBER($B$537), IF($C596&lt;&gt;"", IF('Cost Inputs'!$L$165="Y", $E596, IF('Cost Inputs'!$L$165="N", IF(AND(ISNUMBER('Cost Inputs'!$M$165), OR('Cost Inputs'!$M$165=2, 'Cost Inputs'!$M$165=4)), $E596, ""),"")),""),"")</f>
        <v/>
      </c>
      <c r="U596" s="94" t="str">
        <f>IF(ISNUMBER($B$537), IF($C596&lt;&gt;"", IF('Cost Inputs'!$L$165="Y", $E596, IF('Cost Inputs'!$L$165="N", IF(AND(ISNUMBER('Cost Inputs'!$M$165), OR('Cost Inputs'!$M$165=2,'Cost Inputs'!$M$165=5)), $E596, ""),"")),""),"")</f>
        <v/>
      </c>
      <c r="V596" s="94" t="str">
        <f>IF(ISNUMBER($B$537), IF($C596&lt;&gt;"", IF('Cost Inputs'!$L$165="Y", $E596, IF('Cost Inputs'!$L$165="N", IF(AND(ISNUMBER('Cost Inputs'!$M$165), OR('Cost Inputs'!$M$165=2,'Cost Inputs'!$M$165=3,'Cost Inputs'!$M$165=6)), $E596, ""),"")),""),"")</f>
        <v/>
      </c>
      <c r="W596" s="94" t="str">
        <f>IF(ISNUMBER($B$537), IF($C596&lt;&gt;"", IF('Cost Inputs'!$L$165="Y", $E596, IF('Cost Inputs'!$L$165="N", IF(AND(ISNUMBER('Cost Inputs'!$M$165), OR('Cost Inputs'!$M$165=2,'Cost Inputs'!$M$165=7)), $E596, ""),"")),""),"")</f>
        <v/>
      </c>
      <c r="X596" s="94" t="str">
        <f>IF(ISNUMBER($B$537), IF($C596&lt;&gt;"", IF('Cost Inputs'!$L$165="Y", $E596, IF('Cost Inputs'!$L$165="N", IF(AND(ISNUMBER('Cost Inputs'!$M$165), OR('Cost Inputs'!$M$165=2,'Cost Inputs'!$M$165=4,'Cost Inputs'!$M$165=8)), $E596, ""),"")),""),"")</f>
        <v/>
      </c>
      <c r="Y596" s="94" t="str">
        <f>IF(ISNUMBER($B$537), IF($C596&lt;&gt;"", IF('Cost Inputs'!$L$165="Y", $E596, IF('Cost Inputs'!$L$165="N", IF(AND(ISNUMBER('Cost Inputs'!$M$165), OR('Cost Inputs'!$M$165=2,'Cost Inputs'!$M$165=3,'Cost Inputs'!$M$165=9)), $E596, ""),"")),""),"")</f>
        <v/>
      </c>
    </row>
    <row r="597" spans="1:26" x14ac:dyDescent="0.25">
      <c r="A597" s="518"/>
      <c r="B597" s="504"/>
      <c r="C597" s="104" t="str">
        <f>IF(AND(ISNUMBER(B577), OR('Cost Inputs'!$H$166&lt;&gt;"", 'Cost Inputs'!$I$166&lt;&gt;"", 'Cost Inputs'!$J$166&lt;&gt;"")), _5_6_1, "")</f>
        <v/>
      </c>
      <c r="D597" s="17" t="str">
        <f>IF(AND(C597&lt;&gt;"", 'Cost Inputs'!$G$166&lt;&gt;""), 'Cost Inputs'!$G$166, "")</f>
        <v/>
      </c>
      <c r="E597" s="17" t="str">
        <f>IF(AND(C597&lt;&gt;"", 'Cost Inputs'!$H$166&lt;&gt;""), 'Cost Inputs'!$H$166, "")</f>
        <v/>
      </c>
      <c r="F597" s="17" t="str">
        <f>IF(AND(C597&lt;&gt;"", 'Cost Inputs'!$I$166&lt;&gt;""), 'Cost Inputs'!$I$166, "")</f>
        <v/>
      </c>
      <c r="G597" s="105" t="str">
        <f t="shared" si="455"/>
        <v/>
      </c>
      <c r="H597" s="17" t="str">
        <f>IF(AND(C597&lt;&gt;"", 'Cost Inputs'!$J$166&lt;&gt;""), 'Cost Inputs'!$J$166, "")</f>
        <v/>
      </c>
      <c r="I597" s="17" t="str">
        <f>IF($C597&lt;&gt;"", IF(AND($E597&lt;&gt;"", H597&lt;&gt;""), H597/$E597, 0),"")</f>
        <v/>
      </c>
      <c r="J597" s="17" t="str">
        <f>IF(AND(C597&lt;&gt;"",('Cost Inputs'!$I$166+'Cost Inputs'!$J$166+'Cost Inputs'!$K$166)&gt;0), 'Cost Inputs'!$I$166+'Cost Inputs'!$J$166+'Cost Inputs'!$K$166, "")</f>
        <v/>
      </c>
      <c r="K597" s="17" t="str">
        <f>IF($C597&lt;&gt;"", IF(AND($E597&lt;&gt;"", J597&lt;&gt;""), J597/$E597, 0),"")</f>
        <v/>
      </c>
      <c r="M597" s="106"/>
      <c r="P597" s="17" t="str">
        <f>IF(ISNUMBER($B$537), IF($C597&lt;&gt;"", IF('Cost Inputs'!$L$166="Y", $E597, IF('Cost Inputs'!$L$166="N", IF(ISNUMBER('Cost Inputs'!$M$166), $E597, ""),"")),""),"")</f>
        <v/>
      </c>
      <c r="Q597" s="17" t="str">
        <f>IF(ISNUMBER($B$537), IF($C597&lt;&gt;"", IF('Cost Inputs'!$L$166="Y", $E597, IF('Cost Inputs'!$L$166="N", "", "")),""),"")</f>
        <v/>
      </c>
      <c r="R597" s="17" t="str">
        <f>IF(ISNUMBER($B$537), IF($C597&lt;&gt;"", IF('Cost Inputs'!$L$166="Y", $E597, IF('Cost Inputs'!$L$166="N", IF(AND(ISNUMBER('Cost Inputs'!$M$166), OR('Cost Inputs'!$M$166=2)), $E597, ""),"")),""),"")</f>
        <v/>
      </c>
      <c r="S597" s="17" t="str">
        <f>IF(ISNUMBER($B$537), IF($C597&lt;&gt;"", IF('Cost Inputs'!$L$166="Y", $E597, IF('Cost Inputs'!$L$166="N", IF(AND(ISNUMBER('Cost Inputs'!$M$166), OR('Cost Inputs'!$M$166=3)), $E597, ""),"")),""),"")</f>
        <v/>
      </c>
      <c r="T597" s="17" t="str">
        <f>IF(ISNUMBER($B$537), IF($C597&lt;&gt;"", IF('Cost Inputs'!$L$166="Y", $E597, IF('Cost Inputs'!$L$166="N", IF(AND(ISNUMBER('Cost Inputs'!$M$166), OR('Cost Inputs'!$M$166=2, 'Cost Inputs'!$M$166=4)), $E597, ""),"")),""),"")</f>
        <v/>
      </c>
      <c r="U597" s="17" t="str">
        <f>IF(ISNUMBER($B$537), IF($C597&lt;&gt;"", IF('Cost Inputs'!$L$166="Y", $E597, IF('Cost Inputs'!$L$166="N", IF(AND(ISNUMBER('Cost Inputs'!$M$166), OR('Cost Inputs'!$M$166=2,'Cost Inputs'!$M$166=5)), $E597, ""),"")),""),"")</f>
        <v/>
      </c>
      <c r="V597" s="17" t="str">
        <f>IF(ISNUMBER($B$537), IF($C597&lt;&gt;"", IF('Cost Inputs'!$L$166="Y", $E597, IF('Cost Inputs'!$L$166="N", IF(AND(ISNUMBER('Cost Inputs'!$M$166), OR('Cost Inputs'!$M$166=2,'Cost Inputs'!$M$166=3,'Cost Inputs'!$M$166=6)), $E597, ""),"")),""),"")</f>
        <v/>
      </c>
      <c r="W597" s="17" t="str">
        <f>IF(ISNUMBER($B$537), IF($C597&lt;&gt;"", IF('Cost Inputs'!$L$166="Y", $E597, IF('Cost Inputs'!$L$166="N", IF(AND(ISNUMBER('Cost Inputs'!$M$166), OR('Cost Inputs'!$M$166=2,'Cost Inputs'!$M$166=7)), $E597, ""),"")),""),"")</f>
        <v/>
      </c>
      <c r="X597" s="17" t="str">
        <f>IF(ISNUMBER($B$537), IF($C597&lt;&gt;"", IF('Cost Inputs'!$L$166="Y", $E597, IF('Cost Inputs'!$L$166="N", IF(AND(ISNUMBER('Cost Inputs'!$M$166), OR('Cost Inputs'!$M$166=2,'Cost Inputs'!$M$166=4,'Cost Inputs'!$M$166=8)), $E597, ""),"")),""),"")</f>
        <v/>
      </c>
      <c r="Y597" s="17" t="str">
        <f>IF(ISNUMBER($B$537), IF($C597&lt;&gt;"", IF('Cost Inputs'!$L$166="Y", $E597, IF('Cost Inputs'!$L$166="N", IF(AND(ISNUMBER('Cost Inputs'!$M$166), OR('Cost Inputs'!$M$166=2,'Cost Inputs'!$M$166=3,'Cost Inputs'!$M$166=9)), $E597, ""),"")),""),"")</f>
        <v/>
      </c>
    </row>
    <row r="598" spans="1:26" ht="15.75" thickBot="1" x14ac:dyDescent="0.3">
      <c r="A598" s="518"/>
      <c r="B598" s="505"/>
      <c r="C598" s="111" t="str">
        <f>IF(AND(ISNUMBER(B577), OR('Cost Inputs'!$H$167&lt;&gt;"", 'Cost Inputs'!$I$167&lt;&gt;"", 'Cost Inputs'!$J$167&lt;&gt;"")), _5_6_2, "")</f>
        <v/>
      </c>
      <c r="D598" s="95" t="str">
        <f>IF(AND(C598&lt;&gt;"", 'Cost Inputs'!$G$167&lt;&gt;""), 'Cost Inputs'!$G$167, "")</f>
        <v/>
      </c>
      <c r="E598" s="95" t="str">
        <f>IF(AND(C598&lt;&gt;"", 'Cost Inputs'!$H$167&lt;&gt;""), 'Cost Inputs'!$H$167, "")</f>
        <v/>
      </c>
      <c r="F598" s="95" t="str">
        <f>IF(AND(C598&lt;&gt;"", 'Cost Inputs'!$I$167&lt;&gt;""), 'Cost Inputs'!$I$167, "")</f>
        <v/>
      </c>
      <c r="G598" s="112" t="str">
        <f t="shared" si="455"/>
        <v/>
      </c>
      <c r="H598" s="95" t="str">
        <f>IF(AND(C598&lt;&gt;"", 'Cost Inputs'!$J$167&lt;&gt;""), 'Cost Inputs'!$J$167, "")</f>
        <v/>
      </c>
      <c r="I598" s="95" t="str">
        <f>IF($C598&lt;&gt;"", IF(AND($E598&lt;&gt;"", H598&lt;&gt;""), H598/$E598, 0),"")</f>
        <v/>
      </c>
      <c r="J598" s="95" t="str">
        <f>IF(AND(C598&lt;&gt;"",('Cost Inputs'!$I$167+'Cost Inputs'!$J$167+'Cost Inputs'!$K$167)&gt;0), 'Cost Inputs'!$I$167+'Cost Inputs'!$J$167+'Cost Inputs'!$K$167, "")</f>
        <v/>
      </c>
      <c r="K598" s="95" t="str">
        <f>IF($C598&lt;&gt;"", IF(AND($E598&lt;&gt;"", J598&lt;&gt;""), J598/$E598, 0),"")</f>
        <v/>
      </c>
      <c r="L598" s="95"/>
      <c r="M598" s="113"/>
      <c r="P598" s="95" t="str">
        <f>IF(ISNUMBER($B$537), IF($C598&lt;&gt;"", IF('Cost Inputs'!$L$167="Y", $E598, IF('Cost Inputs'!$L$167="N", IF(ISNUMBER('Cost Inputs'!$M$167), $E598, ""),"")),""),"")</f>
        <v/>
      </c>
      <c r="Q598" s="95" t="str">
        <f>IF(ISNUMBER($B$537), IF($C598&lt;&gt;"", IF('Cost Inputs'!$L$167="Y", $E598, IF('Cost Inputs'!$L$167="N", "", "")),""),"")</f>
        <v/>
      </c>
      <c r="R598" s="95" t="str">
        <f>IF(ISNUMBER($B$537), IF($C598&lt;&gt;"", IF('Cost Inputs'!$L$167="Y", $E598, IF('Cost Inputs'!$L$167="N", IF(AND(ISNUMBER('Cost Inputs'!$M$167), OR('Cost Inputs'!$M$167=2)), $E598, ""),"")),""),"")</f>
        <v/>
      </c>
      <c r="S598" s="95" t="str">
        <f>IF(ISNUMBER($B$537), IF($C598&lt;&gt;"", IF('Cost Inputs'!$L$167="Y", $E598, IF('Cost Inputs'!$L$167="N", IF(AND(ISNUMBER('Cost Inputs'!$M$167), OR('Cost Inputs'!$M$167=3)), $E598, ""),"")),""),"")</f>
        <v/>
      </c>
      <c r="T598" s="95" t="str">
        <f>IF(ISNUMBER($B$537), IF($C598&lt;&gt;"", IF('Cost Inputs'!$L$167="Y", $E598, IF('Cost Inputs'!$L$167="N", IF(AND(ISNUMBER('Cost Inputs'!$M$167), OR('Cost Inputs'!$M$167=2, 'Cost Inputs'!$M$167=4)), $E598, ""),"")),""),"")</f>
        <v/>
      </c>
      <c r="U598" s="95" t="str">
        <f>IF(ISNUMBER($B$537), IF($C598&lt;&gt;"", IF('Cost Inputs'!$L$167="Y", $E598, IF('Cost Inputs'!$L$167="N", IF(AND(ISNUMBER('Cost Inputs'!$M$167), OR('Cost Inputs'!$M$167=2,'Cost Inputs'!$M$167=5)), $E598, ""),"")),""),"")</f>
        <v/>
      </c>
      <c r="V598" s="95" t="str">
        <f>IF(ISNUMBER($B$537), IF($C598&lt;&gt;"", IF('Cost Inputs'!$L$167="Y", $E598, IF('Cost Inputs'!$L$167="N", IF(AND(ISNUMBER('Cost Inputs'!$M$167), OR('Cost Inputs'!$M$167=2,'Cost Inputs'!$M$167=3,'Cost Inputs'!$M$167=6)), $E598, ""),"")),""),"")</f>
        <v/>
      </c>
      <c r="W598" s="95" t="str">
        <f>IF(ISNUMBER($B$537), IF($C598&lt;&gt;"", IF('Cost Inputs'!$L$167="Y", $E598, IF('Cost Inputs'!$L$167="N", IF(AND(ISNUMBER('Cost Inputs'!$M$167), OR('Cost Inputs'!$M$167=2,'Cost Inputs'!$M$167=7)), $E598, ""),"")),""),"")</f>
        <v/>
      </c>
      <c r="X598" s="95" t="str">
        <f>IF(ISNUMBER($B$537), IF($C598&lt;&gt;"", IF('Cost Inputs'!$L$167="Y", $E598, IF('Cost Inputs'!$L$167="N", IF(AND(ISNUMBER('Cost Inputs'!$M$167), OR('Cost Inputs'!$M$167=2,'Cost Inputs'!$M$167=4,'Cost Inputs'!$M$167=8)), $E598, ""),"")),""),"")</f>
        <v/>
      </c>
      <c r="Y598" s="95" t="str">
        <f>IF(ISNUMBER($B$537), IF($C598&lt;&gt;"", IF('Cost Inputs'!$L$167="Y", $E598, IF('Cost Inputs'!$L$167="N", IF(AND(ISNUMBER('Cost Inputs'!$M$167), OR('Cost Inputs'!$M$167=2,'Cost Inputs'!$M$167=3,'Cost Inputs'!$M$167=9)), $E598, ""),"")),""),"")</f>
        <v/>
      </c>
    </row>
    <row r="599" spans="1:26" x14ac:dyDescent="0.25">
      <c r="A599" s="518" t="str">
        <f>Fifth_Stage</f>
        <v>Stage 3 Clonal Replication with Increased Repetitions</v>
      </c>
      <c r="B599" s="503" t="str">
        <f>'Breeding Inputs'!B103</f>
        <v/>
      </c>
      <c r="C599" s="520" t="str">
        <f>IF(ISNUMBER(B599), _5_3_0, "")</f>
        <v/>
      </c>
      <c r="D599" s="92" t="str">
        <f>IF(AND(C599&lt;&gt;"", 'Cost Inputs'!$G$146&lt;&gt;""), 'Cost Inputs'!$G$146, "")</f>
        <v/>
      </c>
      <c r="E599" s="92" t="str">
        <f>IF(AND(C599&lt;&gt;"", 'Cost Inputs'!$H$146&lt;&gt;""), 'Cost Inputs'!$H$146, "")</f>
        <v/>
      </c>
      <c r="F599" s="522" t="str">
        <f>IF(AND(C599&lt;&gt;"", 'Cost Inputs'!$I$146&lt;&gt;""), 'Cost Inputs'!$I$146, "")</f>
        <v/>
      </c>
      <c r="G599" s="100" t="str">
        <f t="shared" si="455"/>
        <v/>
      </c>
      <c r="H599" s="522" t="str">
        <f>IF(AND(C599&lt;&gt;"", 'Cost Inputs'!$J$146&lt;&gt;""), 'Cost Inputs'!$J$146, "")</f>
        <v/>
      </c>
      <c r="I599" s="100" t="str">
        <f>IF($C599&lt;&gt;"",IF(AND($E599&lt;&gt;"",H599&lt;&gt;""), H599/$E599, 0),"")</f>
        <v/>
      </c>
      <c r="J599" s="522" t="str">
        <f>IF(AND(C599&lt;&gt;"",('Cost Inputs'!$I$146+'Cost Inputs'!$J$146+'Cost Inputs'!$K$146)&gt;0), 'Cost Inputs'!$I$146+'Cost Inputs'!$J$146+'Cost Inputs'!$K$146, "")</f>
        <v/>
      </c>
      <c r="K599" s="100" t="str">
        <f>IF($C599&lt;&gt;"",IF(AND($E599&lt;&gt;"",J599&lt;&gt;""), J599/$E599, 0),"")</f>
        <v/>
      </c>
      <c r="L599" s="92"/>
      <c r="M599" s="101"/>
      <c r="Q599" s="492" t="str">
        <f>IF(ISNUMBER($B$537), IF($C599&lt;&gt;"", IF('Cost Inputs'!$L$146="Y", $E599, IF('Cost Inputs'!$L$146="N", IF(ISNUMBER('Cost Inputs'!$M$146), $E599, ""),"")),""),"")</f>
        <v/>
      </c>
      <c r="R599" s="492" t="str">
        <f>IF(ISNUMBER($B$537), IF($C599&lt;&gt;"", IF('Cost Inputs'!$L$146="Y", $E599, IF('Cost Inputs'!$L$146="N", "", "")),""),"")</f>
        <v/>
      </c>
      <c r="S599" s="492" t="str">
        <f>IF(ISNUMBER($B$537), IF($C599&lt;&gt;"", IF('Cost Inputs'!$L$146="Y", $E599, IF('Cost Inputs'!$L$146="N", IF(AND(ISNUMBER('Cost Inputs'!$M$146), OR('Cost Inputs'!$M$146=2)), $E599, ""),"")),""),"")</f>
        <v/>
      </c>
      <c r="T599" s="492" t="str">
        <f>IF(ISNUMBER($B$537), IF($C599&lt;&gt;"", IF('Cost Inputs'!$L$146="Y", $E599, IF('Cost Inputs'!$L$146="N", IF(AND(ISNUMBER('Cost Inputs'!$M$146), OR('Cost Inputs'!$M$146=3)), $E599, ""),"")),""),"")</f>
        <v/>
      </c>
      <c r="U599" s="492" t="str">
        <f>IF(ISNUMBER($B$537), IF($C599&lt;&gt;"", IF('Cost Inputs'!$L$146="Y", $E599, IF('Cost Inputs'!$L$146="N", IF(AND(ISNUMBER('Cost Inputs'!$M$146), OR('Cost Inputs'!$M$146=2, 'Cost Inputs'!$M$146=4)), $E599, ""),"")),""),"")</f>
        <v/>
      </c>
      <c r="V599" s="492" t="str">
        <f>IF(ISNUMBER($B$537), IF($C599&lt;&gt;"", IF('Cost Inputs'!$L$146="Y", $E599, IF('Cost Inputs'!$L$146="N", IF(AND(ISNUMBER('Cost Inputs'!$M$146), OR('Cost Inputs'!$M$146=2,'Cost Inputs'!$M$146=5)), $E599, ""),"")),""),"")</f>
        <v/>
      </c>
      <c r="W599" s="492" t="str">
        <f>IF(ISNUMBER($B$537), IF($C599&lt;&gt;"", IF('Cost Inputs'!$L$146="Y", $E599, IF('Cost Inputs'!$L$146="N", IF(AND(ISNUMBER('Cost Inputs'!$M$146), OR('Cost Inputs'!$M$146=2,'Cost Inputs'!$M$146=3,'Cost Inputs'!$M$146=6)), $E599, ""),"")),""),"")</f>
        <v/>
      </c>
      <c r="X599" s="492" t="str">
        <f>IF(ISNUMBER($B$537), IF($C599&lt;&gt;"", IF('Cost Inputs'!$L$146="Y", $E599, IF('Cost Inputs'!$L$146="N", IF(AND(ISNUMBER('Cost Inputs'!$M$146), OR('Cost Inputs'!$M$146=2,'Cost Inputs'!$M$146=7)), $E599, ""),"")),""),"")</f>
        <v/>
      </c>
      <c r="Y599" s="492" t="str">
        <f>IF(ISNUMBER($B$537), IF($C599&lt;&gt;"", IF('Cost Inputs'!$L$146="Y", $E599, IF('Cost Inputs'!$L$146="N", IF(AND(ISNUMBER('Cost Inputs'!$M$146), OR('Cost Inputs'!$M$146=2,'Cost Inputs'!$M$146=4,'Cost Inputs'!$M$146=8)), $E599, ""),"")),""),"")</f>
        <v/>
      </c>
      <c r="Z599" s="492" t="str">
        <f>IF(ISNUMBER($B$537), IF($C599&lt;&gt;"", IF('Cost Inputs'!$L$146="Y", $E599, IF('Cost Inputs'!$L$146="N", IF(AND(ISNUMBER('Cost Inputs'!$M$146), OR('Cost Inputs'!$M$146=2,'Cost Inputs'!$M$146=3,'Cost Inputs'!$M$146=9)), $E599, ""),"")),""),"")</f>
        <v/>
      </c>
    </row>
    <row r="600" spans="1:26" x14ac:dyDescent="0.25">
      <c r="A600" s="518"/>
      <c r="B600" s="504"/>
      <c r="C600" s="521"/>
      <c r="D600" s="94" t="str">
        <f>IF(AND(C599&lt;&gt;"", 'Cost Inputs'!$G$147&lt;&gt;""), 'Cost Inputs'!$G$147, "")</f>
        <v/>
      </c>
      <c r="E600" s="94" t="str">
        <f>IF(AND(C599&lt;&gt;"", 'Cost Inputs'!$H$147&lt;&gt;""), 'Cost Inputs'!$H$147, "")</f>
        <v/>
      </c>
      <c r="F600" s="492"/>
      <c r="G600" s="102" t="str">
        <f t="shared" si="455"/>
        <v/>
      </c>
      <c r="H600" s="492"/>
      <c r="I600" s="102" t="str">
        <f>IF($C599&lt;&gt;"", IF(AND($E600&lt;&gt;"", H599&lt;&gt;""), H599/($E599*$E600), 0), "")</f>
        <v/>
      </c>
      <c r="J600" s="492" t="str">
        <f>IF(AND(C600&lt;&gt;"",('Cost Inputs'!$I$86+'Cost Inputs'!$J$86+'Cost Inputs'!$K$86)&gt;0), 'Cost Inputs'!$I$86+'Cost Inputs'!$J$86+'Cost Inputs'!$K$86, "")</f>
        <v/>
      </c>
      <c r="K600" s="102" t="str">
        <f>IF($C599&lt;&gt;"", IF(AND($E600&lt;&gt;"", J599&lt;&gt;""), J599/($E599*$E600), 0), "")</f>
        <v/>
      </c>
      <c r="L600" s="94"/>
      <c r="M600" s="103"/>
      <c r="Q600" s="492" t="str">
        <f>IF(ISNUMBER($B$537), IF($C600&lt;&gt;"", IF('Cost Inputs'!$L191="Y", $E600, IF('Cost Inputs'!$L191="N", IF(ISNUMBER('Cost Inputs'!$M191), $E600, ""),"")),""),"")</f>
        <v/>
      </c>
      <c r="R600" s="492" t="str">
        <f>IF(ISNUMBER($B$537), IF($C600&lt;&gt;"", IF('Cost Inputs'!$L191="Y", $E600, IF('Cost Inputs'!$L191="N", "", "")),""),"")</f>
        <v/>
      </c>
      <c r="S600" s="492" t="str">
        <f>IF(ISNUMBER($B$537), IF($C600&lt;&gt;"", IF('Cost Inputs'!$L191="Y", $E600, IF('Cost Inputs'!$L191="N", IF(AND(ISNUMBER('Cost Inputs'!$M191), OR('Cost Inputs'!$M191=2)), $E600, ""),"")),""),"")</f>
        <v/>
      </c>
      <c r="T600" s="492" t="str">
        <f>IF(ISNUMBER($B$537), IF($C600&lt;&gt;"", IF('Cost Inputs'!$L191="Y", $E600, IF('Cost Inputs'!$L191="N", IF(AND(ISNUMBER('Cost Inputs'!$M191), OR('Cost Inputs'!$M191=3)), $E600, ""),"")),""),"")</f>
        <v/>
      </c>
      <c r="U600" s="492" t="str">
        <f>IF(ISNUMBER($B$537), IF($C600&lt;&gt;"", IF('Cost Inputs'!$L191="Y", $E600, IF('Cost Inputs'!$L191="N", IF(AND(ISNUMBER('Cost Inputs'!$M191), OR('Cost Inputs'!$M191=2, 'Cost Inputs'!$M191=4)), $E600, ""),"")),""),"")</f>
        <v/>
      </c>
      <c r="V600" s="492" t="str">
        <f>IF(ISNUMBER($B$537), IF($C600&lt;&gt;"", IF('Cost Inputs'!$L191="Y", $E600, IF('Cost Inputs'!$L191="N", IF(AND(ISNUMBER('Cost Inputs'!$M191), OR('Cost Inputs'!$M191=2,'Cost Inputs'!$M191=5)), $E600, ""),"")),""),"")</f>
        <v/>
      </c>
      <c r="W600" s="492" t="str">
        <f>IF(ISNUMBER($B$537), IF($C600&lt;&gt;"", IF('Cost Inputs'!$L191="Y", $E600, IF('Cost Inputs'!$L191="N", IF(AND(ISNUMBER('Cost Inputs'!$M191), OR('Cost Inputs'!$M191=2,'Cost Inputs'!$M191=3,'Cost Inputs'!$M191=6)), $E600, ""),"")),""),"")</f>
        <v/>
      </c>
      <c r="X600" s="492" t="str">
        <f>IF(ISNUMBER($B$537), IF($C600&lt;&gt;"", IF('Cost Inputs'!$L191="Y", $E600, IF('Cost Inputs'!$L191="N", IF(AND(ISNUMBER('Cost Inputs'!$M191), OR('Cost Inputs'!$M191=2,'Cost Inputs'!$M191=7)), $E600, ""),"")),""),"")</f>
        <v/>
      </c>
      <c r="Y600" s="492" t="str">
        <f>IF(ISNUMBER($B$537), IF($C600&lt;&gt;"", IF('Cost Inputs'!$L191="Y", $E600, IF('Cost Inputs'!$L191="N", IF(AND(ISNUMBER('Cost Inputs'!$M191), OR('Cost Inputs'!$M191=2,'Cost Inputs'!$M191=4,'Cost Inputs'!$M191=8)), $E600, ""),"")),""),"")</f>
        <v/>
      </c>
      <c r="Z600" s="492" t="str">
        <f>IF(ISNUMBER($B$537), IF($C600&lt;&gt;"", IF('Cost Inputs'!$L191="Y", $E600, IF('Cost Inputs'!$L191="N", IF(AND(ISNUMBER('Cost Inputs'!$M191), OR('Cost Inputs'!$M191=2,'Cost Inputs'!$M191=3,'Cost Inputs'!$M191=9)), $E600, ""),"")),""),"")</f>
        <v/>
      </c>
    </row>
    <row r="601" spans="1:26" x14ac:dyDescent="0.25">
      <c r="A601" s="518"/>
      <c r="B601" s="504"/>
      <c r="C601" s="104" t="str">
        <f>IF(AND(ISNUMBER(B599), OR('Cost Inputs'!$H$148&lt;&gt;"", 'Cost Inputs'!$I$148&lt;&gt;"", 'Cost Inputs'!$J$148&lt;&gt;"")), _5_3_1, "")</f>
        <v/>
      </c>
      <c r="D601" s="17" t="str">
        <f>IF(AND(C601&lt;&gt;"", 'Cost Inputs'!$G$148&lt;&gt;""), 'Cost Inputs'!$G$148, "")</f>
        <v/>
      </c>
      <c r="E601" s="17" t="str">
        <f>IF(AND(C601&lt;&gt;"", 'Cost Inputs'!$H$148&lt;&gt;""), 'Cost Inputs'!$H$148, "")</f>
        <v/>
      </c>
      <c r="F601" s="17" t="str">
        <f>IF(AND(C601&lt;&gt;"", 'Cost Inputs'!$I$148&lt;&gt;""), 'Cost Inputs'!$I$148, "")</f>
        <v/>
      </c>
      <c r="G601" s="105" t="str">
        <f t="shared" si="455"/>
        <v/>
      </c>
      <c r="H601" s="17" t="str">
        <f>IF(AND(C601&lt;&gt;"", 'Cost Inputs'!$J$148&lt;&gt;""), 'Cost Inputs'!$J$148, "")</f>
        <v/>
      </c>
      <c r="I601" s="17" t="str">
        <f t="shared" ref="I601:I609" si="460">IF($C601&lt;&gt;"", IF(AND($E601&lt;&gt;"", H601&lt;&gt;""), H601/$E601, 0),"")</f>
        <v/>
      </c>
      <c r="J601" s="17" t="str">
        <f>IF(AND(C601&lt;&gt;"",('Cost Inputs'!$I$148+'Cost Inputs'!$J$148+'Cost Inputs'!$K$148)&gt;0), 'Cost Inputs'!$I$148+'Cost Inputs'!$J$148+'Cost Inputs'!$K$148, "")</f>
        <v/>
      </c>
      <c r="K601" s="17" t="str">
        <f t="shared" ref="K601:K609" si="461">IF($C601&lt;&gt;"", IF(AND($E601&lt;&gt;"", J601&lt;&gt;""), J601/$E601, 0),"")</f>
        <v/>
      </c>
      <c r="M601" s="106"/>
      <c r="Q601" s="17" t="str">
        <f>IF(ISNUMBER($B$537), IF($C601&lt;&gt;"", IF('Cost Inputs'!$L$148="Y", $E601, IF('Cost Inputs'!$L$148="N", IF(ISNUMBER('Cost Inputs'!$M$148), $E601, ""),"")),""),"")</f>
        <v/>
      </c>
      <c r="R601" s="17" t="str">
        <f>IF(ISNUMBER($B$537), IF($C601&lt;&gt;"", IF('Cost Inputs'!$L$148="Y", $E601, IF('Cost Inputs'!$L$148="N", "", "")),""),"")</f>
        <v/>
      </c>
      <c r="S601" s="17" t="str">
        <f>IF(ISNUMBER($B$537), IF($C601&lt;&gt;"", IF('Cost Inputs'!$L$148="Y", $E601, IF('Cost Inputs'!$L$148="N", IF(AND(ISNUMBER('Cost Inputs'!$M$148), OR('Cost Inputs'!$M$148=2)), $E601, ""),"")),""),"")</f>
        <v/>
      </c>
      <c r="T601" s="17" t="str">
        <f>IF(ISNUMBER($B$537), IF($C601&lt;&gt;"", IF('Cost Inputs'!$L$148="Y", $E601, IF('Cost Inputs'!$L$148="N", IF(AND(ISNUMBER('Cost Inputs'!$M$148), OR('Cost Inputs'!$M$148=3)), $E601, ""),"")),""),"")</f>
        <v/>
      </c>
      <c r="U601" s="17" t="str">
        <f>IF(ISNUMBER($B$537), IF($C601&lt;&gt;"", IF('Cost Inputs'!$L$148="Y", $E601, IF('Cost Inputs'!$L$148="N", IF(AND(ISNUMBER('Cost Inputs'!$M$148), OR('Cost Inputs'!$M$148=2, 'Cost Inputs'!$M$148=4)), $E601, ""),"")),""),"")</f>
        <v/>
      </c>
      <c r="V601" s="17" t="str">
        <f>IF(ISNUMBER($B$537), IF($C601&lt;&gt;"", IF('Cost Inputs'!$L$148="Y", $E601, IF('Cost Inputs'!$L$148="N", IF(AND(ISNUMBER('Cost Inputs'!$M$148), OR('Cost Inputs'!$M$148=2,'Cost Inputs'!$M$148=5)), $E601, ""),"")),""),"")</f>
        <v/>
      </c>
      <c r="W601" s="17" t="str">
        <f>IF(ISNUMBER($B$537), IF($C601&lt;&gt;"", IF('Cost Inputs'!$L$148="Y", $E601, IF('Cost Inputs'!$L$148="N", IF(AND(ISNUMBER('Cost Inputs'!$M$148), OR('Cost Inputs'!$M$148=2,'Cost Inputs'!$M$148=3,'Cost Inputs'!$M$148=6)), $E601, ""),"")),""),"")</f>
        <v/>
      </c>
      <c r="X601" s="17" t="str">
        <f>IF(ISNUMBER($B$537), IF($C601&lt;&gt;"", IF('Cost Inputs'!$L$148="Y", $E601, IF('Cost Inputs'!$L$148="N", IF(AND(ISNUMBER('Cost Inputs'!$M$148), OR('Cost Inputs'!$M$148=2,'Cost Inputs'!$M$148=7)), $E601, ""),"")),""),"")</f>
        <v/>
      </c>
      <c r="Y601" s="17" t="str">
        <f>IF(ISNUMBER($B$537), IF($C601&lt;&gt;"", IF('Cost Inputs'!$L$148="Y", $E601, IF('Cost Inputs'!$L$148="N", IF(AND(ISNUMBER('Cost Inputs'!$M$148), OR('Cost Inputs'!$M$148=2,'Cost Inputs'!$M$148=4,'Cost Inputs'!$M$148=8)), $E601, ""),"")),""),"")</f>
        <v/>
      </c>
      <c r="Z601" s="17" t="str">
        <f>IF(ISNUMBER($B$537), IF($C601&lt;&gt;"", IF('Cost Inputs'!$L$148="Y", $E601, IF('Cost Inputs'!$L$148="N", IF(AND(ISNUMBER('Cost Inputs'!$M$148), OR('Cost Inputs'!$M$148=2,'Cost Inputs'!$M$148=3,'Cost Inputs'!$M$148=9)), $E601, ""),"")),""),"")</f>
        <v/>
      </c>
    </row>
    <row r="602" spans="1:26" x14ac:dyDescent="0.25">
      <c r="A602" s="518"/>
      <c r="B602" s="504"/>
      <c r="C602" s="107" t="str">
        <f>IF(AND(ISNUMBER(B599), OR('Cost Inputs'!$H$149&lt;&gt;"", 'Cost Inputs'!$I$149&lt;&gt;"", 'Cost Inputs'!$J$149&lt;&gt;"")), _5_3_2, "")</f>
        <v/>
      </c>
      <c r="D602" s="93" t="str">
        <f>IF(AND(C602&lt;&gt;"", 'Cost Inputs'!$G$149&lt;&gt;""), 'Cost Inputs'!$G$149, "")</f>
        <v/>
      </c>
      <c r="E602" s="93" t="str">
        <f>IF(AND(C602&lt;&gt;"", 'Cost Inputs'!$H$149&lt;&gt;""), 'Cost Inputs'!$H$149, "")</f>
        <v/>
      </c>
      <c r="F602" s="93" t="str">
        <f>IF(AND(C602&lt;&gt;"", 'Cost Inputs'!$I$149&lt;&gt;""), 'Cost Inputs'!$I$149, "")</f>
        <v/>
      </c>
      <c r="G602" s="108" t="str">
        <f t="shared" si="455"/>
        <v/>
      </c>
      <c r="H602" s="93" t="str">
        <f>IF(AND(C602&lt;&gt;"", 'Cost Inputs'!$J$149&lt;&gt;""), 'Cost Inputs'!$J$149, "")</f>
        <v/>
      </c>
      <c r="I602" s="93" t="str">
        <f t="shared" si="460"/>
        <v/>
      </c>
      <c r="J602" s="93" t="str">
        <f>IF(AND(C602&lt;&gt;"",('Cost Inputs'!$I$149+'Cost Inputs'!$J$149+'Cost Inputs'!$K$149)&gt;0), 'Cost Inputs'!$I$149+'Cost Inputs'!$J$149+'Cost Inputs'!$K$149, "")</f>
        <v/>
      </c>
      <c r="K602" s="93" t="str">
        <f t="shared" si="461"/>
        <v/>
      </c>
      <c r="L602" s="93"/>
      <c r="M602" s="109"/>
      <c r="Q602" s="93" t="str">
        <f>IF(ISNUMBER($B$537), IF($C602&lt;&gt;"", IF('Cost Inputs'!$L$149="Y", $E602, IF('Cost Inputs'!$L$149="N", IF(ISNUMBER('Cost Inputs'!$M$149), $E602, ""),"")),""),"")</f>
        <v/>
      </c>
      <c r="R602" s="93" t="str">
        <f>IF(ISNUMBER($B$537), IF($C602&lt;&gt;"", IF('Cost Inputs'!$L$149="Y", $E602, IF('Cost Inputs'!$L$149="N", "", "")),""),"")</f>
        <v/>
      </c>
      <c r="S602" s="93" t="str">
        <f>IF(ISNUMBER($B$537), IF($C602&lt;&gt;"", IF('Cost Inputs'!$L$149="Y", $E602, IF('Cost Inputs'!$L$149="N", IF(AND(ISNUMBER('Cost Inputs'!$M$149), OR('Cost Inputs'!$M$149=2)), $E602, ""),"")),""),"")</f>
        <v/>
      </c>
      <c r="T602" s="93" t="str">
        <f>IF(ISNUMBER($B$537), IF($C602&lt;&gt;"", IF('Cost Inputs'!$L$149="Y", $E602, IF('Cost Inputs'!$L$149="N", IF(AND(ISNUMBER('Cost Inputs'!$M$149), OR('Cost Inputs'!$M$149=3)), $E602, ""),"")),""),"")</f>
        <v/>
      </c>
      <c r="U602" s="93" t="str">
        <f>IF(ISNUMBER($B$537), IF($C602&lt;&gt;"", IF('Cost Inputs'!$L$149="Y", $E602, IF('Cost Inputs'!$L$149="N", IF(AND(ISNUMBER('Cost Inputs'!$M$149), OR('Cost Inputs'!$M$149=2, 'Cost Inputs'!$M$149=4)), $E602, ""),"")),""),"")</f>
        <v/>
      </c>
      <c r="V602" s="93" t="str">
        <f>IF(ISNUMBER($B$537), IF($C602&lt;&gt;"", IF('Cost Inputs'!$L$149="Y", $E602, IF('Cost Inputs'!$L$149="N", IF(AND(ISNUMBER('Cost Inputs'!$M$149), OR('Cost Inputs'!$M$149=2,'Cost Inputs'!$M$149=5)), $E602, ""),"")),""),"")</f>
        <v/>
      </c>
      <c r="W602" s="93" t="str">
        <f>IF(ISNUMBER($B$537), IF($C602&lt;&gt;"", IF('Cost Inputs'!$L$149="Y", $E602, IF('Cost Inputs'!$L$149="N", IF(AND(ISNUMBER('Cost Inputs'!$M$149), OR('Cost Inputs'!$M$149=2,'Cost Inputs'!$M$149=3,'Cost Inputs'!$M$149=6)), $E602, ""),"")),""),"")</f>
        <v/>
      </c>
      <c r="X602" s="93" t="str">
        <f>IF(ISNUMBER($B$537), IF($C602&lt;&gt;"", IF('Cost Inputs'!$L$149="Y", $E602, IF('Cost Inputs'!$L$149="N", IF(AND(ISNUMBER('Cost Inputs'!$M$149), OR('Cost Inputs'!$M$149=2,'Cost Inputs'!$M$149=7)), $E602, ""),"")),""),"")</f>
        <v/>
      </c>
      <c r="Y602" s="93" t="str">
        <f>IF(ISNUMBER($B$537), IF($C602&lt;&gt;"", IF('Cost Inputs'!$L$149="Y", $E602, IF('Cost Inputs'!$L$149="N", IF(AND(ISNUMBER('Cost Inputs'!$M$149), OR('Cost Inputs'!$M$149=2,'Cost Inputs'!$M$149=4,'Cost Inputs'!$M$149=8)), $E602, ""),"")),""),"")</f>
        <v/>
      </c>
      <c r="Z602" s="93" t="str">
        <f>IF(ISNUMBER($B$537), IF($C602&lt;&gt;"", IF('Cost Inputs'!$L$149="Y", $E602, IF('Cost Inputs'!$L$149="N", IF(AND(ISNUMBER('Cost Inputs'!$M$149), OR('Cost Inputs'!$M$149=2,'Cost Inputs'!$M$149=3,'Cost Inputs'!$M$149=9)), $E602, ""),"")),""),"")</f>
        <v/>
      </c>
    </row>
    <row r="603" spans="1:26" x14ac:dyDescent="0.25">
      <c r="A603" s="518"/>
      <c r="B603" s="504"/>
      <c r="C603" s="110" t="str">
        <f>IF(ISNUMBER(B599), _5_4_0, "")</f>
        <v/>
      </c>
      <c r="D603" s="94" t="str">
        <f>IF(AND(C603&lt;&gt;"", 'Cost Inputs'!$G$150&lt;&gt;""), 'Cost Inputs'!$G$150, "")</f>
        <v/>
      </c>
      <c r="E603" s="94" t="str">
        <f>IF(AND(C603&lt;&gt;"", 'Cost Inputs'!$H$150&lt;&gt;""), 'Cost Inputs'!$H$150, "")</f>
        <v/>
      </c>
      <c r="F603" s="94" t="str">
        <f>IF(AND(C603&lt;&gt;"", 'Cost Inputs'!$I$150&lt;&gt;""), 'Cost Inputs'!$I$150, "")</f>
        <v/>
      </c>
      <c r="G603" s="102" t="str">
        <f t="shared" si="455"/>
        <v/>
      </c>
      <c r="H603" s="102" t="str">
        <f>IF(AND(C603&lt;&gt;"", 'Cost Inputs'!$J$150&lt;&gt;""), 'Cost Inputs'!$J$150, "")</f>
        <v/>
      </c>
      <c r="I603" s="102" t="str">
        <f t="shared" si="460"/>
        <v/>
      </c>
      <c r="J603" s="102" t="str">
        <f>IF(AND(C603&lt;&gt;"",('Cost Inputs'!$I$150+'Cost Inputs'!$J$150+'Cost Inputs'!$K$150)&gt;0), 'Cost Inputs'!$I$150+'Cost Inputs'!$J$150+'Cost Inputs'!$K$150, "")</f>
        <v/>
      </c>
      <c r="K603" s="102" t="str">
        <f t="shared" si="461"/>
        <v/>
      </c>
      <c r="L603" s="94"/>
      <c r="M603" s="103"/>
      <c r="Q603" s="102" t="str">
        <f>IF(ISNUMBER($B$537), IF($C603&lt;&gt;"", IF('Cost Inputs'!$L$150="Y", $E603, IF('Cost Inputs'!$L$150="N", IF(ISNUMBER('Cost Inputs'!$M$150), $E603, ""),"")),""),"")</f>
        <v/>
      </c>
      <c r="R603" s="102" t="str">
        <f>IF(ISNUMBER($B$537), IF($C603&lt;&gt;"", IF('Cost Inputs'!$L$150="Y", $E603, IF('Cost Inputs'!$L$150="N", "", "")),""),"")</f>
        <v/>
      </c>
      <c r="S603" s="102" t="str">
        <f>IF(ISNUMBER($B$537), IF($C603&lt;&gt;"", IF('Cost Inputs'!$L$150="Y", $E603, IF('Cost Inputs'!$L$150="N", IF(AND(ISNUMBER('Cost Inputs'!$M$150), OR('Cost Inputs'!$M$150=2)), $E603, ""),"")),""),"")</f>
        <v/>
      </c>
      <c r="T603" s="102" t="str">
        <f>IF(ISNUMBER($B$537), IF($C603&lt;&gt;"", IF('Cost Inputs'!$L$150="Y", $E603, IF('Cost Inputs'!$L$150="N", IF(AND(ISNUMBER('Cost Inputs'!$M$150), OR('Cost Inputs'!$M$150=3)), $E603, ""),"")),""),"")</f>
        <v/>
      </c>
      <c r="U603" s="102" t="str">
        <f>IF(ISNUMBER($B$537), IF($C603&lt;&gt;"", IF('Cost Inputs'!$L$150="Y", $E603, IF('Cost Inputs'!$L$150="N", IF(AND(ISNUMBER('Cost Inputs'!$M$150), OR('Cost Inputs'!$M$150=2, 'Cost Inputs'!$M$150=4)), $E603, ""),"")),""),"")</f>
        <v/>
      </c>
      <c r="V603" s="102" t="str">
        <f>IF(ISNUMBER($B$537), IF($C603&lt;&gt;"", IF('Cost Inputs'!$L$150="Y", $E603, IF('Cost Inputs'!$L$150="N", IF(AND(ISNUMBER('Cost Inputs'!$M$150), OR('Cost Inputs'!$M$150=2,'Cost Inputs'!$M$150=5)), $E603, ""),"")),""),"")</f>
        <v/>
      </c>
      <c r="W603" s="102" t="str">
        <f>IF(ISNUMBER($B$537), IF($C603&lt;&gt;"", IF('Cost Inputs'!$L$150="Y", $E603, IF('Cost Inputs'!$L$150="N", IF(AND(ISNUMBER('Cost Inputs'!$M$150), OR('Cost Inputs'!$M$150=2,'Cost Inputs'!$M$150=3,'Cost Inputs'!$M$150=6)), $E603, ""),"")),""),"")</f>
        <v/>
      </c>
      <c r="X603" s="102" t="str">
        <f>IF(ISNUMBER($B$537), IF($C603&lt;&gt;"", IF('Cost Inputs'!$L$150="Y", $E603, IF('Cost Inputs'!$L$150="N", IF(AND(ISNUMBER('Cost Inputs'!$M$150), OR('Cost Inputs'!$M$150=2,'Cost Inputs'!$M$150=7)), $E603, ""),"")),""),"")</f>
        <v/>
      </c>
      <c r="Y603" s="102" t="str">
        <f>IF(ISNUMBER($B$537), IF($C603&lt;&gt;"", IF('Cost Inputs'!$L$150="Y", $E603, IF('Cost Inputs'!$L$150="N", IF(AND(ISNUMBER('Cost Inputs'!$M$150), OR('Cost Inputs'!$M$150=2,'Cost Inputs'!$M$150=4,'Cost Inputs'!$M$150=8)), $E603, ""),"")),""),"")</f>
        <v/>
      </c>
      <c r="Z603" s="102" t="str">
        <f>IF(ISNUMBER($B$537), IF($C603&lt;&gt;"", IF('Cost Inputs'!$L$150="Y", $E603, IF('Cost Inputs'!$L$150="N", IF(AND(ISNUMBER('Cost Inputs'!$M$150), OR('Cost Inputs'!$M$150=2,'Cost Inputs'!$M$150=3,'Cost Inputs'!$M$150=9)), $E603, ""),"")),""),"")</f>
        <v/>
      </c>
    </row>
    <row r="604" spans="1:26" x14ac:dyDescent="0.25">
      <c r="A604" s="518"/>
      <c r="B604" s="504"/>
      <c r="C604" s="104" t="str">
        <f>IF(AND(ISNUMBER(B599), OR('Cost Inputs'!$H$151&lt;&gt;"", 'Cost Inputs'!$I$151&lt;&gt;"", 'Cost Inputs'!$J$151&lt;&gt;"")), _5_4_1, "")</f>
        <v/>
      </c>
      <c r="D604" s="17" t="str">
        <f>IF(AND(C604&lt;&gt;"", 'Cost Inputs'!$G$151&lt;&gt;""), 'Cost Inputs'!$G$151, "")</f>
        <v/>
      </c>
      <c r="E604" s="17" t="str">
        <f>IF(AND(C604&lt;&gt;"", 'Cost Inputs'!$H$151&lt;&gt;""), 'Cost Inputs'!$H$151, "")</f>
        <v/>
      </c>
      <c r="F604" s="17" t="str">
        <f>IF(AND(C604&lt;&gt;"", 'Cost Inputs'!$I$151&lt;&gt;""), 'Cost Inputs'!$I$151, "")</f>
        <v/>
      </c>
      <c r="G604" s="105" t="str">
        <f t="shared" si="455"/>
        <v/>
      </c>
      <c r="H604" s="17" t="str">
        <f>IF(AND(C604&lt;&gt;"", 'Cost Inputs'!$J$151&lt;&gt;""), 'Cost Inputs'!$J$151, "")</f>
        <v/>
      </c>
      <c r="I604" s="17" t="str">
        <f t="shared" si="460"/>
        <v/>
      </c>
      <c r="J604" s="17" t="str">
        <f>IF(AND(C604&lt;&gt;"",('Cost Inputs'!$I$151+'Cost Inputs'!$J$151+'Cost Inputs'!$K$151)&gt;0), 'Cost Inputs'!$I$151+'Cost Inputs'!$J$151+'Cost Inputs'!$K$151, "")</f>
        <v/>
      </c>
      <c r="K604" s="17" t="str">
        <f t="shared" si="461"/>
        <v/>
      </c>
      <c r="M604" s="106"/>
      <c r="Q604" s="17" t="str">
        <f>IF(ISNUMBER($B$537), IF($C604&lt;&gt;"", IF('Cost Inputs'!$L$151="Y", $E604, IF('Cost Inputs'!$L$151="N", IF(ISNUMBER('Cost Inputs'!$M$151), $E604, ""),"")),""),"")</f>
        <v/>
      </c>
      <c r="R604" s="17" t="str">
        <f>IF(ISNUMBER($B$537), IF($C604&lt;&gt;"", IF('Cost Inputs'!$L$151="Y", $E604, IF('Cost Inputs'!$L$151="N", "", "")),""),"")</f>
        <v/>
      </c>
      <c r="S604" s="17" t="str">
        <f>IF(ISNUMBER($B$537), IF($C604&lt;&gt;"", IF('Cost Inputs'!$L$151="Y", $E604, IF('Cost Inputs'!$L$151="N", IF(AND(ISNUMBER('Cost Inputs'!$M$151), OR('Cost Inputs'!$M$151=2)), $E604, ""),"")),""),"")</f>
        <v/>
      </c>
      <c r="T604" s="17" t="str">
        <f>IF(ISNUMBER($B$537), IF($C604&lt;&gt;"", IF('Cost Inputs'!$L$151="Y", $E604, IF('Cost Inputs'!$L$151="N", IF(AND(ISNUMBER('Cost Inputs'!$M$151), OR('Cost Inputs'!$M$151=3)), $E604, ""),"")),""),"")</f>
        <v/>
      </c>
      <c r="U604" s="17" t="str">
        <f>IF(ISNUMBER($B$537), IF($C604&lt;&gt;"", IF('Cost Inputs'!$L$151="Y", $E604, IF('Cost Inputs'!$L$151="N", IF(AND(ISNUMBER('Cost Inputs'!$M$151), OR('Cost Inputs'!$M$151=2, 'Cost Inputs'!$M$151=4)), $E604, ""),"")),""),"")</f>
        <v/>
      </c>
      <c r="V604" s="17" t="str">
        <f>IF(ISNUMBER($B$537), IF($C604&lt;&gt;"", IF('Cost Inputs'!$L$151="Y", $E604, IF('Cost Inputs'!$L$151="N", IF(AND(ISNUMBER('Cost Inputs'!$M$151), OR('Cost Inputs'!$M$151=2,'Cost Inputs'!$M$151=5)), $E604, ""),"")),""),"")</f>
        <v/>
      </c>
      <c r="W604" s="17" t="str">
        <f>IF(ISNUMBER($B$537), IF($C604&lt;&gt;"", IF('Cost Inputs'!$L$151="Y", $E604, IF('Cost Inputs'!$L$151="N", IF(AND(ISNUMBER('Cost Inputs'!$M$151), OR('Cost Inputs'!$M$151=2,'Cost Inputs'!$M$151=3,'Cost Inputs'!$M$151=6)), $E604, ""),"")),""),"")</f>
        <v/>
      </c>
      <c r="X604" s="17" t="str">
        <f>IF(ISNUMBER($B$537), IF($C604&lt;&gt;"", IF('Cost Inputs'!$L$151="Y", $E604, IF('Cost Inputs'!$L$151="N", IF(AND(ISNUMBER('Cost Inputs'!$M$151), OR('Cost Inputs'!$M$151=2,'Cost Inputs'!$M$151=7)), $E604, ""),"")),""),"")</f>
        <v/>
      </c>
      <c r="Y604" s="17" t="str">
        <f>IF(ISNUMBER($B$537), IF($C604&lt;&gt;"", IF('Cost Inputs'!$L$151="Y", $E604, IF('Cost Inputs'!$L$151="N", IF(AND(ISNUMBER('Cost Inputs'!$M$151), OR('Cost Inputs'!$M$151=2,'Cost Inputs'!$M$151=4,'Cost Inputs'!$M$151=8)), $E604, ""),"")),""),"")</f>
        <v/>
      </c>
      <c r="Z604" s="17" t="str">
        <f>IF(ISNUMBER($B$537), IF($C604&lt;&gt;"", IF('Cost Inputs'!$L$151="Y", $E604, IF('Cost Inputs'!$L$151="N", IF(AND(ISNUMBER('Cost Inputs'!$M$151), OR('Cost Inputs'!$M$151=2,'Cost Inputs'!$M$151=3,'Cost Inputs'!$M$151=9)), $E604, ""),"")),""),"")</f>
        <v/>
      </c>
    </row>
    <row r="605" spans="1:26" ht="14.45" customHeight="1" x14ac:dyDescent="0.25">
      <c r="A605" s="518"/>
      <c r="B605" s="504"/>
      <c r="C605" s="107" t="str">
        <f>IF(AND(ISNUMBER(B599), OR('Cost Inputs'!$H$152&lt;&gt;"", 'Cost Inputs'!$I$152&lt;&gt;"", 'Cost Inputs'!$J$152&lt;&gt;"")), _5_4_2, "")</f>
        <v/>
      </c>
      <c r="D605" s="93" t="str">
        <f>IF(AND(C605&lt;&gt;"", 'Cost Inputs'!$G$152&lt;&gt;""), 'Cost Inputs'!$G$152, "")</f>
        <v/>
      </c>
      <c r="E605" s="93" t="str">
        <f>IF(AND(C605&lt;&gt;"", 'Cost Inputs'!$H$152&lt;&gt;""), 'Cost Inputs'!$H$152, "")</f>
        <v/>
      </c>
      <c r="F605" s="93" t="str">
        <f>IF(AND(C605&lt;&gt;"", 'Cost Inputs'!$I$152&lt;&gt;""), 'Cost Inputs'!$I$152, "")</f>
        <v/>
      </c>
      <c r="G605" s="108" t="str">
        <f t="shared" si="455"/>
        <v/>
      </c>
      <c r="H605" s="93" t="str">
        <f>IF(AND(C605&lt;&gt;"", 'Cost Inputs'!$J$152&lt;&gt;""), 'Cost Inputs'!$J$152, "")</f>
        <v/>
      </c>
      <c r="I605" s="93" t="str">
        <f t="shared" si="460"/>
        <v/>
      </c>
      <c r="J605" s="93" t="str">
        <f>IF(AND(C605&lt;&gt;"",('Cost Inputs'!$I$152+'Cost Inputs'!$J$152+'Cost Inputs'!$K$152)&gt;0), 'Cost Inputs'!$I$152+'Cost Inputs'!$J$152+'Cost Inputs'!$K$152, "")</f>
        <v/>
      </c>
      <c r="K605" s="93" t="str">
        <f t="shared" si="461"/>
        <v/>
      </c>
      <c r="L605" s="93"/>
      <c r="M605" s="109"/>
      <c r="Q605" s="93" t="str">
        <f>IF(ISNUMBER($B$537), IF($C605&lt;&gt;"", IF('Cost Inputs'!$L$152="Y", $E605, IF('Cost Inputs'!$L$152="N", IF(ISNUMBER('Cost Inputs'!$M$152), $E605, ""),"")),""),"")</f>
        <v/>
      </c>
      <c r="R605" s="93" t="str">
        <f>IF(ISNUMBER($B$537), IF($C605&lt;&gt;"", IF('Cost Inputs'!$L$152="Y", $E605, IF('Cost Inputs'!$L$152="N", "", "")),""),"")</f>
        <v/>
      </c>
      <c r="S605" s="93" t="str">
        <f>IF(ISNUMBER($B$537), IF($C605&lt;&gt;"", IF('Cost Inputs'!$L$152="Y", $E605, IF('Cost Inputs'!$L$152="N", IF(AND(ISNUMBER('Cost Inputs'!$M$152), OR('Cost Inputs'!$M$152=2)), $E605, ""),"")),""),"")</f>
        <v/>
      </c>
      <c r="T605" s="93" t="str">
        <f>IF(ISNUMBER($B$537), IF($C605&lt;&gt;"", IF('Cost Inputs'!$L$152="Y", $E605, IF('Cost Inputs'!$L$152="N", IF(AND(ISNUMBER('Cost Inputs'!$M$152), OR('Cost Inputs'!$M$152=3)), $E605, ""),"")),""),"")</f>
        <v/>
      </c>
      <c r="U605" s="93" t="str">
        <f>IF(ISNUMBER($B$537), IF($C605&lt;&gt;"", IF('Cost Inputs'!$L$152="Y", $E605, IF('Cost Inputs'!$L$152="N", IF(AND(ISNUMBER('Cost Inputs'!$M$152), OR('Cost Inputs'!$M$152=2, 'Cost Inputs'!$M$152=4)), $E605, ""),"")),""),"")</f>
        <v/>
      </c>
      <c r="V605" s="93" t="str">
        <f>IF(ISNUMBER($B$537), IF($C605&lt;&gt;"", IF('Cost Inputs'!$L$152="Y", $E605, IF('Cost Inputs'!$L$152="N", IF(AND(ISNUMBER('Cost Inputs'!$M$152), OR('Cost Inputs'!$M$152=2,'Cost Inputs'!$M$152=5)), $E605, ""),"")),""),"")</f>
        <v/>
      </c>
      <c r="W605" s="93" t="str">
        <f>IF(ISNUMBER($B$537), IF($C605&lt;&gt;"", IF('Cost Inputs'!$L$152="Y", $E605, IF('Cost Inputs'!$L$152="N", IF(AND(ISNUMBER('Cost Inputs'!$M$152), OR('Cost Inputs'!$M$152=2,'Cost Inputs'!$M$152=3,'Cost Inputs'!$M$152=6)), $E605, ""),"")),""),"")</f>
        <v/>
      </c>
      <c r="X605" s="93" t="str">
        <f>IF(ISNUMBER($B$537), IF($C605&lt;&gt;"", IF('Cost Inputs'!$L$152="Y", $E605, IF('Cost Inputs'!$L$152="N", IF(AND(ISNUMBER('Cost Inputs'!$M$152), OR('Cost Inputs'!$M$152=2,'Cost Inputs'!$M$152=7)), $E605, ""),"")),""),"")</f>
        <v/>
      </c>
      <c r="Y605" s="93" t="str">
        <f>IF(ISNUMBER($B$537), IF($C605&lt;&gt;"", IF('Cost Inputs'!$L$152="Y", $E605, IF('Cost Inputs'!$L$152="N", IF(AND(ISNUMBER('Cost Inputs'!$M$152), OR('Cost Inputs'!$M$152=2,'Cost Inputs'!$M$152=4,'Cost Inputs'!$M$152=8)), $E605, ""),"")),""),"")</f>
        <v/>
      </c>
      <c r="Z605" s="93" t="str">
        <f>IF(ISNUMBER($B$537), IF($C605&lt;&gt;"", IF('Cost Inputs'!$L$152="Y", $E605, IF('Cost Inputs'!$L$152="N", IF(AND(ISNUMBER('Cost Inputs'!$M$152), OR('Cost Inputs'!$M$152=2,'Cost Inputs'!$M$152=3,'Cost Inputs'!$M$152=9)), $E605, ""),"")),""),"")</f>
        <v/>
      </c>
    </row>
    <row r="606" spans="1:26" x14ac:dyDescent="0.25">
      <c r="A606" s="518"/>
      <c r="B606" s="504"/>
      <c r="C606" s="104" t="str">
        <f>IF(AND(ISNUMBER(B599), OR('Cost Inputs'!$H$153&lt;&gt;"", 'Cost Inputs'!$I$153&lt;&gt;"", 'Cost Inputs'!$J$153&lt;&gt;"")), _5_4_3, "")</f>
        <v/>
      </c>
      <c r="D606" s="17" t="str">
        <f>IF(AND(C606&lt;&gt;"", 'Cost Inputs'!$G$153&lt;&gt;""), 'Cost Inputs'!$G$153, "")</f>
        <v/>
      </c>
      <c r="E606" s="17" t="str">
        <f>IF(AND(C606&lt;&gt;"", 'Cost Inputs'!$H$153&lt;&gt;""), 'Cost Inputs'!$H$153, "")</f>
        <v/>
      </c>
      <c r="F606" s="17" t="str">
        <f>IF(AND(C606&lt;&gt;"", 'Cost Inputs'!$I$153&lt;&gt;""), 'Cost Inputs'!$I$153, "")</f>
        <v/>
      </c>
      <c r="G606" s="105" t="str">
        <f t="shared" si="455"/>
        <v/>
      </c>
      <c r="H606" s="17" t="str">
        <f>IF(AND(C606&lt;&gt;"", 'Cost Inputs'!$J$153&lt;&gt;""), 'Cost Inputs'!$J$153, "")</f>
        <v/>
      </c>
      <c r="I606" s="17" t="str">
        <f t="shared" si="460"/>
        <v/>
      </c>
      <c r="J606" s="17" t="str">
        <f>IF(AND(C606&lt;&gt;"",('Cost Inputs'!$I$153+'Cost Inputs'!$J$153+'Cost Inputs'!$K$153)&gt;0), 'Cost Inputs'!$I$153+'Cost Inputs'!$J$153+'Cost Inputs'!$K$153, "")</f>
        <v/>
      </c>
      <c r="K606" s="17" t="str">
        <f t="shared" si="461"/>
        <v/>
      </c>
      <c r="M606" s="106"/>
      <c r="Q606" s="17" t="str">
        <f>IF(ISNUMBER($B$537), IF($C606&lt;&gt;"", IF('Cost Inputs'!$L$153="Y", $E606, IF('Cost Inputs'!$L$153="N", IF(ISNUMBER('Cost Inputs'!$M$153), $E606, ""),"")),""),"")</f>
        <v/>
      </c>
      <c r="R606" s="17" t="str">
        <f>IF(ISNUMBER($B$537), IF($C606&lt;&gt;"", IF('Cost Inputs'!$L$153="Y", $E606, IF('Cost Inputs'!$L$153="N", "", "")),""),"")</f>
        <v/>
      </c>
      <c r="S606" s="17" t="str">
        <f>IF(ISNUMBER($B$537), IF($C606&lt;&gt;"", IF('Cost Inputs'!$L$153="Y", $E606, IF('Cost Inputs'!$L$153="N", IF(AND(ISNUMBER('Cost Inputs'!$M$153), OR('Cost Inputs'!$M$153=2)), $E606, ""),"")),""),"")</f>
        <v/>
      </c>
      <c r="T606" s="17" t="str">
        <f>IF(ISNUMBER($B$537), IF($C606&lt;&gt;"", IF('Cost Inputs'!$L$153="Y", $E606, IF('Cost Inputs'!$L$153="N", IF(AND(ISNUMBER('Cost Inputs'!$M$153), OR('Cost Inputs'!$M$153=3)), $E606, ""),"")),""),"")</f>
        <v/>
      </c>
      <c r="U606" s="17" t="str">
        <f>IF(ISNUMBER($B$537), IF($C606&lt;&gt;"", IF('Cost Inputs'!$L$153="Y", $E606, IF('Cost Inputs'!$L$153="N", IF(AND(ISNUMBER('Cost Inputs'!$M$153), OR('Cost Inputs'!$M$153=2, 'Cost Inputs'!$M$153=4)), $E606, ""),"")),""),"")</f>
        <v/>
      </c>
      <c r="V606" s="17" t="str">
        <f>IF(ISNUMBER($B$537), IF($C606&lt;&gt;"", IF('Cost Inputs'!$L$153="Y", $E606, IF('Cost Inputs'!$L$153="N", IF(AND(ISNUMBER('Cost Inputs'!$M$153), OR('Cost Inputs'!$M$153=2,'Cost Inputs'!$M$153=5)), $E606, ""),"")),""),"")</f>
        <v/>
      </c>
      <c r="W606" s="17" t="str">
        <f>IF(ISNUMBER($B$537), IF($C606&lt;&gt;"", IF('Cost Inputs'!$L$153="Y", $E606, IF('Cost Inputs'!$L$153="N", IF(AND(ISNUMBER('Cost Inputs'!$M$153), OR('Cost Inputs'!$M$153=2,'Cost Inputs'!$M$153=3,'Cost Inputs'!$M$153=6)), $E606, ""),"")),""),"")</f>
        <v/>
      </c>
      <c r="X606" s="17" t="str">
        <f>IF(ISNUMBER($B$537), IF($C606&lt;&gt;"", IF('Cost Inputs'!$L$153="Y", $E606, IF('Cost Inputs'!$L$153="N", IF(AND(ISNUMBER('Cost Inputs'!$M$153), OR('Cost Inputs'!$M$153=2,'Cost Inputs'!$M$153=7)), $E606, ""),"")),""),"")</f>
        <v/>
      </c>
      <c r="Y606" s="17" t="str">
        <f>IF(ISNUMBER($B$537), IF($C606&lt;&gt;"", IF('Cost Inputs'!$L$153="Y", $E606, IF('Cost Inputs'!$L$153="N", IF(AND(ISNUMBER('Cost Inputs'!$M$153), OR('Cost Inputs'!$M$153=2,'Cost Inputs'!$M$153=4,'Cost Inputs'!$M$153=8)), $E606, ""),"")),""),"")</f>
        <v/>
      </c>
      <c r="Z606" s="17" t="str">
        <f>IF(ISNUMBER($B$537), IF($C606&lt;&gt;"", IF('Cost Inputs'!$L$153="Y", $E606, IF('Cost Inputs'!$L$153="N", IF(AND(ISNUMBER('Cost Inputs'!$M$153), OR('Cost Inputs'!$M$153=2,'Cost Inputs'!$M$153=3,'Cost Inputs'!$M$153=9)), $E606, ""),"")),""),"")</f>
        <v/>
      </c>
    </row>
    <row r="607" spans="1:26" x14ac:dyDescent="0.25">
      <c r="A607" s="518"/>
      <c r="B607" s="504"/>
      <c r="C607" s="107" t="str">
        <f>IF(AND(ISNUMBER(B599), OR('Cost Inputs'!$H$154&lt;&gt;"", 'Cost Inputs'!$I$154&lt;&gt;"", 'Cost Inputs'!$J$154&lt;&gt;"")), _5_4_4, "")</f>
        <v/>
      </c>
      <c r="D607" s="93" t="str">
        <f>IF(AND(C607&lt;&gt;"", 'Cost Inputs'!$G$154&lt;&gt;""), 'Cost Inputs'!$G$154, "")</f>
        <v/>
      </c>
      <c r="E607" s="93" t="str">
        <f>IF(AND(C607&lt;&gt;"", 'Cost Inputs'!$H$154&lt;&gt;""), 'Cost Inputs'!$H$154, "")</f>
        <v/>
      </c>
      <c r="F607" s="93" t="str">
        <f>IF(AND(C607&lt;&gt;"", 'Cost Inputs'!$I$154&lt;&gt;""), 'Cost Inputs'!$I$154, "")</f>
        <v/>
      </c>
      <c r="G607" s="108" t="str">
        <f t="shared" si="455"/>
        <v/>
      </c>
      <c r="H607" s="93" t="str">
        <f>IF(AND(C607&lt;&gt;"", 'Cost Inputs'!$J$154&lt;&gt;""), 'Cost Inputs'!$J$154, "")</f>
        <v/>
      </c>
      <c r="I607" s="93" t="str">
        <f t="shared" si="460"/>
        <v/>
      </c>
      <c r="J607" s="93" t="str">
        <f>IF(AND(C607&lt;&gt;"",('Cost Inputs'!$I$154+'Cost Inputs'!$J$154+'Cost Inputs'!$K$154)&gt;0), 'Cost Inputs'!$I$154+'Cost Inputs'!$J$154+'Cost Inputs'!$K$154, "")</f>
        <v/>
      </c>
      <c r="K607" s="93" t="str">
        <f t="shared" si="461"/>
        <v/>
      </c>
      <c r="L607" s="93"/>
      <c r="M607" s="109"/>
      <c r="Q607" s="93" t="str">
        <f>IF(ISNUMBER($B$537), IF($C607&lt;&gt;"", IF('Cost Inputs'!$L$154="Y", $E607, IF('Cost Inputs'!$L$154="N", IF(ISNUMBER('Cost Inputs'!$M$154), $E607, ""),"")),""),"")</f>
        <v/>
      </c>
      <c r="R607" s="93" t="str">
        <f>IF(ISNUMBER($B$537), IF($C607&lt;&gt;"", IF('Cost Inputs'!$L$154="Y", $E607, IF('Cost Inputs'!$L$154="N", "", "")),""),"")</f>
        <v/>
      </c>
      <c r="S607" s="93" t="str">
        <f>IF(ISNUMBER($B$537), IF($C607&lt;&gt;"", IF('Cost Inputs'!$L$154="Y", $E607, IF('Cost Inputs'!$L$154="N", IF(AND(ISNUMBER('Cost Inputs'!$M$154), OR('Cost Inputs'!$M$154=2)), $E607, ""),"")),""),"")</f>
        <v/>
      </c>
      <c r="T607" s="93" t="str">
        <f>IF(ISNUMBER($B$537), IF($C607&lt;&gt;"", IF('Cost Inputs'!$L$154="Y", $E607, IF('Cost Inputs'!$L$154="N", IF(AND(ISNUMBER('Cost Inputs'!$M$154), OR('Cost Inputs'!$M$154=3)), $E607, ""),"")),""),"")</f>
        <v/>
      </c>
      <c r="U607" s="93" t="str">
        <f>IF(ISNUMBER($B$537), IF($C607&lt;&gt;"", IF('Cost Inputs'!$L$154="Y", $E607, IF('Cost Inputs'!$L$154="N", IF(AND(ISNUMBER('Cost Inputs'!$M$154), OR('Cost Inputs'!$M$154=2, 'Cost Inputs'!$M$154=4)), $E607, ""),"")),""),"")</f>
        <v/>
      </c>
      <c r="V607" s="93" t="str">
        <f>IF(ISNUMBER($B$537), IF($C607&lt;&gt;"", IF('Cost Inputs'!$L$154="Y", $E607, IF('Cost Inputs'!$L$154="N", IF(AND(ISNUMBER('Cost Inputs'!$M$154), OR('Cost Inputs'!$M$154=2,'Cost Inputs'!$M$154=5)), $E607, ""),"")),""),"")</f>
        <v/>
      </c>
      <c r="W607" s="93" t="str">
        <f>IF(ISNUMBER($B$537), IF($C607&lt;&gt;"", IF('Cost Inputs'!$L$154="Y", $E607, IF('Cost Inputs'!$L$154="N", IF(AND(ISNUMBER('Cost Inputs'!$M$154), OR('Cost Inputs'!$M$154=2,'Cost Inputs'!$M$154=3,'Cost Inputs'!$M$154=6)), $E607, ""),"")),""),"")</f>
        <v/>
      </c>
      <c r="X607" s="93" t="str">
        <f>IF(ISNUMBER($B$537), IF($C607&lt;&gt;"", IF('Cost Inputs'!$L$154="Y", $E607, IF('Cost Inputs'!$L$154="N", IF(AND(ISNUMBER('Cost Inputs'!$M$154), OR('Cost Inputs'!$M$154=2,'Cost Inputs'!$M$154=7)), $E607, ""),"")),""),"")</f>
        <v/>
      </c>
      <c r="Y607" s="93" t="str">
        <f>IF(ISNUMBER($B$537), IF($C607&lt;&gt;"", IF('Cost Inputs'!$L$154="Y", $E607, IF('Cost Inputs'!$L$154="N", IF(AND(ISNUMBER('Cost Inputs'!$M$154), OR('Cost Inputs'!$M$154=2,'Cost Inputs'!$M$154=4,'Cost Inputs'!$M$154=8)), $E607, ""),"")),""),"")</f>
        <v/>
      </c>
      <c r="Z607" s="93" t="str">
        <f>IF(ISNUMBER($B$537), IF($C607&lt;&gt;"", IF('Cost Inputs'!$L$154="Y", $E607, IF('Cost Inputs'!$L$154="N", IF(AND(ISNUMBER('Cost Inputs'!$M$154), OR('Cost Inputs'!$M$154=2,'Cost Inputs'!$M$154=3,'Cost Inputs'!$M$154=9)), $E607, ""),"")),""),"")</f>
        <v/>
      </c>
    </row>
    <row r="608" spans="1:26" x14ac:dyDescent="0.25">
      <c r="A608" s="518"/>
      <c r="B608" s="504"/>
      <c r="C608" s="104" t="str">
        <f>IF(AND(ISNUMBER(B599), OR('Cost Inputs'!$H$155&lt;&gt;"", 'Cost Inputs'!$I$155&lt;&gt;"", 'Cost Inputs'!$J$155&lt;&gt;"")), _5_4_5, "")</f>
        <v/>
      </c>
      <c r="D608" s="17" t="str">
        <f>IF(AND(C608&lt;&gt;"", 'Cost Inputs'!$G$155&lt;&gt;""), 'Cost Inputs'!$G$155, "")</f>
        <v/>
      </c>
      <c r="E608" s="17" t="str">
        <f>IF(AND(C608&lt;&gt;"", 'Cost Inputs'!$H$155&lt;&gt;""), 'Cost Inputs'!$H$155, "")</f>
        <v/>
      </c>
      <c r="F608" s="17" t="str">
        <f>IF(AND(C608&lt;&gt;"", 'Cost Inputs'!$I$155&lt;&gt;""), 'Cost Inputs'!$I$155, "")</f>
        <v/>
      </c>
      <c r="G608" s="105" t="str">
        <f t="shared" si="455"/>
        <v/>
      </c>
      <c r="H608" s="17" t="str">
        <f>IF(AND(C608&lt;&gt;"", 'Cost Inputs'!$J$155&lt;&gt;""), 'Cost Inputs'!$J$155, "")</f>
        <v/>
      </c>
      <c r="I608" s="17" t="str">
        <f t="shared" si="460"/>
        <v/>
      </c>
      <c r="J608" s="17" t="str">
        <f>IF(AND(C608&lt;&gt;"",('Cost Inputs'!$I$155+'Cost Inputs'!$J$155+'Cost Inputs'!$K$155)&gt;0), 'Cost Inputs'!$I$155+'Cost Inputs'!$J$155+'Cost Inputs'!$K$155, "")</f>
        <v/>
      </c>
      <c r="K608" s="17" t="str">
        <f t="shared" si="461"/>
        <v/>
      </c>
      <c r="M608" s="106"/>
      <c r="Q608" s="17" t="str">
        <f>IF(ISNUMBER($B$537), IF($C608&lt;&gt;"", IF('Cost Inputs'!$L$155="Y", $E608, IF('Cost Inputs'!$L$155="N", IF(ISNUMBER('Cost Inputs'!$M$155), $E608, ""),"")),""),"")</f>
        <v/>
      </c>
      <c r="R608" s="17" t="str">
        <f>IF(ISNUMBER($B$537), IF($C608&lt;&gt;"", IF('Cost Inputs'!$L$155="Y", $E608, IF('Cost Inputs'!$L$155="N", "", "")),""),"")</f>
        <v/>
      </c>
      <c r="S608" s="17" t="str">
        <f>IF(ISNUMBER($B$537), IF($C608&lt;&gt;"", IF('Cost Inputs'!$L$155="Y", $E608, IF('Cost Inputs'!$L$155="N", IF(AND(ISNUMBER('Cost Inputs'!$M$155), OR('Cost Inputs'!$M$155=2)), $E608, ""),"")),""),"")</f>
        <v/>
      </c>
      <c r="T608" s="17" t="str">
        <f>IF(ISNUMBER($B$537), IF($C608&lt;&gt;"", IF('Cost Inputs'!$L$155="Y", $E608, IF('Cost Inputs'!$L$155="N", IF(AND(ISNUMBER('Cost Inputs'!$M$155), OR('Cost Inputs'!$M$155=3)), $E608, ""),"")),""),"")</f>
        <v/>
      </c>
      <c r="U608" s="17" t="str">
        <f>IF(ISNUMBER($B$537), IF($C608&lt;&gt;"", IF('Cost Inputs'!$L$155="Y", $E608, IF('Cost Inputs'!$L$155="N", IF(AND(ISNUMBER('Cost Inputs'!$M$155), OR('Cost Inputs'!$M$155=2, 'Cost Inputs'!$M$155=4)), $E608, ""),"")),""),"")</f>
        <v/>
      </c>
      <c r="V608" s="17" t="str">
        <f>IF(ISNUMBER($B$537), IF($C608&lt;&gt;"", IF('Cost Inputs'!$L$155="Y", $E608, IF('Cost Inputs'!$L$155="N", IF(AND(ISNUMBER('Cost Inputs'!$M$155), OR('Cost Inputs'!$M$155=2,'Cost Inputs'!$M$155=5)), $E608, ""),"")),""),"")</f>
        <v/>
      </c>
      <c r="W608" s="17" t="str">
        <f>IF(ISNUMBER($B$537), IF($C608&lt;&gt;"", IF('Cost Inputs'!$L$155="Y", $E608, IF('Cost Inputs'!$L$155="N", IF(AND(ISNUMBER('Cost Inputs'!$M$155), OR('Cost Inputs'!$M$155=2,'Cost Inputs'!$M$155=3,'Cost Inputs'!$M$155=6)), $E608, ""),"")),""),"")</f>
        <v/>
      </c>
      <c r="X608" s="17" t="str">
        <f>IF(ISNUMBER($B$537), IF($C608&lt;&gt;"", IF('Cost Inputs'!$L$155="Y", $E608, IF('Cost Inputs'!$L$155="N", IF(AND(ISNUMBER('Cost Inputs'!$M$155), OR('Cost Inputs'!$M$155=2,'Cost Inputs'!$M$155=7)), $E608, ""),"")),""),"")</f>
        <v/>
      </c>
      <c r="Y608" s="17" t="str">
        <f>IF(ISNUMBER($B$537), IF($C608&lt;&gt;"", IF('Cost Inputs'!$L$155="Y", $E608, IF('Cost Inputs'!$L$155="N", IF(AND(ISNUMBER('Cost Inputs'!$M$155), OR('Cost Inputs'!$M$155=2,'Cost Inputs'!$M$155=4,'Cost Inputs'!$M$155=8)), $E608, ""),"")),""),"")</f>
        <v/>
      </c>
      <c r="Z608" s="17" t="str">
        <f>IF(ISNUMBER($B$537), IF($C608&lt;&gt;"", IF('Cost Inputs'!$L$155="Y", $E608, IF('Cost Inputs'!$L$155="N", IF(AND(ISNUMBER('Cost Inputs'!$M$155), OR('Cost Inputs'!$M$155=2,'Cost Inputs'!$M$155=3,'Cost Inputs'!$M$155=9)), $E608, ""),"")),""),"")</f>
        <v/>
      </c>
    </row>
    <row r="609" spans="1:27" x14ac:dyDescent="0.25">
      <c r="A609" s="518"/>
      <c r="B609" s="504"/>
      <c r="C609" s="107" t="str">
        <f>IF(AND(ISNUMBER(B599), OR('Cost Inputs'!$H$156&lt;&gt;"", 'Cost Inputs'!$I$156&lt;&gt;"", 'Cost Inputs'!$J$156&lt;&gt;"")), _5_4_6, "")</f>
        <v/>
      </c>
      <c r="D609" s="93" t="str">
        <f>IF(AND(C609&lt;&gt;"", 'Cost Inputs'!$G$156&lt;&gt;""), 'Cost Inputs'!$G$156, "")</f>
        <v/>
      </c>
      <c r="E609" s="93" t="str">
        <f>IF(AND(C609&lt;&gt;"", 'Cost Inputs'!$H$156&lt;&gt;""), 'Cost Inputs'!$H$156, "")</f>
        <v/>
      </c>
      <c r="F609" s="93" t="str">
        <f>IF(AND(C609&lt;&gt;"", 'Cost Inputs'!$I$156&lt;&gt;""), 'Cost Inputs'!$I$156, "")</f>
        <v/>
      </c>
      <c r="G609" s="108" t="str">
        <f t="shared" si="455"/>
        <v/>
      </c>
      <c r="H609" s="93" t="str">
        <f>IF(AND(C609&lt;&gt;"", 'Cost Inputs'!$J$156&lt;&gt;""), 'Cost Inputs'!$J$16, "")</f>
        <v/>
      </c>
      <c r="I609" s="93" t="str">
        <f t="shared" si="460"/>
        <v/>
      </c>
      <c r="J609" s="93" t="str">
        <f>IF(AND(C609&lt;&gt;"",('Cost Inputs'!$I$156+'Cost Inputs'!$J$156+'Cost Inputs'!$K$156)&gt;0), 'Cost Inputs'!$I$156+'Cost Inputs'!$J$156+'Cost Inputs'!$K$156, "")</f>
        <v/>
      </c>
      <c r="K609" s="93" t="str">
        <f t="shared" si="461"/>
        <v/>
      </c>
      <c r="L609" s="93"/>
      <c r="M609" s="109"/>
      <c r="Q609" s="93" t="str">
        <f>IF(ISNUMBER($B$537), IF($C609&lt;&gt;"", IF('Cost Inputs'!$L$156="Y", $E609, IF('Cost Inputs'!$L$156="N", IF(ISNUMBER('Cost Inputs'!$M$156), $E609, ""),"")),""),"")</f>
        <v/>
      </c>
      <c r="R609" s="93" t="str">
        <f>IF(ISNUMBER($B$537), IF($C609&lt;&gt;"", IF('Cost Inputs'!$L$156="Y", $E609, IF('Cost Inputs'!$L$156="N", "", "")),""),"")</f>
        <v/>
      </c>
      <c r="S609" s="93" t="str">
        <f>IF(ISNUMBER($B$537), IF($C609&lt;&gt;"", IF('Cost Inputs'!$L$156="Y", $E609, IF('Cost Inputs'!$L$156="N", IF(AND(ISNUMBER('Cost Inputs'!$M$156), OR('Cost Inputs'!$M$156=2)), $E609, ""),"")),""),"")</f>
        <v/>
      </c>
      <c r="T609" s="93" t="str">
        <f>IF(ISNUMBER($B$537), IF($C609&lt;&gt;"", IF('Cost Inputs'!$L$156="Y", $E609, IF('Cost Inputs'!$L$156="N", IF(AND(ISNUMBER('Cost Inputs'!$M$156), OR('Cost Inputs'!$M$156=3)), $E609, ""),"")),""),"")</f>
        <v/>
      </c>
      <c r="U609" s="93" t="str">
        <f>IF(ISNUMBER($B$537), IF($C609&lt;&gt;"", IF('Cost Inputs'!$L$156="Y", $E609, IF('Cost Inputs'!$L$156="N", IF(AND(ISNUMBER('Cost Inputs'!$M$156), OR('Cost Inputs'!$M$156=2, 'Cost Inputs'!$M$156=4)), $E609, ""),"")),""),"")</f>
        <v/>
      </c>
      <c r="V609" s="93" t="str">
        <f>IF(ISNUMBER($B$537), IF($C609&lt;&gt;"", IF('Cost Inputs'!$L$156="Y", $E609, IF('Cost Inputs'!$L$156="N", IF(AND(ISNUMBER('Cost Inputs'!$M$156), OR('Cost Inputs'!$M$156=2,'Cost Inputs'!$M$156=5)), $E609, ""),"")),""),"")</f>
        <v/>
      </c>
      <c r="W609" s="93" t="str">
        <f>IF(ISNUMBER($B$537), IF($C609&lt;&gt;"", IF('Cost Inputs'!$L$156="Y", $E609, IF('Cost Inputs'!$L$156="N", IF(AND(ISNUMBER('Cost Inputs'!$M$156), OR('Cost Inputs'!$M$156=2,'Cost Inputs'!$M$156=3,'Cost Inputs'!$M$156=6)), $E609, ""),"")),""),"")</f>
        <v/>
      </c>
      <c r="X609" s="93" t="str">
        <f>IF(ISNUMBER($B$537), IF($C609&lt;&gt;"", IF('Cost Inputs'!$L$156="Y", $E609, IF('Cost Inputs'!$L$156="N", IF(AND(ISNUMBER('Cost Inputs'!$M$156), OR('Cost Inputs'!$M$156=2,'Cost Inputs'!$M$156=7)), $E609, ""),"")),""),"")</f>
        <v/>
      </c>
      <c r="Y609" s="93" t="str">
        <f>IF(ISNUMBER($B$537), IF($C609&lt;&gt;"", IF('Cost Inputs'!$L$156="Y", $E609, IF('Cost Inputs'!$L$156="N", IF(AND(ISNUMBER('Cost Inputs'!$M$156), OR('Cost Inputs'!$M$156=2,'Cost Inputs'!$M$156=4,'Cost Inputs'!$M$156=8)), $E609, ""),"")),""),"")</f>
        <v/>
      </c>
      <c r="Z609" s="93" t="str">
        <f>IF(ISNUMBER($B$537), IF($C609&lt;&gt;"", IF('Cost Inputs'!$L$156="Y", $E609, IF('Cost Inputs'!$L$156="N", IF(AND(ISNUMBER('Cost Inputs'!$M$156), OR('Cost Inputs'!$M$156=2,'Cost Inputs'!$M$156=3,'Cost Inputs'!$M$156=9)), $E609, ""),"")),""),"")</f>
        <v/>
      </c>
    </row>
    <row r="610" spans="1:27" x14ac:dyDescent="0.25">
      <c r="A610" s="518"/>
      <c r="B610" s="504"/>
      <c r="C610" s="521" t="str">
        <f>IF(AND(B599&lt;&gt;"",ISNUMBER(B599),ISNUMBER(Stage3EvaluationBegins)),IF((INDEX(ProgramYearStage3,MATCH(Stage3EvaluationBegins,Years_in_Stage3,0)))=B599,_5_5_0,IF(AND(B599&lt;&gt;"",C588&lt;&gt;""),_5_5_0,IF(AND(B599&lt;&gt;"",ISNUMBER(B599),OR(Stage3EvaluationBegins=0,Stage3EvaluationBegins="")),"",""))),"")</f>
        <v/>
      </c>
      <c r="D610" s="94" t="str">
        <f>IF(AND(C610&lt;&gt;"", 'Cost Inputs'!$G$157&lt;&gt;""), 'Cost Inputs'!$G$157, "")</f>
        <v/>
      </c>
      <c r="E610" s="94" t="str">
        <f>IF(AND(C610&lt;&gt;"", 'Cost Inputs'!$H$157&lt;&gt;""), 'Cost Inputs'!$H$157, "")</f>
        <v/>
      </c>
      <c r="F610" s="492" t="str">
        <f>IF(AND(C610&lt;&gt;"", 'Cost Inputs'!$I$157&lt;&gt;""), 'Cost Inputs'!$I$157, "")</f>
        <v/>
      </c>
      <c r="G610" s="102" t="str">
        <f t="shared" si="455"/>
        <v/>
      </c>
      <c r="H610" s="492" t="str">
        <f>IF(AND(C610&lt;&gt;"", 'Cost Inputs'!$J$157&lt;&gt;""), 'Cost Inputs'!$J$157, "")</f>
        <v/>
      </c>
      <c r="I610" s="102" t="str">
        <f>IF($C610&lt;&gt;"",IF(AND($E610&lt;&gt;"",H610&lt;&gt;""), H610/$E610, 0),"")</f>
        <v/>
      </c>
      <c r="J610" s="492" t="str">
        <f>IF(AND(C610&lt;&gt;"",('Cost Inputs'!$I$157+'Cost Inputs'!$J$157+'Cost Inputs'!$K$157)&gt;0), 'Cost Inputs'!$I$157+'Cost Inputs'!$J$157+'Cost Inputs'!$K$157, "")</f>
        <v/>
      </c>
      <c r="K610" s="102" t="str">
        <f>IF($C610&lt;&gt;"",IF(AND($E610&lt;&gt;"",J610&lt;&gt;""), J610/$E610, 0),"")</f>
        <v/>
      </c>
      <c r="L610" s="94"/>
      <c r="M610" s="103"/>
      <c r="Q610" s="492" t="str">
        <f>IF(ISNUMBER($B$537), IF($C610&lt;&gt;"", IF('Cost Inputs'!$L$157="Y", $E610, IF('Cost Inputs'!$L$157="N", IF(ISNUMBER('Cost Inputs'!$M$157), $E610, ""),"")),""),"")</f>
        <v/>
      </c>
      <c r="R610" s="492" t="str">
        <f>IF(ISNUMBER($B$537), IF($C610&lt;&gt;"", IF('Cost Inputs'!$L$157="Y", $E610, IF('Cost Inputs'!$L$157="N", "", "")),""),"")</f>
        <v/>
      </c>
      <c r="S610" s="492" t="str">
        <f>IF(ISNUMBER($B$537), IF($C610&lt;&gt;"", IF('Cost Inputs'!$L$157="Y", $E610, IF('Cost Inputs'!$L$157="N", IF(AND(ISNUMBER('Cost Inputs'!$M$157), OR('Cost Inputs'!$M$157=2)), $E610, ""),"")),""),"")</f>
        <v/>
      </c>
      <c r="T610" s="492" t="str">
        <f>IF(ISNUMBER($B$537), IF($C610&lt;&gt;"", IF('Cost Inputs'!$L$157="Y", $E610, IF('Cost Inputs'!$L$157="N", IF(AND(ISNUMBER('Cost Inputs'!$M$157), OR('Cost Inputs'!$M$157=3)), $E610, ""),"")),""),"")</f>
        <v/>
      </c>
      <c r="U610" s="492" t="str">
        <f>IF(ISNUMBER($B$537), IF($C610&lt;&gt;"", IF('Cost Inputs'!$L$157="Y", $E610, IF('Cost Inputs'!$L$157="N", IF(AND(ISNUMBER('Cost Inputs'!$M$157), OR('Cost Inputs'!$M$157=2, 'Cost Inputs'!$M$157=4)), $E610, ""),"")),""),"")</f>
        <v/>
      </c>
      <c r="V610" s="492" t="str">
        <f>IF(ISNUMBER($B$537), IF($C610&lt;&gt;"", IF('Cost Inputs'!$L$157="Y", $E610, IF('Cost Inputs'!$L$157="N", IF(AND(ISNUMBER('Cost Inputs'!$M$157), OR('Cost Inputs'!$M$157=2,'Cost Inputs'!$M$157=5)), $E610, ""),"")),""),"")</f>
        <v/>
      </c>
      <c r="W610" s="492" t="str">
        <f>IF(ISNUMBER($B$537), IF($C610&lt;&gt;"", IF('Cost Inputs'!$L$157="Y", $E610, IF('Cost Inputs'!$L$157="N", IF(AND(ISNUMBER('Cost Inputs'!$M$157), OR('Cost Inputs'!$M$157=2,'Cost Inputs'!$M$157=3,'Cost Inputs'!$M$157=6)), $E610, ""),"")),""),"")</f>
        <v/>
      </c>
      <c r="X610" s="492" t="str">
        <f>IF(ISNUMBER($B$537), IF($C610&lt;&gt;"", IF('Cost Inputs'!$L$157="Y", $E610, IF('Cost Inputs'!$L$157="N", IF(AND(ISNUMBER('Cost Inputs'!$M$157), OR('Cost Inputs'!$M$157=2,'Cost Inputs'!$M$157=7)), $E610, ""),"")),""),"")</f>
        <v/>
      </c>
      <c r="Y610" s="492" t="str">
        <f>IF(ISNUMBER($B$537), IF($C610&lt;&gt;"", IF('Cost Inputs'!$L$157="Y", $E610, IF('Cost Inputs'!$L$157="N", IF(AND(ISNUMBER('Cost Inputs'!$M$157), OR('Cost Inputs'!$M$157=2,'Cost Inputs'!$M$157=4,'Cost Inputs'!$M$157=8)), $E610, ""),"")),""),"")</f>
        <v/>
      </c>
      <c r="Z610" s="492" t="str">
        <f>IF(ISNUMBER($B$537), IF($C610&lt;&gt;"", IF('Cost Inputs'!$L$157="Y", $E610, IF('Cost Inputs'!$L$157="N", IF(AND(ISNUMBER('Cost Inputs'!$M$157), OR('Cost Inputs'!$M$157=2,'Cost Inputs'!$M$157=3,'Cost Inputs'!$M$157=9)), $E610, ""),"")),""),"")</f>
        <v/>
      </c>
    </row>
    <row r="611" spans="1:27" x14ac:dyDescent="0.25">
      <c r="A611" s="518"/>
      <c r="B611" s="504"/>
      <c r="C611" s="521"/>
      <c r="D611" s="94" t="str">
        <f>IF(AND(C610&lt;&gt;"", 'Cost Inputs'!$G$158&lt;&gt;""), 'Cost Inputs'!$G$158, "")</f>
        <v/>
      </c>
      <c r="E611" s="94" t="str">
        <f>IF(AND(C610&lt;&gt;"", 'Cost Inputs'!$H$158&lt;&gt;""), 'Cost Inputs'!$H$158, "")</f>
        <v/>
      </c>
      <c r="F611" s="492"/>
      <c r="G611" s="102" t="str">
        <f t="shared" ref="G611:G674" si="462">IF(AND($E611&lt;&gt;"", $E611&gt;0, F611&lt;&gt;""), F611/$E611, "")</f>
        <v/>
      </c>
      <c r="H611" s="492"/>
      <c r="I611" s="102" t="str">
        <f>IF($C610&lt;&gt;"", IF(AND($E611&lt;&gt;"", H610&lt;&gt;""), H610/($E610*$E611), 0), "")</f>
        <v/>
      </c>
      <c r="J611" s="492" t="str">
        <f>IF(AND(C611&lt;&gt;"",('Cost Inputs'!$I$86+'Cost Inputs'!$J$86+'Cost Inputs'!$K$86)&gt;0), 'Cost Inputs'!$I$86+'Cost Inputs'!$J$86+'Cost Inputs'!$K$86, "")</f>
        <v/>
      </c>
      <c r="K611" s="102" t="str">
        <f>IF($C610&lt;&gt;"", IF(AND($E611&lt;&gt;"", J610&lt;&gt;""), J610/($E610*$E611), 0), "")</f>
        <v/>
      </c>
      <c r="L611" s="94"/>
      <c r="M611" s="103"/>
      <c r="Q611" s="492" t="str">
        <f>IF(ISNUMBER($B$537), IF($C611&lt;&gt;"", IF('Cost Inputs'!$L202="Y", $E611, IF('Cost Inputs'!$L202="N", IF(ISNUMBER('Cost Inputs'!$M202), $E611, ""),"")),""),"")</f>
        <v/>
      </c>
      <c r="R611" s="492" t="str">
        <f>IF(ISNUMBER($B$537), IF($C611&lt;&gt;"", IF('Cost Inputs'!$L202="Y", $E611, IF('Cost Inputs'!$L202="N", "", "")),""),"")</f>
        <v/>
      </c>
      <c r="S611" s="492" t="str">
        <f>IF(ISNUMBER($B$537), IF($C611&lt;&gt;"", IF('Cost Inputs'!$L202="Y", $E611, IF('Cost Inputs'!$L202="N", IF(AND(ISNUMBER('Cost Inputs'!$M202), OR('Cost Inputs'!$M202=2)), $E611, ""),"")),""),"")</f>
        <v/>
      </c>
      <c r="T611" s="492" t="str">
        <f>IF(ISNUMBER($B$537), IF($C611&lt;&gt;"", IF('Cost Inputs'!$L202="Y", $E611, IF('Cost Inputs'!$L202="N", IF(AND(ISNUMBER('Cost Inputs'!$M202), OR('Cost Inputs'!$M202=3)), $E611, ""),"")),""),"")</f>
        <v/>
      </c>
      <c r="U611" s="492" t="str">
        <f>IF(ISNUMBER($B$537), IF($C611&lt;&gt;"", IF('Cost Inputs'!$L202="Y", $E611, IF('Cost Inputs'!$L202="N", IF(AND(ISNUMBER('Cost Inputs'!$M202), OR('Cost Inputs'!$M202=2, 'Cost Inputs'!$M202=4)), $E611, ""),"")),""),"")</f>
        <v/>
      </c>
      <c r="V611" s="492" t="str">
        <f>IF(ISNUMBER($B$537), IF($C611&lt;&gt;"", IF('Cost Inputs'!$L202="Y", $E611, IF('Cost Inputs'!$L202="N", IF(AND(ISNUMBER('Cost Inputs'!$M202), OR('Cost Inputs'!$M202=2,'Cost Inputs'!$M202=5)), $E611, ""),"")),""),"")</f>
        <v/>
      </c>
      <c r="W611" s="492" t="str">
        <f>IF(ISNUMBER($B$537), IF($C611&lt;&gt;"", IF('Cost Inputs'!$L202="Y", $E611, IF('Cost Inputs'!$L202="N", IF(AND(ISNUMBER('Cost Inputs'!$M202), OR('Cost Inputs'!$M202=2,'Cost Inputs'!$M202=3,'Cost Inputs'!$M202=6)), $E611, ""),"")),""),"")</f>
        <v/>
      </c>
      <c r="X611" s="492" t="str">
        <f>IF(ISNUMBER($B$537), IF($C611&lt;&gt;"", IF('Cost Inputs'!$L202="Y", $E611, IF('Cost Inputs'!$L202="N", IF(AND(ISNUMBER('Cost Inputs'!$M202), OR('Cost Inputs'!$M202=2,'Cost Inputs'!$M202=7)), $E611, ""),"")),""),"")</f>
        <v/>
      </c>
      <c r="Y611" s="492" t="str">
        <f>IF(ISNUMBER($B$537), IF($C611&lt;&gt;"", IF('Cost Inputs'!$L202="Y", $E611, IF('Cost Inputs'!$L202="N", IF(AND(ISNUMBER('Cost Inputs'!$M202), OR('Cost Inputs'!$M202=2,'Cost Inputs'!$M202=4,'Cost Inputs'!$M202=8)), $E611, ""),"")),""),"")</f>
        <v/>
      </c>
      <c r="Z611" s="492" t="str">
        <f>IF(ISNUMBER($B$537), IF($C611&lt;&gt;"", IF('Cost Inputs'!$L202="Y", $E611, IF('Cost Inputs'!$L202="N", IF(AND(ISNUMBER('Cost Inputs'!$M202), OR('Cost Inputs'!$M202=2,'Cost Inputs'!$M202=3,'Cost Inputs'!$M202=9)), $E611, ""),"")),""),"")</f>
        <v/>
      </c>
    </row>
    <row r="612" spans="1:27" x14ac:dyDescent="0.25">
      <c r="A612" s="518"/>
      <c r="B612" s="504"/>
      <c r="C612" s="376" t="str">
        <f>IF(AND(ISNUMBER(B599), C610&lt;&gt;"", OR('Cost Inputs'!$H$159&lt;&gt;"", 'Cost Inputs'!$I$159&lt;&gt;"", 'Cost Inputs'!$J$159&lt;&gt;"")), _5_5_1, "")</f>
        <v/>
      </c>
      <c r="D612" s="17" t="str">
        <f>IF(AND(C612&lt;&gt;"", 'Cost Inputs'!$G$159&lt;&gt;""), 'Cost Inputs'!$G$159, "")</f>
        <v/>
      </c>
      <c r="E612" s="17" t="str">
        <f>IF(AND(C612&lt;&gt;"", 'Cost Inputs'!$H$159&lt;&gt;""), 'Cost Inputs'!$H$159, "")</f>
        <v/>
      </c>
      <c r="F612" s="493" t="str">
        <f>IF(AND(C612&lt;&gt;"", 'Cost Inputs'!$I$159&lt;&gt;""), 'Cost Inputs'!$I$159, "")</f>
        <v/>
      </c>
      <c r="G612" s="105" t="str">
        <f t="shared" si="462"/>
        <v/>
      </c>
      <c r="H612" s="493" t="str">
        <f>IF(AND(C612&lt;&gt;"", 'Cost Inputs'!$J$159&lt;&gt;""), 'Cost Inputs'!$J$159, "")</f>
        <v/>
      </c>
      <c r="I612" s="105" t="str">
        <f>IF($C612&lt;&gt;"",IF(AND($E612&lt;&gt;"",H612&lt;&gt;""), H612/$E612, 0),"")</f>
        <v/>
      </c>
      <c r="J612" s="493" t="str">
        <f>IF(AND(C612&lt;&gt;"",('Cost Inputs'!$I$159+'Cost Inputs'!$J$159+'Cost Inputs'!$K$159)&gt;0), 'Cost Inputs'!$I$159+'Cost Inputs'!$J$159+'Cost Inputs'!$K$159, "")</f>
        <v/>
      </c>
      <c r="K612" s="105" t="str">
        <f>IF($C612&lt;&gt;"",IF(AND($E612&lt;&gt;"",J612&lt;&gt;""), J612/$E612, 0),"")</f>
        <v/>
      </c>
      <c r="M612" s="106"/>
      <c r="Q612" s="493" t="str">
        <f>IF(ISNUMBER($B$537), IF($C612&lt;&gt;"", IF('Cost Inputs'!$L$159="Y", $E612, IF('Cost Inputs'!$L$159="N", IF(ISNUMBER('Cost Inputs'!$M$159), $E612, ""),"")),""),"")</f>
        <v/>
      </c>
      <c r="R612" s="493" t="str">
        <f>IF(ISNUMBER($B$537), IF($C612&lt;&gt;"", IF('Cost Inputs'!$L$159="Y", $E612, IF('Cost Inputs'!$L$159="N", "", "")),""),"")</f>
        <v/>
      </c>
      <c r="S612" s="493" t="str">
        <f>IF(ISNUMBER($B$537), IF($C612&lt;&gt;"", IF('Cost Inputs'!$L$159="Y", $E612, IF('Cost Inputs'!$L$159="N", IF(AND(ISNUMBER('Cost Inputs'!$M$159), OR('Cost Inputs'!$M$159=2)), $E612, ""),"")),""),"")</f>
        <v/>
      </c>
      <c r="T612" s="493" t="str">
        <f>IF(ISNUMBER($B$537), IF($C612&lt;&gt;"", IF('Cost Inputs'!$L$159="Y", $E612, IF('Cost Inputs'!$L$159="N", IF(AND(ISNUMBER('Cost Inputs'!$M$159), OR('Cost Inputs'!$M$159=3)), $E612, ""),"")),""),"")</f>
        <v/>
      </c>
      <c r="U612" s="493" t="str">
        <f>IF(ISNUMBER($B$537), IF($C612&lt;&gt;"", IF('Cost Inputs'!$L$159="Y", $E612, IF('Cost Inputs'!$L$159="N", IF(AND(ISNUMBER('Cost Inputs'!$M$159), OR('Cost Inputs'!$M$159=2, 'Cost Inputs'!$M$159=4)), $E612, ""),"")),""),"")</f>
        <v/>
      </c>
      <c r="V612" s="493" t="str">
        <f>IF(ISNUMBER($B$537), IF($C612&lt;&gt;"", IF('Cost Inputs'!$L$159="Y", $E612, IF('Cost Inputs'!$L$159="N", IF(AND(ISNUMBER('Cost Inputs'!$M$159), OR('Cost Inputs'!$M$159=2,'Cost Inputs'!$M$159=5)), $E612, ""),"")),""),"")</f>
        <v/>
      </c>
      <c r="W612" s="493" t="str">
        <f>IF(ISNUMBER($B$537), IF($C612&lt;&gt;"", IF('Cost Inputs'!$L$159="Y", $E612, IF('Cost Inputs'!$L$159="N", IF(AND(ISNUMBER('Cost Inputs'!$M$159), OR('Cost Inputs'!$M$159=2,'Cost Inputs'!$M$159=3,'Cost Inputs'!$M$159=6)), $E612, ""),"")),""),"")</f>
        <v/>
      </c>
      <c r="X612" s="493" t="str">
        <f>IF(ISNUMBER($B$537), IF($C612&lt;&gt;"", IF('Cost Inputs'!$L$159="Y", $E612, IF('Cost Inputs'!$L$159="N", IF(AND(ISNUMBER('Cost Inputs'!$M$159), OR('Cost Inputs'!$M$159=2,'Cost Inputs'!$M$159=7)), $E612, ""),"")),""),"")</f>
        <v/>
      </c>
      <c r="Y612" s="493" t="str">
        <f>IF(ISNUMBER($B$537), IF($C612&lt;&gt;"", IF('Cost Inputs'!$L$159="Y", $E612, IF('Cost Inputs'!$L$159="N", IF(AND(ISNUMBER('Cost Inputs'!$M$159), OR('Cost Inputs'!$M$159=2,'Cost Inputs'!$M$159=4,'Cost Inputs'!$M$159=8)), $E612, ""),"")),""),"")</f>
        <v/>
      </c>
      <c r="Z612" s="493" t="str">
        <f>IF(ISNUMBER($B$537), IF($C612&lt;&gt;"", IF('Cost Inputs'!$L$159="Y", $E612, IF('Cost Inputs'!$L$159="N", IF(AND(ISNUMBER('Cost Inputs'!$M$159), OR('Cost Inputs'!$M$159=2,'Cost Inputs'!$M$159=3,'Cost Inputs'!$M$159=9)), $E612, ""),"")),""),"")</f>
        <v/>
      </c>
    </row>
    <row r="613" spans="1:27" x14ac:dyDescent="0.25">
      <c r="A613" s="518"/>
      <c r="B613" s="504"/>
      <c r="C613" s="376" t="str">
        <f>IF(AND(ISNUMBER(B595), OR('Cost Inputs'!$H$85&lt;&gt;"", 'Cost Inputs'!$I$85&lt;&gt;"", 'Cost Inputs'!$J$85&lt;&gt;"")), _3_5_1, "")</f>
        <v/>
      </c>
      <c r="D613" s="17" t="str">
        <f>IF(AND(C612&lt;&gt;"", 'Cost Inputs'!$G$160&lt;&gt;""), 'Cost Inputs'!$G$160, "")</f>
        <v/>
      </c>
      <c r="E613" s="17" t="str">
        <f>IF(AND(C612&lt;&gt;"", 'Cost Inputs'!$H$160&lt;&gt;""), 'Cost Inputs'!$H$160, "")</f>
        <v/>
      </c>
      <c r="F613" s="493"/>
      <c r="G613" s="105" t="str">
        <f t="shared" si="462"/>
        <v/>
      </c>
      <c r="H613" s="493"/>
      <c r="I613" s="105" t="str">
        <f>IF($C612&lt;&gt;"", IF(AND($E613&lt;&gt;"", H612&lt;&gt;""), H612/($E612*$E613), 0), "")</f>
        <v/>
      </c>
      <c r="J613" s="493" t="str">
        <f>IF(AND(C613&lt;&gt;"",('Cost Inputs'!$I$86+'Cost Inputs'!$J$86+'Cost Inputs'!$K$86)&gt;0), 'Cost Inputs'!$I$86+'Cost Inputs'!$J$86+'Cost Inputs'!$K$86, "")</f>
        <v/>
      </c>
      <c r="K613" s="105" t="str">
        <f>IF($C612&lt;&gt;"", IF(AND($E613&lt;&gt;"", J612&lt;&gt;""), J612/($E612*$E613), 0), "")</f>
        <v/>
      </c>
      <c r="M613" s="106"/>
      <c r="Q613" s="493" t="str">
        <f>IF(ISNUMBER($B$537), IF($C613&lt;&gt;"", IF('Cost Inputs'!$L204="Y", $E613, IF('Cost Inputs'!$L204="N", IF(ISNUMBER('Cost Inputs'!$M204), $E613, ""),"")),""),"")</f>
        <v/>
      </c>
      <c r="R613" s="493" t="str">
        <f>IF(ISNUMBER($B$537), IF($C613&lt;&gt;"", IF('Cost Inputs'!$L204="Y", $E613, IF('Cost Inputs'!$L204="N", "", "")),""),"")</f>
        <v/>
      </c>
      <c r="S613" s="493" t="str">
        <f>IF(ISNUMBER($B$537), IF($C613&lt;&gt;"", IF('Cost Inputs'!$L204="Y", $E613, IF('Cost Inputs'!$L204="N", IF(AND(ISNUMBER('Cost Inputs'!$M204), OR('Cost Inputs'!$M204=2)), $E613, ""),"")),""),"")</f>
        <v/>
      </c>
      <c r="T613" s="493" t="str">
        <f>IF(ISNUMBER($B$537), IF($C613&lt;&gt;"", IF('Cost Inputs'!$L204="Y", $E613, IF('Cost Inputs'!$L204="N", IF(AND(ISNUMBER('Cost Inputs'!$M204), OR('Cost Inputs'!$M204=3)), $E613, ""),"")),""),"")</f>
        <v/>
      </c>
      <c r="U613" s="493" t="str">
        <f>IF(ISNUMBER($B$537), IF($C613&lt;&gt;"", IF('Cost Inputs'!$L204="Y", $E613, IF('Cost Inputs'!$L204="N", IF(AND(ISNUMBER('Cost Inputs'!$M204), OR('Cost Inputs'!$M204=2, 'Cost Inputs'!$M204=4)), $E613, ""),"")),""),"")</f>
        <v/>
      </c>
      <c r="V613" s="493" t="str">
        <f>IF(ISNUMBER($B$537), IF($C613&lt;&gt;"", IF('Cost Inputs'!$L204="Y", $E613, IF('Cost Inputs'!$L204="N", IF(AND(ISNUMBER('Cost Inputs'!$M204), OR('Cost Inputs'!$M204=2,'Cost Inputs'!$M204=5)), $E613, ""),"")),""),"")</f>
        <v/>
      </c>
      <c r="W613" s="493" t="str">
        <f>IF(ISNUMBER($B$537), IF($C613&lt;&gt;"", IF('Cost Inputs'!$L204="Y", $E613, IF('Cost Inputs'!$L204="N", IF(AND(ISNUMBER('Cost Inputs'!$M204), OR('Cost Inputs'!$M204=2,'Cost Inputs'!$M204=3,'Cost Inputs'!$M204=6)), $E613, ""),"")),""),"")</f>
        <v/>
      </c>
      <c r="X613" s="493" t="str">
        <f>IF(ISNUMBER($B$537), IF($C613&lt;&gt;"", IF('Cost Inputs'!$L204="Y", $E613, IF('Cost Inputs'!$L204="N", IF(AND(ISNUMBER('Cost Inputs'!$M204), OR('Cost Inputs'!$M204=2,'Cost Inputs'!$M204=7)), $E613, ""),"")),""),"")</f>
        <v/>
      </c>
      <c r="Y613" s="493" t="str">
        <f>IF(ISNUMBER($B$537), IF($C613&lt;&gt;"", IF('Cost Inputs'!$L204="Y", $E613, IF('Cost Inputs'!$L204="N", IF(AND(ISNUMBER('Cost Inputs'!$M204), OR('Cost Inputs'!$M204=2,'Cost Inputs'!$M204=4,'Cost Inputs'!$M204=8)), $E613, ""),"")),""),"")</f>
        <v/>
      </c>
      <c r="Z613" s="493" t="str">
        <f>IF(ISNUMBER($B$537), IF($C613&lt;&gt;"", IF('Cost Inputs'!$L204="Y", $E613, IF('Cost Inputs'!$L204="N", IF(AND(ISNUMBER('Cost Inputs'!$M204), OR('Cost Inputs'!$M204=2,'Cost Inputs'!$M204=3,'Cost Inputs'!$M204=9)), $E613, ""),"")),""),"")</f>
        <v/>
      </c>
    </row>
    <row r="614" spans="1:27" x14ac:dyDescent="0.25">
      <c r="A614" s="518"/>
      <c r="B614" s="504"/>
      <c r="C614" s="107" t="str">
        <f>IF(AND(ISNUMBER(B599), C610&lt;&gt;"", OR('Cost Inputs'!$H$161&lt;&gt;"", 'Cost Inputs'!$I$161&lt;&gt;"", 'Cost Inputs'!$J$161&lt;&gt;"")), _5_5_2, "")</f>
        <v/>
      </c>
      <c r="D614" s="93" t="str">
        <f>IF(AND(C614&lt;&gt;"", 'Cost Inputs'!$G$161&lt;&gt;""), 'Cost Inputs'!$G$161, "")</f>
        <v/>
      </c>
      <c r="E614" s="93" t="str">
        <f>IF(AND(C614&lt;&gt;"", 'Cost Inputs'!$H$161&lt;&gt;""), 'Cost Inputs'!$H$161, "")</f>
        <v/>
      </c>
      <c r="F614" s="93" t="str">
        <f>IF(AND(C614&lt;&gt;"", 'Cost Inputs'!$I$161&lt;&gt;""), 'Cost Inputs'!$I$161, "")</f>
        <v/>
      </c>
      <c r="G614" s="108" t="str">
        <f t="shared" si="462"/>
        <v/>
      </c>
      <c r="H614" s="93" t="str">
        <f>IF(AND(C614&lt;&gt;"", 'Cost Inputs'!$J$161&lt;&gt;""), 'Cost Inputs'!$J$161, "")</f>
        <v/>
      </c>
      <c r="I614" s="93" t="str">
        <f>IF($C614&lt;&gt;"", IF(AND($E614&lt;&gt;"", H614&lt;&gt;""), H614/$E614, 0),"")</f>
        <v/>
      </c>
      <c r="J614" s="93" t="str">
        <f>IF(AND(C614&lt;&gt;"",('Cost Inputs'!$I$161+'Cost Inputs'!$J$161+'Cost Inputs'!$K$161)&gt;0), 'Cost Inputs'!$I$161+'Cost Inputs'!$J$161+'Cost Inputs'!$K$161, "")</f>
        <v/>
      </c>
      <c r="K614" s="93" t="str">
        <f>IF($C614&lt;&gt;"", IF(AND($E614&lt;&gt;"", J614&lt;&gt;""), J614/$E614, 0),"")</f>
        <v/>
      </c>
      <c r="L614" s="93"/>
      <c r="M614" s="109"/>
      <c r="Q614" s="93" t="str">
        <f>IF(ISNUMBER($B$537), IF($C614&lt;&gt;"", IF('Cost Inputs'!$L$161="Y", $E614, IF('Cost Inputs'!$L$161="N", IF(ISNUMBER('Cost Inputs'!$M$161), $E614, ""),"")),""),"")</f>
        <v/>
      </c>
      <c r="R614" s="93" t="str">
        <f>IF(ISNUMBER($B$537), IF($C614&lt;&gt;"", IF('Cost Inputs'!$L$161="Y", $E614, IF('Cost Inputs'!$L$161="N", "", "")),""),"")</f>
        <v/>
      </c>
      <c r="S614" s="93" t="str">
        <f>IF(ISNUMBER($B$537), IF($C614&lt;&gt;"", IF('Cost Inputs'!$L$161="Y", $E614, IF('Cost Inputs'!$L$161="N", IF(AND(ISNUMBER('Cost Inputs'!$M$161), OR('Cost Inputs'!$M$161=2)), $E614, ""),"")),""),"")</f>
        <v/>
      </c>
      <c r="T614" s="93" t="str">
        <f>IF(ISNUMBER($B$537), IF($C614&lt;&gt;"", IF('Cost Inputs'!$L$161="Y", $E614, IF('Cost Inputs'!$L$161="N", IF(AND(ISNUMBER('Cost Inputs'!$M$161), OR('Cost Inputs'!$M$161=3)), $E614, ""),"")),""),"")</f>
        <v/>
      </c>
      <c r="U614" s="93" t="str">
        <f>IF(ISNUMBER($B$537), IF($C614&lt;&gt;"", IF('Cost Inputs'!$L$161="Y", $E614, IF('Cost Inputs'!$L$161="N", IF(AND(ISNUMBER('Cost Inputs'!$M$161), OR('Cost Inputs'!$M$161=2, 'Cost Inputs'!$M$161=4)), $E614, ""),"")),""),"")</f>
        <v/>
      </c>
      <c r="V614" s="93" t="str">
        <f>IF(ISNUMBER($B$537), IF($C614&lt;&gt;"", IF('Cost Inputs'!$L$161="Y", $E614, IF('Cost Inputs'!$L$161="N", IF(AND(ISNUMBER('Cost Inputs'!$M$161), OR('Cost Inputs'!$M$161=2,'Cost Inputs'!$M$161=5)), $E614, ""),"")),""),"")</f>
        <v/>
      </c>
      <c r="W614" s="93" t="str">
        <f>IF(ISNUMBER($B$537), IF($C614&lt;&gt;"", IF('Cost Inputs'!$L$161="Y", $E614, IF('Cost Inputs'!$L$161="N", IF(AND(ISNUMBER('Cost Inputs'!$M$161), OR('Cost Inputs'!$M$161=2,'Cost Inputs'!$M$161=3,'Cost Inputs'!$M$161=6)), $E614, ""),"")),""),"")</f>
        <v/>
      </c>
      <c r="X614" s="93" t="str">
        <f>IF(ISNUMBER($B$537), IF($C614&lt;&gt;"", IF('Cost Inputs'!$L$161="Y", $E614, IF('Cost Inputs'!$L$161="N", IF(AND(ISNUMBER('Cost Inputs'!$M$161), OR('Cost Inputs'!$M$161=2,'Cost Inputs'!$M$161=7)), $E614, ""),"")),""),"")</f>
        <v/>
      </c>
      <c r="Y614" s="93" t="str">
        <f>IF(ISNUMBER($B$537), IF($C614&lt;&gt;"", IF('Cost Inputs'!$L$161="Y", $E614, IF('Cost Inputs'!$L$161="N", IF(AND(ISNUMBER('Cost Inputs'!$M$161), OR('Cost Inputs'!$M$161=2,'Cost Inputs'!$M$161=4,'Cost Inputs'!$M$161=8)), $E614, ""),"")),""),"")</f>
        <v/>
      </c>
      <c r="Z614" s="93" t="str">
        <f>IF(ISNUMBER($B$537), IF($C614&lt;&gt;"", IF('Cost Inputs'!$L$161="Y", $E614, IF('Cost Inputs'!$L$161="N", IF(AND(ISNUMBER('Cost Inputs'!$M$161), OR('Cost Inputs'!$M$161=2,'Cost Inputs'!$M$161=3,'Cost Inputs'!$M$161=9)), $E614, ""),"")),""),"")</f>
        <v/>
      </c>
    </row>
    <row r="615" spans="1:27" x14ac:dyDescent="0.25">
      <c r="A615" s="518"/>
      <c r="B615" s="504"/>
      <c r="C615" s="104" t="str">
        <f>IF(AND(ISNUMBER(B599), C610&lt;&gt;"", OR('Cost Inputs'!$H$162&lt;&gt;"", 'Cost Inputs'!$I$162&lt;&gt;"", 'Cost Inputs'!$J$162&lt;&gt;"")), _5_5_3, "")</f>
        <v/>
      </c>
      <c r="D615" s="17" t="str">
        <f>IF(AND(C615&lt;&gt;"", 'Cost Inputs'!$G$162&lt;&gt;""), 'Cost Inputs'!$G$162, "")</f>
        <v/>
      </c>
      <c r="E615" s="17" t="str">
        <f>IF(AND(C615&lt;&gt;"", 'Cost Inputs'!$H$162&lt;&gt;""), 'Cost Inputs'!$H$162, "")</f>
        <v/>
      </c>
      <c r="F615" s="17" t="str">
        <f>IF(AND(C615&lt;&gt;"", 'Cost Inputs'!$I$162&lt;&gt;""), 'Cost Inputs'!$I$162, "")</f>
        <v/>
      </c>
      <c r="G615" s="105" t="str">
        <f t="shared" si="462"/>
        <v/>
      </c>
      <c r="H615" s="17" t="str">
        <f>IF(AND(C615&lt;&gt;"", 'Cost Inputs'!$J$162&lt;&gt;""), 'Cost Inputs'!$J$162, "")</f>
        <v/>
      </c>
      <c r="I615" s="17" t="str">
        <f>IF($C615&lt;&gt;"", IF(AND($E615&lt;&gt;"", H615&lt;&gt;""), H615/$E615, 0),"")</f>
        <v/>
      </c>
      <c r="J615" s="17" t="str">
        <f>IF(AND(C615&lt;&gt;"",('Cost Inputs'!$I$162+'Cost Inputs'!$J$162+'Cost Inputs'!$K$162)&gt;0), 'Cost Inputs'!$I$162+'Cost Inputs'!$J$162+'Cost Inputs'!$K$162, "")</f>
        <v/>
      </c>
      <c r="K615" s="17" t="str">
        <f>IF($C615&lt;&gt;"", IF(AND($E615&lt;&gt;"", J615&lt;&gt;""), J615/$E615, 0),"")</f>
        <v/>
      </c>
      <c r="M615" s="106"/>
      <c r="Q615" s="17" t="str">
        <f>IF(ISNUMBER($B$537), IF($C615&lt;&gt;"", IF('Cost Inputs'!$L$162="Y", $E615, IF('Cost Inputs'!$L$162="N", IF(ISNUMBER('Cost Inputs'!$M$162), $E615, ""),"")),""),"")</f>
        <v/>
      </c>
      <c r="R615" s="17" t="str">
        <f>IF(ISNUMBER($B$537), IF($C615&lt;&gt;"", IF('Cost Inputs'!$L$162="Y", $E615, IF('Cost Inputs'!$L$162="N", "", "")),""),"")</f>
        <v/>
      </c>
      <c r="S615" s="17" t="str">
        <f>IF(ISNUMBER($B$537), IF($C615&lt;&gt;"", IF('Cost Inputs'!$L$162="Y", $E615, IF('Cost Inputs'!$L$162="N", IF(AND(ISNUMBER('Cost Inputs'!$M$162), OR('Cost Inputs'!$M$162=2)), $E615, ""),"")),""),"")</f>
        <v/>
      </c>
      <c r="T615" s="17" t="str">
        <f>IF(ISNUMBER($B$537), IF($C615&lt;&gt;"", IF('Cost Inputs'!$L$162="Y", $E615, IF('Cost Inputs'!$L$162="N", IF(AND(ISNUMBER('Cost Inputs'!$M$162), OR('Cost Inputs'!$M$162=3)), $E615, ""),"")),""),"")</f>
        <v/>
      </c>
      <c r="U615" s="17" t="str">
        <f>IF(ISNUMBER($B$537), IF($C615&lt;&gt;"", IF('Cost Inputs'!$L$162="Y", $E615, IF('Cost Inputs'!$L$162="N", IF(AND(ISNUMBER('Cost Inputs'!$M$162), OR('Cost Inputs'!$M$162=2, 'Cost Inputs'!$M$162=4)), $E615, ""),"")),""),"")</f>
        <v/>
      </c>
      <c r="V615" s="17" t="str">
        <f>IF(ISNUMBER($B$537), IF($C615&lt;&gt;"", IF('Cost Inputs'!$L$162="Y", $E615, IF('Cost Inputs'!$L$162="N", IF(AND(ISNUMBER('Cost Inputs'!$M$162), OR('Cost Inputs'!$M$162=2,'Cost Inputs'!$M$162=5)), $E615, ""),"")),""),"")</f>
        <v/>
      </c>
      <c r="W615" s="17" t="str">
        <f>IF(ISNUMBER($B$537), IF($C615&lt;&gt;"", IF('Cost Inputs'!$L$162="Y", $E615, IF('Cost Inputs'!$L$162="N", IF(AND(ISNUMBER('Cost Inputs'!$M$162), OR('Cost Inputs'!$M$162=2,'Cost Inputs'!$M$162=3,'Cost Inputs'!$M$162=6)), $E615, ""),"")),""),"")</f>
        <v/>
      </c>
      <c r="X615" s="17" t="str">
        <f>IF(ISNUMBER($B$537), IF($C615&lt;&gt;"", IF('Cost Inputs'!$L$162="Y", $E615, IF('Cost Inputs'!$L$162="N", IF(AND(ISNUMBER('Cost Inputs'!$M$162), OR('Cost Inputs'!$M$162=2,'Cost Inputs'!$M$162=7)), $E615, ""),"")),""),"")</f>
        <v/>
      </c>
      <c r="Y615" s="17" t="str">
        <f>IF(ISNUMBER($B$537), IF($C615&lt;&gt;"", IF('Cost Inputs'!$L$162="Y", $E615, IF('Cost Inputs'!$L$162="N", IF(AND(ISNUMBER('Cost Inputs'!$M$162), OR('Cost Inputs'!$M$162=2,'Cost Inputs'!$M$162=4,'Cost Inputs'!$M$162=8)), $E615, ""),"")),""),"")</f>
        <v/>
      </c>
      <c r="Z615" s="17" t="str">
        <f>IF(ISNUMBER($B$537), IF($C615&lt;&gt;"", IF('Cost Inputs'!$L$162="Y", $E615, IF('Cost Inputs'!$L$162="N", IF(AND(ISNUMBER('Cost Inputs'!$M$162), OR('Cost Inputs'!$M$162=2,'Cost Inputs'!$M$162=3,'Cost Inputs'!$M$162=9)), $E615, ""),"")),""),"")</f>
        <v/>
      </c>
    </row>
    <row r="616" spans="1:27" x14ac:dyDescent="0.25">
      <c r="A616" s="518"/>
      <c r="B616" s="504"/>
      <c r="C616" s="107" t="str">
        <f>IF(AND(ISNUMBER(B599), C610&lt;&gt;"", OR('Cost Inputs'!$H$163&lt;&gt;"", 'Cost Inputs'!$I$163&lt;&gt;"", 'Cost Inputs'!$J$163&lt;&gt;"")), _5_5_4, "")</f>
        <v/>
      </c>
      <c r="D616" s="93" t="str">
        <f>IF(AND(C616&lt;&gt;"", 'Cost Inputs'!$G$163&lt;&gt;""), 'Cost Inputs'!$G$163, "")</f>
        <v/>
      </c>
      <c r="E616" s="93" t="str">
        <f>IF(AND(C616&lt;&gt;"", 'Cost Inputs'!$H$163&lt;&gt;""), 'Cost Inputs'!$H$163, "")</f>
        <v/>
      </c>
      <c r="F616" s="93" t="str">
        <f>IF(AND(C616&lt;&gt;"", 'Cost Inputs'!$I$163&lt;&gt;""), 'Cost Inputs'!$I$163, "")</f>
        <v/>
      </c>
      <c r="G616" s="108" t="str">
        <f t="shared" si="462"/>
        <v/>
      </c>
      <c r="H616" s="93" t="str">
        <f>IF(AND(C616&lt;&gt;"", 'Cost Inputs'!$J$163&lt;&gt;""), 'Cost Inputs'!$J$163, "")</f>
        <v/>
      </c>
      <c r="I616" s="93" t="str">
        <f>IF($C616&lt;&gt;"", IF(AND($E616&lt;&gt;"", H616&lt;&gt;""), H616/$E616, 0),"")</f>
        <v/>
      </c>
      <c r="J616" s="93" t="str">
        <f>IF(AND(C616&lt;&gt;"",('Cost Inputs'!$I$163+'Cost Inputs'!$J$163+'Cost Inputs'!$K$163)&gt;0), 'Cost Inputs'!$I$163+'Cost Inputs'!$J$163+'Cost Inputs'!$K$163, "")</f>
        <v/>
      </c>
      <c r="K616" s="93" t="str">
        <f>IF($C616&lt;&gt;"", IF(AND($E616&lt;&gt;"", J616&lt;&gt;""), J616/$E616, 0),"")</f>
        <v/>
      </c>
      <c r="L616" s="93"/>
      <c r="M616" s="109"/>
      <c r="Q616" s="93" t="str">
        <f>IF(ISNUMBER($B$537), IF($C616&lt;&gt;"", IF('Cost Inputs'!$L$163="Y", $E616, IF('Cost Inputs'!$L$163="N", IF(ISNUMBER('Cost Inputs'!$M$163), $E616, ""),"")),""),"")</f>
        <v/>
      </c>
      <c r="R616" s="93" t="str">
        <f>IF(ISNUMBER($B$537), IF($C616&lt;&gt;"", IF('Cost Inputs'!$L$163="Y", $E616, IF('Cost Inputs'!$L$163="N", "", "")),""),"")</f>
        <v/>
      </c>
      <c r="S616" s="93" t="str">
        <f>IF(ISNUMBER($B$537), IF($C616&lt;&gt;"", IF('Cost Inputs'!$L$163="Y", $E616, IF('Cost Inputs'!$L$163="N", IF(AND(ISNUMBER('Cost Inputs'!$M$163), OR('Cost Inputs'!$M$163=2)), $E616, ""),"")),""),"")</f>
        <v/>
      </c>
      <c r="T616" s="93" t="str">
        <f>IF(ISNUMBER($B$537), IF($C616&lt;&gt;"", IF('Cost Inputs'!$L$163="Y", $E616, IF('Cost Inputs'!$L$163="N", IF(AND(ISNUMBER('Cost Inputs'!$M$163), OR('Cost Inputs'!$M$163=3)), $E616, ""),"")),""),"")</f>
        <v/>
      </c>
      <c r="U616" s="93" t="str">
        <f>IF(ISNUMBER($B$537), IF($C616&lt;&gt;"", IF('Cost Inputs'!$L$163="Y", $E616, IF('Cost Inputs'!$L$163="N", IF(AND(ISNUMBER('Cost Inputs'!$M$163), OR('Cost Inputs'!$M$163=2, 'Cost Inputs'!$M$163=4)), $E616, ""),"")),""),"")</f>
        <v/>
      </c>
      <c r="V616" s="93" t="str">
        <f>IF(ISNUMBER($B$537), IF($C616&lt;&gt;"", IF('Cost Inputs'!$L$163="Y", $E616, IF('Cost Inputs'!$L$163="N", IF(AND(ISNUMBER('Cost Inputs'!$M$163), OR('Cost Inputs'!$M$163=2,'Cost Inputs'!$M$163=5)), $E616, ""),"")),""),"")</f>
        <v/>
      </c>
      <c r="W616" s="93" t="str">
        <f>IF(ISNUMBER($B$537), IF($C616&lt;&gt;"", IF('Cost Inputs'!$L$163="Y", $E616, IF('Cost Inputs'!$L$163="N", IF(AND(ISNUMBER('Cost Inputs'!$M$163), OR('Cost Inputs'!$M$163=2,'Cost Inputs'!$M$163=3,'Cost Inputs'!$M$163=6)), $E616, ""),"")),""),"")</f>
        <v/>
      </c>
      <c r="X616" s="93" t="str">
        <f>IF(ISNUMBER($B$537), IF($C616&lt;&gt;"", IF('Cost Inputs'!$L$163="Y", $E616, IF('Cost Inputs'!$L$163="N", IF(AND(ISNUMBER('Cost Inputs'!$M$163), OR('Cost Inputs'!$M$163=2,'Cost Inputs'!$M$163=7)), $E616, ""),"")),""),"")</f>
        <v/>
      </c>
      <c r="Y616" s="93" t="str">
        <f>IF(ISNUMBER($B$537), IF($C616&lt;&gt;"", IF('Cost Inputs'!$L$163="Y", $E616, IF('Cost Inputs'!$L$163="N", IF(AND(ISNUMBER('Cost Inputs'!$M$163), OR('Cost Inputs'!$M$163=2,'Cost Inputs'!$M$163=4,'Cost Inputs'!$M$163=8)), $E616, ""),"")),""),"")</f>
        <v/>
      </c>
      <c r="Z616" s="93" t="str">
        <f>IF(ISNUMBER($B$537), IF($C616&lt;&gt;"", IF('Cost Inputs'!$L$163="Y", $E616, IF('Cost Inputs'!$L$163="N", IF(AND(ISNUMBER('Cost Inputs'!$M$163), OR('Cost Inputs'!$M$163=2,'Cost Inputs'!$M$163=3,'Cost Inputs'!$M$163=9)), $E616, ""),"")),""),"")</f>
        <v/>
      </c>
    </row>
    <row r="617" spans="1:27" x14ac:dyDescent="0.25">
      <c r="A617" s="518"/>
      <c r="B617" s="504"/>
      <c r="C617" s="104" t="str">
        <f>IF(AND(ISNUMBER(B599), C610&lt;&gt;"", OR('Cost Inputs'!$H$164&lt;&gt;"", 'Cost Inputs'!$I$164&lt;&gt;"", 'Cost Inputs'!$J$164&lt;&gt;"")), _5_5_5, "")</f>
        <v/>
      </c>
      <c r="D617" s="17" t="str">
        <f>IF(AND(C617&lt;&gt;"", 'Cost Inputs'!$G$164&lt;&gt;""), 'Cost Inputs'!$G$164, "")</f>
        <v/>
      </c>
      <c r="E617" s="17" t="str">
        <f>IF(AND(C617&lt;&gt;"", 'Cost Inputs'!$H$164&lt;&gt;""), 'Cost Inputs'!$H$164, "")</f>
        <v/>
      </c>
      <c r="F617" s="17" t="str">
        <f>IF(AND(C617&lt;&gt;"", 'Cost Inputs'!$I$164&lt;&gt;""), 'Cost Inputs'!$I$164, "")</f>
        <v/>
      </c>
      <c r="G617" s="105" t="str">
        <f t="shared" si="462"/>
        <v/>
      </c>
      <c r="H617" s="17" t="str">
        <f>IF(AND(C617&lt;&gt;"", 'Cost Inputs'!$J$164&lt;&gt;""), 'Cost Inputs'!$J$164, "")</f>
        <v/>
      </c>
      <c r="I617" s="17" t="str">
        <f>IF($C617&lt;&gt;"", IF(AND($E617&lt;&gt;"", H617&lt;&gt;""), H617/$E617, 0),"")</f>
        <v/>
      </c>
      <c r="J617" s="17" t="str">
        <f>IF(AND(C617&lt;&gt;"",('Cost Inputs'!$I$164+'Cost Inputs'!$J$164+'Cost Inputs'!$K$164)&gt;0), 'Cost Inputs'!$I$164+'Cost Inputs'!$J$164+'Cost Inputs'!$K$164, "")</f>
        <v/>
      </c>
      <c r="K617" s="17" t="str">
        <f>IF($C617&lt;&gt;"", IF(AND($E617&lt;&gt;"", J617&lt;&gt;""), J617/$E617, 0),"")</f>
        <v/>
      </c>
      <c r="M617" s="106"/>
      <c r="Q617" s="17" t="str">
        <f>IF(ISNUMBER($B$537), IF($C617&lt;&gt;"", IF('Cost Inputs'!$L$164="Y", $E617, IF('Cost Inputs'!$L$164="N", IF(ISNUMBER('Cost Inputs'!$M$164), $E617, ""),"")),""),"")</f>
        <v/>
      </c>
      <c r="R617" s="17" t="str">
        <f>IF(ISNUMBER($B$537), IF($C617&lt;&gt;"", IF('Cost Inputs'!$L$164="Y", $E617, IF('Cost Inputs'!$L$164="N", "", "")),""),"")</f>
        <v/>
      </c>
      <c r="S617" s="17" t="str">
        <f>IF(ISNUMBER($B$537), IF($C617&lt;&gt;"", IF('Cost Inputs'!$L$164="Y", $E617, IF('Cost Inputs'!$L$164="N", IF(AND(ISNUMBER('Cost Inputs'!$M$164), OR('Cost Inputs'!$M$164=2)), $E617, ""),"")),""),"")</f>
        <v/>
      </c>
      <c r="T617" s="17" t="str">
        <f>IF(ISNUMBER($B$537), IF($C617&lt;&gt;"", IF('Cost Inputs'!$L$164="Y", $E617, IF('Cost Inputs'!$L$164="N", IF(AND(ISNUMBER('Cost Inputs'!$M$164), OR('Cost Inputs'!$M$164=3)), $E617, ""),"")),""),"")</f>
        <v/>
      </c>
      <c r="U617" s="17" t="str">
        <f>IF(ISNUMBER($B$537), IF($C617&lt;&gt;"", IF('Cost Inputs'!$L$164="Y", $E617, IF('Cost Inputs'!$L$164="N", IF(AND(ISNUMBER('Cost Inputs'!$M$164), OR('Cost Inputs'!$M$164=2, 'Cost Inputs'!$M$164=4)), $E617, ""),"")),""),"")</f>
        <v/>
      </c>
      <c r="V617" s="17" t="str">
        <f>IF(ISNUMBER($B$537), IF($C617&lt;&gt;"", IF('Cost Inputs'!$L$164="Y", $E617, IF('Cost Inputs'!$L$164="N", IF(AND(ISNUMBER('Cost Inputs'!$M$164), OR('Cost Inputs'!$M$164=2,'Cost Inputs'!$M$164=5)), $E617, ""),"")),""),"")</f>
        <v/>
      </c>
      <c r="W617" s="17" t="str">
        <f>IF(ISNUMBER($B$537), IF($C617&lt;&gt;"", IF('Cost Inputs'!$L$164="Y", $E617, IF('Cost Inputs'!$L$164="N", IF(AND(ISNUMBER('Cost Inputs'!$M$164), OR('Cost Inputs'!$M$164=2,'Cost Inputs'!$M$164=3,'Cost Inputs'!$M$164=6)), $E617, ""),"")),""),"")</f>
        <v/>
      </c>
      <c r="X617" s="17" t="str">
        <f>IF(ISNUMBER($B$537), IF($C617&lt;&gt;"", IF('Cost Inputs'!$L$164="Y", $E617, IF('Cost Inputs'!$L$164="N", IF(AND(ISNUMBER('Cost Inputs'!$M$164), OR('Cost Inputs'!$M$164=2,'Cost Inputs'!$M$164=7)), $E617, ""),"")),""),"")</f>
        <v/>
      </c>
      <c r="Y617" s="17" t="str">
        <f>IF(ISNUMBER($B$537), IF($C617&lt;&gt;"", IF('Cost Inputs'!$L$164="Y", $E617, IF('Cost Inputs'!$L$164="N", IF(AND(ISNUMBER('Cost Inputs'!$M$164), OR('Cost Inputs'!$M$164=2,'Cost Inputs'!$M$164=4,'Cost Inputs'!$M$164=8)), $E617, ""),"")),""),"")</f>
        <v/>
      </c>
      <c r="Z617" s="17" t="str">
        <f>IF(ISNUMBER($B$537), IF($C617&lt;&gt;"", IF('Cost Inputs'!$L$164="Y", $E617, IF('Cost Inputs'!$L$164="N", IF(AND(ISNUMBER('Cost Inputs'!$M$164), OR('Cost Inputs'!$M$164=2,'Cost Inputs'!$M$164=3,'Cost Inputs'!$M$164=9)), $E617, ""),"")),""),"")</f>
        <v/>
      </c>
    </row>
    <row r="618" spans="1:27" x14ac:dyDescent="0.25">
      <c r="A618" s="518"/>
      <c r="B618" s="504"/>
      <c r="C618" s="110" t="str">
        <f>IF(ISNUMBER(B599), _5_6_0, "")</f>
        <v/>
      </c>
      <c r="D618" s="94" t="str">
        <f>IF(AND(C618&lt;&gt;"", 'Cost Inputs'!$G$165&lt;&gt;""), 'Cost Inputs'!$G$165, "")</f>
        <v/>
      </c>
      <c r="E618" s="94" t="str">
        <f>IF(AND(C618&lt;&gt;"", 'Cost Inputs'!$H$165&lt;&gt;""), 'Cost Inputs'!$H$165, "")</f>
        <v/>
      </c>
      <c r="F618" s="94" t="str">
        <f>IF(AND(C618&lt;&gt;"", 'Cost Inputs'!$I$165&lt;&gt;""), 'Cost Inputs'!$I$165, "")</f>
        <v/>
      </c>
      <c r="G618" s="102" t="str">
        <f t="shared" si="462"/>
        <v/>
      </c>
      <c r="H618" s="94" t="str">
        <f>IF(AND(C618&lt;&gt;"", 'Cost Inputs'!$J$165&lt;&gt;""), 'Cost Inputs'!$J$165, "")</f>
        <v/>
      </c>
      <c r="I618" s="102" t="str">
        <f>IF($C618&lt;&gt;"",IF(AND($E618&lt;&gt;"",H618&lt;&gt;""), H618/$E618, 0),"")</f>
        <v/>
      </c>
      <c r="J618" s="94" t="str">
        <f>IF(AND(C618&lt;&gt;"",('Cost Inputs'!$I$165+'Cost Inputs'!$J$165+'Cost Inputs'!$K$165)&gt;0), 'Cost Inputs'!$I$165+'Cost Inputs'!$J$165+'Cost Inputs'!$K$165, "")</f>
        <v/>
      </c>
      <c r="K618" s="102" t="str">
        <f>IF($C618&lt;&gt;"",IF(AND($E618&lt;&gt;"",J618&lt;&gt;""), J618/$E618, 0),"")</f>
        <v/>
      </c>
      <c r="L618" s="94"/>
      <c r="M618" s="103"/>
      <c r="Q618" s="94" t="str">
        <f>IF(ISNUMBER($B$537), IF($C618&lt;&gt;"", IF('Cost Inputs'!$L$165="Y", $E618, IF('Cost Inputs'!$L$165="N", IF(ISNUMBER('Cost Inputs'!$M$165), $E618, ""),"")),""),"")</f>
        <v/>
      </c>
      <c r="R618" s="94" t="str">
        <f>IF(ISNUMBER($B$537), IF($C618&lt;&gt;"", IF('Cost Inputs'!$L$165="Y", $E618, IF('Cost Inputs'!$L$165="N", "", "")),""),"")</f>
        <v/>
      </c>
      <c r="S618" s="94" t="str">
        <f>IF(ISNUMBER($B$537), IF($C618&lt;&gt;"", IF('Cost Inputs'!$L$165="Y", $E618, IF('Cost Inputs'!$L$165="N", IF(AND(ISNUMBER('Cost Inputs'!$M$165), OR('Cost Inputs'!$M$165=2)), $E618, ""),"")),""),"")</f>
        <v/>
      </c>
      <c r="T618" s="94" t="str">
        <f>IF(ISNUMBER($B$537), IF($C618&lt;&gt;"", IF('Cost Inputs'!$L$165="Y", $E618, IF('Cost Inputs'!$L$165="N", IF(AND(ISNUMBER('Cost Inputs'!$M$165), OR('Cost Inputs'!$M$165=3)), $E618, ""),"")),""),"")</f>
        <v/>
      </c>
      <c r="U618" s="94" t="str">
        <f>IF(ISNUMBER($B$537), IF($C618&lt;&gt;"", IF('Cost Inputs'!$L$165="Y", $E618, IF('Cost Inputs'!$L$165="N", IF(AND(ISNUMBER('Cost Inputs'!$M$165), OR('Cost Inputs'!$M$165=2, 'Cost Inputs'!$M$165=4)), $E618, ""),"")),""),"")</f>
        <v/>
      </c>
      <c r="V618" s="94" t="str">
        <f>IF(ISNUMBER($B$537), IF($C618&lt;&gt;"", IF('Cost Inputs'!$L$165="Y", $E618, IF('Cost Inputs'!$L$165="N", IF(AND(ISNUMBER('Cost Inputs'!$M$165), OR('Cost Inputs'!$M$165=2,'Cost Inputs'!$M$165=5)), $E618, ""),"")),""),"")</f>
        <v/>
      </c>
      <c r="W618" s="94" t="str">
        <f>IF(ISNUMBER($B$537), IF($C618&lt;&gt;"", IF('Cost Inputs'!$L$165="Y", $E618, IF('Cost Inputs'!$L$165="N", IF(AND(ISNUMBER('Cost Inputs'!$M$165), OR('Cost Inputs'!$M$165=2,'Cost Inputs'!$M$165=3,'Cost Inputs'!$M$165=6)), $E618, ""),"")),""),"")</f>
        <v/>
      </c>
      <c r="X618" s="94" t="str">
        <f>IF(ISNUMBER($B$537), IF($C618&lt;&gt;"", IF('Cost Inputs'!$L$165="Y", $E618, IF('Cost Inputs'!$L$165="N", IF(AND(ISNUMBER('Cost Inputs'!$M$165), OR('Cost Inputs'!$M$165=2,'Cost Inputs'!$M$165=7)), $E618, ""),"")),""),"")</f>
        <v/>
      </c>
      <c r="Y618" s="94" t="str">
        <f>IF(ISNUMBER($B$537), IF($C618&lt;&gt;"", IF('Cost Inputs'!$L$165="Y", $E618, IF('Cost Inputs'!$L$165="N", IF(AND(ISNUMBER('Cost Inputs'!$M$165), OR('Cost Inputs'!$M$165=2,'Cost Inputs'!$M$165=4,'Cost Inputs'!$M$165=8)), $E618, ""),"")),""),"")</f>
        <v/>
      </c>
      <c r="Z618" s="94" t="str">
        <f>IF(ISNUMBER($B$537), IF($C618&lt;&gt;"", IF('Cost Inputs'!$L$165="Y", $E618, IF('Cost Inputs'!$L$165="N", IF(AND(ISNUMBER('Cost Inputs'!$M$165), OR('Cost Inputs'!$M$165=2,'Cost Inputs'!$M$165=3,'Cost Inputs'!$M$165=9)), $E618, ""),"")),""),"")</f>
        <v/>
      </c>
    </row>
    <row r="619" spans="1:27" x14ac:dyDescent="0.25">
      <c r="A619" s="518"/>
      <c r="B619" s="504"/>
      <c r="C619" s="104" t="str">
        <f>IF(AND(ISNUMBER(B599), OR('Cost Inputs'!$H$166&lt;&gt;"", 'Cost Inputs'!$I$166&lt;&gt;"", 'Cost Inputs'!$J$166&lt;&gt;"")), _5_6_1, "")</f>
        <v/>
      </c>
      <c r="D619" s="17" t="str">
        <f>IF(AND(C619&lt;&gt;"", 'Cost Inputs'!$G$166&lt;&gt;""), 'Cost Inputs'!$G$166, "")</f>
        <v/>
      </c>
      <c r="E619" s="17" t="str">
        <f>IF(AND(C619&lt;&gt;"", 'Cost Inputs'!$H$166&lt;&gt;""), 'Cost Inputs'!$H$166, "")</f>
        <v/>
      </c>
      <c r="F619" s="17" t="str">
        <f>IF(AND(C619&lt;&gt;"", 'Cost Inputs'!$I$166&lt;&gt;""), 'Cost Inputs'!$I$166, "")</f>
        <v/>
      </c>
      <c r="G619" s="105" t="str">
        <f t="shared" si="462"/>
        <v/>
      </c>
      <c r="H619" s="17" t="str">
        <f>IF(AND(C619&lt;&gt;"", 'Cost Inputs'!$J$166&lt;&gt;""), 'Cost Inputs'!$J$166, "")</f>
        <v/>
      </c>
      <c r="I619" s="17" t="str">
        <f>IF($C619&lt;&gt;"", IF(AND($E619&lt;&gt;"", H619&lt;&gt;""), H619/$E619, 0),"")</f>
        <v/>
      </c>
      <c r="J619" s="17" t="str">
        <f>IF(AND(C619&lt;&gt;"",('Cost Inputs'!$I$166+'Cost Inputs'!$J$166+'Cost Inputs'!$K$166)&gt;0), 'Cost Inputs'!$I$166+'Cost Inputs'!$J$166+'Cost Inputs'!$K$166, "")</f>
        <v/>
      </c>
      <c r="K619" s="17" t="str">
        <f>IF($C619&lt;&gt;"", IF(AND($E619&lt;&gt;"", J619&lt;&gt;""), J619/$E619, 0),"")</f>
        <v/>
      </c>
      <c r="M619" s="106"/>
      <c r="Q619" s="17" t="str">
        <f>IF(ISNUMBER($B$537), IF($C619&lt;&gt;"", IF('Cost Inputs'!$L$166="Y", $E619, IF('Cost Inputs'!$L$166="N", IF(ISNUMBER('Cost Inputs'!$M$166), $E619, ""),"")),""),"")</f>
        <v/>
      </c>
      <c r="R619" s="17" t="str">
        <f>IF(ISNUMBER($B$537), IF($C619&lt;&gt;"", IF('Cost Inputs'!$L$166="Y", $E619, IF('Cost Inputs'!$L$166="N", "", "")),""),"")</f>
        <v/>
      </c>
      <c r="S619" s="17" t="str">
        <f>IF(ISNUMBER($B$537), IF($C619&lt;&gt;"", IF('Cost Inputs'!$L$166="Y", $E619, IF('Cost Inputs'!$L$166="N", IF(AND(ISNUMBER('Cost Inputs'!$M$166), OR('Cost Inputs'!$M$166=2)), $E619, ""),"")),""),"")</f>
        <v/>
      </c>
      <c r="T619" s="17" t="str">
        <f>IF(ISNUMBER($B$537), IF($C619&lt;&gt;"", IF('Cost Inputs'!$L$166="Y", $E619, IF('Cost Inputs'!$L$166="N", IF(AND(ISNUMBER('Cost Inputs'!$M$166), OR('Cost Inputs'!$M$166=3)), $E619, ""),"")),""),"")</f>
        <v/>
      </c>
      <c r="U619" s="17" t="str">
        <f>IF(ISNUMBER($B$537), IF($C619&lt;&gt;"", IF('Cost Inputs'!$L$166="Y", $E619, IF('Cost Inputs'!$L$166="N", IF(AND(ISNUMBER('Cost Inputs'!$M$166), OR('Cost Inputs'!$M$166=2, 'Cost Inputs'!$M$166=4)), $E619, ""),"")),""),"")</f>
        <v/>
      </c>
      <c r="V619" s="17" t="str">
        <f>IF(ISNUMBER($B$537), IF($C619&lt;&gt;"", IF('Cost Inputs'!$L$166="Y", $E619, IF('Cost Inputs'!$L$166="N", IF(AND(ISNUMBER('Cost Inputs'!$M$166), OR('Cost Inputs'!$M$166=2,'Cost Inputs'!$M$166=5)), $E619, ""),"")),""),"")</f>
        <v/>
      </c>
      <c r="W619" s="17" t="str">
        <f>IF(ISNUMBER($B$537), IF($C619&lt;&gt;"", IF('Cost Inputs'!$L$166="Y", $E619, IF('Cost Inputs'!$L$166="N", IF(AND(ISNUMBER('Cost Inputs'!$M$166), OR('Cost Inputs'!$M$166=2,'Cost Inputs'!$M$166=3,'Cost Inputs'!$M$166=6)), $E619, ""),"")),""),"")</f>
        <v/>
      </c>
      <c r="X619" s="17" t="str">
        <f>IF(ISNUMBER($B$537), IF($C619&lt;&gt;"", IF('Cost Inputs'!$L$166="Y", $E619, IF('Cost Inputs'!$L$166="N", IF(AND(ISNUMBER('Cost Inputs'!$M$166), OR('Cost Inputs'!$M$166=2,'Cost Inputs'!$M$166=7)), $E619, ""),"")),""),"")</f>
        <v/>
      </c>
      <c r="Y619" s="17" t="str">
        <f>IF(ISNUMBER($B$537), IF($C619&lt;&gt;"", IF('Cost Inputs'!$L$166="Y", $E619, IF('Cost Inputs'!$L$166="N", IF(AND(ISNUMBER('Cost Inputs'!$M$166), OR('Cost Inputs'!$M$166=2,'Cost Inputs'!$M$166=4,'Cost Inputs'!$M$166=8)), $E619, ""),"")),""),"")</f>
        <v/>
      </c>
      <c r="Z619" s="17" t="str">
        <f>IF(ISNUMBER($B$537), IF($C619&lt;&gt;"", IF('Cost Inputs'!$L$166="Y", $E619, IF('Cost Inputs'!$L$166="N", IF(AND(ISNUMBER('Cost Inputs'!$M$166), OR('Cost Inputs'!$M$166=2,'Cost Inputs'!$M$166=3,'Cost Inputs'!$M$166=9)), $E619, ""),"")),""),"")</f>
        <v/>
      </c>
    </row>
    <row r="620" spans="1:27" ht="15.75" thickBot="1" x14ac:dyDescent="0.3">
      <c r="A620" s="518"/>
      <c r="B620" s="505"/>
      <c r="C620" s="111" t="str">
        <f>IF(AND(ISNUMBER(B599), OR('Cost Inputs'!$H$167&lt;&gt;"", 'Cost Inputs'!$I$167&lt;&gt;"", 'Cost Inputs'!$J$167&lt;&gt;"")), _5_6_2, "")</f>
        <v/>
      </c>
      <c r="D620" s="95" t="str">
        <f>IF(AND(C620&lt;&gt;"", 'Cost Inputs'!$G$167&lt;&gt;""), 'Cost Inputs'!$G$167, "")</f>
        <v/>
      </c>
      <c r="E620" s="95" t="str">
        <f>IF(AND(C620&lt;&gt;"", 'Cost Inputs'!$H$167&lt;&gt;""), 'Cost Inputs'!$H$167, "")</f>
        <v/>
      </c>
      <c r="F620" s="95" t="str">
        <f>IF(AND(C620&lt;&gt;"", 'Cost Inputs'!$I$167&lt;&gt;""), 'Cost Inputs'!$I$167, "")</f>
        <v/>
      </c>
      <c r="G620" s="112" t="str">
        <f t="shared" si="462"/>
        <v/>
      </c>
      <c r="H620" s="95" t="str">
        <f>IF(AND(C620&lt;&gt;"", 'Cost Inputs'!$J$167&lt;&gt;""), 'Cost Inputs'!$J$167, "")</f>
        <v/>
      </c>
      <c r="I620" s="95" t="str">
        <f>IF($C620&lt;&gt;"", IF(AND($E620&lt;&gt;"", H620&lt;&gt;""), H620/$E620, 0),"")</f>
        <v/>
      </c>
      <c r="J620" s="95" t="str">
        <f>IF(AND(C620&lt;&gt;"",('Cost Inputs'!$I$167+'Cost Inputs'!$J$167+'Cost Inputs'!$K$167)&gt;0), 'Cost Inputs'!$I$167+'Cost Inputs'!$J$167+'Cost Inputs'!$K$167, "")</f>
        <v/>
      </c>
      <c r="K620" s="95" t="str">
        <f>IF($C620&lt;&gt;"", IF(AND($E620&lt;&gt;"", J620&lt;&gt;""), J620/$E620, 0),"")</f>
        <v/>
      </c>
      <c r="L620" s="95"/>
      <c r="M620" s="113"/>
      <c r="Q620" s="95" t="str">
        <f>IF(ISNUMBER($B$537), IF($C620&lt;&gt;"", IF('Cost Inputs'!$L$167="Y", $E620, IF('Cost Inputs'!$L$167="N", IF(ISNUMBER('Cost Inputs'!$M$167), $E620, ""),"")),""),"")</f>
        <v/>
      </c>
      <c r="R620" s="95" t="str">
        <f>IF(ISNUMBER($B$537), IF($C620&lt;&gt;"", IF('Cost Inputs'!$L$167="Y", $E620, IF('Cost Inputs'!$L$167="N", "", "")),""),"")</f>
        <v/>
      </c>
      <c r="S620" s="95" t="str">
        <f>IF(ISNUMBER($B$537), IF($C620&lt;&gt;"", IF('Cost Inputs'!$L$167="Y", $E620, IF('Cost Inputs'!$L$167="N", IF(AND(ISNUMBER('Cost Inputs'!$M$167), OR('Cost Inputs'!$M$167=2)), $E620, ""),"")),""),"")</f>
        <v/>
      </c>
      <c r="T620" s="95" t="str">
        <f>IF(ISNUMBER($B$537), IF($C620&lt;&gt;"", IF('Cost Inputs'!$L$167="Y", $E620, IF('Cost Inputs'!$L$167="N", IF(AND(ISNUMBER('Cost Inputs'!$M$167), OR('Cost Inputs'!$M$167=3)), $E620, ""),"")),""),"")</f>
        <v/>
      </c>
      <c r="U620" s="95" t="str">
        <f>IF(ISNUMBER($B$537), IF($C620&lt;&gt;"", IF('Cost Inputs'!$L$167="Y", $E620, IF('Cost Inputs'!$L$167="N", IF(AND(ISNUMBER('Cost Inputs'!$M$167), OR('Cost Inputs'!$M$167=2, 'Cost Inputs'!$M$167=4)), $E620, ""),"")),""),"")</f>
        <v/>
      </c>
      <c r="V620" s="95" t="str">
        <f>IF(ISNUMBER($B$537), IF($C620&lt;&gt;"", IF('Cost Inputs'!$L$167="Y", $E620, IF('Cost Inputs'!$L$167="N", IF(AND(ISNUMBER('Cost Inputs'!$M$167), OR('Cost Inputs'!$M$167=2,'Cost Inputs'!$M$167=5)), $E620, ""),"")),""),"")</f>
        <v/>
      </c>
      <c r="W620" s="95" t="str">
        <f>IF(ISNUMBER($B$537), IF($C620&lt;&gt;"", IF('Cost Inputs'!$L$167="Y", $E620, IF('Cost Inputs'!$L$167="N", IF(AND(ISNUMBER('Cost Inputs'!$M$167), OR('Cost Inputs'!$M$167=2,'Cost Inputs'!$M$167=3,'Cost Inputs'!$M$167=6)), $E620, ""),"")),""),"")</f>
        <v/>
      </c>
      <c r="X620" s="95" t="str">
        <f>IF(ISNUMBER($B$537), IF($C620&lt;&gt;"", IF('Cost Inputs'!$L$167="Y", $E620, IF('Cost Inputs'!$L$167="N", IF(AND(ISNUMBER('Cost Inputs'!$M$167), OR('Cost Inputs'!$M$167=2,'Cost Inputs'!$M$167=7)), $E620, ""),"")),""),"")</f>
        <v/>
      </c>
      <c r="Y620" s="95" t="str">
        <f>IF(ISNUMBER($B$537), IF($C620&lt;&gt;"", IF('Cost Inputs'!$L$167="Y", $E620, IF('Cost Inputs'!$L$167="N", IF(AND(ISNUMBER('Cost Inputs'!$M$167), OR('Cost Inputs'!$M$167=2,'Cost Inputs'!$M$167=4,'Cost Inputs'!$M$167=8)), $E620, ""),"")),""),"")</f>
        <v/>
      </c>
      <c r="Z620" s="95" t="str">
        <f>IF(ISNUMBER($B$537), IF($C620&lt;&gt;"", IF('Cost Inputs'!$L$167="Y", $E620, IF('Cost Inputs'!$L$167="N", IF(AND(ISNUMBER('Cost Inputs'!$M$167), OR('Cost Inputs'!$M$167=2,'Cost Inputs'!$M$167=3,'Cost Inputs'!$M$167=9)), $E620, ""),"")),""),"")</f>
        <v/>
      </c>
    </row>
    <row r="621" spans="1:27" x14ac:dyDescent="0.25">
      <c r="A621" s="518" t="str">
        <f>Fifth_Stage</f>
        <v>Stage 3 Clonal Replication with Increased Repetitions</v>
      </c>
      <c r="B621" s="503" t="str">
        <f>'Breeding Inputs'!B104</f>
        <v/>
      </c>
      <c r="C621" s="520" t="str">
        <f>IF(ISNUMBER(B621), _5_3_0, "")</f>
        <v/>
      </c>
      <c r="D621" s="92" t="str">
        <f>IF(AND(C621&lt;&gt;"", 'Cost Inputs'!$G$146&lt;&gt;""), 'Cost Inputs'!$G$146, "")</f>
        <v/>
      </c>
      <c r="E621" s="92" t="str">
        <f>IF(AND(C621&lt;&gt;"", 'Cost Inputs'!$H$146&lt;&gt;""), 'Cost Inputs'!$H$146, "")</f>
        <v/>
      </c>
      <c r="F621" s="522" t="str">
        <f>IF(AND(C621&lt;&gt;"", 'Cost Inputs'!$I$146&lt;&gt;""), 'Cost Inputs'!$I$146, "")</f>
        <v/>
      </c>
      <c r="G621" s="100" t="str">
        <f t="shared" si="462"/>
        <v/>
      </c>
      <c r="H621" s="522" t="str">
        <f>IF(AND(C621&lt;&gt;"", 'Cost Inputs'!$J$146&lt;&gt;""), 'Cost Inputs'!$J$146, "")</f>
        <v/>
      </c>
      <c r="I621" s="100" t="str">
        <f>IF($C621&lt;&gt;"",IF(AND($E621&lt;&gt;"",H621&lt;&gt;""), H621/$E621, 0),"")</f>
        <v/>
      </c>
      <c r="J621" s="522" t="str">
        <f>IF(AND(C621&lt;&gt;"",('Cost Inputs'!$I$146+'Cost Inputs'!$J$146+'Cost Inputs'!$K$146)&gt;0), 'Cost Inputs'!$I$146+'Cost Inputs'!$J$146+'Cost Inputs'!$K$146, "")</f>
        <v/>
      </c>
      <c r="K621" s="100" t="str">
        <f>IF($C621&lt;&gt;"",IF(AND($E621&lt;&gt;"",J621&lt;&gt;""), J621/$E621, 0),"")</f>
        <v/>
      </c>
      <c r="L621" s="92"/>
      <c r="M621" s="101"/>
      <c r="R621" s="492" t="str">
        <f>IF(ISNUMBER($B$537), IF($C621&lt;&gt;"", IF('Cost Inputs'!$L$146="Y", $E621, IF('Cost Inputs'!$L$146="N", IF(ISNUMBER('Cost Inputs'!$M$146), $E621, ""),"")),""),"")</f>
        <v/>
      </c>
      <c r="S621" s="492" t="str">
        <f>IF(ISNUMBER($B$537), IF($C621&lt;&gt;"", IF('Cost Inputs'!$L$146="Y", $E621, IF('Cost Inputs'!$L$146="N", "", "")),""),"")</f>
        <v/>
      </c>
      <c r="T621" s="492" t="str">
        <f>IF(ISNUMBER($B$537), IF($C621&lt;&gt;"", IF('Cost Inputs'!$L$146="Y", $E621, IF('Cost Inputs'!$L$146="N", IF(AND(ISNUMBER('Cost Inputs'!$M$146), OR('Cost Inputs'!$M$146=2)), $E621, ""),"")),""),"")</f>
        <v/>
      </c>
      <c r="U621" s="492" t="str">
        <f>IF(ISNUMBER($B$537), IF($C621&lt;&gt;"", IF('Cost Inputs'!$L$146="Y", $E621, IF('Cost Inputs'!$L$146="N", IF(AND(ISNUMBER('Cost Inputs'!$M$146), OR('Cost Inputs'!$M$146=3)), $E621, ""),"")),""),"")</f>
        <v/>
      </c>
      <c r="V621" s="492" t="str">
        <f>IF(ISNUMBER($B$537), IF($C621&lt;&gt;"", IF('Cost Inputs'!$L$146="Y", $E621, IF('Cost Inputs'!$L$146="N", IF(AND(ISNUMBER('Cost Inputs'!$M$146), OR('Cost Inputs'!$M$146=2, 'Cost Inputs'!$M$146=4)), $E621, ""),"")),""),"")</f>
        <v/>
      </c>
      <c r="W621" s="492" t="str">
        <f>IF(ISNUMBER($B$537), IF($C621&lt;&gt;"", IF('Cost Inputs'!$L$146="Y", $E621, IF('Cost Inputs'!$L$146="N", IF(AND(ISNUMBER('Cost Inputs'!$M$146), OR('Cost Inputs'!$M$146=2,'Cost Inputs'!$M$146=5)), $E621, ""),"")),""),"")</f>
        <v/>
      </c>
      <c r="X621" s="492" t="str">
        <f>IF(ISNUMBER($B$537), IF($C621&lt;&gt;"", IF('Cost Inputs'!$L$146="Y", $E621, IF('Cost Inputs'!$L$146="N", IF(AND(ISNUMBER('Cost Inputs'!$M$146), OR('Cost Inputs'!$M$146=2,'Cost Inputs'!$M$146=3,'Cost Inputs'!$M$146=6)), $E621, ""),"")),""),"")</f>
        <v/>
      </c>
      <c r="Y621" s="492" t="str">
        <f>IF(ISNUMBER($B$537), IF($C621&lt;&gt;"", IF('Cost Inputs'!$L$146="Y", $E621, IF('Cost Inputs'!$L$146="N", IF(AND(ISNUMBER('Cost Inputs'!$M$146), OR('Cost Inputs'!$M$146=2,'Cost Inputs'!$M$146=7)), $E621, ""),"")),""),"")</f>
        <v/>
      </c>
      <c r="Z621" s="492" t="str">
        <f>IF(ISNUMBER($B$537), IF($C621&lt;&gt;"", IF('Cost Inputs'!$L$146="Y", $E621, IF('Cost Inputs'!$L$146="N", IF(AND(ISNUMBER('Cost Inputs'!$M$146), OR('Cost Inputs'!$M$146=2,'Cost Inputs'!$M$146=4,'Cost Inputs'!$M$146=8)), $E621, ""),"")),""),"")</f>
        <v/>
      </c>
      <c r="AA621" s="492" t="str">
        <f>IF(ISNUMBER($B$537), IF($C621&lt;&gt;"", IF('Cost Inputs'!$L$146="Y", $E621, IF('Cost Inputs'!$L$146="N", IF(AND(ISNUMBER('Cost Inputs'!$M$146), OR('Cost Inputs'!$M$146=2,'Cost Inputs'!$M$146=3,'Cost Inputs'!$M$146=9)), $E621, ""),"")),""),"")</f>
        <v/>
      </c>
    </row>
    <row r="622" spans="1:27" x14ac:dyDescent="0.25">
      <c r="A622" s="518"/>
      <c r="B622" s="504"/>
      <c r="C622" s="521"/>
      <c r="D622" s="94" t="str">
        <f>IF(AND(C621&lt;&gt;"", 'Cost Inputs'!$G$147&lt;&gt;""), 'Cost Inputs'!$G$147, "")</f>
        <v/>
      </c>
      <c r="E622" s="94" t="str">
        <f>IF(AND(C621&lt;&gt;"", 'Cost Inputs'!$H$147&lt;&gt;""), 'Cost Inputs'!$H$147, "")</f>
        <v/>
      </c>
      <c r="F622" s="492"/>
      <c r="G622" s="102" t="str">
        <f t="shared" si="462"/>
        <v/>
      </c>
      <c r="H622" s="492"/>
      <c r="I622" s="102" t="str">
        <f>IF($C621&lt;&gt;"", IF(AND($E622&lt;&gt;"", H621&lt;&gt;""), H621/($E621*$E622), 0), "")</f>
        <v/>
      </c>
      <c r="J622" s="492" t="str">
        <f>IF(AND(C622&lt;&gt;"",('Cost Inputs'!$I$86+'Cost Inputs'!$J$86+'Cost Inputs'!$K$86)&gt;0), 'Cost Inputs'!$I$86+'Cost Inputs'!$J$86+'Cost Inputs'!$K$86, "")</f>
        <v/>
      </c>
      <c r="K622" s="102" t="str">
        <f>IF($C621&lt;&gt;"", IF(AND($E622&lt;&gt;"", J621&lt;&gt;""), J621/($E621*$E622), 0), "")</f>
        <v/>
      </c>
      <c r="L622" s="94"/>
      <c r="M622" s="103"/>
      <c r="R622" s="492" t="str">
        <f>IF(ISNUMBER($B$537), IF($C622&lt;&gt;"", IF('Cost Inputs'!$L213="Y", $E622, IF('Cost Inputs'!$L213="N", IF(ISNUMBER('Cost Inputs'!$M213), $E622, ""),"")),""),"")</f>
        <v/>
      </c>
      <c r="S622" s="492" t="str">
        <f>IF(ISNUMBER($B$537), IF($C622&lt;&gt;"", IF('Cost Inputs'!$L213="Y", $E622, IF('Cost Inputs'!$L213="N", "", "")),""),"")</f>
        <v/>
      </c>
      <c r="T622" s="492" t="str">
        <f>IF(ISNUMBER($B$537), IF($C622&lt;&gt;"", IF('Cost Inputs'!$L213="Y", $E622, IF('Cost Inputs'!$L213="N", IF(AND(ISNUMBER('Cost Inputs'!$M213), OR('Cost Inputs'!$M213=2)), $E622, ""),"")),""),"")</f>
        <v/>
      </c>
      <c r="U622" s="492" t="str">
        <f>IF(ISNUMBER($B$537), IF($C622&lt;&gt;"", IF('Cost Inputs'!$L213="Y", $E622, IF('Cost Inputs'!$L213="N", IF(AND(ISNUMBER('Cost Inputs'!$M213), OR('Cost Inputs'!$M213=3)), $E622, ""),"")),""),"")</f>
        <v/>
      </c>
      <c r="V622" s="492" t="str">
        <f>IF(ISNUMBER($B$537), IF($C622&lt;&gt;"", IF('Cost Inputs'!$L213="Y", $E622, IF('Cost Inputs'!$L213="N", IF(AND(ISNUMBER('Cost Inputs'!$M213), OR('Cost Inputs'!$M213=2, 'Cost Inputs'!$M213=4)), $E622, ""),"")),""),"")</f>
        <v/>
      </c>
      <c r="W622" s="492" t="str">
        <f>IF(ISNUMBER($B$537), IF($C622&lt;&gt;"", IF('Cost Inputs'!$L213="Y", $E622, IF('Cost Inputs'!$L213="N", IF(AND(ISNUMBER('Cost Inputs'!$M213), OR('Cost Inputs'!$M213=2,'Cost Inputs'!$M213=5)), $E622, ""),"")),""),"")</f>
        <v/>
      </c>
      <c r="X622" s="492" t="str">
        <f>IF(ISNUMBER($B$537), IF($C622&lt;&gt;"", IF('Cost Inputs'!$L213="Y", $E622, IF('Cost Inputs'!$L213="N", IF(AND(ISNUMBER('Cost Inputs'!$M213), OR('Cost Inputs'!$M213=2,'Cost Inputs'!$M213=3,'Cost Inputs'!$M213=6)), $E622, ""),"")),""),"")</f>
        <v/>
      </c>
      <c r="Y622" s="492" t="str">
        <f>IF(ISNUMBER($B$537), IF($C622&lt;&gt;"", IF('Cost Inputs'!$L213="Y", $E622, IF('Cost Inputs'!$L213="N", IF(AND(ISNUMBER('Cost Inputs'!$M213), OR('Cost Inputs'!$M213=2,'Cost Inputs'!$M213=7)), $E622, ""),"")),""),"")</f>
        <v/>
      </c>
      <c r="Z622" s="492" t="str">
        <f>IF(ISNUMBER($B$537), IF($C622&lt;&gt;"", IF('Cost Inputs'!$L213="Y", $E622, IF('Cost Inputs'!$L213="N", IF(AND(ISNUMBER('Cost Inputs'!$M213), OR('Cost Inputs'!$M213=2,'Cost Inputs'!$M213=4,'Cost Inputs'!$M213=8)), $E622, ""),"")),""),"")</f>
        <v/>
      </c>
      <c r="AA622" s="492" t="str">
        <f>IF(ISNUMBER($B$537), IF($C622&lt;&gt;"", IF('Cost Inputs'!$L213="Y", $E622, IF('Cost Inputs'!$L213="N", IF(AND(ISNUMBER('Cost Inputs'!$M213), OR('Cost Inputs'!$M213=2,'Cost Inputs'!$M213=3,'Cost Inputs'!$M213=9)), $E622, ""),"")),""),"")</f>
        <v/>
      </c>
    </row>
    <row r="623" spans="1:27" x14ac:dyDescent="0.25">
      <c r="A623" s="518"/>
      <c r="B623" s="504"/>
      <c r="C623" s="104" t="str">
        <f>IF(AND(ISNUMBER(B621), OR('Cost Inputs'!$H$148&lt;&gt;"", 'Cost Inputs'!$I$148&lt;&gt;"", 'Cost Inputs'!$J$148&lt;&gt;"")), _5_3_1, "")</f>
        <v/>
      </c>
      <c r="D623" s="17" t="str">
        <f>IF(AND(C623&lt;&gt;"", 'Cost Inputs'!$G$148&lt;&gt;""), 'Cost Inputs'!$G$148, "")</f>
        <v/>
      </c>
      <c r="E623" s="17" t="str">
        <f>IF(AND(C623&lt;&gt;"", 'Cost Inputs'!$H$148&lt;&gt;""), 'Cost Inputs'!$H$148, "")</f>
        <v/>
      </c>
      <c r="F623" s="17" t="str">
        <f>IF(AND(C623&lt;&gt;"", 'Cost Inputs'!$I$148&lt;&gt;""), 'Cost Inputs'!$I$148, "")</f>
        <v/>
      </c>
      <c r="G623" s="105" t="str">
        <f t="shared" si="462"/>
        <v/>
      </c>
      <c r="H623" s="17" t="str">
        <f>IF(AND(C623&lt;&gt;"", 'Cost Inputs'!$J$148&lt;&gt;""), 'Cost Inputs'!$J$148, "")</f>
        <v/>
      </c>
      <c r="I623" s="17" t="str">
        <f t="shared" ref="I623:I631" si="463">IF($C623&lt;&gt;"", IF(AND($E623&lt;&gt;"", H623&lt;&gt;""), H623/$E623, 0),"")</f>
        <v/>
      </c>
      <c r="J623" s="17" t="str">
        <f>IF(AND(C623&lt;&gt;"",('Cost Inputs'!$I$148+'Cost Inputs'!$J$148+'Cost Inputs'!$K$148)&gt;0), 'Cost Inputs'!$I$148+'Cost Inputs'!$J$148+'Cost Inputs'!$K$148, "")</f>
        <v/>
      </c>
      <c r="K623" s="17" t="str">
        <f t="shared" ref="K623:K631" si="464">IF($C623&lt;&gt;"", IF(AND($E623&lt;&gt;"", J623&lt;&gt;""), J623/$E623, 0),"")</f>
        <v/>
      </c>
      <c r="M623" s="106"/>
      <c r="R623" s="17" t="str">
        <f>IF(ISNUMBER($B$537), IF($C623&lt;&gt;"", IF('Cost Inputs'!$L$148="Y", $E623, IF('Cost Inputs'!$L$148="N", IF(ISNUMBER('Cost Inputs'!$M$148), $E623, ""),"")),""),"")</f>
        <v/>
      </c>
      <c r="S623" s="17" t="str">
        <f>IF(ISNUMBER($B$537), IF($C623&lt;&gt;"", IF('Cost Inputs'!$L$148="Y", $E623, IF('Cost Inputs'!$L$148="N", "", "")),""),"")</f>
        <v/>
      </c>
      <c r="T623" s="17" t="str">
        <f>IF(ISNUMBER($B$537), IF($C623&lt;&gt;"", IF('Cost Inputs'!$L$148="Y", $E623, IF('Cost Inputs'!$L$148="N", IF(AND(ISNUMBER('Cost Inputs'!$M$148), OR('Cost Inputs'!$M$148=2)), $E623, ""),"")),""),"")</f>
        <v/>
      </c>
      <c r="U623" s="17" t="str">
        <f>IF(ISNUMBER($B$537), IF($C623&lt;&gt;"", IF('Cost Inputs'!$L$148="Y", $E623, IF('Cost Inputs'!$L$148="N", IF(AND(ISNUMBER('Cost Inputs'!$M$148), OR('Cost Inputs'!$M$148=3)), $E623, ""),"")),""),"")</f>
        <v/>
      </c>
      <c r="V623" s="17" t="str">
        <f>IF(ISNUMBER($B$537), IF($C623&lt;&gt;"", IF('Cost Inputs'!$L$148="Y", $E623, IF('Cost Inputs'!$L$148="N", IF(AND(ISNUMBER('Cost Inputs'!$M$148), OR('Cost Inputs'!$M$148=2, 'Cost Inputs'!$M$148=4)), $E623, ""),"")),""),"")</f>
        <v/>
      </c>
      <c r="W623" s="17" t="str">
        <f>IF(ISNUMBER($B$537), IF($C623&lt;&gt;"", IF('Cost Inputs'!$L$148="Y", $E623, IF('Cost Inputs'!$L$148="N", IF(AND(ISNUMBER('Cost Inputs'!$M$148), OR('Cost Inputs'!$M$148=2,'Cost Inputs'!$M$148=5)), $E623, ""),"")),""),"")</f>
        <v/>
      </c>
      <c r="X623" s="17" t="str">
        <f>IF(ISNUMBER($B$537), IF($C623&lt;&gt;"", IF('Cost Inputs'!$L$148="Y", $E623, IF('Cost Inputs'!$L$148="N", IF(AND(ISNUMBER('Cost Inputs'!$M$148), OR('Cost Inputs'!$M$148=2,'Cost Inputs'!$M$148=3,'Cost Inputs'!$M$148=6)), $E623, ""),"")),""),"")</f>
        <v/>
      </c>
      <c r="Y623" s="17" t="str">
        <f>IF(ISNUMBER($B$537), IF($C623&lt;&gt;"", IF('Cost Inputs'!$L$148="Y", $E623, IF('Cost Inputs'!$L$148="N", IF(AND(ISNUMBER('Cost Inputs'!$M$148), OR('Cost Inputs'!$M$148=2,'Cost Inputs'!$M$148=7)), $E623, ""),"")),""),"")</f>
        <v/>
      </c>
      <c r="Z623" s="17" t="str">
        <f>IF(ISNUMBER($B$537), IF($C623&lt;&gt;"", IF('Cost Inputs'!$L$148="Y", $E623, IF('Cost Inputs'!$L$148="N", IF(AND(ISNUMBER('Cost Inputs'!$M$148), OR('Cost Inputs'!$M$148=2,'Cost Inputs'!$M$148=4,'Cost Inputs'!$M$148=8)), $E623, ""),"")),""),"")</f>
        <v/>
      </c>
      <c r="AA623" s="17" t="str">
        <f>IF(ISNUMBER($B$537), IF($C623&lt;&gt;"", IF('Cost Inputs'!$L$148="Y", $E623, IF('Cost Inputs'!$L$148="N", IF(AND(ISNUMBER('Cost Inputs'!$M$148), OR('Cost Inputs'!$M$148=2,'Cost Inputs'!$M$148=3,'Cost Inputs'!$M$148=9)), $E623, ""),"")),""),"")</f>
        <v/>
      </c>
    </row>
    <row r="624" spans="1:27" x14ac:dyDescent="0.25">
      <c r="A624" s="518"/>
      <c r="B624" s="504"/>
      <c r="C624" s="107" t="str">
        <f>IF(AND(ISNUMBER(B621), OR('Cost Inputs'!$H$149&lt;&gt;"", 'Cost Inputs'!$I$149&lt;&gt;"", 'Cost Inputs'!$J$149&lt;&gt;"")), _5_3_2, "")</f>
        <v/>
      </c>
      <c r="D624" s="93" t="str">
        <f>IF(AND(C624&lt;&gt;"", 'Cost Inputs'!$G$149&lt;&gt;""), 'Cost Inputs'!$G$149, "")</f>
        <v/>
      </c>
      <c r="E624" s="93" t="str">
        <f>IF(AND(C624&lt;&gt;"", 'Cost Inputs'!$H$149&lt;&gt;""), 'Cost Inputs'!$H$149, "")</f>
        <v/>
      </c>
      <c r="F624" s="93" t="str">
        <f>IF(AND(C624&lt;&gt;"", 'Cost Inputs'!$I$149&lt;&gt;""), 'Cost Inputs'!$I$149, "")</f>
        <v/>
      </c>
      <c r="G624" s="108" t="str">
        <f t="shared" si="462"/>
        <v/>
      </c>
      <c r="H624" s="93" t="str">
        <f>IF(AND(C624&lt;&gt;"", 'Cost Inputs'!$J$149&lt;&gt;""), 'Cost Inputs'!$J$149, "")</f>
        <v/>
      </c>
      <c r="I624" s="93" t="str">
        <f t="shared" si="463"/>
        <v/>
      </c>
      <c r="J624" s="93" t="str">
        <f>IF(AND(C624&lt;&gt;"",('Cost Inputs'!$I$149+'Cost Inputs'!$J$149+'Cost Inputs'!$K$149)&gt;0), 'Cost Inputs'!$I$149+'Cost Inputs'!$J$149+'Cost Inputs'!$K$149, "")</f>
        <v/>
      </c>
      <c r="K624" s="93" t="str">
        <f t="shared" si="464"/>
        <v/>
      </c>
      <c r="L624" s="93"/>
      <c r="M624" s="109"/>
      <c r="R624" s="93" t="str">
        <f>IF(ISNUMBER($B$537), IF($C624&lt;&gt;"", IF('Cost Inputs'!$L$149="Y", $E624, IF('Cost Inputs'!$L$149="N", IF(ISNUMBER('Cost Inputs'!$M$149), $E624, ""),"")),""),"")</f>
        <v/>
      </c>
      <c r="S624" s="93" t="str">
        <f>IF(ISNUMBER($B$537), IF($C624&lt;&gt;"", IF('Cost Inputs'!$L$149="Y", $E624, IF('Cost Inputs'!$L$149="N", "", "")),""),"")</f>
        <v/>
      </c>
      <c r="T624" s="93" t="str">
        <f>IF(ISNUMBER($B$537), IF($C624&lt;&gt;"", IF('Cost Inputs'!$L$149="Y", $E624, IF('Cost Inputs'!$L$149="N", IF(AND(ISNUMBER('Cost Inputs'!$M$149), OR('Cost Inputs'!$M$149=2)), $E624, ""),"")),""),"")</f>
        <v/>
      </c>
      <c r="U624" s="93" t="str">
        <f>IF(ISNUMBER($B$537), IF($C624&lt;&gt;"", IF('Cost Inputs'!$L$149="Y", $E624, IF('Cost Inputs'!$L$149="N", IF(AND(ISNUMBER('Cost Inputs'!$M$149), OR('Cost Inputs'!$M$149=3)), $E624, ""),"")),""),"")</f>
        <v/>
      </c>
      <c r="V624" s="93" t="str">
        <f>IF(ISNUMBER($B$537), IF($C624&lt;&gt;"", IF('Cost Inputs'!$L$149="Y", $E624, IF('Cost Inputs'!$L$149="N", IF(AND(ISNUMBER('Cost Inputs'!$M$149), OR('Cost Inputs'!$M$149=2, 'Cost Inputs'!$M$149=4)), $E624, ""),"")),""),"")</f>
        <v/>
      </c>
      <c r="W624" s="93" t="str">
        <f>IF(ISNUMBER($B$537), IF($C624&lt;&gt;"", IF('Cost Inputs'!$L$149="Y", $E624, IF('Cost Inputs'!$L$149="N", IF(AND(ISNUMBER('Cost Inputs'!$M$149), OR('Cost Inputs'!$M$149=2,'Cost Inputs'!$M$149=5)), $E624, ""),"")),""),"")</f>
        <v/>
      </c>
      <c r="X624" s="93" t="str">
        <f>IF(ISNUMBER($B$537), IF($C624&lt;&gt;"", IF('Cost Inputs'!$L$149="Y", $E624, IF('Cost Inputs'!$L$149="N", IF(AND(ISNUMBER('Cost Inputs'!$M$149), OR('Cost Inputs'!$M$149=2,'Cost Inputs'!$M$149=3,'Cost Inputs'!$M$149=6)), $E624, ""),"")),""),"")</f>
        <v/>
      </c>
      <c r="Y624" s="93" t="str">
        <f>IF(ISNUMBER($B$537), IF($C624&lt;&gt;"", IF('Cost Inputs'!$L$149="Y", $E624, IF('Cost Inputs'!$L$149="N", IF(AND(ISNUMBER('Cost Inputs'!$M$149), OR('Cost Inputs'!$M$149=2,'Cost Inputs'!$M$149=7)), $E624, ""),"")),""),"")</f>
        <v/>
      </c>
      <c r="Z624" s="93" t="str">
        <f>IF(ISNUMBER($B$537), IF($C624&lt;&gt;"", IF('Cost Inputs'!$L$149="Y", $E624, IF('Cost Inputs'!$L$149="N", IF(AND(ISNUMBER('Cost Inputs'!$M$149), OR('Cost Inputs'!$M$149=2,'Cost Inputs'!$M$149=4,'Cost Inputs'!$M$149=8)), $E624, ""),"")),""),"")</f>
        <v/>
      </c>
      <c r="AA624" s="93" t="str">
        <f>IF(ISNUMBER($B$537), IF($C624&lt;&gt;"", IF('Cost Inputs'!$L$149="Y", $E624, IF('Cost Inputs'!$L$149="N", IF(AND(ISNUMBER('Cost Inputs'!$M$149), OR('Cost Inputs'!$M$149=2,'Cost Inputs'!$M$149=3,'Cost Inputs'!$M$149=9)), $E624, ""),"")),""),"")</f>
        <v/>
      </c>
    </row>
    <row r="625" spans="1:27" x14ac:dyDescent="0.25">
      <c r="A625" s="518"/>
      <c r="B625" s="504"/>
      <c r="C625" s="110" t="str">
        <f>IF(ISNUMBER(B621), _5_4_0, "")</f>
        <v/>
      </c>
      <c r="D625" s="94" t="str">
        <f>IF(AND(C625&lt;&gt;"", 'Cost Inputs'!$G$150&lt;&gt;""), 'Cost Inputs'!$G$150, "")</f>
        <v/>
      </c>
      <c r="E625" s="94" t="str">
        <f>IF(AND(C625&lt;&gt;"", 'Cost Inputs'!$H$150&lt;&gt;""), 'Cost Inputs'!$H$150, "")</f>
        <v/>
      </c>
      <c r="F625" s="94" t="str">
        <f>IF(AND(C625&lt;&gt;"", 'Cost Inputs'!$I$150&lt;&gt;""), 'Cost Inputs'!$I$150, "")</f>
        <v/>
      </c>
      <c r="G625" s="102" t="str">
        <f t="shared" si="462"/>
        <v/>
      </c>
      <c r="H625" s="102" t="str">
        <f>IF(AND(C625&lt;&gt;"", 'Cost Inputs'!$J$150&lt;&gt;""), 'Cost Inputs'!$J$150, "")</f>
        <v/>
      </c>
      <c r="I625" s="102" t="str">
        <f t="shared" si="463"/>
        <v/>
      </c>
      <c r="J625" s="102" t="str">
        <f>IF(AND(C625&lt;&gt;"",('Cost Inputs'!$I$150+'Cost Inputs'!$J$150+'Cost Inputs'!$K$150)&gt;0), 'Cost Inputs'!$I$150+'Cost Inputs'!$J$150+'Cost Inputs'!$K$150, "")</f>
        <v/>
      </c>
      <c r="K625" s="102" t="str">
        <f t="shared" si="464"/>
        <v/>
      </c>
      <c r="L625" s="94"/>
      <c r="M625" s="103"/>
      <c r="R625" s="102" t="str">
        <f>IF(ISNUMBER($B$537), IF($C625&lt;&gt;"", IF('Cost Inputs'!$L$150="Y", $E625, IF('Cost Inputs'!$L$150="N", IF(ISNUMBER('Cost Inputs'!$M$150), $E625, ""),"")),""),"")</f>
        <v/>
      </c>
      <c r="S625" s="102" t="str">
        <f>IF(ISNUMBER($B$537), IF($C625&lt;&gt;"", IF('Cost Inputs'!$L$150="Y", $E625, IF('Cost Inputs'!$L$150="N", "", "")),""),"")</f>
        <v/>
      </c>
      <c r="T625" s="102" t="str">
        <f>IF(ISNUMBER($B$537), IF($C625&lt;&gt;"", IF('Cost Inputs'!$L$150="Y", $E625, IF('Cost Inputs'!$L$150="N", IF(AND(ISNUMBER('Cost Inputs'!$M$150), OR('Cost Inputs'!$M$150=2)), $E625, ""),"")),""),"")</f>
        <v/>
      </c>
      <c r="U625" s="102" t="str">
        <f>IF(ISNUMBER($B$537), IF($C625&lt;&gt;"", IF('Cost Inputs'!$L$150="Y", $E625, IF('Cost Inputs'!$L$150="N", IF(AND(ISNUMBER('Cost Inputs'!$M$150), OR('Cost Inputs'!$M$150=3)), $E625, ""),"")),""),"")</f>
        <v/>
      </c>
      <c r="V625" s="102" t="str">
        <f>IF(ISNUMBER($B$537), IF($C625&lt;&gt;"", IF('Cost Inputs'!$L$150="Y", $E625, IF('Cost Inputs'!$L$150="N", IF(AND(ISNUMBER('Cost Inputs'!$M$150), OR('Cost Inputs'!$M$150=2, 'Cost Inputs'!$M$150=4)), $E625, ""),"")),""),"")</f>
        <v/>
      </c>
      <c r="W625" s="102" t="str">
        <f>IF(ISNUMBER($B$537), IF($C625&lt;&gt;"", IF('Cost Inputs'!$L$150="Y", $E625, IF('Cost Inputs'!$L$150="N", IF(AND(ISNUMBER('Cost Inputs'!$M$150), OR('Cost Inputs'!$M$150=2,'Cost Inputs'!$M$150=5)), $E625, ""),"")),""),"")</f>
        <v/>
      </c>
      <c r="X625" s="102" t="str">
        <f>IF(ISNUMBER($B$537), IF($C625&lt;&gt;"", IF('Cost Inputs'!$L$150="Y", $E625, IF('Cost Inputs'!$L$150="N", IF(AND(ISNUMBER('Cost Inputs'!$M$150), OR('Cost Inputs'!$M$150=2,'Cost Inputs'!$M$150=3,'Cost Inputs'!$M$150=6)), $E625, ""),"")),""),"")</f>
        <v/>
      </c>
      <c r="Y625" s="102" t="str">
        <f>IF(ISNUMBER($B$537), IF($C625&lt;&gt;"", IF('Cost Inputs'!$L$150="Y", $E625, IF('Cost Inputs'!$L$150="N", IF(AND(ISNUMBER('Cost Inputs'!$M$150), OR('Cost Inputs'!$M$150=2,'Cost Inputs'!$M$150=7)), $E625, ""),"")),""),"")</f>
        <v/>
      </c>
      <c r="Z625" s="102" t="str">
        <f>IF(ISNUMBER($B$537), IF($C625&lt;&gt;"", IF('Cost Inputs'!$L$150="Y", $E625, IF('Cost Inputs'!$L$150="N", IF(AND(ISNUMBER('Cost Inputs'!$M$150), OR('Cost Inputs'!$M$150=2,'Cost Inputs'!$M$150=4,'Cost Inputs'!$M$150=8)), $E625, ""),"")),""),"")</f>
        <v/>
      </c>
      <c r="AA625" s="102" t="str">
        <f>IF(ISNUMBER($B$537), IF($C625&lt;&gt;"", IF('Cost Inputs'!$L$150="Y", $E625, IF('Cost Inputs'!$L$150="N", IF(AND(ISNUMBER('Cost Inputs'!$M$150), OR('Cost Inputs'!$M$150=2,'Cost Inputs'!$M$150=3,'Cost Inputs'!$M$150=9)), $E625, ""),"")),""),"")</f>
        <v/>
      </c>
    </row>
    <row r="626" spans="1:27" x14ac:dyDescent="0.25">
      <c r="A626" s="518"/>
      <c r="B626" s="504"/>
      <c r="C626" s="104" t="str">
        <f>IF(AND(ISNUMBER(B621), OR('Cost Inputs'!$H$151&lt;&gt;"", 'Cost Inputs'!$I$151&lt;&gt;"", 'Cost Inputs'!$J$151&lt;&gt;"")), _5_4_1, "")</f>
        <v/>
      </c>
      <c r="D626" s="17" t="str">
        <f>IF(AND(C626&lt;&gt;"", 'Cost Inputs'!$G$151&lt;&gt;""), 'Cost Inputs'!$G$151, "")</f>
        <v/>
      </c>
      <c r="E626" s="17" t="str">
        <f>IF(AND(C626&lt;&gt;"", 'Cost Inputs'!$H$151&lt;&gt;""), 'Cost Inputs'!$H$151, "")</f>
        <v/>
      </c>
      <c r="F626" s="17" t="str">
        <f>IF(AND(C626&lt;&gt;"", 'Cost Inputs'!$I$151&lt;&gt;""), 'Cost Inputs'!$I$151, "")</f>
        <v/>
      </c>
      <c r="G626" s="105" t="str">
        <f t="shared" si="462"/>
        <v/>
      </c>
      <c r="H626" s="17" t="str">
        <f>IF(AND(C626&lt;&gt;"", 'Cost Inputs'!$J$151&lt;&gt;""), 'Cost Inputs'!$J$151, "")</f>
        <v/>
      </c>
      <c r="I626" s="17" t="str">
        <f t="shared" si="463"/>
        <v/>
      </c>
      <c r="J626" s="17" t="str">
        <f>IF(AND(C626&lt;&gt;"",('Cost Inputs'!$I$151+'Cost Inputs'!$J$151+'Cost Inputs'!$K$151)&gt;0), 'Cost Inputs'!$I$151+'Cost Inputs'!$J$151+'Cost Inputs'!$K$151, "")</f>
        <v/>
      </c>
      <c r="K626" s="17" t="str">
        <f t="shared" si="464"/>
        <v/>
      </c>
      <c r="M626" s="106"/>
      <c r="R626" s="17" t="str">
        <f>IF(ISNUMBER($B$537), IF($C626&lt;&gt;"", IF('Cost Inputs'!$L$151="Y", $E626, IF('Cost Inputs'!$L$151="N", IF(ISNUMBER('Cost Inputs'!$M$151), $E626, ""),"")),""),"")</f>
        <v/>
      </c>
      <c r="S626" s="17" t="str">
        <f>IF(ISNUMBER($B$537), IF($C626&lt;&gt;"", IF('Cost Inputs'!$L$151="Y", $E626, IF('Cost Inputs'!$L$151="N", "", "")),""),"")</f>
        <v/>
      </c>
      <c r="T626" s="17" t="str">
        <f>IF(ISNUMBER($B$537), IF($C626&lt;&gt;"", IF('Cost Inputs'!$L$151="Y", $E626, IF('Cost Inputs'!$L$151="N", IF(AND(ISNUMBER('Cost Inputs'!$M$151), OR('Cost Inputs'!$M$151=2)), $E626, ""),"")),""),"")</f>
        <v/>
      </c>
      <c r="U626" s="17" t="str">
        <f>IF(ISNUMBER($B$537), IF($C626&lt;&gt;"", IF('Cost Inputs'!$L$151="Y", $E626, IF('Cost Inputs'!$L$151="N", IF(AND(ISNUMBER('Cost Inputs'!$M$151), OR('Cost Inputs'!$M$151=3)), $E626, ""),"")),""),"")</f>
        <v/>
      </c>
      <c r="V626" s="17" t="str">
        <f>IF(ISNUMBER($B$537), IF($C626&lt;&gt;"", IF('Cost Inputs'!$L$151="Y", $E626, IF('Cost Inputs'!$L$151="N", IF(AND(ISNUMBER('Cost Inputs'!$M$151), OR('Cost Inputs'!$M$151=2, 'Cost Inputs'!$M$151=4)), $E626, ""),"")),""),"")</f>
        <v/>
      </c>
      <c r="W626" s="17" t="str">
        <f>IF(ISNUMBER($B$537), IF($C626&lt;&gt;"", IF('Cost Inputs'!$L$151="Y", $E626, IF('Cost Inputs'!$L$151="N", IF(AND(ISNUMBER('Cost Inputs'!$M$151), OR('Cost Inputs'!$M$151=2,'Cost Inputs'!$M$151=5)), $E626, ""),"")),""),"")</f>
        <v/>
      </c>
      <c r="X626" s="17" t="str">
        <f>IF(ISNUMBER($B$537), IF($C626&lt;&gt;"", IF('Cost Inputs'!$L$151="Y", $E626, IF('Cost Inputs'!$L$151="N", IF(AND(ISNUMBER('Cost Inputs'!$M$151), OR('Cost Inputs'!$M$151=2,'Cost Inputs'!$M$151=3,'Cost Inputs'!$M$151=6)), $E626, ""),"")),""),"")</f>
        <v/>
      </c>
      <c r="Y626" s="17" t="str">
        <f>IF(ISNUMBER($B$537), IF($C626&lt;&gt;"", IF('Cost Inputs'!$L$151="Y", $E626, IF('Cost Inputs'!$L$151="N", IF(AND(ISNUMBER('Cost Inputs'!$M$151), OR('Cost Inputs'!$M$151=2,'Cost Inputs'!$M$151=7)), $E626, ""),"")),""),"")</f>
        <v/>
      </c>
      <c r="Z626" s="17" t="str">
        <f>IF(ISNUMBER($B$537), IF($C626&lt;&gt;"", IF('Cost Inputs'!$L$151="Y", $E626, IF('Cost Inputs'!$L$151="N", IF(AND(ISNUMBER('Cost Inputs'!$M$151), OR('Cost Inputs'!$M$151=2,'Cost Inputs'!$M$151=4,'Cost Inputs'!$M$151=8)), $E626, ""),"")),""),"")</f>
        <v/>
      </c>
      <c r="AA626" s="17" t="str">
        <f>IF(ISNUMBER($B$537), IF($C626&lt;&gt;"", IF('Cost Inputs'!$L$151="Y", $E626, IF('Cost Inputs'!$L$151="N", IF(AND(ISNUMBER('Cost Inputs'!$M$151), OR('Cost Inputs'!$M$151=2,'Cost Inputs'!$M$151=3,'Cost Inputs'!$M$151=9)), $E626, ""),"")),""),"")</f>
        <v/>
      </c>
    </row>
    <row r="627" spans="1:27" x14ac:dyDescent="0.25">
      <c r="A627" s="518"/>
      <c r="B627" s="504"/>
      <c r="C627" s="107" t="str">
        <f>IF(AND(ISNUMBER(B621), OR('Cost Inputs'!$H$152&lt;&gt;"", 'Cost Inputs'!$I$152&lt;&gt;"", 'Cost Inputs'!$J$152&lt;&gt;"")), _5_4_2, "")</f>
        <v/>
      </c>
      <c r="D627" s="93" t="str">
        <f>IF(AND(C627&lt;&gt;"", 'Cost Inputs'!$G$152&lt;&gt;""), 'Cost Inputs'!$G$152, "")</f>
        <v/>
      </c>
      <c r="E627" s="93" t="str">
        <f>IF(AND(C627&lt;&gt;"", 'Cost Inputs'!$H$152&lt;&gt;""), 'Cost Inputs'!$H$152, "")</f>
        <v/>
      </c>
      <c r="F627" s="93" t="str">
        <f>IF(AND(C627&lt;&gt;"", 'Cost Inputs'!$I$152&lt;&gt;""), 'Cost Inputs'!$I$152, "")</f>
        <v/>
      </c>
      <c r="G627" s="108" t="str">
        <f t="shared" si="462"/>
        <v/>
      </c>
      <c r="H627" s="93" t="str">
        <f>IF(AND(C627&lt;&gt;"", 'Cost Inputs'!$J$152&lt;&gt;""), 'Cost Inputs'!$J$152, "")</f>
        <v/>
      </c>
      <c r="I627" s="93" t="str">
        <f t="shared" si="463"/>
        <v/>
      </c>
      <c r="J627" s="93" t="str">
        <f>IF(AND(C627&lt;&gt;"",('Cost Inputs'!$I$152+'Cost Inputs'!$J$152+'Cost Inputs'!$K$152)&gt;0), 'Cost Inputs'!$I$152+'Cost Inputs'!$J$152+'Cost Inputs'!$K$152, "")</f>
        <v/>
      </c>
      <c r="K627" s="93" t="str">
        <f t="shared" si="464"/>
        <v/>
      </c>
      <c r="L627" s="93"/>
      <c r="M627" s="109"/>
      <c r="R627" s="93" t="str">
        <f>IF(ISNUMBER($B$537), IF($C627&lt;&gt;"", IF('Cost Inputs'!$L$152="Y", $E627, IF('Cost Inputs'!$L$152="N", IF(ISNUMBER('Cost Inputs'!$M$152), $E627, ""),"")),""),"")</f>
        <v/>
      </c>
      <c r="S627" s="93" t="str">
        <f>IF(ISNUMBER($B$537), IF($C627&lt;&gt;"", IF('Cost Inputs'!$L$152="Y", $E627, IF('Cost Inputs'!$L$152="N", "", "")),""),"")</f>
        <v/>
      </c>
      <c r="T627" s="93" t="str">
        <f>IF(ISNUMBER($B$537), IF($C627&lt;&gt;"", IF('Cost Inputs'!$L$152="Y", $E627, IF('Cost Inputs'!$L$152="N", IF(AND(ISNUMBER('Cost Inputs'!$M$152), OR('Cost Inputs'!$M$152=2)), $E627, ""),"")),""),"")</f>
        <v/>
      </c>
      <c r="U627" s="93" t="str">
        <f>IF(ISNUMBER($B$537), IF($C627&lt;&gt;"", IF('Cost Inputs'!$L$152="Y", $E627, IF('Cost Inputs'!$L$152="N", IF(AND(ISNUMBER('Cost Inputs'!$M$152), OR('Cost Inputs'!$M$152=3)), $E627, ""),"")),""),"")</f>
        <v/>
      </c>
      <c r="V627" s="93" t="str">
        <f>IF(ISNUMBER($B$537), IF($C627&lt;&gt;"", IF('Cost Inputs'!$L$152="Y", $E627, IF('Cost Inputs'!$L$152="N", IF(AND(ISNUMBER('Cost Inputs'!$M$152), OR('Cost Inputs'!$M$152=2, 'Cost Inputs'!$M$152=4)), $E627, ""),"")),""),"")</f>
        <v/>
      </c>
      <c r="W627" s="93" t="str">
        <f>IF(ISNUMBER($B$537), IF($C627&lt;&gt;"", IF('Cost Inputs'!$L$152="Y", $E627, IF('Cost Inputs'!$L$152="N", IF(AND(ISNUMBER('Cost Inputs'!$M$152), OR('Cost Inputs'!$M$152=2,'Cost Inputs'!$M$152=5)), $E627, ""),"")),""),"")</f>
        <v/>
      </c>
      <c r="X627" s="93" t="str">
        <f>IF(ISNUMBER($B$537), IF($C627&lt;&gt;"", IF('Cost Inputs'!$L$152="Y", $E627, IF('Cost Inputs'!$L$152="N", IF(AND(ISNUMBER('Cost Inputs'!$M$152), OR('Cost Inputs'!$M$152=2,'Cost Inputs'!$M$152=3,'Cost Inputs'!$M$152=6)), $E627, ""),"")),""),"")</f>
        <v/>
      </c>
      <c r="Y627" s="93" t="str">
        <f>IF(ISNUMBER($B$537), IF($C627&lt;&gt;"", IF('Cost Inputs'!$L$152="Y", $E627, IF('Cost Inputs'!$L$152="N", IF(AND(ISNUMBER('Cost Inputs'!$M$152), OR('Cost Inputs'!$M$152=2,'Cost Inputs'!$M$152=7)), $E627, ""),"")),""),"")</f>
        <v/>
      </c>
      <c r="Z627" s="93" t="str">
        <f>IF(ISNUMBER($B$537), IF($C627&lt;&gt;"", IF('Cost Inputs'!$L$152="Y", $E627, IF('Cost Inputs'!$L$152="N", IF(AND(ISNUMBER('Cost Inputs'!$M$152), OR('Cost Inputs'!$M$152=2,'Cost Inputs'!$M$152=4,'Cost Inputs'!$M$152=8)), $E627, ""),"")),""),"")</f>
        <v/>
      </c>
      <c r="AA627" s="93" t="str">
        <f>IF(ISNUMBER($B$537), IF($C627&lt;&gt;"", IF('Cost Inputs'!$L$152="Y", $E627, IF('Cost Inputs'!$L$152="N", IF(AND(ISNUMBER('Cost Inputs'!$M$152), OR('Cost Inputs'!$M$152=2,'Cost Inputs'!$M$152=3,'Cost Inputs'!$M$152=9)), $E627, ""),"")),""),"")</f>
        <v/>
      </c>
    </row>
    <row r="628" spans="1:27" x14ac:dyDescent="0.25">
      <c r="A628" s="518"/>
      <c r="B628" s="504"/>
      <c r="C628" s="104" t="str">
        <f>IF(AND(ISNUMBER(B621), OR('Cost Inputs'!$H$153&lt;&gt;"", 'Cost Inputs'!$I$153&lt;&gt;"", 'Cost Inputs'!$J$153&lt;&gt;"")), _5_4_3, "")</f>
        <v/>
      </c>
      <c r="D628" s="17" t="str">
        <f>IF(AND(C628&lt;&gt;"", 'Cost Inputs'!$G$153&lt;&gt;""), 'Cost Inputs'!$G$153, "")</f>
        <v/>
      </c>
      <c r="E628" s="17" t="str">
        <f>IF(AND(C628&lt;&gt;"", 'Cost Inputs'!$H$153&lt;&gt;""), 'Cost Inputs'!$H$153, "")</f>
        <v/>
      </c>
      <c r="F628" s="17" t="str">
        <f>IF(AND(C628&lt;&gt;"", 'Cost Inputs'!$I$153&lt;&gt;""), 'Cost Inputs'!$I$153, "")</f>
        <v/>
      </c>
      <c r="G628" s="105" t="str">
        <f t="shared" si="462"/>
        <v/>
      </c>
      <c r="H628" s="17" t="str">
        <f>IF(AND(C628&lt;&gt;"", 'Cost Inputs'!$J$153&lt;&gt;""), 'Cost Inputs'!$J$153, "")</f>
        <v/>
      </c>
      <c r="I628" s="17" t="str">
        <f t="shared" si="463"/>
        <v/>
      </c>
      <c r="J628" s="17" t="str">
        <f>IF(AND(C628&lt;&gt;"",('Cost Inputs'!$I$153+'Cost Inputs'!$J$153+'Cost Inputs'!$K$153)&gt;0), 'Cost Inputs'!$I$153+'Cost Inputs'!$J$153+'Cost Inputs'!$K$153, "")</f>
        <v/>
      </c>
      <c r="K628" s="17" t="str">
        <f t="shared" si="464"/>
        <v/>
      </c>
      <c r="M628" s="106"/>
      <c r="R628" s="17" t="str">
        <f>IF(ISNUMBER($B$537), IF($C628&lt;&gt;"", IF('Cost Inputs'!$L$153="Y", $E628, IF('Cost Inputs'!$L$153="N", IF(ISNUMBER('Cost Inputs'!$M$153), $E628, ""),"")),""),"")</f>
        <v/>
      </c>
      <c r="S628" s="17" t="str">
        <f>IF(ISNUMBER($B$537), IF($C628&lt;&gt;"", IF('Cost Inputs'!$L$153="Y", $E628, IF('Cost Inputs'!$L$153="N", "", "")),""),"")</f>
        <v/>
      </c>
      <c r="T628" s="17" t="str">
        <f>IF(ISNUMBER($B$537), IF($C628&lt;&gt;"", IF('Cost Inputs'!$L$153="Y", $E628, IF('Cost Inputs'!$L$153="N", IF(AND(ISNUMBER('Cost Inputs'!$M$153), OR('Cost Inputs'!$M$153=2)), $E628, ""),"")),""),"")</f>
        <v/>
      </c>
      <c r="U628" s="17" t="str">
        <f>IF(ISNUMBER($B$537), IF($C628&lt;&gt;"", IF('Cost Inputs'!$L$153="Y", $E628, IF('Cost Inputs'!$L$153="N", IF(AND(ISNUMBER('Cost Inputs'!$M$153), OR('Cost Inputs'!$M$153=3)), $E628, ""),"")),""),"")</f>
        <v/>
      </c>
      <c r="V628" s="17" t="str">
        <f>IF(ISNUMBER($B$537), IF($C628&lt;&gt;"", IF('Cost Inputs'!$L$153="Y", $E628, IF('Cost Inputs'!$L$153="N", IF(AND(ISNUMBER('Cost Inputs'!$M$153), OR('Cost Inputs'!$M$153=2, 'Cost Inputs'!$M$153=4)), $E628, ""),"")),""),"")</f>
        <v/>
      </c>
      <c r="W628" s="17" t="str">
        <f>IF(ISNUMBER($B$537), IF($C628&lt;&gt;"", IF('Cost Inputs'!$L$153="Y", $E628, IF('Cost Inputs'!$L$153="N", IF(AND(ISNUMBER('Cost Inputs'!$M$153), OR('Cost Inputs'!$M$153=2,'Cost Inputs'!$M$153=5)), $E628, ""),"")),""),"")</f>
        <v/>
      </c>
      <c r="X628" s="17" t="str">
        <f>IF(ISNUMBER($B$537), IF($C628&lt;&gt;"", IF('Cost Inputs'!$L$153="Y", $E628, IF('Cost Inputs'!$L$153="N", IF(AND(ISNUMBER('Cost Inputs'!$M$153), OR('Cost Inputs'!$M$153=2,'Cost Inputs'!$M$153=3,'Cost Inputs'!$M$153=6)), $E628, ""),"")),""),"")</f>
        <v/>
      </c>
      <c r="Y628" s="17" t="str">
        <f>IF(ISNUMBER($B$537), IF($C628&lt;&gt;"", IF('Cost Inputs'!$L$153="Y", $E628, IF('Cost Inputs'!$L$153="N", IF(AND(ISNUMBER('Cost Inputs'!$M$153), OR('Cost Inputs'!$M$153=2,'Cost Inputs'!$M$153=7)), $E628, ""),"")),""),"")</f>
        <v/>
      </c>
      <c r="Z628" s="17" t="str">
        <f>IF(ISNUMBER($B$537), IF($C628&lt;&gt;"", IF('Cost Inputs'!$L$153="Y", $E628, IF('Cost Inputs'!$L$153="N", IF(AND(ISNUMBER('Cost Inputs'!$M$153), OR('Cost Inputs'!$M$153=2,'Cost Inputs'!$M$153=4,'Cost Inputs'!$M$153=8)), $E628, ""),"")),""),"")</f>
        <v/>
      </c>
      <c r="AA628" s="17" t="str">
        <f>IF(ISNUMBER($B$537), IF($C628&lt;&gt;"", IF('Cost Inputs'!$L$153="Y", $E628, IF('Cost Inputs'!$L$153="N", IF(AND(ISNUMBER('Cost Inputs'!$M$153), OR('Cost Inputs'!$M$153=2,'Cost Inputs'!$M$153=3,'Cost Inputs'!$M$153=9)), $E628, ""),"")),""),"")</f>
        <v/>
      </c>
    </row>
    <row r="629" spans="1:27" x14ac:dyDescent="0.25">
      <c r="A629" s="518"/>
      <c r="B629" s="504"/>
      <c r="C629" s="107" t="str">
        <f>IF(AND(ISNUMBER(B621), OR('Cost Inputs'!$H$154&lt;&gt;"", 'Cost Inputs'!$I$154&lt;&gt;"", 'Cost Inputs'!$J$154&lt;&gt;"")), _5_4_4, "")</f>
        <v/>
      </c>
      <c r="D629" s="93" t="str">
        <f>IF(AND(C629&lt;&gt;"", 'Cost Inputs'!$G$154&lt;&gt;""), 'Cost Inputs'!$G$154, "")</f>
        <v/>
      </c>
      <c r="E629" s="93" t="str">
        <f>IF(AND(C629&lt;&gt;"", 'Cost Inputs'!$H$154&lt;&gt;""), 'Cost Inputs'!$H$154, "")</f>
        <v/>
      </c>
      <c r="F629" s="93" t="str">
        <f>IF(AND(C629&lt;&gt;"", 'Cost Inputs'!$I$154&lt;&gt;""), 'Cost Inputs'!$I$154, "")</f>
        <v/>
      </c>
      <c r="G629" s="108" t="str">
        <f t="shared" si="462"/>
        <v/>
      </c>
      <c r="H629" s="93" t="str">
        <f>IF(AND(C629&lt;&gt;"", 'Cost Inputs'!$J$154&lt;&gt;""), 'Cost Inputs'!$J$154, "")</f>
        <v/>
      </c>
      <c r="I629" s="93" t="str">
        <f t="shared" si="463"/>
        <v/>
      </c>
      <c r="J629" s="93" t="str">
        <f>IF(AND(C629&lt;&gt;"",('Cost Inputs'!$I$154+'Cost Inputs'!$J$154+'Cost Inputs'!$K$154)&gt;0), 'Cost Inputs'!$I$154+'Cost Inputs'!$J$154+'Cost Inputs'!$K$154, "")</f>
        <v/>
      </c>
      <c r="K629" s="93" t="str">
        <f t="shared" si="464"/>
        <v/>
      </c>
      <c r="L629" s="93"/>
      <c r="M629" s="109"/>
      <c r="R629" s="93" t="str">
        <f>IF(ISNUMBER($B$537), IF($C629&lt;&gt;"", IF('Cost Inputs'!$L$154="Y", $E629, IF('Cost Inputs'!$L$154="N", IF(ISNUMBER('Cost Inputs'!$M$154), $E629, ""),"")),""),"")</f>
        <v/>
      </c>
      <c r="S629" s="93" t="str">
        <f>IF(ISNUMBER($B$537), IF($C629&lt;&gt;"", IF('Cost Inputs'!$L$154="Y", $E629, IF('Cost Inputs'!$L$154="N", "", "")),""),"")</f>
        <v/>
      </c>
      <c r="T629" s="93" t="str">
        <f>IF(ISNUMBER($B$537), IF($C629&lt;&gt;"", IF('Cost Inputs'!$L$154="Y", $E629, IF('Cost Inputs'!$L$154="N", IF(AND(ISNUMBER('Cost Inputs'!$M$154), OR('Cost Inputs'!$M$154=2)), $E629, ""),"")),""),"")</f>
        <v/>
      </c>
      <c r="U629" s="93" t="str">
        <f>IF(ISNUMBER($B$537), IF($C629&lt;&gt;"", IF('Cost Inputs'!$L$154="Y", $E629, IF('Cost Inputs'!$L$154="N", IF(AND(ISNUMBER('Cost Inputs'!$M$154), OR('Cost Inputs'!$M$154=3)), $E629, ""),"")),""),"")</f>
        <v/>
      </c>
      <c r="V629" s="93" t="str">
        <f>IF(ISNUMBER($B$537), IF($C629&lt;&gt;"", IF('Cost Inputs'!$L$154="Y", $E629, IF('Cost Inputs'!$L$154="N", IF(AND(ISNUMBER('Cost Inputs'!$M$154), OR('Cost Inputs'!$M$154=2, 'Cost Inputs'!$M$154=4)), $E629, ""),"")),""),"")</f>
        <v/>
      </c>
      <c r="W629" s="93" t="str">
        <f>IF(ISNUMBER($B$537), IF($C629&lt;&gt;"", IF('Cost Inputs'!$L$154="Y", $E629, IF('Cost Inputs'!$L$154="N", IF(AND(ISNUMBER('Cost Inputs'!$M$154), OR('Cost Inputs'!$M$154=2,'Cost Inputs'!$M$154=5)), $E629, ""),"")),""),"")</f>
        <v/>
      </c>
      <c r="X629" s="93" t="str">
        <f>IF(ISNUMBER($B$537), IF($C629&lt;&gt;"", IF('Cost Inputs'!$L$154="Y", $E629, IF('Cost Inputs'!$L$154="N", IF(AND(ISNUMBER('Cost Inputs'!$M$154), OR('Cost Inputs'!$M$154=2,'Cost Inputs'!$M$154=3,'Cost Inputs'!$M$154=6)), $E629, ""),"")),""),"")</f>
        <v/>
      </c>
      <c r="Y629" s="93" t="str">
        <f>IF(ISNUMBER($B$537), IF($C629&lt;&gt;"", IF('Cost Inputs'!$L$154="Y", $E629, IF('Cost Inputs'!$L$154="N", IF(AND(ISNUMBER('Cost Inputs'!$M$154), OR('Cost Inputs'!$M$154=2,'Cost Inputs'!$M$154=7)), $E629, ""),"")),""),"")</f>
        <v/>
      </c>
      <c r="Z629" s="93" t="str">
        <f>IF(ISNUMBER($B$537), IF($C629&lt;&gt;"", IF('Cost Inputs'!$L$154="Y", $E629, IF('Cost Inputs'!$L$154="N", IF(AND(ISNUMBER('Cost Inputs'!$M$154), OR('Cost Inputs'!$M$154=2,'Cost Inputs'!$M$154=4,'Cost Inputs'!$M$154=8)), $E629, ""),"")),""),"")</f>
        <v/>
      </c>
      <c r="AA629" s="93" t="str">
        <f>IF(ISNUMBER($B$537), IF($C629&lt;&gt;"", IF('Cost Inputs'!$L$154="Y", $E629, IF('Cost Inputs'!$L$154="N", IF(AND(ISNUMBER('Cost Inputs'!$M$154), OR('Cost Inputs'!$M$154=2,'Cost Inputs'!$M$154=3,'Cost Inputs'!$M$154=9)), $E629, ""),"")),""),"")</f>
        <v/>
      </c>
    </row>
    <row r="630" spans="1:27" x14ac:dyDescent="0.25">
      <c r="A630" s="518"/>
      <c r="B630" s="504"/>
      <c r="C630" s="104" t="str">
        <f>IF(AND(ISNUMBER(B621), OR('Cost Inputs'!$H$155&lt;&gt;"", 'Cost Inputs'!$I$155&lt;&gt;"", 'Cost Inputs'!$J$155&lt;&gt;"")), _5_4_5, "")</f>
        <v/>
      </c>
      <c r="D630" s="17" t="str">
        <f>IF(AND(C630&lt;&gt;"", 'Cost Inputs'!$G$155&lt;&gt;""), 'Cost Inputs'!$G$155, "")</f>
        <v/>
      </c>
      <c r="E630" s="17" t="str">
        <f>IF(AND(C630&lt;&gt;"", 'Cost Inputs'!$H$155&lt;&gt;""), 'Cost Inputs'!$H$155, "")</f>
        <v/>
      </c>
      <c r="F630" s="17" t="str">
        <f>IF(AND(C630&lt;&gt;"", 'Cost Inputs'!$I$155&lt;&gt;""), 'Cost Inputs'!$I$155, "")</f>
        <v/>
      </c>
      <c r="G630" s="105" t="str">
        <f t="shared" si="462"/>
        <v/>
      </c>
      <c r="H630" s="17" t="str">
        <f>IF(AND(C630&lt;&gt;"", 'Cost Inputs'!$J$155&lt;&gt;""), 'Cost Inputs'!$J$155, "")</f>
        <v/>
      </c>
      <c r="I630" s="17" t="str">
        <f t="shared" si="463"/>
        <v/>
      </c>
      <c r="J630" s="17" t="str">
        <f>IF(AND(C630&lt;&gt;"",('Cost Inputs'!$I$155+'Cost Inputs'!$J$155+'Cost Inputs'!$K$155)&gt;0), 'Cost Inputs'!$I$155+'Cost Inputs'!$J$155+'Cost Inputs'!$K$155, "")</f>
        <v/>
      </c>
      <c r="K630" s="17" t="str">
        <f t="shared" si="464"/>
        <v/>
      </c>
      <c r="M630" s="106"/>
      <c r="R630" s="17" t="str">
        <f>IF(ISNUMBER($B$537), IF($C630&lt;&gt;"", IF('Cost Inputs'!$L$155="Y", $E630, IF('Cost Inputs'!$L$155="N", IF(ISNUMBER('Cost Inputs'!$M$155), $E630, ""),"")),""),"")</f>
        <v/>
      </c>
      <c r="S630" s="17" t="str">
        <f>IF(ISNUMBER($B$537), IF($C630&lt;&gt;"", IF('Cost Inputs'!$L$155="Y", $E630, IF('Cost Inputs'!$L$155="N", "", "")),""),"")</f>
        <v/>
      </c>
      <c r="T630" s="17" t="str">
        <f>IF(ISNUMBER($B$537), IF($C630&lt;&gt;"", IF('Cost Inputs'!$L$155="Y", $E630, IF('Cost Inputs'!$L$155="N", IF(AND(ISNUMBER('Cost Inputs'!$M$155), OR('Cost Inputs'!$M$155=2)), $E630, ""),"")),""),"")</f>
        <v/>
      </c>
      <c r="U630" s="17" t="str">
        <f>IF(ISNUMBER($B$537), IF($C630&lt;&gt;"", IF('Cost Inputs'!$L$155="Y", $E630, IF('Cost Inputs'!$L$155="N", IF(AND(ISNUMBER('Cost Inputs'!$M$155), OR('Cost Inputs'!$M$155=3)), $E630, ""),"")),""),"")</f>
        <v/>
      </c>
      <c r="V630" s="17" t="str">
        <f>IF(ISNUMBER($B$537), IF($C630&lt;&gt;"", IF('Cost Inputs'!$L$155="Y", $E630, IF('Cost Inputs'!$L$155="N", IF(AND(ISNUMBER('Cost Inputs'!$M$155), OR('Cost Inputs'!$M$155=2, 'Cost Inputs'!$M$155=4)), $E630, ""),"")),""),"")</f>
        <v/>
      </c>
      <c r="W630" s="17" t="str">
        <f>IF(ISNUMBER($B$537), IF($C630&lt;&gt;"", IF('Cost Inputs'!$L$155="Y", $E630, IF('Cost Inputs'!$L$155="N", IF(AND(ISNUMBER('Cost Inputs'!$M$155), OR('Cost Inputs'!$M$155=2,'Cost Inputs'!$M$155=5)), $E630, ""),"")),""),"")</f>
        <v/>
      </c>
      <c r="X630" s="17" t="str">
        <f>IF(ISNUMBER($B$537), IF($C630&lt;&gt;"", IF('Cost Inputs'!$L$155="Y", $E630, IF('Cost Inputs'!$L$155="N", IF(AND(ISNUMBER('Cost Inputs'!$M$155), OR('Cost Inputs'!$M$155=2,'Cost Inputs'!$M$155=3,'Cost Inputs'!$M$155=6)), $E630, ""),"")),""),"")</f>
        <v/>
      </c>
      <c r="Y630" s="17" t="str">
        <f>IF(ISNUMBER($B$537), IF($C630&lt;&gt;"", IF('Cost Inputs'!$L$155="Y", $E630, IF('Cost Inputs'!$L$155="N", IF(AND(ISNUMBER('Cost Inputs'!$M$155), OR('Cost Inputs'!$M$155=2,'Cost Inputs'!$M$155=7)), $E630, ""),"")),""),"")</f>
        <v/>
      </c>
      <c r="Z630" s="17" t="str">
        <f>IF(ISNUMBER($B$537), IF($C630&lt;&gt;"", IF('Cost Inputs'!$L$155="Y", $E630, IF('Cost Inputs'!$L$155="N", IF(AND(ISNUMBER('Cost Inputs'!$M$155), OR('Cost Inputs'!$M$155=2,'Cost Inputs'!$M$155=4,'Cost Inputs'!$M$155=8)), $E630, ""),"")),""),"")</f>
        <v/>
      </c>
      <c r="AA630" s="17" t="str">
        <f>IF(ISNUMBER($B$537), IF($C630&lt;&gt;"", IF('Cost Inputs'!$L$155="Y", $E630, IF('Cost Inputs'!$L$155="N", IF(AND(ISNUMBER('Cost Inputs'!$M$155), OR('Cost Inputs'!$M$155=2,'Cost Inputs'!$M$155=3,'Cost Inputs'!$M$155=9)), $E630, ""),"")),""),"")</f>
        <v/>
      </c>
    </row>
    <row r="631" spans="1:27" x14ac:dyDescent="0.25">
      <c r="A631" s="518"/>
      <c r="B631" s="504"/>
      <c r="C631" s="107" t="str">
        <f>IF(AND(ISNUMBER(B621), OR('Cost Inputs'!$H$156&lt;&gt;"", 'Cost Inputs'!$I$156&lt;&gt;"", 'Cost Inputs'!$J$156&lt;&gt;"")), _5_4_6, "")</f>
        <v/>
      </c>
      <c r="D631" s="93" t="str">
        <f>IF(AND(C631&lt;&gt;"", 'Cost Inputs'!$G$156&lt;&gt;""), 'Cost Inputs'!$G$156, "")</f>
        <v/>
      </c>
      <c r="E631" s="93" t="str">
        <f>IF(AND(C631&lt;&gt;"", 'Cost Inputs'!$H$156&lt;&gt;""), 'Cost Inputs'!$H$156, "")</f>
        <v/>
      </c>
      <c r="F631" s="93" t="str">
        <f>IF(AND(C631&lt;&gt;"", 'Cost Inputs'!$I$156&lt;&gt;""), 'Cost Inputs'!$I$156, "")</f>
        <v/>
      </c>
      <c r="G631" s="108" t="str">
        <f t="shared" si="462"/>
        <v/>
      </c>
      <c r="H631" s="93" t="str">
        <f>IF(AND(C631&lt;&gt;"", 'Cost Inputs'!$J$156&lt;&gt;""), 'Cost Inputs'!$J$16, "")</f>
        <v/>
      </c>
      <c r="I631" s="93" t="str">
        <f t="shared" si="463"/>
        <v/>
      </c>
      <c r="J631" s="93" t="str">
        <f>IF(AND(C631&lt;&gt;"",('Cost Inputs'!$I$156+'Cost Inputs'!$J$156+'Cost Inputs'!$K$156)&gt;0), 'Cost Inputs'!$I$156+'Cost Inputs'!$J$156+'Cost Inputs'!$K$156, "")</f>
        <v/>
      </c>
      <c r="K631" s="93" t="str">
        <f t="shared" si="464"/>
        <v/>
      </c>
      <c r="L631" s="93"/>
      <c r="M631" s="109"/>
      <c r="R631" s="93" t="str">
        <f>IF(ISNUMBER($B$537), IF($C631&lt;&gt;"", IF('Cost Inputs'!$L$156="Y", $E631, IF('Cost Inputs'!$L$156="N", IF(ISNUMBER('Cost Inputs'!$M$156), $E631, ""),"")),""),"")</f>
        <v/>
      </c>
      <c r="S631" s="93" t="str">
        <f>IF(ISNUMBER($B$537), IF($C631&lt;&gt;"", IF('Cost Inputs'!$L$156="Y", $E631, IF('Cost Inputs'!$L$156="N", "", "")),""),"")</f>
        <v/>
      </c>
      <c r="T631" s="93" t="str">
        <f>IF(ISNUMBER($B$537), IF($C631&lt;&gt;"", IF('Cost Inputs'!$L$156="Y", $E631, IF('Cost Inputs'!$L$156="N", IF(AND(ISNUMBER('Cost Inputs'!$M$156), OR('Cost Inputs'!$M$156=2)), $E631, ""),"")),""),"")</f>
        <v/>
      </c>
      <c r="U631" s="93" t="str">
        <f>IF(ISNUMBER($B$537), IF($C631&lt;&gt;"", IF('Cost Inputs'!$L$156="Y", $E631, IF('Cost Inputs'!$L$156="N", IF(AND(ISNUMBER('Cost Inputs'!$M$156), OR('Cost Inputs'!$M$156=3)), $E631, ""),"")),""),"")</f>
        <v/>
      </c>
      <c r="V631" s="93" t="str">
        <f>IF(ISNUMBER($B$537), IF($C631&lt;&gt;"", IF('Cost Inputs'!$L$156="Y", $E631, IF('Cost Inputs'!$L$156="N", IF(AND(ISNUMBER('Cost Inputs'!$M$156), OR('Cost Inputs'!$M$156=2, 'Cost Inputs'!$M$156=4)), $E631, ""),"")),""),"")</f>
        <v/>
      </c>
      <c r="W631" s="93" t="str">
        <f>IF(ISNUMBER($B$537), IF($C631&lt;&gt;"", IF('Cost Inputs'!$L$156="Y", $E631, IF('Cost Inputs'!$L$156="N", IF(AND(ISNUMBER('Cost Inputs'!$M$156), OR('Cost Inputs'!$M$156=2,'Cost Inputs'!$M$156=5)), $E631, ""),"")),""),"")</f>
        <v/>
      </c>
      <c r="X631" s="93" t="str">
        <f>IF(ISNUMBER($B$537), IF($C631&lt;&gt;"", IF('Cost Inputs'!$L$156="Y", $E631, IF('Cost Inputs'!$L$156="N", IF(AND(ISNUMBER('Cost Inputs'!$M$156), OR('Cost Inputs'!$M$156=2,'Cost Inputs'!$M$156=3,'Cost Inputs'!$M$156=6)), $E631, ""),"")),""),"")</f>
        <v/>
      </c>
      <c r="Y631" s="93" t="str">
        <f>IF(ISNUMBER($B$537), IF($C631&lt;&gt;"", IF('Cost Inputs'!$L$156="Y", $E631, IF('Cost Inputs'!$L$156="N", IF(AND(ISNUMBER('Cost Inputs'!$M$156), OR('Cost Inputs'!$M$156=2,'Cost Inputs'!$M$156=7)), $E631, ""),"")),""),"")</f>
        <v/>
      </c>
      <c r="Z631" s="93" t="str">
        <f>IF(ISNUMBER($B$537), IF($C631&lt;&gt;"", IF('Cost Inputs'!$L$156="Y", $E631, IF('Cost Inputs'!$L$156="N", IF(AND(ISNUMBER('Cost Inputs'!$M$156), OR('Cost Inputs'!$M$156=2,'Cost Inputs'!$M$156=4,'Cost Inputs'!$M$156=8)), $E631, ""),"")),""),"")</f>
        <v/>
      </c>
      <c r="AA631" s="93" t="str">
        <f>IF(ISNUMBER($B$537), IF($C631&lt;&gt;"", IF('Cost Inputs'!$L$156="Y", $E631, IF('Cost Inputs'!$L$156="N", IF(AND(ISNUMBER('Cost Inputs'!$M$156), OR('Cost Inputs'!$M$156=2,'Cost Inputs'!$M$156=3,'Cost Inputs'!$M$156=9)), $E631, ""),"")),""),"")</f>
        <v/>
      </c>
    </row>
    <row r="632" spans="1:27" x14ac:dyDescent="0.25">
      <c r="A632" s="518"/>
      <c r="B632" s="504"/>
      <c r="C632" s="521" t="str">
        <f>IF(AND(B621&lt;&gt;"",ISNUMBER(B621),ISNUMBER(Stage3EvaluationBegins)),IF((INDEX(ProgramYearStage3,MATCH(Stage3EvaluationBegins,Years_in_Stage3,0)))=B621,_5_5_0,IF(AND(B621&lt;&gt;"",C610&lt;&gt;""),_5_5_0,IF(AND(B621&lt;&gt;"",ISNUMBER(B621),OR(Stage3EvaluationBegins=0,Stage3EvaluationBegins="")),"",""))),"")</f>
        <v/>
      </c>
      <c r="D632" s="94" t="str">
        <f>IF(AND(C632&lt;&gt;"", 'Cost Inputs'!$G$157&lt;&gt;""), 'Cost Inputs'!$G$157, "")</f>
        <v/>
      </c>
      <c r="E632" s="94" t="str">
        <f>IF(AND(C632&lt;&gt;"", 'Cost Inputs'!$H$157&lt;&gt;""), 'Cost Inputs'!$H$157, "")</f>
        <v/>
      </c>
      <c r="F632" s="492" t="str">
        <f>IF(AND(C632&lt;&gt;"", 'Cost Inputs'!$I$157&lt;&gt;""), 'Cost Inputs'!$I$157, "")</f>
        <v/>
      </c>
      <c r="G632" s="102" t="str">
        <f t="shared" si="462"/>
        <v/>
      </c>
      <c r="H632" s="492" t="str">
        <f>IF(AND(C632&lt;&gt;"", 'Cost Inputs'!$J$157&lt;&gt;""), 'Cost Inputs'!$J$157, "")</f>
        <v/>
      </c>
      <c r="I632" s="102" t="str">
        <f>IF($C632&lt;&gt;"",IF(AND($E632&lt;&gt;"",H632&lt;&gt;""), H632/$E632, 0),"")</f>
        <v/>
      </c>
      <c r="J632" s="492" t="str">
        <f>IF(AND(C632&lt;&gt;"",('Cost Inputs'!$I$157+'Cost Inputs'!$J$157+'Cost Inputs'!$K$157)&gt;0), 'Cost Inputs'!$I$157+'Cost Inputs'!$J$157+'Cost Inputs'!$K$157, "")</f>
        <v/>
      </c>
      <c r="K632" s="102" t="str">
        <f>IF($C632&lt;&gt;"",IF(AND($E632&lt;&gt;"",J632&lt;&gt;""), J632/$E632, 0),"")</f>
        <v/>
      </c>
      <c r="L632" s="94"/>
      <c r="M632" s="103"/>
      <c r="R632" s="492" t="str">
        <f>IF(ISNUMBER($B$537), IF($C632&lt;&gt;"", IF('Cost Inputs'!$L$157="Y", $E632, IF('Cost Inputs'!$L$157="N", IF(ISNUMBER('Cost Inputs'!$M$157), $E632, ""),"")),""),"")</f>
        <v/>
      </c>
      <c r="S632" s="492" t="str">
        <f>IF(ISNUMBER($B$537), IF($C632&lt;&gt;"", IF('Cost Inputs'!$L$157="Y", $E632, IF('Cost Inputs'!$L$157="N", "", "")),""),"")</f>
        <v/>
      </c>
      <c r="T632" s="492" t="str">
        <f>IF(ISNUMBER($B$537), IF($C632&lt;&gt;"", IF('Cost Inputs'!$L$157="Y", $E632, IF('Cost Inputs'!$L$157="N", IF(AND(ISNUMBER('Cost Inputs'!$M$157), OR('Cost Inputs'!$M$157=2)), $E632, ""),"")),""),"")</f>
        <v/>
      </c>
      <c r="U632" s="492" t="str">
        <f>IF(ISNUMBER($B$537), IF($C632&lt;&gt;"", IF('Cost Inputs'!$L$157="Y", $E632, IF('Cost Inputs'!$L$157="N", IF(AND(ISNUMBER('Cost Inputs'!$M$157), OR('Cost Inputs'!$M$157=3)), $E632, ""),"")),""),"")</f>
        <v/>
      </c>
      <c r="V632" s="492" t="str">
        <f>IF(ISNUMBER($B$537), IF($C632&lt;&gt;"", IF('Cost Inputs'!$L$157="Y", $E632, IF('Cost Inputs'!$L$157="N", IF(AND(ISNUMBER('Cost Inputs'!$M$157), OR('Cost Inputs'!$M$157=2, 'Cost Inputs'!$M$157=4)), $E632, ""),"")),""),"")</f>
        <v/>
      </c>
      <c r="W632" s="492" t="str">
        <f>IF(ISNUMBER($B$537), IF($C632&lt;&gt;"", IF('Cost Inputs'!$L$157="Y", $E632, IF('Cost Inputs'!$L$157="N", IF(AND(ISNUMBER('Cost Inputs'!$M$157), OR('Cost Inputs'!$M$157=2,'Cost Inputs'!$M$157=5)), $E632, ""),"")),""),"")</f>
        <v/>
      </c>
      <c r="X632" s="492" t="str">
        <f>IF(ISNUMBER($B$537), IF($C632&lt;&gt;"", IF('Cost Inputs'!$L$157="Y", $E632, IF('Cost Inputs'!$L$157="N", IF(AND(ISNUMBER('Cost Inputs'!$M$157), OR('Cost Inputs'!$M$157=2,'Cost Inputs'!$M$157=3,'Cost Inputs'!$M$157=6)), $E632, ""),"")),""),"")</f>
        <v/>
      </c>
      <c r="Y632" s="492" t="str">
        <f>IF(ISNUMBER($B$537), IF($C632&lt;&gt;"", IF('Cost Inputs'!$L$157="Y", $E632, IF('Cost Inputs'!$L$157="N", IF(AND(ISNUMBER('Cost Inputs'!$M$157), OR('Cost Inputs'!$M$157=2,'Cost Inputs'!$M$157=7)), $E632, ""),"")),""),"")</f>
        <v/>
      </c>
      <c r="Z632" s="492" t="str">
        <f>IF(ISNUMBER($B$537), IF($C632&lt;&gt;"", IF('Cost Inputs'!$L$157="Y", $E632, IF('Cost Inputs'!$L$157="N", IF(AND(ISNUMBER('Cost Inputs'!$M$157), OR('Cost Inputs'!$M$157=2,'Cost Inputs'!$M$157=4,'Cost Inputs'!$M$157=8)), $E632, ""),"")),""),"")</f>
        <v/>
      </c>
      <c r="AA632" s="492" t="str">
        <f>IF(ISNUMBER($B$537), IF($C632&lt;&gt;"", IF('Cost Inputs'!$L$157="Y", $E632, IF('Cost Inputs'!$L$157="N", IF(AND(ISNUMBER('Cost Inputs'!$M$157), OR('Cost Inputs'!$M$157=2,'Cost Inputs'!$M$157=3,'Cost Inputs'!$M$157=9)), $E632, ""),"")),""),"")</f>
        <v/>
      </c>
    </row>
    <row r="633" spans="1:27" x14ac:dyDescent="0.25">
      <c r="A633" s="518"/>
      <c r="B633" s="504"/>
      <c r="C633" s="521"/>
      <c r="D633" s="94" t="str">
        <f>IF(AND(C632&lt;&gt;"", 'Cost Inputs'!$G$158&lt;&gt;""), 'Cost Inputs'!$G$158, "")</f>
        <v/>
      </c>
      <c r="E633" s="94" t="str">
        <f>IF(AND(C632&lt;&gt;"", 'Cost Inputs'!$H$158&lt;&gt;""), 'Cost Inputs'!$H$158, "")</f>
        <v/>
      </c>
      <c r="F633" s="492"/>
      <c r="G633" s="102" t="str">
        <f t="shared" si="462"/>
        <v/>
      </c>
      <c r="H633" s="492"/>
      <c r="I633" s="102" t="str">
        <f>IF($C632&lt;&gt;"", IF(AND($E633&lt;&gt;"", H632&lt;&gt;""), H632/($E632*$E633), 0), "")</f>
        <v/>
      </c>
      <c r="J633" s="492" t="str">
        <f>IF(AND(C633&lt;&gt;"",('Cost Inputs'!$I$86+'Cost Inputs'!$J$86+'Cost Inputs'!$K$86)&gt;0), 'Cost Inputs'!$I$86+'Cost Inputs'!$J$86+'Cost Inputs'!$K$86, "")</f>
        <v/>
      </c>
      <c r="K633" s="102" t="str">
        <f>IF($C632&lt;&gt;"", IF(AND($E633&lt;&gt;"", J632&lt;&gt;""), J632/($E632*$E633), 0), "")</f>
        <v/>
      </c>
      <c r="L633" s="94"/>
      <c r="M633" s="103"/>
      <c r="R633" s="492" t="str">
        <f>IF(ISNUMBER($B$537), IF($C633&lt;&gt;"", IF('Cost Inputs'!$L224="Y", $E633, IF('Cost Inputs'!$L224="N", IF(ISNUMBER('Cost Inputs'!$M224), $E633, ""),"")),""),"")</f>
        <v/>
      </c>
      <c r="S633" s="492" t="str">
        <f>IF(ISNUMBER($B$537), IF($C633&lt;&gt;"", IF('Cost Inputs'!$L224="Y", $E633, IF('Cost Inputs'!$L224="N", "", "")),""),"")</f>
        <v/>
      </c>
      <c r="T633" s="492" t="str">
        <f>IF(ISNUMBER($B$537), IF($C633&lt;&gt;"", IF('Cost Inputs'!$L224="Y", $E633, IF('Cost Inputs'!$L224="N", IF(AND(ISNUMBER('Cost Inputs'!$M224), OR('Cost Inputs'!$M224=2)), $E633, ""),"")),""),"")</f>
        <v/>
      </c>
      <c r="U633" s="492" t="str">
        <f>IF(ISNUMBER($B$537), IF($C633&lt;&gt;"", IF('Cost Inputs'!$L224="Y", $E633, IF('Cost Inputs'!$L224="N", IF(AND(ISNUMBER('Cost Inputs'!$M224), OR('Cost Inputs'!$M224=3)), $E633, ""),"")),""),"")</f>
        <v/>
      </c>
      <c r="V633" s="492" t="str">
        <f>IF(ISNUMBER($B$537), IF($C633&lt;&gt;"", IF('Cost Inputs'!$L224="Y", $E633, IF('Cost Inputs'!$L224="N", IF(AND(ISNUMBER('Cost Inputs'!$M224), OR('Cost Inputs'!$M224=2, 'Cost Inputs'!$M224=4)), $E633, ""),"")),""),"")</f>
        <v/>
      </c>
      <c r="W633" s="492" t="str">
        <f>IF(ISNUMBER($B$537), IF($C633&lt;&gt;"", IF('Cost Inputs'!$L224="Y", $E633, IF('Cost Inputs'!$L224="N", IF(AND(ISNUMBER('Cost Inputs'!$M224), OR('Cost Inputs'!$M224=2,'Cost Inputs'!$M224=5)), $E633, ""),"")),""),"")</f>
        <v/>
      </c>
      <c r="X633" s="492" t="str">
        <f>IF(ISNUMBER($B$537), IF($C633&lt;&gt;"", IF('Cost Inputs'!$L224="Y", $E633, IF('Cost Inputs'!$L224="N", IF(AND(ISNUMBER('Cost Inputs'!$M224), OR('Cost Inputs'!$M224=2,'Cost Inputs'!$M224=3,'Cost Inputs'!$M224=6)), $E633, ""),"")),""),"")</f>
        <v/>
      </c>
      <c r="Y633" s="492" t="str">
        <f>IF(ISNUMBER($B$537), IF($C633&lt;&gt;"", IF('Cost Inputs'!$L224="Y", $E633, IF('Cost Inputs'!$L224="N", IF(AND(ISNUMBER('Cost Inputs'!$M224), OR('Cost Inputs'!$M224=2,'Cost Inputs'!$M224=7)), $E633, ""),"")),""),"")</f>
        <v/>
      </c>
      <c r="Z633" s="492" t="str">
        <f>IF(ISNUMBER($B$537), IF($C633&lt;&gt;"", IF('Cost Inputs'!$L224="Y", $E633, IF('Cost Inputs'!$L224="N", IF(AND(ISNUMBER('Cost Inputs'!$M224), OR('Cost Inputs'!$M224=2,'Cost Inputs'!$M224=4,'Cost Inputs'!$M224=8)), $E633, ""),"")),""),"")</f>
        <v/>
      </c>
      <c r="AA633" s="492" t="str">
        <f>IF(ISNUMBER($B$537), IF($C633&lt;&gt;"", IF('Cost Inputs'!$L224="Y", $E633, IF('Cost Inputs'!$L224="N", IF(AND(ISNUMBER('Cost Inputs'!$M224), OR('Cost Inputs'!$M224=2,'Cost Inputs'!$M224=3,'Cost Inputs'!$M224=9)), $E633, ""),"")),""),"")</f>
        <v/>
      </c>
    </row>
    <row r="634" spans="1:27" x14ac:dyDescent="0.25">
      <c r="A634" s="518"/>
      <c r="B634" s="504"/>
      <c r="C634" s="376" t="str">
        <f>IF(AND(ISNUMBER(B621), C632&lt;&gt;"", OR('Cost Inputs'!$H$159&lt;&gt;"", 'Cost Inputs'!$I$159&lt;&gt;"", 'Cost Inputs'!$J$159&lt;&gt;"")), _5_5_1, "")</f>
        <v/>
      </c>
      <c r="D634" s="17" t="str">
        <f>IF(AND(C634&lt;&gt;"", 'Cost Inputs'!$G$159&lt;&gt;""), 'Cost Inputs'!$G$159, "")</f>
        <v/>
      </c>
      <c r="E634" s="17" t="str">
        <f>IF(AND(C634&lt;&gt;"", 'Cost Inputs'!$H$159&lt;&gt;""), 'Cost Inputs'!$H$159, "")</f>
        <v/>
      </c>
      <c r="F634" s="493" t="str">
        <f>IF(AND(C634&lt;&gt;"", 'Cost Inputs'!$I$159&lt;&gt;""), 'Cost Inputs'!$I$159, "")</f>
        <v/>
      </c>
      <c r="G634" s="105" t="str">
        <f t="shared" si="462"/>
        <v/>
      </c>
      <c r="H634" s="493" t="str">
        <f>IF(AND(C634&lt;&gt;"", 'Cost Inputs'!$J$159&lt;&gt;""), 'Cost Inputs'!$J$159, "")</f>
        <v/>
      </c>
      <c r="I634" s="105" t="str">
        <f>IF($C634&lt;&gt;"",IF(AND($E634&lt;&gt;"",H634&lt;&gt;""), H634/$E634, 0),"")</f>
        <v/>
      </c>
      <c r="J634" s="493" t="str">
        <f>IF(AND(C634&lt;&gt;"",('Cost Inputs'!$I$159+'Cost Inputs'!$J$159+'Cost Inputs'!$K$159)&gt;0), 'Cost Inputs'!$I$159+'Cost Inputs'!$J$159+'Cost Inputs'!$K$159, "")</f>
        <v/>
      </c>
      <c r="K634" s="105" t="str">
        <f>IF($C634&lt;&gt;"",IF(AND($E634&lt;&gt;"",J634&lt;&gt;""), J634/$E634, 0),"")</f>
        <v/>
      </c>
      <c r="M634" s="106"/>
      <c r="R634" s="493" t="str">
        <f>IF(ISNUMBER($B$537), IF($C634&lt;&gt;"", IF('Cost Inputs'!$L$159="Y", $E634, IF('Cost Inputs'!$L$159="N", IF(ISNUMBER('Cost Inputs'!$M$159), $E634, ""),"")),""),"")</f>
        <v/>
      </c>
      <c r="S634" s="493" t="str">
        <f>IF(ISNUMBER($B$537), IF($C634&lt;&gt;"", IF('Cost Inputs'!$L$159="Y", $E634, IF('Cost Inputs'!$L$159="N", "", "")),""),"")</f>
        <v/>
      </c>
      <c r="T634" s="493" t="str">
        <f>IF(ISNUMBER($B$537), IF($C634&lt;&gt;"", IF('Cost Inputs'!$L$159="Y", $E634, IF('Cost Inputs'!$L$159="N", IF(AND(ISNUMBER('Cost Inputs'!$M$159), OR('Cost Inputs'!$M$159=2)), $E634, ""),"")),""),"")</f>
        <v/>
      </c>
      <c r="U634" s="493" t="str">
        <f>IF(ISNUMBER($B$537), IF($C634&lt;&gt;"", IF('Cost Inputs'!$L$159="Y", $E634, IF('Cost Inputs'!$L$159="N", IF(AND(ISNUMBER('Cost Inputs'!$M$159), OR('Cost Inputs'!$M$159=3)), $E634, ""),"")),""),"")</f>
        <v/>
      </c>
      <c r="V634" s="493" t="str">
        <f>IF(ISNUMBER($B$537), IF($C634&lt;&gt;"", IF('Cost Inputs'!$L$159="Y", $E634, IF('Cost Inputs'!$L$159="N", IF(AND(ISNUMBER('Cost Inputs'!$M$159), OR('Cost Inputs'!$M$159=2, 'Cost Inputs'!$M$159=4)), $E634, ""),"")),""),"")</f>
        <v/>
      </c>
      <c r="W634" s="493" t="str">
        <f>IF(ISNUMBER($B$537), IF($C634&lt;&gt;"", IF('Cost Inputs'!$L$159="Y", $E634, IF('Cost Inputs'!$L$159="N", IF(AND(ISNUMBER('Cost Inputs'!$M$159), OR('Cost Inputs'!$M$159=2,'Cost Inputs'!$M$159=5)), $E634, ""),"")),""),"")</f>
        <v/>
      </c>
      <c r="X634" s="493" t="str">
        <f>IF(ISNUMBER($B$537), IF($C634&lt;&gt;"", IF('Cost Inputs'!$L$159="Y", $E634, IF('Cost Inputs'!$L$159="N", IF(AND(ISNUMBER('Cost Inputs'!$M$159), OR('Cost Inputs'!$M$159=2,'Cost Inputs'!$M$159=3,'Cost Inputs'!$M$159=6)), $E634, ""),"")),""),"")</f>
        <v/>
      </c>
      <c r="Y634" s="493" t="str">
        <f>IF(ISNUMBER($B$537), IF($C634&lt;&gt;"", IF('Cost Inputs'!$L$159="Y", $E634, IF('Cost Inputs'!$L$159="N", IF(AND(ISNUMBER('Cost Inputs'!$M$159), OR('Cost Inputs'!$M$159=2,'Cost Inputs'!$M$159=7)), $E634, ""),"")),""),"")</f>
        <v/>
      </c>
      <c r="Z634" s="493" t="str">
        <f>IF(ISNUMBER($B$537), IF($C634&lt;&gt;"", IF('Cost Inputs'!$L$159="Y", $E634, IF('Cost Inputs'!$L$159="N", IF(AND(ISNUMBER('Cost Inputs'!$M$159), OR('Cost Inputs'!$M$159=2,'Cost Inputs'!$M$159=4,'Cost Inputs'!$M$159=8)), $E634, ""),"")),""),"")</f>
        <v/>
      </c>
      <c r="AA634" s="493" t="str">
        <f>IF(ISNUMBER($B$537), IF($C634&lt;&gt;"", IF('Cost Inputs'!$L$159="Y", $E634, IF('Cost Inputs'!$L$159="N", IF(AND(ISNUMBER('Cost Inputs'!$M$159), OR('Cost Inputs'!$M$159=2,'Cost Inputs'!$M$159=3,'Cost Inputs'!$M$159=9)), $E634, ""),"")),""),"")</f>
        <v/>
      </c>
    </row>
    <row r="635" spans="1:27" x14ac:dyDescent="0.25">
      <c r="A635" s="518"/>
      <c r="B635" s="504"/>
      <c r="C635" s="376" t="str">
        <f>IF(AND(ISNUMBER(B617), OR('Cost Inputs'!$H$85&lt;&gt;"", 'Cost Inputs'!$I$85&lt;&gt;"", 'Cost Inputs'!$J$85&lt;&gt;"")), _3_5_1, "")</f>
        <v/>
      </c>
      <c r="D635" s="17" t="str">
        <f>IF(AND(C634&lt;&gt;"", 'Cost Inputs'!$G$160&lt;&gt;""), 'Cost Inputs'!$G$160, "")</f>
        <v/>
      </c>
      <c r="E635" s="17" t="str">
        <f>IF(AND(C634&lt;&gt;"", 'Cost Inputs'!$H$160&lt;&gt;""), 'Cost Inputs'!$H$160, "")</f>
        <v/>
      </c>
      <c r="F635" s="493"/>
      <c r="G635" s="105" t="str">
        <f t="shared" si="462"/>
        <v/>
      </c>
      <c r="H635" s="493"/>
      <c r="I635" s="105" t="str">
        <f>IF($C634&lt;&gt;"", IF(AND($E635&lt;&gt;"", H634&lt;&gt;""), H634/($E634*$E635), 0), "")</f>
        <v/>
      </c>
      <c r="J635" s="493" t="str">
        <f>IF(AND(C635&lt;&gt;"",('Cost Inputs'!$I$86+'Cost Inputs'!$J$86+'Cost Inputs'!$K$86)&gt;0), 'Cost Inputs'!$I$86+'Cost Inputs'!$J$86+'Cost Inputs'!$K$86, "")</f>
        <v/>
      </c>
      <c r="K635" s="105" t="str">
        <f>IF($C634&lt;&gt;"", IF(AND($E635&lt;&gt;"", J634&lt;&gt;""), J634/($E634*$E635), 0), "")</f>
        <v/>
      </c>
      <c r="M635" s="106"/>
      <c r="R635" s="493" t="str">
        <f>IF(ISNUMBER($B$537), IF($C635&lt;&gt;"", IF('Cost Inputs'!$L226="Y", $E635, IF('Cost Inputs'!$L226="N", IF(ISNUMBER('Cost Inputs'!$M226), $E635, ""),"")),""),"")</f>
        <v/>
      </c>
      <c r="S635" s="493" t="str">
        <f>IF(ISNUMBER($B$537), IF($C635&lt;&gt;"", IF('Cost Inputs'!$L226="Y", $E635, IF('Cost Inputs'!$L226="N", "", "")),""),"")</f>
        <v/>
      </c>
      <c r="T635" s="493" t="str">
        <f>IF(ISNUMBER($B$537), IF($C635&lt;&gt;"", IF('Cost Inputs'!$L226="Y", $E635, IF('Cost Inputs'!$L226="N", IF(AND(ISNUMBER('Cost Inputs'!$M226), OR('Cost Inputs'!$M226=2)), $E635, ""),"")),""),"")</f>
        <v/>
      </c>
      <c r="U635" s="493" t="str">
        <f>IF(ISNUMBER($B$537), IF($C635&lt;&gt;"", IF('Cost Inputs'!$L226="Y", $E635, IF('Cost Inputs'!$L226="N", IF(AND(ISNUMBER('Cost Inputs'!$M226), OR('Cost Inputs'!$M226=3)), $E635, ""),"")),""),"")</f>
        <v/>
      </c>
      <c r="V635" s="493" t="str">
        <f>IF(ISNUMBER($B$537), IF($C635&lt;&gt;"", IF('Cost Inputs'!$L226="Y", $E635, IF('Cost Inputs'!$L226="N", IF(AND(ISNUMBER('Cost Inputs'!$M226), OR('Cost Inputs'!$M226=2, 'Cost Inputs'!$M226=4)), $E635, ""),"")),""),"")</f>
        <v/>
      </c>
      <c r="W635" s="493" t="str">
        <f>IF(ISNUMBER($B$537), IF($C635&lt;&gt;"", IF('Cost Inputs'!$L226="Y", $E635, IF('Cost Inputs'!$L226="N", IF(AND(ISNUMBER('Cost Inputs'!$M226), OR('Cost Inputs'!$M226=2,'Cost Inputs'!$M226=5)), $E635, ""),"")),""),"")</f>
        <v/>
      </c>
      <c r="X635" s="493" t="str">
        <f>IF(ISNUMBER($B$537), IF($C635&lt;&gt;"", IF('Cost Inputs'!$L226="Y", $E635, IF('Cost Inputs'!$L226="N", IF(AND(ISNUMBER('Cost Inputs'!$M226), OR('Cost Inputs'!$M226=2,'Cost Inputs'!$M226=3,'Cost Inputs'!$M226=6)), $E635, ""),"")),""),"")</f>
        <v/>
      </c>
      <c r="Y635" s="493" t="str">
        <f>IF(ISNUMBER($B$537), IF($C635&lt;&gt;"", IF('Cost Inputs'!$L226="Y", $E635, IF('Cost Inputs'!$L226="N", IF(AND(ISNUMBER('Cost Inputs'!$M226), OR('Cost Inputs'!$M226=2,'Cost Inputs'!$M226=7)), $E635, ""),"")),""),"")</f>
        <v/>
      </c>
      <c r="Z635" s="493" t="str">
        <f>IF(ISNUMBER($B$537), IF($C635&lt;&gt;"", IF('Cost Inputs'!$L226="Y", $E635, IF('Cost Inputs'!$L226="N", IF(AND(ISNUMBER('Cost Inputs'!$M226), OR('Cost Inputs'!$M226=2,'Cost Inputs'!$M226=4,'Cost Inputs'!$M226=8)), $E635, ""),"")),""),"")</f>
        <v/>
      </c>
      <c r="AA635" s="493" t="str">
        <f>IF(ISNUMBER($B$537), IF($C635&lt;&gt;"", IF('Cost Inputs'!$L226="Y", $E635, IF('Cost Inputs'!$L226="N", IF(AND(ISNUMBER('Cost Inputs'!$M226), OR('Cost Inputs'!$M226=2,'Cost Inputs'!$M226=3,'Cost Inputs'!$M226=9)), $E635, ""),"")),""),"")</f>
        <v/>
      </c>
    </row>
    <row r="636" spans="1:27" x14ac:dyDescent="0.25">
      <c r="A636" s="518"/>
      <c r="B636" s="504"/>
      <c r="C636" s="107" t="str">
        <f>IF(AND(ISNUMBER(B621), C632&lt;&gt;"", OR('Cost Inputs'!$H$161&lt;&gt;"", 'Cost Inputs'!$I$161&lt;&gt;"", 'Cost Inputs'!$J$161&lt;&gt;"")), _5_5_2, "")</f>
        <v/>
      </c>
      <c r="D636" s="93" t="str">
        <f>IF(AND(C636&lt;&gt;"", 'Cost Inputs'!$G$161&lt;&gt;""), 'Cost Inputs'!$G$161, "")</f>
        <v/>
      </c>
      <c r="E636" s="93" t="str">
        <f>IF(AND(C636&lt;&gt;"", 'Cost Inputs'!$H$161&lt;&gt;""), 'Cost Inputs'!$H$161, "")</f>
        <v/>
      </c>
      <c r="F636" s="93" t="str">
        <f>IF(AND(C636&lt;&gt;"", 'Cost Inputs'!$I$161&lt;&gt;""), 'Cost Inputs'!$I$161, "")</f>
        <v/>
      </c>
      <c r="G636" s="108" t="str">
        <f t="shared" si="462"/>
        <v/>
      </c>
      <c r="H636" s="93" t="str">
        <f>IF(AND(C636&lt;&gt;"", 'Cost Inputs'!$J$161&lt;&gt;""), 'Cost Inputs'!$J$161, "")</f>
        <v/>
      </c>
      <c r="I636" s="93" t="str">
        <f>IF($C636&lt;&gt;"", IF(AND($E636&lt;&gt;"", H636&lt;&gt;""), H636/$E636, 0),"")</f>
        <v/>
      </c>
      <c r="J636" s="93" t="str">
        <f>IF(AND(C636&lt;&gt;"",('Cost Inputs'!$I$161+'Cost Inputs'!$J$161+'Cost Inputs'!$K$161)&gt;0), 'Cost Inputs'!$I$161+'Cost Inputs'!$J$161+'Cost Inputs'!$K$161, "")</f>
        <v/>
      </c>
      <c r="K636" s="93" t="str">
        <f>IF($C636&lt;&gt;"", IF(AND($E636&lt;&gt;"", J636&lt;&gt;""), J636/$E636, 0),"")</f>
        <v/>
      </c>
      <c r="L636" s="93"/>
      <c r="M636" s="109"/>
      <c r="R636" s="93" t="str">
        <f>IF(ISNUMBER($B$537), IF($C636&lt;&gt;"", IF('Cost Inputs'!$L$161="Y", $E636, IF('Cost Inputs'!$L$161="N", IF(ISNUMBER('Cost Inputs'!$M$161), $E636, ""),"")),""),"")</f>
        <v/>
      </c>
      <c r="S636" s="93" t="str">
        <f>IF(ISNUMBER($B$537), IF($C636&lt;&gt;"", IF('Cost Inputs'!$L$161="Y", $E636, IF('Cost Inputs'!$L$161="N", "", "")),""),"")</f>
        <v/>
      </c>
      <c r="T636" s="93" t="str">
        <f>IF(ISNUMBER($B$537), IF($C636&lt;&gt;"", IF('Cost Inputs'!$L$161="Y", $E636, IF('Cost Inputs'!$L$161="N", IF(AND(ISNUMBER('Cost Inputs'!$M$161), OR('Cost Inputs'!$M$161=2)), $E636, ""),"")),""),"")</f>
        <v/>
      </c>
      <c r="U636" s="93" t="str">
        <f>IF(ISNUMBER($B$537), IF($C636&lt;&gt;"", IF('Cost Inputs'!$L$161="Y", $E636, IF('Cost Inputs'!$L$161="N", IF(AND(ISNUMBER('Cost Inputs'!$M$161), OR('Cost Inputs'!$M$161=3)), $E636, ""),"")),""),"")</f>
        <v/>
      </c>
      <c r="V636" s="93" t="str">
        <f>IF(ISNUMBER($B$537), IF($C636&lt;&gt;"", IF('Cost Inputs'!$L$161="Y", $E636, IF('Cost Inputs'!$L$161="N", IF(AND(ISNUMBER('Cost Inputs'!$M$161), OR('Cost Inputs'!$M$161=2, 'Cost Inputs'!$M$161=4)), $E636, ""),"")),""),"")</f>
        <v/>
      </c>
      <c r="W636" s="93" t="str">
        <f>IF(ISNUMBER($B$537), IF($C636&lt;&gt;"", IF('Cost Inputs'!$L$161="Y", $E636, IF('Cost Inputs'!$L$161="N", IF(AND(ISNUMBER('Cost Inputs'!$M$161), OR('Cost Inputs'!$M$161=2,'Cost Inputs'!$M$161=5)), $E636, ""),"")),""),"")</f>
        <v/>
      </c>
      <c r="X636" s="93" t="str">
        <f>IF(ISNUMBER($B$537), IF($C636&lt;&gt;"", IF('Cost Inputs'!$L$161="Y", $E636, IF('Cost Inputs'!$L$161="N", IF(AND(ISNUMBER('Cost Inputs'!$M$161), OR('Cost Inputs'!$M$161=2,'Cost Inputs'!$M$161=3,'Cost Inputs'!$M$161=6)), $E636, ""),"")),""),"")</f>
        <v/>
      </c>
      <c r="Y636" s="93" t="str">
        <f>IF(ISNUMBER($B$537), IF($C636&lt;&gt;"", IF('Cost Inputs'!$L$161="Y", $E636, IF('Cost Inputs'!$L$161="N", IF(AND(ISNUMBER('Cost Inputs'!$M$161), OR('Cost Inputs'!$M$161=2,'Cost Inputs'!$M$161=7)), $E636, ""),"")),""),"")</f>
        <v/>
      </c>
      <c r="Z636" s="93" t="str">
        <f>IF(ISNUMBER($B$537), IF($C636&lt;&gt;"", IF('Cost Inputs'!$L$161="Y", $E636, IF('Cost Inputs'!$L$161="N", IF(AND(ISNUMBER('Cost Inputs'!$M$161), OR('Cost Inputs'!$M$161=2,'Cost Inputs'!$M$161=4,'Cost Inputs'!$M$161=8)), $E636, ""),"")),""),"")</f>
        <v/>
      </c>
      <c r="AA636" s="93" t="str">
        <f>IF(ISNUMBER($B$537), IF($C636&lt;&gt;"", IF('Cost Inputs'!$L$161="Y", $E636, IF('Cost Inputs'!$L$161="N", IF(AND(ISNUMBER('Cost Inputs'!$M$161), OR('Cost Inputs'!$M$161=2,'Cost Inputs'!$M$161=3,'Cost Inputs'!$M$161=9)), $E636, ""),"")),""),"")</f>
        <v/>
      </c>
    </row>
    <row r="637" spans="1:27" x14ac:dyDescent="0.25">
      <c r="A637" s="518"/>
      <c r="B637" s="504"/>
      <c r="C637" s="104" t="str">
        <f>IF(AND(ISNUMBER(B621), C632&lt;&gt;"", OR('Cost Inputs'!$H$162&lt;&gt;"", 'Cost Inputs'!$I$162&lt;&gt;"", 'Cost Inputs'!$J$162&lt;&gt;"")), _5_5_3, "")</f>
        <v/>
      </c>
      <c r="D637" s="17" t="str">
        <f>IF(AND(C637&lt;&gt;"", 'Cost Inputs'!$G$162&lt;&gt;""), 'Cost Inputs'!$G$162, "")</f>
        <v/>
      </c>
      <c r="E637" s="17" t="str">
        <f>IF(AND(C637&lt;&gt;"", 'Cost Inputs'!$H$162&lt;&gt;""), 'Cost Inputs'!$H$162, "")</f>
        <v/>
      </c>
      <c r="F637" s="17" t="str">
        <f>IF(AND(C637&lt;&gt;"", 'Cost Inputs'!$I$162&lt;&gt;""), 'Cost Inputs'!$I$162, "")</f>
        <v/>
      </c>
      <c r="G637" s="105" t="str">
        <f t="shared" si="462"/>
        <v/>
      </c>
      <c r="H637" s="17" t="str">
        <f>IF(AND(C637&lt;&gt;"", 'Cost Inputs'!$J$162&lt;&gt;""), 'Cost Inputs'!$J$162, "")</f>
        <v/>
      </c>
      <c r="I637" s="17" t="str">
        <f>IF($C637&lt;&gt;"", IF(AND($E637&lt;&gt;"", H637&lt;&gt;""), H637/$E637, 0),"")</f>
        <v/>
      </c>
      <c r="J637" s="17" t="str">
        <f>IF(AND(C637&lt;&gt;"",('Cost Inputs'!$I$162+'Cost Inputs'!$J$162+'Cost Inputs'!$K$162)&gt;0), 'Cost Inputs'!$I$162+'Cost Inputs'!$J$162+'Cost Inputs'!$K$162, "")</f>
        <v/>
      </c>
      <c r="K637" s="17" t="str">
        <f>IF($C637&lt;&gt;"", IF(AND($E637&lt;&gt;"", J637&lt;&gt;""), J637/$E637, 0),"")</f>
        <v/>
      </c>
      <c r="M637" s="106"/>
      <c r="R637" s="17" t="str">
        <f>IF(ISNUMBER($B$537), IF($C637&lt;&gt;"", IF('Cost Inputs'!$L$162="Y", $E637, IF('Cost Inputs'!$L$162="N", IF(ISNUMBER('Cost Inputs'!$M$162), $E637, ""),"")),""),"")</f>
        <v/>
      </c>
      <c r="S637" s="17" t="str">
        <f>IF(ISNUMBER($B$537), IF($C637&lt;&gt;"", IF('Cost Inputs'!$L$162="Y", $E637, IF('Cost Inputs'!$L$162="N", "", "")),""),"")</f>
        <v/>
      </c>
      <c r="T637" s="17" t="str">
        <f>IF(ISNUMBER($B$537), IF($C637&lt;&gt;"", IF('Cost Inputs'!$L$162="Y", $E637, IF('Cost Inputs'!$L$162="N", IF(AND(ISNUMBER('Cost Inputs'!$M$162), OR('Cost Inputs'!$M$162=2)), $E637, ""),"")),""),"")</f>
        <v/>
      </c>
      <c r="U637" s="17" t="str">
        <f>IF(ISNUMBER($B$537), IF($C637&lt;&gt;"", IF('Cost Inputs'!$L$162="Y", $E637, IF('Cost Inputs'!$L$162="N", IF(AND(ISNUMBER('Cost Inputs'!$M$162), OR('Cost Inputs'!$M$162=3)), $E637, ""),"")),""),"")</f>
        <v/>
      </c>
      <c r="V637" s="17" t="str">
        <f>IF(ISNUMBER($B$537), IF($C637&lt;&gt;"", IF('Cost Inputs'!$L$162="Y", $E637, IF('Cost Inputs'!$L$162="N", IF(AND(ISNUMBER('Cost Inputs'!$M$162), OR('Cost Inputs'!$M$162=2, 'Cost Inputs'!$M$162=4)), $E637, ""),"")),""),"")</f>
        <v/>
      </c>
      <c r="W637" s="17" t="str">
        <f>IF(ISNUMBER($B$537), IF($C637&lt;&gt;"", IF('Cost Inputs'!$L$162="Y", $E637, IF('Cost Inputs'!$L$162="N", IF(AND(ISNUMBER('Cost Inputs'!$M$162), OR('Cost Inputs'!$M$162=2,'Cost Inputs'!$M$162=5)), $E637, ""),"")),""),"")</f>
        <v/>
      </c>
      <c r="X637" s="17" t="str">
        <f>IF(ISNUMBER($B$537), IF($C637&lt;&gt;"", IF('Cost Inputs'!$L$162="Y", $E637, IF('Cost Inputs'!$L$162="N", IF(AND(ISNUMBER('Cost Inputs'!$M$162), OR('Cost Inputs'!$M$162=2,'Cost Inputs'!$M$162=3,'Cost Inputs'!$M$162=6)), $E637, ""),"")),""),"")</f>
        <v/>
      </c>
      <c r="Y637" s="17" t="str">
        <f>IF(ISNUMBER($B$537), IF($C637&lt;&gt;"", IF('Cost Inputs'!$L$162="Y", $E637, IF('Cost Inputs'!$L$162="N", IF(AND(ISNUMBER('Cost Inputs'!$M$162), OR('Cost Inputs'!$M$162=2,'Cost Inputs'!$M$162=7)), $E637, ""),"")),""),"")</f>
        <v/>
      </c>
      <c r="Z637" s="17" t="str">
        <f>IF(ISNUMBER($B$537), IF($C637&lt;&gt;"", IF('Cost Inputs'!$L$162="Y", $E637, IF('Cost Inputs'!$L$162="N", IF(AND(ISNUMBER('Cost Inputs'!$M$162), OR('Cost Inputs'!$M$162=2,'Cost Inputs'!$M$162=4,'Cost Inputs'!$M$162=8)), $E637, ""),"")),""),"")</f>
        <v/>
      </c>
      <c r="AA637" s="17" t="str">
        <f>IF(ISNUMBER($B$537), IF($C637&lt;&gt;"", IF('Cost Inputs'!$L$162="Y", $E637, IF('Cost Inputs'!$L$162="N", IF(AND(ISNUMBER('Cost Inputs'!$M$162), OR('Cost Inputs'!$M$162=2,'Cost Inputs'!$M$162=3,'Cost Inputs'!$M$162=9)), $E637, ""),"")),""),"")</f>
        <v/>
      </c>
    </row>
    <row r="638" spans="1:27" x14ac:dyDescent="0.25">
      <c r="A638" s="518"/>
      <c r="B638" s="504"/>
      <c r="C638" s="107" t="str">
        <f>IF(AND(ISNUMBER(B621), C632&lt;&gt;"", OR('Cost Inputs'!$H$163&lt;&gt;"", 'Cost Inputs'!$I$163&lt;&gt;"", 'Cost Inputs'!$J$163&lt;&gt;"")), _5_5_4, "")</f>
        <v/>
      </c>
      <c r="D638" s="93" t="str">
        <f>IF(AND(C638&lt;&gt;"", 'Cost Inputs'!$G$163&lt;&gt;""), 'Cost Inputs'!$G$163, "")</f>
        <v/>
      </c>
      <c r="E638" s="93" t="str">
        <f>IF(AND(C638&lt;&gt;"", 'Cost Inputs'!$H$163&lt;&gt;""), 'Cost Inputs'!$H$163, "")</f>
        <v/>
      </c>
      <c r="F638" s="93" t="str">
        <f>IF(AND(C638&lt;&gt;"", 'Cost Inputs'!$I$163&lt;&gt;""), 'Cost Inputs'!$I$163, "")</f>
        <v/>
      </c>
      <c r="G638" s="108" t="str">
        <f t="shared" si="462"/>
        <v/>
      </c>
      <c r="H638" s="93" t="str">
        <f>IF(AND(C638&lt;&gt;"", 'Cost Inputs'!$J$163&lt;&gt;""), 'Cost Inputs'!$J$163, "")</f>
        <v/>
      </c>
      <c r="I638" s="93" t="str">
        <f>IF($C638&lt;&gt;"", IF(AND($E638&lt;&gt;"", H638&lt;&gt;""), H638/$E638, 0),"")</f>
        <v/>
      </c>
      <c r="J638" s="93" t="str">
        <f>IF(AND(C638&lt;&gt;"",('Cost Inputs'!$I$163+'Cost Inputs'!$J$163+'Cost Inputs'!$K$163)&gt;0), 'Cost Inputs'!$I$163+'Cost Inputs'!$J$163+'Cost Inputs'!$K$163, "")</f>
        <v/>
      </c>
      <c r="K638" s="93" t="str">
        <f>IF($C638&lt;&gt;"", IF(AND($E638&lt;&gt;"", J638&lt;&gt;""), J638/$E638, 0),"")</f>
        <v/>
      </c>
      <c r="L638" s="93"/>
      <c r="M638" s="109"/>
      <c r="R638" s="93" t="str">
        <f>IF(ISNUMBER($B$537), IF($C638&lt;&gt;"", IF('Cost Inputs'!$L$163="Y", $E638, IF('Cost Inputs'!$L$163="N", IF(ISNUMBER('Cost Inputs'!$M$163), $E638, ""),"")),""),"")</f>
        <v/>
      </c>
      <c r="S638" s="93" t="str">
        <f>IF(ISNUMBER($B$537), IF($C638&lt;&gt;"", IF('Cost Inputs'!$L$163="Y", $E638, IF('Cost Inputs'!$L$163="N", "", "")),""),"")</f>
        <v/>
      </c>
      <c r="T638" s="93" t="str">
        <f>IF(ISNUMBER($B$537), IF($C638&lt;&gt;"", IF('Cost Inputs'!$L$163="Y", $E638, IF('Cost Inputs'!$L$163="N", IF(AND(ISNUMBER('Cost Inputs'!$M$163), OR('Cost Inputs'!$M$163=2)), $E638, ""),"")),""),"")</f>
        <v/>
      </c>
      <c r="U638" s="93" t="str">
        <f>IF(ISNUMBER($B$537), IF($C638&lt;&gt;"", IF('Cost Inputs'!$L$163="Y", $E638, IF('Cost Inputs'!$L$163="N", IF(AND(ISNUMBER('Cost Inputs'!$M$163), OR('Cost Inputs'!$M$163=3)), $E638, ""),"")),""),"")</f>
        <v/>
      </c>
      <c r="V638" s="93" t="str">
        <f>IF(ISNUMBER($B$537), IF($C638&lt;&gt;"", IF('Cost Inputs'!$L$163="Y", $E638, IF('Cost Inputs'!$L$163="N", IF(AND(ISNUMBER('Cost Inputs'!$M$163), OR('Cost Inputs'!$M$163=2, 'Cost Inputs'!$M$163=4)), $E638, ""),"")),""),"")</f>
        <v/>
      </c>
      <c r="W638" s="93" t="str">
        <f>IF(ISNUMBER($B$537), IF($C638&lt;&gt;"", IF('Cost Inputs'!$L$163="Y", $E638, IF('Cost Inputs'!$L$163="N", IF(AND(ISNUMBER('Cost Inputs'!$M$163), OR('Cost Inputs'!$M$163=2,'Cost Inputs'!$M$163=5)), $E638, ""),"")),""),"")</f>
        <v/>
      </c>
      <c r="X638" s="93" t="str">
        <f>IF(ISNUMBER($B$537), IF($C638&lt;&gt;"", IF('Cost Inputs'!$L$163="Y", $E638, IF('Cost Inputs'!$L$163="N", IF(AND(ISNUMBER('Cost Inputs'!$M$163), OR('Cost Inputs'!$M$163=2,'Cost Inputs'!$M$163=3,'Cost Inputs'!$M$163=6)), $E638, ""),"")),""),"")</f>
        <v/>
      </c>
      <c r="Y638" s="93" t="str">
        <f>IF(ISNUMBER($B$537), IF($C638&lt;&gt;"", IF('Cost Inputs'!$L$163="Y", $E638, IF('Cost Inputs'!$L$163="N", IF(AND(ISNUMBER('Cost Inputs'!$M$163), OR('Cost Inputs'!$M$163=2,'Cost Inputs'!$M$163=7)), $E638, ""),"")),""),"")</f>
        <v/>
      </c>
      <c r="Z638" s="93" t="str">
        <f>IF(ISNUMBER($B$537), IF($C638&lt;&gt;"", IF('Cost Inputs'!$L$163="Y", $E638, IF('Cost Inputs'!$L$163="N", IF(AND(ISNUMBER('Cost Inputs'!$M$163), OR('Cost Inputs'!$M$163=2,'Cost Inputs'!$M$163=4,'Cost Inputs'!$M$163=8)), $E638, ""),"")),""),"")</f>
        <v/>
      </c>
      <c r="AA638" s="93" t="str">
        <f>IF(ISNUMBER($B$537), IF($C638&lt;&gt;"", IF('Cost Inputs'!$L$163="Y", $E638, IF('Cost Inputs'!$L$163="N", IF(AND(ISNUMBER('Cost Inputs'!$M$163), OR('Cost Inputs'!$M$163=2,'Cost Inputs'!$M$163=3,'Cost Inputs'!$M$163=9)), $E638, ""),"")),""),"")</f>
        <v/>
      </c>
    </row>
    <row r="639" spans="1:27" x14ac:dyDescent="0.25">
      <c r="A639" s="518"/>
      <c r="B639" s="504"/>
      <c r="C639" s="104" t="str">
        <f>IF(AND(ISNUMBER(B621), C632&lt;&gt;"", OR('Cost Inputs'!$H$164&lt;&gt;"", 'Cost Inputs'!$I$164&lt;&gt;"", 'Cost Inputs'!$J$164&lt;&gt;"")), _5_5_5, "")</f>
        <v/>
      </c>
      <c r="D639" s="17" t="str">
        <f>IF(AND(C639&lt;&gt;"", 'Cost Inputs'!$G$164&lt;&gt;""), 'Cost Inputs'!$G$164, "")</f>
        <v/>
      </c>
      <c r="E639" s="17" t="str">
        <f>IF(AND(C639&lt;&gt;"", 'Cost Inputs'!$H$164&lt;&gt;""), 'Cost Inputs'!$H$164, "")</f>
        <v/>
      </c>
      <c r="F639" s="17" t="str">
        <f>IF(AND(C639&lt;&gt;"", 'Cost Inputs'!$I$164&lt;&gt;""), 'Cost Inputs'!$I$164, "")</f>
        <v/>
      </c>
      <c r="G639" s="105" t="str">
        <f t="shared" si="462"/>
        <v/>
      </c>
      <c r="H639" s="17" t="str">
        <f>IF(AND(C639&lt;&gt;"", 'Cost Inputs'!$J$164&lt;&gt;""), 'Cost Inputs'!$J$164, "")</f>
        <v/>
      </c>
      <c r="I639" s="17" t="str">
        <f>IF($C639&lt;&gt;"", IF(AND($E639&lt;&gt;"", H639&lt;&gt;""), H639/$E639, 0),"")</f>
        <v/>
      </c>
      <c r="J639" s="17" t="str">
        <f>IF(AND(C639&lt;&gt;"",('Cost Inputs'!$I$164+'Cost Inputs'!$J$164+'Cost Inputs'!$K$164)&gt;0), 'Cost Inputs'!$I$164+'Cost Inputs'!$J$164+'Cost Inputs'!$K$164, "")</f>
        <v/>
      </c>
      <c r="K639" s="17" t="str">
        <f>IF($C639&lt;&gt;"", IF(AND($E639&lt;&gt;"", J639&lt;&gt;""), J639/$E639, 0),"")</f>
        <v/>
      </c>
      <c r="M639" s="106"/>
      <c r="R639" s="17" t="str">
        <f>IF(ISNUMBER($B$537), IF($C639&lt;&gt;"", IF('Cost Inputs'!$L$164="Y", $E639, IF('Cost Inputs'!$L$164="N", IF(ISNUMBER('Cost Inputs'!$M$164), $E639, ""),"")),""),"")</f>
        <v/>
      </c>
      <c r="S639" s="17" t="str">
        <f>IF(ISNUMBER($B$537), IF($C639&lt;&gt;"", IF('Cost Inputs'!$L$164="Y", $E639, IF('Cost Inputs'!$L$164="N", "", "")),""),"")</f>
        <v/>
      </c>
      <c r="T639" s="17" t="str">
        <f>IF(ISNUMBER($B$537), IF($C639&lt;&gt;"", IF('Cost Inputs'!$L$164="Y", $E639, IF('Cost Inputs'!$L$164="N", IF(AND(ISNUMBER('Cost Inputs'!$M$164), OR('Cost Inputs'!$M$164=2)), $E639, ""),"")),""),"")</f>
        <v/>
      </c>
      <c r="U639" s="17" t="str">
        <f>IF(ISNUMBER($B$537), IF($C639&lt;&gt;"", IF('Cost Inputs'!$L$164="Y", $E639, IF('Cost Inputs'!$L$164="N", IF(AND(ISNUMBER('Cost Inputs'!$M$164), OR('Cost Inputs'!$M$164=3)), $E639, ""),"")),""),"")</f>
        <v/>
      </c>
      <c r="V639" s="17" t="str">
        <f>IF(ISNUMBER($B$537), IF($C639&lt;&gt;"", IF('Cost Inputs'!$L$164="Y", $E639, IF('Cost Inputs'!$L$164="N", IF(AND(ISNUMBER('Cost Inputs'!$M$164), OR('Cost Inputs'!$M$164=2, 'Cost Inputs'!$M$164=4)), $E639, ""),"")),""),"")</f>
        <v/>
      </c>
      <c r="W639" s="17" t="str">
        <f>IF(ISNUMBER($B$537), IF($C639&lt;&gt;"", IF('Cost Inputs'!$L$164="Y", $E639, IF('Cost Inputs'!$L$164="N", IF(AND(ISNUMBER('Cost Inputs'!$M$164), OR('Cost Inputs'!$M$164=2,'Cost Inputs'!$M$164=5)), $E639, ""),"")),""),"")</f>
        <v/>
      </c>
      <c r="X639" s="17" t="str">
        <f>IF(ISNUMBER($B$537), IF($C639&lt;&gt;"", IF('Cost Inputs'!$L$164="Y", $E639, IF('Cost Inputs'!$L$164="N", IF(AND(ISNUMBER('Cost Inputs'!$M$164), OR('Cost Inputs'!$M$164=2,'Cost Inputs'!$M$164=3,'Cost Inputs'!$M$164=6)), $E639, ""),"")),""),"")</f>
        <v/>
      </c>
      <c r="Y639" s="17" t="str">
        <f>IF(ISNUMBER($B$537), IF($C639&lt;&gt;"", IF('Cost Inputs'!$L$164="Y", $E639, IF('Cost Inputs'!$L$164="N", IF(AND(ISNUMBER('Cost Inputs'!$M$164), OR('Cost Inputs'!$M$164=2,'Cost Inputs'!$M$164=7)), $E639, ""),"")),""),"")</f>
        <v/>
      </c>
      <c r="Z639" s="17" t="str">
        <f>IF(ISNUMBER($B$537), IF($C639&lt;&gt;"", IF('Cost Inputs'!$L$164="Y", $E639, IF('Cost Inputs'!$L$164="N", IF(AND(ISNUMBER('Cost Inputs'!$M$164), OR('Cost Inputs'!$M$164=2,'Cost Inputs'!$M$164=4,'Cost Inputs'!$M$164=8)), $E639, ""),"")),""),"")</f>
        <v/>
      </c>
      <c r="AA639" s="17" t="str">
        <f>IF(ISNUMBER($B$537), IF($C639&lt;&gt;"", IF('Cost Inputs'!$L$164="Y", $E639, IF('Cost Inputs'!$L$164="N", IF(AND(ISNUMBER('Cost Inputs'!$M$164), OR('Cost Inputs'!$M$164=2,'Cost Inputs'!$M$164=3,'Cost Inputs'!$M$164=9)), $E639, ""),"")),""),"")</f>
        <v/>
      </c>
    </row>
    <row r="640" spans="1:27" x14ac:dyDescent="0.25">
      <c r="A640" s="518"/>
      <c r="B640" s="504"/>
      <c r="C640" s="110" t="str">
        <f>IF(ISNUMBER(B621), _5_6_0, "")</f>
        <v/>
      </c>
      <c r="D640" s="94" t="str">
        <f>IF(AND(C640&lt;&gt;"", 'Cost Inputs'!$G$165&lt;&gt;""), 'Cost Inputs'!$G$165, "")</f>
        <v/>
      </c>
      <c r="E640" s="94" t="str">
        <f>IF(AND(C640&lt;&gt;"", 'Cost Inputs'!$H$165&lt;&gt;""), 'Cost Inputs'!$H$165, "")</f>
        <v/>
      </c>
      <c r="F640" s="94" t="str">
        <f>IF(AND(C640&lt;&gt;"", 'Cost Inputs'!$I$165&lt;&gt;""), 'Cost Inputs'!$I$165, "")</f>
        <v/>
      </c>
      <c r="G640" s="102" t="str">
        <f t="shared" si="462"/>
        <v/>
      </c>
      <c r="H640" s="94" t="str">
        <f>IF(AND(C640&lt;&gt;"", 'Cost Inputs'!$J$165&lt;&gt;""), 'Cost Inputs'!$J$165, "")</f>
        <v/>
      </c>
      <c r="I640" s="102" t="str">
        <f>IF($C640&lt;&gt;"",IF(AND($E640&lt;&gt;"",H640&lt;&gt;""), H640/$E640, 0),"")</f>
        <v/>
      </c>
      <c r="J640" s="94" t="str">
        <f>IF(AND(C640&lt;&gt;"",('Cost Inputs'!$I$165+'Cost Inputs'!$J$165+'Cost Inputs'!$K$165)&gt;0), 'Cost Inputs'!$I$165+'Cost Inputs'!$J$165+'Cost Inputs'!$K$165, "")</f>
        <v/>
      </c>
      <c r="K640" s="102" t="str">
        <f>IF($C640&lt;&gt;"",IF(AND($E640&lt;&gt;"",J640&lt;&gt;""), J640/$E640, 0),"")</f>
        <v/>
      </c>
      <c r="L640" s="94"/>
      <c r="M640" s="103"/>
      <c r="R640" s="94" t="str">
        <f>IF(ISNUMBER($B$537), IF($C640&lt;&gt;"", IF('Cost Inputs'!$L$165="Y", $E640, IF('Cost Inputs'!$L$165="N", IF(ISNUMBER('Cost Inputs'!$M$165), $E640, ""),"")),""),"")</f>
        <v/>
      </c>
      <c r="S640" s="94" t="str">
        <f>IF(ISNUMBER($B$537), IF($C640&lt;&gt;"", IF('Cost Inputs'!$L$165="Y", $E640, IF('Cost Inputs'!$L$165="N", "", "")),""),"")</f>
        <v/>
      </c>
      <c r="T640" s="94" t="str">
        <f>IF(ISNUMBER($B$537), IF($C640&lt;&gt;"", IF('Cost Inputs'!$L$165="Y", $E640, IF('Cost Inputs'!$L$165="N", IF(AND(ISNUMBER('Cost Inputs'!$M$165), OR('Cost Inputs'!$M$165=2)), $E640, ""),"")),""),"")</f>
        <v/>
      </c>
      <c r="U640" s="94" t="str">
        <f>IF(ISNUMBER($B$537), IF($C640&lt;&gt;"", IF('Cost Inputs'!$L$165="Y", $E640, IF('Cost Inputs'!$L$165="N", IF(AND(ISNUMBER('Cost Inputs'!$M$165), OR('Cost Inputs'!$M$165=3)), $E640, ""),"")),""),"")</f>
        <v/>
      </c>
      <c r="V640" s="94" t="str">
        <f>IF(ISNUMBER($B$537), IF($C640&lt;&gt;"", IF('Cost Inputs'!$L$165="Y", $E640, IF('Cost Inputs'!$L$165="N", IF(AND(ISNUMBER('Cost Inputs'!$M$165), OR('Cost Inputs'!$M$165=2, 'Cost Inputs'!$M$165=4)), $E640, ""),"")),""),"")</f>
        <v/>
      </c>
      <c r="W640" s="94" t="str">
        <f>IF(ISNUMBER($B$537), IF($C640&lt;&gt;"", IF('Cost Inputs'!$L$165="Y", $E640, IF('Cost Inputs'!$L$165="N", IF(AND(ISNUMBER('Cost Inputs'!$M$165), OR('Cost Inputs'!$M$165=2,'Cost Inputs'!$M$165=5)), $E640, ""),"")),""),"")</f>
        <v/>
      </c>
      <c r="X640" s="94" t="str">
        <f>IF(ISNUMBER($B$537), IF($C640&lt;&gt;"", IF('Cost Inputs'!$L$165="Y", $E640, IF('Cost Inputs'!$L$165="N", IF(AND(ISNUMBER('Cost Inputs'!$M$165), OR('Cost Inputs'!$M$165=2,'Cost Inputs'!$M$165=3,'Cost Inputs'!$M$165=6)), $E640, ""),"")),""),"")</f>
        <v/>
      </c>
      <c r="Y640" s="94" t="str">
        <f>IF(ISNUMBER($B$537), IF($C640&lt;&gt;"", IF('Cost Inputs'!$L$165="Y", $E640, IF('Cost Inputs'!$L$165="N", IF(AND(ISNUMBER('Cost Inputs'!$M$165), OR('Cost Inputs'!$M$165=2,'Cost Inputs'!$M$165=7)), $E640, ""),"")),""),"")</f>
        <v/>
      </c>
      <c r="Z640" s="94" t="str">
        <f>IF(ISNUMBER($B$537), IF($C640&lt;&gt;"", IF('Cost Inputs'!$L$165="Y", $E640, IF('Cost Inputs'!$L$165="N", IF(AND(ISNUMBER('Cost Inputs'!$M$165), OR('Cost Inputs'!$M$165=2,'Cost Inputs'!$M$165=4,'Cost Inputs'!$M$165=8)), $E640, ""),"")),""),"")</f>
        <v/>
      </c>
      <c r="AA640" s="94" t="str">
        <f>IF(ISNUMBER($B$537), IF($C640&lt;&gt;"", IF('Cost Inputs'!$L$165="Y", $E640, IF('Cost Inputs'!$L$165="N", IF(AND(ISNUMBER('Cost Inputs'!$M$165), OR('Cost Inputs'!$M$165=2,'Cost Inputs'!$M$165=3,'Cost Inputs'!$M$165=9)), $E640, ""),"")),""),"")</f>
        <v/>
      </c>
    </row>
    <row r="641" spans="1:28" x14ac:dyDescent="0.25">
      <c r="A641" s="518"/>
      <c r="B641" s="504"/>
      <c r="C641" s="104" t="str">
        <f>IF(AND(ISNUMBER(B621), OR('Cost Inputs'!$H$166&lt;&gt;"", 'Cost Inputs'!$I$166&lt;&gt;"", 'Cost Inputs'!$J$166&lt;&gt;"")), _5_6_1, "")</f>
        <v/>
      </c>
      <c r="D641" s="17" t="str">
        <f>IF(AND(C641&lt;&gt;"", 'Cost Inputs'!$G$166&lt;&gt;""), 'Cost Inputs'!$G$166, "")</f>
        <v/>
      </c>
      <c r="E641" s="17" t="str">
        <f>IF(AND(C641&lt;&gt;"", 'Cost Inputs'!$H$166&lt;&gt;""), 'Cost Inputs'!$H$166, "")</f>
        <v/>
      </c>
      <c r="F641" s="17" t="str">
        <f>IF(AND(C641&lt;&gt;"", 'Cost Inputs'!$I$166&lt;&gt;""), 'Cost Inputs'!$I$166, "")</f>
        <v/>
      </c>
      <c r="G641" s="105" t="str">
        <f t="shared" si="462"/>
        <v/>
      </c>
      <c r="H641" s="17" t="str">
        <f>IF(AND(C641&lt;&gt;"", 'Cost Inputs'!$J$166&lt;&gt;""), 'Cost Inputs'!$J$166, "")</f>
        <v/>
      </c>
      <c r="I641" s="17" t="str">
        <f>IF($C641&lt;&gt;"", IF(AND($E641&lt;&gt;"", H641&lt;&gt;""), H641/$E641, 0),"")</f>
        <v/>
      </c>
      <c r="J641" s="17" t="str">
        <f>IF(AND(C641&lt;&gt;"",('Cost Inputs'!$I$166+'Cost Inputs'!$J$166+'Cost Inputs'!$K$166)&gt;0), 'Cost Inputs'!$I$166+'Cost Inputs'!$J$166+'Cost Inputs'!$K$166, "")</f>
        <v/>
      </c>
      <c r="K641" s="17" t="str">
        <f>IF($C641&lt;&gt;"", IF(AND($E641&lt;&gt;"", J641&lt;&gt;""), J641/$E641, 0),"")</f>
        <v/>
      </c>
      <c r="M641" s="106"/>
      <c r="R641" s="17" t="str">
        <f>IF(ISNUMBER($B$537), IF($C641&lt;&gt;"", IF('Cost Inputs'!$L$166="Y", $E641, IF('Cost Inputs'!$L$166="N", IF(ISNUMBER('Cost Inputs'!$M$166), $E641, ""),"")),""),"")</f>
        <v/>
      </c>
      <c r="S641" s="17" t="str">
        <f>IF(ISNUMBER($B$537), IF($C641&lt;&gt;"", IF('Cost Inputs'!$L$166="Y", $E641, IF('Cost Inputs'!$L$166="N", "", "")),""),"")</f>
        <v/>
      </c>
      <c r="T641" s="17" t="str">
        <f>IF(ISNUMBER($B$537), IF($C641&lt;&gt;"", IF('Cost Inputs'!$L$166="Y", $E641, IF('Cost Inputs'!$L$166="N", IF(AND(ISNUMBER('Cost Inputs'!$M$166), OR('Cost Inputs'!$M$166=2)), $E641, ""),"")),""),"")</f>
        <v/>
      </c>
      <c r="U641" s="17" t="str">
        <f>IF(ISNUMBER($B$537), IF($C641&lt;&gt;"", IF('Cost Inputs'!$L$166="Y", $E641, IF('Cost Inputs'!$L$166="N", IF(AND(ISNUMBER('Cost Inputs'!$M$166), OR('Cost Inputs'!$M$166=3)), $E641, ""),"")),""),"")</f>
        <v/>
      </c>
      <c r="V641" s="17" t="str">
        <f>IF(ISNUMBER($B$537), IF($C641&lt;&gt;"", IF('Cost Inputs'!$L$166="Y", $E641, IF('Cost Inputs'!$L$166="N", IF(AND(ISNUMBER('Cost Inputs'!$M$166), OR('Cost Inputs'!$M$166=2, 'Cost Inputs'!$M$166=4)), $E641, ""),"")),""),"")</f>
        <v/>
      </c>
      <c r="W641" s="17" t="str">
        <f>IF(ISNUMBER($B$537), IF($C641&lt;&gt;"", IF('Cost Inputs'!$L$166="Y", $E641, IF('Cost Inputs'!$L$166="N", IF(AND(ISNUMBER('Cost Inputs'!$M$166), OR('Cost Inputs'!$M$166=2,'Cost Inputs'!$M$166=5)), $E641, ""),"")),""),"")</f>
        <v/>
      </c>
      <c r="X641" s="17" t="str">
        <f>IF(ISNUMBER($B$537), IF($C641&lt;&gt;"", IF('Cost Inputs'!$L$166="Y", $E641, IF('Cost Inputs'!$L$166="N", IF(AND(ISNUMBER('Cost Inputs'!$M$166), OR('Cost Inputs'!$M$166=2,'Cost Inputs'!$M$166=3,'Cost Inputs'!$M$166=6)), $E641, ""),"")),""),"")</f>
        <v/>
      </c>
      <c r="Y641" s="17" t="str">
        <f>IF(ISNUMBER($B$537), IF($C641&lt;&gt;"", IF('Cost Inputs'!$L$166="Y", $E641, IF('Cost Inputs'!$L$166="N", IF(AND(ISNUMBER('Cost Inputs'!$M$166), OR('Cost Inputs'!$M$166=2,'Cost Inputs'!$M$166=7)), $E641, ""),"")),""),"")</f>
        <v/>
      </c>
      <c r="Z641" s="17" t="str">
        <f>IF(ISNUMBER($B$537), IF($C641&lt;&gt;"", IF('Cost Inputs'!$L$166="Y", $E641, IF('Cost Inputs'!$L$166="N", IF(AND(ISNUMBER('Cost Inputs'!$M$166), OR('Cost Inputs'!$M$166=2,'Cost Inputs'!$M$166=4,'Cost Inputs'!$M$166=8)), $E641, ""),"")),""),"")</f>
        <v/>
      </c>
      <c r="AA641" s="17" t="str">
        <f>IF(ISNUMBER($B$537), IF($C641&lt;&gt;"", IF('Cost Inputs'!$L$166="Y", $E641, IF('Cost Inputs'!$L$166="N", IF(AND(ISNUMBER('Cost Inputs'!$M$166), OR('Cost Inputs'!$M$166=2,'Cost Inputs'!$M$166=3,'Cost Inputs'!$M$166=9)), $E641, ""),"")),""),"")</f>
        <v/>
      </c>
    </row>
    <row r="642" spans="1:28" ht="15.75" thickBot="1" x14ac:dyDescent="0.3">
      <c r="A642" s="518"/>
      <c r="B642" s="505"/>
      <c r="C642" s="111" t="str">
        <f>IF(AND(ISNUMBER(B621), OR('Cost Inputs'!$H$167&lt;&gt;"", 'Cost Inputs'!$I$167&lt;&gt;"", 'Cost Inputs'!$J$167&lt;&gt;"")), _5_6_2, "")</f>
        <v/>
      </c>
      <c r="D642" s="95" t="str">
        <f>IF(AND(C642&lt;&gt;"", 'Cost Inputs'!$G$167&lt;&gt;""), 'Cost Inputs'!$G$167, "")</f>
        <v/>
      </c>
      <c r="E642" s="95" t="str">
        <f>IF(AND(C642&lt;&gt;"", 'Cost Inputs'!$H$167&lt;&gt;""), 'Cost Inputs'!$H$167, "")</f>
        <v/>
      </c>
      <c r="F642" s="95" t="str">
        <f>IF(AND(C642&lt;&gt;"", 'Cost Inputs'!$I$167&lt;&gt;""), 'Cost Inputs'!$I$167, "")</f>
        <v/>
      </c>
      <c r="G642" s="112" t="str">
        <f t="shared" si="462"/>
        <v/>
      </c>
      <c r="H642" s="95" t="str">
        <f>IF(AND(C642&lt;&gt;"", 'Cost Inputs'!$J$167&lt;&gt;""), 'Cost Inputs'!$J$167, "")</f>
        <v/>
      </c>
      <c r="I642" s="95" t="str">
        <f>IF($C642&lt;&gt;"", IF(AND($E642&lt;&gt;"", H642&lt;&gt;""), H642/$E642, 0),"")</f>
        <v/>
      </c>
      <c r="J642" s="95" t="str">
        <f>IF(AND(C642&lt;&gt;"",('Cost Inputs'!$I$167+'Cost Inputs'!$J$167+'Cost Inputs'!$K$167)&gt;0), 'Cost Inputs'!$I$167+'Cost Inputs'!$J$167+'Cost Inputs'!$K$167, "")</f>
        <v/>
      </c>
      <c r="K642" s="95" t="str">
        <f>IF($C642&lt;&gt;"", IF(AND($E642&lt;&gt;"", J642&lt;&gt;""), J642/$E642, 0),"")</f>
        <v/>
      </c>
      <c r="L642" s="95"/>
      <c r="M642" s="113"/>
      <c r="R642" s="95" t="str">
        <f>IF(ISNUMBER($B$537), IF($C642&lt;&gt;"", IF('Cost Inputs'!$L$167="Y", $E642, IF('Cost Inputs'!$L$167="N", IF(ISNUMBER('Cost Inputs'!$M$167), $E642, ""),"")),""),"")</f>
        <v/>
      </c>
      <c r="S642" s="95" t="str">
        <f>IF(ISNUMBER($B$537), IF($C642&lt;&gt;"", IF('Cost Inputs'!$L$167="Y", $E642, IF('Cost Inputs'!$L$167="N", "", "")),""),"")</f>
        <v/>
      </c>
      <c r="T642" s="95" t="str">
        <f>IF(ISNUMBER($B$537), IF($C642&lt;&gt;"", IF('Cost Inputs'!$L$167="Y", $E642, IF('Cost Inputs'!$L$167="N", IF(AND(ISNUMBER('Cost Inputs'!$M$167), OR('Cost Inputs'!$M$167=2)), $E642, ""),"")),""),"")</f>
        <v/>
      </c>
      <c r="U642" s="95" t="str">
        <f>IF(ISNUMBER($B$537), IF($C642&lt;&gt;"", IF('Cost Inputs'!$L$167="Y", $E642, IF('Cost Inputs'!$L$167="N", IF(AND(ISNUMBER('Cost Inputs'!$M$167), OR('Cost Inputs'!$M$167=3)), $E642, ""),"")),""),"")</f>
        <v/>
      </c>
      <c r="V642" s="95" t="str">
        <f>IF(ISNUMBER($B$537), IF($C642&lt;&gt;"", IF('Cost Inputs'!$L$167="Y", $E642, IF('Cost Inputs'!$L$167="N", IF(AND(ISNUMBER('Cost Inputs'!$M$167), OR('Cost Inputs'!$M$167=2, 'Cost Inputs'!$M$167=4)), $E642, ""),"")),""),"")</f>
        <v/>
      </c>
      <c r="W642" s="95" t="str">
        <f>IF(ISNUMBER($B$537), IF($C642&lt;&gt;"", IF('Cost Inputs'!$L$167="Y", $E642, IF('Cost Inputs'!$L$167="N", IF(AND(ISNUMBER('Cost Inputs'!$M$167), OR('Cost Inputs'!$M$167=2,'Cost Inputs'!$M$167=5)), $E642, ""),"")),""),"")</f>
        <v/>
      </c>
      <c r="X642" s="95" t="str">
        <f>IF(ISNUMBER($B$537), IF($C642&lt;&gt;"", IF('Cost Inputs'!$L$167="Y", $E642, IF('Cost Inputs'!$L$167="N", IF(AND(ISNUMBER('Cost Inputs'!$M$167), OR('Cost Inputs'!$M$167=2,'Cost Inputs'!$M$167=3,'Cost Inputs'!$M$167=6)), $E642, ""),"")),""),"")</f>
        <v/>
      </c>
      <c r="Y642" s="95" t="str">
        <f>IF(ISNUMBER($B$537), IF($C642&lt;&gt;"", IF('Cost Inputs'!$L$167="Y", $E642, IF('Cost Inputs'!$L$167="N", IF(AND(ISNUMBER('Cost Inputs'!$M$167), OR('Cost Inputs'!$M$167=2,'Cost Inputs'!$M$167=7)), $E642, ""),"")),""),"")</f>
        <v/>
      </c>
      <c r="Z642" s="95" t="str">
        <f>IF(ISNUMBER($B$537), IF($C642&lt;&gt;"", IF('Cost Inputs'!$L$167="Y", $E642, IF('Cost Inputs'!$L$167="N", IF(AND(ISNUMBER('Cost Inputs'!$M$167), OR('Cost Inputs'!$M$167=2,'Cost Inputs'!$M$167=4,'Cost Inputs'!$M$167=8)), $E642, ""),"")),""),"")</f>
        <v/>
      </c>
      <c r="AA642" s="95" t="str">
        <f>IF(ISNUMBER($B$537), IF($C642&lt;&gt;"", IF('Cost Inputs'!$L$167="Y", $E642, IF('Cost Inputs'!$L$167="N", IF(AND(ISNUMBER('Cost Inputs'!$M$167), OR('Cost Inputs'!$M$167=2,'Cost Inputs'!$M$167=3,'Cost Inputs'!$M$167=9)), $E642, ""),"")),""),"")</f>
        <v/>
      </c>
    </row>
    <row r="643" spans="1:28" x14ac:dyDescent="0.25">
      <c r="A643" s="518" t="str">
        <f>Fifth_Stage</f>
        <v>Stage 3 Clonal Replication with Increased Repetitions</v>
      </c>
      <c r="B643" s="503" t="str">
        <f>'Breeding Inputs'!B105</f>
        <v/>
      </c>
      <c r="C643" s="520" t="str">
        <f>IF(ISNUMBER(B643), _5_3_0, "")</f>
        <v/>
      </c>
      <c r="D643" s="92" t="str">
        <f>IF(AND(C643&lt;&gt;"", 'Cost Inputs'!$G$146&lt;&gt;""), 'Cost Inputs'!$G$146, "")</f>
        <v/>
      </c>
      <c r="E643" s="92" t="str">
        <f>IF(AND(C643&lt;&gt;"", 'Cost Inputs'!$H$146&lt;&gt;""), 'Cost Inputs'!$H$146, "")</f>
        <v/>
      </c>
      <c r="F643" s="522" t="str">
        <f>IF(AND(C643&lt;&gt;"", 'Cost Inputs'!$I$146&lt;&gt;""), 'Cost Inputs'!$I$146, "")</f>
        <v/>
      </c>
      <c r="G643" s="100" t="str">
        <f t="shared" si="462"/>
        <v/>
      </c>
      <c r="H643" s="522" t="str">
        <f>IF(AND(C643&lt;&gt;"", 'Cost Inputs'!$J$146&lt;&gt;""), 'Cost Inputs'!$J$146, "")</f>
        <v/>
      </c>
      <c r="I643" s="100" t="str">
        <f>IF($C643&lt;&gt;"",IF(AND($E643&lt;&gt;"",H643&lt;&gt;""), H643/$E643, 0),"")</f>
        <v/>
      </c>
      <c r="J643" s="522" t="str">
        <f>IF(AND(C643&lt;&gt;"",('Cost Inputs'!$I$146+'Cost Inputs'!$J$146+'Cost Inputs'!$K$146)&gt;0), 'Cost Inputs'!$I$146+'Cost Inputs'!$J$146+'Cost Inputs'!$K$146, "")</f>
        <v/>
      </c>
      <c r="K643" s="100" t="str">
        <f>IF($C643&lt;&gt;"",IF(AND($E643&lt;&gt;"",J643&lt;&gt;""), J643/$E643, 0),"")</f>
        <v/>
      </c>
      <c r="L643" s="92"/>
      <c r="M643" s="101"/>
      <c r="S643" s="492" t="str">
        <f>IF(ISNUMBER($B$537), IF($C643&lt;&gt;"", IF('Cost Inputs'!$L$146="Y", $E643, IF('Cost Inputs'!$L$146="N", IF(ISNUMBER('Cost Inputs'!$M$146), $E643, ""),"")),""),"")</f>
        <v/>
      </c>
      <c r="T643" s="492" t="str">
        <f>IF(ISNUMBER($B$537), IF($C643&lt;&gt;"", IF('Cost Inputs'!$L$146="Y", $E643, IF('Cost Inputs'!$L$146="N", "", "")),""),"")</f>
        <v/>
      </c>
      <c r="U643" s="492" t="str">
        <f>IF(ISNUMBER($B$537), IF($C643&lt;&gt;"", IF('Cost Inputs'!$L$146="Y", $E643, IF('Cost Inputs'!$L$146="N", IF(AND(ISNUMBER('Cost Inputs'!$M$146), OR('Cost Inputs'!$M$146=2)), $E643, ""),"")),""),"")</f>
        <v/>
      </c>
      <c r="V643" s="492" t="str">
        <f>IF(ISNUMBER($B$537), IF($C643&lt;&gt;"", IF('Cost Inputs'!$L$146="Y", $E643, IF('Cost Inputs'!$L$146="N", IF(AND(ISNUMBER('Cost Inputs'!$M$146), OR('Cost Inputs'!$M$146=3)), $E643, ""),"")),""),"")</f>
        <v/>
      </c>
      <c r="W643" s="492" t="str">
        <f>IF(ISNUMBER($B$537), IF($C643&lt;&gt;"", IF('Cost Inputs'!$L$146="Y", $E643, IF('Cost Inputs'!$L$146="N", IF(AND(ISNUMBER('Cost Inputs'!$M$146), OR('Cost Inputs'!$M$146=2, 'Cost Inputs'!$M$146=4)), $E643, ""),"")),""),"")</f>
        <v/>
      </c>
      <c r="X643" s="492" t="str">
        <f>IF(ISNUMBER($B$537), IF($C643&lt;&gt;"", IF('Cost Inputs'!$L$146="Y", $E643, IF('Cost Inputs'!$L$146="N", IF(AND(ISNUMBER('Cost Inputs'!$M$146), OR('Cost Inputs'!$M$146=2,'Cost Inputs'!$M$146=5)), $E643, ""),"")),""),"")</f>
        <v/>
      </c>
      <c r="Y643" s="492" t="str">
        <f>IF(ISNUMBER($B$537), IF($C643&lt;&gt;"", IF('Cost Inputs'!$L$146="Y", $E643, IF('Cost Inputs'!$L$146="N", IF(AND(ISNUMBER('Cost Inputs'!$M$146), OR('Cost Inputs'!$M$146=2,'Cost Inputs'!$M$146=3,'Cost Inputs'!$M$146=6)), $E643, ""),"")),""),"")</f>
        <v/>
      </c>
      <c r="Z643" s="492" t="str">
        <f>IF(ISNUMBER($B$537), IF($C643&lt;&gt;"", IF('Cost Inputs'!$L$146="Y", $E643, IF('Cost Inputs'!$L$146="N", IF(AND(ISNUMBER('Cost Inputs'!$M$146), OR('Cost Inputs'!$M$146=2,'Cost Inputs'!$M$146=7)), $E643, ""),"")),""),"")</f>
        <v/>
      </c>
      <c r="AA643" s="492" t="str">
        <f>IF(ISNUMBER($B$537), IF($C643&lt;&gt;"", IF('Cost Inputs'!$L$146="Y", $E643, IF('Cost Inputs'!$L$146="N", IF(AND(ISNUMBER('Cost Inputs'!$M$146), OR('Cost Inputs'!$M$146=2,'Cost Inputs'!$M$146=4,'Cost Inputs'!$M$146=8)), $E643, ""),"")),""),"")</f>
        <v/>
      </c>
      <c r="AB643" s="492" t="str">
        <f>IF(ISNUMBER($B$537), IF($C643&lt;&gt;"", IF('Cost Inputs'!$L$146="Y", $E643, IF('Cost Inputs'!$L$146="N", IF(AND(ISNUMBER('Cost Inputs'!$M$146), OR('Cost Inputs'!$M$146=2,'Cost Inputs'!$M$146=3,'Cost Inputs'!$M$146=9)), $E643, ""),"")),""),"")</f>
        <v/>
      </c>
    </row>
    <row r="644" spans="1:28" x14ac:dyDescent="0.25">
      <c r="A644" s="518"/>
      <c r="B644" s="504"/>
      <c r="C644" s="521"/>
      <c r="D644" s="94" t="str">
        <f>IF(AND(C643&lt;&gt;"", 'Cost Inputs'!$G$147&lt;&gt;""), 'Cost Inputs'!$G$147, "")</f>
        <v/>
      </c>
      <c r="E644" s="94" t="str">
        <f>IF(AND(C643&lt;&gt;"", 'Cost Inputs'!$H$147&lt;&gt;""), 'Cost Inputs'!$H$147, "")</f>
        <v/>
      </c>
      <c r="F644" s="492"/>
      <c r="G644" s="102" t="str">
        <f t="shared" si="462"/>
        <v/>
      </c>
      <c r="H644" s="492"/>
      <c r="I644" s="102" t="str">
        <f>IF($C643&lt;&gt;"", IF(AND($E644&lt;&gt;"", H643&lt;&gt;""), H643/($E643*$E644), 0), "")</f>
        <v/>
      </c>
      <c r="J644" s="492" t="str">
        <f>IF(AND(C644&lt;&gt;"",('Cost Inputs'!$I$86+'Cost Inputs'!$J$86+'Cost Inputs'!$K$86)&gt;0), 'Cost Inputs'!$I$86+'Cost Inputs'!$J$86+'Cost Inputs'!$K$86, "")</f>
        <v/>
      </c>
      <c r="K644" s="102" t="str">
        <f>IF($C643&lt;&gt;"", IF(AND($E644&lt;&gt;"", J643&lt;&gt;""), J643/($E643*$E644), 0), "")</f>
        <v/>
      </c>
      <c r="L644" s="94"/>
      <c r="M644" s="103"/>
      <c r="S644" s="492" t="str">
        <f>IF(ISNUMBER($B$537), IF($C644&lt;&gt;"", IF('Cost Inputs'!$L235="Y", $E644, IF('Cost Inputs'!$L235="N", IF(ISNUMBER('Cost Inputs'!$M235), $E644, ""),"")),""),"")</f>
        <v/>
      </c>
      <c r="T644" s="492" t="str">
        <f>IF(ISNUMBER($B$537), IF($C644&lt;&gt;"", IF('Cost Inputs'!$L235="Y", $E644, IF('Cost Inputs'!$L235="N", "", "")),""),"")</f>
        <v/>
      </c>
      <c r="U644" s="492" t="str">
        <f>IF(ISNUMBER($B$537), IF($C644&lt;&gt;"", IF('Cost Inputs'!$L235="Y", $E644, IF('Cost Inputs'!$L235="N", IF(AND(ISNUMBER('Cost Inputs'!$M235), OR('Cost Inputs'!$M235=2)), $E644, ""),"")),""),"")</f>
        <v/>
      </c>
      <c r="V644" s="492" t="str">
        <f>IF(ISNUMBER($B$537), IF($C644&lt;&gt;"", IF('Cost Inputs'!$L235="Y", $E644, IF('Cost Inputs'!$L235="N", IF(AND(ISNUMBER('Cost Inputs'!$M235), OR('Cost Inputs'!$M235=3)), $E644, ""),"")),""),"")</f>
        <v/>
      </c>
      <c r="W644" s="492" t="str">
        <f>IF(ISNUMBER($B$537), IF($C644&lt;&gt;"", IF('Cost Inputs'!$L235="Y", $E644, IF('Cost Inputs'!$L235="N", IF(AND(ISNUMBER('Cost Inputs'!$M235), OR('Cost Inputs'!$M235=2, 'Cost Inputs'!$M235=4)), $E644, ""),"")),""),"")</f>
        <v/>
      </c>
      <c r="X644" s="492" t="str">
        <f>IF(ISNUMBER($B$537), IF($C644&lt;&gt;"", IF('Cost Inputs'!$L235="Y", $E644, IF('Cost Inputs'!$L235="N", IF(AND(ISNUMBER('Cost Inputs'!$M235), OR('Cost Inputs'!$M235=2,'Cost Inputs'!$M235=5)), $E644, ""),"")),""),"")</f>
        <v/>
      </c>
      <c r="Y644" s="492" t="str">
        <f>IF(ISNUMBER($B$537), IF($C644&lt;&gt;"", IF('Cost Inputs'!$L235="Y", $E644, IF('Cost Inputs'!$L235="N", IF(AND(ISNUMBER('Cost Inputs'!$M235), OR('Cost Inputs'!$M235=2,'Cost Inputs'!$M235=3,'Cost Inputs'!$M235=6)), $E644, ""),"")),""),"")</f>
        <v/>
      </c>
      <c r="Z644" s="492" t="str">
        <f>IF(ISNUMBER($B$537), IF($C644&lt;&gt;"", IF('Cost Inputs'!$L235="Y", $E644, IF('Cost Inputs'!$L235="N", IF(AND(ISNUMBER('Cost Inputs'!$M235), OR('Cost Inputs'!$M235=2,'Cost Inputs'!$M235=7)), $E644, ""),"")),""),"")</f>
        <v/>
      </c>
      <c r="AA644" s="492" t="str">
        <f>IF(ISNUMBER($B$537), IF($C644&lt;&gt;"", IF('Cost Inputs'!$L235="Y", $E644, IF('Cost Inputs'!$L235="N", IF(AND(ISNUMBER('Cost Inputs'!$M235), OR('Cost Inputs'!$M235=2,'Cost Inputs'!$M235=4,'Cost Inputs'!$M235=8)), $E644, ""),"")),""),"")</f>
        <v/>
      </c>
      <c r="AB644" s="492" t="str">
        <f>IF(ISNUMBER($B$537), IF($C644&lt;&gt;"", IF('Cost Inputs'!$L235="Y", $E644, IF('Cost Inputs'!$L235="N", IF(AND(ISNUMBER('Cost Inputs'!$M235), OR('Cost Inputs'!$M235=2,'Cost Inputs'!$M235=3,'Cost Inputs'!$M235=9)), $E644, ""),"")),""),"")</f>
        <v/>
      </c>
    </row>
    <row r="645" spans="1:28" x14ac:dyDescent="0.25">
      <c r="A645" s="518"/>
      <c r="B645" s="504"/>
      <c r="C645" s="104" t="str">
        <f>IF(AND(ISNUMBER(B643), OR('Cost Inputs'!$H$148&lt;&gt;"", 'Cost Inputs'!$I$148&lt;&gt;"", 'Cost Inputs'!$J$148&lt;&gt;"")), _5_3_1, "")</f>
        <v/>
      </c>
      <c r="D645" s="17" t="str">
        <f>IF(AND(C645&lt;&gt;"", 'Cost Inputs'!$G$148&lt;&gt;""), 'Cost Inputs'!$G$148, "")</f>
        <v/>
      </c>
      <c r="E645" s="17" t="str">
        <f>IF(AND(C645&lt;&gt;"", 'Cost Inputs'!$H$148&lt;&gt;""), 'Cost Inputs'!$H$148, "")</f>
        <v/>
      </c>
      <c r="F645" s="17" t="str">
        <f>IF(AND(C645&lt;&gt;"", 'Cost Inputs'!$I$148&lt;&gt;""), 'Cost Inputs'!$I$148, "")</f>
        <v/>
      </c>
      <c r="G645" s="105" t="str">
        <f t="shared" si="462"/>
        <v/>
      </c>
      <c r="H645" s="17" t="str">
        <f>IF(AND(C645&lt;&gt;"", 'Cost Inputs'!$J$148&lt;&gt;""), 'Cost Inputs'!$J$148, "")</f>
        <v/>
      </c>
      <c r="I645" s="17" t="str">
        <f t="shared" ref="I645:I653" si="465">IF($C645&lt;&gt;"", IF(AND($E645&lt;&gt;"", H645&lt;&gt;""), H645/$E645, 0),"")</f>
        <v/>
      </c>
      <c r="J645" s="17" t="str">
        <f>IF(AND(C645&lt;&gt;"",('Cost Inputs'!$I$148+'Cost Inputs'!$J$148+'Cost Inputs'!$K$148)&gt;0), 'Cost Inputs'!$I$148+'Cost Inputs'!$J$148+'Cost Inputs'!$K$148, "")</f>
        <v/>
      </c>
      <c r="K645" s="17" t="str">
        <f t="shared" ref="K645:K653" si="466">IF($C645&lt;&gt;"", IF(AND($E645&lt;&gt;"", J645&lt;&gt;""), J645/$E645, 0),"")</f>
        <v/>
      </c>
      <c r="M645" s="106"/>
      <c r="S645" s="17" t="str">
        <f>IF(ISNUMBER($B$537), IF($C645&lt;&gt;"", IF('Cost Inputs'!$L$148="Y", $E645, IF('Cost Inputs'!$L$148="N", IF(ISNUMBER('Cost Inputs'!$M$148), $E645, ""),"")),""),"")</f>
        <v/>
      </c>
      <c r="T645" s="17" t="str">
        <f>IF(ISNUMBER($B$537), IF($C645&lt;&gt;"", IF('Cost Inputs'!$L$148="Y", $E645, IF('Cost Inputs'!$L$148="N", "", "")),""),"")</f>
        <v/>
      </c>
      <c r="U645" s="17" t="str">
        <f>IF(ISNUMBER($B$537), IF($C645&lt;&gt;"", IF('Cost Inputs'!$L$148="Y", $E645, IF('Cost Inputs'!$L$148="N", IF(AND(ISNUMBER('Cost Inputs'!$M$148), OR('Cost Inputs'!$M$148=2)), $E645, ""),"")),""),"")</f>
        <v/>
      </c>
      <c r="V645" s="17" t="str">
        <f>IF(ISNUMBER($B$537), IF($C645&lt;&gt;"", IF('Cost Inputs'!$L$148="Y", $E645, IF('Cost Inputs'!$L$148="N", IF(AND(ISNUMBER('Cost Inputs'!$M$148), OR('Cost Inputs'!$M$148=3)), $E645, ""),"")),""),"")</f>
        <v/>
      </c>
      <c r="W645" s="17" t="str">
        <f>IF(ISNUMBER($B$537), IF($C645&lt;&gt;"", IF('Cost Inputs'!$L$148="Y", $E645, IF('Cost Inputs'!$L$148="N", IF(AND(ISNUMBER('Cost Inputs'!$M$148), OR('Cost Inputs'!$M$148=2, 'Cost Inputs'!$M$148=4)), $E645, ""),"")),""),"")</f>
        <v/>
      </c>
      <c r="X645" s="17" t="str">
        <f>IF(ISNUMBER($B$537), IF($C645&lt;&gt;"", IF('Cost Inputs'!$L$148="Y", $E645, IF('Cost Inputs'!$L$148="N", IF(AND(ISNUMBER('Cost Inputs'!$M$148), OR('Cost Inputs'!$M$148=2,'Cost Inputs'!$M$148=5)), $E645, ""),"")),""),"")</f>
        <v/>
      </c>
      <c r="Y645" s="17" t="str">
        <f>IF(ISNUMBER($B$537), IF($C645&lt;&gt;"", IF('Cost Inputs'!$L$148="Y", $E645, IF('Cost Inputs'!$L$148="N", IF(AND(ISNUMBER('Cost Inputs'!$M$148), OR('Cost Inputs'!$M$148=2,'Cost Inputs'!$M$148=3,'Cost Inputs'!$M$148=6)), $E645, ""),"")),""),"")</f>
        <v/>
      </c>
      <c r="Z645" s="17" t="str">
        <f>IF(ISNUMBER($B$537), IF($C645&lt;&gt;"", IF('Cost Inputs'!$L$148="Y", $E645, IF('Cost Inputs'!$L$148="N", IF(AND(ISNUMBER('Cost Inputs'!$M$148), OR('Cost Inputs'!$M$148=2,'Cost Inputs'!$M$148=7)), $E645, ""),"")),""),"")</f>
        <v/>
      </c>
      <c r="AA645" s="17" t="str">
        <f>IF(ISNUMBER($B$537), IF($C645&lt;&gt;"", IF('Cost Inputs'!$L$148="Y", $E645, IF('Cost Inputs'!$L$148="N", IF(AND(ISNUMBER('Cost Inputs'!$M$148), OR('Cost Inputs'!$M$148=2,'Cost Inputs'!$M$148=4,'Cost Inputs'!$M$148=8)), $E645, ""),"")),""),"")</f>
        <v/>
      </c>
      <c r="AB645" s="17" t="str">
        <f>IF(ISNUMBER($B$537), IF($C645&lt;&gt;"", IF('Cost Inputs'!$L$148="Y", $E645, IF('Cost Inputs'!$L$148="N", IF(AND(ISNUMBER('Cost Inputs'!$M$148), OR('Cost Inputs'!$M$148=2,'Cost Inputs'!$M$148=3,'Cost Inputs'!$M$148=9)), $E645, ""),"")),""),"")</f>
        <v/>
      </c>
    </row>
    <row r="646" spans="1:28" x14ac:dyDescent="0.25">
      <c r="A646" s="518"/>
      <c r="B646" s="504"/>
      <c r="C646" s="107" t="str">
        <f>IF(AND(ISNUMBER(B643), OR('Cost Inputs'!$H$149&lt;&gt;"", 'Cost Inputs'!$I$149&lt;&gt;"", 'Cost Inputs'!$J$149&lt;&gt;"")), _5_3_2, "")</f>
        <v/>
      </c>
      <c r="D646" s="93" t="str">
        <f>IF(AND(C646&lt;&gt;"", 'Cost Inputs'!$G$149&lt;&gt;""), 'Cost Inputs'!$G$149, "")</f>
        <v/>
      </c>
      <c r="E646" s="93" t="str">
        <f>IF(AND(C646&lt;&gt;"", 'Cost Inputs'!$H$149&lt;&gt;""), 'Cost Inputs'!$H$149, "")</f>
        <v/>
      </c>
      <c r="F646" s="93" t="str">
        <f>IF(AND(C646&lt;&gt;"", 'Cost Inputs'!$I$149&lt;&gt;""), 'Cost Inputs'!$I$149, "")</f>
        <v/>
      </c>
      <c r="G646" s="108" t="str">
        <f t="shared" si="462"/>
        <v/>
      </c>
      <c r="H646" s="93" t="str">
        <f>IF(AND(C646&lt;&gt;"", 'Cost Inputs'!$J$149&lt;&gt;""), 'Cost Inputs'!$J$149, "")</f>
        <v/>
      </c>
      <c r="I646" s="93" t="str">
        <f t="shared" si="465"/>
        <v/>
      </c>
      <c r="J646" s="93" t="str">
        <f>IF(AND(C646&lt;&gt;"",('Cost Inputs'!$I$149+'Cost Inputs'!$J$149+'Cost Inputs'!$K$149)&gt;0), 'Cost Inputs'!$I$149+'Cost Inputs'!$J$149+'Cost Inputs'!$K$149, "")</f>
        <v/>
      </c>
      <c r="K646" s="93" t="str">
        <f t="shared" si="466"/>
        <v/>
      </c>
      <c r="L646" s="93"/>
      <c r="M646" s="109"/>
      <c r="S646" s="93" t="str">
        <f>IF(ISNUMBER($B$537), IF($C646&lt;&gt;"", IF('Cost Inputs'!$L$149="Y", $E646, IF('Cost Inputs'!$L$149="N", IF(ISNUMBER('Cost Inputs'!$M$149), $E646, ""),"")),""),"")</f>
        <v/>
      </c>
      <c r="T646" s="93" t="str">
        <f>IF(ISNUMBER($B$537), IF($C646&lt;&gt;"", IF('Cost Inputs'!$L$149="Y", $E646, IF('Cost Inputs'!$L$149="N", "", "")),""),"")</f>
        <v/>
      </c>
      <c r="U646" s="93" t="str">
        <f>IF(ISNUMBER($B$537), IF($C646&lt;&gt;"", IF('Cost Inputs'!$L$149="Y", $E646, IF('Cost Inputs'!$L$149="N", IF(AND(ISNUMBER('Cost Inputs'!$M$149), OR('Cost Inputs'!$M$149=2)), $E646, ""),"")),""),"")</f>
        <v/>
      </c>
      <c r="V646" s="93" t="str">
        <f>IF(ISNUMBER($B$537), IF($C646&lt;&gt;"", IF('Cost Inputs'!$L$149="Y", $E646, IF('Cost Inputs'!$L$149="N", IF(AND(ISNUMBER('Cost Inputs'!$M$149), OR('Cost Inputs'!$M$149=3)), $E646, ""),"")),""),"")</f>
        <v/>
      </c>
      <c r="W646" s="93" t="str">
        <f>IF(ISNUMBER($B$537), IF($C646&lt;&gt;"", IF('Cost Inputs'!$L$149="Y", $E646, IF('Cost Inputs'!$L$149="N", IF(AND(ISNUMBER('Cost Inputs'!$M$149), OR('Cost Inputs'!$M$149=2, 'Cost Inputs'!$M$149=4)), $E646, ""),"")),""),"")</f>
        <v/>
      </c>
      <c r="X646" s="93" t="str">
        <f>IF(ISNUMBER($B$537), IF($C646&lt;&gt;"", IF('Cost Inputs'!$L$149="Y", $E646, IF('Cost Inputs'!$L$149="N", IF(AND(ISNUMBER('Cost Inputs'!$M$149), OR('Cost Inputs'!$M$149=2,'Cost Inputs'!$M$149=5)), $E646, ""),"")),""),"")</f>
        <v/>
      </c>
      <c r="Y646" s="93" t="str">
        <f>IF(ISNUMBER($B$537), IF($C646&lt;&gt;"", IF('Cost Inputs'!$L$149="Y", $E646, IF('Cost Inputs'!$L$149="N", IF(AND(ISNUMBER('Cost Inputs'!$M$149), OR('Cost Inputs'!$M$149=2,'Cost Inputs'!$M$149=3,'Cost Inputs'!$M$149=6)), $E646, ""),"")),""),"")</f>
        <v/>
      </c>
      <c r="Z646" s="93" t="str">
        <f>IF(ISNUMBER($B$537), IF($C646&lt;&gt;"", IF('Cost Inputs'!$L$149="Y", $E646, IF('Cost Inputs'!$L$149="N", IF(AND(ISNUMBER('Cost Inputs'!$M$149), OR('Cost Inputs'!$M$149=2,'Cost Inputs'!$M$149=7)), $E646, ""),"")),""),"")</f>
        <v/>
      </c>
      <c r="AA646" s="93" t="str">
        <f>IF(ISNUMBER($B$537), IF($C646&lt;&gt;"", IF('Cost Inputs'!$L$149="Y", $E646, IF('Cost Inputs'!$L$149="N", IF(AND(ISNUMBER('Cost Inputs'!$M$149), OR('Cost Inputs'!$M$149=2,'Cost Inputs'!$M$149=4,'Cost Inputs'!$M$149=8)), $E646, ""),"")),""),"")</f>
        <v/>
      </c>
      <c r="AB646" s="93" t="str">
        <f>IF(ISNUMBER($B$537), IF($C646&lt;&gt;"", IF('Cost Inputs'!$L$149="Y", $E646, IF('Cost Inputs'!$L$149="N", IF(AND(ISNUMBER('Cost Inputs'!$M$149), OR('Cost Inputs'!$M$149=2,'Cost Inputs'!$M$149=3,'Cost Inputs'!$M$149=9)), $E646, ""),"")),""),"")</f>
        <v/>
      </c>
    </row>
    <row r="647" spans="1:28" x14ac:dyDescent="0.25">
      <c r="A647" s="518"/>
      <c r="B647" s="504"/>
      <c r="C647" s="110" t="str">
        <f>IF(ISNUMBER(B643), _5_4_0, "")</f>
        <v/>
      </c>
      <c r="D647" s="94" t="str">
        <f>IF(AND(C647&lt;&gt;"", 'Cost Inputs'!$G$150&lt;&gt;""), 'Cost Inputs'!$G$150, "")</f>
        <v/>
      </c>
      <c r="E647" s="94" t="str">
        <f>IF(AND(C647&lt;&gt;"", 'Cost Inputs'!$H$150&lt;&gt;""), 'Cost Inputs'!$H$150, "")</f>
        <v/>
      </c>
      <c r="F647" s="94" t="str">
        <f>IF(AND(C647&lt;&gt;"", 'Cost Inputs'!$I$150&lt;&gt;""), 'Cost Inputs'!$I$150, "")</f>
        <v/>
      </c>
      <c r="G647" s="102" t="str">
        <f t="shared" si="462"/>
        <v/>
      </c>
      <c r="H647" s="102" t="str">
        <f>IF(AND(C647&lt;&gt;"", 'Cost Inputs'!$J$150&lt;&gt;""), 'Cost Inputs'!$J$150, "")</f>
        <v/>
      </c>
      <c r="I647" s="102" t="str">
        <f t="shared" si="465"/>
        <v/>
      </c>
      <c r="J647" s="102" t="str">
        <f>IF(AND(C647&lt;&gt;"",('Cost Inputs'!$I$150+'Cost Inputs'!$J$150+'Cost Inputs'!$K$150)&gt;0), 'Cost Inputs'!$I$150+'Cost Inputs'!$J$150+'Cost Inputs'!$K$150, "")</f>
        <v/>
      </c>
      <c r="K647" s="102" t="str">
        <f t="shared" si="466"/>
        <v/>
      </c>
      <c r="L647" s="94"/>
      <c r="M647" s="103"/>
      <c r="S647" s="102" t="str">
        <f>IF(ISNUMBER($B$537), IF($C647&lt;&gt;"", IF('Cost Inputs'!$L$150="Y", $E647, IF('Cost Inputs'!$L$150="N", IF(ISNUMBER('Cost Inputs'!$M$150), $E647, ""),"")),""),"")</f>
        <v/>
      </c>
      <c r="T647" s="102" t="str">
        <f>IF(ISNUMBER($B$537), IF($C647&lt;&gt;"", IF('Cost Inputs'!$L$150="Y", $E647, IF('Cost Inputs'!$L$150="N", "", "")),""),"")</f>
        <v/>
      </c>
      <c r="U647" s="102" t="str">
        <f>IF(ISNUMBER($B$537), IF($C647&lt;&gt;"", IF('Cost Inputs'!$L$150="Y", $E647, IF('Cost Inputs'!$L$150="N", IF(AND(ISNUMBER('Cost Inputs'!$M$150), OR('Cost Inputs'!$M$150=2)), $E647, ""),"")),""),"")</f>
        <v/>
      </c>
      <c r="V647" s="102" t="str">
        <f>IF(ISNUMBER($B$537), IF($C647&lt;&gt;"", IF('Cost Inputs'!$L$150="Y", $E647, IF('Cost Inputs'!$L$150="N", IF(AND(ISNUMBER('Cost Inputs'!$M$150), OR('Cost Inputs'!$M$150=3)), $E647, ""),"")),""),"")</f>
        <v/>
      </c>
      <c r="W647" s="102" t="str">
        <f>IF(ISNUMBER($B$537), IF($C647&lt;&gt;"", IF('Cost Inputs'!$L$150="Y", $E647, IF('Cost Inputs'!$L$150="N", IF(AND(ISNUMBER('Cost Inputs'!$M$150), OR('Cost Inputs'!$M$150=2, 'Cost Inputs'!$M$150=4)), $E647, ""),"")),""),"")</f>
        <v/>
      </c>
      <c r="X647" s="102" t="str">
        <f>IF(ISNUMBER($B$537), IF($C647&lt;&gt;"", IF('Cost Inputs'!$L$150="Y", $E647, IF('Cost Inputs'!$L$150="N", IF(AND(ISNUMBER('Cost Inputs'!$M$150), OR('Cost Inputs'!$M$150=2,'Cost Inputs'!$M$150=5)), $E647, ""),"")),""),"")</f>
        <v/>
      </c>
      <c r="Y647" s="102" t="str">
        <f>IF(ISNUMBER($B$537), IF($C647&lt;&gt;"", IF('Cost Inputs'!$L$150="Y", $E647, IF('Cost Inputs'!$L$150="N", IF(AND(ISNUMBER('Cost Inputs'!$M$150), OR('Cost Inputs'!$M$150=2,'Cost Inputs'!$M$150=3,'Cost Inputs'!$M$150=6)), $E647, ""),"")),""),"")</f>
        <v/>
      </c>
      <c r="Z647" s="102" t="str">
        <f>IF(ISNUMBER($B$537), IF($C647&lt;&gt;"", IF('Cost Inputs'!$L$150="Y", $E647, IF('Cost Inputs'!$L$150="N", IF(AND(ISNUMBER('Cost Inputs'!$M$150), OR('Cost Inputs'!$M$150=2,'Cost Inputs'!$M$150=7)), $E647, ""),"")),""),"")</f>
        <v/>
      </c>
      <c r="AA647" s="102" t="str">
        <f>IF(ISNUMBER($B$537), IF($C647&lt;&gt;"", IF('Cost Inputs'!$L$150="Y", $E647, IF('Cost Inputs'!$L$150="N", IF(AND(ISNUMBER('Cost Inputs'!$M$150), OR('Cost Inputs'!$M$150=2,'Cost Inputs'!$M$150=4,'Cost Inputs'!$M$150=8)), $E647, ""),"")),""),"")</f>
        <v/>
      </c>
      <c r="AB647" s="102" t="str">
        <f>IF(ISNUMBER($B$537), IF($C647&lt;&gt;"", IF('Cost Inputs'!$L$150="Y", $E647, IF('Cost Inputs'!$L$150="N", IF(AND(ISNUMBER('Cost Inputs'!$M$150), OR('Cost Inputs'!$M$150=2,'Cost Inputs'!$M$150=3,'Cost Inputs'!$M$150=9)), $E647, ""),"")),""),"")</f>
        <v/>
      </c>
    </row>
    <row r="648" spans="1:28" x14ac:dyDescent="0.25">
      <c r="A648" s="518"/>
      <c r="B648" s="504"/>
      <c r="C648" s="104" t="str">
        <f>IF(AND(ISNUMBER(B643), OR('Cost Inputs'!$H$151&lt;&gt;"", 'Cost Inputs'!$I$151&lt;&gt;"", 'Cost Inputs'!$J$151&lt;&gt;"")), _5_4_1, "")</f>
        <v/>
      </c>
      <c r="D648" s="17" t="str">
        <f>IF(AND(C648&lt;&gt;"", 'Cost Inputs'!$G$151&lt;&gt;""), 'Cost Inputs'!$G$151, "")</f>
        <v/>
      </c>
      <c r="E648" s="17" t="str">
        <f>IF(AND(C648&lt;&gt;"", 'Cost Inputs'!$H$151&lt;&gt;""), 'Cost Inputs'!$H$151, "")</f>
        <v/>
      </c>
      <c r="F648" s="17" t="str">
        <f>IF(AND(C648&lt;&gt;"", 'Cost Inputs'!$I$151&lt;&gt;""), 'Cost Inputs'!$I$151, "")</f>
        <v/>
      </c>
      <c r="G648" s="105" t="str">
        <f t="shared" si="462"/>
        <v/>
      </c>
      <c r="H648" s="17" t="str">
        <f>IF(AND(C648&lt;&gt;"", 'Cost Inputs'!$J$151&lt;&gt;""), 'Cost Inputs'!$J$151, "")</f>
        <v/>
      </c>
      <c r="I648" s="17" t="str">
        <f t="shared" si="465"/>
        <v/>
      </c>
      <c r="J648" s="17" t="str">
        <f>IF(AND(C648&lt;&gt;"",('Cost Inputs'!$I$151+'Cost Inputs'!$J$151+'Cost Inputs'!$K$151)&gt;0), 'Cost Inputs'!$I$151+'Cost Inputs'!$J$151+'Cost Inputs'!$K$151, "")</f>
        <v/>
      </c>
      <c r="K648" s="17" t="str">
        <f t="shared" si="466"/>
        <v/>
      </c>
      <c r="M648" s="106"/>
      <c r="S648" s="17" t="str">
        <f>IF(ISNUMBER($B$537), IF($C648&lt;&gt;"", IF('Cost Inputs'!$L$151="Y", $E648, IF('Cost Inputs'!$L$151="N", IF(ISNUMBER('Cost Inputs'!$M$151), $E648, ""),"")),""),"")</f>
        <v/>
      </c>
      <c r="T648" s="17" t="str">
        <f>IF(ISNUMBER($B$537), IF($C648&lt;&gt;"", IF('Cost Inputs'!$L$151="Y", $E648, IF('Cost Inputs'!$L$151="N", "", "")),""),"")</f>
        <v/>
      </c>
      <c r="U648" s="17" t="str">
        <f>IF(ISNUMBER($B$537), IF($C648&lt;&gt;"", IF('Cost Inputs'!$L$151="Y", $E648, IF('Cost Inputs'!$L$151="N", IF(AND(ISNUMBER('Cost Inputs'!$M$151), OR('Cost Inputs'!$M$151=2)), $E648, ""),"")),""),"")</f>
        <v/>
      </c>
      <c r="V648" s="17" t="str">
        <f>IF(ISNUMBER($B$537), IF($C648&lt;&gt;"", IF('Cost Inputs'!$L$151="Y", $E648, IF('Cost Inputs'!$L$151="N", IF(AND(ISNUMBER('Cost Inputs'!$M$151), OR('Cost Inputs'!$M$151=3)), $E648, ""),"")),""),"")</f>
        <v/>
      </c>
      <c r="W648" s="17" t="str">
        <f>IF(ISNUMBER($B$537), IF($C648&lt;&gt;"", IF('Cost Inputs'!$L$151="Y", $E648, IF('Cost Inputs'!$L$151="N", IF(AND(ISNUMBER('Cost Inputs'!$M$151), OR('Cost Inputs'!$M$151=2, 'Cost Inputs'!$M$151=4)), $E648, ""),"")),""),"")</f>
        <v/>
      </c>
      <c r="X648" s="17" t="str">
        <f>IF(ISNUMBER($B$537), IF($C648&lt;&gt;"", IF('Cost Inputs'!$L$151="Y", $E648, IF('Cost Inputs'!$L$151="N", IF(AND(ISNUMBER('Cost Inputs'!$M$151), OR('Cost Inputs'!$M$151=2,'Cost Inputs'!$M$151=5)), $E648, ""),"")),""),"")</f>
        <v/>
      </c>
      <c r="Y648" s="17" t="str">
        <f>IF(ISNUMBER($B$537), IF($C648&lt;&gt;"", IF('Cost Inputs'!$L$151="Y", $E648, IF('Cost Inputs'!$L$151="N", IF(AND(ISNUMBER('Cost Inputs'!$M$151), OR('Cost Inputs'!$M$151=2,'Cost Inputs'!$M$151=3,'Cost Inputs'!$M$151=6)), $E648, ""),"")),""),"")</f>
        <v/>
      </c>
      <c r="Z648" s="17" t="str">
        <f>IF(ISNUMBER($B$537), IF($C648&lt;&gt;"", IF('Cost Inputs'!$L$151="Y", $E648, IF('Cost Inputs'!$L$151="N", IF(AND(ISNUMBER('Cost Inputs'!$M$151), OR('Cost Inputs'!$M$151=2,'Cost Inputs'!$M$151=7)), $E648, ""),"")),""),"")</f>
        <v/>
      </c>
      <c r="AA648" s="17" t="str">
        <f>IF(ISNUMBER($B$537), IF($C648&lt;&gt;"", IF('Cost Inputs'!$L$151="Y", $E648, IF('Cost Inputs'!$L$151="N", IF(AND(ISNUMBER('Cost Inputs'!$M$151), OR('Cost Inputs'!$M$151=2,'Cost Inputs'!$M$151=4,'Cost Inputs'!$M$151=8)), $E648, ""),"")),""),"")</f>
        <v/>
      </c>
      <c r="AB648" s="17" t="str">
        <f>IF(ISNUMBER($B$537), IF($C648&lt;&gt;"", IF('Cost Inputs'!$L$151="Y", $E648, IF('Cost Inputs'!$L$151="N", IF(AND(ISNUMBER('Cost Inputs'!$M$151), OR('Cost Inputs'!$M$151=2,'Cost Inputs'!$M$151=3,'Cost Inputs'!$M$151=9)), $E648, ""),"")),""),"")</f>
        <v/>
      </c>
    </row>
    <row r="649" spans="1:28" x14ac:dyDescent="0.25">
      <c r="A649" s="518"/>
      <c r="B649" s="504"/>
      <c r="C649" s="107" t="str">
        <f>IF(AND(ISNUMBER(B643), OR('Cost Inputs'!$H$152&lt;&gt;"", 'Cost Inputs'!$I$152&lt;&gt;"", 'Cost Inputs'!$J$152&lt;&gt;"")), _5_4_2, "")</f>
        <v/>
      </c>
      <c r="D649" s="93" t="str">
        <f>IF(AND(C649&lt;&gt;"", 'Cost Inputs'!$G$152&lt;&gt;""), 'Cost Inputs'!$G$152, "")</f>
        <v/>
      </c>
      <c r="E649" s="93" t="str">
        <f>IF(AND(C649&lt;&gt;"", 'Cost Inputs'!$H$152&lt;&gt;""), 'Cost Inputs'!$H$152, "")</f>
        <v/>
      </c>
      <c r="F649" s="93" t="str">
        <f>IF(AND(C649&lt;&gt;"", 'Cost Inputs'!$I$152&lt;&gt;""), 'Cost Inputs'!$I$152, "")</f>
        <v/>
      </c>
      <c r="G649" s="108" t="str">
        <f t="shared" si="462"/>
        <v/>
      </c>
      <c r="H649" s="93" t="str">
        <f>IF(AND(C649&lt;&gt;"", 'Cost Inputs'!$J$152&lt;&gt;""), 'Cost Inputs'!$J$152, "")</f>
        <v/>
      </c>
      <c r="I649" s="93" t="str">
        <f t="shared" si="465"/>
        <v/>
      </c>
      <c r="J649" s="93" t="str">
        <f>IF(AND(C649&lt;&gt;"",('Cost Inputs'!$I$152+'Cost Inputs'!$J$152+'Cost Inputs'!$K$152)&gt;0), 'Cost Inputs'!$I$152+'Cost Inputs'!$J$152+'Cost Inputs'!$K$152, "")</f>
        <v/>
      </c>
      <c r="K649" s="93" t="str">
        <f t="shared" si="466"/>
        <v/>
      </c>
      <c r="L649" s="93"/>
      <c r="M649" s="109"/>
      <c r="S649" s="93" t="str">
        <f>IF(ISNUMBER($B$537), IF($C649&lt;&gt;"", IF('Cost Inputs'!$L$152="Y", $E649, IF('Cost Inputs'!$L$152="N", IF(ISNUMBER('Cost Inputs'!$M$152), $E649, ""),"")),""),"")</f>
        <v/>
      </c>
      <c r="T649" s="93" t="str">
        <f>IF(ISNUMBER($B$537), IF($C649&lt;&gt;"", IF('Cost Inputs'!$L$152="Y", $E649, IF('Cost Inputs'!$L$152="N", "", "")),""),"")</f>
        <v/>
      </c>
      <c r="U649" s="93" t="str">
        <f>IF(ISNUMBER($B$537), IF($C649&lt;&gt;"", IF('Cost Inputs'!$L$152="Y", $E649, IF('Cost Inputs'!$L$152="N", IF(AND(ISNUMBER('Cost Inputs'!$M$152), OR('Cost Inputs'!$M$152=2)), $E649, ""),"")),""),"")</f>
        <v/>
      </c>
      <c r="V649" s="93" t="str">
        <f>IF(ISNUMBER($B$537), IF($C649&lt;&gt;"", IF('Cost Inputs'!$L$152="Y", $E649, IF('Cost Inputs'!$L$152="N", IF(AND(ISNUMBER('Cost Inputs'!$M$152), OR('Cost Inputs'!$M$152=3)), $E649, ""),"")),""),"")</f>
        <v/>
      </c>
      <c r="W649" s="93" t="str">
        <f>IF(ISNUMBER($B$537), IF($C649&lt;&gt;"", IF('Cost Inputs'!$L$152="Y", $E649, IF('Cost Inputs'!$L$152="N", IF(AND(ISNUMBER('Cost Inputs'!$M$152), OR('Cost Inputs'!$M$152=2, 'Cost Inputs'!$M$152=4)), $E649, ""),"")),""),"")</f>
        <v/>
      </c>
      <c r="X649" s="93" t="str">
        <f>IF(ISNUMBER($B$537), IF($C649&lt;&gt;"", IF('Cost Inputs'!$L$152="Y", $E649, IF('Cost Inputs'!$L$152="N", IF(AND(ISNUMBER('Cost Inputs'!$M$152), OR('Cost Inputs'!$M$152=2,'Cost Inputs'!$M$152=5)), $E649, ""),"")),""),"")</f>
        <v/>
      </c>
      <c r="Y649" s="93" t="str">
        <f>IF(ISNUMBER($B$537), IF($C649&lt;&gt;"", IF('Cost Inputs'!$L$152="Y", $E649, IF('Cost Inputs'!$L$152="N", IF(AND(ISNUMBER('Cost Inputs'!$M$152), OR('Cost Inputs'!$M$152=2,'Cost Inputs'!$M$152=3,'Cost Inputs'!$M$152=6)), $E649, ""),"")),""),"")</f>
        <v/>
      </c>
      <c r="Z649" s="93" t="str">
        <f>IF(ISNUMBER($B$537), IF($C649&lt;&gt;"", IF('Cost Inputs'!$L$152="Y", $E649, IF('Cost Inputs'!$L$152="N", IF(AND(ISNUMBER('Cost Inputs'!$M$152), OR('Cost Inputs'!$M$152=2,'Cost Inputs'!$M$152=7)), $E649, ""),"")),""),"")</f>
        <v/>
      </c>
      <c r="AA649" s="93" t="str">
        <f>IF(ISNUMBER($B$537), IF($C649&lt;&gt;"", IF('Cost Inputs'!$L$152="Y", $E649, IF('Cost Inputs'!$L$152="N", IF(AND(ISNUMBER('Cost Inputs'!$M$152), OR('Cost Inputs'!$M$152=2,'Cost Inputs'!$M$152=4,'Cost Inputs'!$M$152=8)), $E649, ""),"")),""),"")</f>
        <v/>
      </c>
      <c r="AB649" s="93" t="str">
        <f>IF(ISNUMBER($B$537), IF($C649&lt;&gt;"", IF('Cost Inputs'!$L$152="Y", $E649, IF('Cost Inputs'!$L$152="N", IF(AND(ISNUMBER('Cost Inputs'!$M$152), OR('Cost Inputs'!$M$152=2,'Cost Inputs'!$M$152=3,'Cost Inputs'!$M$152=9)), $E649, ""),"")),""),"")</f>
        <v/>
      </c>
    </row>
    <row r="650" spans="1:28" x14ac:dyDescent="0.25">
      <c r="A650" s="518"/>
      <c r="B650" s="504"/>
      <c r="C650" s="104" t="str">
        <f>IF(AND(ISNUMBER(B643), OR('Cost Inputs'!$H$153&lt;&gt;"", 'Cost Inputs'!$I$153&lt;&gt;"", 'Cost Inputs'!$J$153&lt;&gt;"")), _5_4_3, "")</f>
        <v/>
      </c>
      <c r="D650" s="17" t="str">
        <f>IF(AND(C650&lt;&gt;"", 'Cost Inputs'!$G$153&lt;&gt;""), 'Cost Inputs'!$G$153, "")</f>
        <v/>
      </c>
      <c r="E650" s="17" t="str">
        <f>IF(AND(C650&lt;&gt;"", 'Cost Inputs'!$H$153&lt;&gt;""), 'Cost Inputs'!$H$153, "")</f>
        <v/>
      </c>
      <c r="F650" s="17" t="str">
        <f>IF(AND(C650&lt;&gt;"", 'Cost Inputs'!$I$153&lt;&gt;""), 'Cost Inputs'!$I$153, "")</f>
        <v/>
      </c>
      <c r="G650" s="105" t="str">
        <f t="shared" si="462"/>
        <v/>
      </c>
      <c r="H650" s="17" t="str">
        <f>IF(AND(C650&lt;&gt;"", 'Cost Inputs'!$J$153&lt;&gt;""), 'Cost Inputs'!$J$153, "")</f>
        <v/>
      </c>
      <c r="I650" s="17" t="str">
        <f t="shared" si="465"/>
        <v/>
      </c>
      <c r="J650" s="17" t="str">
        <f>IF(AND(C650&lt;&gt;"",('Cost Inputs'!$I$153+'Cost Inputs'!$J$153+'Cost Inputs'!$K$153)&gt;0), 'Cost Inputs'!$I$153+'Cost Inputs'!$J$153+'Cost Inputs'!$K$153, "")</f>
        <v/>
      </c>
      <c r="K650" s="17" t="str">
        <f t="shared" si="466"/>
        <v/>
      </c>
      <c r="M650" s="106"/>
      <c r="S650" s="17" t="str">
        <f>IF(ISNUMBER($B$537), IF($C650&lt;&gt;"", IF('Cost Inputs'!$L$153="Y", $E650, IF('Cost Inputs'!$L$153="N", IF(ISNUMBER('Cost Inputs'!$M$153), $E650, ""),"")),""),"")</f>
        <v/>
      </c>
      <c r="T650" s="17" t="str">
        <f>IF(ISNUMBER($B$537), IF($C650&lt;&gt;"", IF('Cost Inputs'!$L$153="Y", $E650, IF('Cost Inputs'!$L$153="N", "", "")),""),"")</f>
        <v/>
      </c>
      <c r="U650" s="17" t="str">
        <f>IF(ISNUMBER($B$537), IF($C650&lt;&gt;"", IF('Cost Inputs'!$L$153="Y", $E650, IF('Cost Inputs'!$L$153="N", IF(AND(ISNUMBER('Cost Inputs'!$M$153), OR('Cost Inputs'!$M$153=2)), $E650, ""),"")),""),"")</f>
        <v/>
      </c>
      <c r="V650" s="17" t="str">
        <f>IF(ISNUMBER($B$537), IF($C650&lt;&gt;"", IF('Cost Inputs'!$L$153="Y", $E650, IF('Cost Inputs'!$L$153="N", IF(AND(ISNUMBER('Cost Inputs'!$M$153), OR('Cost Inputs'!$M$153=3)), $E650, ""),"")),""),"")</f>
        <v/>
      </c>
      <c r="W650" s="17" t="str">
        <f>IF(ISNUMBER($B$537), IF($C650&lt;&gt;"", IF('Cost Inputs'!$L$153="Y", $E650, IF('Cost Inputs'!$L$153="N", IF(AND(ISNUMBER('Cost Inputs'!$M$153), OR('Cost Inputs'!$M$153=2, 'Cost Inputs'!$M$153=4)), $E650, ""),"")),""),"")</f>
        <v/>
      </c>
      <c r="X650" s="17" t="str">
        <f>IF(ISNUMBER($B$537), IF($C650&lt;&gt;"", IF('Cost Inputs'!$L$153="Y", $E650, IF('Cost Inputs'!$L$153="N", IF(AND(ISNUMBER('Cost Inputs'!$M$153), OR('Cost Inputs'!$M$153=2,'Cost Inputs'!$M$153=5)), $E650, ""),"")),""),"")</f>
        <v/>
      </c>
      <c r="Y650" s="17" t="str">
        <f>IF(ISNUMBER($B$537), IF($C650&lt;&gt;"", IF('Cost Inputs'!$L$153="Y", $E650, IF('Cost Inputs'!$L$153="N", IF(AND(ISNUMBER('Cost Inputs'!$M$153), OR('Cost Inputs'!$M$153=2,'Cost Inputs'!$M$153=3,'Cost Inputs'!$M$153=6)), $E650, ""),"")),""),"")</f>
        <v/>
      </c>
      <c r="Z650" s="17" t="str">
        <f>IF(ISNUMBER($B$537), IF($C650&lt;&gt;"", IF('Cost Inputs'!$L$153="Y", $E650, IF('Cost Inputs'!$L$153="N", IF(AND(ISNUMBER('Cost Inputs'!$M$153), OR('Cost Inputs'!$M$153=2,'Cost Inputs'!$M$153=7)), $E650, ""),"")),""),"")</f>
        <v/>
      </c>
      <c r="AA650" s="17" t="str">
        <f>IF(ISNUMBER($B$537), IF($C650&lt;&gt;"", IF('Cost Inputs'!$L$153="Y", $E650, IF('Cost Inputs'!$L$153="N", IF(AND(ISNUMBER('Cost Inputs'!$M$153), OR('Cost Inputs'!$M$153=2,'Cost Inputs'!$M$153=4,'Cost Inputs'!$M$153=8)), $E650, ""),"")),""),"")</f>
        <v/>
      </c>
      <c r="AB650" s="17" t="str">
        <f>IF(ISNUMBER($B$537), IF($C650&lt;&gt;"", IF('Cost Inputs'!$L$153="Y", $E650, IF('Cost Inputs'!$L$153="N", IF(AND(ISNUMBER('Cost Inputs'!$M$153), OR('Cost Inputs'!$M$153=2,'Cost Inputs'!$M$153=3,'Cost Inputs'!$M$153=9)), $E650, ""),"")),""),"")</f>
        <v/>
      </c>
    </row>
    <row r="651" spans="1:28" x14ac:dyDescent="0.25">
      <c r="A651" s="518"/>
      <c r="B651" s="504"/>
      <c r="C651" s="107" t="str">
        <f>IF(AND(ISNUMBER(B643), OR('Cost Inputs'!$H$154&lt;&gt;"", 'Cost Inputs'!$I$154&lt;&gt;"", 'Cost Inputs'!$J$154&lt;&gt;"")), _5_4_4, "")</f>
        <v/>
      </c>
      <c r="D651" s="93" t="str">
        <f>IF(AND(C651&lt;&gt;"", 'Cost Inputs'!$G$154&lt;&gt;""), 'Cost Inputs'!$G$154, "")</f>
        <v/>
      </c>
      <c r="E651" s="93" t="str">
        <f>IF(AND(C651&lt;&gt;"", 'Cost Inputs'!$H$154&lt;&gt;""), 'Cost Inputs'!$H$154, "")</f>
        <v/>
      </c>
      <c r="F651" s="93" t="str">
        <f>IF(AND(C651&lt;&gt;"", 'Cost Inputs'!$I$154&lt;&gt;""), 'Cost Inputs'!$I$154, "")</f>
        <v/>
      </c>
      <c r="G651" s="108" t="str">
        <f t="shared" si="462"/>
        <v/>
      </c>
      <c r="H651" s="93" t="str">
        <f>IF(AND(C651&lt;&gt;"", 'Cost Inputs'!$J$154&lt;&gt;""), 'Cost Inputs'!$J$154, "")</f>
        <v/>
      </c>
      <c r="I651" s="93" t="str">
        <f t="shared" si="465"/>
        <v/>
      </c>
      <c r="J651" s="93" t="str">
        <f>IF(AND(C651&lt;&gt;"",('Cost Inputs'!$I$154+'Cost Inputs'!$J$154+'Cost Inputs'!$K$154)&gt;0), 'Cost Inputs'!$I$154+'Cost Inputs'!$J$154+'Cost Inputs'!$K$154, "")</f>
        <v/>
      </c>
      <c r="K651" s="93" t="str">
        <f t="shared" si="466"/>
        <v/>
      </c>
      <c r="L651" s="93"/>
      <c r="M651" s="109"/>
      <c r="S651" s="93" t="str">
        <f>IF(ISNUMBER($B$537), IF($C651&lt;&gt;"", IF('Cost Inputs'!$L$154="Y", $E651, IF('Cost Inputs'!$L$154="N", IF(ISNUMBER('Cost Inputs'!$M$154), $E651, ""),"")),""),"")</f>
        <v/>
      </c>
      <c r="T651" s="93" t="str">
        <f>IF(ISNUMBER($B$537), IF($C651&lt;&gt;"", IF('Cost Inputs'!$L$154="Y", $E651, IF('Cost Inputs'!$L$154="N", "", "")),""),"")</f>
        <v/>
      </c>
      <c r="U651" s="93" t="str">
        <f>IF(ISNUMBER($B$537), IF($C651&lt;&gt;"", IF('Cost Inputs'!$L$154="Y", $E651, IF('Cost Inputs'!$L$154="N", IF(AND(ISNUMBER('Cost Inputs'!$M$154), OR('Cost Inputs'!$M$154=2)), $E651, ""),"")),""),"")</f>
        <v/>
      </c>
      <c r="V651" s="93" t="str">
        <f>IF(ISNUMBER($B$537), IF($C651&lt;&gt;"", IF('Cost Inputs'!$L$154="Y", $E651, IF('Cost Inputs'!$L$154="N", IF(AND(ISNUMBER('Cost Inputs'!$M$154), OR('Cost Inputs'!$M$154=3)), $E651, ""),"")),""),"")</f>
        <v/>
      </c>
      <c r="W651" s="93" t="str">
        <f>IF(ISNUMBER($B$537), IF($C651&lt;&gt;"", IF('Cost Inputs'!$L$154="Y", $E651, IF('Cost Inputs'!$L$154="N", IF(AND(ISNUMBER('Cost Inputs'!$M$154), OR('Cost Inputs'!$M$154=2, 'Cost Inputs'!$M$154=4)), $E651, ""),"")),""),"")</f>
        <v/>
      </c>
      <c r="X651" s="93" t="str">
        <f>IF(ISNUMBER($B$537), IF($C651&lt;&gt;"", IF('Cost Inputs'!$L$154="Y", $E651, IF('Cost Inputs'!$L$154="N", IF(AND(ISNUMBER('Cost Inputs'!$M$154), OR('Cost Inputs'!$M$154=2,'Cost Inputs'!$M$154=5)), $E651, ""),"")),""),"")</f>
        <v/>
      </c>
      <c r="Y651" s="93" t="str">
        <f>IF(ISNUMBER($B$537), IF($C651&lt;&gt;"", IF('Cost Inputs'!$L$154="Y", $E651, IF('Cost Inputs'!$L$154="N", IF(AND(ISNUMBER('Cost Inputs'!$M$154), OR('Cost Inputs'!$M$154=2,'Cost Inputs'!$M$154=3,'Cost Inputs'!$M$154=6)), $E651, ""),"")),""),"")</f>
        <v/>
      </c>
      <c r="Z651" s="93" t="str">
        <f>IF(ISNUMBER($B$537), IF($C651&lt;&gt;"", IF('Cost Inputs'!$L$154="Y", $E651, IF('Cost Inputs'!$L$154="N", IF(AND(ISNUMBER('Cost Inputs'!$M$154), OR('Cost Inputs'!$M$154=2,'Cost Inputs'!$M$154=7)), $E651, ""),"")),""),"")</f>
        <v/>
      </c>
      <c r="AA651" s="93" t="str">
        <f>IF(ISNUMBER($B$537), IF($C651&lt;&gt;"", IF('Cost Inputs'!$L$154="Y", $E651, IF('Cost Inputs'!$L$154="N", IF(AND(ISNUMBER('Cost Inputs'!$M$154), OR('Cost Inputs'!$M$154=2,'Cost Inputs'!$M$154=4,'Cost Inputs'!$M$154=8)), $E651, ""),"")),""),"")</f>
        <v/>
      </c>
      <c r="AB651" s="93" t="str">
        <f>IF(ISNUMBER($B$537), IF($C651&lt;&gt;"", IF('Cost Inputs'!$L$154="Y", $E651, IF('Cost Inputs'!$L$154="N", IF(AND(ISNUMBER('Cost Inputs'!$M$154), OR('Cost Inputs'!$M$154=2,'Cost Inputs'!$M$154=3,'Cost Inputs'!$M$154=9)), $E651, ""),"")),""),"")</f>
        <v/>
      </c>
    </row>
    <row r="652" spans="1:28" x14ac:dyDescent="0.25">
      <c r="A652" s="518"/>
      <c r="B652" s="504"/>
      <c r="C652" s="104" t="str">
        <f>IF(AND(ISNUMBER(B643), OR('Cost Inputs'!$H$155&lt;&gt;"", 'Cost Inputs'!$I$155&lt;&gt;"", 'Cost Inputs'!$J$155&lt;&gt;"")), _5_4_5, "")</f>
        <v/>
      </c>
      <c r="D652" s="17" t="str">
        <f>IF(AND(C652&lt;&gt;"", 'Cost Inputs'!$G$155&lt;&gt;""), 'Cost Inputs'!$G$155, "")</f>
        <v/>
      </c>
      <c r="E652" s="17" t="str">
        <f>IF(AND(C652&lt;&gt;"", 'Cost Inputs'!$H$155&lt;&gt;""), 'Cost Inputs'!$H$155, "")</f>
        <v/>
      </c>
      <c r="F652" s="17" t="str">
        <f>IF(AND(C652&lt;&gt;"", 'Cost Inputs'!$I$155&lt;&gt;""), 'Cost Inputs'!$I$155, "")</f>
        <v/>
      </c>
      <c r="G652" s="105" t="str">
        <f t="shared" si="462"/>
        <v/>
      </c>
      <c r="H652" s="17" t="str">
        <f>IF(AND(C652&lt;&gt;"", 'Cost Inputs'!$J$155&lt;&gt;""), 'Cost Inputs'!$J$155, "")</f>
        <v/>
      </c>
      <c r="I652" s="17" t="str">
        <f t="shared" si="465"/>
        <v/>
      </c>
      <c r="J652" s="17" t="str">
        <f>IF(AND(C652&lt;&gt;"",('Cost Inputs'!$I$155+'Cost Inputs'!$J$155+'Cost Inputs'!$K$155)&gt;0), 'Cost Inputs'!$I$155+'Cost Inputs'!$J$155+'Cost Inputs'!$K$155, "")</f>
        <v/>
      </c>
      <c r="K652" s="17" t="str">
        <f t="shared" si="466"/>
        <v/>
      </c>
      <c r="M652" s="106"/>
      <c r="S652" s="17" t="str">
        <f>IF(ISNUMBER($B$537), IF($C652&lt;&gt;"", IF('Cost Inputs'!$L$155="Y", $E652, IF('Cost Inputs'!$L$155="N", IF(ISNUMBER('Cost Inputs'!$M$155), $E652, ""),"")),""),"")</f>
        <v/>
      </c>
      <c r="T652" s="17" t="str">
        <f>IF(ISNUMBER($B$537), IF($C652&lt;&gt;"", IF('Cost Inputs'!$L$155="Y", $E652, IF('Cost Inputs'!$L$155="N", "", "")),""),"")</f>
        <v/>
      </c>
      <c r="U652" s="17" t="str">
        <f>IF(ISNUMBER($B$537), IF($C652&lt;&gt;"", IF('Cost Inputs'!$L$155="Y", $E652, IF('Cost Inputs'!$L$155="N", IF(AND(ISNUMBER('Cost Inputs'!$M$155), OR('Cost Inputs'!$M$155=2)), $E652, ""),"")),""),"")</f>
        <v/>
      </c>
      <c r="V652" s="17" t="str">
        <f>IF(ISNUMBER($B$537), IF($C652&lt;&gt;"", IF('Cost Inputs'!$L$155="Y", $E652, IF('Cost Inputs'!$L$155="N", IF(AND(ISNUMBER('Cost Inputs'!$M$155), OR('Cost Inputs'!$M$155=3)), $E652, ""),"")),""),"")</f>
        <v/>
      </c>
      <c r="W652" s="17" t="str">
        <f>IF(ISNUMBER($B$537), IF($C652&lt;&gt;"", IF('Cost Inputs'!$L$155="Y", $E652, IF('Cost Inputs'!$L$155="N", IF(AND(ISNUMBER('Cost Inputs'!$M$155), OR('Cost Inputs'!$M$155=2, 'Cost Inputs'!$M$155=4)), $E652, ""),"")),""),"")</f>
        <v/>
      </c>
      <c r="X652" s="17" t="str">
        <f>IF(ISNUMBER($B$537), IF($C652&lt;&gt;"", IF('Cost Inputs'!$L$155="Y", $E652, IF('Cost Inputs'!$L$155="N", IF(AND(ISNUMBER('Cost Inputs'!$M$155), OR('Cost Inputs'!$M$155=2,'Cost Inputs'!$M$155=5)), $E652, ""),"")),""),"")</f>
        <v/>
      </c>
      <c r="Y652" s="17" t="str">
        <f>IF(ISNUMBER($B$537), IF($C652&lt;&gt;"", IF('Cost Inputs'!$L$155="Y", $E652, IF('Cost Inputs'!$L$155="N", IF(AND(ISNUMBER('Cost Inputs'!$M$155), OR('Cost Inputs'!$M$155=2,'Cost Inputs'!$M$155=3,'Cost Inputs'!$M$155=6)), $E652, ""),"")),""),"")</f>
        <v/>
      </c>
      <c r="Z652" s="17" t="str">
        <f>IF(ISNUMBER($B$537), IF($C652&lt;&gt;"", IF('Cost Inputs'!$L$155="Y", $E652, IF('Cost Inputs'!$L$155="N", IF(AND(ISNUMBER('Cost Inputs'!$M$155), OR('Cost Inputs'!$M$155=2,'Cost Inputs'!$M$155=7)), $E652, ""),"")),""),"")</f>
        <v/>
      </c>
      <c r="AA652" s="17" t="str">
        <f>IF(ISNUMBER($B$537), IF($C652&lt;&gt;"", IF('Cost Inputs'!$L$155="Y", $E652, IF('Cost Inputs'!$L$155="N", IF(AND(ISNUMBER('Cost Inputs'!$M$155), OR('Cost Inputs'!$M$155=2,'Cost Inputs'!$M$155=4,'Cost Inputs'!$M$155=8)), $E652, ""),"")),""),"")</f>
        <v/>
      </c>
      <c r="AB652" s="17" t="str">
        <f>IF(ISNUMBER($B$537), IF($C652&lt;&gt;"", IF('Cost Inputs'!$L$155="Y", $E652, IF('Cost Inputs'!$L$155="N", IF(AND(ISNUMBER('Cost Inputs'!$M$155), OR('Cost Inputs'!$M$155=2,'Cost Inputs'!$M$155=3,'Cost Inputs'!$M$155=9)), $E652, ""),"")),""),"")</f>
        <v/>
      </c>
    </row>
    <row r="653" spans="1:28" x14ac:dyDescent="0.25">
      <c r="A653" s="518"/>
      <c r="B653" s="504"/>
      <c r="C653" s="107" t="str">
        <f>IF(AND(ISNUMBER(B643), OR('Cost Inputs'!$H$156&lt;&gt;"", 'Cost Inputs'!$I$156&lt;&gt;"", 'Cost Inputs'!$J$156&lt;&gt;"")), _5_4_6, "")</f>
        <v/>
      </c>
      <c r="D653" s="93" t="str">
        <f>IF(AND(C653&lt;&gt;"", 'Cost Inputs'!$G$156&lt;&gt;""), 'Cost Inputs'!$G$156, "")</f>
        <v/>
      </c>
      <c r="E653" s="93" t="str">
        <f>IF(AND(C653&lt;&gt;"", 'Cost Inputs'!$H$156&lt;&gt;""), 'Cost Inputs'!$H$156, "")</f>
        <v/>
      </c>
      <c r="F653" s="93" t="str">
        <f>IF(AND(C653&lt;&gt;"", 'Cost Inputs'!$I$156&lt;&gt;""), 'Cost Inputs'!$I$156, "")</f>
        <v/>
      </c>
      <c r="G653" s="108" t="str">
        <f t="shared" si="462"/>
        <v/>
      </c>
      <c r="H653" s="93" t="str">
        <f>IF(AND(C653&lt;&gt;"", 'Cost Inputs'!$J$156&lt;&gt;""), 'Cost Inputs'!$J$16, "")</f>
        <v/>
      </c>
      <c r="I653" s="93" t="str">
        <f t="shared" si="465"/>
        <v/>
      </c>
      <c r="J653" s="93" t="str">
        <f>IF(AND(C653&lt;&gt;"",('Cost Inputs'!$I$156+'Cost Inputs'!$J$156+'Cost Inputs'!$K$156)&gt;0), 'Cost Inputs'!$I$156+'Cost Inputs'!$J$156+'Cost Inputs'!$K$156, "")</f>
        <v/>
      </c>
      <c r="K653" s="93" t="str">
        <f t="shared" si="466"/>
        <v/>
      </c>
      <c r="L653" s="93"/>
      <c r="M653" s="109"/>
      <c r="S653" s="93" t="str">
        <f>IF(ISNUMBER($B$537), IF($C653&lt;&gt;"", IF('Cost Inputs'!$L$156="Y", $E653, IF('Cost Inputs'!$L$156="N", IF(ISNUMBER('Cost Inputs'!$M$156), $E653, ""),"")),""),"")</f>
        <v/>
      </c>
      <c r="T653" s="93" t="str">
        <f>IF(ISNUMBER($B$537), IF($C653&lt;&gt;"", IF('Cost Inputs'!$L$156="Y", $E653, IF('Cost Inputs'!$L$156="N", "", "")),""),"")</f>
        <v/>
      </c>
      <c r="U653" s="93" t="str">
        <f>IF(ISNUMBER($B$537), IF($C653&lt;&gt;"", IF('Cost Inputs'!$L$156="Y", $E653, IF('Cost Inputs'!$L$156="N", IF(AND(ISNUMBER('Cost Inputs'!$M$156), OR('Cost Inputs'!$M$156=2)), $E653, ""),"")),""),"")</f>
        <v/>
      </c>
      <c r="V653" s="93" t="str">
        <f>IF(ISNUMBER($B$537), IF($C653&lt;&gt;"", IF('Cost Inputs'!$L$156="Y", $E653, IF('Cost Inputs'!$L$156="N", IF(AND(ISNUMBER('Cost Inputs'!$M$156), OR('Cost Inputs'!$M$156=3)), $E653, ""),"")),""),"")</f>
        <v/>
      </c>
      <c r="W653" s="93" t="str">
        <f>IF(ISNUMBER($B$537), IF($C653&lt;&gt;"", IF('Cost Inputs'!$L$156="Y", $E653, IF('Cost Inputs'!$L$156="N", IF(AND(ISNUMBER('Cost Inputs'!$M$156), OR('Cost Inputs'!$M$156=2, 'Cost Inputs'!$M$156=4)), $E653, ""),"")),""),"")</f>
        <v/>
      </c>
      <c r="X653" s="93" t="str">
        <f>IF(ISNUMBER($B$537), IF($C653&lt;&gt;"", IF('Cost Inputs'!$L$156="Y", $E653, IF('Cost Inputs'!$L$156="N", IF(AND(ISNUMBER('Cost Inputs'!$M$156), OR('Cost Inputs'!$M$156=2,'Cost Inputs'!$M$156=5)), $E653, ""),"")),""),"")</f>
        <v/>
      </c>
      <c r="Y653" s="93" t="str">
        <f>IF(ISNUMBER($B$537), IF($C653&lt;&gt;"", IF('Cost Inputs'!$L$156="Y", $E653, IF('Cost Inputs'!$L$156="N", IF(AND(ISNUMBER('Cost Inputs'!$M$156), OR('Cost Inputs'!$M$156=2,'Cost Inputs'!$M$156=3,'Cost Inputs'!$M$156=6)), $E653, ""),"")),""),"")</f>
        <v/>
      </c>
      <c r="Z653" s="93" t="str">
        <f>IF(ISNUMBER($B$537), IF($C653&lt;&gt;"", IF('Cost Inputs'!$L$156="Y", $E653, IF('Cost Inputs'!$L$156="N", IF(AND(ISNUMBER('Cost Inputs'!$M$156), OR('Cost Inputs'!$M$156=2,'Cost Inputs'!$M$156=7)), $E653, ""),"")),""),"")</f>
        <v/>
      </c>
      <c r="AA653" s="93" t="str">
        <f>IF(ISNUMBER($B$537), IF($C653&lt;&gt;"", IF('Cost Inputs'!$L$156="Y", $E653, IF('Cost Inputs'!$L$156="N", IF(AND(ISNUMBER('Cost Inputs'!$M$156), OR('Cost Inputs'!$M$156=2,'Cost Inputs'!$M$156=4,'Cost Inputs'!$M$156=8)), $E653, ""),"")),""),"")</f>
        <v/>
      </c>
      <c r="AB653" s="93" t="str">
        <f>IF(ISNUMBER($B$537), IF($C653&lt;&gt;"", IF('Cost Inputs'!$L$156="Y", $E653, IF('Cost Inputs'!$L$156="N", IF(AND(ISNUMBER('Cost Inputs'!$M$156), OR('Cost Inputs'!$M$156=2,'Cost Inputs'!$M$156=3,'Cost Inputs'!$M$156=9)), $E653, ""),"")),""),"")</f>
        <v/>
      </c>
    </row>
    <row r="654" spans="1:28" x14ac:dyDescent="0.25">
      <c r="A654" s="518"/>
      <c r="B654" s="504"/>
      <c r="C654" s="521" t="str">
        <f>IF(AND(B643&lt;&gt;"",ISNUMBER(B643),ISNUMBER(Stage3EvaluationBegins)),IF((INDEX(ProgramYearStage3,MATCH(Stage3EvaluationBegins,Years_in_Stage3,0)))=B643,_5_5_0,IF(AND(B643&lt;&gt;"",C632&lt;&gt;""),_5_5_0,IF(AND(B643&lt;&gt;"",ISNUMBER(B643),OR(Stage3EvaluationBegins=0,Stage3EvaluationBegins="")),"",""))),"")</f>
        <v/>
      </c>
      <c r="D654" s="94" t="str">
        <f>IF(AND(C654&lt;&gt;"", 'Cost Inputs'!$G$157&lt;&gt;""), 'Cost Inputs'!$G$157, "")</f>
        <v/>
      </c>
      <c r="E654" s="94" t="str">
        <f>IF(AND(C654&lt;&gt;"", 'Cost Inputs'!$H$157&lt;&gt;""), 'Cost Inputs'!$H$157, "")</f>
        <v/>
      </c>
      <c r="F654" s="492" t="str">
        <f>IF(AND(C654&lt;&gt;"", 'Cost Inputs'!$I$157&lt;&gt;""), 'Cost Inputs'!$I$157, "")</f>
        <v/>
      </c>
      <c r="G654" s="102" t="str">
        <f t="shared" si="462"/>
        <v/>
      </c>
      <c r="H654" s="492" t="str">
        <f>IF(AND(C654&lt;&gt;"", 'Cost Inputs'!$J$157&lt;&gt;""), 'Cost Inputs'!$J$157, "")</f>
        <v/>
      </c>
      <c r="I654" s="102" t="str">
        <f>IF($C654&lt;&gt;"",IF(AND($E654&lt;&gt;"",H654&lt;&gt;""), H654/$E654, 0),"")</f>
        <v/>
      </c>
      <c r="J654" s="492" t="str">
        <f>IF(AND(C654&lt;&gt;"",('Cost Inputs'!$I$157+'Cost Inputs'!$J$157+'Cost Inputs'!$K$157)&gt;0), 'Cost Inputs'!$I$157+'Cost Inputs'!$J$157+'Cost Inputs'!$K$157, "")</f>
        <v/>
      </c>
      <c r="K654" s="102" t="str">
        <f>IF($C654&lt;&gt;"",IF(AND($E654&lt;&gt;"",J654&lt;&gt;""), J654/$E654, 0),"")</f>
        <v/>
      </c>
      <c r="L654" s="94"/>
      <c r="M654" s="103"/>
      <c r="S654" s="492" t="str">
        <f>IF(ISNUMBER($B$537), IF($C654&lt;&gt;"", IF('Cost Inputs'!$L$157="Y", $E654, IF('Cost Inputs'!$L$157="N", IF(ISNUMBER('Cost Inputs'!$M$157), $E654, ""),"")),""),"")</f>
        <v/>
      </c>
      <c r="T654" s="492" t="str">
        <f>IF(ISNUMBER($B$537), IF($C654&lt;&gt;"", IF('Cost Inputs'!$L$157="Y", $E654, IF('Cost Inputs'!$L$157="N", "", "")),""),"")</f>
        <v/>
      </c>
      <c r="U654" s="492" t="str">
        <f>IF(ISNUMBER($B$537), IF($C654&lt;&gt;"", IF('Cost Inputs'!$L$157="Y", $E654, IF('Cost Inputs'!$L$157="N", IF(AND(ISNUMBER('Cost Inputs'!$M$157), OR('Cost Inputs'!$M$157=2)), $E654, ""),"")),""),"")</f>
        <v/>
      </c>
      <c r="V654" s="492" t="str">
        <f>IF(ISNUMBER($B$537), IF($C654&lt;&gt;"", IF('Cost Inputs'!$L$157="Y", $E654, IF('Cost Inputs'!$L$157="N", IF(AND(ISNUMBER('Cost Inputs'!$M$157), OR('Cost Inputs'!$M$157=3)), $E654, ""),"")),""),"")</f>
        <v/>
      </c>
      <c r="W654" s="492" t="str">
        <f>IF(ISNUMBER($B$537), IF($C654&lt;&gt;"", IF('Cost Inputs'!$L$157="Y", $E654, IF('Cost Inputs'!$L$157="N", IF(AND(ISNUMBER('Cost Inputs'!$M$157), OR('Cost Inputs'!$M$157=2, 'Cost Inputs'!$M$157=4)), $E654, ""),"")),""),"")</f>
        <v/>
      </c>
      <c r="X654" s="492" t="str">
        <f>IF(ISNUMBER($B$537), IF($C654&lt;&gt;"", IF('Cost Inputs'!$L$157="Y", $E654, IF('Cost Inputs'!$L$157="N", IF(AND(ISNUMBER('Cost Inputs'!$M$157), OR('Cost Inputs'!$M$157=2,'Cost Inputs'!$M$157=5)), $E654, ""),"")),""),"")</f>
        <v/>
      </c>
      <c r="Y654" s="492" t="str">
        <f>IF(ISNUMBER($B$537), IF($C654&lt;&gt;"", IF('Cost Inputs'!$L$157="Y", $E654, IF('Cost Inputs'!$L$157="N", IF(AND(ISNUMBER('Cost Inputs'!$M$157), OR('Cost Inputs'!$M$157=2,'Cost Inputs'!$M$157=3,'Cost Inputs'!$M$157=6)), $E654, ""),"")),""),"")</f>
        <v/>
      </c>
      <c r="Z654" s="492" t="str">
        <f>IF(ISNUMBER($B$537), IF($C654&lt;&gt;"", IF('Cost Inputs'!$L$157="Y", $E654, IF('Cost Inputs'!$L$157="N", IF(AND(ISNUMBER('Cost Inputs'!$M$157), OR('Cost Inputs'!$M$157=2,'Cost Inputs'!$M$157=7)), $E654, ""),"")),""),"")</f>
        <v/>
      </c>
      <c r="AA654" s="492" t="str">
        <f>IF(ISNUMBER($B$537), IF($C654&lt;&gt;"", IF('Cost Inputs'!$L$157="Y", $E654, IF('Cost Inputs'!$L$157="N", IF(AND(ISNUMBER('Cost Inputs'!$M$157), OR('Cost Inputs'!$M$157=2,'Cost Inputs'!$M$157=4,'Cost Inputs'!$M$157=8)), $E654, ""),"")),""),"")</f>
        <v/>
      </c>
      <c r="AB654" s="492" t="str">
        <f>IF(ISNUMBER($B$537), IF($C654&lt;&gt;"", IF('Cost Inputs'!$L$157="Y", $E654, IF('Cost Inputs'!$L$157="N", IF(AND(ISNUMBER('Cost Inputs'!$M$157), OR('Cost Inputs'!$M$157=2,'Cost Inputs'!$M$157=3,'Cost Inputs'!$M$157=9)), $E654, ""),"")),""),"")</f>
        <v/>
      </c>
    </row>
    <row r="655" spans="1:28" x14ac:dyDescent="0.25">
      <c r="A655" s="518"/>
      <c r="B655" s="504"/>
      <c r="C655" s="521"/>
      <c r="D655" s="94" t="str">
        <f>IF(AND(C654&lt;&gt;"", 'Cost Inputs'!$G$158&lt;&gt;""), 'Cost Inputs'!$G$158, "")</f>
        <v/>
      </c>
      <c r="E655" s="94" t="str">
        <f>IF(AND(C654&lt;&gt;"", 'Cost Inputs'!$H$158&lt;&gt;""), 'Cost Inputs'!$H$158, "")</f>
        <v/>
      </c>
      <c r="F655" s="492"/>
      <c r="G655" s="102" t="str">
        <f t="shared" si="462"/>
        <v/>
      </c>
      <c r="H655" s="492"/>
      <c r="I655" s="102" t="str">
        <f>IF($C654&lt;&gt;"", IF(AND($E655&lt;&gt;"", H654&lt;&gt;""), H654/($E654*$E655), 0), "")</f>
        <v/>
      </c>
      <c r="J655" s="492" t="str">
        <f>IF(AND(C655&lt;&gt;"",('Cost Inputs'!$I$86+'Cost Inputs'!$J$86+'Cost Inputs'!$K$86)&gt;0), 'Cost Inputs'!$I$86+'Cost Inputs'!$J$86+'Cost Inputs'!$K$86, "")</f>
        <v/>
      </c>
      <c r="K655" s="102" t="str">
        <f>IF($C654&lt;&gt;"", IF(AND($E655&lt;&gt;"", J654&lt;&gt;""), J654/($E654*$E655), 0), "")</f>
        <v/>
      </c>
      <c r="L655" s="94"/>
      <c r="M655" s="103"/>
      <c r="S655" s="492" t="str">
        <f>IF(ISNUMBER($B$537), IF($C655&lt;&gt;"", IF('Cost Inputs'!$L246="Y", $E655, IF('Cost Inputs'!$L246="N", IF(ISNUMBER('Cost Inputs'!$M246), $E655, ""),"")),""),"")</f>
        <v/>
      </c>
      <c r="T655" s="492" t="str">
        <f>IF(ISNUMBER($B$537), IF($C655&lt;&gt;"", IF('Cost Inputs'!$L246="Y", $E655, IF('Cost Inputs'!$L246="N", "", "")),""),"")</f>
        <v/>
      </c>
      <c r="U655" s="492" t="str">
        <f>IF(ISNUMBER($B$537), IF($C655&lt;&gt;"", IF('Cost Inputs'!$L246="Y", $E655, IF('Cost Inputs'!$L246="N", IF(AND(ISNUMBER('Cost Inputs'!$M246), OR('Cost Inputs'!$M246=2)), $E655, ""),"")),""),"")</f>
        <v/>
      </c>
      <c r="V655" s="492" t="str">
        <f>IF(ISNUMBER($B$537), IF($C655&lt;&gt;"", IF('Cost Inputs'!$L246="Y", $E655, IF('Cost Inputs'!$L246="N", IF(AND(ISNUMBER('Cost Inputs'!$M246), OR('Cost Inputs'!$M246=3)), $E655, ""),"")),""),"")</f>
        <v/>
      </c>
      <c r="W655" s="492" t="str">
        <f>IF(ISNUMBER($B$537), IF($C655&lt;&gt;"", IF('Cost Inputs'!$L246="Y", $E655, IF('Cost Inputs'!$L246="N", IF(AND(ISNUMBER('Cost Inputs'!$M246), OR('Cost Inputs'!$M246=2, 'Cost Inputs'!$M246=4)), $E655, ""),"")),""),"")</f>
        <v/>
      </c>
      <c r="X655" s="492" t="str">
        <f>IF(ISNUMBER($B$537), IF($C655&lt;&gt;"", IF('Cost Inputs'!$L246="Y", $E655, IF('Cost Inputs'!$L246="N", IF(AND(ISNUMBER('Cost Inputs'!$M246), OR('Cost Inputs'!$M246=2,'Cost Inputs'!$M246=5)), $E655, ""),"")),""),"")</f>
        <v/>
      </c>
      <c r="Y655" s="492" t="str">
        <f>IF(ISNUMBER($B$537), IF($C655&lt;&gt;"", IF('Cost Inputs'!$L246="Y", $E655, IF('Cost Inputs'!$L246="N", IF(AND(ISNUMBER('Cost Inputs'!$M246), OR('Cost Inputs'!$M246=2,'Cost Inputs'!$M246=3,'Cost Inputs'!$M246=6)), $E655, ""),"")),""),"")</f>
        <v/>
      </c>
      <c r="Z655" s="492" t="str">
        <f>IF(ISNUMBER($B$537), IF($C655&lt;&gt;"", IF('Cost Inputs'!$L246="Y", $E655, IF('Cost Inputs'!$L246="N", IF(AND(ISNUMBER('Cost Inputs'!$M246), OR('Cost Inputs'!$M246=2,'Cost Inputs'!$M246=7)), $E655, ""),"")),""),"")</f>
        <v/>
      </c>
      <c r="AA655" s="492" t="str">
        <f>IF(ISNUMBER($B$537), IF($C655&lt;&gt;"", IF('Cost Inputs'!$L246="Y", $E655, IF('Cost Inputs'!$L246="N", IF(AND(ISNUMBER('Cost Inputs'!$M246), OR('Cost Inputs'!$M246=2,'Cost Inputs'!$M246=4,'Cost Inputs'!$M246=8)), $E655, ""),"")),""),"")</f>
        <v/>
      </c>
      <c r="AB655" s="492" t="str">
        <f>IF(ISNUMBER($B$537), IF($C655&lt;&gt;"", IF('Cost Inputs'!$L246="Y", $E655, IF('Cost Inputs'!$L246="N", IF(AND(ISNUMBER('Cost Inputs'!$M246), OR('Cost Inputs'!$M246=2,'Cost Inputs'!$M246=3,'Cost Inputs'!$M246=9)), $E655, ""),"")),""),"")</f>
        <v/>
      </c>
    </row>
    <row r="656" spans="1:28" x14ac:dyDescent="0.25">
      <c r="A656" s="518"/>
      <c r="B656" s="504"/>
      <c r="C656" s="376" t="str">
        <f>IF(AND(ISNUMBER(B643), C654&lt;&gt;"", OR('Cost Inputs'!$H$159&lt;&gt;"", 'Cost Inputs'!$I$159&lt;&gt;"", 'Cost Inputs'!$J$159&lt;&gt;"")), _5_5_1, "")</f>
        <v/>
      </c>
      <c r="D656" s="17" t="str">
        <f>IF(AND(C656&lt;&gt;"", 'Cost Inputs'!$G$159&lt;&gt;""), 'Cost Inputs'!$G$159, "")</f>
        <v/>
      </c>
      <c r="E656" s="17" t="str">
        <f>IF(AND(C656&lt;&gt;"", 'Cost Inputs'!$H$159&lt;&gt;""), 'Cost Inputs'!$H$159, "")</f>
        <v/>
      </c>
      <c r="F656" s="493" t="str">
        <f>IF(AND(C656&lt;&gt;"", 'Cost Inputs'!$I$159&lt;&gt;""), 'Cost Inputs'!$I$159, "")</f>
        <v/>
      </c>
      <c r="G656" s="105" t="str">
        <f t="shared" si="462"/>
        <v/>
      </c>
      <c r="H656" s="493" t="str">
        <f>IF(AND(C656&lt;&gt;"", 'Cost Inputs'!$J$159&lt;&gt;""), 'Cost Inputs'!$J$159, "")</f>
        <v/>
      </c>
      <c r="I656" s="105" t="str">
        <f>IF($C656&lt;&gt;"",IF(AND($E656&lt;&gt;"",H656&lt;&gt;""), H656/$E656, 0),"")</f>
        <v/>
      </c>
      <c r="J656" s="493" t="str">
        <f>IF(AND(C656&lt;&gt;"",('Cost Inputs'!$I$159+'Cost Inputs'!$J$159+'Cost Inputs'!$K$159)&gt;0), 'Cost Inputs'!$I$159+'Cost Inputs'!$J$159+'Cost Inputs'!$K$159, "")</f>
        <v/>
      </c>
      <c r="K656" s="105" t="str">
        <f>IF($C656&lt;&gt;"",IF(AND($E656&lt;&gt;"",J656&lt;&gt;""), J656/$E656, 0),"")</f>
        <v/>
      </c>
      <c r="M656" s="106"/>
      <c r="S656" s="493" t="str">
        <f>IF(ISNUMBER($B$537), IF($C656&lt;&gt;"", IF('Cost Inputs'!$L$159="Y", $E656, IF('Cost Inputs'!$L$159="N", IF(ISNUMBER('Cost Inputs'!$M$159), $E656, ""),"")),""),"")</f>
        <v/>
      </c>
      <c r="T656" s="493" t="str">
        <f>IF(ISNUMBER($B$537), IF($C656&lt;&gt;"", IF('Cost Inputs'!$L$159="Y", $E656, IF('Cost Inputs'!$L$159="N", "", "")),""),"")</f>
        <v/>
      </c>
      <c r="U656" s="493" t="str">
        <f>IF(ISNUMBER($B$537), IF($C656&lt;&gt;"", IF('Cost Inputs'!$L$159="Y", $E656, IF('Cost Inputs'!$L$159="N", IF(AND(ISNUMBER('Cost Inputs'!$M$159), OR('Cost Inputs'!$M$159=2)), $E656, ""),"")),""),"")</f>
        <v/>
      </c>
      <c r="V656" s="493" t="str">
        <f>IF(ISNUMBER($B$537), IF($C656&lt;&gt;"", IF('Cost Inputs'!$L$159="Y", $E656, IF('Cost Inputs'!$L$159="N", IF(AND(ISNUMBER('Cost Inputs'!$M$159), OR('Cost Inputs'!$M$159=3)), $E656, ""),"")),""),"")</f>
        <v/>
      </c>
      <c r="W656" s="493" t="str">
        <f>IF(ISNUMBER($B$537), IF($C656&lt;&gt;"", IF('Cost Inputs'!$L$159="Y", $E656, IF('Cost Inputs'!$L$159="N", IF(AND(ISNUMBER('Cost Inputs'!$M$159), OR('Cost Inputs'!$M$159=2, 'Cost Inputs'!$M$159=4)), $E656, ""),"")),""),"")</f>
        <v/>
      </c>
      <c r="X656" s="493" t="str">
        <f>IF(ISNUMBER($B$537), IF($C656&lt;&gt;"", IF('Cost Inputs'!$L$159="Y", $E656, IF('Cost Inputs'!$L$159="N", IF(AND(ISNUMBER('Cost Inputs'!$M$159), OR('Cost Inputs'!$M$159=2,'Cost Inputs'!$M$159=5)), $E656, ""),"")),""),"")</f>
        <v/>
      </c>
      <c r="Y656" s="493" t="str">
        <f>IF(ISNUMBER($B$537), IF($C656&lt;&gt;"", IF('Cost Inputs'!$L$159="Y", $E656, IF('Cost Inputs'!$L$159="N", IF(AND(ISNUMBER('Cost Inputs'!$M$159), OR('Cost Inputs'!$M$159=2,'Cost Inputs'!$M$159=3,'Cost Inputs'!$M$159=6)), $E656, ""),"")),""),"")</f>
        <v/>
      </c>
      <c r="Z656" s="493" t="str">
        <f>IF(ISNUMBER($B$537), IF($C656&lt;&gt;"", IF('Cost Inputs'!$L$159="Y", $E656, IF('Cost Inputs'!$L$159="N", IF(AND(ISNUMBER('Cost Inputs'!$M$159), OR('Cost Inputs'!$M$159=2,'Cost Inputs'!$M$159=7)), $E656, ""),"")),""),"")</f>
        <v/>
      </c>
      <c r="AA656" s="493" t="str">
        <f>IF(ISNUMBER($B$537), IF($C656&lt;&gt;"", IF('Cost Inputs'!$L$159="Y", $E656, IF('Cost Inputs'!$L$159="N", IF(AND(ISNUMBER('Cost Inputs'!$M$159), OR('Cost Inputs'!$M$159=2,'Cost Inputs'!$M$159=4,'Cost Inputs'!$M$159=8)), $E656, ""),"")),""),"")</f>
        <v/>
      </c>
      <c r="AB656" s="493" t="str">
        <f>IF(ISNUMBER($B$537), IF($C656&lt;&gt;"", IF('Cost Inputs'!$L$159="Y", $E656, IF('Cost Inputs'!$L$159="N", IF(AND(ISNUMBER('Cost Inputs'!$M$159), OR('Cost Inputs'!$M$159=2,'Cost Inputs'!$M$159=3,'Cost Inputs'!$M$159=9)), $E656, ""),"")),""),"")</f>
        <v/>
      </c>
    </row>
    <row r="657" spans="1:29" x14ac:dyDescent="0.25">
      <c r="A657" s="518"/>
      <c r="B657" s="504"/>
      <c r="C657" s="376" t="str">
        <f>IF(AND(ISNUMBER(B639), OR('Cost Inputs'!$H$85&lt;&gt;"", 'Cost Inputs'!$I$85&lt;&gt;"", 'Cost Inputs'!$J$85&lt;&gt;"")), _3_5_1, "")</f>
        <v/>
      </c>
      <c r="D657" s="17" t="str">
        <f>IF(AND(C656&lt;&gt;"", 'Cost Inputs'!$G$160&lt;&gt;""), 'Cost Inputs'!$G$160, "")</f>
        <v/>
      </c>
      <c r="E657" s="17" t="str">
        <f>IF(AND(C656&lt;&gt;"", 'Cost Inputs'!$H$160&lt;&gt;""), 'Cost Inputs'!$H$160, "")</f>
        <v/>
      </c>
      <c r="F657" s="493"/>
      <c r="G657" s="105" t="str">
        <f t="shared" si="462"/>
        <v/>
      </c>
      <c r="H657" s="493"/>
      <c r="I657" s="105" t="str">
        <f>IF($C656&lt;&gt;"", IF(AND($E657&lt;&gt;"", H656&lt;&gt;""), H656/($E656*$E657), 0), "")</f>
        <v/>
      </c>
      <c r="J657" s="493" t="str">
        <f>IF(AND(C657&lt;&gt;"",('Cost Inputs'!$I$86+'Cost Inputs'!$J$86+'Cost Inputs'!$K$86)&gt;0), 'Cost Inputs'!$I$86+'Cost Inputs'!$J$86+'Cost Inputs'!$K$86, "")</f>
        <v/>
      </c>
      <c r="K657" s="105" t="str">
        <f>IF($C656&lt;&gt;"", IF(AND($E657&lt;&gt;"", J656&lt;&gt;""), J656/($E656*$E657), 0), "")</f>
        <v/>
      </c>
      <c r="M657" s="106"/>
      <c r="S657" s="493" t="str">
        <f>IF(ISNUMBER($B$537), IF($C657&lt;&gt;"", IF('Cost Inputs'!$L248="Y", $E657, IF('Cost Inputs'!$L248="N", IF(ISNUMBER('Cost Inputs'!$M248), $E657, ""),"")),""),"")</f>
        <v/>
      </c>
      <c r="T657" s="493" t="str">
        <f>IF(ISNUMBER($B$537), IF($C657&lt;&gt;"", IF('Cost Inputs'!$L248="Y", $E657, IF('Cost Inputs'!$L248="N", "", "")),""),"")</f>
        <v/>
      </c>
      <c r="U657" s="493" t="str">
        <f>IF(ISNUMBER($B$537), IF($C657&lt;&gt;"", IF('Cost Inputs'!$L248="Y", $E657, IF('Cost Inputs'!$L248="N", IF(AND(ISNUMBER('Cost Inputs'!$M248), OR('Cost Inputs'!$M248=2)), $E657, ""),"")),""),"")</f>
        <v/>
      </c>
      <c r="V657" s="493" t="str">
        <f>IF(ISNUMBER($B$537), IF($C657&lt;&gt;"", IF('Cost Inputs'!$L248="Y", $E657, IF('Cost Inputs'!$L248="N", IF(AND(ISNUMBER('Cost Inputs'!$M248), OR('Cost Inputs'!$M248=3)), $E657, ""),"")),""),"")</f>
        <v/>
      </c>
      <c r="W657" s="493" t="str">
        <f>IF(ISNUMBER($B$537), IF($C657&lt;&gt;"", IF('Cost Inputs'!$L248="Y", $E657, IF('Cost Inputs'!$L248="N", IF(AND(ISNUMBER('Cost Inputs'!$M248), OR('Cost Inputs'!$M248=2, 'Cost Inputs'!$M248=4)), $E657, ""),"")),""),"")</f>
        <v/>
      </c>
      <c r="X657" s="493" t="str">
        <f>IF(ISNUMBER($B$537), IF($C657&lt;&gt;"", IF('Cost Inputs'!$L248="Y", $E657, IF('Cost Inputs'!$L248="N", IF(AND(ISNUMBER('Cost Inputs'!$M248), OR('Cost Inputs'!$M248=2,'Cost Inputs'!$M248=5)), $E657, ""),"")),""),"")</f>
        <v/>
      </c>
      <c r="Y657" s="493" t="str">
        <f>IF(ISNUMBER($B$537), IF($C657&lt;&gt;"", IF('Cost Inputs'!$L248="Y", $E657, IF('Cost Inputs'!$L248="N", IF(AND(ISNUMBER('Cost Inputs'!$M248), OR('Cost Inputs'!$M248=2,'Cost Inputs'!$M248=3,'Cost Inputs'!$M248=6)), $E657, ""),"")),""),"")</f>
        <v/>
      </c>
      <c r="Z657" s="493" t="str">
        <f>IF(ISNUMBER($B$537), IF($C657&lt;&gt;"", IF('Cost Inputs'!$L248="Y", $E657, IF('Cost Inputs'!$L248="N", IF(AND(ISNUMBER('Cost Inputs'!$M248), OR('Cost Inputs'!$M248=2,'Cost Inputs'!$M248=7)), $E657, ""),"")),""),"")</f>
        <v/>
      </c>
      <c r="AA657" s="493" t="str">
        <f>IF(ISNUMBER($B$537), IF($C657&lt;&gt;"", IF('Cost Inputs'!$L248="Y", $E657, IF('Cost Inputs'!$L248="N", IF(AND(ISNUMBER('Cost Inputs'!$M248), OR('Cost Inputs'!$M248=2,'Cost Inputs'!$M248=4,'Cost Inputs'!$M248=8)), $E657, ""),"")),""),"")</f>
        <v/>
      </c>
      <c r="AB657" s="493" t="str">
        <f>IF(ISNUMBER($B$537), IF($C657&lt;&gt;"", IF('Cost Inputs'!$L248="Y", $E657, IF('Cost Inputs'!$L248="N", IF(AND(ISNUMBER('Cost Inputs'!$M248), OR('Cost Inputs'!$M248=2,'Cost Inputs'!$M248=3,'Cost Inputs'!$M248=9)), $E657, ""),"")),""),"")</f>
        <v/>
      </c>
    </row>
    <row r="658" spans="1:29" x14ac:dyDescent="0.25">
      <c r="A658" s="518"/>
      <c r="B658" s="504"/>
      <c r="C658" s="107" t="str">
        <f>IF(AND(ISNUMBER(B643), C654&lt;&gt;"", OR('Cost Inputs'!$H$161&lt;&gt;"", 'Cost Inputs'!$I$161&lt;&gt;"", 'Cost Inputs'!$J$161&lt;&gt;"")), _5_5_2, "")</f>
        <v/>
      </c>
      <c r="D658" s="93" t="str">
        <f>IF(AND(C658&lt;&gt;"", 'Cost Inputs'!$G$161&lt;&gt;""), 'Cost Inputs'!$G$161, "")</f>
        <v/>
      </c>
      <c r="E658" s="93" t="str">
        <f>IF(AND(C658&lt;&gt;"", 'Cost Inputs'!$H$161&lt;&gt;""), 'Cost Inputs'!$H$161, "")</f>
        <v/>
      </c>
      <c r="F658" s="93" t="str">
        <f>IF(AND(C658&lt;&gt;"", 'Cost Inputs'!$I$161&lt;&gt;""), 'Cost Inputs'!$I$161, "")</f>
        <v/>
      </c>
      <c r="G658" s="108" t="str">
        <f t="shared" si="462"/>
        <v/>
      </c>
      <c r="H658" s="93" t="str">
        <f>IF(AND(C658&lt;&gt;"", 'Cost Inputs'!$J$161&lt;&gt;""), 'Cost Inputs'!$J$161, "")</f>
        <v/>
      </c>
      <c r="I658" s="93" t="str">
        <f>IF($C658&lt;&gt;"", IF(AND($E658&lt;&gt;"", H658&lt;&gt;""), H658/$E658, 0),"")</f>
        <v/>
      </c>
      <c r="J658" s="93" t="str">
        <f>IF(AND(C658&lt;&gt;"",('Cost Inputs'!$I$161+'Cost Inputs'!$J$161+'Cost Inputs'!$K$161)&gt;0), 'Cost Inputs'!$I$161+'Cost Inputs'!$J$161+'Cost Inputs'!$K$161, "")</f>
        <v/>
      </c>
      <c r="K658" s="93" t="str">
        <f>IF($C658&lt;&gt;"", IF(AND($E658&lt;&gt;"", J658&lt;&gt;""), J658/$E658, 0),"")</f>
        <v/>
      </c>
      <c r="L658" s="93"/>
      <c r="M658" s="109"/>
      <c r="S658" s="93" t="str">
        <f>IF(ISNUMBER($B$537), IF($C658&lt;&gt;"", IF('Cost Inputs'!$L$161="Y", $E658, IF('Cost Inputs'!$L$161="N", IF(ISNUMBER('Cost Inputs'!$M$161), $E658, ""),"")),""),"")</f>
        <v/>
      </c>
      <c r="T658" s="93" t="str">
        <f>IF(ISNUMBER($B$537), IF($C658&lt;&gt;"", IF('Cost Inputs'!$L$161="Y", $E658, IF('Cost Inputs'!$L$161="N", "", "")),""),"")</f>
        <v/>
      </c>
      <c r="U658" s="93" t="str">
        <f>IF(ISNUMBER($B$537), IF($C658&lt;&gt;"", IF('Cost Inputs'!$L$161="Y", $E658, IF('Cost Inputs'!$L$161="N", IF(AND(ISNUMBER('Cost Inputs'!$M$161), OR('Cost Inputs'!$M$161=2)), $E658, ""),"")),""),"")</f>
        <v/>
      </c>
      <c r="V658" s="93" t="str">
        <f>IF(ISNUMBER($B$537), IF($C658&lt;&gt;"", IF('Cost Inputs'!$L$161="Y", $E658, IF('Cost Inputs'!$L$161="N", IF(AND(ISNUMBER('Cost Inputs'!$M$161), OR('Cost Inputs'!$M$161=3)), $E658, ""),"")),""),"")</f>
        <v/>
      </c>
      <c r="W658" s="93" t="str">
        <f>IF(ISNUMBER($B$537), IF($C658&lt;&gt;"", IF('Cost Inputs'!$L$161="Y", $E658, IF('Cost Inputs'!$L$161="N", IF(AND(ISNUMBER('Cost Inputs'!$M$161), OR('Cost Inputs'!$M$161=2, 'Cost Inputs'!$M$161=4)), $E658, ""),"")),""),"")</f>
        <v/>
      </c>
      <c r="X658" s="93" t="str">
        <f>IF(ISNUMBER($B$537), IF($C658&lt;&gt;"", IF('Cost Inputs'!$L$161="Y", $E658, IF('Cost Inputs'!$L$161="N", IF(AND(ISNUMBER('Cost Inputs'!$M$161), OR('Cost Inputs'!$M$161=2,'Cost Inputs'!$M$161=5)), $E658, ""),"")),""),"")</f>
        <v/>
      </c>
      <c r="Y658" s="93" t="str">
        <f>IF(ISNUMBER($B$537), IF($C658&lt;&gt;"", IF('Cost Inputs'!$L$161="Y", $E658, IF('Cost Inputs'!$L$161="N", IF(AND(ISNUMBER('Cost Inputs'!$M$161), OR('Cost Inputs'!$M$161=2,'Cost Inputs'!$M$161=3,'Cost Inputs'!$M$161=6)), $E658, ""),"")),""),"")</f>
        <v/>
      </c>
      <c r="Z658" s="93" t="str">
        <f>IF(ISNUMBER($B$537), IF($C658&lt;&gt;"", IF('Cost Inputs'!$L$161="Y", $E658, IF('Cost Inputs'!$L$161="N", IF(AND(ISNUMBER('Cost Inputs'!$M$161), OR('Cost Inputs'!$M$161=2,'Cost Inputs'!$M$161=7)), $E658, ""),"")),""),"")</f>
        <v/>
      </c>
      <c r="AA658" s="93" t="str">
        <f>IF(ISNUMBER($B$537), IF($C658&lt;&gt;"", IF('Cost Inputs'!$L$161="Y", $E658, IF('Cost Inputs'!$L$161="N", IF(AND(ISNUMBER('Cost Inputs'!$M$161), OR('Cost Inputs'!$M$161=2,'Cost Inputs'!$M$161=4,'Cost Inputs'!$M$161=8)), $E658, ""),"")),""),"")</f>
        <v/>
      </c>
      <c r="AB658" s="93" t="str">
        <f>IF(ISNUMBER($B$537), IF($C658&lt;&gt;"", IF('Cost Inputs'!$L$161="Y", $E658, IF('Cost Inputs'!$L$161="N", IF(AND(ISNUMBER('Cost Inputs'!$M$161), OR('Cost Inputs'!$M$161=2,'Cost Inputs'!$M$161=3,'Cost Inputs'!$M$161=9)), $E658, ""),"")),""),"")</f>
        <v/>
      </c>
    </row>
    <row r="659" spans="1:29" x14ac:dyDescent="0.25">
      <c r="A659" s="518"/>
      <c r="B659" s="504"/>
      <c r="C659" s="104" t="str">
        <f>IF(AND(ISNUMBER(B643), C654&lt;&gt;"", OR('Cost Inputs'!$H$162&lt;&gt;"", 'Cost Inputs'!$I$162&lt;&gt;"", 'Cost Inputs'!$J$162&lt;&gt;"")), _5_5_3, "")</f>
        <v/>
      </c>
      <c r="D659" s="17" t="str">
        <f>IF(AND(C659&lt;&gt;"", 'Cost Inputs'!$G$162&lt;&gt;""), 'Cost Inputs'!$G$162, "")</f>
        <v/>
      </c>
      <c r="E659" s="17" t="str">
        <f>IF(AND(C659&lt;&gt;"", 'Cost Inputs'!$H$162&lt;&gt;""), 'Cost Inputs'!$H$162, "")</f>
        <v/>
      </c>
      <c r="F659" s="17" t="str">
        <f>IF(AND(C659&lt;&gt;"", 'Cost Inputs'!$I$162&lt;&gt;""), 'Cost Inputs'!$I$162, "")</f>
        <v/>
      </c>
      <c r="G659" s="105" t="str">
        <f t="shared" si="462"/>
        <v/>
      </c>
      <c r="H659" s="17" t="str">
        <f>IF(AND(C659&lt;&gt;"", 'Cost Inputs'!$J$162&lt;&gt;""), 'Cost Inputs'!$J$162, "")</f>
        <v/>
      </c>
      <c r="I659" s="17" t="str">
        <f>IF($C659&lt;&gt;"", IF(AND($E659&lt;&gt;"", H659&lt;&gt;""), H659/$E659, 0),"")</f>
        <v/>
      </c>
      <c r="J659" s="17" t="str">
        <f>IF(AND(C659&lt;&gt;"",('Cost Inputs'!$I$162+'Cost Inputs'!$J$162+'Cost Inputs'!$K$162)&gt;0), 'Cost Inputs'!$I$162+'Cost Inputs'!$J$162+'Cost Inputs'!$K$162, "")</f>
        <v/>
      </c>
      <c r="K659" s="17" t="str">
        <f>IF($C659&lt;&gt;"", IF(AND($E659&lt;&gt;"", J659&lt;&gt;""), J659/$E659, 0),"")</f>
        <v/>
      </c>
      <c r="M659" s="106"/>
      <c r="S659" s="17" t="str">
        <f>IF(ISNUMBER($B$537), IF($C659&lt;&gt;"", IF('Cost Inputs'!$L$162="Y", $E659, IF('Cost Inputs'!$L$162="N", IF(ISNUMBER('Cost Inputs'!$M$162), $E659, ""),"")),""),"")</f>
        <v/>
      </c>
      <c r="T659" s="17" t="str">
        <f>IF(ISNUMBER($B$537), IF($C659&lt;&gt;"", IF('Cost Inputs'!$L$162="Y", $E659, IF('Cost Inputs'!$L$162="N", "", "")),""),"")</f>
        <v/>
      </c>
      <c r="U659" s="17" t="str">
        <f>IF(ISNUMBER($B$537), IF($C659&lt;&gt;"", IF('Cost Inputs'!$L$162="Y", $E659, IF('Cost Inputs'!$L$162="N", IF(AND(ISNUMBER('Cost Inputs'!$M$162), OR('Cost Inputs'!$M$162=2)), $E659, ""),"")),""),"")</f>
        <v/>
      </c>
      <c r="V659" s="17" t="str">
        <f>IF(ISNUMBER($B$537), IF($C659&lt;&gt;"", IF('Cost Inputs'!$L$162="Y", $E659, IF('Cost Inputs'!$L$162="N", IF(AND(ISNUMBER('Cost Inputs'!$M$162), OR('Cost Inputs'!$M$162=3)), $E659, ""),"")),""),"")</f>
        <v/>
      </c>
      <c r="W659" s="17" t="str">
        <f>IF(ISNUMBER($B$537), IF($C659&lt;&gt;"", IF('Cost Inputs'!$L$162="Y", $E659, IF('Cost Inputs'!$L$162="N", IF(AND(ISNUMBER('Cost Inputs'!$M$162), OR('Cost Inputs'!$M$162=2, 'Cost Inputs'!$M$162=4)), $E659, ""),"")),""),"")</f>
        <v/>
      </c>
      <c r="X659" s="17" t="str">
        <f>IF(ISNUMBER($B$537), IF($C659&lt;&gt;"", IF('Cost Inputs'!$L$162="Y", $E659, IF('Cost Inputs'!$L$162="N", IF(AND(ISNUMBER('Cost Inputs'!$M$162), OR('Cost Inputs'!$M$162=2,'Cost Inputs'!$M$162=5)), $E659, ""),"")),""),"")</f>
        <v/>
      </c>
      <c r="Y659" s="17" t="str">
        <f>IF(ISNUMBER($B$537), IF($C659&lt;&gt;"", IF('Cost Inputs'!$L$162="Y", $E659, IF('Cost Inputs'!$L$162="N", IF(AND(ISNUMBER('Cost Inputs'!$M$162), OR('Cost Inputs'!$M$162=2,'Cost Inputs'!$M$162=3,'Cost Inputs'!$M$162=6)), $E659, ""),"")),""),"")</f>
        <v/>
      </c>
      <c r="Z659" s="17" t="str">
        <f>IF(ISNUMBER($B$537), IF($C659&lt;&gt;"", IF('Cost Inputs'!$L$162="Y", $E659, IF('Cost Inputs'!$L$162="N", IF(AND(ISNUMBER('Cost Inputs'!$M$162), OR('Cost Inputs'!$M$162=2,'Cost Inputs'!$M$162=7)), $E659, ""),"")),""),"")</f>
        <v/>
      </c>
      <c r="AA659" s="17" t="str">
        <f>IF(ISNUMBER($B$537), IF($C659&lt;&gt;"", IF('Cost Inputs'!$L$162="Y", $E659, IF('Cost Inputs'!$L$162="N", IF(AND(ISNUMBER('Cost Inputs'!$M$162), OR('Cost Inputs'!$M$162=2,'Cost Inputs'!$M$162=4,'Cost Inputs'!$M$162=8)), $E659, ""),"")),""),"")</f>
        <v/>
      </c>
      <c r="AB659" s="17" t="str">
        <f>IF(ISNUMBER($B$537), IF($C659&lt;&gt;"", IF('Cost Inputs'!$L$162="Y", $E659, IF('Cost Inputs'!$L$162="N", IF(AND(ISNUMBER('Cost Inputs'!$M$162), OR('Cost Inputs'!$M$162=2,'Cost Inputs'!$M$162=3,'Cost Inputs'!$M$162=9)), $E659, ""),"")),""),"")</f>
        <v/>
      </c>
    </row>
    <row r="660" spans="1:29" x14ac:dyDescent="0.25">
      <c r="A660" s="518"/>
      <c r="B660" s="504"/>
      <c r="C660" s="107" t="str">
        <f>IF(AND(ISNUMBER(B643), C654&lt;&gt;"", OR('Cost Inputs'!$H$163&lt;&gt;"", 'Cost Inputs'!$I$163&lt;&gt;"", 'Cost Inputs'!$J$163&lt;&gt;"")), _5_5_4, "")</f>
        <v/>
      </c>
      <c r="D660" s="93" t="str">
        <f>IF(AND(C660&lt;&gt;"", 'Cost Inputs'!$G$163&lt;&gt;""), 'Cost Inputs'!$G$163, "")</f>
        <v/>
      </c>
      <c r="E660" s="93" t="str">
        <f>IF(AND(C660&lt;&gt;"", 'Cost Inputs'!$H$163&lt;&gt;""), 'Cost Inputs'!$H$163, "")</f>
        <v/>
      </c>
      <c r="F660" s="93" t="str">
        <f>IF(AND(C660&lt;&gt;"", 'Cost Inputs'!$I$163&lt;&gt;""), 'Cost Inputs'!$I$163, "")</f>
        <v/>
      </c>
      <c r="G660" s="108" t="str">
        <f t="shared" si="462"/>
        <v/>
      </c>
      <c r="H660" s="93" t="str">
        <f>IF(AND(C660&lt;&gt;"", 'Cost Inputs'!$J$163&lt;&gt;""), 'Cost Inputs'!$J$163, "")</f>
        <v/>
      </c>
      <c r="I660" s="93" t="str">
        <f>IF($C660&lt;&gt;"", IF(AND($E660&lt;&gt;"", H660&lt;&gt;""), H660/$E660, 0),"")</f>
        <v/>
      </c>
      <c r="J660" s="93" t="str">
        <f>IF(AND(C660&lt;&gt;"",('Cost Inputs'!$I$163+'Cost Inputs'!$J$163+'Cost Inputs'!$K$163)&gt;0), 'Cost Inputs'!$I$163+'Cost Inputs'!$J$163+'Cost Inputs'!$K$163, "")</f>
        <v/>
      </c>
      <c r="K660" s="93" t="str">
        <f>IF($C660&lt;&gt;"", IF(AND($E660&lt;&gt;"", J660&lt;&gt;""), J660/$E660, 0),"")</f>
        <v/>
      </c>
      <c r="L660" s="93"/>
      <c r="M660" s="109"/>
      <c r="S660" s="93" t="str">
        <f>IF(ISNUMBER($B$537), IF($C660&lt;&gt;"", IF('Cost Inputs'!$L$163="Y", $E660, IF('Cost Inputs'!$L$163="N", IF(ISNUMBER('Cost Inputs'!$M$163), $E660, ""),"")),""),"")</f>
        <v/>
      </c>
      <c r="T660" s="93" t="str">
        <f>IF(ISNUMBER($B$537), IF($C660&lt;&gt;"", IF('Cost Inputs'!$L$163="Y", $E660, IF('Cost Inputs'!$L$163="N", "", "")),""),"")</f>
        <v/>
      </c>
      <c r="U660" s="93" t="str">
        <f>IF(ISNUMBER($B$537), IF($C660&lt;&gt;"", IF('Cost Inputs'!$L$163="Y", $E660, IF('Cost Inputs'!$L$163="N", IF(AND(ISNUMBER('Cost Inputs'!$M$163), OR('Cost Inputs'!$M$163=2)), $E660, ""),"")),""),"")</f>
        <v/>
      </c>
      <c r="V660" s="93" t="str">
        <f>IF(ISNUMBER($B$537), IF($C660&lt;&gt;"", IF('Cost Inputs'!$L$163="Y", $E660, IF('Cost Inputs'!$L$163="N", IF(AND(ISNUMBER('Cost Inputs'!$M$163), OR('Cost Inputs'!$M$163=3)), $E660, ""),"")),""),"")</f>
        <v/>
      </c>
      <c r="W660" s="93" t="str">
        <f>IF(ISNUMBER($B$537), IF($C660&lt;&gt;"", IF('Cost Inputs'!$L$163="Y", $E660, IF('Cost Inputs'!$L$163="N", IF(AND(ISNUMBER('Cost Inputs'!$M$163), OR('Cost Inputs'!$M$163=2, 'Cost Inputs'!$M$163=4)), $E660, ""),"")),""),"")</f>
        <v/>
      </c>
      <c r="X660" s="93" t="str">
        <f>IF(ISNUMBER($B$537), IF($C660&lt;&gt;"", IF('Cost Inputs'!$L$163="Y", $E660, IF('Cost Inputs'!$L$163="N", IF(AND(ISNUMBER('Cost Inputs'!$M$163), OR('Cost Inputs'!$M$163=2,'Cost Inputs'!$M$163=5)), $E660, ""),"")),""),"")</f>
        <v/>
      </c>
      <c r="Y660" s="93" t="str">
        <f>IF(ISNUMBER($B$537), IF($C660&lt;&gt;"", IF('Cost Inputs'!$L$163="Y", $E660, IF('Cost Inputs'!$L$163="N", IF(AND(ISNUMBER('Cost Inputs'!$M$163), OR('Cost Inputs'!$M$163=2,'Cost Inputs'!$M$163=3,'Cost Inputs'!$M$163=6)), $E660, ""),"")),""),"")</f>
        <v/>
      </c>
      <c r="Z660" s="93" t="str">
        <f>IF(ISNUMBER($B$537), IF($C660&lt;&gt;"", IF('Cost Inputs'!$L$163="Y", $E660, IF('Cost Inputs'!$L$163="N", IF(AND(ISNUMBER('Cost Inputs'!$M$163), OR('Cost Inputs'!$M$163=2,'Cost Inputs'!$M$163=7)), $E660, ""),"")),""),"")</f>
        <v/>
      </c>
      <c r="AA660" s="93" t="str">
        <f>IF(ISNUMBER($B$537), IF($C660&lt;&gt;"", IF('Cost Inputs'!$L$163="Y", $E660, IF('Cost Inputs'!$L$163="N", IF(AND(ISNUMBER('Cost Inputs'!$M$163), OR('Cost Inputs'!$M$163=2,'Cost Inputs'!$M$163=4,'Cost Inputs'!$M$163=8)), $E660, ""),"")),""),"")</f>
        <v/>
      </c>
      <c r="AB660" s="93" t="str">
        <f>IF(ISNUMBER($B$537), IF($C660&lt;&gt;"", IF('Cost Inputs'!$L$163="Y", $E660, IF('Cost Inputs'!$L$163="N", IF(AND(ISNUMBER('Cost Inputs'!$M$163), OR('Cost Inputs'!$M$163=2,'Cost Inputs'!$M$163=3,'Cost Inputs'!$M$163=9)), $E660, ""),"")),""),"")</f>
        <v/>
      </c>
    </row>
    <row r="661" spans="1:29" x14ac:dyDescent="0.25">
      <c r="A661" s="518"/>
      <c r="B661" s="504"/>
      <c r="C661" s="104" t="str">
        <f>IF(AND(ISNUMBER(B643), C654&lt;&gt;"", OR('Cost Inputs'!$H$164&lt;&gt;"", 'Cost Inputs'!$I$164&lt;&gt;"", 'Cost Inputs'!$J$164&lt;&gt;"")), _5_5_5, "")</f>
        <v/>
      </c>
      <c r="D661" s="17" t="str">
        <f>IF(AND(C661&lt;&gt;"", 'Cost Inputs'!$G$164&lt;&gt;""), 'Cost Inputs'!$G$164, "")</f>
        <v/>
      </c>
      <c r="E661" s="17" t="str">
        <f>IF(AND(C661&lt;&gt;"", 'Cost Inputs'!$H$164&lt;&gt;""), 'Cost Inputs'!$H$164, "")</f>
        <v/>
      </c>
      <c r="F661" s="17" t="str">
        <f>IF(AND(C661&lt;&gt;"", 'Cost Inputs'!$I$164&lt;&gt;""), 'Cost Inputs'!$I$164, "")</f>
        <v/>
      </c>
      <c r="G661" s="105" t="str">
        <f t="shared" si="462"/>
        <v/>
      </c>
      <c r="H661" s="17" t="str">
        <f>IF(AND(C661&lt;&gt;"", 'Cost Inputs'!$J$164&lt;&gt;""), 'Cost Inputs'!$J$164, "")</f>
        <v/>
      </c>
      <c r="I661" s="17" t="str">
        <f>IF($C661&lt;&gt;"", IF(AND($E661&lt;&gt;"", H661&lt;&gt;""), H661/$E661, 0),"")</f>
        <v/>
      </c>
      <c r="J661" s="17" t="str">
        <f>IF(AND(C661&lt;&gt;"",('Cost Inputs'!$I$164+'Cost Inputs'!$J$164+'Cost Inputs'!$K$164)&gt;0), 'Cost Inputs'!$I$164+'Cost Inputs'!$J$164+'Cost Inputs'!$K$164, "")</f>
        <v/>
      </c>
      <c r="K661" s="17" t="str">
        <f>IF($C661&lt;&gt;"", IF(AND($E661&lt;&gt;"", J661&lt;&gt;""), J661/$E661, 0),"")</f>
        <v/>
      </c>
      <c r="M661" s="106"/>
      <c r="S661" s="17" t="str">
        <f>IF(ISNUMBER($B$537), IF($C661&lt;&gt;"", IF('Cost Inputs'!$L$164="Y", $E661, IF('Cost Inputs'!$L$164="N", IF(ISNUMBER('Cost Inputs'!$M$164), $E661, ""),"")),""),"")</f>
        <v/>
      </c>
      <c r="T661" s="17" t="str">
        <f>IF(ISNUMBER($B$537), IF($C661&lt;&gt;"", IF('Cost Inputs'!$L$164="Y", $E661, IF('Cost Inputs'!$L$164="N", "", "")),""),"")</f>
        <v/>
      </c>
      <c r="U661" s="17" t="str">
        <f>IF(ISNUMBER($B$537), IF($C661&lt;&gt;"", IF('Cost Inputs'!$L$164="Y", $E661, IF('Cost Inputs'!$L$164="N", IF(AND(ISNUMBER('Cost Inputs'!$M$164), OR('Cost Inputs'!$M$164=2)), $E661, ""),"")),""),"")</f>
        <v/>
      </c>
      <c r="V661" s="17" t="str">
        <f>IF(ISNUMBER($B$537), IF($C661&lt;&gt;"", IF('Cost Inputs'!$L$164="Y", $E661, IF('Cost Inputs'!$L$164="N", IF(AND(ISNUMBER('Cost Inputs'!$M$164), OR('Cost Inputs'!$M$164=3)), $E661, ""),"")),""),"")</f>
        <v/>
      </c>
      <c r="W661" s="17" t="str">
        <f>IF(ISNUMBER($B$537), IF($C661&lt;&gt;"", IF('Cost Inputs'!$L$164="Y", $E661, IF('Cost Inputs'!$L$164="N", IF(AND(ISNUMBER('Cost Inputs'!$M$164), OR('Cost Inputs'!$M$164=2, 'Cost Inputs'!$M$164=4)), $E661, ""),"")),""),"")</f>
        <v/>
      </c>
      <c r="X661" s="17" t="str">
        <f>IF(ISNUMBER($B$537), IF($C661&lt;&gt;"", IF('Cost Inputs'!$L$164="Y", $E661, IF('Cost Inputs'!$L$164="N", IF(AND(ISNUMBER('Cost Inputs'!$M$164), OR('Cost Inputs'!$M$164=2,'Cost Inputs'!$M$164=5)), $E661, ""),"")),""),"")</f>
        <v/>
      </c>
      <c r="Y661" s="17" t="str">
        <f>IF(ISNUMBER($B$537), IF($C661&lt;&gt;"", IF('Cost Inputs'!$L$164="Y", $E661, IF('Cost Inputs'!$L$164="N", IF(AND(ISNUMBER('Cost Inputs'!$M$164), OR('Cost Inputs'!$M$164=2,'Cost Inputs'!$M$164=3,'Cost Inputs'!$M$164=6)), $E661, ""),"")),""),"")</f>
        <v/>
      </c>
      <c r="Z661" s="17" t="str">
        <f>IF(ISNUMBER($B$537), IF($C661&lt;&gt;"", IF('Cost Inputs'!$L$164="Y", $E661, IF('Cost Inputs'!$L$164="N", IF(AND(ISNUMBER('Cost Inputs'!$M$164), OR('Cost Inputs'!$M$164=2,'Cost Inputs'!$M$164=7)), $E661, ""),"")),""),"")</f>
        <v/>
      </c>
      <c r="AA661" s="17" t="str">
        <f>IF(ISNUMBER($B$537), IF($C661&lt;&gt;"", IF('Cost Inputs'!$L$164="Y", $E661, IF('Cost Inputs'!$L$164="N", IF(AND(ISNUMBER('Cost Inputs'!$M$164), OR('Cost Inputs'!$M$164=2,'Cost Inputs'!$M$164=4,'Cost Inputs'!$M$164=8)), $E661, ""),"")),""),"")</f>
        <v/>
      </c>
      <c r="AB661" s="17" t="str">
        <f>IF(ISNUMBER($B$537), IF($C661&lt;&gt;"", IF('Cost Inputs'!$L$164="Y", $E661, IF('Cost Inputs'!$L$164="N", IF(AND(ISNUMBER('Cost Inputs'!$M$164), OR('Cost Inputs'!$M$164=2,'Cost Inputs'!$M$164=3,'Cost Inputs'!$M$164=9)), $E661, ""),"")),""),"")</f>
        <v/>
      </c>
    </row>
    <row r="662" spans="1:29" x14ac:dyDescent="0.25">
      <c r="A662" s="518"/>
      <c r="B662" s="504"/>
      <c r="C662" s="110" t="str">
        <f>IF(ISNUMBER(B643), _5_6_0, "")</f>
        <v/>
      </c>
      <c r="D662" s="94" t="str">
        <f>IF(AND(C662&lt;&gt;"", 'Cost Inputs'!$G$165&lt;&gt;""), 'Cost Inputs'!$G$165, "")</f>
        <v/>
      </c>
      <c r="E662" s="94" t="str">
        <f>IF(AND(C662&lt;&gt;"", 'Cost Inputs'!$H$165&lt;&gt;""), 'Cost Inputs'!$H$165, "")</f>
        <v/>
      </c>
      <c r="F662" s="94" t="str">
        <f>IF(AND(C662&lt;&gt;"", 'Cost Inputs'!$I$165&lt;&gt;""), 'Cost Inputs'!$I$165, "")</f>
        <v/>
      </c>
      <c r="G662" s="102" t="str">
        <f t="shared" si="462"/>
        <v/>
      </c>
      <c r="H662" s="94" t="str">
        <f>IF(AND(C662&lt;&gt;"", 'Cost Inputs'!$J$165&lt;&gt;""), 'Cost Inputs'!$J$165, "")</f>
        <v/>
      </c>
      <c r="I662" s="102" t="str">
        <f>IF($C662&lt;&gt;"",IF(AND($E662&lt;&gt;"",H662&lt;&gt;""), H662/$E662, 0),"")</f>
        <v/>
      </c>
      <c r="J662" s="94" t="str">
        <f>IF(AND(C662&lt;&gt;"",('Cost Inputs'!$I$165+'Cost Inputs'!$J$165+'Cost Inputs'!$K$165)&gt;0), 'Cost Inputs'!$I$165+'Cost Inputs'!$J$165+'Cost Inputs'!$K$165, "")</f>
        <v/>
      </c>
      <c r="K662" s="102" t="str">
        <f>IF($C662&lt;&gt;"",IF(AND($E662&lt;&gt;"",J662&lt;&gt;""), J662/$E662, 0),"")</f>
        <v/>
      </c>
      <c r="L662" s="94"/>
      <c r="M662" s="103"/>
      <c r="S662" s="94" t="str">
        <f>IF(ISNUMBER($B$537), IF($C662&lt;&gt;"", IF('Cost Inputs'!$L$165="Y", $E662, IF('Cost Inputs'!$L$165="N", IF(ISNUMBER('Cost Inputs'!$M$165), $E662, ""),"")),""),"")</f>
        <v/>
      </c>
      <c r="T662" s="94" t="str">
        <f>IF(ISNUMBER($B$537), IF($C662&lt;&gt;"", IF('Cost Inputs'!$L$165="Y", $E662, IF('Cost Inputs'!$L$165="N", "", "")),""),"")</f>
        <v/>
      </c>
      <c r="U662" s="94" t="str">
        <f>IF(ISNUMBER($B$537), IF($C662&lt;&gt;"", IF('Cost Inputs'!$L$165="Y", $E662, IF('Cost Inputs'!$L$165="N", IF(AND(ISNUMBER('Cost Inputs'!$M$165), OR('Cost Inputs'!$M$165=2)), $E662, ""),"")),""),"")</f>
        <v/>
      </c>
      <c r="V662" s="94" t="str">
        <f>IF(ISNUMBER($B$537), IF($C662&lt;&gt;"", IF('Cost Inputs'!$L$165="Y", $E662, IF('Cost Inputs'!$L$165="N", IF(AND(ISNUMBER('Cost Inputs'!$M$165), OR('Cost Inputs'!$M$165=3)), $E662, ""),"")),""),"")</f>
        <v/>
      </c>
      <c r="W662" s="94" t="str">
        <f>IF(ISNUMBER($B$537), IF($C662&lt;&gt;"", IF('Cost Inputs'!$L$165="Y", $E662, IF('Cost Inputs'!$L$165="N", IF(AND(ISNUMBER('Cost Inputs'!$M$165), OR('Cost Inputs'!$M$165=2, 'Cost Inputs'!$M$165=4)), $E662, ""),"")),""),"")</f>
        <v/>
      </c>
      <c r="X662" s="94" t="str">
        <f>IF(ISNUMBER($B$537), IF($C662&lt;&gt;"", IF('Cost Inputs'!$L$165="Y", $E662, IF('Cost Inputs'!$L$165="N", IF(AND(ISNUMBER('Cost Inputs'!$M$165), OR('Cost Inputs'!$M$165=2,'Cost Inputs'!$M$165=5)), $E662, ""),"")),""),"")</f>
        <v/>
      </c>
      <c r="Y662" s="94" t="str">
        <f>IF(ISNUMBER($B$537), IF($C662&lt;&gt;"", IF('Cost Inputs'!$L$165="Y", $E662, IF('Cost Inputs'!$L$165="N", IF(AND(ISNUMBER('Cost Inputs'!$M$165), OR('Cost Inputs'!$M$165=2,'Cost Inputs'!$M$165=3,'Cost Inputs'!$M$165=6)), $E662, ""),"")),""),"")</f>
        <v/>
      </c>
      <c r="Z662" s="94" t="str">
        <f>IF(ISNUMBER($B$537), IF($C662&lt;&gt;"", IF('Cost Inputs'!$L$165="Y", $E662, IF('Cost Inputs'!$L$165="N", IF(AND(ISNUMBER('Cost Inputs'!$M$165), OR('Cost Inputs'!$M$165=2,'Cost Inputs'!$M$165=7)), $E662, ""),"")),""),"")</f>
        <v/>
      </c>
      <c r="AA662" s="94" t="str">
        <f>IF(ISNUMBER($B$537), IF($C662&lt;&gt;"", IF('Cost Inputs'!$L$165="Y", $E662, IF('Cost Inputs'!$L$165="N", IF(AND(ISNUMBER('Cost Inputs'!$M$165), OR('Cost Inputs'!$M$165=2,'Cost Inputs'!$M$165=4,'Cost Inputs'!$M$165=8)), $E662, ""),"")),""),"")</f>
        <v/>
      </c>
      <c r="AB662" s="94" t="str">
        <f>IF(ISNUMBER($B$537), IF($C662&lt;&gt;"", IF('Cost Inputs'!$L$165="Y", $E662, IF('Cost Inputs'!$L$165="N", IF(AND(ISNUMBER('Cost Inputs'!$M$165), OR('Cost Inputs'!$M$165=2,'Cost Inputs'!$M$165=3,'Cost Inputs'!$M$165=9)), $E662, ""),"")),""),"")</f>
        <v/>
      </c>
    </row>
    <row r="663" spans="1:29" x14ac:dyDescent="0.25">
      <c r="A663" s="518"/>
      <c r="B663" s="504"/>
      <c r="C663" s="104" t="str">
        <f>IF(AND(ISNUMBER(B643), OR('Cost Inputs'!$H$166&lt;&gt;"", 'Cost Inputs'!$I$166&lt;&gt;"", 'Cost Inputs'!$J$166&lt;&gt;"")), _5_6_1, "")</f>
        <v/>
      </c>
      <c r="D663" s="17" t="str">
        <f>IF(AND(C663&lt;&gt;"", 'Cost Inputs'!$G$166&lt;&gt;""), 'Cost Inputs'!$G$166, "")</f>
        <v/>
      </c>
      <c r="E663" s="17" t="str">
        <f>IF(AND(C663&lt;&gt;"", 'Cost Inputs'!$H$166&lt;&gt;""), 'Cost Inputs'!$H$166, "")</f>
        <v/>
      </c>
      <c r="F663" s="17" t="str">
        <f>IF(AND(C663&lt;&gt;"", 'Cost Inputs'!$I$166&lt;&gt;""), 'Cost Inputs'!$I$166, "")</f>
        <v/>
      </c>
      <c r="G663" s="105" t="str">
        <f t="shared" si="462"/>
        <v/>
      </c>
      <c r="H663" s="17" t="str">
        <f>IF(AND(C663&lt;&gt;"", 'Cost Inputs'!$J$166&lt;&gt;""), 'Cost Inputs'!$J$166, "")</f>
        <v/>
      </c>
      <c r="I663" s="17" t="str">
        <f>IF($C663&lt;&gt;"", IF(AND($E663&lt;&gt;"", H663&lt;&gt;""), H663/$E663, 0),"")</f>
        <v/>
      </c>
      <c r="J663" s="17" t="str">
        <f>IF(AND(C663&lt;&gt;"",('Cost Inputs'!$I$166+'Cost Inputs'!$J$166+'Cost Inputs'!$K$166)&gt;0), 'Cost Inputs'!$I$166+'Cost Inputs'!$J$166+'Cost Inputs'!$K$166, "")</f>
        <v/>
      </c>
      <c r="K663" s="17" t="str">
        <f>IF($C663&lt;&gt;"", IF(AND($E663&lt;&gt;"", J663&lt;&gt;""), J663/$E663, 0),"")</f>
        <v/>
      </c>
      <c r="M663" s="106"/>
      <c r="S663" s="17" t="str">
        <f>IF(ISNUMBER($B$537), IF($C663&lt;&gt;"", IF('Cost Inputs'!$L$166="Y", $E663, IF('Cost Inputs'!$L$166="N", IF(ISNUMBER('Cost Inputs'!$M$166), $E663, ""),"")),""),"")</f>
        <v/>
      </c>
      <c r="T663" s="17" t="str">
        <f>IF(ISNUMBER($B$537), IF($C663&lt;&gt;"", IF('Cost Inputs'!$L$166="Y", $E663, IF('Cost Inputs'!$L$166="N", "", "")),""),"")</f>
        <v/>
      </c>
      <c r="U663" s="17" t="str">
        <f>IF(ISNUMBER($B$537), IF($C663&lt;&gt;"", IF('Cost Inputs'!$L$166="Y", $E663, IF('Cost Inputs'!$L$166="N", IF(AND(ISNUMBER('Cost Inputs'!$M$166), OR('Cost Inputs'!$M$166=2)), $E663, ""),"")),""),"")</f>
        <v/>
      </c>
      <c r="V663" s="17" t="str">
        <f>IF(ISNUMBER($B$537), IF($C663&lt;&gt;"", IF('Cost Inputs'!$L$166="Y", $E663, IF('Cost Inputs'!$L$166="N", IF(AND(ISNUMBER('Cost Inputs'!$M$166), OR('Cost Inputs'!$M$166=3)), $E663, ""),"")),""),"")</f>
        <v/>
      </c>
      <c r="W663" s="17" t="str">
        <f>IF(ISNUMBER($B$537), IF($C663&lt;&gt;"", IF('Cost Inputs'!$L$166="Y", $E663, IF('Cost Inputs'!$L$166="N", IF(AND(ISNUMBER('Cost Inputs'!$M$166), OR('Cost Inputs'!$M$166=2, 'Cost Inputs'!$M$166=4)), $E663, ""),"")),""),"")</f>
        <v/>
      </c>
      <c r="X663" s="17" t="str">
        <f>IF(ISNUMBER($B$537), IF($C663&lt;&gt;"", IF('Cost Inputs'!$L$166="Y", $E663, IF('Cost Inputs'!$L$166="N", IF(AND(ISNUMBER('Cost Inputs'!$M$166), OR('Cost Inputs'!$M$166=2,'Cost Inputs'!$M$166=5)), $E663, ""),"")),""),"")</f>
        <v/>
      </c>
      <c r="Y663" s="17" t="str">
        <f>IF(ISNUMBER($B$537), IF($C663&lt;&gt;"", IF('Cost Inputs'!$L$166="Y", $E663, IF('Cost Inputs'!$L$166="N", IF(AND(ISNUMBER('Cost Inputs'!$M$166), OR('Cost Inputs'!$M$166=2,'Cost Inputs'!$M$166=3,'Cost Inputs'!$M$166=6)), $E663, ""),"")),""),"")</f>
        <v/>
      </c>
      <c r="Z663" s="17" t="str">
        <f>IF(ISNUMBER($B$537), IF($C663&lt;&gt;"", IF('Cost Inputs'!$L$166="Y", $E663, IF('Cost Inputs'!$L$166="N", IF(AND(ISNUMBER('Cost Inputs'!$M$166), OR('Cost Inputs'!$M$166=2,'Cost Inputs'!$M$166=7)), $E663, ""),"")),""),"")</f>
        <v/>
      </c>
      <c r="AA663" s="17" t="str">
        <f>IF(ISNUMBER($B$537), IF($C663&lt;&gt;"", IF('Cost Inputs'!$L$166="Y", $E663, IF('Cost Inputs'!$L$166="N", IF(AND(ISNUMBER('Cost Inputs'!$M$166), OR('Cost Inputs'!$M$166=2,'Cost Inputs'!$M$166=4,'Cost Inputs'!$M$166=8)), $E663, ""),"")),""),"")</f>
        <v/>
      </c>
      <c r="AB663" s="17" t="str">
        <f>IF(ISNUMBER($B$537), IF($C663&lt;&gt;"", IF('Cost Inputs'!$L$166="Y", $E663, IF('Cost Inputs'!$L$166="N", IF(AND(ISNUMBER('Cost Inputs'!$M$166), OR('Cost Inputs'!$M$166=2,'Cost Inputs'!$M$166=3,'Cost Inputs'!$M$166=9)), $E663, ""),"")),""),"")</f>
        <v/>
      </c>
    </row>
    <row r="664" spans="1:29" ht="15.75" thickBot="1" x14ac:dyDescent="0.3">
      <c r="A664" s="518"/>
      <c r="B664" s="505"/>
      <c r="C664" s="111" t="str">
        <f>IF(AND(ISNUMBER(B643), OR('Cost Inputs'!$H$167&lt;&gt;"", 'Cost Inputs'!$I$167&lt;&gt;"", 'Cost Inputs'!$J$167&lt;&gt;"")), _5_6_2, "")</f>
        <v/>
      </c>
      <c r="D664" s="95" t="str">
        <f>IF(AND(C664&lt;&gt;"", 'Cost Inputs'!$G$167&lt;&gt;""), 'Cost Inputs'!$G$167, "")</f>
        <v/>
      </c>
      <c r="E664" s="95" t="str">
        <f>IF(AND(C664&lt;&gt;"", 'Cost Inputs'!$H$167&lt;&gt;""), 'Cost Inputs'!$H$167, "")</f>
        <v/>
      </c>
      <c r="F664" s="95" t="str">
        <f>IF(AND(C664&lt;&gt;"", 'Cost Inputs'!$I$167&lt;&gt;""), 'Cost Inputs'!$I$167, "")</f>
        <v/>
      </c>
      <c r="G664" s="112" t="str">
        <f t="shared" si="462"/>
        <v/>
      </c>
      <c r="H664" s="95" t="str">
        <f>IF(AND(C664&lt;&gt;"", 'Cost Inputs'!$J$167&lt;&gt;""), 'Cost Inputs'!$J$167, "")</f>
        <v/>
      </c>
      <c r="I664" s="95" t="str">
        <f>IF($C664&lt;&gt;"", IF(AND($E664&lt;&gt;"", H664&lt;&gt;""), H664/$E664, 0),"")</f>
        <v/>
      </c>
      <c r="J664" s="95" t="str">
        <f>IF(AND(C664&lt;&gt;"",('Cost Inputs'!$I$167+'Cost Inputs'!$J$167+'Cost Inputs'!$K$167)&gt;0), 'Cost Inputs'!$I$167+'Cost Inputs'!$J$167+'Cost Inputs'!$K$167, "")</f>
        <v/>
      </c>
      <c r="K664" s="95" t="str">
        <f>IF($C664&lt;&gt;"", IF(AND($E664&lt;&gt;"", J664&lt;&gt;""), J664/$E664, 0),"")</f>
        <v/>
      </c>
      <c r="L664" s="95"/>
      <c r="M664" s="113"/>
      <c r="S664" s="95" t="str">
        <f>IF(ISNUMBER($B$537), IF($C664&lt;&gt;"", IF('Cost Inputs'!$L$167="Y", $E664, IF('Cost Inputs'!$L$167="N", IF(ISNUMBER('Cost Inputs'!$M$167), $E664, ""),"")),""),"")</f>
        <v/>
      </c>
      <c r="T664" s="95" t="str">
        <f>IF(ISNUMBER($B$537), IF($C664&lt;&gt;"", IF('Cost Inputs'!$L$167="Y", $E664, IF('Cost Inputs'!$L$167="N", "", "")),""),"")</f>
        <v/>
      </c>
      <c r="U664" s="95" t="str">
        <f>IF(ISNUMBER($B$537), IF($C664&lt;&gt;"", IF('Cost Inputs'!$L$167="Y", $E664, IF('Cost Inputs'!$L$167="N", IF(AND(ISNUMBER('Cost Inputs'!$M$167), OR('Cost Inputs'!$M$167=2)), $E664, ""),"")),""),"")</f>
        <v/>
      </c>
      <c r="V664" s="95" t="str">
        <f>IF(ISNUMBER($B$537), IF($C664&lt;&gt;"", IF('Cost Inputs'!$L$167="Y", $E664, IF('Cost Inputs'!$L$167="N", IF(AND(ISNUMBER('Cost Inputs'!$M$167), OR('Cost Inputs'!$M$167=3)), $E664, ""),"")),""),"")</f>
        <v/>
      </c>
      <c r="W664" s="95" t="str">
        <f>IF(ISNUMBER($B$537), IF($C664&lt;&gt;"", IF('Cost Inputs'!$L$167="Y", $E664, IF('Cost Inputs'!$L$167="N", IF(AND(ISNUMBER('Cost Inputs'!$M$167), OR('Cost Inputs'!$M$167=2, 'Cost Inputs'!$M$167=4)), $E664, ""),"")),""),"")</f>
        <v/>
      </c>
      <c r="X664" s="95" t="str">
        <f>IF(ISNUMBER($B$537), IF($C664&lt;&gt;"", IF('Cost Inputs'!$L$167="Y", $E664, IF('Cost Inputs'!$L$167="N", IF(AND(ISNUMBER('Cost Inputs'!$M$167), OR('Cost Inputs'!$M$167=2,'Cost Inputs'!$M$167=5)), $E664, ""),"")),""),"")</f>
        <v/>
      </c>
      <c r="Y664" s="95" t="str">
        <f>IF(ISNUMBER($B$537), IF($C664&lt;&gt;"", IF('Cost Inputs'!$L$167="Y", $E664, IF('Cost Inputs'!$L$167="N", IF(AND(ISNUMBER('Cost Inputs'!$M$167), OR('Cost Inputs'!$M$167=2,'Cost Inputs'!$M$167=3,'Cost Inputs'!$M$167=6)), $E664, ""),"")),""),"")</f>
        <v/>
      </c>
      <c r="Z664" s="95" t="str">
        <f>IF(ISNUMBER($B$537), IF($C664&lt;&gt;"", IF('Cost Inputs'!$L$167="Y", $E664, IF('Cost Inputs'!$L$167="N", IF(AND(ISNUMBER('Cost Inputs'!$M$167), OR('Cost Inputs'!$M$167=2,'Cost Inputs'!$M$167=7)), $E664, ""),"")),""),"")</f>
        <v/>
      </c>
      <c r="AA664" s="95" t="str">
        <f>IF(ISNUMBER($B$537), IF($C664&lt;&gt;"", IF('Cost Inputs'!$L$167="Y", $E664, IF('Cost Inputs'!$L$167="N", IF(AND(ISNUMBER('Cost Inputs'!$M$167), OR('Cost Inputs'!$M$167=2,'Cost Inputs'!$M$167=4,'Cost Inputs'!$M$167=8)), $E664, ""),"")),""),"")</f>
        <v/>
      </c>
      <c r="AB664" s="95" t="str">
        <f>IF(ISNUMBER($B$537), IF($C664&lt;&gt;"", IF('Cost Inputs'!$L$167="Y", $E664, IF('Cost Inputs'!$L$167="N", IF(AND(ISNUMBER('Cost Inputs'!$M$167), OR('Cost Inputs'!$M$167=2,'Cost Inputs'!$M$167=3,'Cost Inputs'!$M$167=9)), $E664, ""),"")),""),"")</f>
        <v/>
      </c>
    </row>
    <row r="665" spans="1:29" x14ac:dyDescent="0.25">
      <c r="A665" s="518" t="str">
        <f>Fifth_Stage</f>
        <v>Stage 3 Clonal Replication with Increased Repetitions</v>
      </c>
      <c r="B665" s="503" t="str">
        <f>'Breeding Inputs'!B106</f>
        <v/>
      </c>
      <c r="C665" s="520" t="str">
        <f>IF(ISNUMBER(B665), _5_3_0, "")</f>
        <v/>
      </c>
      <c r="D665" s="92" t="str">
        <f>IF(AND(C665&lt;&gt;"", 'Cost Inputs'!$G$146&lt;&gt;""), 'Cost Inputs'!$G$146, "")</f>
        <v/>
      </c>
      <c r="E665" s="92" t="str">
        <f>IF(AND(C665&lt;&gt;"", 'Cost Inputs'!$H$146&lt;&gt;""), 'Cost Inputs'!$H$146, "")</f>
        <v/>
      </c>
      <c r="F665" s="522" t="str">
        <f>IF(AND(C665&lt;&gt;"", 'Cost Inputs'!$I$146&lt;&gt;""), 'Cost Inputs'!$I$146, "")</f>
        <v/>
      </c>
      <c r="G665" s="100" t="str">
        <f t="shared" si="462"/>
        <v/>
      </c>
      <c r="H665" s="522" t="str">
        <f>IF(AND(C665&lt;&gt;"", 'Cost Inputs'!$J$146&lt;&gt;""), 'Cost Inputs'!$J$146, "")</f>
        <v/>
      </c>
      <c r="I665" s="100" t="str">
        <f>IF($C665&lt;&gt;"",IF(AND($E665&lt;&gt;"",H665&lt;&gt;""), H665/$E665, 0),"")</f>
        <v/>
      </c>
      <c r="J665" s="522" t="str">
        <f>IF(AND(C665&lt;&gt;"",('Cost Inputs'!$I$146+'Cost Inputs'!$J$146+'Cost Inputs'!$K$146)&gt;0), 'Cost Inputs'!$I$146+'Cost Inputs'!$J$146+'Cost Inputs'!$K$146, "")</f>
        <v/>
      </c>
      <c r="K665" s="100" t="str">
        <f>IF($C665&lt;&gt;"",IF(AND($E665&lt;&gt;"",J665&lt;&gt;""), J665/$E665, 0),"")</f>
        <v/>
      </c>
      <c r="L665" s="92"/>
      <c r="M665" s="101"/>
      <c r="T665" s="492" t="str">
        <f>IF(ISNUMBER($B$537), IF($C665&lt;&gt;"", IF('Cost Inputs'!$L$146="Y", $E665, IF('Cost Inputs'!$L$146="N", IF(ISNUMBER('Cost Inputs'!$M$146), $E665, ""),"")),""),"")</f>
        <v/>
      </c>
      <c r="U665" s="492" t="str">
        <f>IF(ISNUMBER($B$537), IF($C665&lt;&gt;"", IF('Cost Inputs'!$L$146="Y", $E665, IF('Cost Inputs'!$L$146="N", "", "")),""),"")</f>
        <v/>
      </c>
      <c r="V665" s="492" t="str">
        <f>IF(ISNUMBER($B$537), IF($C665&lt;&gt;"", IF('Cost Inputs'!$L$146="Y", $E665, IF('Cost Inputs'!$L$146="N", IF(AND(ISNUMBER('Cost Inputs'!$M$146), OR('Cost Inputs'!$M$146=2)), $E665, ""),"")),""),"")</f>
        <v/>
      </c>
      <c r="W665" s="492" t="str">
        <f>IF(ISNUMBER($B$537), IF($C665&lt;&gt;"", IF('Cost Inputs'!$L$146="Y", $E665, IF('Cost Inputs'!$L$146="N", IF(AND(ISNUMBER('Cost Inputs'!$M$146), OR('Cost Inputs'!$M$146=3)), $E665, ""),"")),""),"")</f>
        <v/>
      </c>
      <c r="X665" s="492" t="str">
        <f>IF(ISNUMBER($B$537), IF($C665&lt;&gt;"", IF('Cost Inputs'!$L$146="Y", $E665, IF('Cost Inputs'!$L$146="N", IF(AND(ISNUMBER('Cost Inputs'!$M$146), OR('Cost Inputs'!$M$146=2, 'Cost Inputs'!$M$146=4)), $E665, ""),"")),""),"")</f>
        <v/>
      </c>
      <c r="Y665" s="492" t="str">
        <f>IF(ISNUMBER($B$537), IF($C665&lt;&gt;"", IF('Cost Inputs'!$L$146="Y", $E665, IF('Cost Inputs'!$L$146="N", IF(AND(ISNUMBER('Cost Inputs'!$M$146), OR('Cost Inputs'!$M$146=2,'Cost Inputs'!$M$146=5)), $E665, ""),"")),""),"")</f>
        <v/>
      </c>
      <c r="Z665" s="492" t="str">
        <f>IF(ISNUMBER($B$537), IF($C665&lt;&gt;"", IF('Cost Inputs'!$L$146="Y", $E665, IF('Cost Inputs'!$L$146="N", IF(AND(ISNUMBER('Cost Inputs'!$M$146), OR('Cost Inputs'!$M$146=2,'Cost Inputs'!$M$146=3,'Cost Inputs'!$M$146=6)), $E665, ""),"")),""),"")</f>
        <v/>
      </c>
      <c r="AA665" s="492" t="str">
        <f>IF(ISNUMBER($B$537), IF($C665&lt;&gt;"", IF('Cost Inputs'!$L$146="Y", $E665, IF('Cost Inputs'!$L$146="N", IF(AND(ISNUMBER('Cost Inputs'!$M$146), OR('Cost Inputs'!$M$146=2,'Cost Inputs'!$M$146=7)), $E665, ""),"")),""),"")</f>
        <v/>
      </c>
      <c r="AB665" s="492" t="str">
        <f>IF(ISNUMBER($B$537), IF($C665&lt;&gt;"", IF('Cost Inputs'!$L$146="Y", $E665, IF('Cost Inputs'!$L$146="N", IF(AND(ISNUMBER('Cost Inputs'!$M$146), OR('Cost Inputs'!$M$146=2,'Cost Inputs'!$M$146=4,'Cost Inputs'!$M$146=8)), $E665, ""),"")),""),"")</f>
        <v/>
      </c>
      <c r="AC665" s="492" t="str">
        <f>IF(ISNUMBER($B$537), IF($C665&lt;&gt;"", IF('Cost Inputs'!$L$146="Y", $E665, IF('Cost Inputs'!$L$146="N", IF(AND(ISNUMBER('Cost Inputs'!$M$146), OR('Cost Inputs'!$M$146=2,'Cost Inputs'!$M$146=3,'Cost Inputs'!$M$146=9)), $E665, ""),"")),""),"")</f>
        <v/>
      </c>
    </row>
    <row r="666" spans="1:29" x14ac:dyDescent="0.25">
      <c r="A666" s="518"/>
      <c r="B666" s="504"/>
      <c r="C666" s="521"/>
      <c r="D666" s="94" t="str">
        <f>IF(AND(C665&lt;&gt;"", 'Cost Inputs'!$G$147&lt;&gt;""), 'Cost Inputs'!$G$147, "")</f>
        <v/>
      </c>
      <c r="E666" s="94" t="str">
        <f>IF(AND(C665&lt;&gt;"", 'Cost Inputs'!$H$147&lt;&gt;""), 'Cost Inputs'!$H$147, "")</f>
        <v/>
      </c>
      <c r="F666" s="492"/>
      <c r="G666" s="102" t="str">
        <f t="shared" si="462"/>
        <v/>
      </c>
      <c r="H666" s="492"/>
      <c r="I666" s="102" t="str">
        <f>IF($C665&lt;&gt;"", IF(AND($E666&lt;&gt;"", H665&lt;&gt;""), H665/($E665*$E666), 0), "")</f>
        <v/>
      </c>
      <c r="J666" s="492" t="str">
        <f>IF(AND(C666&lt;&gt;"",('Cost Inputs'!$I$86+'Cost Inputs'!$J$86+'Cost Inputs'!$K$86)&gt;0), 'Cost Inputs'!$I$86+'Cost Inputs'!$J$86+'Cost Inputs'!$K$86, "")</f>
        <v/>
      </c>
      <c r="K666" s="102" t="str">
        <f>IF($C665&lt;&gt;"", IF(AND($E666&lt;&gt;"", J665&lt;&gt;""), J665/($E665*$E666), 0), "")</f>
        <v/>
      </c>
      <c r="L666" s="94"/>
      <c r="M666" s="103"/>
      <c r="T666" s="492" t="str">
        <f>IF(ISNUMBER($B$537), IF($C666&lt;&gt;"", IF('Cost Inputs'!$L257="Y", $E666, IF('Cost Inputs'!$L257="N", IF(ISNUMBER('Cost Inputs'!$M257), $E666, ""),"")),""),"")</f>
        <v/>
      </c>
      <c r="U666" s="492" t="str">
        <f>IF(ISNUMBER($B$537), IF($C666&lt;&gt;"", IF('Cost Inputs'!$L257="Y", $E666, IF('Cost Inputs'!$L257="N", "", "")),""),"")</f>
        <v/>
      </c>
      <c r="V666" s="492" t="str">
        <f>IF(ISNUMBER($B$537), IF($C666&lt;&gt;"", IF('Cost Inputs'!$L257="Y", $E666, IF('Cost Inputs'!$L257="N", IF(AND(ISNUMBER('Cost Inputs'!$M257), OR('Cost Inputs'!$M257=2)), $E666, ""),"")),""),"")</f>
        <v/>
      </c>
      <c r="W666" s="492" t="str">
        <f>IF(ISNUMBER($B$537), IF($C666&lt;&gt;"", IF('Cost Inputs'!$L257="Y", $E666, IF('Cost Inputs'!$L257="N", IF(AND(ISNUMBER('Cost Inputs'!$M257), OR('Cost Inputs'!$M257=3)), $E666, ""),"")),""),"")</f>
        <v/>
      </c>
      <c r="X666" s="492" t="str">
        <f>IF(ISNUMBER($B$537), IF($C666&lt;&gt;"", IF('Cost Inputs'!$L257="Y", $E666, IF('Cost Inputs'!$L257="N", IF(AND(ISNUMBER('Cost Inputs'!$M257), OR('Cost Inputs'!$M257=2, 'Cost Inputs'!$M257=4)), $E666, ""),"")),""),"")</f>
        <v/>
      </c>
      <c r="Y666" s="492" t="str">
        <f>IF(ISNUMBER($B$537), IF($C666&lt;&gt;"", IF('Cost Inputs'!$L257="Y", $E666, IF('Cost Inputs'!$L257="N", IF(AND(ISNUMBER('Cost Inputs'!$M257), OR('Cost Inputs'!$M257=2,'Cost Inputs'!$M257=5)), $E666, ""),"")),""),"")</f>
        <v/>
      </c>
      <c r="Z666" s="492" t="str">
        <f>IF(ISNUMBER($B$537), IF($C666&lt;&gt;"", IF('Cost Inputs'!$L257="Y", $E666, IF('Cost Inputs'!$L257="N", IF(AND(ISNUMBER('Cost Inputs'!$M257), OR('Cost Inputs'!$M257=2,'Cost Inputs'!$M257=3,'Cost Inputs'!$M257=6)), $E666, ""),"")),""),"")</f>
        <v/>
      </c>
      <c r="AA666" s="492" t="str">
        <f>IF(ISNUMBER($B$537), IF($C666&lt;&gt;"", IF('Cost Inputs'!$L257="Y", $E666, IF('Cost Inputs'!$L257="N", IF(AND(ISNUMBER('Cost Inputs'!$M257), OR('Cost Inputs'!$M257=2,'Cost Inputs'!$M257=7)), $E666, ""),"")),""),"")</f>
        <v/>
      </c>
      <c r="AB666" s="492" t="str">
        <f>IF(ISNUMBER($B$537), IF($C666&lt;&gt;"", IF('Cost Inputs'!$L257="Y", $E666, IF('Cost Inputs'!$L257="N", IF(AND(ISNUMBER('Cost Inputs'!$M257), OR('Cost Inputs'!$M257=2,'Cost Inputs'!$M257=4,'Cost Inputs'!$M257=8)), $E666, ""),"")),""),"")</f>
        <v/>
      </c>
      <c r="AC666" s="492" t="str">
        <f>IF(ISNUMBER($B$537), IF($C666&lt;&gt;"", IF('Cost Inputs'!$L257="Y", $E666, IF('Cost Inputs'!$L257="N", IF(AND(ISNUMBER('Cost Inputs'!$M257), OR('Cost Inputs'!$M257=2,'Cost Inputs'!$M257=3,'Cost Inputs'!$M257=9)), $E666, ""),"")),""),"")</f>
        <v/>
      </c>
    </row>
    <row r="667" spans="1:29" x14ac:dyDescent="0.25">
      <c r="A667" s="518"/>
      <c r="B667" s="504"/>
      <c r="C667" s="104" t="str">
        <f>IF(AND(ISNUMBER(B665), OR('Cost Inputs'!$H$148&lt;&gt;"", 'Cost Inputs'!$I$148&lt;&gt;"", 'Cost Inputs'!$J$148&lt;&gt;"")), _5_3_1, "")</f>
        <v/>
      </c>
      <c r="D667" s="17" t="str">
        <f>IF(AND(C667&lt;&gt;"", 'Cost Inputs'!$G$148&lt;&gt;""), 'Cost Inputs'!$G$148, "")</f>
        <v/>
      </c>
      <c r="E667" s="17" t="str">
        <f>IF(AND(C667&lt;&gt;"", 'Cost Inputs'!$H$148&lt;&gt;""), 'Cost Inputs'!$H$148, "")</f>
        <v/>
      </c>
      <c r="F667" s="17" t="str">
        <f>IF(AND(C667&lt;&gt;"", 'Cost Inputs'!$I$148&lt;&gt;""), 'Cost Inputs'!$I$148, "")</f>
        <v/>
      </c>
      <c r="G667" s="105" t="str">
        <f t="shared" si="462"/>
        <v/>
      </c>
      <c r="H667" s="17" t="str">
        <f>IF(AND(C667&lt;&gt;"", 'Cost Inputs'!$J$148&lt;&gt;""), 'Cost Inputs'!$J$148, "")</f>
        <v/>
      </c>
      <c r="I667" s="17" t="str">
        <f t="shared" ref="I667:I675" si="467">IF($C667&lt;&gt;"", IF(AND($E667&lt;&gt;"", H667&lt;&gt;""), H667/$E667, 0),"")</f>
        <v/>
      </c>
      <c r="J667" s="17" t="str">
        <f>IF(AND(C667&lt;&gt;"",('Cost Inputs'!$I$148+'Cost Inputs'!$J$148+'Cost Inputs'!$K$148)&gt;0), 'Cost Inputs'!$I$148+'Cost Inputs'!$J$148+'Cost Inputs'!$K$148, "")</f>
        <v/>
      </c>
      <c r="K667" s="17" t="str">
        <f t="shared" ref="K667:K675" si="468">IF($C667&lt;&gt;"", IF(AND($E667&lt;&gt;"", J667&lt;&gt;""), J667/$E667, 0),"")</f>
        <v/>
      </c>
      <c r="M667" s="106"/>
      <c r="T667" s="17" t="str">
        <f>IF(ISNUMBER($B$537), IF($C667&lt;&gt;"", IF('Cost Inputs'!$L$148="Y", $E667, IF('Cost Inputs'!$L$148="N", IF(ISNUMBER('Cost Inputs'!$M$148), $E667, ""),"")),""),"")</f>
        <v/>
      </c>
      <c r="U667" s="17" t="str">
        <f>IF(ISNUMBER($B$537), IF($C667&lt;&gt;"", IF('Cost Inputs'!$L$148="Y", $E667, IF('Cost Inputs'!$L$148="N", "", "")),""),"")</f>
        <v/>
      </c>
      <c r="V667" s="17" t="str">
        <f>IF(ISNUMBER($B$537), IF($C667&lt;&gt;"", IF('Cost Inputs'!$L$148="Y", $E667, IF('Cost Inputs'!$L$148="N", IF(AND(ISNUMBER('Cost Inputs'!$M$148), OR('Cost Inputs'!$M$148=2)), $E667, ""),"")),""),"")</f>
        <v/>
      </c>
      <c r="W667" s="17" t="str">
        <f>IF(ISNUMBER($B$537), IF($C667&lt;&gt;"", IF('Cost Inputs'!$L$148="Y", $E667, IF('Cost Inputs'!$L$148="N", IF(AND(ISNUMBER('Cost Inputs'!$M$148), OR('Cost Inputs'!$M$148=3)), $E667, ""),"")),""),"")</f>
        <v/>
      </c>
      <c r="X667" s="17" t="str">
        <f>IF(ISNUMBER($B$537), IF($C667&lt;&gt;"", IF('Cost Inputs'!$L$148="Y", $E667, IF('Cost Inputs'!$L$148="N", IF(AND(ISNUMBER('Cost Inputs'!$M$148), OR('Cost Inputs'!$M$148=2, 'Cost Inputs'!$M$148=4)), $E667, ""),"")),""),"")</f>
        <v/>
      </c>
      <c r="Y667" s="17" t="str">
        <f>IF(ISNUMBER($B$537), IF($C667&lt;&gt;"", IF('Cost Inputs'!$L$148="Y", $E667, IF('Cost Inputs'!$L$148="N", IF(AND(ISNUMBER('Cost Inputs'!$M$148), OR('Cost Inputs'!$M$148=2,'Cost Inputs'!$M$148=5)), $E667, ""),"")),""),"")</f>
        <v/>
      </c>
      <c r="Z667" s="17" t="str">
        <f>IF(ISNUMBER($B$537), IF($C667&lt;&gt;"", IF('Cost Inputs'!$L$148="Y", $E667, IF('Cost Inputs'!$L$148="N", IF(AND(ISNUMBER('Cost Inputs'!$M$148), OR('Cost Inputs'!$M$148=2,'Cost Inputs'!$M$148=3,'Cost Inputs'!$M$148=6)), $E667, ""),"")),""),"")</f>
        <v/>
      </c>
      <c r="AA667" s="17" t="str">
        <f>IF(ISNUMBER($B$537), IF($C667&lt;&gt;"", IF('Cost Inputs'!$L$148="Y", $E667, IF('Cost Inputs'!$L$148="N", IF(AND(ISNUMBER('Cost Inputs'!$M$148), OR('Cost Inputs'!$M$148=2,'Cost Inputs'!$M$148=7)), $E667, ""),"")),""),"")</f>
        <v/>
      </c>
      <c r="AB667" s="17" t="str">
        <f>IF(ISNUMBER($B$537), IF($C667&lt;&gt;"", IF('Cost Inputs'!$L$148="Y", $E667, IF('Cost Inputs'!$L$148="N", IF(AND(ISNUMBER('Cost Inputs'!$M$148), OR('Cost Inputs'!$M$148=2,'Cost Inputs'!$M$148=4,'Cost Inputs'!$M$148=8)), $E667, ""),"")),""),"")</f>
        <v/>
      </c>
      <c r="AC667" s="17" t="str">
        <f>IF(ISNUMBER($B$537), IF($C667&lt;&gt;"", IF('Cost Inputs'!$L$148="Y", $E667, IF('Cost Inputs'!$L$148="N", IF(AND(ISNUMBER('Cost Inputs'!$M$148), OR('Cost Inputs'!$M$148=2,'Cost Inputs'!$M$148=3,'Cost Inputs'!$M$148=9)), $E667, ""),"")),""),"")</f>
        <v/>
      </c>
    </row>
    <row r="668" spans="1:29" x14ac:dyDescent="0.25">
      <c r="A668" s="518"/>
      <c r="B668" s="504"/>
      <c r="C668" s="107" t="str">
        <f>IF(AND(ISNUMBER(B665), OR('Cost Inputs'!$H$149&lt;&gt;"", 'Cost Inputs'!$I$149&lt;&gt;"", 'Cost Inputs'!$J$149&lt;&gt;"")), _5_3_2, "")</f>
        <v/>
      </c>
      <c r="D668" s="93" t="str">
        <f>IF(AND(C668&lt;&gt;"", 'Cost Inputs'!$G$149&lt;&gt;""), 'Cost Inputs'!$G$149, "")</f>
        <v/>
      </c>
      <c r="E668" s="93" t="str">
        <f>IF(AND(C668&lt;&gt;"", 'Cost Inputs'!$H$149&lt;&gt;""), 'Cost Inputs'!$H$149, "")</f>
        <v/>
      </c>
      <c r="F668" s="93" t="str">
        <f>IF(AND(C668&lt;&gt;"", 'Cost Inputs'!$I$149&lt;&gt;""), 'Cost Inputs'!$I$149, "")</f>
        <v/>
      </c>
      <c r="G668" s="108" t="str">
        <f t="shared" si="462"/>
        <v/>
      </c>
      <c r="H668" s="93" t="str">
        <f>IF(AND(C668&lt;&gt;"", 'Cost Inputs'!$J$149&lt;&gt;""), 'Cost Inputs'!$J$149, "")</f>
        <v/>
      </c>
      <c r="I668" s="93" t="str">
        <f t="shared" si="467"/>
        <v/>
      </c>
      <c r="J668" s="93" t="str">
        <f>IF(AND(C668&lt;&gt;"",('Cost Inputs'!$I$149+'Cost Inputs'!$J$149+'Cost Inputs'!$K$149)&gt;0), 'Cost Inputs'!$I$149+'Cost Inputs'!$J$149+'Cost Inputs'!$K$149, "")</f>
        <v/>
      </c>
      <c r="K668" s="93" t="str">
        <f t="shared" si="468"/>
        <v/>
      </c>
      <c r="L668" s="93"/>
      <c r="M668" s="109"/>
      <c r="T668" s="93" t="str">
        <f>IF(ISNUMBER($B$537), IF($C668&lt;&gt;"", IF('Cost Inputs'!$L$149="Y", $E668, IF('Cost Inputs'!$L$149="N", IF(ISNUMBER('Cost Inputs'!$M$149), $E668, ""),"")),""),"")</f>
        <v/>
      </c>
      <c r="U668" s="93" t="str">
        <f>IF(ISNUMBER($B$537), IF($C668&lt;&gt;"", IF('Cost Inputs'!$L$149="Y", $E668, IF('Cost Inputs'!$L$149="N", "", "")),""),"")</f>
        <v/>
      </c>
      <c r="V668" s="93" t="str">
        <f>IF(ISNUMBER($B$537), IF($C668&lt;&gt;"", IF('Cost Inputs'!$L$149="Y", $E668, IF('Cost Inputs'!$L$149="N", IF(AND(ISNUMBER('Cost Inputs'!$M$149), OR('Cost Inputs'!$M$149=2)), $E668, ""),"")),""),"")</f>
        <v/>
      </c>
      <c r="W668" s="93" t="str">
        <f>IF(ISNUMBER($B$537), IF($C668&lt;&gt;"", IF('Cost Inputs'!$L$149="Y", $E668, IF('Cost Inputs'!$L$149="N", IF(AND(ISNUMBER('Cost Inputs'!$M$149), OR('Cost Inputs'!$M$149=3)), $E668, ""),"")),""),"")</f>
        <v/>
      </c>
      <c r="X668" s="93" t="str">
        <f>IF(ISNUMBER($B$537), IF($C668&lt;&gt;"", IF('Cost Inputs'!$L$149="Y", $E668, IF('Cost Inputs'!$L$149="N", IF(AND(ISNUMBER('Cost Inputs'!$M$149), OR('Cost Inputs'!$M$149=2, 'Cost Inputs'!$M$149=4)), $E668, ""),"")),""),"")</f>
        <v/>
      </c>
      <c r="Y668" s="93" t="str">
        <f>IF(ISNUMBER($B$537), IF($C668&lt;&gt;"", IF('Cost Inputs'!$L$149="Y", $E668, IF('Cost Inputs'!$L$149="N", IF(AND(ISNUMBER('Cost Inputs'!$M$149), OR('Cost Inputs'!$M$149=2,'Cost Inputs'!$M$149=5)), $E668, ""),"")),""),"")</f>
        <v/>
      </c>
      <c r="Z668" s="93" t="str">
        <f>IF(ISNUMBER($B$537), IF($C668&lt;&gt;"", IF('Cost Inputs'!$L$149="Y", $E668, IF('Cost Inputs'!$L$149="N", IF(AND(ISNUMBER('Cost Inputs'!$M$149), OR('Cost Inputs'!$M$149=2,'Cost Inputs'!$M$149=3,'Cost Inputs'!$M$149=6)), $E668, ""),"")),""),"")</f>
        <v/>
      </c>
      <c r="AA668" s="93" t="str">
        <f>IF(ISNUMBER($B$537), IF($C668&lt;&gt;"", IF('Cost Inputs'!$L$149="Y", $E668, IF('Cost Inputs'!$L$149="N", IF(AND(ISNUMBER('Cost Inputs'!$M$149), OR('Cost Inputs'!$M$149=2,'Cost Inputs'!$M$149=7)), $E668, ""),"")),""),"")</f>
        <v/>
      </c>
      <c r="AB668" s="93" t="str">
        <f>IF(ISNUMBER($B$537), IF($C668&lt;&gt;"", IF('Cost Inputs'!$L$149="Y", $E668, IF('Cost Inputs'!$L$149="N", IF(AND(ISNUMBER('Cost Inputs'!$M$149), OR('Cost Inputs'!$M$149=2,'Cost Inputs'!$M$149=4,'Cost Inputs'!$M$149=8)), $E668, ""),"")),""),"")</f>
        <v/>
      </c>
      <c r="AC668" s="93" t="str">
        <f>IF(ISNUMBER($B$537), IF($C668&lt;&gt;"", IF('Cost Inputs'!$L$149="Y", $E668, IF('Cost Inputs'!$L$149="N", IF(AND(ISNUMBER('Cost Inputs'!$M$149), OR('Cost Inputs'!$M$149=2,'Cost Inputs'!$M$149=3,'Cost Inputs'!$M$149=9)), $E668, ""),"")),""),"")</f>
        <v/>
      </c>
    </row>
    <row r="669" spans="1:29" x14ac:dyDescent="0.25">
      <c r="A669" s="518"/>
      <c r="B669" s="504"/>
      <c r="C669" s="110" t="str">
        <f>IF(ISNUMBER(B665), _5_4_0, "")</f>
        <v/>
      </c>
      <c r="D669" s="94" t="str">
        <f>IF(AND(C669&lt;&gt;"", 'Cost Inputs'!$G$150&lt;&gt;""), 'Cost Inputs'!$G$150, "")</f>
        <v/>
      </c>
      <c r="E669" s="94" t="str">
        <f>IF(AND(C669&lt;&gt;"", 'Cost Inputs'!$H$150&lt;&gt;""), 'Cost Inputs'!$H$150, "")</f>
        <v/>
      </c>
      <c r="F669" s="94" t="str">
        <f>IF(AND(C669&lt;&gt;"", 'Cost Inputs'!$I$150&lt;&gt;""), 'Cost Inputs'!$I$150, "")</f>
        <v/>
      </c>
      <c r="G669" s="102" t="str">
        <f t="shared" si="462"/>
        <v/>
      </c>
      <c r="H669" s="102" t="str">
        <f>IF(AND(C669&lt;&gt;"", 'Cost Inputs'!$J$150&lt;&gt;""), 'Cost Inputs'!$J$150, "")</f>
        <v/>
      </c>
      <c r="I669" s="102" t="str">
        <f t="shared" si="467"/>
        <v/>
      </c>
      <c r="J669" s="102" t="str">
        <f>IF(AND(C669&lt;&gt;"",('Cost Inputs'!$I$150+'Cost Inputs'!$J$150+'Cost Inputs'!$K$150)&gt;0), 'Cost Inputs'!$I$150+'Cost Inputs'!$J$150+'Cost Inputs'!$K$150, "")</f>
        <v/>
      </c>
      <c r="K669" s="102" t="str">
        <f t="shared" si="468"/>
        <v/>
      </c>
      <c r="L669" s="94"/>
      <c r="M669" s="103"/>
      <c r="T669" s="102" t="str">
        <f>IF(ISNUMBER($B$537), IF($C669&lt;&gt;"", IF('Cost Inputs'!$L$150="Y", $E669, IF('Cost Inputs'!$L$150="N", IF(ISNUMBER('Cost Inputs'!$M$150), $E669, ""),"")),""),"")</f>
        <v/>
      </c>
      <c r="U669" s="102" t="str">
        <f>IF(ISNUMBER($B$537), IF($C669&lt;&gt;"", IF('Cost Inputs'!$L$150="Y", $E669, IF('Cost Inputs'!$L$150="N", "", "")),""),"")</f>
        <v/>
      </c>
      <c r="V669" s="102" t="str">
        <f>IF(ISNUMBER($B$537), IF($C669&lt;&gt;"", IF('Cost Inputs'!$L$150="Y", $E669, IF('Cost Inputs'!$L$150="N", IF(AND(ISNUMBER('Cost Inputs'!$M$150), OR('Cost Inputs'!$M$150=2)), $E669, ""),"")),""),"")</f>
        <v/>
      </c>
      <c r="W669" s="102" t="str">
        <f>IF(ISNUMBER($B$537), IF($C669&lt;&gt;"", IF('Cost Inputs'!$L$150="Y", $E669, IF('Cost Inputs'!$L$150="N", IF(AND(ISNUMBER('Cost Inputs'!$M$150), OR('Cost Inputs'!$M$150=3)), $E669, ""),"")),""),"")</f>
        <v/>
      </c>
      <c r="X669" s="102" t="str">
        <f>IF(ISNUMBER($B$537), IF($C669&lt;&gt;"", IF('Cost Inputs'!$L$150="Y", $E669, IF('Cost Inputs'!$L$150="N", IF(AND(ISNUMBER('Cost Inputs'!$M$150), OR('Cost Inputs'!$M$150=2, 'Cost Inputs'!$M$150=4)), $E669, ""),"")),""),"")</f>
        <v/>
      </c>
      <c r="Y669" s="102" t="str">
        <f>IF(ISNUMBER($B$537), IF($C669&lt;&gt;"", IF('Cost Inputs'!$L$150="Y", $E669, IF('Cost Inputs'!$L$150="N", IF(AND(ISNUMBER('Cost Inputs'!$M$150), OR('Cost Inputs'!$M$150=2,'Cost Inputs'!$M$150=5)), $E669, ""),"")),""),"")</f>
        <v/>
      </c>
      <c r="Z669" s="102" t="str">
        <f>IF(ISNUMBER($B$537), IF($C669&lt;&gt;"", IF('Cost Inputs'!$L$150="Y", $E669, IF('Cost Inputs'!$L$150="N", IF(AND(ISNUMBER('Cost Inputs'!$M$150), OR('Cost Inputs'!$M$150=2,'Cost Inputs'!$M$150=3,'Cost Inputs'!$M$150=6)), $E669, ""),"")),""),"")</f>
        <v/>
      </c>
      <c r="AA669" s="102" t="str">
        <f>IF(ISNUMBER($B$537), IF($C669&lt;&gt;"", IF('Cost Inputs'!$L$150="Y", $E669, IF('Cost Inputs'!$L$150="N", IF(AND(ISNUMBER('Cost Inputs'!$M$150), OR('Cost Inputs'!$M$150=2,'Cost Inputs'!$M$150=7)), $E669, ""),"")),""),"")</f>
        <v/>
      </c>
      <c r="AB669" s="102" t="str">
        <f>IF(ISNUMBER($B$537), IF($C669&lt;&gt;"", IF('Cost Inputs'!$L$150="Y", $E669, IF('Cost Inputs'!$L$150="N", IF(AND(ISNUMBER('Cost Inputs'!$M$150), OR('Cost Inputs'!$M$150=2,'Cost Inputs'!$M$150=4,'Cost Inputs'!$M$150=8)), $E669, ""),"")),""),"")</f>
        <v/>
      </c>
      <c r="AC669" s="102" t="str">
        <f>IF(ISNUMBER($B$537), IF($C669&lt;&gt;"", IF('Cost Inputs'!$L$150="Y", $E669, IF('Cost Inputs'!$L$150="N", IF(AND(ISNUMBER('Cost Inputs'!$M$150), OR('Cost Inputs'!$M$150=2,'Cost Inputs'!$M$150=3,'Cost Inputs'!$M$150=9)), $E669, ""),"")),""),"")</f>
        <v/>
      </c>
    </row>
    <row r="670" spans="1:29" x14ac:dyDescent="0.25">
      <c r="A670" s="518"/>
      <c r="B670" s="504"/>
      <c r="C670" s="104" t="str">
        <f>IF(AND(ISNUMBER(B665), OR('Cost Inputs'!$H$151&lt;&gt;"", 'Cost Inputs'!$I$151&lt;&gt;"", 'Cost Inputs'!$J$151&lt;&gt;"")), _5_4_1, "")</f>
        <v/>
      </c>
      <c r="D670" s="17" t="str">
        <f>IF(AND(C670&lt;&gt;"", 'Cost Inputs'!$G$151&lt;&gt;""), 'Cost Inputs'!$G$151, "")</f>
        <v/>
      </c>
      <c r="E670" s="17" t="str">
        <f>IF(AND(C670&lt;&gt;"", 'Cost Inputs'!$H$151&lt;&gt;""), 'Cost Inputs'!$H$151, "")</f>
        <v/>
      </c>
      <c r="F670" s="17" t="str">
        <f>IF(AND(C670&lt;&gt;"", 'Cost Inputs'!$I$151&lt;&gt;""), 'Cost Inputs'!$I$151, "")</f>
        <v/>
      </c>
      <c r="G670" s="105" t="str">
        <f t="shared" si="462"/>
        <v/>
      </c>
      <c r="H670" s="17" t="str">
        <f>IF(AND(C670&lt;&gt;"", 'Cost Inputs'!$J$151&lt;&gt;""), 'Cost Inputs'!$J$151, "")</f>
        <v/>
      </c>
      <c r="I670" s="17" t="str">
        <f t="shared" si="467"/>
        <v/>
      </c>
      <c r="J670" s="17" t="str">
        <f>IF(AND(C670&lt;&gt;"",('Cost Inputs'!$I$151+'Cost Inputs'!$J$151+'Cost Inputs'!$K$151)&gt;0), 'Cost Inputs'!$I$151+'Cost Inputs'!$J$151+'Cost Inputs'!$K$151, "")</f>
        <v/>
      </c>
      <c r="K670" s="17" t="str">
        <f t="shared" si="468"/>
        <v/>
      </c>
      <c r="M670" s="106"/>
      <c r="T670" s="17" t="str">
        <f>IF(ISNUMBER($B$537), IF($C670&lt;&gt;"", IF('Cost Inputs'!$L$151="Y", $E670, IF('Cost Inputs'!$L$151="N", IF(ISNUMBER('Cost Inputs'!$M$151), $E670, ""),"")),""),"")</f>
        <v/>
      </c>
      <c r="U670" s="17" t="str">
        <f>IF(ISNUMBER($B$537), IF($C670&lt;&gt;"", IF('Cost Inputs'!$L$151="Y", $E670, IF('Cost Inputs'!$L$151="N", "", "")),""),"")</f>
        <v/>
      </c>
      <c r="V670" s="17" t="str">
        <f>IF(ISNUMBER($B$537), IF($C670&lt;&gt;"", IF('Cost Inputs'!$L$151="Y", $E670, IF('Cost Inputs'!$L$151="N", IF(AND(ISNUMBER('Cost Inputs'!$M$151), OR('Cost Inputs'!$M$151=2)), $E670, ""),"")),""),"")</f>
        <v/>
      </c>
      <c r="W670" s="17" t="str">
        <f>IF(ISNUMBER($B$537), IF($C670&lt;&gt;"", IF('Cost Inputs'!$L$151="Y", $E670, IF('Cost Inputs'!$L$151="N", IF(AND(ISNUMBER('Cost Inputs'!$M$151), OR('Cost Inputs'!$M$151=3)), $E670, ""),"")),""),"")</f>
        <v/>
      </c>
      <c r="X670" s="17" t="str">
        <f>IF(ISNUMBER($B$537), IF($C670&lt;&gt;"", IF('Cost Inputs'!$L$151="Y", $E670, IF('Cost Inputs'!$L$151="N", IF(AND(ISNUMBER('Cost Inputs'!$M$151), OR('Cost Inputs'!$M$151=2, 'Cost Inputs'!$M$151=4)), $E670, ""),"")),""),"")</f>
        <v/>
      </c>
      <c r="Y670" s="17" t="str">
        <f>IF(ISNUMBER($B$537), IF($C670&lt;&gt;"", IF('Cost Inputs'!$L$151="Y", $E670, IF('Cost Inputs'!$L$151="N", IF(AND(ISNUMBER('Cost Inputs'!$M$151), OR('Cost Inputs'!$M$151=2,'Cost Inputs'!$M$151=5)), $E670, ""),"")),""),"")</f>
        <v/>
      </c>
      <c r="Z670" s="17" t="str">
        <f>IF(ISNUMBER($B$537), IF($C670&lt;&gt;"", IF('Cost Inputs'!$L$151="Y", $E670, IF('Cost Inputs'!$L$151="N", IF(AND(ISNUMBER('Cost Inputs'!$M$151), OR('Cost Inputs'!$M$151=2,'Cost Inputs'!$M$151=3,'Cost Inputs'!$M$151=6)), $E670, ""),"")),""),"")</f>
        <v/>
      </c>
      <c r="AA670" s="17" t="str">
        <f>IF(ISNUMBER($B$537), IF($C670&lt;&gt;"", IF('Cost Inputs'!$L$151="Y", $E670, IF('Cost Inputs'!$L$151="N", IF(AND(ISNUMBER('Cost Inputs'!$M$151), OR('Cost Inputs'!$M$151=2,'Cost Inputs'!$M$151=7)), $E670, ""),"")),""),"")</f>
        <v/>
      </c>
      <c r="AB670" s="17" t="str">
        <f>IF(ISNUMBER($B$537), IF($C670&lt;&gt;"", IF('Cost Inputs'!$L$151="Y", $E670, IF('Cost Inputs'!$L$151="N", IF(AND(ISNUMBER('Cost Inputs'!$M$151), OR('Cost Inputs'!$M$151=2,'Cost Inputs'!$M$151=4,'Cost Inputs'!$M$151=8)), $E670, ""),"")),""),"")</f>
        <v/>
      </c>
      <c r="AC670" s="17" t="str">
        <f>IF(ISNUMBER($B$537), IF($C670&lt;&gt;"", IF('Cost Inputs'!$L$151="Y", $E670, IF('Cost Inputs'!$L$151="N", IF(AND(ISNUMBER('Cost Inputs'!$M$151), OR('Cost Inputs'!$M$151=2,'Cost Inputs'!$M$151=3,'Cost Inputs'!$M$151=9)), $E670, ""),"")),""),"")</f>
        <v/>
      </c>
    </row>
    <row r="671" spans="1:29" x14ac:dyDescent="0.25">
      <c r="A671" s="518"/>
      <c r="B671" s="504"/>
      <c r="C671" s="107" t="str">
        <f>IF(AND(ISNUMBER(B665), OR('Cost Inputs'!$H$152&lt;&gt;"", 'Cost Inputs'!$I$152&lt;&gt;"", 'Cost Inputs'!$J$152&lt;&gt;"")), _5_4_2, "")</f>
        <v/>
      </c>
      <c r="D671" s="93" t="str">
        <f>IF(AND(C671&lt;&gt;"", 'Cost Inputs'!$G$152&lt;&gt;""), 'Cost Inputs'!$G$152, "")</f>
        <v/>
      </c>
      <c r="E671" s="93" t="str">
        <f>IF(AND(C671&lt;&gt;"", 'Cost Inputs'!$H$152&lt;&gt;""), 'Cost Inputs'!$H$152, "")</f>
        <v/>
      </c>
      <c r="F671" s="93" t="str">
        <f>IF(AND(C671&lt;&gt;"", 'Cost Inputs'!$I$152&lt;&gt;""), 'Cost Inputs'!$I$152, "")</f>
        <v/>
      </c>
      <c r="G671" s="108" t="str">
        <f t="shared" si="462"/>
        <v/>
      </c>
      <c r="H671" s="93" t="str">
        <f>IF(AND(C671&lt;&gt;"", 'Cost Inputs'!$J$152&lt;&gt;""), 'Cost Inputs'!$J$152, "")</f>
        <v/>
      </c>
      <c r="I671" s="93" t="str">
        <f t="shared" si="467"/>
        <v/>
      </c>
      <c r="J671" s="93" t="str">
        <f>IF(AND(C671&lt;&gt;"",('Cost Inputs'!$I$152+'Cost Inputs'!$J$152+'Cost Inputs'!$K$152)&gt;0), 'Cost Inputs'!$I$152+'Cost Inputs'!$J$152+'Cost Inputs'!$K$152, "")</f>
        <v/>
      </c>
      <c r="K671" s="93" t="str">
        <f t="shared" si="468"/>
        <v/>
      </c>
      <c r="L671" s="93"/>
      <c r="M671" s="109"/>
      <c r="T671" s="93" t="str">
        <f>IF(ISNUMBER($B$537), IF($C671&lt;&gt;"", IF('Cost Inputs'!$L$152="Y", $E671, IF('Cost Inputs'!$L$152="N", IF(ISNUMBER('Cost Inputs'!$M$152), $E671, ""),"")),""),"")</f>
        <v/>
      </c>
      <c r="U671" s="93" t="str">
        <f>IF(ISNUMBER($B$537), IF($C671&lt;&gt;"", IF('Cost Inputs'!$L$152="Y", $E671, IF('Cost Inputs'!$L$152="N", "", "")),""),"")</f>
        <v/>
      </c>
      <c r="V671" s="93" t="str">
        <f>IF(ISNUMBER($B$537), IF($C671&lt;&gt;"", IF('Cost Inputs'!$L$152="Y", $E671, IF('Cost Inputs'!$L$152="N", IF(AND(ISNUMBER('Cost Inputs'!$M$152), OR('Cost Inputs'!$M$152=2)), $E671, ""),"")),""),"")</f>
        <v/>
      </c>
      <c r="W671" s="93" t="str">
        <f>IF(ISNUMBER($B$537), IF($C671&lt;&gt;"", IF('Cost Inputs'!$L$152="Y", $E671, IF('Cost Inputs'!$L$152="N", IF(AND(ISNUMBER('Cost Inputs'!$M$152), OR('Cost Inputs'!$M$152=3)), $E671, ""),"")),""),"")</f>
        <v/>
      </c>
      <c r="X671" s="93" t="str">
        <f>IF(ISNUMBER($B$537), IF($C671&lt;&gt;"", IF('Cost Inputs'!$L$152="Y", $E671, IF('Cost Inputs'!$L$152="N", IF(AND(ISNUMBER('Cost Inputs'!$M$152), OR('Cost Inputs'!$M$152=2, 'Cost Inputs'!$M$152=4)), $E671, ""),"")),""),"")</f>
        <v/>
      </c>
      <c r="Y671" s="93" t="str">
        <f>IF(ISNUMBER($B$537), IF($C671&lt;&gt;"", IF('Cost Inputs'!$L$152="Y", $E671, IF('Cost Inputs'!$L$152="N", IF(AND(ISNUMBER('Cost Inputs'!$M$152), OR('Cost Inputs'!$M$152=2,'Cost Inputs'!$M$152=5)), $E671, ""),"")),""),"")</f>
        <v/>
      </c>
      <c r="Z671" s="93" t="str">
        <f>IF(ISNUMBER($B$537), IF($C671&lt;&gt;"", IF('Cost Inputs'!$L$152="Y", $E671, IF('Cost Inputs'!$L$152="N", IF(AND(ISNUMBER('Cost Inputs'!$M$152), OR('Cost Inputs'!$M$152=2,'Cost Inputs'!$M$152=3,'Cost Inputs'!$M$152=6)), $E671, ""),"")),""),"")</f>
        <v/>
      </c>
      <c r="AA671" s="93" t="str">
        <f>IF(ISNUMBER($B$537), IF($C671&lt;&gt;"", IF('Cost Inputs'!$L$152="Y", $E671, IF('Cost Inputs'!$L$152="N", IF(AND(ISNUMBER('Cost Inputs'!$M$152), OR('Cost Inputs'!$M$152=2,'Cost Inputs'!$M$152=7)), $E671, ""),"")),""),"")</f>
        <v/>
      </c>
      <c r="AB671" s="93" t="str">
        <f>IF(ISNUMBER($B$537), IF($C671&lt;&gt;"", IF('Cost Inputs'!$L$152="Y", $E671, IF('Cost Inputs'!$L$152="N", IF(AND(ISNUMBER('Cost Inputs'!$M$152), OR('Cost Inputs'!$M$152=2,'Cost Inputs'!$M$152=4,'Cost Inputs'!$M$152=8)), $E671, ""),"")),""),"")</f>
        <v/>
      </c>
      <c r="AC671" s="93" t="str">
        <f>IF(ISNUMBER($B$537), IF($C671&lt;&gt;"", IF('Cost Inputs'!$L$152="Y", $E671, IF('Cost Inputs'!$L$152="N", IF(AND(ISNUMBER('Cost Inputs'!$M$152), OR('Cost Inputs'!$M$152=2,'Cost Inputs'!$M$152=3,'Cost Inputs'!$M$152=9)), $E671, ""),"")),""),"")</f>
        <v/>
      </c>
    </row>
    <row r="672" spans="1:29" x14ac:dyDescent="0.25">
      <c r="A672" s="518"/>
      <c r="B672" s="504"/>
      <c r="C672" s="104" t="str">
        <f>IF(AND(ISNUMBER(B665), OR('Cost Inputs'!$H$153&lt;&gt;"", 'Cost Inputs'!$I$153&lt;&gt;"", 'Cost Inputs'!$J$153&lt;&gt;"")), _5_4_3, "")</f>
        <v/>
      </c>
      <c r="D672" s="17" t="str">
        <f>IF(AND(C672&lt;&gt;"", 'Cost Inputs'!$G$153&lt;&gt;""), 'Cost Inputs'!$G$153, "")</f>
        <v/>
      </c>
      <c r="E672" s="17" t="str">
        <f>IF(AND(C672&lt;&gt;"", 'Cost Inputs'!$H$153&lt;&gt;""), 'Cost Inputs'!$H$153, "")</f>
        <v/>
      </c>
      <c r="F672" s="17" t="str">
        <f>IF(AND(C672&lt;&gt;"", 'Cost Inputs'!$I$153&lt;&gt;""), 'Cost Inputs'!$I$153, "")</f>
        <v/>
      </c>
      <c r="G672" s="105" t="str">
        <f t="shared" si="462"/>
        <v/>
      </c>
      <c r="H672" s="17" t="str">
        <f>IF(AND(C672&lt;&gt;"", 'Cost Inputs'!$J$153&lt;&gt;""), 'Cost Inputs'!$J$153, "")</f>
        <v/>
      </c>
      <c r="I672" s="17" t="str">
        <f t="shared" si="467"/>
        <v/>
      </c>
      <c r="J672" s="17" t="str">
        <f>IF(AND(C672&lt;&gt;"",('Cost Inputs'!$I$153+'Cost Inputs'!$J$153+'Cost Inputs'!$K$153)&gt;0), 'Cost Inputs'!$I$153+'Cost Inputs'!$J$153+'Cost Inputs'!$K$153, "")</f>
        <v/>
      </c>
      <c r="K672" s="17" t="str">
        <f t="shared" si="468"/>
        <v/>
      </c>
      <c r="M672" s="106"/>
      <c r="T672" s="17" t="str">
        <f>IF(ISNUMBER($B$537), IF($C672&lt;&gt;"", IF('Cost Inputs'!$L$153="Y", $E672, IF('Cost Inputs'!$L$153="N", IF(ISNUMBER('Cost Inputs'!$M$153), $E672, ""),"")),""),"")</f>
        <v/>
      </c>
      <c r="U672" s="17" t="str">
        <f>IF(ISNUMBER($B$537), IF($C672&lt;&gt;"", IF('Cost Inputs'!$L$153="Y", $E672, IF('Cost Inputs'!$L$153="N", "", "")),""),"")</f>
        <v/>
      </c>
      <c r="V672" s="17" t="str">
        <f>IF(ISNUMBER($B$537), IF($C672&lt;&gt;"", IF('Cost Inputs'!$L$153="Y", $E672, IF('Cost Inputs'!$L$153="N", IF(AND(ISNUMBER('Cost Inputs'!$M$153), OR('Cost Inputs'!$M$153=2)), $E672, ""),"")),""),"")</f>
        <v/>
      </c>
      <c r="W672" s="17" t="str">
        <f>IF(ISNUMBER($B$537), IF($C672&lt;&gt;"", IF('Cost Inputs'!$L$153="Y", $E672, IF('Cost Inputs'!$L$153="N", IF(AND(ISNUMBER('Cost Inputs'!$M$153), OR('Cost Inputs'!$M$153=3)), $E672, ""),"")),""),"")</f>
        <v/>
      </c>
      <c r="X672" s="17" t="str">
        <f>IF(ISNUMBER($B$537), IF($C672&lt;&gt;"", IF('Cost Inputs'!$L$153="Y", $E672, IF('Cost Inputs'!$L$153="N", IF(AND(ISNUMBER('Cost Inputs'!$M$153), OR('Cost Inputs'!$M$153=2, 'Cost Inputs'!$M$153=4)), $E672, ""),"")),""),"")</f>
        <v/>
      </c>
      <c r="Y672" s="17" t="str">
        <f>IF(ISNUMBER($B$537), IF($C672&lt;&gt;"", IF('Cost Inputs'!$L$153="Y", $E672, IF('Cost Inputs'!$L$153="N", IF(AND(ISNUMBER('Cost Inputs'!$M$153), OR('Cost Inputs'!$M$153=2,'Cost Inputs'!$M$153=5)), $E672, ""),"")),""),"")</f>
        <v/>
      </c>
      <c r="Z672" s="17" t="str">
        <f>IF(ISNUMBER($B$537), IF($C672&lt;&gt;"", IF('Cost Inputs'!$L$153="Y", $E672, IF('Cost Inputs'!$L$153="N", IF(AND(ISNUMBER('Cost Inputs'!$M$153), OR('Cost Inputs'!$M$153=2,'Cost Inputs'!$M$153=3,'Cost Inputs'!$M$153=6)), $E672, ""),"")),""),"")</f>
        <v/>
      </c>
      <c r="AA672" s="17" t="str">
        <f>IF(ISNUMBER($B$537), IF($C672&lt;&gt;"", IF('Cost Inputs'!$L$153="Y", $E672, IF('Cost Inputs'!$L$153="N", IF(AND(ISNUMBER('Cost Inputs'!$M$153), OR('Cost Inputs'!$M$153=2,'Cost Inputs'!$M$153=7)), $E672, ""),"")),""),"")</f>
        <v/>
      </c>
      <c r="AB672" s="17" t="str">
        <f>IF(ISNUMBER($B$537), IF($C672&lt;&gt;"", IF('Cost Inputs'!$L$153="Y", $E672, IF('Cost Inputs'!$L$153="N", IF(AND(ISNUMBER('Cost Inputs'!$M$153), OR('Cost Inputs'!$M$153=2,'Cost Inputs'!$M$153=4,'Cost Inputs'!$M$153=8)), $E672, ""),"")),""),"")</f>
        <v/>
      </c>
      <c r="AC672" s="17" t="str">
        <f>IF(ISNUMBER($B$537), IF($C672&lt;&gt;"", IF('Cost Inputs'!$L$153="Y", $E672, IF('Cost Inputs'!$L$153="N", IF(AND(ISNUMBER('Cost Inputs'!$M$153), OR('Cost Inputs'!$M$153=2,'Cost Inputs'!$M$153=3,'Cost Inputs'!$M$153=9)), $E672, ""),"")),""),"")</f>
        <v/>
      </c>
    </row>
    <row r="673" spans="1:30" x14ac:dyDescent="0.25">
      <c r="A673" s="518"/>
      <c r="B673" s="504"/>
      <c r="C673" s="107" t="str">
        <f>IF(AND(ISNUMBER(B665), OR('Cost Inputs'!$H$154&lt;&gt;"", 'Cost Inputs'!$I$154&lt;&gt;"", 'Cost Inputs'!$J$154&lt;&gt;"")), _5_4_4, "")</f>
        <v/>
      </c>
      <c r="D673" s="93" t="str">
        <f>IF(AND(C673&lt;&gt;"", 'Cost Inputs'!$G$154&lt;&gt;""), 'Cost Inputs'!$G$154, "")</f>
        <v/>
      </c>
      <c r="E673" s="93" t="str">
        <f>IF(AND(C673&lt;&gt;"", 'Cost Inputs'!$H$154&lt;&gt;""), 'Cost Inputs'!$H$154, "")</f>
        <v/>
      </c>
      <c r="F673" s="93" t="str">
        <f>IF(AND(C673&lt;&gt;"", 'Cost Inputs'!$I$154&lt;&gt;""), 'Cost Inputs'!$I$154, "")</f>
        <v/>
      </c>
      <c r="G673" s="108" t="str">
        <f t="shared" si="462"/>
        <v/>
      </c>
      <c r="H673" s="93" t="str">
        <f>IF(AND(C673&lt;&gt;"", 'Cost Inputs'!$J$154&lt;&gt;""), 'Cost Inputs'!$J$154, "")</f>
        <v/>
      </c>
      <c r="I673" s="93" t="str">
        <f t="shared" si="467"/>
        <v/>
      </c>
      <c r="J673" s="93" t="str">
        <f>IF(AND(C673&lt;&gt;"",('Cost Inputs'!$I$154+'Cost Inputs'!$J$154+'Cost Inputs'!$K$154)&gt;0), 'Cost Inputs'!$I$154+'Cost Inputs'!$J$154+'Cost Inputs'!$K$154, "")</f>
        <v/>
      </c>
      <c r="K673" s="93" t="str">
        <f t="shared" si="468"/>
        <v/>
      </c>
      <c r="L673" s="93"/>
      <c r="M673" s="109"/>
      <c r="T673" s="93" t="str">
        <f>IF(ISNUMBER($B$537), IF($C673&lt;&gt;"", IF('Cost Inputs'!$L$154="Y", $E673, IF('Cost Inputs'!$L$154="N", IF(ISNUMBER('Cost Inputs'!$M$154), $E673, ""),"")),""),"")</f>
        <v/>
      </c>
      <c r="U673" s="93" t="str">
        <f>IF(ISNUMBER($B$537), IF($C673&lt;&gt;"", IF('Cost Inputs'!$L$154="Y", $E673, IF('Cost Inputs'!$L$154="N", "", "")),""),"")</f>
        <v/>
      </c>
      <c r="V673" s="93" t="str">
        <f>IF(ISNUMBER($B$537), IF($C673&lt;&gt;"", IF('Cost Inputs'!$L$154="Y", $E673, IF('Cost Inputs'!$L$154="N", IF(AND(ISNUMBER('Cost Inputs'!$M$154), OR('Cost Inputs'!$M$154=2)), $E673, ""),"")),""),"")</f>
        <v/>
      </c>
      <c r="W673" s="93" t="str">
        <f>IF(ISNUMBER($B$537), IF($C673&lt;&gt;"", IF('Cost Inputs'!$L$154="Y", $E673, IF('Cost Inputs'!$L$154="N", IF(AND(ISNUMBER('Cost Inputs'!$M$154), OR('Cost Inputs'!$M$154=3)), $E673, ""),"")),""),"")</f>
        <v/>
      </c>
      <c r="X673" s="93" t="str">
        <f>IF(ISNUMBER($B$537), IF($C673&lt;&gt;"", IF('Cost Inputs'!$L$154="Y", $E673, IF('Cost Inputs'!$L$154="N", IF(AND(ISNUMBER('Cost Inputs'!$M$154), OR('Cost Inputs'!$M$154=2, 'Cost Inputs'!$M$154=4)), $E673, ""),"")),""),"")</f>
        <v/>
      </c>
      <c r="Y673" s="93" t="str">
        <f>IF(ISNUMBER($B$537), IF($C673&lt;&gt;"", IF('Cost Inputs'!$L$154="Y", $E673, IF('Cost Inputs'!$L$154="N", IF(AND(ISNUMBER('Cost Inputs'!$M$154), OR('Cost Inputs'!$M$154=2,'Cost Inputs'!$M$154=5)), $E673, ""),"")),""),"")</f>
        <v/>
      </c>
      <c r="Z673" s="93" t="str">
        <f>IF(ISNUMBER($B$537), IF($C673&lt;&gt;"", IF('Cost Inputs'!$L$154="Y", $E673, IF('Cost Inputs'!$L$154="N", IF(AND(ISNUMBER('Cost Inputs'!$M$154), OR('Cost Inputs'!$M$154=2,'Cost Inputs'!$M$154=3,'Cost Inputs'!$M$154=6)), $E673, ""),"")),""),"")</f>
        <v/>
      </c>
      <c r="AA673" s="93" t="str">
        <f>IF(ISNUMBER($B$537), IF($C673&lt;&gt;"", IF('Cost Inputs'!$L$154="Y", $E673, IF('Cost Inputs'!$L$154="N", IF(AND(ISNUMBER('Cost Inputs'!$M$154), OR('Cost Inputs'!$M$154=2,'Cost Inputs'!$M$154=7)), $E673, ""),"")),""),"")</f>
        <v/>
      </c>
      <c r="AB673" s="93" t="str">
        <f>IF(ISNUMBER($B$537), IF($C673&lt;&gt;"", IF('Cost Inputs'!$L$154="Y", $E673, IF('Cost Inputs'!$L$154="N", IF(AND(ISNUMBER('Cost Inputs'!$M$154), OR('Cost Inputs'!$M$154=2,'Cost Inputs'!$M$154=4,'Cost Inputs'!$M$154=8)), $E673, ""),"")),""),"")</f>
        <v/>
      </c>
      <c r="AC673" s="93" t="str">
        <f>IF(ISNUMBER($B$537), IF($C673&lt;&gt;"", IF('Cost Inputs'!$L$154="Y", $E673, IF('Cost Inputs'!$L$154="N", IF(AND(ISNUMBER('Cost Inputs'!$M$154), OR('Cost Inputs'!$M$154=2,'Cost Inputs'!$M$154=3,'Cost Inputs'!$M$154=9)), $E673, ""),"")),""),"")</f>
        <v/>
      </c>
    </row>
    <row r="674" spans="1:30" x14ac:dyDescent="0.25">
      <c r="A674" s="518"/>
      <c r="B674" s="504"/>
      <c r="C674" s="104" t="str">
        <f>IF(AND(ISNUMBER(B665), OR('Cost Inputs'!$H$155&lt;&gt;"", 'Cost Inputs'!$I$155&lt;&gt;"", 'Cost Inputs'!$J$155&lt;&gt;"")), _5_4_5, "")</f>
        <v/>
      </c>
      <c r="D674" s="17" t="str">
        <f>IF(AND(C674&lt;&gt;"", 'Cost Inputs'!$G$155&lt;&gt;""), 'Cost Inputs'!$G$155, "")</f>
        <v/>
      </c>
      <c r="E674" s="17" t="str">
        <f>IF(AND(C674&lt;&gt;"", 'Cost Inputs'!$H$155&lt;&gt;""), 'Cost Inputs'!$H$155, "")</f>
        <v/>
      </c>
      <c r="F674" s="17" t="str">
        <f>IF(AND(C674&lt;&gt;"", 'Cost Inputs'!$I$155&lt;&gt;""), 'Cost Inputs'!$I$155, "")</f>
        <v/>
      </c>
      <c r="G674" s="105" t="str">
        <f t="shared" si="462"/>
        <v/>
      </c>
      <c r="H674" s="17" t="str">
        <f>IF(AND(C674&lt;&gt;"", 'Cost Inputs'!$J$155&lt;&gt;""), 'Cost Inputs'!$J$155, "")</f>
        <v/>
      </c>
      <c r="I674" s="17" t="str">
        <f t="shared" si="467"/>
        <v/>
      </c>
      <c r="J674" s="17" t="str">
        <f>IF(AND(C674&lt;&gt;"",('Cost Inputs'!$I$155+'Cost Inputs'!$J$155+'Cost Inputs'!$K$155)&gt;0), 'Cost Inputs'!$I$155+'Cost Inputs'!$J$155+'Cost Inputs'!$K$155, "")</f>
        <v/>
      </c>
      <c r="K674" s="17" t="str">
        <f t="shared" si="468"/>
        <v/>
      </c>
      <c r="M674" s="106"/>
      <c r="T674" s="17" t="str">
        <f>IF(ISNUMBER($B$537), IF($C674&lt;&gt;"", IF('Cost Inputs'!$L$155="Y", $E674, IF('Cost Inputs'!$L$155="N", IF(ISNUMBER('Cost Inputs'!$M$155), $E674, ""),"")),""),"")</f>
        <v/>
      </c>
      <c r="U674" s="17" t="str">
        <f>IF(ISNUMBER($B$537), IF($C674&lt;&gt;"", IF('Cost Inputs'!$L$155="Y", $E674, IF('Cost Inputs'!$L$155="N", "", "")),""),"")</f>
        <v/>
      </c>
      <c r="V674" s="17" t="str">
        <f>IF(ISNUMBER($B$537), IF($C674&lt;&gt;"", IF('Cost Inputs'!$L$155="Y", $E674, IF('Cost Inputs'!$L$155="N", IF(AND(ISNUMBER('Cost Inputs'!$M$155), OR('Cost Inputs'!$M$155=2)), $E674, ""),"")),""),"")</f>
        <v/>
      </c>
      <c r="W674" s="17" t="str">
        <f>IF(ISNUMBER($B$537), IF($C674&lt;&gt;"", IF('Cost Inputs'!$L$155="Y", $E674, IF('Cost Inputs'!$L$155="N", IF(AND(ISNUMBER('Cost Inputs'!$M$155), OR('Cost Inputs'!$M$155=3)), $E674, ""),"")),""),"")</f>
        <v/>
      </c>
      <c r="X674" s="17" t="str">
        <f>IF(ISNUMBER($B$537), IF($C674&lt;&gt;"", IF('Cost Inputs'!$L$155="Y", $E674, IF('Cost Inputs'!$L$155="N", IF(AND(ISNUMBER('Cost Inputs'!$M$155), OR('Cost Inputs'!$M$155=2, 'Cost Inputs'!$M$155=4)), $E674, ""),"")),""),"")</f>
        <v/>
      </c>
      <c r="Y674" s="17" t="str">
        <f>IF(ISNUMBER($B$537), IF($C674&lt;&gt;"", IF('Cost Inputs'!$L$155="Y", $E674, IF('Cost Inputs'!$L$155="N", IF(AND(ISNUMBER('Cost Inputs'!$M$155), OR('Cost Inputs'!$M$155=2,'Cost Inputs'!$M$155=5)), $E674, ""),"")),""),"")</f>
        <v/>
      </c>
      <c r="Z674" s="17" t="str">
        <f>IF(ISNUMBER($B$537), IF($C674&lt;&gt;"", IF('Cost Inputs'!$L$155="Y", $E674, IF('Cost Inputs'!$L$155="N", IF(AND(ISNUMBER('Cost Inputs'!$M$155), OR('Cost Inputs'!$M$155=2,'Cost Inputs'!$M$155=3,'Cost Inputs'!$M$155=6)), $E674, ""),"")),""),"")</f>
        <v/>
      </c>
      <c r="AA674" s="17" t="str">
        <f>IF(ISNUMBER($B$537), IF($C674&lt;&gt;"", IF('Cost Inputs'!$L$155="Y", $E674, IF('Cost Inputs'!$L$155="N", IF(AND(ISNUMBER('Cost Inputs'!$M$155), OR('Cost Inputs'!$M$155=2,'Cost Inputs'!$M$155=7)), $E674, ""),"")),""),"")</f>
        <v/>
      </c>
      <c r="AB674" s="17" t="str">
        <f>IF(ISNUMBER($B$537), IF($C674&lt;&gt;"", IF('Cost Inputs'!$L$155="Y", $E674, IF('Cost Inputs'!$L$155="N", IF(AND(ISNUMBER('Cost Inputs'!$M$155), OR('Cost Inputs'!$M$155=2,'Cost Inputs'!$M$155=4,'Cost Inputs'!$M$155=8)), $E674, ""),"")),""),"")</f>
        <v/>
      </c>
      <c r="AC674" s="17" t="str">
        <f>IF(ISNUMBER($B$537), IF($C674&lt;&gt;"", IF('Cost Inputs'!$L$155="Y", $E674, IF('Cost Inputs'!$L$155="N", IF(AND(ISNUMBER('Cost Inputs'!$M$155), OR('Cost Inputs'!$M$155=2,'Cost Inputs'!$M$155=3,'Cost Inputs'!$M$155=9)), $E674, ""),"")),""),"")</f>
        <v/>
      </c>
    </row>
    <row r="675" spans="1:30" x14ac:dyDescent="0.25">
      <c r="A675" s="518"/>
      <c r="B675" s="504"/>
      <c r="C675" s="107" t="str">
        <f>IF(AND(ISNUMBER(B665), OR('Cost Inputs'!$H$156&lt;&gt;"", 'Cost Inputs'!$I$156&lt;&gt;"", 'Cost Inputs'!$J$156&lt;&gt;"")), _5_4_6, "")</f>
        <v/>
      </c>
      <c r="D675" s="93" t="str">
        <f>IF(AND(C675&lt;&gt;"", 'Cost Inputs'!$G$156&lt;&gt;""), 'Cost Inputs'!$G$156, "")</f>
        <v/>
      </c>
      <c r="E675" s="93" t="str">
        <f>IF(AND(C675&lt;&gt;"", 'Cost Inputs'!$H$156&lt;&gt;""), 'Cost Inputs'!$H$156, "")</f>
        <v/>
      </c>
      <c r="F675" s="93" t="str">
        <f>IF(AND(C675&lt;&gt;"", 'Cost Inputs'!$I$156&lt;&gt;""), 'Cost Inputs'!$I$156, "")</f>
        <v/>
      </c>
      <c r="G675" s="108" t="str">
        <f t="shared" ref="G675:G738" si="469">IF(AND($E675&lt;&gt;"", $E675&gt;0, F675&lt;&gt;""), F675/$E675, "")</f>
        <v/>
      </c>
      <c r="H675" s="93" t="str">
        <f>IF(AND(C675&lt;&gt;"", 'Cost Inputs'!$J$156&lt;&gt;""), 'Cost Inputs'!$J$16, "")</f>
        <v/>
      </c>
      <c r="I675" s="93" t="str">
        <f t="shared" si="467"/>
        <v/>
      </c>
      <c r="J675" s="93" t="str">
        <f>IF(AND(C675&lt;&gt;"",('Cost Inputs'!$I$156+'Cost Inputs'!$J$156+'Cost Inputs'!$K$156)&gt;0), 'Cost Inputs'!$I$156+'Cost Inputs'!$J$156+'Cost Inputs'!$K$156, "")</f>
        <v/>
      </c>
      <c r="K675" s="93" t="str">
        <f t="shared" si="468"/>
        <v/>
      </c>
      <c r="L675" s="93"/>
      <c r="M675" s="109"/>
      <c r="T675" s="93" t="str">
        <f>IF(ISNUMBER($B$537), IF($C675&lt;&gt;"", IF('Cost Inputs'!$L$156="Y", $E675, IF('Cost Inputs'!$L$156="N", IF(ISNUMBER('Cost Inputs'!$M$156), $E675, ""),"")),""),"")</f>
        <v/>
      </c>
      <c r="U675" s="93" t="str">
        <f>IF(ISNUMBER($B$537), IF($C675&lt;&gt;"", IF('Cost Inputs'!$L$156="Y", $E675, IF('Cost Inputs'!$L$156="N", "", "")),""),"")</f>
        <v/>
      </c>
      <c r="V675" s="93" t="str">
        <f>IF(ISNUMBER($B$537), IF($C675&lt;&gt;"", IF('Cost Inputs'!$L$156="Y", $E675, IF('Cost Inputs'!$L$156="N", IF(AND(ISNUMBER('Cost Inputs'!$M$156), OR('Cost Inputs'!$M$156=2)), $E675, ""),"")),""),"")</f>
        <v/>
      </c>
      <c r="W675" s="93" t="str">
        <f>IF(ISNUMBER($B$537), IF($C675&lt;&gt;"", IF('Cost Inputs'!$L$156="Y", $E675, IF('Cost Inputs'!$L$156="N", IF(AND(ISNUMBER('Cost Inputs'!$M$156), OR('Cost Inputs'!$M$156=3)), $E675, ""),"")),""),"")</f>
        <v/>
      </c>
      <c r="X675" s="93" t="str">
        <f>IF(ISNUMBER($B$537), IF($C675&lt;&gt;"", IF('Cost Inputs'!$L$156="Y", $E675, IF('Cost Inputs'!$L$156="N", IF(AND(ISNUMBER('Cost Inputs'!$M$156), OR('Cost Inputs'!$M$156=2, 'Cost Inputs'!$M$156=4)), $E675, ""),"")),""),"")</f>
        <v/>
      </c>
      <c r="Y675" s="93" t="str">
        <f>IF(ISNUMBER($B$537), IF($C675&lt;&gt;"", IF('Cost Inputs'!$L$156="Y", $E675, IF('Cost Inputs'!$L$156="N", IF(AND(ISNUMBER('Cost Inputs'!$M$156), OR('Cost Inputs'!$M$156=2,'Cost Inputs'!$M$156=5)), $E675, ""),"")),""),"")</f>
        <v/>
      </c>
      <c r="Z675" s="93" t="str">
        <f>IF(ISNUMBER($B$537), IF($C675&lt;&gt;"", IF('Cost Inputs'!$L$156="Y", $E675, IF('Cost Inputs'!$L$156="N", IF(AND(ISNUMBER('Cost Inputs'!$M$156), OR('Cost Inputs'!$M$156=2,'Cost Inputs'!$M$156=3,'Cost Inputs'!$M$156=6)), $E675, ""),"")),""),"")</f>
        <v/>
      </c>
      <c r="AA675" s="93" t="str">
        <f>IF(ISNUMBER($B$537), IF($C675&lt;&gt;"", IF('Cost Inputs'!$L$156="Y", $E675, IF('Cost Inputs'!$L$156="N", IF(AND(ISNUMBER('Cost Inputs'!$M$156), OR('Cost Inputs'!$M$156=2,'Cost Inputs'!$M$156=7)), $E675, ""),"")),""),"")</f>
        <v/>
      </c>
      <c r="AB675" s="93" t="str">
        <f>IF(ISNUMBER($B$537), IF($C675&lt;&gt;"", IF('Cost Inputs'!$L$156="Y", $E675, IF('Cost Inputs'!$L$156="N", IF(AND(ISNUMBER('Cost Inputs'!$M$156), OR('Cost Inputs'!$M$156=2,'Cost Inputs'!$M$156=4,'Cost Inputs'!$M$156=8)), $E675, ""),"")),""),"")</f>
        <v/>
      </c>
      <c r="AC675" s="93" t="str">
        <f>IF(ISNUMBER($B$537), IF($C675&lt;&gt;"", IF('Cost Inputs'!$L$156="Y", $E675, IF('Cost Inputs'!$L$156="N", IF(AND(ISNUMBER('Cost Inputs'!$M$156), OR('Cost Inputs'!$M$156=2,'Cost Inputs'!$M$156=3,'Cost Inputs'!$M$156=9)), $E675, ""),"")),""),"")</f>
        <v/>
      </c>
    </row>
    <row r="676" spans="1:30" x14ac:dyDescent="0.25">
      <c r="A676" s="518"/>
      <c r="B676" s="504"/>
      <c r="C676" s="521" t="str">
        <f>IF(AND(B665&lt;&gt;"",ISNUMBER(B665),ISNUMBER(Stage3EvaluationBegins)),IF((INDEX(ProgramYearStage3,MATCH(Stage3EvaluationBegins,Years_in_Stage3,0)))=B665,_5_5_0,IF(AND(B665&lt;&gt;"",C654&lt;&gt;""),_5_5_0,IF(AND(B665&lt;&gt;"",ISNUMBER(B665),OR(Stage3EvaluationBegins=0,Stage3EvaluationBegins="")),"",""))),"")</f>
        <v/>
      </c>
      <c r="D676" s="94" t="str">
        <f>IF(AND(C676&lt;&gt;"", 'Cost Inputs'!$G$157&lt;&gt;""), 'Cost Inputs'!$G$157, "")</f>
        <v/>
      </c>
      <c r="E676" s="94" t="str">
        <f>IF(AND(C676&lt;&gt;"", 'Cost Inputs'!$H$157&lt;&gt;""), 'Cost Inputs'!$H$157, "")</f>
        <v/>
      </c>
      <c r="F676" s="492" t="str">
        <f>IF(AND(C676&lt;&gt;"", 'Cost Inputs'!$I$157&lt;&gt;""), 'Cost Inputs'!$I$157, "")</f>
        <v/>
      </c>
      <c r="G676" s="102" t="str">
        <f t="shared" si="469"/>
        <v/>
      </c>
      <c r="H676" s="492" t="str">
        <f>IF(AND(C676&lt;&gt;"", 'Cost Inputs'!$J$157&lt;&gt;""), 'Cost Inputs'!$J$157, "")</f>
        <v/>
      </c>
      <c r="I676" s="102" t="str">
        <f>IF($C676&lt;&gt;"",IF(AND($E676&lt;&gt;"",H676&lt;&gt;""), H676/$E676, 0),"")</f>
        <v/>
      </c>
      <c r="J676" s="492" t="str">
        <f>IF(AND(C676&lt;&gt;"",('Cost Inputs'!$I$157+'Cost Inputs'!$J$157+'Cost Inputs'!$K$157)&gt;0), 'Cost Inputs'!$I$157+'Cost Inputs'!$J$157+'Cost Inputs'!$K$157, "")</f>
        <v/>
      </c>
      <c r="K676" s="102" t="str">
        <f>IF($C676&lt;&gt;"",IF(AND($E676&lt;&gt;"",J676&lt;&gt;""), J676/$E676, 0),"")</f>
        <v/>
      </c>
      <c r="L676" s="94"/>
      <c r="M676" s="103"/>
      <c r="T676" s="492" t="str">
        <f>IF(ISNUMBER($B$537), IF($C676&lt;&gt;"", IF('Cost Inputs'!$L$157="Y", $E676, IF('Cost Inputs'!$L$157="N", IF(ISNUMBER('Cost Inputs'!$M$157), $E676, ""),"")),""),"")</f>
        <v/>
      </c>
      <c r="U676" s="492" t="str">
        <f>IF(ISNUMBER($B$537), IF($C676&lt;&gt;"", IF('Cost Inputs'!$L$157="Y", $E676, IF('Cost Inputs'!$L$157="N", "", "")),""),"")</f>
        <v/>
      </c>
      <c r="V676" s="492" t="str">
        <f>IF(ISNUMBER($B$537), IF($C676&lt;&gt;"", IF('Cost Inputs'!$L$157="Y", $E676, IF('Cost Inputs'!$L$157="N", IF(AND(ISNUMBER('Cost Inputs'!$M$157), OR('Cost Inputs'!$M$157=2)), $E676, ""),"")),""),"")</f>
        <v/>
      </c>
      <c r="W676" s="492" t="str">
        <f>IF(ISNUMBER($B$537), IF($C676&lt;&gt;"", IF('Cost Inputs'!$L$157="Y", $E676, IF('Cost Inputs'!$L$157="N", IF(AND(ISNUMBER('Cost Inputs'!$M$157), OR('Cost Inputs'!$M$157=3)), $E676, ""),"")),""),"")</f>
        <v/>
      </c>
      <c r="X676" s="492" t="str">
        <f>IF(ISNUMBER($B$537), IF($C676&lt;&gt;"", IF('Cost Inputs'!$L$157="Y", $E676, IF('Cost Inputs'!$L$157="N", IF(AND(ISNUMBER('Cost Inputs'!$M$157), OR('Cost Inputs'!$M$157=2, 'Cost Inputs'!$M$157=4)), $E676, ""),"")),""),"")</f>
        <v/>
      </c>
      <c r="Y676" s="492" t="str">
        <f>IF(ISNUMBER($B$537), IF($C676&lt;&gt;"", IF('Cost Inputs'!$L$157="Y", $E676, IF('Cost Inputs'!$L$157="N", IF(AND(ISNUMBER('Cost Inputs'!$M$157), OR('Cost Inputs'!$M$157=2,'Cost Inputs'!$M$157=5)), $E676, ""),"")),""),"")</f>
        <v/>
      </c>
      <c r="Z676" s="492" t="str">
        <f>IF(ISNUMBER($B$537), IF($C676&lt;&gt;"", IF('Cost Inputs'!$L$157="Y", $E676, IF('Cost Inputs'!$L$157="N", IF(AND(ISNUMBER('Cost Inputs'!$M$157), OR('Cost Inputs'!$M$157=2,'Cost Inputs'!$M$157=3,'Cost Inputs'!$M$157=6)), $E676, ""),"")),""),"")</f>
        <v/>
      </c>
      <c r="AA676" s="492" t="str">
        <f>IF(ISNUMBER($B$537), IF($C676&lt;&gt;"", IF('Cost Inputs'!$L$157="Y", $E676, IF('Cost Inputs'!$L$157="N", IF(AND(ISNUMBER('Cost Inputs'!$M$157), OR('Cost Inputs'!$M$157=2,'Cost Inputs'!$M$157=7)), $E676, ""),"")),""),"")</f>
        <v/>
      </c>
      <c r="AB676" s="492" t="str">
        <f>IF(ISNUMBER($B$537), IF($C676&lt;&gt;"", IF('Cost Inputs'!$L$157="Y", $E676, IF('Cost Inputs'!$L$157="N", IF(AND(ISNUMBER('Cost Inputs'!$M$157), OR('Cost Inputs'!$M$157=2,'Cost Inputs'!$M$157=4,'Cost Inputs'!$M$157=8)), $E676, ""),"")),""),"")</f>
        <v/>
      </c>
      <c r="AC676" s="492" t="str">
        <f>IF(ISNUMBER($B$537), IF($C676&lt;&gt;"", IF('Cost Inputs'!$L$157="Y", $E676, IF('Cost Inputs'!$L$157="N", IF(AND(ISNUMBER('Cost Inputs'!$M$157), OR('Cost Inputs'!$M$157=2,'Cost Inputs'!$M$157=3,'Cost Inputs'!$M$157=9)), $E676, ""),"")),""),"")</f>
        <v/>
      </c>
    </row>
    <row r="677" spans="1:30" x14ac:dyDescent="0.25">
      <c r="A677" s="518"/>
      <c r="B677" s="504"/>
      <c r="C677" s="521"/>
      <c r="D677" s="94" t="str">
        <f>IF(AND(C676&lt;&gt;"", 'Cost Inputs'!$G$158&lt;&gt;""), 'Cost Inputs'!$G$158, "")</f>
        <v/>
      </c>
      <c r="E677" s="94" t="str">
        <f>IF(AND(C676&lt;&gt;"", 'Cost Inputs'!$H$158&lt;&gt;""), 'Cost Inputs'!$H$158, "")</f>
        <v/>
      </c>
      <c r="F677" s="492"/>
      <c r="G677" s="102" t="str">
        <f t="shared" si="469"/>
        <v/>
      </c>
      <c r="H677" s="492"/>
      <c r="I677" s="102" t="str">
        <f>IF($C676&lt;&gt;"", IF(AND($E677&lt;&gt;"", H676&lt;&gt;""), H676/($E676*$E677), 0), "")</f>
        <v/>
      </c>
      <c r="J677" s="492" t="str">
        <f>IF(AND(C677&lt;&gt;"",('Cost Inputs'!$I$86+'Cost Inputs'!$J$86+'Cost Inputs'!$K$86)&gt;0), 'Cost Inputs'!$I$86+'Cost Inputs'!$J$86+'Cost Inputs'!$K$86, "")</f>
        <v/>
      </c>
      <c r="K677" s="102" t="str">
        <f>IF($C676&lt;&gt;"", IF(AND($E677&lt;&gt;"", J676&lt;&gt;""), J676/($E676*$E677), 0), "")</f>
        <v/>
      </c>
      <c r="L677" s="94"/>
      <c r="M677" s="103"/>
      <c r="T677" s="492" t="str">
        <f>IF(ISNUMBER($B$537), IF($C677&lt;&gt;"", IF('Cost Inputs'!$L268="Y", $E677, IF('Cost Inputs'!$L268="N", IF(ISNUMBER('Cost Inputs'!$M268), $E677, ""),"")),""),"")</f>
        <v/>
      </c>
      <c r="U677" s="492" t="str">
        <f>IF(ISNUMBER($B$537), IF($C677&lt;&gt;"", IF('Cost Inputs'!$L268="Y", $E677, IF('Cost Inputs'!$L268="N", "", "")),""),"")</f>
        <v/>
      </c>
      <c r="V677" s="492" t="str">
        <f>IF(ISNUMBER($B$537), IF($C677&lt;&gt;"", IF('Cost Inputs'!$L268="Y", $E677, IF('Cost Inputs'!$L268="N", IF(AND(ISNUMBER('Cost Inputs'!$M268), OR('Cost Inputs'!$M268=2)), $E677, ""),"")),""),"")</f>
        <v/>
      </c>
      <c r="W677" s="492" t="str">
        <f>IF(ISNUMBER($B$537), IF($C677&lt;&gt;"", IF('Cost Inputs'!$L268="Y", $E677, IF('Cost Inputs'!$L268="N", IF(AND(ISNUMBER('Cost Inputs'!$M268), OR('Cost Inputs'!$M268=3)), $E677, ""),"")),""),"")</f>
        <v/>
      </c>
      <c r="X677" s="492" t="str">
        <f>IF(ISNUMBER($B$537), IF($C677&lt;&gt;"", IF('Cost Inputs'!$L268="Y", $E677, IF('Cost Inputs'!$L268="N", IF(AND(ISNUMBER('Cost Inputs'!$M268), OR('Cost Inputs'!$M268=2, 'Cost Inputs'!$M268=4)), $E677, ""),"")),""),"")</f>
        <v/>
      </c>
      <c r="Y677" s="492" t="str">
        <f>IF(ISNUMBER($B$537), IF($C677&lt;&gt;"", IF('Cost Inputs'!$L268="Y", $E677, IF('Cost Inputs'!$L268="N", IF(AND(ISNUMBER('Cost Inputs'!$M268), OR('Cost Inputs'!$M268=2,'Cost Inputs'!$M268=5)), $E677, ""),"")),""),"")</f>
        <v/>
      </c>
      <c r="Z677" s="492" t="str">
        <f>IF(ISNUMBER($B$537), IF($C677&lt;&gt;"", IF('Cost Inputs'!$L268="Y", $E677, IF('Cost Inputs'!$L268="N", IF(AND(ISNUMBER('Cost Inputs'!$M268), OR('Cost Inputs'!$M268=2,'Cost Inputs'!$M268=3,'Cost Inputs'!$M268=6)), $E677, ""),"")),""),"")</f>
        <v/>
      </c>
      <c r="AA677" s="492" t="str">
        <f>IF(ISNUMBER($B$537), IF($C677&lt;&gt;"", IF('Cost Inputs'!$L268="Y", $E677, IF('Cost Inputs'!$L268="N", IF(AND(ISNUMBER('Cost Inputs'!$M268), OR('Cost Inputs'!$M268=2,'Cost Inputs'!$M268=7)), $E677, ""),"")),""),"")</f>
        <v/>
      </c>
      <c r="AB677" s="492" t="str">
        <f>IF(ISNUMBER($B$537), IF($C677&lt;&gt;"", IF('Cost Inputs'!$L268="Y", $E677, IF('Cost Inputs'!$L268="N", IF(AND(ISNUMBER('Cost Inputs'!$M268), OR('Cost Inputs'!$M268=2,'Cost Inputs'!$M268=4,'Cost Inputs'!$M268=8)), $E677, ""),"")),""),"")</f>
        <v/>
      </c>
      <c r="AC677" s="492" t="str">
        <f>IF(ISNUMBER($B$537), IF($C677&lt;&gt;"", IF('Cost Inputs'!$L268="Y", $E677, IF('Cost Inputs'!$L268="N", IF(AND(ISNUMBER('Cost Inputs'!$M268), OR('Cost Inputs'!$M268=2,'Cost Inputs'!$M268=3,'Cost Inputs'!$M268=9)), $E677, ""),"")),""),"")</f>
        <v/>
      </c>
    </row>
    <row r="678" spans="1:30" x14ac:dyDescent="0.25">
      <c r="A678" s="518"/>
      <c r="B678" s="504"/>
      <c r="C678" s="376" t="str">
        <f>IF(AND(ISNUMBER(B665), C676&lt;&gt;"", OR('Cost Inputs'!$H$159&lt;&gt;"", 'Cost Inputs'!$I$159&lt;&gt;"", 'Cost Inputs'!$J$159&lt;&gt;"")), _5_5_1, "")</f>
        <v/>
      </c>
      <c r="D678" s="17" t="str">
        <f>IF(AND(C678&lt;&gt;"", 'Cost Inputs'!$G$159&lt;&gt;""), 'Cost Inputs'!$G$159, "")</f>
        <v/>
      </c>
      <c r="E678" s="17" t="str">
        <f>IF(AND(C678&lt;&gt;"", 'Cost Inputs'!$H$159&lt;&gt;""), 'Cost Inputs'!$H$159, "")</f>
        <v/>
      </c>
      <c r="F678" s="493" t="str">
        <f>IF(AND(C678&lt;&gt;"", 'Cost Inputs'!$I$159&lt;&gt;""), 'Cost Inputs'!$I$159, "")</f>
        <v/>
      </c>
      <c r="G678" s="105" t="str">
        <f t="shared" si="469"/>
        <v/>
      </c>
      <c r="H678" s="493" t="str">
        <f>IF(AND(C678&lt;&gt;"", 'Cost Inputs'!$J$159&lt;&gt;""), 'Cost Inputs'!$J$159, "")</f>
        <v/>
      </c>
      <c r="I678" s="105" t="str">
        <f>IF($C678&lt;&gt;"",IF(AND($E678&lt;&gt;"",H678&lt;&gt;""), H678/$E678, 0),"")</f>
        <v/>
      </c>
      <c r="J678" s="493" t="str">
        <f>IF(AND(C678&lt;&gt;"",('Cost Inputs'!$I$159+'Cost Inputs'!$J$159+'Cost Inputs'!$K$159)&gt;0), 'Cost Inputs'!$I$159+'Cost Inputs'!$J$159+'Cost Inputs'!$K$159, "")</f>
        <v/>
      </c>
      <c r="K678" s="105" t="str">
        <f>IF($C678&lt;&gt;"",IF(AND($E678&lt;&gt;"",J678&lt;&gt;""), J678/$E678, 0),"")</f>
        <v/>
      </c>
      <c r="M678" s="106"/>
      <c r="T678" s="493" t="str">
        <f>IF(ISNUMBER($B$537), IF($C678&lt;&gt;"", IF('Cost Inputs'!$L$159="Y", $E678, IF('Cost Inputs'!$L$159="N", IF(ISNUMBER('Cost Inputs'!$M$159), $E678, ""),"")),""),"")</f>
        <v/>
      </c>
      <c r="U678" s="493" t="str">
        <f>IF(ISNUMBER($B$537), IF($C678&lt;&gt;"", IF('Cost Inputs'!$L$159="Y", $E678, IF('Cost Inputs'!$L$159="N", "", "")),""),"")</f>
        <v/>
      </c>
      <c r="V678" s="493" t="str">
        <f>IF(ISNUMBER($B$537), IF($C678&lt;&gt;"", IF('Cost Inputs'!$L$159="Y", $E678, IF('Cost Inputs'!$L$159="N", IF(AND(ISNUMBER('Cost Inputs'!$M$159), OR('Cost Inputs'!$M$159=2)), $E678, ""),"")),""),"")</f>
        <v/>
      </c>
      <c r="W678" s="493" t="str">
        <f>IF(ISNUMBER($B$537), IF($C678&lt;&gt;"", IF('Cost Inputs'!$L$159="Y", $E678, IF('Cost Inputs'!$L$159="N", IF(AND(ISNUMBER('Cost Inputs'!$M$159), OR('Cost Inputs'!$M$159=3)), $E678, ""),"")),""),"")</f>
        <v/>
      </c>
      <c r="X678" s="493" t="str">
        <f>IF(ISNUMBER($B$537), IF($C678&lt;&gt;"", IF('Cost Inputs'!$L$159="Y", $E678, IF('Cost Inputs'!$L$159="N", IF(AND(ISNUMBER('Cost Inputs'!$M$159), OR('Cost Inputs'!$M$159=2, 'Cost Inputs'!$M$159=4)), $E678, ""),"")),""),"")</f>
        <v/>
      </c>
      <c r="Y678" s="493" t="str">
        <f>IF(ISNUMBER($B$537), IF($C678&lt;&gt;"", IF('Cost Inputs'!$L$159="Y", $E678, IF('Cost Inputs'!$L$159="N", IF(AND(ISNUMBER('Cost Inputs'!$M$159), OR('Cost Inputs'!$M$159=2,'Cost Inputs'!$M$159=5)), $E678, ""),"")),""),"")</f>
        <v/>
      </c>
      <c r="Z678" s="493" t="str">
        <f>IF(ISNUMBER($B$537), IF($C678&lt;&gt;"", IF('Cost Inputs'!$L$159="Y", $E678, IF('Cost Inputs'!$L$159="N", IF(AND(ISNUMBER('Cost Inputs'!$M$159), OR('Cost Inputs'!$M$159=2,'Cost Inputs'!$M$159=3,'Cost Inputs'!$M$159=6)), $E678, ""),"")),""),"")</f>
        <v/>
      </c>
      <c r="AA678" s="493" t="str">
        <f>IF(ISNUMBER($B$537), IF($C678&lt;&gt;"", IF('Cost Inputs'!$L$159="Y", $E678, IF('Cost Inputs'!$L$159="N", IF(AND(ISNUMBER('Cost Inputs'!$M$159), OR('Cost Inputs'!$M$159=2,'Cost Inputs'!$M$159=7)), $E678, ""),"")),""),"")</f>
        <v/>
      </c>
      <c r="AB678" s="493" t="str">
        <f>IF(ISNUMBER($B$537), IF($C678&lt;&gt;"", IF('Cost Inputs'!$L$159="Y", $E678, IF('Cost Inputs'!$L$159="N", IF(AND(ISNUMBER('Cost Inputs'!$M$159), OR('Cost Inputs'!$M$159=2,'Cost Inputs'!$M$159=4,'Cost Inputs'!$M$159=8)), $E678, ""),"")),""),"")</f>
        <v/>
      </c>
      <c r="AC678" s="493" t="str">
        <f>IF(ISNUMBER($B$537), IF($C678&lt;&gt;"", IF('Cost Inputs'!$L$159="Y", $E678, IF('Cost Inputs'!$L$159="N", IF(AND(ISNUMBER('Cost Inputs'!$M$159), OR('Cost Inputs'!$M$159=2,'Cost Inputs'!$M$159=3,'Cost Inputs'!$M$159=9)), $E678, ""),"")),""),"")</f>
        <v/>
      </c>
    </row>
    <row r="679" spans="1:30" x14ac:dyDescent="0.25">
      <c r="A679" s="518"/>
      <c r="B679" s="504"/>
      <c r="C679" s="376" t="str">
        <f>IF(AND(ISNUMBER(B661), OR('Cost Inputs'!$H$85&lt;&gt;"", 'Cost Inputs'!$I$85&lt;&gt;"", 'Cost Inputs'!$J$85&lt;&gt;"")), _3_5_1, "")</f>
        <v/>
      </c>
      <c r="D679" s="17" t="str">
        <f>IF(AND(C678&lt;&gt;"", 'Cost Inputs'!$G$160&lt;&gt;""), 'Cost Inputs'!$G$160, "")</f>
        <v/>
      </c>
      <c r="E679" s="17" t="str">
        <f>IF(AND(C678&lt;&gt;"", 'Cost Inputs'!$H$160&lt;&gt;""), 'Cost Inputs'!$H$160, "")</f>
        <v/>
      </c>
      <c r="F679" s="493"/>
      <c r="G679" s="105" t="str">
        <f t="shared" si="469"/>
        <v/>
      </c>
      <c r="H679" s="493"/>
      <c r="I679" s="105" t="str">
        <f>IF($C678&lt;&gt;"", IF(AND($E679&lt;&gt;"", H678&lt;&gt;""), H678/($E678*$E679), 0), "")</f>
        <v/>
      </c>
      <c r="J679" s="493" t="str">
        <f>IF(AND(C679&lt;&gt;"",('Cost Inputs'!$I$86+'Cost Inputs'!$J$86+'Cost Inputs'!$K$86)&gt;0), 'Cost Inputs'!$I$86+'Cost Inputs'!$J$86+'Cost Inputs'!$K$86, "")</f>
        <v/>
      </c>
      <c r="K679" s="105" t="str">
        <f>IF($C678&lt;&gt;"", IF(AND($E679&lt;&gt;"", J678&lt;&gt;""), J678/($E678*$E679), 0), "")</f>
        <v/>
      </c>
      <c r="M679" s="106"/>
      <c r="T679" s="493" t="str">
        <f>IF(ISNUMBER($B$537), IF($C679&lt;&gt;"", IF('Cost Inputs'!$L270="Y", $E679, IF('Cost Inputs'!$L270="N", IF(ISNUMBER('Cost Inputs'!$M270), $E679, ""),"")),""),"")</f>
        <v/>
      </c>
      <c r="U679" s="493" t="str">
        <f>IF(ISNUMBER($B$537), IF($C679&lt;&gt;"", IF('Cost Inputs'!$L270="Y", $E679, IF('Cost Inputs'!$L270="N", "", "")),""),"")</f>
        <v/>
      </c>
      <c r="V679" s="493" t="str">
        <f>IF(ISNUMBER($B$537), IF($C679&lt;&gt;"", IF('Cost Inputs'!$L270="Y", $E679, IF('Cost Inputs'!$L270="N", IF(AND(ISNUMBER('Cost Inputs'!$M270), OR('Cost Inputs'!$M270=2)), $E679, ""),"")),""),"")</f>
        <v/>
      </c>
      <c r="W679" s="493" t="str">
        <f>IF(ISNUMBER($B$537), IF($C679&lt;&gt;"", IF('Cost Inputs'!$L270="Y", $E679, IF('Cost Inputs'!$L270="N", IF(AND(ISNUMBER('Cost Inputs'!$M270), OR('Cost Inputs'!$M270=3)), $E679, ""),"")),""),"")</f>
        <v/>
      </c>
      <c r="X679" s="493" t="str">
        <f>IF(ISNUMBER($B$537), IF($C679&lt;&gt;"", IF('Cost Inputs'!$L270="Y", $E679, IF('Cost Inputs'!$L270="N", IF(AND(ISNUMBER('Cost Inputs'!$M270), OR('Cost Inputs'!$M270=2, 'Cost Inputs'!$M270=4)), $E679, ""),"")),""),"")</f>
        <v/>
      </c>
      <c r="Y679" s="493" t="str">
        <f>IF(ISNUMBER($B$537), IF($C679&lt;&gt;"", IF('Cost Inputs'!$L270="Y", $E679, IF('Cost Inputs'!$L270="N", IF(AND(ISNUMBER('Cost Inputs'!$M270), OR('Cost Inputs'!$M270=2,'Cost Inputs'!$M270=5)), $E679, ""),"")),""),"")</f>
        <v/>
      </c>
      <c r="Z679" s="493" t="str">
        <f>IF(ISNUMBER($B$537), IF($C679&lt;&gt;"", IF('Cost Inputs'!$L270="Y", $E679, IF('Cost Inputs'!$L270="N", IF(AND(ISNUMBER('Cost Inputs'!$M270), OR('Cost Inputs'!$M270=2,'Cost Inputs'!$M270=3,'Cost Inputs'!$M270=6)), $E679, ""),"")),""),"")</f>
        <v/>
      </c>
      <c r="AA679" s="493" t="str">
        <f>IF(ISNUMBER($B$537), IF($C679&lt;&gt;"", IF('Cost Inputs'!$L270="Y", $E679, IF('Cost Inputs'!$L270="N", IF(AND(ISNUMBER('Cost Inputs'!$M270), OR('Cost Inputs'!$M270=2,'Cost Inputs'!$M270=7)), $E679, ""),"")),""),"")</f>
        <v/>
      </c>
      <c r="AB679" s="493" t="str">
        <f>IF(ISNUMBER($B$537), IF($C679&lt;&gt;"", IF('Cost Inputs'!$L270="Y", $E679, IF('Cost Inputs'!$L270="N", IF(AND(ISNUMBER('Cost Inputs'!$M270), OR('Cost Inputs'!$M270=2,'Cost Inputs'!$M270=4,'Cost Inputs'!$M270=8)), $E679, ""),"")),""),"")</f>
        <v/>
      </c>
      <c r="AC679" s="493" t="str">
        <f>IF(ISNUMBER($B$537), IF($C679&lt;&gt;"", IF('Cost Inputs'!$L270="Y", $E679, IF('Cost Inputs'!$L270="N", IF(AND(ISNUMBER('Cost Inputs'!$M270), OR('Cost Inputs'!$M270=2,'Cost Inputs'!$M270=3,'Cost Inputs'!$M270=9)), $E679, ""),"")),""),"")</f>
        <v/>
      </c>
    </row>
    <row r="680" spans="1:30" x14ac:dyDescent="0.25">
      <c r="A680" s="518"/>
      <c r="B680" s="504"/>
      <c r="C680" s="107" t="str">
        <f>IF(AND(ISNUMBER(B665), C676&lt;&gt;"", OR('Cost Inputs'!$H$161&lt;&gt;"", 'Cost Inputs'!$I$161&lt;&gt;"", 'Cost Inputs'!$J$161&lt;&gt;"")), _5_5_2, "")</f>
        <v/>
      </c>
      <c r="D680" s="93" t="str">
        <f>IF(AND(C680&lt;&gt;"", 'Cost Inputs'!$G$161&lt;&gt;""), 'Cost Inputs'!$G$161, "")</f>
        <v/>
      </c>
      <c r="E680" s="93" t="str">
        <f>IF(AND(C680&lt;&gt;"", 'Cost Inputs'!$H$161&lt;&gt;""), 'Cost Inputs'!$H$161, "")</f>
        <v/>
      </c>
      <c r="F680" s="93" t="str">
        <f>IF(AND(C680&lt;&gt;"", 'Cost Inputs'!$I$161&lt;&gt;""), 'Cost Inputs'!$I$161, "")</f>
        <v/>
      </c>
      <c r="G680" s="108" t="str">
        <f t="shared" si="469"/>
        <v/>
      </c>
      <c r="H680" s="93" t="str">
        <f>IF(AND(C680&lt;&gt;"", 'Cost Inputs'!$J$161&lt;&gt;""), 'Cost Inputs'!$J$161, "")</f>
        <v/>
      </c>
      <c r="I680" s="93" t="str">
        <f>IF($C680&lt;&gt;"", IF(AND($E680&lt;&gt;"", H680&lt;&gt;""), H680/$E680, 0),"")</f>
        <v/>
      </c>
      <c r="J680" s="93" t="str">
        <f>IF(AND(C680&lt;&gt;"",('Cost Inputs'!$I$161+'Cost Inputs'!$J$161+'Cost Inputs'!$K$161)&gt;0), 'Cost Inputs'!$I$161+'Cost Inputs'!$J$161+'Cost Inputs'!$K$161, "")</f>
        <v/>
      </c>
      <c r="K680" s="93" t="str">
        <f>IF($C680&lt;&gt;"", IF(AND($E680&lt;&gt;"", J680&lt;&gt;""), J680/$E680, 0),"")</f>
        <v/>
      </c>
      <c r="L680" s="93"/>
      <c r="M680" s="109"/>
      <c r="T680" s="93" t="str">
        <f>IF(ISNUMBER($B$537), IF($C680&lt;&gt;"", IF('Cost Inputs'!$L$161="Y", $E680, IF('Cost Inputs'!$L$161="N", IF(ISNUMBER('Cost Inputs'!$M$161), $E680, ""),"")),""),"")</f>
        <v/>
      </c>
      <c r="U680" s="93" t="str">
        <f>IF(ISNUMBER($B$537), IF($C680&lt;&gt;"", IF('Cost Inputs'!$L$161="Y", $E680, IF('Cost Inputs'!$L$161="N", "", "")),""),"")</f>
        <v/>
      </c>
      <c r="V680" s="93" t="str">
        <f>IF(ISNUMBER($B$537), IF($C680&lt;&gt;"", IF('Cost Inputs'!$L$161="Y", $E680, IF('Cost Inputs'!$L$161="N", IF(AND(ISNUMBER('Cost Inputs'!$M$161), OR('Cost Inputs'!$M$161=2)), $E680, ""),"")),""),"")</f>
        <v/>
      </c>
      <c r="W680" s="93" t="str">
        <f>IF(ISNUMBER($B$537), IF($C680&lt;&gt;"", IF('Cost Inputs'!$L$161="Y", $E680, IF('Cost Inputs'!$L$161="N", IF(AND(ISNUMBER('Cost Inputs'!$M$161), OR('Cost Inputs'!$M$161=3)), $E680, ""),"")),""),"")</f>
        <v/>
      </c>
      <c r="X680" s="93" t="str">
        <f>IF(ISNUMBER($B$537), IF($C680&lt;&gt;"", IF('Cost Inputs'!$L$161="Y", $E680, IF('Cost Inputs'!$L$161="N", IF(AND(ISNUMBER('Cost Inputs'!$M$161), OR('Cost Inputs'!$M$161=2, 'Cost Inputs'!$M$161=4)), $E680, ""),"")),""),"")</f>
        <v/>
      </c>
      <c r="Y680" s="93" t="str">
        <f>IF(ISNUMBER($B$537), IF($C680&lt;&gt;"", IF('Cost Inputs'!$L$161="Y", $E680, IF('Cost Inputs'!$L$161="N", IF(AND(ISNUMBER('Cost Inputs'!$M$161), OR('Cost Inputs'!$M$161=2,'Cost Inputs'!$M$161=5)), $E680, ""),"")),""),"")</f>
        <v/>
      </c>
      <c r="Z680" s="93" t="str">
        <f>IF(ISNUMBER($B$537), IF($C680&lt;&gt;"", IF('Cost Inputs'!$L$161="Y", $E680, IF('Cost Inputs'!$L$161="N", IF(AND(ISNUMBER('Cost Inputs'!$M$161), OR('Cost Inputs'!$M$161=2,'Cost Inputs'!$M$161=3,'Cost Inputs'!$M$161=6)), $E680, ""),"")),""),"")</f>
        <v/>
      </c>
      <c r="AA680" s="93" t="str">
        <f>IF(ISNUMBER($B$537), IF($C680&lt;&gt;"", IF('Cost Inputs'!$L$161="Y", $E680, IF('Cost Inputs'!$L$161="N", IF(AND(ISNUMBER('Cost Inputs'!$M$161), OR('Cost Inputs'!$M$161=2,'Cost Inputs'!$M$161=7)), $E680, ""),"")),""),"")</f>
        <v/>
      </c>
      <c r="AB680" s="93" t="str">
        <f>IF(ISNUMBER($B$537), IF($C680&lt;&gt;"", IF('Cost Inputs'!$L$161="Y", $E680, IF('Cost Inputs'!$L$161="N", IF(AND(ISNUMBER('Cost Inputs'!$M$161), OR('Cost Inputs'!$M$161=2,'Cost Inputs'!$M$161=4,'Cost Inputs'!$M$161=8)), $E680, ""),"")),""),"")</f>
        <v/>
      </c>
      <c r="AC680" s="93" t="str">
        <f>IF(ISNUMBER($B$537), IF($C680&lt;&gt;"", IF('Cost Inputs'!$L$161="Y", $E680, IF('Cost Inputs'!$L$161="N", IF(AND(ISNUMBER('Cost Inputs'!$M$161), OR('Cost Inputs'!$M$161=2,'Cost Inputs'!$M$161=3,'Cost Inputs'!$M$161=9)), $E680, ""),"")),""),"")</f>
        <v/>
      </c>
    </row>
    <row r="681" spans="1:30" x14ac:dyDescent="0.25">
      <c r="A681" s="518"/>
      <c r="B681" s="504"/>
      <c r="C681" s="104" t="str">
        <f>IF(AND(ISNUMBER(B665), C676&lt;&gt;"", OR('Cost Inputs'!$H$162&lt;&gt;"", 'Cost Inputs'!$I$162&lt;&gt;"", 'Cost Inputs'!$J$162&lt;&gt;"")), _5_5_3, "")</f>
        <v/>
      </c>
      <c r="D681" s="17" t="str">
        <f>IF(AND(C681&lt;&gt;"", 'Cost Inputs'!$G$162&lt;&gt;""), 'Cost Inputs'!$G$162, "")</f>
        <v/>
      </c>
      <c r="E681" s="17" t="str">
        <f>IF(AND(C681&lt;&gt;"", 'Cost Inputs'!$H$162&lt;&gt;""), 'Cost Inputs'!$H$162, "")</f>
        <v/>
      </c>
      <c r="F681" s="17" t="str">
        <f>IF(AND(C681&lt;&gt;"", 'Cost Inputs'!$I$162&lt;&gt;""), 'Cost Inputs'!$I$162, "")</f>
        <v/>
      </c>
      <c r="G681" s="105" t="str">
        <f t="shared" si="469"/>
        <v/>
      </c>
      <c r="H681" s="17" t="str">
        <f>IF(AND(C681&lt;&gt;"", 'Cost Inputs'!$J$162&lt;&gt;""), 'Cost Inputs'!$J$162, "")</f>
        <v/>
      </c>
      <c r="I681" s="17" t="str">
        <f>IF($C681&lt;&gt;"", IF(AND($E681&lt;&gt;"", H681&lt;&gt;""), H681/$E681, 0),"")</f>
        <v/>
      </c>
      <c r="J681" s="17" t="str">
        <f>IF(AND(C681&lt;&gt;"",('Cost Inputs'!$I$162+'Cost Inputs'!$J$162+'Cost Inputs'!$K$162)&gt;0), 'Cost Inputs'!$I$162+'Cost Inputs'!$J$162+'Cost Inputs'!$K$162, "")</f>
        <v/>
      </c>
      <c r="K681" s="17" t="str">
        <f>IF($C681&lt;&gt;"", IF(AND($E681&lt;&gt;"", J681&lt;&gt;""), J681/$E681, 0),"")</f>
        <v/>
      </c>
      <c r="M681" s="106"/>
      <c r="T681" s="17" t="str">
        <f>IF(ISNUMBER($B$537), IF($C681&lt;&gt;"", IF('Cost Inputs'!$L$162="Y", $E681, IF('Cost Inputs'!$L$162="N", IF(ISNUMBER('Cost Inputs'!$M$162), $E681, ""),"")),""),"")</f>
        <v/>
      </c>
      <c r="U681" s="17" t="str">
        <f>IF(ISNUMBER($B$537), IF($C681&lt;&gt;"", IF('Cost Inputs'!$L$162="Y", $E681, IF('Cost Inputs'!$L$162="N", "", "")),""),"")</f>
        <v/>
      </c>
      <c r="V681" s="17" t="str">
        <f>IF(ISNUMBER($B$537), IF($C681&lt;&gt;"", IF('Cost Inputs'!$L$162="Y", $E681, IF('Cost Inputs'!$L$162="N", IF(AND(ISNUMBER('Cost Inputs'!$M$162), OR('Cost Inputs'!$M$162=2)), $E681, ""),"")),""),"")</f>
        <v/>
      </c>
      <c r="W681" s="17" t="str">
        <f>IF(ISNUMBER($B$537), IF($C681&lt;&gt;"", IF('Cost Inputs'!$L$162="Y", $E681, IF('Cost Inputs'!$L$162="N", IF(AND(ISNUMBER('Cost Inputs'!$M$162), OR('Cost Inputs'!$M$162=3)), $E681, ""),"")),""),"")</f>
        <v/>
      </c>
      <c r="X681" s="17" t="str">
        <f>IF(ISNUMBER($B$537), IF($C681&lt;&gt;"", IF('Cost Inputs'!$L$162="Y", $E681, IF('Cost Inputs'!$L$162="N", IF(AND(ISNUMBER('Cost Inputs'!$M$162), OR('Cost Inputs'!$M$162=2, 'Cost Inputs'!$M$162=4)), $E681, ""),"")),""),"")</f>
        <v/>
      </c>
      <c r="Y681" s="17" t="str">
        <f>IF(ISNUMBER($B$537), IF($C681&lt;&gt;"", IF('Cost Inputs'!$L$162="Y", $E681, IF('Cost Inputs'!$L$162="N", IF(AND(ISNUMBER('Cost Inputs'!$M$162), OR('Cost Inputs'!$M$162=2,'Cost Inputs'!$M$162=5)), $E681, ""),"")),""),"")</f>
        <v/>
      </c>
      <c r="Z681" s="17" t="str">
        <f>IF(ISNUMBER($B$537), IF($C681&lt;&gt;"", IF('Cost Inputs'!$L$162="Y", $E681, IF('Cost Inputs'!$L$162="N", IF(AND(ISNUMBER('Cost Inputs'!$M$162), OR('Cost Inputs'!$M$162=2,'Cost Inputs'!$M$162=3,'Cost Inputs'!$M$162=6)), $E681, ""),"")),""),"")</f>
        <v/>
      </c>
      <c r="AA681" s="17" t="str">
        <f>IF(ISNUMBER($B$537), IF($C681&lt;&gt;"", IF('Cost Inputs'!$L$162="Y", $E681, IF('Cost Inputs'!$L$162="N", IF(AND(ISNUMBER('Cost Inputs'!$M$162), OR('Cost Inputs'!$M$162=2,'Cost Inputs'!$M$162=7)), $E681, ""),"")),""),"")</f>
        <v/>
      </c>
      <c r="AB681" s="17" t="str">
        <f>IF(ISNUMBER($B$537), IF($C681&lt;&gt;"", IF('Cost Inputs'!$L$162="Y", $E681, IF('Cost Inputs'!$L$162="N", IF(AND(ISNUMBER('Cost Inputs'!$M$162), OR('Cost Inputs'!$M$162=2,'Cost Inputs'!$M$162=4,'Cost Inputs'!$M$162=8)), $E681, ""),"")),""),"")</f>
        <v/>
      </c>
      <c r="AC681" s="17" t="str">
        <f>IF(ISNUMBER($B$537), IF($C681&lt;&gt;"", IF('Cost Inputs'!$L$162="Y", $E681, IF('Cost Inputs'!$L$162="N", IF(AND(ISNUMBER('Cost Inputs'!$M$162), OR('Cost Inputs'!$M$162=2,'Cost Inputs'!$M$162=3,'Cost Inputs'!$M$162=9)), $E681, ""),"")),""),"")</f>
        <v/>
      </c>
    </row>
    <row r="682" spans="1:30" x14ac:dyDescent="0.25">
      <c r="A682" s="518"/>
      <c r="B682" s="504"/>
      <c r="C682" s="107" t="str">
        <f>IF(AND(ISNUMBER(B665), C676&lt;&gt;"", OR('Cost Inputs'!$H$163&lt;&gt;"", 'Cost Inputs'!$I$163&lt;&gt;"", 'Cost Inputs'!$J$163&lt;&gt;"")), _5_5_4, "")</f>
        <v/>
      </c>
      <c r="D682" s="93" t="str">
        <f>IF(AND(C682&lt;&gt;"", 'Cost Inputs'!$G$163&lt;&gt;""), 'Cost Inputs'!$G$163, "")</f>
        <v/>
      </c>
      <c r="E682" s="93" t="str">
        <f>IF(AND(C682&lt;&gt;"", 'Cost Inputs'!$H$163&lt;&gt;""), 'Cost Inputs'!$H$163, "")</f>
        <v/>
      </c>
      <c r="F682" s="93" t="str">
        <f>IF(AND(C682&lt;&gt;"", 'Cost Inputs'!$I$163&lt;&gt;""), 'Cost Inputs'!$I$163, "")</f>
        <v/>
      </c>
      <c r="G682" s="108" t="str">
        <f t="shared" si="469"/>
        <v/>
      </c>
      <c r="H682" s="93" t="str">
        <f>IF(AND(C682&lt;&gt;"", 'Cost Inputs'!$J$163&lt;&gt;""), 'Cost Inputs'!$J$163, "")</f>
        <v/>
      </c>
      <c r="I682" s="93" t="str">
        <f>IF($C682&lt;&gt;"", IF(AND($E682&lt;&gt;"", H682&lt;&gt;""), H682/$E682, 0),"")</f>
        <v/>
      </c>
      <c r="J682" s="93" t="str">
        <f>IF(AND(C682&lt;&gt;"",('Cost Inputs'!$I$163+'Cost Inputs'!$J$163+'Cost Inputs'!$K$163)&gt;0), 'Cost Inputs'!$I$163+'Cost Inputs'!$J$163+'Cost Inputs'!$K$163, "")</f>
        <v/>
      </c>
      <c r="K682" s="93" t="str">
        <f>IF($C682&lt;&gt;"", IF(AND($E682&lt;&gt;"", J682&lt;&gt;""), J682/$E682, 0),"")</f>
        <v/>
      </c>
      <c r="L682" s="93"/>
      <c r="M682" s="109"/>
      <c r="T682" s="93" t="str">
        <f>IF(ISNUMBER($B$537), IF($C682&lt;&gt;"", IF('Cost Inputs'!$L$163="Y", $E682, IF('Cost Inputs'!$L$163="N", IF(ISNUMBER('Cost Inputs'!$M$163), $E682, ""),"")),""),"")</f>
        <v/>
      </c>
      <c r="U682" s="93" t="str">
        <f>IF(ISNUMBER($B$537), IF($C682&lt;&gt;"", IF('Cost Inputs'!$L$163="Y", $E682, IF('Cost Inputs'!$L$163="N", "", "")),""),"")</f>
        <v/>
      </c>
      <c r="V682" s="93" t="str">
        <f>IF(ISNUMBER($B$537), IF($C682&lt;&gt;"", IF('Cost Inputs'!$L$163="Y", $E682, IF('Cost Inputs'!$L$163="N", IF(AND(ISNUMBER('Cost Inputs'!$M$163), OR('Cost Inputs'!$M$163=2)), $E682, ""),"")),""),"")</f>
        <v/>
      </c>
      <c r="W682" s="93" t="str">
        <f>IF(ISNUMBER($B$537), IF($C682&lt;&gt;"", IF('Cost Inputs'!$L$163="Y", $E682, IF('Cost Inputs'!$L$163="N", IF(AND(ISNUMBER('Cost Inputs'!$M$163), OR('Cost Inputs'!$M$163=3)), $E682, ""),"")),""),"")</f>
        <v/>
      </c>
      <c r="X682" s="93" t="str">
        <f>IF(ISNUMBER($B$537), IF($C682&lt;&gt;"", IF('Cost Inputs'!$L$163="Y", $E682, IF('Cost Inputs'!$L$163="N", IF(AND(ISNUMBER('Cost Inputs'!$M$163), OR('Cost Inputs'!$M$163=2, 'Cost Inputs'!$M$163=4)), $E682, ""),"")),""),"")</f>
        <v/>
      </c>
      <c r="Y682" s="93" t="str">
        <f>IF(ISNUMBER($B$537), IF($C682&lt;&gt;"", IF('Cost Inputs'!$L$163="Y", $E682, IF('Cost Inputs'!$L$163="N", IF(AND(ISNUMBER('Cost Inputs'!$M$163), OR('Cost Inputs'!$M$163=2,'Cost Inputs'!$M$163=5)), $E682, ""),"")),""),"")</f>
        <v/>
      </c>
      <c r="Z682" s="93" t="str">
        <f>IF(ISNUMBER($B$537), IF($C682&lt;&gt;"", IF('Cost Inputs'!$L$163="Y", $E682, IF('Cost Inputs'!$L$163="N", IF(AND(ISNUMBER('Cost Inputs'!$M$163), OR('Cost Inputs'!$M$163=2,'Cost Inputs'!$M$163=3,'Cost Inputs'!$M$163=6)), $E682, ""),"")),""),"")</f>
        <v/>
      </c>
      <c r="AA682" s="93" t="str">
        <f>IF(ISNUMBER($B$537), IF($C682&lt;&gt;"", IF('Cost Inputs'!$L$163="Y", $E682, IF('Cost Inputs'!$L$163="N", IF(AND(ISNUMBER('Cost Inputs'!$M$163), OR('Cost Inputs'!$M$163=2,'Cost Inputs'!$M$163=7)), $E682, ""),"")),""),"")</f>
        <v/>
      </c>
      <c r="AB682" s="93" t="str">
        <f>IF(ISNUMBER($B$537), IF($C682&lt;&gt;"", IF('Cost Inputs'!$L$163="Y", $E682, IF('Cost Inputs'!$L$163="N", IF(AND(ISNUMBER('Cost Inputs'!$M$163), OR('Cost Inputs'!$M$163=2,'Cost Inputs'!$M$163=4,'Cost Inputs'!$M$163=8)), $E682, ""),"")),""),"")</f>
        <v/>
      </c>
      <c r="AC682" s="93" t="str">
        <f>IF(ISNUMBER($B$537), IF($C682&lt;&gt;"", IF('Cost Inputs'!$L$163="Y", $E682, IF('Cost Inputs'!$L$163="N", IF(AND(ISNUMBER('Cost Inputs'!$M$163), OR('Cost Inputs'!$M$163=2,'Cost Inputs'!$M$163=3,'Cost Inputs'!$M$163=9)), $E682, ""),"")),""),"")</f>
        <v/>
      </c>
    </row>
    <row r="683" spans="1:30" x14ac:dyDescent="0.25">
      <c r="A683" s="518"/>
      <c r="B683" s="504"/>
      <c r="C683" s="104" t="str">
        <f>IF(AND(ISNUMBER(B665), C676&lt;&gt;"", OR('Cost Inputs'!$H$164&lt;&gt;"", 'Cost Inputs'!$I$164&lt;&gt;"", 'Cost Inputs'!$J$164&lt;&gt;"")), _5_5_5, "")</f>
        <v/>
      </c>
      <c r="D683" s="17" t="str">
        <f>IF(AND(C683&lt;&gt;"", 'Cost Inputs'!$G$164&lt;&gt;""), 'Cost Inputs'!$G$164, "")</f>
        <v/>
      </c>
      <c r="E683" s="17" t="str">
        <f>IF(AND(C683&lt;&gt;"", 'Cost Inputs'!$H$164&lt;&gt;""), 'Cost Inputs'!$H$164, "")</f>
        <v/>
      </c>
      <c r="F683" s="17" t="str">
        <f>IF(AND(C683&lt;&gt;"", 'Cost Inputs'!$I$164&lt;&gt;""), 'Cost Inputs'!$I$164, "")</f>
        <v/>
      </c>
      <c r="G683" s="105" t="str">
        <f t="shared" si="469"/>
        <v/>
      </c>
      <c r="H683" s="17" t="str">
        <f>IF(AND(C683&lt;&gt;"", 'Cost Inputs'!$J$164&lt;&gt;""), 'Cost Inputs'!$J$164, "")</f>
        <v/>
      </c>
      <c r="I683" s="17" t="str">
        <f>IF($C683&lt;&gt;"", IF(AND($E683&lt;&gt;"", H683&lt;&gt;""), H683/$E683, 0),"")</f>
        <v/>
      </c>
      <c r="J683" s="17" t="str">
        <f>IF(AND(C683&lt;&gt;"",('Cost Inputs'!$I$164+'Cost Inputs'!$J$164+'Cost Inputs'!$K$164)&gt;0), 'Cost Inputs'!$I$164+'Cost Inputs'!$J$164+'Cost Inputs'!$K$164, "")</f>
        <v/>
      </c>
      <c r="K683" s="17" t="str">
        <f>IF($C683&lt;&gt;"", IF(AND($E683&lt;&gt;"", J683&lt;&gt;""), J683/$E683, 0),"")</f>
        <v/>
      </c>
      <c r="M683" s="106"/>
      <c r="T683" s="17" t="str">
        <f>IF(ISNUMBER($B$537), IF($C683&lt;&gt;"", IF('Cost Inputs'!$L$164="Y", $E683, IF('Cost Inputs'!$L$164="N", IF(ISNUMBER('Cost Inputs'!$M$164), $E683, ""),"")),""),"")</f>
        <v/>
      </c>
      <c r="U683" s="17" t="str">
        <f>IF(ISNUMBER($B$537), IF($C683&lt;&gt;"", IF('Cost Inputs'!$L$164="Y", $E683, IF('Cost Inputs'!$L$164="N", "", "")),""),"")</f>
        <v/>
      </c>
      <c r="V683" s="17" t="str">
        <f>IF(ISNUMBER($B$537), IF($C683&lt;&gt;"", IF('Cost Inputs'!$L$164="Y", $E683, IF('Cost Inputs'!$L$164="N", IF(AND(ISNUMBER('Cost Inputs'!$M$164), OR('Cost Inputs'!$M$164=2)), $E683, ""),"")),""),"")</f>
        <v/>
      </c>
      <c r="W683" s="17" t="str">
        <f>IF(ISNUMBER($B$537), IF($C683&lt;&gt;"", IF('Cost Inputs'!$L$164="Y", $E683, IF('Cost Inputs'!$L$164="N", IF(AND(ISNUMBER('Cost Inputs'!$M$164), OR('Cost Inputs'!$M$164=3)), $E683, ""),"")),""),"")</f>
        <v/>
      </c>
      <c r="X683" s="17" t="str">
        <f>IF(ISNUMBER($B$537), IF($C683&lt;&gt;"", IF('Cost Inputs'!$L$164="Y", $E683, IF('Cost Inputs'!$L$164="N", IF(AND(ISNUMBER('Cost Inputs'!$M$164), OR('Cost Inputs'!$M$164=2, 'Cost Inputs'!$M$164=4)), $E683, ""),"")),""),"")</f>
        <v/>
      </c>
      <c r="Y683" s="17" t="str">
        <f>IF(ISNUMBER($B$537), IF($C683&lt;&gt;"", IF('Cost Inputs'!$L$164="Y", $E683, IF('Cost Inputs'!$L$164="N", IF(AND(ISNUMBER('Cost Inputs'!$M$164), OR('Cost Inputs'!$M$164=2,'Cost Inputs'!$M$164=5)), $E683, ""),"")),""),"")</f>
        <v/>
      </c>
      <c r="Z683" s="17" t="str">
        <f>IF(ISNUMBER($B$537), IF($C683&lt;&gt;"", IF('Cost Inputs'!$L$164="Y", $E683, IF('Cost Inputs'!$L$164="N", IF(AND(ISNUMBER('Cost Inputs'!$M$164), OR('Cost Inputs'!$M$164=2,'Cost Inputs'!$M$164=3,'Cost Inputs'!$M$164=6)), $E683, ""),"")),""),"")</f>
        <v/>
      </c>
      <c r="AA683" s="17" t="str">
        <f>IF(ISNUMBER($B$537), IF($C683&lt;&gt;"", IF('Cost Inputs'!$L$164="Y", $E683, IF('Cost Inputs'!$L$164="N", IF(AND(ISNUMBER('Cost Inputs'!$M$164), OR('Cost Inputs'!$M$164=2,'Cost Inputs'!$M$164=7)), $E683, ""),"")),""),"")</f>
        <v/>
      </c>
      <c r="AB683" s="17" t="str">
        <f>IF(ISNUMBER($B$537), IF($C683&lt;&gt;"", IF('Cost Inputs'!$L$164="Y", $E683, IF('Cost Inputs'!$L$164="N", IF(AND(ISNUMBER('Cost Inputs'!$M$164), OR('Cost Inputs'!$M$164=2,'Cost Inputs'!$M$164=4,'Cost Inputs'!$M$164=8)), $E683, ""),"")),""),"")</f>
        <v/>
      </c>
      <c r="AC683" s="17" t="str">
        <f>IF(ISNUMBER($B$537), IF($C683&lt;&gt;"", IF('Cost Inputs'!$L$164="Y", $E683, IF('Cost Inputs'!$L$164="N", IF(AND(ISNUMBER('Cost Inputs'!$M$164), OR('Cost Inputs'!$M$164=2,'Cost Inputs'!$M$164=3,'Cost Inputs'!$M$164=9)), $E683, ""),"")),""),"")</f>
        <v/>
      </c>
    </row>
    <row r="684" spans="1:30" x14ac:dyDescent="0.25">
      <c r="A684" s="518"/>
      <c r="B684" s="504"/>
      <c r="C684" s="110" t="str">
        <f>IF(ISNUMBER(B665), _5_6_0, "")</f>
        <v/>
      </c>
      <c r="D684" s="94" t="str">
        <f>IF(AND(C684&lt;&gt;"", 'Cost Inputs'!$G$165&lt;&gt;""), 'Cost Inputs'!$G$165, "")</f>
        <v/>
      </c>
      <c r="E684" s="94" t="str">
        <f>IF(AND(C684&lt;&gt;"", 'Cost Inputs'!$H$165&lt;&gt;""), 'Cost Inputs'!$H$165, "")</f>
        <v/>
      </c>
      <c r="F684" s="94" t="str">
        <f>IF(AND(C684&lt;&gt;"", 'Cost Inputs'!$I$165&lt;&gt;""), 'Cost Inputs'!$I$165, "")</f>
        <v/>
      </c>
      <c r="G684" s="102" t="str">
        <f t="shared" si="469"/>
        <v/>
      </c>
      <c r="H684" s="94" t="str">
        <f>IF(AND(C684&lt;&gt;"", 'Cost Inputs'!$J$165&lt;&gt;""), 'Cost Inputs'!$J$165, "")</f>
        <v/>
      </c>
      <c r="I684" s="102" t="str">
        <f>IF($C684&lt;&gt;"",IF(AND($E684&lt;&gt;"",H684&lt;&gt;""), H684/$E684, 0),"")</f>
        <v/>
      </c>
      <c r="J684" s="94" t="str">
        <f>IF(AND(C684&lt;&gt;"",('Cost Inputs'!$I$165+'Cost Inputs'!$J$165+'Cost Inputs'!$K$165)&gt;0), 'Cost Inputs'!$I$165+'Cost Inputs'!$J$165+'Cost Inputs'!$K$165, "")</f>
        <v/>
      </c>
      <c r="K684" s="102" t="str">
        <f>IF($C684&lt;&gt;"",IF(AND($E684&lt;&gt;"",J684&lt;&gt;""), J684/$E684, 0),"")</f>
        <v/>
      </c>
      <c r="L684" s="94"/>
      <c r="M684" s="103"/>
      <c r="T684" s="94" t="str">
        <f>IF(ISNUMBER($B$537), IF($C684&lt;&gt;"", IF('Cost Inputs'!$L$165="Y", $E684, IF('Cost Inputs'!$L$165="N", IF(ISNUMBER('Cost Inputs'!$M$165), $E684, ""),"")),""),"")</f>
        <v/>
      </c>
      <c r="U684" s="94" t="str">
        <f>IF(ISNUMBER($B$537), IF($C684&lt;&gt;"", IF('Cost Inputs'!$L$165="Y", $E684, IF('Cost Inputs'!$L$165="N", "", "")),""),"")</f>
        <v/>
      </c>
      <c r="V684" s="94" t="str">
        <f>IF(ISNUMBER($B$537), IF($C684&lt;&gt;"", IF('Cost Inputs'!$L$165="Y", $E684, IF('Cost Inputs'!$L$165="N", IF(AND(ISNUMBER('Cost Inputs'!$M$165), OR('Cost Inputs'!$M$165=2)), $E684, ""),"")),""),"")</f>
        <v/>
      </c>
      <c r="W684" s="94" t="str">
        <f>IF(ISNUMBER($B$537), IF($C684&lt;&gt;"", IF('Cost Inputs'!$L$165="Y", $E684, IF('Cost Inputs'!$L$165="N", IF(AND(ISNUMBER('Cost Inputs'!$M$165), OR('Cost Inputs'!$M$165=3)), $E684, ""),"")),""),"")</f>
        <v/>
      </c>
      <c r="X684" s="94" t="str">
        <f>IF(ISNUMBER($B$537), IF($C684&lt;&gt;"", IF('Cost Inputs'!$L$165="Y", $E684, IF('Cost Inputs'!$L$165="N", IF(AND(ISNUMBER('Cost Inputs'!$M$165), OR('Cost Inputs'!$M$165=2, 'Cost Inputs'!$M$165=4)), $E684, ""),"")),""),"")</f>
        <v/>
      </c>
      <c r="Y684" s="94" t="str">
        <f>IF(ISNUMBER($B$537), IF($C684&lt;&gt;"", IF('Cost Inputs'!$L$165="Y", $E684, IF('Cost Inputs'!$L$165="N", IF(AND(ISNUMBER('Cost Inputs'!$M$165), OR('Cost Inputs'!$M$165=2,'Cost Inputs'!$M$165=5)), $E684, ""),"")),""),"")</f>
        <v/>
      </c>
      <c r="Z684" s="94" t="str">
        <f>IF(ISNUMBER($B$537), IF($C684&lt;&gt;"", IF('Cost Inputs'!$L$165="Y", $E684, IF('Cost Inputs'!$L$165="N", IF(AND(ISNUMBER('Cost Inputs'!$M$165), OR('Cost Inputs'!$M$165=2,'Cost Inputs'!$M$165=3,'Cost Inputs'!$M$165=6)), $E684, ""),"")),""),"")</f>
        <v/>
      </c>
      <c r="AA684" s="94" t="str">
        <f>IF(ISNUMBER($B$537), IF($C684&lt;&gt;"", IF('Cost Inputs'!$L$165="Y", $E684, IF('Cost Inputs'!$L$165="N", IF(AND(ISNUMBER('Cost Inputs'!$M$165), OR('Cost Inputs'!$M$165=2,'Cost Inputs'!$M$165=7)), $E684, ""),"")),""),"")</f>
        <v/>
      </c>
      <c r="AB684" s="94" t="str">
        <f>IF(ISNUMBER($B$537), IF($C684&lt;&gt;"", IF('Cost Inputs'!$L$165="Y", $E684, IF('Cost Inputs'!$L$165="N", IF(AND(ISNUMBER('Cost Inputs'!$M$165), OR('Cost Inputs'!$M$165=2,'Cost Inputs'!$M$165=4,'Cost Inputs'!$M$165=8)), $E684, ""),"")),""),"")</f>
        <v/>
      </c>
      <c r="AC684" s="94" t="str">
        <f>IF(ISNUMBER($B$537), IF($C684&lt;&gt;"", IF('Cost Inputs'!$L$165="Y", $E684, IF('Cost Inputs'!$L$165="N", IF(AND(ISNUMBER('Cost Inputs'!$M$165), OR('Cost Inputs'!$M$165=2,'Cost Inputs'!$M$165=3,'Cost Inputs'!$M$165=9)), $E684, ""),"")),""),"")</f>
        <v/>
      </c>
    </row>
    <row r="685" spans="1:30" x14ac:dyDescent="0.25">
      <c r="A685" s="518"/>
      <c r="B685" s="504"/>
      <c r="C685" s="104" t="str">
        <f>IF(AND(ISNUMBER(B665), OR('Cost Inputs'!$H$166&lt;&gt;"", 'Cost Inputs'!$I$166&lt;&gt;"", 'Cost Inputs'!$J$166&lt;&gt;"")), _5_6_1, "")</f>
        <v/>
      </c>
      <c r="D685" s="17" t="str">
        <f>IF(AND(C685&lt;&gt;"", 'Cost Inputs'!$G$166&lt;&gt;""), 'Cost Inputs'!$G$166, "")</f>
        <v/>
      </c>
      <c r="E685" s="17" t="str">
        <f>IF(AND(C685&lt;&gt;"", 'Cost Inputs'!$H$166&lt;&gt;""), 'Cost Inputs'!$H$166, "")</f>
        <v/>
      </c>
      <c r="F685" s="17" t="str">
        <f>IF(AND(C685&lt;&gt;"", 'Cost Inputs'!$I$166&lt;&gt;""), 'Cost Inputs'!$I$166, "")</f>
        <v/>
      </c>
      <c r="G685" s="105" t="str">
        <f t="shared" si="469"/>
        <v/>
      </c>
      <c r="H685" s="17" t="str">
        <f>IF(AND(C685&lt;&gt;"", 'Cost Inputs'!$J$166&lt;&gt;""), 'Cost Inputs'!$J$166, "")</f>
        <v/>
      </c>
      <c r="I685" s="17" t="str">
        <f>IF($C685&lt;&gt;"", IF(AND($E685&lt;&gt;"", H685&lt;&gt;""), H685/$E685, 0),"")</f>
        <v/>
      </c>
      <c r="J685" s="17" t="str">
        <f>IF(AND(C685&lt;&gt;"",('Cost Inputs'!$I$166+'Cost Inputs'!$J$166+'Cost Inputs'!$K$166)&gt;0), 'Cost Inputs'!$I$166+'Cost Inputs'!$J$166+'Cost Inputs'!$K$166, "")</f>
        <v/>
      </c>
      <c r="K685" s="17" t="str">
        <f>IF($C685&lt;&gt;"", IF(AND($E685&lt;&gt;"", J685&lt;&gt;""), J685/$E685, 0),"")</f>
        <v/>
      </c>
      <c r="M685" s="106"/>
      <c r="T685" s="17" t="str">
        <f>IF(ISNUMBER($B$537), IF($C685&lt;&gt;"", IF('Cost Inputs'!$L$166="Y", $E685, IF('Cost Inputs'!$L$166="N", IF(ISNUMBER('Cost Inputs'!$M$166), $E685, ""),"")),""),"")</f>
        <v/>
      </c>
      <c r="U685" s="17" t="str">
        <f>IF(ISNUMBER($B$537), IF($C685&lt;&gt;"", IF('Cost Inputs'!$L$166="Y", $E685, IF('Cost Inputs'!$L$166="N", "", "")),""),"")</f>
        <v/>
      </c>
      <c r="V685" s="17" t="str">
        <f>IF(ISNUMBER($B$537), IF($C685&lt;&gt;"", IF('Cost Inputs'!$L$166="Y", $E685, IF('Cost Inputs'!$L$166="N", IF(AND(ISNUMBER('Cost Inputs'!$M$166), OR('Cost Inputs'!$M$166=2)), $E685, ""),"")),""),"")</f>
        <v/>
      </c>
      <c r="W685" s="17" t="str">
        <f>IF(ISNUMBER($B$537), IF($C685&lt;&gt;"", IF('Cost Inputs'!$L$166="Y", $E685, IF('Cost Inputs'!$L$166="N", IF(AND(ISNUMBER('Cost Inputs'!$M$166), OR('Cost Inputs'!$M$166=3)), $E685, ""),"")),""),"")</f>
        <v/>
      </c>
      <c r="X685" s="17" t="str">
        <f>IF(ISNUMBER($B$537), IF($C685&lt;&gt;"", IF('Cost Inputs'!$L$166="Y", $E685, IF('Cost Inputs'!$L$166="N", IF(AND(ISNUMBER('Cost Inputs'!$M$166), OR('Cost Inputs'!$M$166=2, 'Cost Inputs'!$M$166=4)), $E685, ""),"")),""),"")</f>
        <v/>
      </c>
      <c r="Y685" s="17" t="str">
        <f>IF(ISNUMBER($B$537), IF($C685&lt;&gt;"", IF('Cost Inputs'!$L$166="Y", $E685, IF('Cost Inputs'!$L$166="N", IF(AND(ISNUMBER('Cost Inputs'!$M$166), OR('Cost Inputs'!$M$166=2,'Cost Inputs'!$M$166=5)), $E685, ""),"")),""),"")</f>
        <v/>
      </c>
      <c r="Z685" s="17" t="str">
        <f>IF(ISNUMBER($B$537), IF($C685&lt;&gt;"", IF('Cost Inputs'!$L$166="Y", $E685, IF('Cost Inputs'!$L$166="N", IF(AND(ISNUMBER('Cost Inputs'!$M$166), OR('Cost Inputs'!$M$166=2,'Cost Inputs'!$M$166=3,'Cost Inputs'!$M$166=6)), $E685, ""),"")),""),"")</f>
        <v/>
      </c>
      <c r="AA685" s="17" t="str">
        <f>IF(ISNUMBER($B$537), IF($C685&lt;&gt;"", IF('Cost Inputs'!$L$166="Y", $E685, IF('Cost Inputs'!$L$166="N", IF(AND(ISNUMBER('Cost Inputs'!$M$166), OR('Cost Inputs'!$M$166=2,'Cost Inputs'!$M$166=7)), $E685, ""),"")),""),"")</f>
        <v/>
      </c>
      <c r="AB685" s="17" t="str">
        <f>IF(ISNUMBER($B$537), IF($C685&lt;&gt;"", IF('Cost Inputs'!$L$166="Y", $E685, IF('Cost Inputs'!$L$166="N", IF(AND(ISNUMBER('Cost Inputs'!$M$166), OR('Cost Inputs'!$M$166=2,'Cost Inputs'!$M$166=4,'Cost Inputs'!$M$166=8)), $E685, ""),"")),""),"")</f>
        <v/>
      </c>
      <c r="AC685" s="17" t="str">
        <f>IF(ISNUMBER($B$537), IF($C685&lt;&gt;"", IF('Cost Inputs'!$L$166="Y", $E685, IF('Cost Inputs'!$L$166="N", IF(AND(ISNUMBER('Cost Inputs'!$M$166), OR('Cost Inputs'!$M$166=2,'Cost Inputs'!$M$166=3,'Cost Inputs'!$M$166=9)), $E685, ""),"")),""),"")</f>
        <v/>
      </c>
    </row>
    <row r="686" spans="1:30" ht="15.75" thickBot="1" x14ac:dyDescent="0.3">
      <c r="A686" s="518"/>
      <c r="B686" s="505"/>
      <c r="C686" s="111" t="str">
        <f>IF(AND(ISNUMBER(B665), OR('Cost Inputs'!$H$167&lt;&gt;"", 'Cost Inputs'!$I$167&lt;&gt;"", 'Cost Inputs'!$J$167&lt;&gt;"")), _5_6_2, "")</f>
        <v/>
      </c>
      <c r="D686" s="95" t="str">
        <f>IF(AND(C686&lt;&gt;"", 'Cost Inputs'!$G$167&lt;&gt;""), 'Cost Inputs'!$G$167, "")</f>
        <v/>
      </c>
      <c r="E686" s="95" t="str">
        <f>IF(AND(C686&lt;&gt;"", 'Cost Inputs'!$H$167&lt;&gt;""), 'Cost Inputs'!$H$167, "")</f>
        <v/>
      </c>
      <c r="F686" s="95" t="str">
        <f>IF(AND(C686&lt;&gt;"", 'Cost Inputs'!$I$167&lt;&gt;""), 'Cost Inputs'!$I$167, "")</f>
        <v/>
      </c>
      <c r="G686" s="112" t="str">
        <f t="shared" si="469"/>
        <v/>
      </c>
      <c r="H686" s="95" t="str">
        <f>IF(AND(C686&lt;&gt;"", 'Cost Inputs'!$J$167&lt;&gt;""), 'Cost Inputs'!$J$167, "")</f>
        <v/>
      </c>
      <c r="I686" s="95" t="str">
        <f>IF($C686&lt;&gt;"", IF(AND($E686&lt;&gt;"", H686&lt;&gt;""), H686/$E686, 0),"")</f>
        <v/>
      </c>
      <c r="J686" s="95" t="str">
        <f>IF(AND(C686&lt;&gt;"",('Cost Inputs'!$I$167+'Cost Inputs'!$J$167+'Cost Inputs'!$K$167)&gt;0), 'Cost Inputs'!$I$167+'Cost Inputs'!$J$167+'Cost Inputs'!$K$167, "")</f>
        <v/>
      </c>
      <c r="K686" s="95" t="str">
        <f>IF($C686&lt;&gt;"", IF(AND($E686&lt;&gt;"", J686&lt;&gt;""), J686/$E686, 0),"")</f>
        <v/>
      </c>
      <c r="L686" s="95"/>
      <c r="M686" s="113"/>
      <c r="T686" s="95" t="str">
        <f>IF(ISNUMBER($B$537), IF($C686&lt;&gt;"", IF('Cost Inputs'!$L$167="Y", $E686, IF('Cost Inputs'!$L$167="N", IF(ISNUMBER('Cost Inputs'!$M$167), $E686, ""),"")),""),"")</f>
        <v/>
      </c>
      <c r="U686" s="95" t="str">
        <f>IF(ISNUMBER($B$537), IF($C686&lt;&gt;"", IF('Cost Inputs'!$L$167="Y", $E686, IF('Cost Inputs'!$L$167="N", "", "")),""),"")</f>
        <v/>
      </c>
      <c r="V686" s="95" t="str">
        <f>IF(ISNUMBER($B$537), IF($C686&lt;&gt;"", IF('Cost Inputs'!$L$167="Y", $E686, IF('Cost Inputs'!$L$167="N", IF(AND(ISNUMBER('Cost Inputs'!$M$167), OR('Cost Inputs'!$M$167=2)), $E686, ""),"")),""),"")</f>
        <v/>
      </c>
      <c r="W686" s="95" t="str">
        <f>IF(ISNUMBER($B$537), IF($C686&lt;&gt;"", IF('Cost Inputs'!$L$167="Y", $E686, IF('Cost Inputs'!$L$167="N", IF(AND(ISNUMBER('Cost Inputs'!$M$167), OR('Cost Inputs'!$M$167=3)), $E686, ""),"")),""),"")</f>
        <v/>
      </c>
      <c r="X686" s="95" t="str">
        <f>IF(ISNUMBER($B$537), IF($C686&lt;&gt;"", IF('Cost Inputs'!$L$167="Y", $E686, IF('Cost Inputs'!$L$167="N", IF(AND(ISNUMBER('Cost Inputs'!$M$167), OR('Cost Inputs'!$M$167=2, 'Cost Inputs'!$M$167=4)), $E686, ""),"")),""),"")</f>
        <v/>
      </c>
      <c r="Y686" s="95" t="str">
        <f>IF(ISNUMBER($B$537), IF($C686&lt;&gt;"", IF('Cost Inputs'!$L$167="Y", $E686, IF('Cost Inputs'!$L$167="N", IF(AND(ISNUMBER('Cost Inputs'!$M$167), OR('Cost Inputs'!$M$167=2,'Cost Inputs'!$M$167=5)), $E686, ""),"")),""),"")</f>
        <v/>
      </c>
      <c r="Z686" s="95" t="str">
        <f>IF(ISNUMBER($B$537), IF($C686&lt;&gt;"", IF('Cost Inputs'!$L$167="Y", $E686, IF('Cost Inputs'!$L$167="N", IF(AND(ISNUMBER('Cost Inputs'!$M$167), OR('Cost Inputs'!$M$167=2,'Cost Inputs'!$M$167=3,'Cost Inputs'!$M$167=6)), $E686, ""),"")),""),"")</f>
        <v/>
      </c>
      <c r="AA686" s="95" t="str">
        <f>IF(ISNUMBER($B$537), IF($C686&lt;&gt;"", IF('Cost Inputs'!$L$167="Y", $E686, IF('Cost Inputs'!$L$167="N", IF(AND(ISNUMBER('Cost Inputs'!$M$167), OR('Cost Inputs'!$M$167=2,'Cost Inputs'!$M$167=7)), $E686, ""),"")),""),"")</f>
        <v/>
      </c>
      <c r="AB686" s="95" t="str">
        <f>IF(ISNUMBER($B$537), IF($C686&lt;&gt;"", IF('Cost Inputs'!$L$167="Y", $E686, IF('Cost Inputs'!$L$167="N", IF(AND(ISNUMBER('Cost Inputs'!$M$167), OR('Cost Inputs'!$M$167=2,'Cost Inputs'!$M$167=4,'Cost Inputs'!$M$167=8)), $E686, ""),"")),""),"")</f>
        <v/>
      </c>
      <c r="AC686" s="95" t="str">
        <f>IF(ISNUMBER($B$537), IF($C686&lt;&gt;"", IF('Cost Inputs'!$L$167="Y", $E686, IF('Cost Inputs'!$L$167="N", IF(AND(ISNUMBER('Cost Inputs'!$M$167), OR('Cost Inputs'!$M$167=2,'Cost Inputs'!$M$167=3,'Cost Inputs'!$M$167=9)), $E686, ""),"")),""),"")</f>
        <v/>
      </c>
    </row>
    <row r="687" spans="1:30" x14ac:dyDescent="0.25">
      <c r="A687" s="518" t="str">
        <f>Fifth_Stage</f>
        <v>Stage 3 Clonal Replication with Increased Repetitions</v>
      </c>
      <c r="B687" s="503" t="str">
        <f>'Breeding Inputs'!B107</f>
        <v/>
      </c>
      <c r="C687" s="520" t="str">
        <f>IF(ISNUMBER(B687), _5_3_0, "")</f>
        <v/>
      </c>
      <c r="D687" s="92" t="str">
        <f>IF(AND(C687&lt;&gt;"", 'Cost Inputs'!$G$146&lt;&gt;""), 'Cost Inputs'!$G$146, "")</f>
        <v/>
      </c>
      <c r="E687" s="92" t="str">
        <f>IF(AND(C687&lt;&gt;"", 'Cost Inputs'!$H$146&lt;&gt;""), 'Cost Inputs'!$H$146, "")</f>
        <v/>
      </c>
      <c r="F687" s="522" t="str">
        <f>IF(AND(C687&lt;&gt;"", 'Cost Inputs'!$I$146&lt;&gt;""), 'Cost Inputs'!$I$146, "")</f>
        <v/>
      </c>
      <c r="G687" s="100" t="str">
        <f t="shared" si="469"/>
        <v/>
      </c>
      <c r="H687" s="522" t="str">
        <f>IF(AND(C687&lt;&gt;"", 'Cost Inputs'!$J$146&lt;&gt;""), 'Cost Inputs'!$J$146, "")</f>
        <v/>
      </c>
      <c r="I687" s="100" t="str">
        <f>IF($C687&lt;&gt;"",IF(AND($E687&lt;&gt;"",H687&lt;&gt;""), H687/$E687, 0),"")</f>
        <v/>
      </c>
      <c r="J687" s="522" t="str">
        <f>IF(AND(C687&lt;&gt;"",('Cost Inputs'!$I$146+'Cost Inputs'!$J$146+'Cost Inputs'!$K$146)&gt;0), 'Cost Inputs'!$I$146+'Cost Inputs'!$J$146+'Cost Inputs'!$K$146, "")</f>
        <v/>
      </c>
      <c r="K687" s="100" t="str">
        <f>IF($C687&lt;&gt;"",IF(AND($E687&lt;&gt;"",J687&lt;&gt;""), J687/$E687, 0),"")</f>
        <v/>
      </c>
      <c r="L687" s="92"/>
      <c r="M687" s="101"/>
      <c r="U687" s="492" t="str">
        <f>IF(ISNUMBER($B$537), IF($C687&lt;&gt;"", IF('Cost Inputs'!$L$146="Y", $E687, IF('Cost Inputs'!$L$146="N", IF(ISNUMBER('Cost Inputs'!$M$146), $E687, ""),"")),""),"")</f>
        <v/>
      </c>
      <c r="V687" s="492" t="str">
        <f>IF(ISNUMBER($B$537), IF($C687&lt;&gt;"", IF('Cost Inputs'!$L$146="Y", $E687, IF('Cost Inputs'!$L$146="N", "", "")),""),"")</f>
        <v/>
      </c>
      <c r="W687" s="492" t="str">
        <f>IF(ISNUMBER($B$537), IF($C687&lt;&gt;"", IF('Cost Inputs'!$L$146="Y", $E687, IF('Cost Inputs'!$L$146="N", IF(AND(ISNUMBER('Cost Inputs'!$M$146), OR('Cost Inputs'!$M$146=2)), $E687, ""),"")),""),"")</f>
        <v/>
      </c>
      <c r="X687" s="492" t="str">
        <f>IF(ISNUMBER($B$537), IF($C687&lt;&gt;"", IF('Cost Inputs'!$L$146="Y", $E687, IF('Cost Inputs'!$L$146="N", IF(AND(ISNUMBER('Cost Inputs'!$M$146), OR('Cost Inputs'!$M$146=3)), $E687, ""),"")),""),"")</f>
        <v/>
      </c>
      <c r="Y687" s="492" t="str">
        <f>IF(ISNUMBER($B$537), IF($C687&lt;&gt;"", IF('Cost Inputs'!$L$146="Y", $E687, IF('Cost Inputs'!$L$146="N", IF(AND(ISNUMBER('Cost Inputs'!$M$146), OR('Cost Inputs'!$M$146=2, 'Cost Inputs'!$M$146=4)), $E687, ""),"")),""),"")</f>
        <v/>
      </c>
      <c r="Z687" s="492" t="str">
        <f>IF(ISNUMBER($B$537), IF($C687&lt;&gt;"", IF('Cost Inputs'!$L$146="Y", $E687, IF('Cost Inputs'!$L$146="N", IF(AND(ISNUMBER('Cost Inputs'!$M$146), OR('Cost Inputs'!$M$146=2,'Cost Inputs'!$M$146=5)), $E687, ""),"")),""),"")</f>
        <v/>
      </c>
      <c r="AA687" s="492" t="str">
        <f>IF(ISNUMBER($B$537), IF($C687&lt;&gt;"", IF('Cost Inputs'!$L$146="Y", $E687, IF('Cost Inputs'!$L$146="N", IF(AND(ISNUMBER('Cost Inputs'!$M$146), OR('Cost Inputs'!$M$146=2,'Cost Inputs'!$M$146=3,'Cost Inputs'!$M$146=6)), $E687, ""),"")),""),"")</f>
        <v/>
      </c>
      <c r="AB687" s="492" t="str">
        <f>IF(ISNUMBER($B$537), IF($C687&lt;&gt;"", IF('Cost Inputs'!$L$146="Y", $E687, IF('Cost Inputs'!$L$146="N", IF(AND(ISNUMBER('Cost Inputs'!$M$146), OR('Cost Inputs'!$M$146=2,'Cost Inputs'!$M$146=7)), $E687, ""),"")),""),"")</f>
        <v/>
      </c>
      <c r="AC687" s="492" t="str">
        <f>IF(ISNUMBER($B$537), IF($C687&lt;&gt;"", IF('Cost Inputs'!$L$146="Y", $E687, IF('Cost Inputs'!$L$146="N", IF(AND(ISNUMBER('Cost Inputs'!$M$146), OR('Cost Inputs'!$M$146=2,'Cost Inputs'!$M$146=4,'Cost Inputs'!$M$146=8)), $E687, ""),"")),""),"")</f>
        <v/>
      </c>
      <c r="AD687" s="492" t="str">
        <f>IF(ISNUMBER($B$537), IF($C687&lt;&gt;"", IF('Cost Inputs'!$L$146="Y", $E687, IF('Cost Inputs'!$L$146="N", IF(AND(ISNUMBER('Cost Inputs'!$M$146), OR('Cost Inputs'!$M$146=2,'Cost Inputs'!$M$146=3,'Cost Inputs'!$M$146=9)), $E687, ""),"")),""),"")</f>
        <v/>
      </c>
    </row>
    <row r="688" spans="1:30" x14ac:dyDescent="0.25">
      <c r="A688" s="518"/>
      <c r="B688" s="504"/>
      <c r="C688" s="521"/>
      <c r="D688" s="94" t="str">
        <f>IF(AND(C687&lt;&gt;"", 'Cost Inputs'!$G$147&lt;&gt;""), 'Cost Inputs'!$G$147, "")</f>
        <v/>
      </c>
      <c r="E688" s="94" t="str">
        <f>IF(AND(C687&lt;&gt;"", 'Cost Inputs'!$H$147&lt;&gt;""), 'Cost Inputs'!$H$147, "")</f>
        <v/>
      </c>
      <c r="F688" s="492"/>
      <c r="G688" s="102" t="str">
        <f t="shared" si="469"/>
        <v/>
      </c>
      <c r="H688" s="492"/>
      <c r="I688" s="102" t="str">
        <f>IF($C687&lt;&gt;"", IF(AND($E688&lt;&gt;"", H687&lt;&gt;""), H687/($E687*$E688), 0), "")</f>
        <v/>
      </c>
      <c r="J688" s="492" t="str">
        <f>IF(AND(C688&lt;&gt;"",('Cost Inputs'!$I$86+'Cost Inputs'!$J$86+'Cost Inputs'!$K$86)&gt;0), 'Cost Inputs'!$I$86+'Cost Inputs'!$J$86+'Cost Inputs'!$K$86, "")</f>
        <v/>
      </c>
      <c r="K688" s="102" t="str">
        <f>IF($C687&lt;&gt;"", IF(AND($E688&lt;&gt;"", J687&lt;&gt;""), J687/($E687*$E688), 0), "")</f>
        <v/>
      </c>
      <c r="L688" s="94"/>
      <c r="M688" s="103"/>
      <c r="U688" s="492" t="str">
        <f>IF(ISNUMBER($B$537), IF($C688&lt;&gt;"", IF('Cost Inputs'!$L279="Y", $E688, IF('Cost Inputs'!$L279="N", IF(ISNUMBER('Cost Inputs'!$M279), $E688, ""),"")),""),"")</f>
        <v/>
      </c>
      <c r="V688" s="492" t="str">
        <f>IF(ISNUMBER($B$537), IF($C688&lt;&gt;"", IF('Cost Inputs'!$L279="Y", $E688, IF('Cost Inputs'!$L279="N", "", "")),""),"")</f>
        <v/>
      </c>
      <c r="W688" s="492" t="str">
        <f>IF(ISNUMBER($B$537), IF($C688&lt;&gt;"", IF('Cost Inputs'!$L279="Y", $E688, IF('Cost Inputs'!$L279="N", IF(AND(ISNUMBER('Cost Inputs'!$M279), OR('Cost Inputs'!$M279=2)), $E688, ""),"")),""),"")</f>
        <v/>
      </c>
      <c r="X688" s="492" t="str">
        <f>IF(ISNUMBER($B$537), IF($C688&lt;&gt;"", IF('Cost Inputs'!$L279="Y", $E688, IF('Cost Inputs'!$L279="N", IF(AND(ISNUMBER('Cost Inputs'!$M279), OR('Cost Inputs'!$M279=3)), $E688, ""),"")),""),"")</f>
        <v/>
      </c>
      <c r="Y688" s="492" t="str">
        <f>IF(ISNUMBER($B$537), IF($C688&lt;&gt;"", IF('Cost Inputs'!$L279="Y", $E688, IF('Cost Inputs'!$L279="N", IF(AND(ISNUMBER('Cost Inputs'!$M279), OR('Cost Inputs'!$M279=2, 'Cost Inputs'!$M279=4)), $E688, ""),"")),""),"")</f>
        <v/>
      </c>
      <c r="Z688" s="492" t="str">
        <f>IF(ISNUMBER($B$537), IF($C688&lt;&gt;"", IF('Cost Inputs'!$L279="Y", $E688, IF('Cost Inputs'!$L279="N", IF(AND(ISNUMBER('Cost Inputs'!$M279), OR('Cost Inputs'!$M279=2,'Cost Inputs'!$M279=5)), $E688, ""),"")),""),"")</f>
        <v/>
      </c>
      <c r="AA688" s="492" t="str">
        <f>IF(ISNUMBER($B$537), IF($C688&lt;&gt;"", IF('Cost Inputs'!$L279="Y", $E688, IF('Cost Inputs'!$L279="N", IF(AND(ISNUMBER('Cost Inputs'!$M279), OR('Cost Inputs'!$M279=2,'Cost Inputs'!$M279=3,'Cost Inputs'!$M279=6)), $E688, ""),"")),""),"")</f>
        <v/>
      </c>
      <c r="AB688" s="492" t="str">
        <f>IF(ISNUMBER($B$537), IF($C688&lt;&gt;"", IF('Cost Inputs'!$L279="Y", $E688, IF('Cost Inputs'!$L279="N", IF(AND(ISNUMBER('Cost Inputs'!$M279), OR('Cost Inputs'!$M279=2,'Cost Inputs'!$M279=7)), $E688, ""),"")),""),"")</f>
        <v/>
      </c>
      <c r="AC688" s="492" t="str">
        <f>IF(ISNUMBER($B$537), IF($C688&lt;&gt;"", IF('Cost Inputs'!$L279="Y", $E688, IF('Cost Inputs'!$L279="N", IF(AND(ISNUMBER('Cost Inputs'!$M279), OR('Cost Inputs'!$M279=2,'Cost Inputs'!$M279=4,'Cost Inputs'!$M279=8)), $E688, ""),"")),""),"")</f>
        <v/>
      </c>
      <c r="AD688" s="492" t="str">
        <f>IF(ISNUMBER($B$537), IF($C688&lt;&gt;"", IF('Cost Inputs'!$L279="Y", $E688, IF('Cost Inputs'!$L279="N", IF(AND(ISNUMBER('Cost Inputs'!$M279), OR('Cost Inputs'!$M279=2,'Cost Inputs'!$M279=3,'Cost Inputs'!$M279=9)), $E688, ""),"")),""),"")</f>
        <v/>
      </c>
    </row>
    <row r="689" spans="1:30" x14ac:dyDescent="0.25">
      <c r="A689" s="518"/>
      <c r="B689" s="504"/>
      <c r="C689" s="104" t="str">
        <f>IF(AND(ISNUMBER(B687), OR('Cost Inputs'!$H$148&lt;&gt;"", 'Cost Inputs'!$I$148&lt;&gt;"", 'Cost Inputs'!$J$148&lt;&gt;"")), _5_3_1, "")</f>
        <v/>
      </c>
      <c r="D689" s="17" t="str">
        <f>IF(AND(C689&lt;&gt;"", 'Cost Inputs'!$G$148&lt;&gt;""), 'Cost Inputs'!$G$148, "")</f>
        <v/>
      </c>
      <c r="E689" s="17" t="str">
        <f>IF(AND(C689&lt;&gt;"", 'Cost Inputs'!$H$148&lt;&gt;""), 'Cost Inputs'!$H$148, "")</f>
        <v/>
      </c>
      <c r="F689" s="17" t="str">
        <f>IF(AND(C689&lt;&gt;"", 'Cost Inputs'!$I$148&lt;&gt;""), 'Cost Inputs'!$I$148, "")</f>
        <v/>
      </c>
      <c r="G689" s="105" t="str">
        <f t="shared" si="469"/>
        <v/>
      </c>
      <c r="H689" s="17" t="str">
        <f>IF(AND(C689&lt;&gt;"", 'Cost Inputs'!$J$148&lt;&gt;""), 'Cost Inputs'!$J$148, "")</f>
        <v/>
      </c>
      <c r="I689" s="17" t="str">
        <f t="shared" ref="I689:I697" si="470">IF($C689&lt;&gt;"", IF(AND($E689&lt;&gt;"", H689&lt;&gt;""), H689/$E689, 0),"")</f>
        <v/>
      </c>
      <c r="J689" s="17" t="str">
        <f>IF(AND(C689&lt;&gt;"",('Cost Inputs'!$I$148+'Cost Inputs'!$J$148+'Cost Inputs'!$K$148)&gt;0), 'Cost Inputs'!$I$148+'Cost Inputs'!$J$148+'Cost Inputs'!$K$148, "")</f>
        <v/>
      </c>
      <c r="K689" s="17" t="str">
        <f t="shared" ref="K689:K697" si="471">IF($C689&lt;&gt;"", IF(AND($E689&lt;&gt;"", J689&lt;&gt;""), J689/$E689, 0),"")</f>
        <v/>
      </c>
      <c r="M689" s="106"/>
      <c r="U689" s="17" t="str">
        <f>IF(ISNUMBER($B$537), IF($C689&lt;&gt;"", IF('Cost Inputs'!$L$148="Y", $E689, IF('Cost Inputs'!$L$148="N", IF(ISNUMBER('Cost Inputs'!$M$148), $E689, ""),"")),""),"")</f>
        <v/>
      </c>
      <c r="V689" s="17" t="str">
        <f>IF(ISNUMBER($B$537), IF($C689&lt;&gt;"", IF('Cost Inputs'!$L$148="Y", $E689, IF('Cost Inputs'!$L$148="N", "", "")),""),"")</f>
        <v/>
      </c>
      <c r="W689" s="17" t="str">
        <f>IF(ISNUMBER($B$537), IF($C689&lt;&gt;"", IF('Cost Inputs'!$L$148="Y", $E689, IF('Cost Inputs'!$L$148="N", IF(AND(ISNUMBER('Cost Inputs'!$M$148), OR('Cost Inputs'!$M$148=2)), $E689, ""),"")),""),"")</f>
        <v/>
      </c>
      <c r="X689" s="17" t="str">
        <f>IF(ISNUMBER($B$537), IF($C689&lt;&gt;"", IF('Cost Inputs'!$L$148="Y", $E689, IF('Cost Inputs'!$L$148="N", IF(AND(ISNUMBER('Cost Inputs'!$M$148), OR('Cost Inputs'!$M$148=3)), $E689, ""),"")),""),"")</f>
        <v/>
      </c>
      <c r="Y689" s="17" t="str">
        <f>IF(ISNUMBER($B$537), IF($C689&lt;&gt;"", IF('Cost Inputs'!$L$148="Y", $E689, IF('Cost Inputs'!$L$148="N", IF(AND(ISNUMBER('Cost Inputs'!$M$148), OR('Cost Inputs'!$M$148=2, 'Cost Inputs'!$M$148=4)), $E689, ""),"")),""),"")</f>
        <v/>
      </c>
      <c r="Z689" s="17" t="str">
        <f>IF(ISNUMBER($B$537), IF($C689&lt;&gt;"", IF('Cost Inputs'!$L$148="Y", $E689, IF('Cost Inputs'!$L$148="N", IF(AND(ISNUMBER('Cost Inputs'!$M$148), OR('Cost Inputs'!$M$148=2,'Cost Inputs'!$M$148=5)), $E689, ""),"")),""),"")</f>
        <v/>
      </c>
      <c r="AA689" s="17" t="str">
        <f>IF(ISNUMBER($B$537), IF($C689&lt;&gt;"", IF('Cost Inputs'!$L$148="Y", $E689, IF('Cost Inputs'!$L$148="N", IF(AND(ISNUMBER('Cost Inputs'!$M$148), OR('Cost Inputs'!$M$148=2,'Cost Inputs'!$M$148=3,'Cost Inputs'!$M$148=6)), $E689, ""),"")),""),"")</f>
        <v/>
      </c>
      <c r="AB689" s="17" t="str">
        <f>IF(ISNUMBER($B$537), IF($C689&lt;&gt;"", IF('Cost Inputs'!$L$148="Y", $E689, IF('Cost Inputs'!$L$148="N", IF(AND(ISNUMBER('Cost Inputs'!$M$148), OR('Cost Inputs'!$M$148=2,'Cost Inputs'!$M$148=7)), $E689, ""),"")),""),"")</f>
        <v/>
      </c>
      <c r="AC689" s="17" t="str">
        <f>IF(ISNUMBER($B$537), IF($C689&lt;&gt;"", IF('Cost Inputs'!$L$148="Y", $E689, IF('Cost Inputs'!$L$148="N", IF(AND(ISNUMBER('Cost Inputs'!$M$148), OR('Cost Inputs'!$M$148=2,'Cost Inputs'!$M$148=4,'Cost Inputs'!$M$148=8)), $E689, ""),"")),""),"")</f>
        <v/>
      </c>
      <c r="AD689" s="17" t="str">
        <f>IF(ISNUMBER($B$537), IF($C689&lt;&gt;"", IF('Cost Inputs'!$L$148="Y", $E689, IF('Cost Inputs'!$L$148="N", IF(AND(ISNUMBER('Cost Inputs'!$M$148), OR('Cost Inputs'!$M$148=2,'Cost Inputs'!$M$148=3,'Cost Inputs'!$M$148=9)), $E689, ""),"")),""),"")</f>
        <v/>
      </c>
    </row>
    <row r="690" spans="1:30" x14ac:dyDescent="0.25">
      <c r="A690" s="518"/>
      <c r="B690" s="504"/>
      <c r="C690" s="107" t="str">
        <f>IF(AND(ISNUMBER(B687), OR('Cost Inputs'!$H$149&lt;&gt;"", 'Cost Inputs'!$I$149&lt;&gt;"", 'Cost Inputs'!$J$149&lt;&gt;"")), _5_3_2, "")</f>
        <v/>
      </c>
      <c r="D690" s="93" t="str">
        <f>IF(AND(C690&lt;&gt;"", 'Cost Inputs'!$G$149&lt;&gt;""), 'Cost Inputs'!$G$149, "")</f>
        <v/>
      </c>
      <c r="E690" s="93" t="str">
        <f>IF(AND(C690&lt;&gt;"", 'Cost Inputs'!$H$149&lt;&gt;""), 'Cost Inputs'!$H$149, "")</f>
        <v/>
      </c>
      <c r="F690" s="93" t="str">
        <f>IF(AND(C690&lt;&gt;"", 'Cost Inputs'!$I$149&lt;&gt;""), 'Cost Inputs'!$I$149, "")</f>
        <v/>
      </c>
      <c r="G690" s="108" t="str">
        <f t="shared" si="469"/>
        <v/>
      </c>
      <c r="H690" s="93" t="str">
        <f>IF(AND(C690&lt;&gt;"", 'Cost Inputs'!$J$149&lt;&gt;""), 'Cost Inputs'!$J$149, "")</f>
        <v/>
      </c>
      <c r="I690" s="93" t="str">
        <f t="shared" si="470"/>
        <v/>
      </c>
      <c r="J690" s="93" t="str">
        <f>IF(AND(C690&lt;&gt;"",('Cost Inputs'!$I$149+'Cost Inputs'!$J$149+'Cost Inputs'!$K$149)&gt;0), 'Cost Inputs'!$I$149+'Cost Inputs'!$J$149+'Cost Inputs'!$K$149, "")</f>
        <v/>
      </c>
      <c r="K690" s="93" t="str">
        <f t="shared" si="471"/>
        <v/>
      </c>
      <c r="L690" s="93"/>
      <c r="M690" s="109"/>
      <c r="U690" s="93" t="str">
        <f>IF(ISNUMBER($B$537), IF($C690&lt;&gt;"", IF('Cost Inputs'!$L$149="Y", $E690, IF('Cost Inputs'!$L$149="N", IF(ISNUMBER('Cost Inputs'!$M$149), $E690, ""),"")),""),"")</f>
        <v/>
      </c>
      <c r="V690" s="93" t="str">
        <f>IF(ISNUMBER($B$537), IF($C690&lt;&gt;"", IF('Cost Inputs'!$L$149="Y", $E690, IF('Cost Inputs'!$L$149="N", "", "")),""),"")</f>
        <v/>
      </c>
      <c r="W690" s="93" t="str">
        <f>IF(ISNUMBER($B$537), IF($C690&lt;&gt;"", IF('Cost Inputs'!$L$149="Y", $E690, IF('Cost Inputs'!$L$149="N", IF(AND(ISNUMBER('Cost Inputs'!$M$149), OR('Cost Inputs'!$M$149=2)), $E690, ""),"")),""),"")</f>
        <v/>
      </c>
      <c r="X690" s="93" t="str">
        <f>IF(ISNUMBER($B$537), IF($C690&lt;&gt;"", IF('Cost Inputs'!$L$149="Y", $E690, IF('Cost Inputs'!$L$149="N", IF(AND(ISNUMBER('Cost Inputs'!$M$149), OR('Cost Inputs'!$M$149=3)), $E690, ""),"")),""),"")</f>
        <v/>
      </c>
      <c r="Y690" s="93" t="str">
        <f>IF(ISNUMBER($B$537), IF($C690&lt;&gt;"", IF('Cost Inputs'!$L$149="Y", $E690, IF('Cost Inputs'!$L$149="N", IF(AND(ISNUMBER('Cost Inputs'!$M$149), OR('Cost Inputs'!$M$149=2, 'Cost Inputs'!$M$149=4)), $E690, ""),"")),""),"")</f>
        <v/>
      </c>
      <c r="Z690" s="93" t="str">
        <f>IF(ISNUMBER($B$537), IF($C690&lt;&gt;"", IF('Cost Inputs'!$L$149="Y", $E690, IF('Cost Inputs'!$L$149="N", IF(AND(ISNUMBER('Cost Inputs'!$M$149), OR('Cost Inputs'!$M$149=2,'Cost Inputs'!$M$149=5)), $E690, ""),"")),""),"")</f>
        <v/>
      </c>
      <c r="AA690" s="93" t="str">
        <f>IF(ISNUMBER($B$537), IF($C690&lt;&gt;"", IF('Cost Inputs'!$L$149="Y", $E690, IF('Cost Inputs'!$L$149="N", IF(AND(ISNUMBER('Cost Inputs'!$M$149), OR('Cost Inputs'!$M$149=2,'Cost Inputs'!$M$149=3,'Cost Inputs'!$M$149=6)), $E690, ""),"")),""),"")</f>
        <v/>
      </c>
      <c r="AB690" s="93" t="str">
        <f>IF(ISNUMBER($B$537), IF($C690&lt;&gt;"", IF('Cost Inputs'!$L$149="Y", $E690, IF('Cost Inputs'!$L$149="N", IF(AND(ISNUMBER('Cost Inputs'!$M$149), OR('Cost Inputs'!$M$149=2,'Cost Inputs'!$M$149=7)), $E690, ""),"")),""),"")</f>
        <v/>
      </c>
      <c r="AC690" s="93" t="str">
        <f>IF(ISNUMBER($B$537), IF($C690&lt;&gt;"", IF('Cost Inputs'!$L$149="Y", $E690, IF('Cost Inputs'!$L$149="N", IF(AND(ISNUMBER('Cost Inputs'!$M$149), OR('Cost Inputs'!$M$149=2,'Cost Inputs'!$M$149=4,'Cost Inputs'!$M$149=8)), $E690, ""),"")),""),"")</f>
        <v/>
      </c>
      <c r="AD690" s="93" t="str">
        <f>IF(ISNUMBER($B$537), IF($C690&lt;&gt;"", IF('Cost Inputs'!$L$149="Y", $E690, IF('Cost Inputs'!$L$149="N", IF(AND(ISNUMBER('Cost Inputs'!$M$149), OR('Cost Inputs'!$M$149=2,'Cost Inputs'!$M$149=3,'Cost Inputs'!$M$149=9)), $E690, ""),"")),""),"")</f>
        <v/>
      </c>
    </row>
    <row r="691" spans="1:30" x14ac:dyDescent="0.25">
      <c r="A691" s="518"/>
      <c r="B691" s="504"/>
      <c r="C691" s="110" t="str">
        <f>IF(ISNUMBER(B687), _5_4_0, "")</f>
        <v/>
      </c>
      <c r="D691" s="94" t="str">
        <f>IF(AND(C691&lt;&gt;"", 'Cost Inputs'!$G$150&lt;&gt;""), 'Cost Inputs'!$G$150, "")</f>
        <v/>
      </c>
      <c r="E691" s="94" t="str">
        <f>IF(AND(C691&lt;&gt;"", 'Cost Inputs'!$H$150&lt;&gt;""), 'Cost Inputs'!$H$150, "")</f>
        <v/>
      </c>
      <c r="F691" s="94" t="str">
        <f>IF(AND(C691&lt;&gt;"", 'Cost Inputs'!$I$150&lt;&gt;""), 'Cost Inputs'!$I$150, "")</f>
        <v/>
      </c>
      <c r="G691" s="102" t="str">
        <f t="shared" si="469"/>
        <v/>
      </c>
      <c r="H691" s="102" t="str">
        <f>IF(AND(C691&lt;&gt;"", 'Cost Inputs'!$J$150&lt;&gt;""), 'Cost Inputs'!$J$150, "")</f>
        <v/>
      </c>
      <c r="I691" s="102" t="str">
        <f t="shared" si="470"/>
        <v/>
      </c>
      <c r="J691" s="102" t="str">
        <f>IF(AND(C691&lt;&gt;"",('Cost Inputs'!$I$150+'Cost Inputs'!$J$150+'Cost Inputs'!$K$150)&gt;0), 'Cost Inputs'!$I$150+'Cost Inputs'!$J$150+'Cost Inputs'!$K$150, "")</f>
        <v/>
      </c>
      <c r="K691" s="102" t="str">
        <f t="shared" si="471"/>
        <v/>
      </c>
      <c r="L691" s="94"/>
      <c r="M691" s="103"/>
      <c r="U691" s="102" t="str">
        <f>IF(ISNUMBER($B$537), IF($C691&lt;&gt;"", IF('Cost Inputs'!$L$150="Y", $E691, IF('Cost Inputs'!$L$150="N", IF(ISNUMBER('Cost Inputs'!$M$150), $E691, ""),"")),""),"")</f>
        <v/>
      </c>
      <c r="V691" s="102" t="str">
        <f>IF(ISNUMBER($B$537), IF($C691&lt;&gt;"", IF('Cost Inputs'!$L$150="Y", $E691, IF('Cost Inputs'!$L$150="N", "", "")),""),"")</f>
        <v/>
      </c>
      <c r="W691" s="102" t="str">
        <f>IF(ISNUMBER($B$537), IF($C691&lt;&gt;"", IF('Cost Inputs'!$L$150="Y", $E691, IF('Cost Inputs'!$L$150="N", IF(AND(ISNUMBER('Cost Inputs'!$M$150), OR('Cost Inputs'!$M$150=2)), $E691, ""),"")),""),"")</f>
        <v/>
      </c>
      <c r="X691" s="102" t="str">
        <f>IF(ISNUMBER($B$537), IF($C691&lt;&gt;"", IF('Cost Inputs'!$L$150="Y", $E691, IF('Cost Inputs'!$L$150="N", IF(AND(ISNUMBER('Cost Inputs'!$M$150), OR('Cost Inputs'!$M$150=3)), $E691, ""),"")),""),"")</f>
        <v/>
      </c>
      <c r="Y691" s="102" t="str">
        <f>IF(ISNUMBER($B$537), IF($C691&lt;&gt;"", IF('Cost Inputs'!$L$150="Y", $E691, IF('Cost Inputs'!$L$150="N", IF(AND(ISNUMBER('Cost Inputs'!$M$150), OR('Cost Inputs'!$M$150=2, 'Cost Inputs'!$M$150=4)), $E691, ""),"")),""),"")</f>
        <v/>
      </c>
      <c r="Z691" s="102" t="str">
        <f>IF(ISNUMBER($B$537), IF($C691&lt;&gt;"", IF('Cost Inputs'!$L$150="Y", $E691, IF('Cost Inputs'!$L$150="N", IF(AND(ISNUMBER('Cost Inputs'!$M$150), OR('Cost Inputs'!$M$150=2,'Cost Inputs'!$M$150=5)), $E691, ""),"")),""),"")</f>
        <v/>
      </c>
      <c r="AA691" s="102" t="str">
        <f>IF(ISNUMBER($B$537), IF($C691&lt;&gt;"", IF('Cost Inputs'!$L$150="Y", $E691, IF('Cost Inputs'!$L$150="N", IF(AND(ISNUMBER('Cost Inputs'!$M$150), OR('Cost Inputs'!$M$150=2,'Cost Inputs'!$M$150=3,'Cost Inputs'!$M$150=6)), $E691, ""),"")),""),"")</f>
        <v/>
      </c>
      <c r="AB691" s="102" t="str">
        <f>IF(ISNUMBER($B$537), IF($C691&lt;&gt;"", IF('Cost Inputs'!$L$150="Y", $E691, IF('Cost Inputs'!$L$150="N", IF(AND(ISNUMBER('Cost Inputs'!$M$150), OR('Cost Inputs'!$M$150=2,'Cost Inputs'!$M$150=7)), $E691, ""),"")),""),"")</f>
        <v/>
      </c>
      <c r="AC691" s="102" t="str">
        <f>IF(ISNUMBER($B$537), IF($C691&lt;&gt;"", IF('Cost Inputs'!$L$150="Y", $E691, IF('Cost Inputs'!$L$150="N", IF(AND(ISNUMBER('Cost Inputs'!$M$150), OR('Cost Inputs'!$M$150=2,'Cost Inputs'!$M$150=4,'Cost Inputs'!$M$150=8)), $E691, ""),"")),""),"")</f>
        <v/>
      </c>
      <c r="AD691" s="102" t="str">
        <f>IF(ISNUMBER($B$537), IF($C691&lt;&gt;"", IF('Cost Inputs'!$L$150="Y", $E691, IF('Cost Inputs'!$L$150="N", IF(AND(ISNUMBER('Cost Inputs'!$M$150), OR('Cost Inputs'!$M$150=2,'Cost Inputs'!$M$150=3,'Cost Inputs'!$M$150=9)), $E691, ""),"")),""),"")</f>
        <v/>
      </c>
    </row>
    <row r="692" spans="1:30" x14ac:dyDescent="0.25">
      <c r="A692" s="518"/>
      <c r="B692" s="504"/>
      <c r="C692" s="104" t="str">
        <f>IF(AND(ISNUMBER(B687), OR('Cost Inputs'!$H$151&lt;&gt;"", 'Cost Inputs'!$I$151&lt;&gt;"", 'Cost Inputs'!$J$151&lt;&gt;"")), _5_4_1, "")</f>
        <v/>
      </c>
      <c r="D692" s="17" t="str">
        <f>IF(AND(C692&lt;&gt;"", 'Cost Inputs'!$G$151&lt;&gt;""), 'Cost Inputs'!$G$151, "")</f>
        <v/>
      </c>
      <c r="E692" s="17" t="str">
        <f>IF(AND(C692&lt;&gt;"", 'Cost Inputs'!$H$151&lt;&gt;""), 'Cost Inputs'!$H$151, "")</f>
        <v/>
      </c>
      <c r="F692" s="17" t="str">
        <f>IF(AND(C692&lt;&gt;"", 'Cost Inputs'!$I$151&lt;&gt;""), 'Cost Inputs'!$I$151, "")</f>
        <v/>
      </c>
      <c r="G692" s="105" t="str">
        <f t="shared" si="469"/>
        <v/>
      </c>
      <c r="H692" s="17" t="str">
        <f>IF(AND(C692&lt;&gt;"", 'Cost Inputs'!$J$151&lt;&gt;""), 'Cost Inputs'!$J$151, "")</f>
        <v/>
      </c>
      <c r="I692" s="17" t="str">
        <f t="shared" si="470"/>
        <v/>
      </c>
      <c r="J692" s="17" t="str">
        <f>IF(AND(C692&lt;&gt;"",('Cost Inputs'!$I$151+'Cost Inputs'!$J$151+'Cost Inputs'!$K$151)&gt;0), 'Cost Inputs'!$I$151+'Cost Inputs'!$J$151+'Cost Inputs'!$K$151, "")</f>
        <v/>
      </c>
      <c r="K692" s="17" t="str">
        <f t="shared" si="471"/>
        <v/>
      </c>
      <c r="M692" s="106"/>
      <c r="U692" s="17" t="str">
        <f>IF(ISNUMBER($B$537), IF($C692&lt;&gt;"", IF('Cost Inputs'!$L$151="Y", $E692, IF('Cost Inputs'!$L$151="N", IF(ISNUMBER('Cost Inputs'!$M$151), $E692, ""),"")),""),"")</f>
        <v/>
      </c>
      <c r="V692" s="17" t="str">
        <f>IF(ISNUMBER($B$537), IF($C692&lt;&gt;"", IF('Cost Inputs'!$L$151="Y", $E692, IF('Cost Inputs'!$L$151="N", "", "")),""),"")</f>
        <v/>
      </c>
      <c r="W692" s="17" t="str">
        <f>IF(ISNUMBER($B$537), IF($C692&lt;&gt;"", IF('Cost Inputs'!$L$151="Y", $E692, IF('Cost Inputs'!$L$151="N", IF(AND(ISNUMBER('Cost Inputs'!$M$151), OR('Cost Inputs'!$M$151=2)), $E692, ""),"")),""),"")</f>
        <v/>
      </c>
      <c r="X692" s="17" t="str">
        <f>IF(ISNUMBER($B$537), IF($C692&lt;&gt;"", IF('Cost Inputs'!$L$151="Y", $E692, IF('Cost Inputs'!$L$151="N", IF(AND(ISNUMBER('Cost Inputs'!$M$151), OR('Cost Inputs'!$M$151=3)), $E692, ""),"")),""),"")</f>
        <v/>
      </c>
      <c r="Y692" s="17" t="str">
        <f>IF(ISNUMBER($B$537), IF($C692&lt;&gt;"", IF('Cost Inputs'!$L$151="Y", $E692, IF('Cost Inputs'!$L$151="N", IF(AND(ISNUMBER('Cost Inputs'!$M$151), OR('Cost Inputs'!$M$151=2, 'Cost Inputs'!$M$151=4)), $E692, ""),"")),""),"")</f>
        <v/>
      </c>
      <c r="Z692" s="17" t="str">
        <f>IF(ISNUMBER($B$537), IF($C692&lt;&gt;"", IF('Cost Inputs'!$L$151="Y", $E692, IF('Cost Inputs'!$L$151="N", IF(AND(ISNUMBER('Cost Inputs'!$M$151), OR('Cost Inputs'!$M$151=2,'Cost Inputs'!$M$151=5)), $E692, ""),"")),""),"")</f>
        <v/>
      </c>
      <c r="AA692" s="17" t="str">
        <f>IF(ISNUMBER($B$537), IF($C692&lt;&gt;"", IF('Cost Inputs'!$L$151="Y", $E692, IF('Cost Inputs'!$L$151="N", IF(AND(ISNUMBER('Cost Inputs'!$M$151), OR('Cost Inputs'!$M$151=2,'Cost Inputs'!$M$151=3,'Cost Inputs'!$M$151=6)), $E692, ""),"")),""),"")</f>
        <v/>
      </c>
      <c r="AB692" s="17" t="str">
        <f>IF(ISNUMBER($B$537), IF($C692&lt;&gt;"", IF('Cost Inputs'!$L$151="Y", $E692, IF('Cost Inputs'!$L$151="N", IF(AND(ISNUMBER('Cost Inputs'!$M$151), OR('Cost Inputs'!$M$151=2,'Cost Inputs'!$M$151=7)), $E692, ""),"")),""),"")</f>
        <v/>
      </c>
      <c r="AC692" s="17" t="str">
        <f>IF(ISNUMBER($B$537), IF($C692&lt;&gt;"", IF('Cost Inputs'!$L$151="Y", $E692, IF('Cost Inputs'!$L$151="N", IF(AND(ISNUMBER('Cost Inputs'!$M$151), OR('Cost Inputs'!$M$151=2,'Cost Inputs'!$M$151=4,'Cost Inputs'!$M$151=8)), $E692, ""),"")),""),"")</f>
        <v/>
      </c>
      <c r="AD692" s="17" t="str">
        <f>IF(ISNUMBER($B$537), IF($C692&lt;&gt;"", IF('Cost Inputs'!$L$151="Y", $E692, IF('Cost Inputs'!$L$151="N", IF(AND(ISNUMBER('Cost Inputs'!$M$151), OR('Cost Inputs'!$M$151=2,'Cost Inputs'!$M$151=3,'Cost Inputs'!$M$151=9)), $E692, ""),"")),""),"")</f>
        <v/>
      </c>
    </row>
    <row r="693" spans="1:30" x14ac:dyDescent="0.25">
      <c r="A693" s="518"/>
      <c r="B693" s="504"/>
      <c r="C693" s="107" t="str">
        <f>IF(AND(ISNUMBER(B687), OR('Cost Inputs'!$H$152&lt;&gt;"", 'Cost Inputs'!$I$152&lt;&gt;"", 'Cost Inputs'!$J$152&lt;&gt;"")), _5_4_2, "")</f>
        <v/>
      </c>
      <c r="D693" s="93" t="str">
        <f>IF(AND(C693&lt;&gt;"", 'Cost Inputs'!$G$152&lt;&gt;""), 'Cost Inputs'!$G$152, "")</f>
        <v/>
      </c>
      <c r="E693" s="93" t="str">
        <f>IF(AND(C693&lt;&gt;"", 'Cost Inputs'!$H$152&lt;&gt;""), 'Cost Inputs'!$H$152, "")</f>
        <v/>
      </c>
      <c r="F693" s="93" t="str">
        <f>IF(AND(C693&lt;&gt;"", 'Cost Inputs'!$I$152&lt;&gt;""), 'Cost Inputs'!$I$152, "")</f>
        <v/>
      </c>
      <c r="G693" s="108" t="str">
        <f t="shared" si="469"/>
        <v/>
      </c>
      <c r="H693" s="93" t="str">
        <f>IF(AND(C693&lt;&gt;"", 'Cost Inputs'!$J$152&lt;&gt;""), 'Cost Inputs'!$J$152, "")</f>
        <v/>
      </c>
      <c r="I693" s="93" t="str">
        <f t="shared" si="470"/>
        <v/>
      </c>
      <c r="J693" s="93" t="str">
        <f>IF(AND(C693&lt;&gt;"",('Cost Inputs'!$I$152+'Cost Inputs'!$J$152+'Cost Inputs'!$K$152)&gt;0), 'Cost Inputs'!$I$152+'Cost Inputs'!$J$152+'Cost Inputs'!$K$152, "")</f>
        <v/>
      </c>
      <c r="K693" s="93" t="str">
        <f t="shared" si="471"/>
        <v/>
      </c>
      <c r="L693" s="93"/>
      <c r="M693" s="109"/>
      <c r="U693" s="93" t="str">
        <f>IF(ISNUMBER($B$537), IF($C693&lt;&gt;"", IF('Cost Inputs'!$L$152="Y", $E693, IF('Cost Inputs'!$L$152="N", IF(ISNUMBER('Cost Inputs'!$M$152), $E693, ""),"")),""),"")</f>
        <v/>
      </c>
      <c r="V693" s="93" t="str">
        <f>IF(ISNUMBER($B$537), IF($C693&lt;&gt;"", IF('Cost Inputs'!$L$152="Y", $E693, IF('Cost Inputs'!$L$152="N", "", "")),""),"")</f>
        <v/>
      </c>
      <c r="W693" s="93" t="str">
        <f>IF(ISNUMBER($B$537), IF($C693&lt;&gt;"", IF('Cost Inputs'!$L$152="Y", $E693, IF('Cost Inputs'!$L$152="N", IF(AND(ISNUMBER('Cost Inputs'!$M$152), OR('Cost Inputs'!$M$152=2)), $E693, ""),"")),""),"")</f>
        <v/>
      </c>
      <c r="X693" s="93" t="str">
        <f>IF(ISNUMBER($B$537), IF($C693&lt;&gt;"", IF('Cost Inputs'!$L$152="Y", $E693, IF('Cost Inputs'!$L$152="N", IF(AND(ISNUMBER('Cost Inputs'!$M$152), OR('Cost Inputs'!$M$152=3)), $E693, ""),"")),""),"")</f>
        <v/>
      </c>
      <c r="Y693" s="93" t="str">
        <f>IF(ISNUMBER($B$537), IF($C693&lt;&gt;"", IF('Cost Inputs'!$L$152="Y", $E693, IF('Cost Inputs'!$L$152="N", IF(AND(ISNUMBER('Cost Inputs'!$M$152), OR('Cost Inputs'!$M$152=2, 'Cost Inputs'!$M$152=4)), $E693, ""),"")),""),"")</f>
        <v/>
      </c>
      <c r="Z693" s="93" t="str">
        <f>IF(ISNUMBER($B$537), IF($C693&lt;&gt;"", IF('Cost Inputs'!$L$152="Y", $E693, IF('Cost Inputs'!$L$152="N", IF(AND(ISNUMBER('Cost Inputs'!$M$152), OR('Cost Inputs'!$M$152=2,'Cost Inputs'!$M$152=5)), $E693, ""),"")),""),"")</f>
        <v/>
      </c>
      <c r="AA693" s="93" t="str">
        <f>IF(ISNUMBER($B$537), IF($C693&lt;&gt;"", IF('Cost Inputs'!$L$152="Y", $E693, IF('Cost Inputs'!$L$152="N", IF(AND(ISNUMBER('Cost Inputs'!$M$152), OR('Cost Inputs'!$M$152=2,'Cost Inputs'!$M$152=3,'Cost Inputs'!$M$152=6)), $E693, ""),"")),""),"")</f>
        <v/>
      </c>
      <c r="AB693" s="93" t="str">
        <f>IF(ISNUMBER($B$537), IF($C693&lt;&gt;"", IF('Cost Inputs'!$L$152="Y", $E693, IF('Cost Inputs'!$L$152="N", IF(AND(ISNUMBER('Cost Inputs'!$M$152), OR('Cost Inputs'!$M$152=2,'Cost Inputs'!$M$152=7)), $E693, ""),"")),""),"")</f>
        <v/>
      </c>
      <c r="AC693" s="93" t="str">
        <f>IF(ISNUMBER($B$537), IF($C693&lt;&gt;"", IF('Cost Inputs'!$L$152="Y", $E693, IF('Cost Inputs'!$L$152="N", IF(AND(ISNUMBER('Cost Inputs'!$M$152), OR('Cost Inputs'!$M$152=2,'Cost Inputs'!$M$152=4,'Cost Inputs'!$M$152=8)), $E693, ""),"")),""),"")</f>
        <v/>
      </c>
      <c r="AD693" s="93" t="str">
        <f>IF(ISNUMBER($B$537), IF($C693&lt;&gt;"", IF('Cost Inputs'!$L$152="Y", $E693, IF('Cost Inputs'!$L$152="N", IF(AND(ISNUMBER('Cost Inputs'!$M$152), OR('Cost Inputs'!$M$152=2,'Cost Inputs'!$M$152=3,'Cost Inputs'!$M$152=9)), $E693, ""),"")),""),"")</f>
        <v/>
      </c>
    </row>
    <row r="694" spans="1:30" x14ac:dyDescent="0.25">
      <c r="A694" s="518"/>
      <c r="B694" s="504"/>
      <c r="C694" s="104" t="str">
        <f>IF(AND(ISNUMBER(B687), OR('Cost Inputs'!$H$153&lt;&gt;"", 'Cost Inputs'!$I$153&lt;&gt;"", 'Cost Inputs'!$J$153&lt;&gt;"")), _5_4_3, "")</f>
        <v/>
      </c>
      <c r="D694" s="17" t="str">
        <f>IF(AND(C694&lt;&gt;"", 'Cost Inputs'!$G$153&lt;&gt;""), 'Cost Inputs'!$G$153, "")</f>
        <v/>
      </c>
      <c r="E694" s="17" t="str">
        <f>IF(AND(C694&lt;&gt;"", 'Cost Inputs'!$H$153&lt;&gt;""), 'Cost Inputs'!$H$153, "")</f>
        <v/>
      </c>
      <c r="F694" s="17" t="str">
        <f>IF(AND(C694&lt;&gt;"", 'Cost Inputs'!$I$153&lt;&gt;""), 'Cost Inputs'!$I$153, "")</f>
        <v/>
      </c>
      <c r="G694" s="105" t="str">
        <f t="shared" si="469"/>
        <v/>
      </c>
      <c r="H694" s="17" t="str">
        <f>IF(AND(C694&lt;&gt;"", 'Cost Inputs'!$J$153&lt;&gt;""), 'Cost Inputs'!$J$153, "")</f>
        <v/>
      </c>
      <c r="I694" s="17" t="str">
        <f t="shared" si="470"/>
        <v/>
      </c>
      <c r="J694" s="17" t="str">
        <f>IF(AND(C694&lt;&gt;"",('Cost Inputs'!$I$153+'Cost Inputs'!$J$153+'Cost Inputs'!$K$153)&gt;0), 'Cost Inputs'!$I$153+'Cost Inputs'!$J$153+'Cost Inputs'!$K$153, "")</f>
        <v/>
      </c>
      <c r="K694" s="17" t="str">
        <f t="shared" si="471"/>
        <v/>
      </c>
      <c r="M694" s="106"/>
      <c r="U694" s="17" t="str">
        <f>IF(ISNUMBER($B$537), IF($C694&lt;&gt;"", IF('Cost Inputs'!$L$153="Y", $E694, IF('Cost Inputs'!$L$153="N", IF(ISNUMBER('Cost Inputs'!$M$153), $E694, ""),"")),""),"")</f>
        <v/>
      </c>
      <c r="V694" s="17" t="str">
        <f>IF(ISNUMBER($B$537), IF($C694&lt;&gt;"", IF('Cost Inputs'!$L$153="Y", $E694, IF('Cost Inputs'!$L$153="N", "", "")),""),"")</f>
        <v/>
      </c>
      <c r="W694" s="17" t="str">
        <f>IF(ISNUMBER($B$537), IF($C694&lt;&gt;"", IF('Cost Inputs'!$L$153="Y", $E694, IF('Cost Inputs'!$L$153="N", IF(AND(ISNUMBER('Cost Inputs'!$M$153), OR('Cost Inputs'!$M$153=2)), $E694, ""),"")),""),"")</f>
        <v/>
      </c>
      <c r="X694" s="17" t="str">
        <f>IF(ISNUMBER($B$537), IF($C694&lt;&gt;"", IF('Cost Inputs'!$L$153="Y", $E694, IF('Cost Inputs'!$L$153="N", IF(AND(ISNUMBER('Cost Inputs'!$M$153), OR('Cost Inputs'!$M$153=3)), $E694, ""),"")),""),"")</f>
        <v/>
      </c>
      <c r="Y694" s="17" t="str">
        <f>IF(ISNUMBER($B$537), IF($C694&lt;&gt;"", IF('Cost Inputs'!$L$153="Y", $E694, IF('Cost Inputs'!$L$153="N", IF(AND(ISNUMBER('Cost Inputs'!$M$153), OR('Cost Inputs'!$M$153=2, 'Cost Inputs'!$M$153=4)), $E694, ""),"")),""),"")</f>
        <v/>
      </c>
      <c r="Z694" s="17" t="str">
        <f>IF(ISNUMBER($B$537), IF($C694&lt;&gt;"", IF('Cost Inputs'!$L$153="Y", $E694, IF('Cost Inputs'!$L$153="N", IF(AND(ISNUMBER('Cost Inputs'!$M$153), OR('Cost Inputs'!$M$153=2,'Cost Inputs'!$M$153=5)), $E694, ""),"")),""),"")</f>
        <v/>
      </c>
      <c r="AA694" s="17" t="str">
        <f>IF(ISNUMBER($B$537), IF($C694&lt;&gt;"", IF('Cost Inputs'!$L$153="Y", $E694, IF('Cost Inputs'!$L$153="N", IF(AND(ISNUMBER('Cost Inputs'!$M$153), OR('Cost Inputs'!$M$153=2,'Cost Inputs'!$M$153=3,'Cost Inputs'!$M$153=6)), $E694, ""),"")),""),"")</f>
        <v/>
      </c>
      <c r="AB694" s="17" t="str">
        <f>IF(ISNUMBER($B$537), IF($C694&lt;&gt;"", IF('Cost Inputs'!$L$153="Y", $E694, IF('Cost Inputs'!$L$153="N", IF(AND(ISNUMBER('Cost Inputs'!$M$153), OR('Cost Inputs'!$M$153=2,'Cost Inputs'!$M$153=7)), $E694, ""),"")),""),"")</f>
        <v/>
      </c>
      <c r="AC694" s="17" t="str">
        <f>IF(ISNUMBER($B$537), IF($C694&lt;&gt;"", IF('Cost Inputs'!$L$153="Y", $E694, IF('Cost Inputs'!$L$153="N", IF(AND(ISNUMBER('Cost Inputs'!$M$153), OR('Cost Inputs'!$M$153=2,'Cost Inputs'!$M$153=4,'Cost Inputs'!$M$153=8)), $E694, ""),"")),""),"")</f>
        <v/>
      </c>
      <c r="AD694" s="17" t="str">
        <f>IF(ISNUMBER($B$537), IF($C694&lt;&gt;"", IF('Cost Inputs'!$L$153="Y", $E694, IF('Cost Inputs'!$L$153="N", IF(AND(ISNUMBER('Cost Inputs'!$M$153), OR('Cost Inputs'!$M$153=2,'Cost Inputs'!$M$153=3,'Cost Inputs'!$M$153=9)), $E694, ""),"")),""),"")</f>
        <v/>
      </c>
    </row>
    <row r="695" spans="1:30" x14ac:dyDescent="0.25">
      <c r="A695" s="518"/>
      <c r="B695" s="504"/>
      <c r="C695" s="107" t="str">
        <f>IF(AND(ISNUMBER(B687), OR('Cost Inputs'!$H$154&lt;&gt;"", 'Cost Inputs'!$I$154&lt;&gt;"", 'Cost Inputs'!$J$154&lt;&gt;"")), _5_4_4, "")</f>
        <v/>
      </c>
      <c r="D695" s="93" t="str">
        <f>IF(AND(C695&lt;&gt;"", 'Cost Inputs'!$G$154&lt;&gt;""), 'Cost Inputs'!$G$154, "")</f>
        <v/>
      </c>
      <c r="E695" s="93" t="str">
        <f>IF(AND(C695&lt;&gt;"", 'Cost Inputs'!$H$154&lt;&gt;""), 'Cost Inputs'!$H$154, "")</f>
        <v/>
      </c>
      <c r="F695" s="93" t="str">
        <f>IF(AND(C695&lt;&gt;"", 'Cost Inputs'!$I$154&lt;&gt;""), 'Cost Inputs'!$I$154, "")</f>
        <v/>
      </c>
      <c r="G695" s="108" t="str">
        <f t="shared" si="469"/>
        <v/>
      </c>
      <c r="H695" s="93" t="str">
        <f>IF(AND(C695&lt;&gt;"", 'Cost Inputs'!$J$154&lt;&gt;""), 'Cost Inputs'!$J$154, "")</f>
        <v/>
      </c>
      <c r="I695" s="93" t="str">
        <f t="shared" si="470"/>
        <v/>
      </c>
      <c r="J695" s="93" t="str">
        <f>IF(AND(C695&lt;&gt;"",('Cost Inputs'!$I$154+'Cost Inputs'!$J$154+'Cost Inputs'!$K$154)&gt;0), 'Cost Inputs'!$I$154+'Cost Inputs'!$J$154+'Cost Inputs'!$K$154, "")</f>
        <v/>
      </c>
      <c r="K695" s="93" t="str">
        <f t="shared" si="471"/>
        <v/>
      </c>
      <c r="L695" s="93"/>
      <c r="M695" s="109"/>
      <c r="U695" s="93" t="str">
        <f>IF(ISNUMBER($B$537), IF($C695&lt;&gt;"", IF('Cost Inputs'!$L$154="Y", $E695, IF('Cost Inputs'!$L$154="N", IF(ISNUMBER('Cost Inputs'!$M$154), $E695, ""),"")),""),"")</f>
        <v/>
      </c>
      <c r="V695" s="93" t="str">
        <f>IF(ISNUMBER($B$537), IF($C695&lt;&gt;"", IF('Cost Inputs'!$L$154="Y", $E695, IF('Cost Inputs'!$L$154="N", "", "")),""),"")</f>
        <v/>
      </c>
      <c r="W695" s="93" t="str">
        <f>IF(ISNUMBER($B$537), IF($C695&lt;&gt;"", IF('Cost Inputs'!$L$154="Y", $E695, IF('Cost Inputs'!$L$154="N", IF(AND(ISNUMBER('Cost Inputs'!$M$154), OR('Cost Inputs'!$M$154=2)), $E695, ""),"")),""),"")</f>
        <v/>
      </c>
      <c r="X695" s="93" t="str">
        <f>IF(ISNUMBER($B$537), IF($C695&lt;&gt;"", IF('Cost Inputs'!$L$154="Y", $E695, IF('Cost Inputs'!$L$154="N", IF(AND(ISNUMBER('Cost Inputs'!$M$154), OR('Cost Inputs'!$M$154=3)), $E695, ""),"")),""),"")</f>
        <v/>
      </c>
      <c r="Y695" s="93" t="str">
        <f>IF(ISNUMBER($B$537), IF($C695&lt;&gt;"", IF('Cost Inputs'!$L$154="Y", $E695, IF('Cost Inputs'!$L$154="N", IF(AND(ISNUMBER('Cost Inputs'!$M$154), OR('Cost Inputs'!$M$154=2, 'Cost Inputs'!$M$154=4)), $E695, ""),"")),""),"")</f>
        <v/>
      </c>
      <c r="Z695" s="93" t="str">
        <f>IF(ISNUMBER($B$537), IF($C695&lt;&gt;"", IF('Cost Inputs'!$L$154="Y", $E695, IF('Cost Inputs'!$L$154="N", IF(AND(ISNUMBER('Cost Inputs'!$M$154), OR('Cost Inputs'!$M$154=2,'Cost Inputs'!$M$154=5)), $E695, ""),"")),""),"")</f>
        <v/>
      </c>
      <c r="AA695" s="93" t="str">
        <f>IF(ISNUMBER($B$537), IF($C695&lt;&gt;"", IF('Cost Inputs'!$L$154="Y", $E695, IF('Cost Inputs'!$L$154="N", IF(AND(ISNUMBER('Cost Inputs'!$M$154), OR('Cost Inputs'!$M$154=2,'Cost Inputs'!$M$154=3,'Cost Inputs'!$M$154=6)), $E695, ""),"")),""),"")</f>
        <v/>
      </c>
      <c r="AB695" s="93" t="str">
        <f>IF(ISNUMBER($B$537), IF($C695&lt;&gt;"", IF('Cost Inputs'!$L$154="Y", $E695, IF('Cost Inputs'!$L$154="N", IF(AND(ISNUMBER('Cost Inputs'!$M$154), OR('Cost Inputs'!$M$154=2,'Cost Inputs'!$M$154=7)), $E695, ""),"")),""),"")</f>
        <v/>
      </c>
      <c r="AC695" s="93" t="str">
        <f>IF(ISNUMBER($B$537), IF($C695&lt;&gt;"", IF('Cost Inputs'!$L$154="Y", $E695, IF('Cost Inputs'!$L$154="N", IF(AND(ISNUMBER('Cost Inputs'!$M$154), OR('Cost Inputs'!$M$154=2,'Cost Inputs'!$M$154=4,'Cost Inputs'!$M$154=8)), $E695, ""),"")),""),"")</f>
        <v/>
      </c>
      <c r="AD695" s="93" t="str">
        <f>IF(ISNUMBER($B$537), IF($C695&lt;&gt;"", IF('Cost Inputs'!$L$154="Y", $E695, IF('Cost Inputs'!$L$154="N", IF(AND(ISNUMBER('Cost Inputs'!$M$154), OR('Cost Inputs'!$M$154=2,'Cost Inputs'!$M$154=3,'Cost Inputs'!$M$154=9)), $E695, ""),"")),""),"")</f>
        <v/>
      </c>
    </row>
    <row r="696" spans="1:30" x14ac:dyDescent="0.25">
      <c r="A696" s="518"/>
      <c r="B696" s="504"/>
      <c r="C696" s="104" t="str">
        <f>IF(AND(ISNUMBER(B687), OR('Cost Inputs'!$H$155&lt;&gt;"", 'Cost Inputs'!$I$155&lt;&gt;"", 'Cost Inputs'!$J$155&lt;&gt;"")), _5_4_5, "")</f>
        <v/>
      </c>
      <c r="D696" s="17" t="str">
        <f>IF(AND(C696&lt;&gt;"", 'Cost Inputs'!$G$155&lt;&gt;""), 'Cost Inputs'!$G$155, "")</f>
        <v/>
      </c>
      <c r="E696" s="17" t="str">
        <f>IF(AND(C696&lt;&gt;"", 'Cost Inputs'!$H$155&lt;&gt;""), 'Cost Inputs'!$H$155, "")</f>
        <v/>
      </c>
      <c r="F696" s="17" t="str">
        <f>IF(AND(C696&lt;&gt;"", 'Cost Inputs'!$I$155&lt;&gt;""), 'Cost Inputs'!$I$155, "")</f>
        <v/>
      </c>
      <c r="G696" s="105" t="str">
        <f t="shared" si="469"/>
        <v/>
      </c>
      <c r="H696" s="17" t="str">
        <f>IF(AND(C696&lt;&gt;"", 'Cost Inputs'!$J$155&lt;&gt;""), 'Cost Inputs'!$J$155, "")</f>
        <v/>
      </c>
      <c r="I696" s="17" t="str">
        <f t="shared" si="470"/>
        <v/>
      </c>
      <c r="J696" s="17" t="str">
        <f>IF(AND(C696&lt;&gt;"",('Cost Inputs'!$I$155+'Cost Inputs'!$J$155+'Cost Inputs'!$K$155)&gt;0), 'Cost Inputs'!$I$155+'Cost Inputs'!$J$155+'Cost Inputs'!$K$155, "")</f>
        <v/>
      </c>
      <c r="K696" s="17" t="str">
        <f t="shared" si="471"/>
        <v/>
      </c>
      <c r="M696" s="106"/>
      <c r="U696" s="17" t="str">
        <f>IF(ISNUMBER($B$537), IF($C696&lt;&gt;"", IF('Cost Inputs'!$L$155="Y", $E696, IF('Cost Inputs'!$L$155="N", IF(ISNUMBER('Cost Inputs'!$M$155), $E696, ""),"")),""),"")</f>
        <v/>
      </c>
      <c r="V696" s="17" t="str">
        <f>IF(ISNUMBER($B$537), IF($C696&lt;&gt;"", IF('Cost Inputs'!$L$155="Y", $E696, IF('Cost Inputs'!$L$155="N", "", "")),""),"")</f>
        <v/>
      </c>
      <c r="W696" s="17" t="str">
        <f>IF(ISNUMBER($B$537), IF($C696&lt;&gt;"", IF('Cost Inputs'!$L$155="Y", $E696, IF('Cost Inputs'!$L$155="N", IF(AND(ISNUMBER('Cost Inputs'!$M$155), OR('Cost Inputs'!$M$155=2)), $E696, ""),"")),""),"")</f>
        <v/>
      </c>
      <c r="X696" s="17" t="str">
        <f>IF(ISNUMBER($B$537), IF($C696&lt;&gt;"", IF('Cost Inputs'!$L$155="Y", $E696, IF('Cost Inputs'!$L$155="N", IF(AND(ISNUMBER('Cost Inputs'!$M$155), OR('Cost Inputs'!$M$155=3)), $E696, ""),"")),""),"")</f>
        <v/>
      </c>
      <c r="Y696" s="17" t="str">
        <f>IF(ISNUMBER($B$537), IF($C696&lt;&gt;"", IF('Cost Inputs'!$L$155="Y", $E696, IF('Cost Inputs'!$L$155="N", IF(AND(ISNUMBER('Cost Inputs'!$M$155), OR('Cost Inputs'!$M$155=2, 'Cost Inputs'!$M$155=4)), $E696, ""),"")),""),"")</f>
        <v/>
      </c>
      <c r="Z696" s="17" t="str">
        <f>IF(ISNUMBER($B$537), IF($C696&lt;&gt;"", IF('Cost Inputs'!$L$155="Y", $E696, IF('Cost Inputs'!$L$155="N", IF(AND(ISNUMBER('Cost Inputs'!$M$155), OR('Cost Inputs'!$M$155=2,'Cost Inputs'!$M$155=5)), $E696, ""),"")),""),"")</f>
        <v/>
      </c>
      <c r="AA696" s="17" t="str">
        <f>IF(ISNUMBER($B$537), IF($C696&lt;&gt;"", IF('Cost Inputs'!$L$155="Y", $E696, IF('Cost Inputs'!$L$155="N", IF(AND(ISNUMBER('Cost Inputs'!$M$155), OR('Cost Inputs'!$M$155=2,'Cost Inputs'!$M$155=3,'Cost Inputs'!$M$155=6)), $E696, ""),"")),""),"")</f>
        <v/>
      </c>
      <c r="AB696" s="17" t="str">
        <f>IF(ISNUMBER($B$537), IF($C696&lt;&gt;"", IF('Cost Inputs'!$L$155="Y", $E696, IF('Cost Inputs'!$L$155="N", IF(AND(ISNUMBER('Cost Inputs'!$M$155), OR('Cost Inputs'!$M$155=2,'Cost Inputs'!$M$155=7)), $E696, ""),"")),""),"")</f>
        <v/>
      </c>
      <c r="AC696" s="17" t="str">
        <f>IF(ISNUMBER($B$537), IF($C696&lt;&gt;"", IF('Cost Inputs'!$L$155="Y", $E696, IF('Cost Inputs'!$L$155="N", IF(AND(ISNUMBER('Cost Inputs'!$M$155), OR('Cost Inputs'!$M$155=2,'Cost Inputs'!$M$155=4,'Cost Inputs'!$M$155=8)), $E696, ""),"")),""),"")</f>
        <v/>
      </c>
      <c r="AD696" s="17" t="str">
        <f>IF(ISNUMBER($B$537), IF($C696&lt;&gt;"", IF('Cost Inputs'!$L$155="Y", $E696, IF('Cost Inputs'!$L$155="N", IF(AND(ISNUMBER('Cost Inputs'!$M$155), OR('Cost Inputs'!$M$155=2,'Cost Inputs'!$M$155=3,'Cost Inputs'!$M$155=9)), $E696, ""),"")),""),"")</f>
        <v/>
      </c>
    </row>
    <row r="697" spans="1:30" x14ac:dyDescent="0.25">
      <c r="A697" s="518"/>
      <c r="B697" s="504"/>
      <c r="C697" s="107" t="str">
        <f>IF(AND(ISNUMBER(B687), OR('Cost Inputs'!$H$156&lt;&gt;"", 'Cost Inputs'!$I$156&lt;&gt;"", 'Cost Inputs'!$J$156&lt;&gt;"")), _5_4_6, "")</f>
        <v/>
      </c>
      <c r="D697" s="93" t="str">
        <f>IF(AND(C697&lt;&gt;"", 'Cost Inputs'!$G$156&lt;&gt;""), 'Cost Inputs'!$G$156, "")</f>
        <v/>
      </c>
      <c r="E697" s="93" t="str">
        <f>IF(AND(C697&lt;&gt;"", 'Cost Inputs'!$H$156&lt;&gt;""), 'Cost Inputs'!$H$156, "")</f>
        <v/>
      </c>
      <c r="F697" s="93" t="str">
        <f>IF(AND(C697&lt;&gt;"", 'Cost Inputs'!$I$156&lt;&gt;""), 'Cost Inputs'!$I$156, "")</f>
        <v/>
      </c>
      <c r="G697" s="108" t="str">
        <f t="shared" si="469"/>
        <v/>
      </c>
      <c r="H697" s="93" t="str">
        <f>IF(AND(C697&lt;&gt;"", 'Cost Inputs'!$J$156&lt;&gt;""), 'Cost Inputs'!$J$16, "")</f>
        <v/>
      </c>
      <c r="I697" s="93" t="str">
        <f t="shared" si="470"/>
        <v/>
      </c>
      <c r="J697" s="93" t="str">
        <f>IF(AND(C697&lt;&gt;"",('Cost Inputs'!$I$156+'Cost Inputs'!$J$156+'Cost Inputs'!$K$156)&gt;0), 'Cost Inputs'!$I$156+'Cost Inputs'!$J$156+'Cost Inputs'!$K$156, "")</f>
        <v/>
      </c>
      <c r="K697" s="93" t="str">
        <f t="shared" si="471"/>
        <v/>
      </c>
      <c r="L697" s="93"/>
      <c r="M697" s="109"/>
      <c r="U697" s="93" t="str">
        <f>IF(ISNUMBER($B$537), IF($C697&lt;&gt;"", IF('Cost Inputs'!$L$156="Y", $E697, IF('Cost Inputs'!$L$156="N", IF(ISNUMBER('Cost Inputs'!$M$156), $E697, ""),"")),""),"")</f>
        <v/>
      </c>
      <c r="V697" s="93" t="str">
        <f>IF(ISNUMBER($B$537), IF($C697&lt;&gt;"", IF('Cost Inputs'!$L$156="Y", $E697, IF('Cost Inputs'!$L$156="N", "", "")),""),"")</f>
        <v/>
      </c>
      <c r="W697" s="93" t="str">
        <f>IF(ISNUMBER($B$537), IF($C697&lt;&gt;"", IF('Cost Inputs'!$L$156="Y", $E697, IF('Cost Inputs'!$L$156="N", IF(AND(ISNUMBER('Cost Inputs'!$M$156), OR('Cost Inputs'!$M$156=2)), $E697, ""),"")),""),"")</f>
        <v/>
      </c>
      <c r="X697" s="93" t="str">
        <f>IF(ISNUMBER($B$537), IF($C697&lt;&gt;"", IF('Cost Inputs'!$L$156="Y", $E697, IF('Cost Inputs'!$L$156="N", IF(AND(ISNUMBER('Cost Inputs'!$M$156), OR('Cost Inputs'!$M$156=3)), $E697, ""),"")),""),"")</f>
        <v/>
      </c>
      <c r="Y697" s="93" t="str">
        <f>IF(ISNUMBER($B$537), IF($C697&lt;&gt;"", IF('Cost Inputs'!$L$156="Y", $E697, IF('Cost Inputs'!$L$156="N", IF(AND(ISNUMBER('Cost Inputs'!$M$156), OR('Cost Inputs'!$M$156=2, 'Cost Inputs'!$M$156=4)), $E697, ""),"")),""),"")</f>
        <v/>
      </c>
      <c r="Z697" s="93" t="str">
        <f>IF(ISNUMBER($B$537), IF($C697&lt;&gt;"", IF('Cost Inputs'!$L$156="Y", $E697, IF('Cost Inputs'!$L$156="N", IF(AND(ISNUMBER('Cost Inputs'!$M$156), OR('Cost Inputs'!$M$156=2,'Cost Inputs'!$M$156=5)), $E697, ""),"")),""),"")</f>
        <v/>
      </c>
      <c r="AA697" s="93" t="str">
        <f>IF(ISNUMBER($B$537), IF($C697&lt;&gt;"", IF('Cost Inputs'!$L$156="Y", $E697, IF('Cost Inputs'!$L$156="N", IF(AND(ISNUMBER('Cost Inputs'!$M$156), OR('Cost Inputs'!$M$156=2,'Cost Inputs'!$M$156=3,'Cost Inputs'!$M$156=6)), $E697, ""),"")),""),"")</f>
        <v/>
      </c>
      <c r="AB697" s="93" t="str">
        <f>IF(ISNUMBER($B$537), IF($C697&lt;&gt;"", IF('Cost Inputs'!$L$156="Y", $E697, IF('Cost Inputs'!$L$156="N", IF(AND(ISNUMBER('Cost Inputs'!$M$156), OR('Cost Inputs'!$M$156=2,'Cost Inputs'!$M$156=7)), $E697, ""),"")),""),"")</f>
        <v/>
      </c>
      <c r="AC697" s="93" t="str">
        <f>IF(ISNUMBER($B$537), IF($C697&lt;&gt;"", IF('Cost Inputs'!$L$156="Y", $E697, IF('Cost Inputs'!$L$156="N", IF(AND(ISNUMBER('Cost Inputs'!$M$156), OR('Cost Inputs'!$M$156=2,'Cost Inputs'!$M$156=4,'Cost Inputs'!$M$156=8)), $E697, ""),"")),""),"")</f>
        <v/>
      </c>
      <c r="AD697" s="93" t="str">
        <f>IF(ISNUMBER($B$537), IF($C697&lt;&gt;"", IF('Cost Inputs'!$L$156="Y", $E697, IF('Cost Inputs'!$L$156="N", IF(AND(ISNUMBER('Cost Inputs'!$M$156), OR('Cost Inputs'!$M$156=2,'Cost Inputs'!$M$156=3,'Cost Inputs'!$M$156=9)), $E697, ""),"")),""),"")</f>
        <v/>
      </c>
    </row>
    <row r="698" spans="1:30" x14ac:dyDescent="0.25">
      <c r="A698" s="518"/>
      <c r="B698" s="504"/>
      <c r="C698" s="521" t="str">
        <f>IF(AND(B687&lt;&gt;"",ISNUMBER(B687),ISNUMBER(Stage3EvaluationBegins)),IF((INDEX(ProgramYearStage3,MATCH(Stage3EvaluationBegins,Years_in_Stage3,0)))=B687,_5_5_0,IF(AND(B687&lt;&gt;"",C676&lt;&gt;""),_5_5_0,IF(AND(B687&lt;&gt;"",ISNUMBER(B687),OR(Stage3EvaluationBegins=0,Stage3EvaluationBegins="")),"",""))),"")</f>
        <v/>
      </c>
      <c r="D698" s="94" t="str">
        <f>IF(AND(C698&lt;&gt;"", 'Cost Inputs'!$G$157&lt;&gt;""), 'Cost Inputs'!$G$157, "")</f>
        <v/>
      </c>
      <c r="E698" s="94" t="str">
        <f>IF(AND(C698&lt;&gt;"", 'Cost Inputs'!$H$157&lt;&gt;""), 'Cost Inputs'!$H$157, "")</f>
        <v/>
      </c>
      <c r="F698" s="492" t="str">
        <f>IF(AND(C698&lt;&gt;"", 'Cost Inputs'!$I$157&lt;&gt;""), 'Cost Inputs'!$I$157, "")</f>
        <v/>
      </c>
      <c r="G698" s="102" t="str">
        <f t="shared" si="469"/>
        <v/>
      </c>
      <c r="H698" s="492" t="str">
        <f>IF(AND(C698&lt;&gt;"", 'Cost Inputs'!$J$157&lt;&gt;""), 'Cost Inputs'!$J$157, "")</f>
        <v/>
      </c>
      <c r="I698" s="102" t="str">
        <f>IF($C698&lt;&gt;"",IF(AND($E698&lt;&gt;"",H698&lt;&gt;""), H698/$E698, 0),"")</f>
        <v/>
      </c>
      <c r="J698" s="492" t="str">
        <f>IF(AND(C698&lt;&gt;"",('Cost Inputs'!$I$157+'Cost Inputs'!$J$157+'Cost Inputs'!$K$157)&gt;0), 'Cost Inputs'!$I$157+'Cost Inputs'!$J$157+'Cost Inputs'!$K$157, "")</f>
        <v/>
      </c>
      <c r="K698" s="102" t="str">
        <f>IF($C698&lt;&gt;"",IF(AND($E698&lt;&gt;"",J698&lt;&gt;""), J698/$E698, 0),"")</f>
        <v/>
      </c>
      <c r="L698" s="94"/>
      <c r="M698" s="103"/>
      <c r="U698" s="492" t="str">
        <f>IF(ISNUMBER($B$537), IF($C698&lt;&gt;"", IF('Cost Inputs'!$L$157="Y", $E698, IF('Cost Inputs'!$L$157="N", IF(ISNUMBER('Cost Inputs'!$M$157), $E698, ""),"")),""),"")</f>
        <v/>
      </c>
      <c r="V698" s="492" t="str">
        <f>IF(ISNUMBER($B$537), IF($C698&lt;&gt;"", IF('Cost Inputs'!$L$157="Y", $E698, IF('Cost Inputs'!$L$157="N", "", "")),""),"")</f>
        <v/>
      </c>
      <c r="W698" s="492" t="str">
        <f>IF(ISNUMBER($B$537), IF($C698&lt;&gt;"", IF('Cost Inputs'!$L$157="Y", $E698, IF('Cost Inputs'!$L$157="N", IF(AND(ISNUMBER('Cost Inputs'!$M$157), OR('Cost Inputs'!$M$157=2)), $E698, ""),"")),""),"")</f>
        <v/>
      </c>
      <c r="X698" s="492" t="str">
        <f>IF(ISNUMBER($B$537), IF($C698&lt;&gt;"", IF('Cost Inputs'!$L$157="Y", $E698, IF('Cost Inputs'!$L$157="N", IF(AND(ISNUMBER('Cost Inputs'!$M$157), OR('Cost Inputs'!$M$157=3)), $E698, ""),"")),""),"")</f>
        <v/>
      </c>
      <c r="Y698" s="492" t="str">
        <f>IF(ISNUMBER($B$537), IF($C698&lt;&gt;"", IF('Cost Inputs'!$L$157="Y", $E698, IF('Cost Inputs'!$L$157="N", IF(AND(ISNUMBER('Cost Inputs'!$M$157), OR('Cost Inputs'!$M$157=2, 'Cost Inputs'!$M$157=4)), $E698, ""),"")),""),"")</f>
        <v/>
      </c>
      <c r="Z698" s="492" t="str">
        <f>IF(ISNUMBER($B$537), IF($C698&lt;&gt;"", IF('Cost Inputs'!$L$157="Y", $E698, IF('Cost Inputs'!$L$157="N", IF(AND(ISNUMBER('Cost Inputs'!$M$157), OR('Cost Inputs'!$M$157=2,'Cost Inputs'!$M$157=5)), $E698, ""),"")),""),"")</f>
        <v/>
      </c>
      <c r="AA698" s="492" t="str">
        <f>IF(ISNUMBER($B$537), IF($C698&lt;&gt;"", IF('Cost Inputs'!$L$157="Y", $E698, IF('Cost Inputs'!$L$157="N", IF(AND(ISNUMBER('Cost Inputs'!$M$157), OR('Cost Inputs'!$M$157=2,'Cost Inputs'!$M$157=3,'Cost Inputs'!$M$157=6)), $E698, ""),"")),""),"")</f>
        <v/>
      </c>
      <c r="AB698" s="492" t="str">
        <f>IF(ISNUMBER($B$537), IF($C698&lt;&gt;"", IF('Cost Inputs'!$L$157="Y", $E698, IF('Cost Inputs'!$L$157="N", IF(AND(ISNUMBER('Cost Inputs'!$M$157), OR('Cost Inputs'!$M$157=2,'Cost Inputs'!$M$157=7)), $E698, ""),"")),""),"")</f>
        <v/>
      </c>
      <c r="AC698" s="492" t="str">
        <f>IF(ISNUMBER($B$537), IF($C698&lt;&gt;"", IF('Cost Inputs'!$L$157="Y", $E698, IF('Cost Inputs'!$L$157="N", IF(AND(ISNUMBER('Cost Inputs'!$M$157), OR('Cost Inputs'!$M$157=2,'Cost Inputs'!$M$157=4,'Cost Inputs'!$M$157=8)), $E698, ""),"")),""),"")</f>
        <v/>
      </c>
      <c r="AD698" s="492" t="str">
        <f>IF(ISNUMBER($B$537), IF($C698&lt;&gt;"", IF('Cost Inputs'!$L$157="Y", $E698, IF('Cost Inputs'!$L$157="N", IF(AND(ISNUMBER('Cost Inputs'!$M$157), OR('Cost Inputs'!$M$157=2,'Cost Inputs'!$M$157=3,'Cost Inputs'!$M$157=9)), $E698, ""),"")),""),"")</f>
        <v/>
      </c>
    </row>
    <row r="699" spans="1:30" x14ac:dyDescent="0.25">
      <c r="A699" s="518"/>
      <c r="B699" s="504"/>
      <c r="C699" s="521"/>
      <c r="D699" s="94" t="str">
        <f>IF(AND(C698&lt;&gt;"", 'Cost Inputs'!$G$158&lt;&gt;""), 'Cost Inputs'!$G$158, "")</f>
        <v/>
      </c>
      <c r="E699" s="94" t="str">
        <f>IF(AND(C698&lt;&gt;"", 'Cost Inputs'!$H$158&lt;&gt;""), 'Cost Inputs'!$H$158, "")</f>
        <v/>
      </c>
      <c r="F699" s="492"/>
      <c r="G699" s="102" t="str">
        <f t="shared" si="469"/>
        <v/>
      </c>
      <c r="H699" s="492"/>
      <c r="I699" s="102" t="str">
        <f>IF($C698&lt;&gt;"", IF(AND($E699&lt;&gt;"", H698&lt;&gt;""), H698/($E698*$E699), 0), "")</f>
        <v/>
      </c>
      <c r="J699" s="492" t="str">
        <f>IF(AND(C699&lt;&gt;"",('Cost Inputs'!$I$86+'Cost Inputs'!$J$86+'Cost Inputs'!$K$86)&gt;0), 'Cost Inputs'!$I$86+'Cost Inputs'!$J$86+'Cost Inputs'!$K$86, "")</f>
        <v/>
      </c>
      <c r="K699" s="102" t="str">
        <f>IF($C698&lt;&gt;"", IF(AND($E699&lt;&gt;"", J698&lt;&gt;""), J698/($E698*$E699), 0), "")</f>
        <v/>
      </c>
      <c r="L699" s="94"/>
      <c r="M699" s="103"/>
      <c r="U699" s="492" t="str">
        <f>IF(ISNUMBER($B$537), IF($C699&lt;&gt;"", IF('Cost Inputs'!$L290="Y", $E699, IF('Cost Inputs'!$L290="N", IF(ISNUMBER('Cost Inputs'!$M290), $E699, ""),"")),""),"")</f>
        <v/>
      </c>
      <c r="V699" s="492" t="str">
        <f>IF(ISNUMBER($B$537), IF($C699&lt;&gt;"", IF('Cost Inputs'!$L290="Y", $E699, IF('Cost Inputs'!$L290="N", "", "")),""),"")</f>
        <v/>
      </c>
      <c r="W699" s="492" t="str">
        <f>IF(ISNUMBER($B$537), IF($C699&lt;&gt;"", IF('Cost Inputs'!$L290="Y", $E699, IF('Cost Inputs'!$L290="N", IF(AND(ISNUMBER('Cost Inputs'!$M290), OR('Cost Inputs'!$M290=2)), $E699, ""),"")),""),"")</f>
        <v/>
      </c>
      <c r="X699" s="492" t="str">
        <f>IF(ISNUMBER($B$537), IF($C699&lt;&gt;"", IF('Cost Inputs'!$L290="Y", $E699, IF('Cost Inputs'!$L290="N", IF(AND(ISNUMBER('Cost Inputs'!$M290), OR('Cost Inputs'!$M290=3)), $E699, ""),"")),""),"")</f>
        <v/>
      </c>
      <c r="Y699" s="492" t="str">
        <f>IF(ISNUMBER($B$537), IF($C699&lt;&gt;"", IF('Cost Inputs'!$L290="Y", $E699, IF('Cost Inputs'!$L290="N", IF(AND(ISNUMBER('Cost Inputs'!$M290), OR('Cost Inputs'!$M290=2, 'Cost Inputs'!$M290=4)), $E699, ""),"")),""),"")</f>
        <v/>
      </c>
      <c r="Z699" s="492" t="str">
        <f>IF(ISNUMBER($B$537), IF($C699&lt;&gt;"", IF('Cost Inputs'!$L290="Y", $E699, IF('Cost Inputs'!$L290="N", IF(AND(ISNUMBER('Cost Inputs'!$M290), OR('Cost Inputs'!$M290=2,'Cost Inputs'!$M290=5)), $E699, ""),"")),""),"")</f>
        <v/>
      </c>
      <c r="AA699" s="492" t="str">
        <f>IF(ISNUMBER($B$537), IF($C699&lt;&gt;"", IF('Cost Inputs'!$L290="Y", $E699, IF('Cost Inputs'!$L290="N", IF(AND(ISNUMBER('Cost Inputs'!$M290), OR('Cost Inputs'!$M290=2,'Cost Inputs'!$M290=3,'Cost Inputs'!$M290=6)), $E699, ""),"")),""),"")</f>
        <v/>
      </c>
      <c r="AB699" s="492" t="str">
        <f>IF(ISNUMBER($B$537), IF($C699&lt;&gt;"", IF('Cost Inputs'!$L290="Y", $E699, IF('Cost Inputs'!$L290="N", IF(AND(ISNUMBER('Cost Inputs'!$M290), OR('Cost Inputs'!$M290=2,'Cost Inputs'!$M290=7)), $E699, ""),"")),""),"")</f>
        <v/>
      </c>
      <c r="AC699" s="492" t="str">
        <f>IF(ISNUMBER($B$537), IF($C699&lt;&gt;"", IF('Cost Inputs'!$L290="Y", $E699, IF('Cost Inputs'!$L290="N", IF(AND(ISNUMBER('Cost Inputs'!$M290), OR('Cost Inputs'!$M290=2,'Cost Inputs'!$M290=4,'Cost Inputs'!$M290=8)), $E699, ""),"")),""),"")</f>
        <v/>
      </c>
      <c r="AD699" s="492" t="str">
        <f>IF(ISNUMBER($B$537), IF($C699&lt;&gt;"", IF('Cost Inputs'!$L290="Y", $E699, IF('Cost Inputs'!$L290="N", IF(AND(ISNUMBER('Cost Inputs'!$M290), OR('Cost Inputs'!$M290=2,'Cost Inputs'!$M290=3,'Cost Inputs'!$M290=9)), $E699, ""),"")),""),"")</f>
        <v/>
      </c>
    </row>
    <row r="700" spans="1:30" x14ac:dyDescent="0.25">
      <c r="A700" s="518"/>
      <c r="B700" s="504"/>
      <c r="C700" s="376" t="str">
        <f>IF(AND(ISNUMBER(B687), C698&lt;&gt;"", OR('Cost Inputs'!$H$159&lt;&gt;"", 'Cost Inputs'!$I$159&lt;&gt;"", 'Cost Inputs'!$J$159&lt;&gt;"")), _5_5_1, "")</f>
        <v/>
      </c>
      <c r="D700" s="17" t="str">
        <f>IF(AND(C700&lt;&gt;"", 'Cost Inputs'!$G$159&lt;&gt;""), 'Cost Inputs'!$G$159, "")</f>
        <v/>
      </c>
      <c r="E700" s="17" t="str">
        <f>IF(AND(C700&lt;&gt;"", 'Cost Inputs'!$H$159&lt;&gt;""), 'Cost Inputs'!$H$159, "")</f>
        <v/>
      </c>
      <c r="F700" s="493" t="str">
        <f>IF(AND(C700&lt;&gt;"", 'Cost Inputs'!$I$159&lt;&gt;""), 'Cost Inputs'!$I$159, "")</f>
        <v/>
      </c>
      <c r="G700" s="105" t="str">
        <f t="shared" si="469"/>
        <v/>
      </c>
      <c r="H700" s="493" t="str">
        <f>IF(AND(C700&lt;&gt;"", 'Cost Inputs'!$J$159&lt;&gt;""), 'Cost Inputs'!$J$159, "")</f>
        <v/>
      </c>
      <c r="I700" s="105" t="str">
        <f>IF($C700&lt;&gt;"",IF(AND($E700&lt;&gt;"",H700&lt;&gt;""), H700/$E700, 0),"")</f>
        <v/>
      </c>
      <c r="J700" s="493" t="str">
        <f>IF(AND(C700&lt;&gt;"",('Cost Inputs'!$I$159+'Cost Inputs'!$J$159+'Cost Inputs'!$K$159)&gt;0), 'Cost Inputs'!$I$159+'Cost Inputs'!$J$159+'Cost Inputs'!$K$159, "")</f>
        <v/>
      </c>
      <c r="K700" s="105" t="str">
        <f>IF($C700&lt;&gt;"",IF(AND($E700&lt;&gt;"",J700&lt;&gt;""), J700/$E700, 0),"")</f>
        <v/>
      </c>
      <c r="M700" s="106"/>
      <c r="U700" s="493" t="str">
        <f>IF(ISNUMBER($B$537), IF($C700&lt;&gt;"", IF('Cost Inputs'!$L$159="Y", $E700, IF('Cost Inputs'!$L$159="N", IF(ISNUMBER('Cost Inputs'!$M$159), $E700, ""),"")),""),"")</f>
        <v/>
      </c>
      <c r="V700" s="493" t="str">
        <f>IF(ISNUMBER($B$537), IF($C700&lt;&gt;"", IF('Cost Inputs'!$L$159="Y", $E700, IF('Cost Inputs'!$L$159="N", "", "")),""),"")</f>
        <v/>
      </c>
      <c r="W700" s="493" t="str">
        <f>IF(ISNUMBER($B$537), IF($C700&lt;&gt;"", IF('Cost Inputs'!$L$159="Y", $E700, IF('Cost Inputs'!$L$159="N", IF(AND(ISNUMBER('Cost Inputs'!$M$159), OR('Cost Inputs'!$M$159=2)), $E700, ""),"")),""),"")</f>
        <v/>
      </c>
      <c r="X700" s="493" t="str">
        <f>IF(ISNUMBER($B$537), IF($C700&lt;&gt;"", IF('Cost Inputs'!$L$159="Y", $E700, IF('Cost Inputs'!$L$159="N", IF(AND(ISNUMBER('Cost Inputs'!$M$159), OR('Cost Inputs'!$M$159=3)), $E700, ""),"")),""),"")</f>
        <v/>
      </c>
      <c r="Y700" s="493" t="str">
        <f>IF(ISNUMBER($B$537), IF($C700&lt;&gt;"", IF('Cost Inputs'!$L$159="Y", $E700, IF('Cost Inputs'!$L$159="N", IF(AND(ISNUMBER('Cost Inputs'!$M$159), OR('Cost Inputs'!$M$159=2, 'Cost Inputs'!$M$159=4)), $E700, ""),"")),""),"")</f>
        <v/>
      </c>
      <c r="Z700" s="493" t="str">
        <f>IF(ISNUMBER($B$537), IF($C700&lt;&gt;"", IF('Cost Inputs'!$L$159="Y", $E700, IF('Cost Inputs'!$L$159="N", IF(AND(ISNUMBER('Cost Inputs'!$M$159), OR('Cost Inputs'!$M$159=2,'Cost Inputs'!$M$159=5)), $E700, ""),"")),""),"")</f>
        <v/>
      </c>
      <c r="AA700" s="493" t="str">
        <f>IF(ISNUMBER($B$537), IF($C700&lt;&gt;"", IF('Cost Inputs'!$L$159="Y", $E700, IF('Cost Inputs'!$L$159="N", IF(AND(ISNUMBER('Cost Inputs'!$M$159), OR('Cost Inputs'!$M$159=2,'Cost Inputs'!$M$159=3,'Cost Inputs'!$M$159=6)), $E700, ""),"")),""),"")</f>
        <v/>
      </c>
      <c r="AB700" s="493" t="str">
        <f>IF(ISNUMBER($B$537), IF($C700&lt;&gt;"", IF('Cost Inputs'!$L$159="Y", $E700, IF('Cost Inputs'!$L$159="N", IF(AND(ISNUMBER('Cost Inputs'!$M$159), OR('Cost Inputs'!$M$159=2,'Cost Inputs'!$M$159=7)), $E700, ""),"")),""),"")</f>
        <v/>
      </c>
      <c r="AC700" s="493" t="str">
        <f>IF(ISNUMBER($B$537), IF($C700&lt;&gt;"", IF('Cost Inputs'!$L$159="Y", $E700, IF('Cost Inputs'!$L$159="N", IF(AND(ISNUMBER('Cost Inputs'!$M$159), OR('Cost Inputs'!$M$159=2,'Cost Inputs'!$M$159=4,'Cost Inputs'!$M$159=8)), $E700, ""),"")),""),"")</f>
        <v/>
      </c>
      <c r="AD700" s="493" t="str">
        <f>IF(ISNUMBER($B$537), IF($C700&lt;&gt;"", IF('Cost Inputs'!$L$159="Y", $E700, IF('Cost Inputs'!$L$159="N", IF(AND(ISNUMBER('Cost Inputs'!$M$159), OR('Cost Inputs'!$M$159=2,'Cost Inputs'!$M$159=3,'Cost Inputs'!$M$159=9)), $E700, ""),"")),""),"")</f>
        <v/>
      </c>
    </row>
    <row r="701" spans="1:30" x14ac:dyDescent="0.25">
      <c r="A701" s="518"/>
      <c r="B701" s="504"/>
      <c r="C701" s="376" t="str">
        <f>IF(AND(ISNUMBER(B683), OR('Cost Inputs'!$H$85&lt;&gt;"", 'Cost Inputs'!$I$85&lt;&gt;"", 'Cost Inputs'!$J$85&lt;&gt;"")), _3_5_1, "")</f>
        <v/>
      </c>
      <c r="D701" s="17" t="str">
        <f>IF(AND(C700&lt;&gt;"", 'Cost Inputs'!$G$160&lt;&gt;""), 'Cost Inputs'!$G$160, "")</f>
        <v/>
      </c>
      <c r="E701" s="17" t="str">
        <f>IF(AND(C700&lt;&gt;"", 'Cost Inputs'!$H$160&lt;&gt;""), 'Cost Inputs'!$H$160, "")</f>
        <v/>
      </c>
      <c r="F701" s="493"/>
      <c r="G701" s="105" t="str">
        <f t="shared" si="469"/>
        <v/>
      </c>
      <c r="H701" s="493"/>
      <c r="I701" s="105" t="str">
        <f>IF($C700&lt;&gt;"", IF(AND($E701&lt;&gt;"", H700&lt;&gt;""), H700/($E700*$E701), 0), "")</f>
        <v/>
      </c>
      <c r="J701" s="493" t="str">
        <f>IF(AND(C701&lt;&gt;"",('Cost Inputs'!$I$86+'Cost Inputs'!$J$86+'Cost Inputs'!$K$86)&gt;0), 'Cost Inputs'!$I$86+'Cost Inputs'!$J$86+'Cost Inputs'!$K$86, "")</f>
        <v/>
      </c>
      <c r="K701" s="105" t="str">
        <f>IF($C700&lt;&gt;"", IF(AND($E701&lt;&gt;"", J700&lt;&gt;""), J700/($E700*$E701), 0), "")</f>
        <v/>
      </c>
      <c r="M701" s="106"/>
      <c r="U701" s="493" t="str">
        <f>IF(ISNUMBER($B$537), IF($C701&lt;&gt;"", IF('Cost Inputs'!$L292="Y", $E701, IF('Cost Inputs'!$L292="N", IF(ISNUMBER('Cost Inputs'!$M292), $E701, ""),"")),""),"")</f>
        <v/>
      </c>
      <c r="V701" s="493" t="str">
        <f>IF(ISNUMBER($B$537), IF($C701&lt;&gt;"", IF('Cost Inputs'!$L292="Y", $E701, IF('Cost Inputs'!$L292="N", "", "")),""),"")</f>
        <v/>
      </c>
      <c r="W701" s="493" t="str">
        <f>IF(ISNUMBER($B$537), IF($C701&lt;&gt;"", IF('Cost Inputs'!$L292="Y", $E701, IF('Cost Inputs'!$L292="N", IF(AND(ISNUMBER('Cost Inputs'!$M292), OR('Cost Inputs'!$M292=2)), $E701, ""),"")),""),"")</f>
        <v/>
      </c>
      <c r="X701" s="493" t="str">
        <f>IF(ISNUMBER($B$537), IF($C701&lt;&gt;"", IF('Cost Inputs'!$L292="Y", $E701, IF('Cost Inputs'!$L292="N", IF(AND(ISNUMBER('Cost Inputs'!$M292), OR('Cost Inputs'!$M292=3)), $E701, ""),"")),""),"")</f>
        <v/>
      </c>
      <c r="Y701" s="493" t="str">
        <f>IF(ISNUMBER($B$537), IF($C701&lt;&gt;"", IF('Cost Inputs'!$L292="Y", $E701, IF('Cost Inputs'!$L292="N", IF(AND(ISNUMBER('Cost Inputs'!$M292), OR('Cost Inputs'!$M292=2, 'Cost Inputs'!$M292=4)), $E701, ""),"")),""),"")</f>
        <v/>
      </c>
      <c r="Z701" s="493" t="str">
        <f>IF(ISNUMBER($B$537), IF($C701&lt;&gt;"", IF('Cost Inputs'!$L292="Y", $E701, IF('Cost Inputs'!$L292="N", IF(AND(ISNUMBER('Cost Inputs'!$M292), OR('Cost Inputs'!$M292=2,'Cost Inputs'!$M292=5)), $E701, ""),"")),""),"")</f>
        <v/>
      </c>
      <c r="AA701" s="493" t="str">
        <f>IF(ISNUMBER($B$537), IF($C701&lt;&gt;"", IF('Cost Inputs'!$L292="Y", $E701, IF('Cost Inputs'!$L292="N", IF(AND(ISNUMBER('Cost Inputs'!$M292), OR('Cost Inputs'!$M292=2,'Cost Inputs'!$M292=3,'Cost Inputs'!$M292=6)), $E701, ""),"")),""),"")</f>
        <v/>
      </c>
      <c r="AB701" s="493" t="str">
        <f>IF(ISNUMBER($B$537), IF($C701&lt;&gt;"", IF('Cost Inputs'!$L292="Y", $E701, IF('Cost Inputs'!$L292="N", IF(AND(ISNUMBER('Cost Inputs'!$M292), OR('Cost Inputs'!$M292=2,'Cost Inputs'!$M292=7)), $E701, ""),"")),""),"")</f>
        <v/>
      </c>
      <c r="AC701" s="493" t="str">
        <f>IF(ISNUMBER($B$537), IF($C701&lt;&gt;"", IF('Cost Inputs'!$L292="Y", $E701, IF('Cost Inputs'!$L292="N", IF(AND(ISNUMBER('Cost Inputs'!$M292), OR('Cost Inputs'!$M292=2,'Cost Inputs'!$M292=4,'Cost Inputs'!$M292=8)), $E701, ""),"")),""),"")</f>
        <v/>
      </c>
      <c r="AD701" s="493" t="str">
        <f>IF(ISNUMBER($B$537), IF($C701&lt;&gt;"", IF('Cost Inputs'!$L292="Y", $E701, IF('Cost Inputs'!$L292="N", IF(AND(ISNUMBER('Cost Inputs'!$M292), OR('Cost Inputs'!$M292=2,'Cost Inputs'!$M292=3,'Cost Inputs'!$M292=9)), $E701, ""),"")),""),"")</f>
        <v/>
      </c>
    </row>
    <row r="702" spans="1:30" x14ac:dyDescent="0.25">
      <c r="A702" s="518"/>
      <c r="B702" s="504"/>
      <c r="C702" s="107" t="str">
        <f>IF(AND(ISNUMBER(B687), C698&lt;&gt;"", OR('Cost Inputs'!$H$161&lt;&gt;"", 'Cost Inputs'!$I$161&lt;&gt;"", 'Cost Inputs'!$J$161&lt;&gt;"")), _5_5_2, "")</f>
        <v/>
      </c>
      <c r="D702" s="93" t="str">
        <f>IF(AND(C702&lt;&gt;"", 'Cost Inputs'!$G$161&lt;&gt;""), 'Cost Inputs'!$G$161, "")</f>
        <v/>
      </c>
      <c r="E702" s="93" t="str">
        <f>IF(AND(C702&lt;&gt;"", 'Cost Inputs'!$H$161&lt;&gt;""), 'Cost Inputs'!$H$161, "")</f>
        <v/>
      </c>
      <c r="F702" s="93" t="str">
        <f>IF(AND(C702&lt;&gt;"", 'Cost Inputs'!$I$161&lt;&gt;""), 'Cost Inputs'!$I$161, "")</f>
        <v/>
      </c>
      <c r="G702" s="108" t="str">
        <f t="shared" si="469"/>
        <v/>
      </c>
      <c r="H702" s="93" t="str">
        <f>IF(AND(C702&lt;&gt;"", 'Cost Inputs'!$J$161&lt;&gt;""), 'Cost Inputs'!$J$161, "")</f>
        <v/>
      </c>
      <c r="I702" s="93" t="str">
        <f>IF($C702&lt;&gt;"", IF(AND($E702&lt;&gt;"", H702&lt;&gt;""), H702/$E702, 0),"")</f>
        <v/>
      </c>
      <c r="J702" s="93" t="str">
        <f>IF(AND(C702&lt;&gt;"",('Cost Inputs'!$I$161+'Cost Inputs'!$J$161+'Cost Inputs'!$K$161)&gt;0), 'Cost Inputs'!$I$161+'Cost Inputs'!$J$161+'Cost Inputs'!$K$161, "")</f>
        <v/>
      </c>
      <c r="K702" s="93" t="str">
        <f>IF($C702&lt;&gt;"", IF(AND($E702&lt;&gt;"", J702&lt;&gt;""), J702/$E702, 0),"")</f>
        <v/>
      </c>
      <c r="L702" s="93"/>
      <c r="M702" s="109"/>
      <c r="U702" s="93" t="str">
        <f>IF(ISNUMBER($B$537), IF($C702&lt;&gt;"", IF('Cost Inputs'!$L$161="Y", $E702, IF('Cost Inputs'!$L$161="N", IF(ISNUMBER('Cost Inputs'!$M$161), $E702, ""),"")),""),"")</f>
        <v/>
      </c>
      <c r="V702" s="93" t="str">
        <f>IF(ISNUMBER($B$537), IF($C702&lt;&gt;"", IF('Cost Inputs'!$L$161="Y", $E702, IF('Cost Inputs'!$L$161="N", "", "")),""),"")</f>
        <v/>
      </c>
      <c r="W702" s="93" t="str">
        <f>IF(ISNUMBER($B$537), IF($C702&lt;&gt;"", IF('Cost Inputs'!$L$161="Y", $E702, IF('Cost Inputs'!$L$161="N", IF(AND(ISNUMBER('Cost Inputs'!$M$161), OR('Cost Inputs'!$M$161=2)), $E702, ""),"")),""),"")</f>
        <v/>
      </c>
      <c r="X702" s="93" t="str">
        <f>IF(ISNUMBER($B$537), IF($C702&lt;&gt;"", IF('Cost Inputs'!$L$161="Y", $E702, IF('Cost Inputs'!$L$161="N", IF(AND(ISNUMBER('Cost Inputs'!$M$161), OR('Cost Inputs'!$M$161=3)), $E702, ""),"")),""),"")</f>
        <v/>
      </c>
      <c r="Y702" s="93" t="str">
        <f>IF(ISNUMBER($B$537), IF($C702&lt;&gt;"", IF('Cost Inputs'!$L$161="Y", $E702, IF('Cost Inputs'!$L$161="N", IF(AND(ISNUMBER('Cost Inputs'!$M$161), OR('Cost Inputs'!$M$161=2, 'Cost Inputs'!$M$161=4)), $E702, ""),"")),""),"")</f>
        <v/>
      </c>
      <c r="Z702" s="93" t="str">
        <f>IF(ISNUMBER($B$537), IF($C702&lt;&gt;"", IF('Cost Inputs'!$L$161="Y", $E702, IF('Cost Inputs'!$L$161="N", IF(AND(ISNUMBER('Cost Inputs'!$M$161), OR('Cost Inputs'!$M$161=2,'Cost Inputs'!$M$161=5)), $E702, ""),"")),""),"")</f>
        <v/>
      </c>
      <c r="AA702" s="93" t="str">
        <f>IF(ISNUMBER($B$537), IF($C702&lt;&gt;"", IF('Cost Inputs'!$L$161="Y", $E702, IF('Cost Inputs'!$L$161="N", IF(AND(ISNUMBER('Cost Inputs'!$M$161), OR('Cost Inputs'!$M$161=2,'Cost Inputs'!$M$161=3,'Cost Inputs'!$M$161=6)), $E702, ""),"")),""),"")</f>
        <v/>
      </c>
      <c r="AB702" s="93" t="str">
        <f>IF(ISNUMBER($B$537), IF($C702&lt;&gt;"", IF('Cost Inputs'!$L$161="Y", $E702, IF('Cost Inputs'!$L$161="N", IF(AND(ISNUMBER('Cost Inputs'!$M$161), OR('Cost Inputs'!$M$161=2,'Cost Inputs'!$M$161=7)), $E702, ""),"")),""),"")</f>
        <v/>
      </c>
      <c r="AC702" s="93" t="str">
        <f>IF(ISNUMBER($B$537), IF($C702&lt;&gt;"", IF('Cost Inputs'!$L$161="Y", $E702, IF('Cost Inputs'!$L$161="N", IF(AND(ISNUMBER('Cost Inputs'!$M$161), OR('Cost Inputs'!$M$161=2,'Cost Inputs'!$M$161=4,'Cost Inputs'!$M$161=8)), $E702, ""),"")),""),"")</f>
        <v/>
      </c>
      <c r="AD702" s="93" t="str">
        <f>IF(ISNUMBER($B$537), IF($C702&lt;&gt;"", IF('Cost Inputs'!$L$161="Y", $E702, IF('Cost Inputs'!$L$161="N", IF(AND(ISNUMBER('Cost Inputs'!$M$161), OR('Cost Inputs'!$M$161=2,'Cost Inputs'!$M$161=3,'Cost Inputs'!$M$161=9)), $E702, ""),"")),""),"")</f>
        <v/>
      </c>
    </row>
    <row r="703" spans="1:30" x14ac:dyDescent="0.25">
      <c r="A703" s="518"/>
      <c r="B703" s="504"/>
      <c r="C703" s="104" t="str">
        <f>IF(AND(ISNUMBER(B687), C698&lt;&gt;"", OR('Cost Inputs'!$H$162&lt;&gt;"", 'Cost Inputs'!$I$162&lt;&gt;"", 'Cost Inputs'!$J$162&lt;&gt;"")), _5_5_3, "")</f>
        <v/>
      </c>
      <c r="D703" s="17" t="str">
        <f>IF(AND(C703&lt;&gt;"", 'Cost Inputs'!$G$162&lt;&gt;""), 'Cost Inputs'!$G$162, "")</f>
        <v/>
      </c>
      <c r="E703" s="17" t="str">
        <f>IF(AND(C703&lt;&gt;"", 'Cost Inputs'!$H$162&lt;&gt;""), 'Cost Inputs'!$H$162, "")</f>
        <v/>
      </c>
      <c r="F703" s="17" t="str">
        <f>IF(AND(C703&lt;&gt;"", 'Cost Inputs'!$I$162&lt;&gt;""), 'Cost Inputs'!$I$162, "")</f>
        <v/>
      </c>
      <c r="G703" s="105" t="str">
        <f t="shared" si="469"/>
        <v/>
      </c>
      <c r="H703" s="17" t="str">
        <f>IF(AND(C703&lt;&gt;"", 'Cost Inputs'!$J$162&lt;&gt;""), 'Cost Inputs'!$J$162, "")</f>
        <v/>
      </c>
      <c r="I703" s="17" t="str">
        <f>IF($C703&lt;&gt;"", IF(AND($E703&lt;&gt;"", H703&lt;&gt;""), H703/$E703, 0),"")</f>
        <v/>
      </c>
      <c r="J703" s="17" t="str">
        <f>IF(AND(C703&lt;&gt;"",('Cost Inputs'!$I$162+'Cost Inputs'!$J$162+'Cost Inputs'!$K$162)&gt;0), 'Cost Inputs'!$I$162+'Cost Inputs'!$J$162+'Cost Inputs'!$K$162, "")</f>
        <v/>
      </c>
      <c r="K703" s="17" t="str">
        <f>IF($C703&lt;&gt;"", IF(AND($E703&lt;&gt;"", J703&lt;&gt;""), J703/$E703, 0),"")</f>
        <v/>
      </c>
      <c r="M703" s="106"/>
      <c r="U703" s="17" t="str">
        <f>IF(ISNUMBER($B$537), IF($C703&lt;&gt;"", IF('Cost Inputs'!$L$162="Y", $E703, IF('Cost Inputs'!$L$162="N", IF(ISNUMBER('Cost Inputs'!$M$162), $E703, ""),"")),""),"")</f>
        <v/>
      </c>
      <c r="V703" s="17" t="str">
        <f>IF(ISNUMBER($B$537), IF($C703&lt;&gt;"", IF('Cost Inputs'!$L$162="Y", $E703, IF('Cost Inputs'!$L$162="N", "", "")),""),"")</f>
        <v/>
      </c>
      <c r="W703" s="17" t="str">
        <f>IF(ISNUMBER($B$537), IF($C703&lt;&gt;"", IF('Cost Inputs'!$L$162="Y", $E703, IF('Cost Inputs'!$L$162="N", IF(AND(ISNUMBER('Cost Inputs'!$M$162), OR('Cost Inputs'!$M$162=2)), $E703, ""),"")),""),"")</f>
        <v/>
      </c>
      <c r="X703" s="17" t="str">
        <f>IF(ISNUMBER($B$537), IF($C703&lt;&gt;"", IF('Cost Inputs'!$L$162="Y", $E703, IF('Cost Inputs'!$L$162="N", IF(AND(ISNUMBER('Cost Inputs'!$M$162), OR('Cost Inputs'!$M$162=3)), $E703, ""),"")),""),"")</f>
        <v/>
      </c>
      <c r="Y703" s="17" t="str">
        <f>IF(ISNUMBER($B$537), IF($C703&lt;&gt;"", IF('Cost Inputs'!$L$162="Y", $E703, IF('Cost Inputs'!$L$162="N", IF(AND(ISNUMBER('Cost Inputs'!$M$162), OR('Cost Inputs'!$M$162=2, 'Cost Inputs'!$M$162=4)), $E703, ""),"")),""),"")</f>
        <v/>
      </c>
      <c r="Z703" s="17" t="str">
        <f>IF(ISNUMBER($B$537), IF($C703&lt;&gt;"", IF('Cost Inputs'!$L$162="Y", $E703, IF('Cost Inputs'!$L$162="N", IF(AND(ISNUMBER('Cost Inputs'!$M$162), OR('Cost Inputs'!$M$162=2,'Cost Inputs'!$M$162=5)), $E703, ""),"")),""),"")</f>
        <v/>
      </c>
      <c r="AA703" s="17" t="str">
        <f>IF(ISNUMBER($B$537), IF($C703&lt;&gt;"", IF('Cost Inputs'!$L$162="Y", $E703, IF('Cost Inputs'!$L$162="N", IF(AND(ISNUMBER('Cost Inputs'!$M$162), OR('Cost Inputs'!$M$162=2,'Cost Inputs'!$M$162=3,'Cost Inputs'!$M$162=6)), $E703, ""),"")),""),"")</f>
        <v/>
      </c>
      <c r="AB703" s="17" t="str">
        <f>IF(ISNUMBER($B$537), IF($C703&lt;&gt;"", IF('Cost Inputs'!$L$162="Y", $E703, IF('Cost Inputs'!$L$162="N", IF(AND(ISNUMBER('Cost Inputs'!$M$162), OR('Cost Inputs'!$M$162=2,'Cost Inputs'!$M$162=7)), $E703, ""),"")),""),"")</f>
        <v/>
      </c>
      <c r="AC703" s="17" t="str">
        <f>IF(ISNUMBER($B$537), IF($C703&lt;&gt;"", IF('Cost Inputs'!$L$162="Y", $E703, IF('Cost Inputs'!$L$162="N", IF(AND(ISNUMBER('Cost Inputs'!$M$162), OR('Cost Inputs'!$M$162=2,'Cost Inputs'!$M$162=4,'Cost Inputs'!$M$162=8)), $E703, ""),"")),""),"")</f>
        <v/>
      </c>
      <c r="AD703" s="17" t="str">
        <f>IF(ISNUMBER($B$537), IF($C703&lt;&gt;"", IF('Cost Inputs'!$L$162="Y", $E703, IF('Cost Inputs'!$L$162="N", IF(AND(ISNUMBER('Cost Inputs'!$M$162), OR('Cost Inputs'!$M$162=2,'Cost Inputs'!$M$162=3,'Cost Inputs'!$M$162=9)), $E703, ""),"")),""),"")</f>
        <v/>
      </c>
    </row>
    <row r="704" spans="1:30" x14ac:dyDescent="0.25">
      <c r="A704" s="518"/>
      <c r="B704" s="504"/>
      <c r="C704" s="107" t="str">
        <f>IF(AND(ISNUMBER(B687), C698&lt;&gt;"", OR('Cost Inputs'!$H$163&lt;&gt;"", 'Cost Inputs'!$I$163&lt;&gt;"", 'Cost Inputs'!$J$163&lt;&gt;"")), _5_5_4, "")</f>
        <v/>
      </c>
      <c r="D704" s="93" t="str">
        <f>IF(AND(C704&lt;&gt;"", 'Cost Inputs'!$G$163&lt;&gt;""), 'Cost Inputs'!$G$163, "")</f>
        <v/>
      </c>
      <c r="E704" s="93" t="str">
        <f>IF(AND(C704&lt;&gt;"", 'Cost Inputs'!$H$163&lt;&gt;""), 'Cost Inputs'!$H$163, "")</f>
        <v/>
      </c>
      <c r="F704" s="93" t="str">
        <f>IF(AND(C704&lt;&gt;"", 'Cost Inputs'!$I$163&lt;&gt;""), 'Cost Inputs'!$I$163, "")</f>
        <v/>
      </c>
      <c r="G704" s="108" t="str">
        <f t="shared" si="469"/>
        <v/>
      </c>
      <c r="H704" s="93" t="str">
        <f>IF(AND(C704&lt;&gt;"", 'Cost Inputs'!$J$163&lt;&gt;""), 'Cost Inputs'!$J$163, "")</f>
        <v/>
      </c>
      <c r="I704" s="93" t="str">
        <f>IF($C704&lt;&gt;"", IF(AND($E704&lt;&gt;"", H704&lt;&gt;""), H704/$E704, 0),"")</f>
        <v/>
      </c>
      <c r="J704" s="93" t="str">
        <f>IF(AND(C704&lt;&gt;"",('Cost Inputs'!$I$163+'Cost Inputs'!$J$163+'Cost Inputs'!$K$163)&gt;0), 'Cost Inputs'!$I$163+'Cost Inputs'!$J$163+'Cost Inputs'!$K$163, "")</f>
        <v/>
      </c>
      <c r="K704" s="93" t="str">
        <f>IF($C704&lt;&gt;"", IF(AND($E704&lt;&gt;"", J704&lt;&gt;""), J704/$E704, 0),"")</f>
        <v/>
      </c>
      <c r="L704" s="93"/>
      <c r="M704" s="109"/>
      <c r="U704" s="93" t="str">
        <f>IF(ISNUMBER($B$537), IF($C704&lt;&gt;"", IF('Cost Inputs'!$L$163="Y", $E704, IF('Cost Inputs'!$L$163="N", IF(ISNUMBER('Cost Inputs'!$M$163), $E704, ""),"")),""),"")</f>
        <v/>
      </c>
      <c r="V704" s="93" t="str">
        <f>IF(ISNUMBER($B$537), IF($C704&lt;&gt;"", IF('Cost Inputs'!$L$163="Y", $E704, IF('Cost Inputs'!$L$163="N", "", "")),""),"")</f>
        <v/>
      </c>
      <c r="W704" s="93" t="str">
        <f>IF(ISNUMBER($B$537), IF($C704&lt;&gt;"", IF('Cost Inputs'!$L$163="Y", $E704, IF('Cost Inputs'!$L$163="N", IF(AND(ISNUMBER('Cost Inputs'!$M$163), OR('Cost Inputs'!$M$163=2)), $E704, ""),"")),""),"")</f>
        <v/>
      </c>
      <c r="X704" s="93" t="str">
        <f>IF(ISNUMBER($B$537), IF($C704&lt;&gt;"", IF('Cost Inputs'!$L$163="Y", $E704, IF('Cost Inputs'!$L$163="N", IF(AND(ISNUMBER('Cost Inputs'!$M$163), OR('Cost Inputs'!$M$163=3)), $E704, ""),"")),""),"")</f>
        <v/>
      </c>
      <c r="Y704" s="93" t="str">
        <f>IF(ISNUMBER($B$537), IF($C704&lt;&gt;"", IF('Cost Inputs'!$L$163="Y", $E704, IF('Cost Inputs'!$L$163="N", IF(AND(ISNUMBER('Cost Inputs'!$M$163), OR('Cost Inputs'!$M$163=2, 'Cost Inputs'!$M$163=4)), $E704, ""),"")),""),"")</f>
        <v/>
      </c>
      <c r="Z704" s="93" t="str">
        <f>IF(ISNUMBER($B$537), IF($C704&lt;&gt;"", IF('Cost Inputs'!$L$163="Y", $E704, IF('Cost Inputs'!$L$163="N", IF(AND(ISNUMBER('Cost Inputs'!$M$163), OR('Cost Inputs'!$M$163=2,'Cost Inputs'!$M$163=5)), $E704, ""),"")),""),"")</f>
        <v/>
      </c>
      <c r="AA704" s="93" t="str">
        <f>IF(ISNUMBER($B$537), IF($C704&lt;&gt;"", IF('Cost Inputs'!$L$163="Y", $E704, IF('Cost Inputs'!$L$163="N", IF(AND(ISNUMBER('Cost Inputs'!$M$163), OR('Cost Inputs'!$M$163=2,'Cost Inputs'!$M$163=3,'Cost Inputs'!$M$163=6)), $E704, ""),"")),""),"")</f>
        <v/>
      </c>
      <c r="AB704" s="93" t="str">
        <f>IF(ISNUMBER($B$537), IF($C704&lt;&gt;"", IF('Cost Inputs'!$L$163="Y", $E704, IF('Cost Inputs'!$L$163="N", IF(AND(ISNUMBER('Cost Inputs'!$M$163), OR('Cost Inputs'!$M$163=2,'Cost Inputs'!$M$163=7)), $E704, ""),"")),""),"")</f>
        <v/>
      </c>
      <c r="AC704" s="93" t="str">
        <f>IF(ISNUMBER($B$537), IF($C704&lt;&gt;"", IF('Cost Inputs'!$L$163="Y", $E704, IF('Cost Inputs'!$L$163="N", IF(AND(ISNUMBER('Cost Inputs'!$M$163), OR('Cost Inputs'!$M$163=2,'Cost Inputs'!$M$163=4,'Cost Inputs'!$M$163=8)), $E704, ""),"")),""),"")</f>
        <v/>
      </c>
      <c r="AD704" s="93" t="str">
        <f>IF(ISNUMBER($B$537), IF($C704&lt;&gt;"", IF('Cost Inputs'!$L$163="Y", $E704, IF('Cost Inputs'!$L$163="N", IF(AND(ISNUMBER('Cost Inputs'!$M$163), OR('Cost Inputs'!$M$163=2,'Cost Inputs'!$M$163=3,'Cost Inputs'!$M$163=9)), $E704, ""),"")),""),"")</f>
        <v/>
      </c>
    </row>
    <row r="705" spans="1:31" x14ac:dyDescent="0.25">
      <c r="A705" s="518"/>
      <c r="B705" s="504"/>
      <c r="C705" s="104" t="str">
        <f>IF(AND(ISNUMBER(B687), C698&lt;&gt;"", OR('Cost Inputs'!$H$164&lt;&gt;"", 'Cost Inputs'!$I$164&lt;&gt;"", 'Cost Inputs'!$J$164&lt;&gt;"")), _5_5_5, "")</f>
        <v/>
      </c>
      <c r="D705" s="17" t="str">
        <f>IF(AND(C705&lt;&gt;"", 'Cost Inputs'!$G$164&lt;&gt;""), 'Cost Inputs'!$G$164, "")</f>
        <v/>
      </c>
      <c r="E705" s="17" t="str">
        <f>IF(AND(C705&lt;&gt;"", 'Cost Inputs'!$H$164&lt;&gt;""), 'Cost Inputs'!$H$164, "")</f>
        <v/>
      </c>
      <c r="F705" s="17" t="str">
        <f>IF(AND(C705&lt;&gt;"", 'Cost Inputs'!$I$164&lt;&gt;""), 'Cost Inputs'!$I$164, "")</f>
        <v/>
      </c>
      <c r="G705" s="105" t="str">
        <f t="shared" si="469"/>
        <v/>
      </c>
      <c r="H705" s="17" t="str">
        <f>IF(AND(C705&lt;&gt;"", 'Cost Inputs'!$J$164&lt;&gt;""), 'Cost Inputs'!$J$164, "")</f>
        <v/>
      </c>
      <c r="I705" s="17" t="str">
        <f>IF($C705&lt;&gt;"", IF(AND($E705&lt;&gt;"", H705&lt;&gt;""), H705/$E705, 0),"")</f>
        <v/>
      </c>
      <c r="J705" s="17" t="str">
        <f>IF(AND(C705&lt;&gt;"",('Cost Inputs'!$I$164+'Cost Inputs'!$J$164+'Cost Inputs'!$K$164)&gt;0), 'Cost Inputs'!$I$164+'Cost Inputs'!$J$164+'Cost Inputs'!$K$164, "")</f>
        <v/>
      </c>
      <c r="K705" s="17" t="str">
        <f>IF($C705&lt;&gt;"", IF(AND($E705&lt;&gt;"", J705&lt;&gt;""), J705/$E705, 0),"")</f>
        <v/>
      </c>
      <c r="M705" s="106"/>
      <c r="U705" s="17" t="str">
        <f>IF(ISNUMBER($B$537), IF($C705&lt;&gt;"", IF('Cost Inputs'!$L$164="Y", $E705, IF('Cost Inputs'!$L$164="N", IF(ISNUMBER('Cost Inputs'!$M$164), $E705, ""),"")),""),"")</f>
        <v/>
      </c>
      <c r="V705" s="17" t="str">
        <f>IF(ISNUMBER($B$537), IF($C705&lt;&gt;"", IF('Cost Inputs'!$L$164="Y", $E705, IF('Cost Inputs'!$L$164="N", "", "")),""),"")</f>
        <v/>
      </c>
      <c r="W705" s="17" t="str">
        <f>IF(ISNUMBER($B$537), IF($C705&lt;&gt;"", IF('Cost Inputs'!$L$164="Y", $E705, IF('Cost Inputs'!$L$164="N", IF(AND(ISNUMBER('Cost Inputs'!$M$164), OR('Cost Inputs'!$M$164=2)), $E705, ""),"")),""),"")</f>
        <v/>
      </c>
      <c r="X705" s="17" t="str">
        <f>IF(ISNUMBER($B$537), IF($C705&lt;&gt;"", IF('Cost Inputs'!$L$164="Y", $E705, IF('Cost Inputs'!$L$164="N", IF(AND(ISNUMBER('Cost Inputs'!$M$164), OR('Cost Inputs'!$M$164=3)), $E705, ""),"")),""),"")</f>
        <v/>
      </c>
      <c r="Y705" s="17" t="str">
        <f>IF(ISNUMBER($B$537), IF($C705&lt;&gt;"", IF('Cost Inputs'!$L$164="Y", $E705, IF('Cost Inputs'!$L$164="N", IF(AND(ISNUMBER('Cost Inputs'!$M$164), OR('Cost Inputs'!$M$164=2, 'Cost Inputs'!$M$164=4)), $E705, ""),"")),""),"")</f>
        <v/>
      </c>
      <c r="Z705" s="17" t="str">
        <f>IF(ISNUMBER($B$537), IF($C705&lt;&gt;"", IF('Cost Inputs'!$L$164="Y", $E705, IF('Cost Inputs'!$L$164="N", IF(AND(ISNUMBER('Cost Inputs'!$M$164), OR('Cost Inputs'!$M$164=2,'Cost Inputs'!$M$164=5)), $E705, ""),"")),""),"")</f>
        <v/>
      </c>
      <c r="AA705" s="17" t="str">
        <f>IF(ISNUMBER($B$537), IF($C705&lt;&gt;"", IF('Cost Inputs'!$L$164="Y", $E705, IF('Cost Inputs'!$L$164="N", IF(AND(ISNUMBER('Cost Inputs'!$M$164), OR('Cost Inputs'!$M$164=2,'Cost Inputs'!$M$164=3,'Cost Inputs'!$M$164=6)), $E705, ""),"")),""),"")</f>
        <v/>
      </c>
      <c r="AB705" s="17" t="str">
        <f>IF(ISNUMBER($B$537), IF($C705&lt;&gt;"", IF('Cost Inputs'!$L$164="Y", $E705, IF('Cost Inputs'!$L$164="N", IF(AND(ISNUMBER('Cost Inputs'!$M$164), OR('Cost Inputs'!$M$164=2,'Cost Inputs'!$M$164=7)), $E705, ""),"")),""),"")</f>
        <v/>
      </c>
      <c r="AC705" s="17" t="str">
        <f>IF(ISNUMBER($B$537), IF($C705&lt;&gt;"", IF('Cost Inputs'!$L$164="Y", $E705, IF('Cost Inputs'!$L$164="N", IF(AND(ISNUMBER('Cost Inputs'!$M$164), OR('Cost Inputs'!$M$164=2,'Cost Inputs'!$M$164=4,'Cost Inputs'!$M$164=8)), $E705, ""),"")),""),"")</f>
        <v/>
      </c>
      <c r="AD705" s="17" t="str">
        <f>IF(ISNUMBER($B$537), IF($C705&lt;&gt;"", IF('Cost Inputs'!$L$164="Y", $E705, IF('Cost Inputs'!$L$164="N", IF(AND(ISNUMBER('Cost Inputs'!$M$164), OR('Cost Inputs'!$M$164=2,'Cost Inputs'!$M$164=3,'Cost Inputs'!$M$164=9)), $E705, ""),"")),""),"")</f>
        <v/>
      </c>
    </row>
    <row r="706" spans="1:31" x14ac:dyDescent="0.25">
      <c r="A706" s="518"/>
      <c r="B706" s="504"/>
      <c r="C706" s="110" t="str">
        <f>IF(ISNUMBER(B687), _5_6_0, "")</f>
        <v/>
      </c>
      <c r="D706" s="94" t="str">
        <f>IF(AND(C706&lt;&gt;"", 'Cost Inputs'!$G$165&lt;&gt;""), 'Cost Inputs'!$G$165, "")</f>
        <v/>
      </c>
      <c r="E706" s="94" t="str">
        <f>IF(AND(C706&lt;&gt;"", 'Cost Inputs'!$H$165&lt;&gt;""), 'Cost Inputs'!$H$165, "")</f>
        <v/>
      </c>
      <c r="F706" s="94" t="str">
        <f>IF(AND(C706&lt;&gt;"", 'Cost Inputs'!$I$165&lt;&gt;""), 'Cost Inputs'!$I$165, "")</f>
        <v/>
      </c>
      <c r="G706" s="102" t="str">
        <f t="shared" si="469"/>
        <v/>
      </c>
      <c r="H706" s="94" t="str">
        <f>IF(AND(C706&lt;&gt;"", 'Cost Inputs'!$J$165&lt;&gt;""), 'Cost Inputs'!$J$165, "")</f>
        <v/>
      </c>
      <c r="I706" s="102" t="str">
        <f>IF($C706&lt;&gt;"",IF(AND($E706&lt;&gt;"",H706&lt;&gt;""), H706/$E706, 0),"")</f>
        <v/>
      </c>
      <c r="J706" s="94" t="str">
        <f>IF(AND(C706&lt;&gt;"",('Cost Inputs'!$I$165+'Cost Inputs'!$J$165+'Cost Inputs'!$K$165)&gt;0), 'Cost Inputs'!$I$165+'Cost Inputs'!$J$165+'Cost Inputs'!$K$165, "")</f>
        <v/>
      </c>
      <c r="K706" s="102" t="str">
        <f>IF($C706&lt;&gt;"",IF(AND($E706&lt;&gt;"",J706&lt;&gt;""), J706/$E706, 0),"")</f>
        <v/>
      </c>
      <c r="L706" s="94"/>
      <c r="M706" s="103"/>
      <c r="U706" s="94" t="str">
        <f>IF(ISNUMBER($B$537), IF($C706&lt;&gt;"", IF('Cost Inputs'!$L$165="Y", $E706, IF('Cost Inputs'!$L$165="N", IF(ISNUMBER('Cost Inputs'!$M$165), $E706, ""),"")),""),"")</f>
        <v/>
      </c>
      <c r="V706" s="94" t="str">
        <f>IF(ISNUMBER($B$537), IF($C706&lt;&gt;"", IF('Cost Inputs'!$L$165="Y", $E706, IF('Cost Inputs'!$L$165="N", "", "")),""),"")</f>
        <v/>
      </c>
      <c r="W706" s="94" t="str">
        <f>IF(ISNUMBER($B$537), IF($C706&lt;&gt;"", IF('Cost Inputs'!$L$165="Y", $E706, IF('Cost Inputs'!$L$165="N", IF(AND(ISNUMBER('Cost Inputs'!$M$165), OR('Cost Inputs'!$M$165=2)), $E706, ""),"")),""),"")</f>
        <v/>
      </c>
      <c r="X706" s="94" t="str">
        <f>IF(ISNUMBER($B$537), IF($C706&lt;&gt;"", IF('Cost Inputs'!$L$165="Y", $E706, IF('Cost Inputs'!$L$165="N", IF(AND(ISNUMBER('Cost Inputs'!$M$165), OR('Cost Inputs'!$M$165=3)), $E706, ""),"")),""),"")</f>
        <v/>
      </c>
      <c r="Y706" s="94" t="str">
        <f>IF(ISNUMBER($B$537), IF($C706&lt;&gt;"", IF('Cost Inputs'!$L$165="Y", $E706, IF('Cost Inputs'!$L$165="N", IF(AND(ISNUMBER('Cost Inputs'!$M$165), OR('Cost Inputs'!$M$165=2, 'Cost Inputs'!$M$165=4)), $E706, ""),"")),""),"")</f>
        <v/>
      </c>
      <c r="Z706" s="94" t="str">
        <f>IF(ISNUMBER($B$537), IF($C706&lt;&gt;"", IF('Cost Inputs'!$L$165="Y", $E706, IF('Cost Inputs'!$L$165="N", IF(AND(ISNUMBER('Cost Inputs'!$M$165), OR('Cost Inputs'!$M$165=2,'Cost Inputs'!$M$165=5)), $E706, ""),"")),""),"")</f>
        <v/>
      </c>
      <c r="AA706" s="94" t="str">
        <f>IF(ISNUMBER($B$537), IF($C706&lt;&gt;"", IF('Cost Inputs'!$L$165="Y", $E706, IF('Cost Inputs'!$L$165="N", IF(AND(ISNUMBER('Cost Inputs'!$M$165), OR('Cost Inputs'!$M$165=2,'Cost Inputs'!$M$165=3,'Cost Inputs'!$M$165=6)), $E706, ""),"")),""),"")</f>
        <v/>
      </c>
      <c r="AB706" s="94" t="str">
        <f>IF(ISNUMBER($B$537), IF($C706&lt;&gt;"", IF('Cost Inputs'!$L$165="Y", $E706, IF('Cost Inputs'!$L$165="N", IF(AND(ISNUMBER('Cost Inputs'!$M$165), OR('Cost Inputs'!$M$165=2,'Cost Inputs'!$M$165=7)), $E706, ""),"")),""),"")</f>
        <v/>
      </c>
      <c r="AC706" s="94" t="str">
        <f>IF(ISNUMBER($B$537), IF($C706&lt;&gt;"", IF('Cost Inputs'!$L$165="Y", $E706, IF('Cost Inputs'!$L$165="N", IF(AND(ISNUMBER('Cost Inputs'!$M$165), OR('Cost Inputs'!$M$165=2,'Cost Inputs'!$M$165=4,'Cost Inputs'!$M$165=8)), $E706, ""),"")),""),"")</f>
        <v/>
      </c>
      <c r="AD706" s="94" t="str">
        <f>IF(ISNUMBER($B$537), IF($C706&lt;&gt;"", IF('Cost Inputs'!$L$165="Y", $E706, IF('Cost Inputs'!$L$165="N", IF(AND(ISNUMBER('Cost Inputs'!$M$165), OR('Cost Inputs'!$M$165=2,'Cost Inputs'!$M$165=3,'Cost Inputs'!$M$165=9)), $E706, ""),"")),""),"")</f>
        <v/>
      </c>
    </row>
    <row r="707" spans="1:31" x14ac:dyDescent="0.25">
      <c r="A707" s="518"/>
      <c r="B707" s="504"/>
      <c r="C707" s="104" t="str">
        <f>IF(AND(ISNUMBER(B687), OR('Cost Inputs'!$H$166&lt;&gt;"", 'Cost Inputs'!$I$166&lt;&gt;"", 'Cost Inputs'!$J$166&lt;&gt;"")), _5_6_1, "")</f>
        <v/>
      </c>
      <c r="D707" s="17" t="str">
        <f>IF(AND(C707&lt;&gt;"", 'Cost Inputs'!$G$166&lt;&gt;""), 'Cost Inputs'!$G$166, "")</f>
        <v/>
      </c>
      <c r="E707" s="17" t="str">
        <f>IF(AND(C707&lt;&gt;"", 'Cost Inputs'!$H$166&lt;&gt;""), 'Cost Inputs'!$H$166, "")</f>
        <v/>
      </c>
      <c r="F707" s="17" t="str">
        <f>IF(AND(C707&lt;&gt;"", 'Cost Inputs'!$I$166&lt;&gt;""), 'Cost Inputs'!$I$166, "")</f>
        <v/>
      </c>
      <c r="G707" s="105" t="str">
        <f t="shared" si="469"/>
        <v/>
      </c>
      <c r="H707" s="17" t="str">
        <f>IF(AND(C707&lt;&gt;"", 'Cost Inputs'!$J$166&lt;&gt;""), 'Cost Inputs'!$J$166, "")</f>
        <v/>
      </c>
      <c r="I707" s="17" t="str">
        <f>IF($C707&lt;&gt;"", IF(AND($E707&lt;&gt;"", H707&lt;&gt;""), H707/$E707, 0),"")</f>
        <v/>
      </c>
      <c r="J707" s="17" t="str">
        <f>IF(AND(C707&lt;&gt;"",('Cost Inputs'!$I$166+'Cost Inputs'!$J$166+'Cost Inputs'!$K$166)&gt;0), 'Cost Inputs'!$I$166+'Cost Inputs'!$J$166+'Cost Inputs'!$K$166, "")</f>
        <v/>
      </c>
      <c r="K707" s="17" t="str">
        <f>IF($C707&lt;&gt;"", IF(AND($E707&lt;&gt;"", J707&lt;&gt;""), J707/$E707, 0),"")</f>
        <v/>
      </c>
      <c r="M707" s="106"/>
      <c r="U707" s="17" t="str">
        <f>IF(ISNUMBER($B$537), IF($C707&lt;&gt;"", IF('Cost Inputs'!$L$166="Y", $E707, IF('Cost Inputs'!$L$166="N", IF(ISNUMBER('Cost Inputs'!$M$166), $E707, ""),"")),""),"")</f>
        <v/>
      </c>
      <c r="V707" s="17" t="str">
        <f>IF(ISNUMBER($B$537), IF($C707&lt;&gt;"", IF('Cost Inputs'!$L$166="Y", $E707, IF('Cost Inputs'!$L$166="N", "", "")),""),"")</f>
        <v/>
      </c>
      <c r="W707" s="17" t="str">
        <f>IF(ISNUMBER($B$537), IF($C707&lt;&gt;"", IF('Cost Inputs'!$L$166="Y", $E707, IF('Cost Inputs'!$L$166="N", IF(AND(ISNUMBER('Cost Inputs'!$M$166), OR('Cost Inputs'!$M$166=2)), $E707, ""),"")),""),"")</f>
        <v/>
      </c>
      <c r="X707" s="17" t="str">
        <f>IF(ISNUMBER($B$537), IF($C707&lt;&gt;"", IF('Cost Inputs'!$L$166="Y", $E707, IF('Cost Inputs'!$L$166="N", IF(AND(ISNUMBER('Cost Inputs'!$M$166), OR('Cost Inputs'!$M$166=3)), $E707, ""),"")),""),"")</f>
        <v/>
      </c>
      <c r="Y707" s="17" t="str">
        <f>IF(ISNUMBER($B$537), IF($C707&lt;&gt;"", IF('Cost Inputs'!$L$166="Y", $E707, IF('Cost Inputs'!$L$166="N", IF(AND(ISNUMBER('Cost Inputs'!$M$166), OR('Cost Inputs'!$M$166=2, 'Cost Inputs'!$M$166=4)), $E707, ""),"")),""),"")</f>
        <v/>
      </c>
      <c r="Z707" s="17" t="str">
        <f>IF(ISNUMBER($B$537), IF($C707&lt;&gt;"", IF('Cost Inputs'!$L$166="Y", $E707, IF('Cost Inputs'!$L$166="N", IF(AND(ISNUMBER('Cost Inputs'!$M$166), OR('Cost Inputs'!$M$166=2,'Cost Inputs'!$M$166=5)), $E707, ""),"")),""),"")</f>
        <v/>
      </c>
      <c r="AA707" s="17" t="str">
        <f>IF(ISNUMBER($B$537), IF($C707&lt;&gt;"", IF('Cost Inputs'!$L$166="Y", $E707, IF('Cost Inputs'!$L$166="N", IF(AND(ISNUMBER('Cost Inputs'!$M$166), OR('Cost Inputs'!$M$166=2,'Cost Inputs'!$M$166=3,'Cost Inputs'!$M$166=6)), $E707, ""),"")),""),"")</f>
        <v/>
      </c>
      <c r="AB707" s="17" t="str">
        <f>IF(ISNUMBER($B$537), IF($C707&lt;&gt;"", IF('Cost Inputs'!$L$166="Y", $E707, IF('Cost Inputs'!$L$166="N", IF(AND(ISNUMBER('Cost Inputs'!$M$166), OR('Cost Inputs'!$M$166=2,'Cost Inputs'!$M$166=7)), $E707, ""),"")),""),"")</f>
        <v/>
      </c>
      <c r="AC707" s="17" t="str">
        <f>IF(ISNUMBER($B$537), IF($C707&lt;&gt;"", IF('Cost Inputs'!$L$166="Y", $E707, IF('Cost Inputs'!$L$166="N", IF(AND(ISNUMBER('Cost Inputs'!$M$166), OR('Cost Inputs'!$M$166=2,'Cost Inputs'!$M$166=4,'Cost Inputs'!$M$166=8)), $E707, ""),"")),""),"")</f>
        <v/>
      </c>
      <c r="AD707" s="17" t="str">
        <f>IF(ISNUMBER($B$537), IF($C707&lt;&gt;"", IF('Cost Inputs'!$L$166="Y", $E707, IF('Cost Inputs'!$L$166="N", IF(AND(ISNUMBER('Cost Inputs'!$M$166), OR('Cost Inputs'!$M$166=2,'Cost Inputs'!$M$166=3,'Cost Inputs'!$M$166=9)), $E707, ""),"")),""),"")</f>
        <v/>
      </c>
    </row>
    <row r="708" spans="1:31" ht="15.75" thickBot="1" x14ac:dyDescent="0.3">
      <c r="A708" s="518"/>
      <c r="B708" s="505"/>
      <c r="C708" s="111" t="str">
        <f>IF(AND(ISNUMBER(B687), OR('Cost Inputs'!$H$167&lt;&gt;"", 'Cost Inputs'!$I$167&lt;&gt;"", 'Cost Inputs'!$J$167&lt;&gt;"")), _5_6_2, "")</f>
        <v/>
      </c>
      <c r="D708" s="95" t="str">
        <f>IF(AND(C708&lt;&gt;"", 'Cost Inputs'!$G$167&lt;&gt;""), 'Cost Inputs'!$G$167, "")</f>
        <v/>
      </c>
      <c r="E708" s="95" t="str">
        <f>IF(AND(C708&lt;&gt;"", 'Cost Inputs'!$H$167&lt;&gt;""), 'Cost Inputs'!$H$167, "")</f>
        <v/>
      </c>
      <c r="F708" s="95" t="str">
        <f>IF(AND(C708&lt;&gt;"", 'Cost Inputs'!$I$167&lt;&gt;""), 'Cost Inputs'!$I$167, "")</f>
        <v/>
      </c>
      <c r="G708" s="112" t="str">
        <f t="shared" si="469"/>
        <v/>
      </c>
      <c r="H708" s="95" t="str">
        <f>IF(AND(C708&lt;&gt;"", 'Cost Inputs'!$J$167&lt;&gt;""), 'Cost Inputs'!$J$167, "")</f>
        <v/>
      </c>
      <c r="I708" s="95" t="str">
        <f>IF($C708&lt;&gt;"", IF(AND($E708&lt;&gt;"", H708&lt;&gt;""), H708/$E708, 0),"")</f>
        <v/>
      </c>
      <c r="J708" s="95" t="str">
        <f>IF(AND(C708&lt;&gt;"",('Cost Inputs'!$I$167+'Cost Inputs'!$J$167+'Cost Inputs'!$K$167)&gt;0), 'Cost Inputs'!$I$167+'Cost Inputs'!$J$167+'Cost Inputs'!$K$167, "")</f>
        <v/>
      </c>
      <c r="K708" s="95" t="str">
        <f>IF($C708&lt;&gt;"", IF(AND($E708&lt;&gt;"", J708&lt;&gt;""), J708/$E708, 0),"")</f>
        <v/>
      </c>
      <c r="L708" s="95"/>
      <c r="M708" s="113"/>
      <c r="U708" s="95" t="str">
        <f>IF(ISNUMBER($B$537), IF($C708&lt;&gt;"", IF('Cost Inputs'!$L$167="Y", $E708, IF('Cost Inputs'!$L$167="N", IF(ISNUMBER('Cost Inputs'!$M$167), $E708, ""),"")),""),"")</f>
        <v/>
      </c>
      <c r="V708" s="95" t="str">
        <f>IF(ISNUMBER($B$537), IF($C708&lt;&gt;"", IF('Cost Inputs'!$L$167="Y", $E708, IF('Cost Inputs'!$L$167="N", "", "")),""),"")</f>
        <v/>
      </c>
      <c r="W708" s="95" t="str">
        <f>IF(ISNUMBER($B$537), IF($C708&lt;&gt;"", IF('Cost Inputs'!$L$167="Y", $E708, IF('Cost Inputs'!$L$167="N", IF(AND(ISNUMBER('Cost Inputs'!$M$167), OR('Cost Inputs'!$M$167=2)), $E708, ""),"")),""),"")</f>
        <v/>
      </c>
      <c r="X708" s="95" t="str">
        <f>IF(ISNUMBER($B$537), IF($C708&lt;&gt;"", IF('Cost Inputs'!$L$167="Y", $E708, IF('Cost Inputs'!$L$167="N", IF(AND(ISNUMBER('Cost Inputs'!$M$167), OR('Cost Inputs'!$M$167=3)), $E708, ""),"")),""),"")</f>
        <v/>
      </c>
      <c r="Y708" s="95" t="str">
        <f>IF(ISNUMBER($B$537), IF($C708&lt;&gt;"", IF('Cost Inputs'!$L$167="Y", $E708, IF('Cost Inputs'!$L$167="N", IF(AND(ISNUMBER('Cost Inputs'!$M$167), OR('Cost Inputs'!$M$167=2, 'Cost Inputs'!$M$167=4)), $E708, ""),"")),""),"")</f>
        <v/>
      </c>
      <c r="Z708" s="95" t="str">
        <f>IF(ISNUMBER($B$537), IF($C708&lt;&gt;"", IF('Cost Inputs'!$L$167="Y", $E708, IF('Cost Inputs'!$L$167="N", IF(AND(ISNUMBER('Cost Inputs'!$M$167), OR('Cost Inputs'!$M$167=2,'Cost Inputs'!$M$167=5)), $E708, ""),"")),""),"")</f>
        <v/>
      </c>
      <c r="AA708" s="95" t="str">
        <f>IF(ISNUMBER($B$537), IF($C708&lt;&gt;"", IF('Cost Inputs'!$L$167="Y", $E708, IF('Cost Inputs'!$L$167="N", IF(AND(ISNUMBER('Cost Inputs'!$M$167), OR('Cost Inputs'!$M$167=2,'Cost Inputs'!$M$167=3,'Cost Inputs'!$M$167=6)), $E708, ""),"")),""),"")</f>
        <v/>
      </c>
      <c r="AB708" s="95" t="str">
        <f>IF(ISNUMBER($B$537), IF($C708&lt;&gt;"", IF('Cost Inputs'!$L$167="Y", $E708, IF('Cost Inputs'!$L$167="N", IF(AND(ISNUMBER('Cost Inputs'!$M$167), OR('Cost Inputs'!$M$167=2,'Cost Inputs'!$M$167=7)), $E708, ""),"")),""),"")</f>
        <v/>
      </c>
      <c r="AC708" s="95" t="str">
        <f>IF(ISNUMBER($B$537), IF($C708&lt;&gt;"", IF('Cost Inputs'!$L$167="Y", $E708, IF('Cost Inputs'!$L$167="N", IF(AND(ISNUMBER('Cost Inputs'!$M$167), OR('Cost Inputs'!$M$167=2,'Cost Inputs'!$M$167=4,'Cost Inputs'!$M$167=8)), $E708, ""),"")),""),"")</f>
        <v/>
      </c>
      <c r="AD708" s="95" t="str">
        <f>IF(ISNUMBER($B$537), IF($C708&lt;&gt;"", IF('Cost Inputs'!$L$167="Y", $E708, IF('Cost Inputs'!$L$167="N", IF(AND(ISNUMBER('Cost Inputs'!$M$167), OR('Cost Inputs'!$M$167=2,'Cost Inputs'!$M$167=3,'Cost Inputs'!$M$167=9)), $E708, ""),"")),""),"")</f>
        <v/>
      </c>
    </row>
    <row r="709" spans="1:31" x14ac:dyDescent="0.25">
      <c r="A709" s="518" t="str">
        <f>Fifth_Stage</f>
        <v>Stage 3 Clonal Replication with Increased Repetitions</v>
      </c>
      <c r="B709" s="503" t="str">
        <f>'Breeding Inputs'!B108</f>
        <v/>
      </c>
      <c r="C709" s="520" t="str">
        <f>IF(ISNUMBER(B709), _5_3_0, "")</f>
        <v/>
      </c>
      <c r="D709" s="92" t="str">
        <f>IF(AND(C709&lt;&gt;"", 'Cost Inputs'!$G$146&lt;&gt;""), 'Cost Inputs'!$G$146, "")</f>
        <v/>
      </c>
      <c r="E709" s="92" t="str">
        <f>IF(AND(C709&lt;&gt;"", 'Cost Inputs'!$H$146&lt;&gt;""), 'Cost Inputs'!$H$146, "")</f>
        <v/>
      </c>
      <c r="F709" s="522" t="str">
        <f>IF(AND(C709&lt;&gt;"", 'Cost Inputs'!$I$146&lt;&gt;""), 'Cost Inputs'!$I$146, "")</f>
        <v/>
      </c>
      <c r="G709" s="100" t="str">
        <f t="shared" si="469"/>
        <v/>
      </c>
      <c r="H709" s="522" t="str">
        <f>IF(AND(C709&lt;&gt;"", 'Cost Inputs'!$J$146&lt;&gt;""), 'Cost Inputs'!$J$146, "")</f>
        <v/>
      </c>
      <c r="I709" s="100" t="str">
        <f>IF($C709&lt;&gt;"",IF(AND($E709&lt;&gt;"",H709&lt;&gt;""), H709/$E709, 0),"")</f>
        <v/>
      </c>
      <c r="J709" s="522" t="str">
        <f>IF(AND(C709&lt;&gt;"",('Cost Inputs'!$I$146+'Cost Inputs'!$J$146+'Cost Inputs'!$K$146)&gt;0), 'Cost Inputs'!$I$146+'Cost Inputs'!$J$146+'Cost Inputs'!$K$146, "")</f>
        <v/>
      </c>
      <c r="K709" s="100" t="str">
        <f>IF($C709&lt;&gt;"",IF(AND($E709&lt;&gt;"",J709&lt;&gt;""), J709/$E709, 0),"")</f>
        <v/>
      </c>
      <c r="L709" s="92"/>
      <c r="M709" s="101"/>
      <c r="V709" s="492" t="str">
        <f>IF(ISNUMBER($B$537), IF($C709&lt;&gt;"", IF('Cost Inputs'!$L$146="Y", $E709, IF('Cost Inputs'!$L$146="N", IF(ISNUMBER('Cost Inputs'!$M$146), $E709, ""),"")),""),"")</f>
        <v/>
      </c>
      <c r="W709" s="492" t="str">
        <f>IF(ISNUMBER($B$537), IF($C709&lt;&gt;"", IF('Cost Inputs'!$L$146="Y", $E709, IF('Cost Inputs'!$L$146="N", "", "")),""),"")</f>
        <v/>
      </c>
      <c r="X709" s="492" t="str">
        <f>IF(ISNUMBER($B$537), IF($C709&lt;&gt;"", IF('Cost Inputs'!$L$146="Y", $E709, IF('Cost Inputs'!$L$146="N", IF(AND(ISNUMBER('Cost Inputs'!$M$146), OR('Cost Inputs'!$M$146=2)), $E709, ""),"")),""),"")</f>
        <v/>
      </c>
      <c r="Y709" s="492" t="str">
        <f>IF(ISNUMBER($B$537), IF($C709&lt;&gt;"", IF('Cost Inputs'!$L$146="Y", $E709, IF('Cost Inputs'!$L$146="N", IF(AND(ISNUMBER('Cost Inputs'!$M$146), OR('Cost Inputs'!$M$146=3)), $E709, ""),"")),""),"")</f>
        <v/>
      </c>
      <c r="Z709" s="492" t="str">
        <f>IF(ISNUMBER($B$537), IF($C709&lt;&gt;"", IF('Cost Inputs'!$L$146="Y", $E709, IF('Cost Inputs'!$L$146="N", IF(AND(ISNUMBER('Cost Inputs'!$M$146), OR('Cost Inputs'!$M$146=2, 'Cost Inputs'!$M$146=4)), $E709, ""),"")),""),"")</f>
        <v/>
      </c>
      <c r="AA709" s="492" t="str">
        <f>IF(ISNUMBER($B$537), IF($C709&lt;&gt;"", IF('Cost Inputs'!$L$146="Y", $E709, IF('Cost Inputs'!$L$146="N", IF(AND(ISNUMBER('Cost Inputs'!$M$146), OR('Cost Inputs'!$M$146=2,'Cost Inputs'!$M$146=5)), $E709, ""),"")),""),"")</f>
        <v/>
      </c>
      <c r="AB709" s="492" t="str">
        <f>IF(ISNUMBER($B$537), IF($C709&lt;&gt;"", IF('Cost Inputs'!$L$146="Y", $E709, IF('Cost Inputs'!$L$146="N", IF(AND(ISNUMBER('Cost Inputs'!$M$146), OR('Cost Inputs'!$M$146=2,'Cost Inputs'!$M$146=3,'Cost Inputs'!$M$146=6)), $E709, ""),"")),""),"")</f>
        <v/>
      </c>
      <c r="AC709" s="492" t="str">
        <f>IF(ISNUMBER($B$537), IF($C709&lt;&gt;"", IF('Cost Inputs'!$L$146="Y", $E709, IF('Cost Inputs'!$L$146="N", IF(AND(ISNUMBER('Cost Inputs'!$M$146), OR('Cost Inputs'!$M$146=2,'Cost Inputs'!$M$146=7)), $E709, ""),"")),""),"")</f>
        <v/>
      </c>
      <c r="AD709" s="492" t="str">
        <f>IF(ISNUMBER($B$537), IF($C709&lt;&gt;"", IF('Cost Inputs'!$L$146="Y", $E709, IF('Cost Inputs'!$L$146="N", IF(AND(ISNUMBER('Cost Inputs'!$M$146), OR('Cost Inputs'!$M$146=2,'Cost Inputs'!$M$146=4,'Cost Inputs'!$M$146=8)), $E709, ""),"")),""),"")</f>
        <v/>
      </c>
      <c r="AE709" s="492" t="str">
        <f>IF(ISNUMBER($B$537), IF($C709&lt;&gt;"", IF('Cost Inputs'!$L$146="Y", $E709, IF('Cost Inputs'!$L$146="N", IF(AND(ISNUMBER('Cost Inputs'!$M$146), OR('Cost Inputs'!$M$146=2,'Cost Inputs'!$M$146=3,'Cost Inputs'!$M$146=9)), $E709, ""),"")),""),"")</f>
        <v/>
      </c>
    </row>
    <row r="710" spans="1:31" x14ac:dyDescent="0.25">
      <c r="A710" s="518"/>
      <c r="B710" s="504"/>
      <c r="C710" s="521"/>
      <c r="D710" s="94" t="str">
        <f>IF(AND(C709&lt;&gt;"", 'Cost Inputs'!$G$147&lt;&gt;""), 'Cost Inputs'!$G$147, "")</f>
        <v/>
      </c>
      <c r="E710" s="94" t="str">
        <f>IF(AND(C709&lt;&gt;"", 'Cost Inputs'!$H$147&lt;&gt;""), 'Cost Inputs'!$H$147, "")</f>
        <v/>
      </c>
      <c r="F710" s="492"/>
      <c r="G710" s="102" t="str">
        <f t="shared" si="469"/>
        <v/>
      </c>
      <c r="H710" s="492"/>
      <c r="I710" s="102" t="str">
        <f>IF($C709&lt;&gt;"", IF(AND($E710&lt;&gt;"", H709&lt;&gt;""), H709/($E709*$E710), 0), "")</f>
        <v/>
      </c>
      <c r="J710" s="492" t="str">
        <f>IF(AND(C710&lt;&gt;"",('Cost Inputs'!$I$86+'Cost Inputs'!$J$86+'Cost Inputs'!$K$86)&gt;0), 'Cost Inputs'!$I$86+'Cost Inputs'!$J$86+'Cost Inputs'!$K$86, "")</f>
        <v/>
      </c>
      <c r="K710" s="102" t="str">
        <f>IF($C709&lt;&gt;"", IF(AND($E710&lt;&gt;"", J709&lt;&gt;""), J709/($E709*$E710), 0), "")</f>
        <v/>
      </c>
      <c r="L710" s="94"/>
      <c r="M710" s="103"/>
      <c r="V710" s="492" t="str">
        <f>IF(ISNUMBER($B$537), IF($C710&lt;&gt;"", IF('Cost Inputs'!$L301="Y", $E710, IF('Cost Inputs'!$L301="N", IF(ISNUMBER('Cost Inputs'!$M301), $E710, ""),"")),""),"")</f>
        <v/>
      </c>
      <c r="W710" s="492" t="str">
        <f>IF(ISNUMBER($B$537), IF($C710&lt;&gt;"", IF('Cost Inputs'!$L301="Y", $E710, IF('Cost Inputs'!$L301="N", "", "")),""),"")</f>
        <v/>
      </c>
      <c r="X710" s="492" t="str">
        <f>IF(ISNUMBER($B$537), IF($C710&lt;&gt;"", IF('Cost Inputs'!$L301="Y", $E710, IF('Cost Inputs'!$L301="N", IF(AND(ISNUMBER('Cost Inputs'!$M301), OR('Cost Inputs'!$M301=2)), $E710, ""),"")),""),"")</f>
        <v/>
      </c>
      <c r="Y710" s="492" t="str">
        <f>IF(ISNUMBER($B$537), IF($C710&lt;&gt;"", IF('Cost Inputs'!$L301="Y", $E710, IF('Cost Inputs'!$L301="N", IF(AND(ISNUMBER('Cost Inputs'!$M301), OR('Cost Inputs'!$M301=3)), $E710, ""),"")),""),"")</f>
        <v/>
      </c>
      <c r="Z710" s="492" t="str">
        <f>IF(ISNUMBER($B$537), IF($C710&lt;&gt;"", IF('Cost Inputs'!$L301="Y", $E710, IF('Cost Inputs'!$L301="N", IF(AND(ISNUMBER('Cost Inputs'!$M301), OR('Cost Inputs'!$M301=2, 'Cost Inputs'!$M301=4)), $E710, ""),"")),""),"")</f>
        <v/>
      </c>
      <c r="AA710" s="492" t="str">
        <f>IF(ISNUMBER($B$537), IF($C710&lt;&gt;"", IF('Cost Inputs'!$L301="Y", $E710, IF('Cost Inputs'!$L301="N", IF(AND(ISNUMBER('Cost Inputs'!$M301), OR('Cost Inputs'!$M301=2,'Cost Inputs'!$M301=5)), $E710, ""),"")),""),"")</f>
        <v/>
      </c>
      <c r="AB710" s="492" t="str">
        <f>IF(ISNUMBER($B$537), IF($C710&lt;&gt;"", IF('Cost Inputs'!$L301="Y", $E710, IF('Cost Inputs'!$L301="N", IF(AND(ISNUMBER('Cost Inputs'!$M301), OR('Cost Inputs'!$M301=2,'Cost Inputs'!$M301=3,'Cost Inputs'!$M301=6)), $E710, ""),"")),""),"")</f>
        <v/>
      </c>
      <c r="AC710" s="492" t="str">
        <f>IF(ISNUMBER($B$537), IF($C710&lt;&gt;"", IF('Cost Inputs'!$L301="Y", $E710, IF('Cost Inputs'!$L301="N", IF(AND(ISNUMBER('Cost Inputs'!$M301), OR('Cost Inputs'!$M301=2,'Cost Inputs'!$M301=7)), $E710, ""),"")),""),"")</f>
        <v/>
      </c>
      <c r="AD710" s="492" t="str">
        <f>IF(ISNUMBER($B$537), IF($C710&lt;&gt;"", IF('Cost Inputs'!$L301="Y", $E710, IF('Cost Inputs'!$L301="N", IF(AND(ISNUMBER('Cost Inputs'!$M301), OR('Cost Inputs'!$M301=2,'Cost Inputs'!$M301=4,'Cost Inputs'!$M301=8)), $E710, ""),"")),""),"")</f>
        <v/>
      </c>
      <c r="AE710" s="492" t="str">
        <f>IF(ISNUMBER($B$537), IF($C710&lt;&gt;"", IF('Cost Inputs'!$L301="Y", $E710, IF('Cost Inputs'!$L301="N", IF(AND(ISNUMBER('Cost Inputs'!$M301), OR('Cost Inputs'!$M301=2,'Cost Inputs'!$M301=3,'Cost Inputs'!$M301=9)), $E710, ""),"")),""),"")</f>
        <v/>
      </c>
    </row>
    <row r="711" spans="1:31" x14ac:dyDescent="0.25">
      <c r="A711" s="518"/>
      <c r="B711" s="504"/>
      <c r="C711" s="104" t="str">
        <f>IF(AND(ISNUMBER(B709), OR('Cost Inputs'!$H$148&lt;&gt;"", 'Cost Inputs'!$I$148&lt;&gt;"", 'Cost Inputs'!$J$148&lt;&gt;"")), _5_3_1, "")</f>
        <v/>
      </c>
      <c r="D711" s="17" t="str">
        <f>IF(AND(C711&lt;&gt;"", 'Cost Inputs'!$G$148&lt;&gt;""), 'Cost Inputs'!$G$148, "")</f>
        <v/>
      </c>
      <c r="E711" s="17" t="str">
        <f>IF(AND(C711&lt;&gt;"", 'Cost Inputs'!$H$148&lt;&gt;""), 'Cost Inputs'!$H$148, "")</f>
        <v/>
      </c>
      <c r="F711" s="17" t="str">
        <f>IF(AND(C711&lt;&gt;"", 'Cost Inputs'!$I$148&lt;&gt;""), 'Cost Inputs'!$I$148, "")</f>
        <v/>
      </c>
      <c r="G711" s="105" t="str">
        <f t="shared" si="469"/>
        <v/>
      </c>
      <c r="H711" s="17" t="str">
        <f>IF(AND(C711&lt;&gt;"", 'Cost Inputs'!$J$148&lt;&gt;""), 'Cost Inputs'!$J$148, "")</f>
        <v/>
      </c>
      <c r="I711" s="17" t="str">
        <f t="shared" ref="I711:I719" si="472">IF($C711&lt;&gt;"", IF(AND($E711&lt;&gt;"", H711&lt;&gt;""), H711/$E711, 0),"")</f>
        <v/>
      </c>
      <c r="J711" s="17" t="str">
        <f>IF(AND(C711&lt;&gt;"",('Cost Inputs'!$I$148+'Cost Inputs'!$J$148+'Cost Inputs'!$K$148)&gt;0), 'Cost Inputs'!$I$148+'Cost Inputs'!$J$148+'Cost Inputs'!$K$148, "")</f>
        <v/>
      </c>
      <c r="K711" s="17" t="str">
        <f t="shared" ref="K711:K719" si="473">IF($C711&lt;&gt;"", IF(AND($E711&lt;&gt;"", J711&lt;&gt;""), J711/$E711, 0),"")</f>
        <v/>
      </c>
      <c r="M711" s="106"/>
      <c r="V711" s="17" t="str">
        <f>IF(ISNUMBER($B$537), IF($C711&lt;&gt;"", IF('Cost Inputs'!$L$148="Y", $E711, IF('Cost Inputs'!$L$148="N", IF(ISNUMBER('Cost Inputs'!$M$148), $E711, ""),"")),""),"")</f>
        <v/>
      </c>
      <c r="W711" s="17" t="str">
        <f>IF(ISNUMBER($B$537), IF($C711&lt;&gt;"", IF('Cost Inputs'!$L$148="Y", $E711, IF('Cost Inputs'!$L$148="N", "", "")),""),"")</f>
        <v/>
      </c>
      <c r="X711" s="17" t="str">
        <f>IF(ISNUMBER($B$537), IF($C711&lt;&gt;"", IF('Cost Inputs'!$L$148="Y", $E711, IF('Cost Inputs'!$L$148="N", IF(AND(ISNUMBER('Cost Inputs'!$M$148), OR('Cost Inputs'!$M$148=2)), $E711, ""),"")),""),"")</f>
        <v/>
      </c>
      <c r="Y711" s="17" t="str">
        <f>IF(ISNUMBER($B$537), IF($C711&lt;&gt;"", IF('Cost Inputs'!$L$148="Y", $E711, IF('Cost Inputs'!$L$148="N", IF(AND(ISNUMBER('Cost Inputs'!$M$148), OR('Cost Inputs'!$M$148=3)), $E711, ""),"")),""),"")</f>
        <v/>
      </c>
      <c r="Z711" s="17" t="str">
        <f>IF(ISNUMBER($B$537), IF($C711&lt;&gt;"", IF('Cost Inputs'!$L$148="Y", $E711, IF('Cost Inputs'!$L$148="N", IF(AND(ISNUMBER('Cost Inputs'!$M$148), OR('Cost Inputs'!$M$148=2, 'Cost Inputs'!$M$148=4)), $E711, ""),"")),""),"")</f>
        <v/>
      </c>
      <c r="AA711" s="17" t="str">
        <f>IF(ISNUMBER($B$537), IF($C711&lt;&gt;"", IF('Cost Inputs'!$L$148="Y", $E711, IF('Cost Inputs'!$L$148="N", IF(AND(ISNUMBER('Cost Inputs'!$M$148), OR('Cost Inputs'!$M$148=2,'Cost Inputs'!$M$148=5)), $E711, ""),"")),""),"")</f>
        <v/>
      </c>
      <c r="AB711" s="17" t="str">
        <f>IF(ISNUMBER($B$537), IF($C711&lt;&gt;"", IF('Cost Inputs'!$L$148="Y", $E711, IF('Cost Inputs'!$L$148="N", IF(AND(ISNUMBER('Cost Inputs'!$M$148), OR('Cost Inputs'!$M$148=2,'Cost Inputs'!$M$148=3,'Cost Inputs'!$M$148=6)), $E711, ""),"")),""),"")</f>
        <v/>
      </c>
      <c r="AC711" s="17" t="str">
        <f>IF(ISNUMBER($B$537), IF($C711&lt;&gt;"", IF('Cost Inputs'!$L$148="Y", $E711, IF('Cost Inputs'!$L$148="N", IF(AND(ISNUMBER('Cost Inputs'!$M$148), OR('Cost Inputs'!$M$148=2,'Cost Inputs'!$M$148=7)), $E711, ""),"")),""),"")</f>
        <v/>
      </c>
      <c r="AD711" s="17" t="str">
        <f>IF(ISNUMBER($B$537), IF($C711&lt;&gt;"", IF('Cost Inputs'!$L$148="Y", $E711, IF('Cost Inputs'!$L$148="N", IF(AND(ISNUMBER('Cost Inputs'!$M$148), OR('Cost Inputs'!$M$148=2,'Cost Inputs'!$M$148=4,'Cost Inputs'!$M$148=8)), $E711, ""),"")),""),"")</f>
        <v/>
      </c>
      <c r="AE711" s="17" t="str">
        <f>IF(ISNUMBER($B$537), IF($C711&lt;&gt;"", IF('Cost Inputs'!$L$148="Y", $E711, IF('Cost Inputs'!$L$148="N", IF(AND(ISNUMBER('Cost Inputs'!$M$148), OR('Cost Inputs'!$M$148=2,'Cost Inputs'!$M$148=3,'Cost Inputs'!$M$148=9)), $E711, ""),"")),""),"")</f>
        <v/>
      </c>
    </row>
    <row r="712" spans="1:31" x14ac:dyDescent="0.25">
      <c r="A712" s="518"/>
      <c r="B712" s="504"/>
      <c r="C712" s="107" t="str">
        <f>IF(AND(ISNUMBER(B709), OR('Cost Inputs'!$H$149&lt;&gt;"", 'Cost Inputs'!$I$149&lt;&gt;"", 'Cost Inputs'!$J$149&lt;&gt;"")), _5_3_2, "")</f>
        <v/>
      </c>
      <c r="D712" s="93" t="str">
        <f>IF(AND(C712&lt;&gt;"", 'Cost Inputs'!$G$149&lt;&gt;""), 'Cost Inputs'!$G$149, "")</f>
        <v/>
      </c>
      <c r="E712" s="93" t="str">
        <f>IF(AND(C712&lt;&gt;"", 'Cost Inputs'!$H$149&lt;&gt;""), 'Cost Inputs'!$H$149, "")</f>
        <v/>
      </c>
      <c r="F712" s="93" t="str">
        <f>IF(AND(C712&lt;&gt;"", 'Cost Inputs'!$I$149&lt;&gt;""), 'Cost Inputs'!$I$149, "")</f>
        <v/>
      </c>
      <c r="G712" s="108" t="str">
        <f t="shared" si="469"/>
        <v/>
      </c>
      <c r="H712" s="93" t="str">
        <f>IF(AND(C712&lt;&gt;"", 'Cost Inputs'!$J$149&lt;&gt;""), 'Cost Inputs'!$J$149, "")</f>
        <v/>
      </c>
      <c r="I712" s="93" t="str">
        <f t="shared" si="472"/>
        <v/>
      </c>
      <c r="J712" s="93" t="str">
        <f>IF(AND(C712&lt;&gt;"",('Cost Inputs'!$I$149+'Cost Inputs'!$J$149+'Cost Inputs'!$K$149)&gt;0), 'Cost Inputs'!$I$149+'Cost Inputs'!$J$149+'Cost Inputs'!$K$149, "")</f>
        <v/>
      </c>
      <c r="K712" s="93" t="str">
        <f t="shared" si="473"/>
        <v/>
      </c>
      <c r="L712" s="93"/>
      <c r="M712" s="109"/>
      <c r="V712" s="93" t="str">
        <f>IF(ISNUMBER($B$537), IF($C712&lt;&gt;"", IF('Cost Inputs'!$L$149="Y", $E712, IF('Cost Inputs'!$L$149="N", IF(ISNUMBER('Cost Inputs'!$M$149), $E712, ""),"")),""),"")</f>
        <v/>
      </c>
      <c r="W712" s="93" t="str">
        <f>IF(ISNUMBER($B$537), IF($C712&lt;&gt;"", IF('Cost Inputs'!$L$149="Y", $E712, IF('Cost Inputs'!$L$149="N", "", "")),""),"")</f>
        <v/>
      </c>
      <c r="X712" s="93" t="str">
        <f>IF(ISNUMBER($B$537), IF($C712&lt;&gt;"", IF('Cost Inputs'!$L$149="Y", $E712, IF('Cost Inputs'!$L$149="N", IF(AND(ISNUMBER('Cost Inputs'!$M$149), OR('Cost Inputs'!$M$149=2)), $E712, ""),"")),""),"")</f>
        <v/>
      </c>
      <c r="Y712" s="93" t="str">
        <f>IF(ISNUMBER($B$537), IF($C712&lt;&gt;"", IF('Cost Inputs'!$L$149="Y", $E712, IF('Cost Inputs'!$L$149="N", IF(AND(ISNUMBER('Cost Inputs'!$M$149), OR('Cost Inputs'!$M$149=3)), $E712, ""),"")),""),"")</f>
        <v/>
      </c>
      <c r="Z712" s="93" t="str">
        <f>IF(ISNUMBER($B$537), IF($C712&lt;&gt;"", IF('Cost Inputs'!$L$149="Y", $E712, IF('Cost Inputs'!$L$149="N", IF(AND(ISNUMBER('Cost Inputs'!$M$149), OR('Cost Inputs'!$M$149=2, 'Cost Inputs'!$M$149=4)), $E712, ""),"")),""),"")</f>
        <v/>
      </c>
      <c r="AA712" s="93" t="str">
        <f>IF(ISNUMBER($B$537), IF($C712&lt;&gt;"", IF('Cost Inputs'!$L$149="Y", $E712, IF('Cost Inputs'!$L$149="N", IF(AND(ISNUMBER('Cost Inputs'!$M$149), OR('Cost Inputs'!$M$149=2,'Cost Inputs'!$M$149=5)), $E712, ""),"")),""),"")</f>
        <v/>
      </c>
      <c r="AB712" s="93" t="str">
        <f>IF(ISNUMBER($B$537), IF($C712&lt;&gt;"", IF('Cost Inputs'!$L$149="Y", $E712, IF('Cost Inputs'!$L$149="N", IF(AND(ISNUMBER('Cost Inputs'!$M$149), OR('Cost Inputs'!$M$149=2,'Cost Inputs'!$M$149=3,'Cost Inputs'!$M$149=6)), $E712, ""),"")),""),"")</f>
        <v/>
      </c>
      <c r="AC712" s="93" t="str">
        <f>IF(ISNUMBER($B$537), IF($C712&lt;&gt;"", IF('Cost Inputs'!$L$149="Y", $E712, IF('Cost Inputs'!$L$149="N", IF(AND(ISNUMBER('Cost Inputs'!$M$149), OR('Cost Inputs'!$M$149=2,'Cost Inputs'!$M$149=7)), $E712, ""),"")),""),"")</f>
        <v/>
      </c>
      <c r="AD712" s="93" t="str">
        <f>IF(ISNUMBER($B$537), IF($C712&lt;&gt;"", IF('Cost Inputs'!$L$149="Y", $E712, IF('Cost Inputs'!$L$149="N", IF(AND(ISNUMBER('Cost Inputs'!$M$149), OR('Cost Inputs'!$M$149=2,'Cost Inputs'!$M$149=4,'Cost Inputs'!$M$149=8)), $E712, ""),"")),""),"")</f>
        <v/>
      </c>
      <c r="AE712" s="93" t="str">
        <f>IF(ISNUMBER($B$537), IF($C712&lt;&gt;"", IF('Cost Inputs'!$L$149="Y", $E712, IF('Cost Inputs'!$L$149="N", IF(AND(ISNUMBER('Cost Inputs'!$M$149), OR('Cost Inputs'!$M$149=2,'Cost Inputs'!$M$149=3,'Cost Inputs'!$M$149=9)), $E712, ""),"")),""),"")</f>
        <v/>
      </c>
    </row>
    <row r="713" spans="1:31" x14ac:dyDescent="0.25">
      <c r="A713" s="518"/>
      <c r="B713" s="504"/>
      <c r="C713" s="110" t="str">
        <f>IF(ISNUMBER(B709), _5_4_0, "")</f>
        <v/>
      </c>
      <c r="D713" s="94" t="str">
        <f>IF(AND(C713&lt;&gt;"", 'Cost Inputs'!$G$150&lt;&gt;""), 'Cost Inputs'!$G$150, "")</f>
        <v/>
      </c>
      <c r="E713" s="94" t="str">
        <f>IF(AND(C713&lt;&gt;"", 'Cost Inputs'!$H$150&lt;&gt;""), 'Cost Inputs'!$H$150, "")</f>
        <v/>
      </c>
      <c r="F713" s="94" t="str">
        <f>IF(AND(C713&lt;&gt;"", 'Cost Inputs'!$I$150&lt;&gt;""), 'Cost Inputs'!$I$150, "")</f>
        <v/>
      </c>
      <c r="G713" s="102" t="str">
        <f t="shared" si="469"/>
        <v/>
      </c>
      <c r="H713" s="102" t="str">
        <f>IF(AND(C713&lt;&gt;"", 'Cost Inputs'!$J$150&lt;&gt;""), 'Cost Inputs'!$J$150, "")</f>
        <v/>
      </c>
      <c r="I713" s="102" t="str">
        <f t="shared" si="472"/>
        <v/>
      </c>
      <c r="J713" s="102" t="str">
        <f>IF(AND(C713&lt;&gt;"",('Cost Inputs'!$I$150+'Cost Inputs'!$J$150+'Cost Inputs'!$K$150)&gt;0), 'Cost Inputs'!$I$150+'Cost Inputs'!$J$150+'Cost Inputs'!$K$150, "")</f>
        <v/>
      </c>
      <c r="K713" s="102" t="str">
        <f t="shared" si="473"/>
        <v/>
      </c>
      <c r="L713" s="94"/>
      <c r="M713" s="103"/>
      <c r="V713" s="102" t="str">
        <f>IF(ISNUMBER($B$537), IF($C713&lt;&gt;"", IF('Cost Inputs'!$L$150="Y", $E713, IF('Cost Inputs'!$L$150="N", IF(ISNUMBER('Cost Inputs'!$M$150), $E713, ""),"")),""),"")</f>
        <v/>
      </c>
      <c r="W713" s="102" t="str">
        <f>IF(ISNUMBER($B$537), IF($C713&lt;&gt;"", IF('Cost Inputs'!$L$150="Y", $E713, IF('Cost Inputs'!$L$150="N", "", "")),""),"")</f>
        <v/>
      </c>
      <c r="X713" s="102" t="str">
        <f>IF(ISNUMBER($B$537), IF($C713&lt;&gt;"", IF('Cost Inputs'!$L$150="Y", $E713, IF('Cost Inputs'!$L$150="N", IF(AND(ISNUMBER('Cost Inputs'!$M$150), OR('Cost Inputs'!$M$150=2)), $E713, ""),"")),""),"")</f>
        <v/>
      </c>
      <c r="Y713" s="102" t="str">
        <f>IF(ISNUMBER($B$537), IF($C713&lt;&gt;"", IF('Cost Inputs'!$L$150="Y", $E713, IF('Cost Inputs'!$L$150="N", IF(AND(ISNUMBER('Cost Inputs'!$M$150), OR('Cost Inputs'!$M$150=3)), $E713, ""),"")),""),"")</f>
        <v/>
      </c>
      <c r="Z713" s="102" t="str">
        <f>IF(ISNUMBER($B$537), IF($C713&lt;&gt;"", IF('Cost Inputs'!$L$150="Y", $E713, IF('Cost Inputs'!$L$150="N", IF(AND(ISNUMBER('Cost Inputs'!$M$150), OR('Cost Inputs'!$M$150=2, 'Cost Inputs'!$M$150=4)), $E713, ""),"")),""),"")</f>
        <v/>
      </c>
      <c r="AA713" s="102" t="str">
        <f>IF(ISNUMBER($B$537), IF($C713&lt;&gt;"", IF('Cost Inputs'!$L$150="Y", $E713, IF('Cost Inputs'!$L$150="N", IF(AND(ISNUMBER('Cost Inputs'!$M$150), OR('Cost Inputs'!$M$150=2,'Cost Inputs'!$M$150=5)), $E713, ""),"")),""),"")</f>
        <v/>
      </c>
      <c r="AB713" s="102" t="str">
        <f>IF(ISNUMBER($B$537), IF($C713&lt;&gt;"", IF('Cost Inputs'!$L$150="Y", $E713, IF('Cost Inputs'!$L$150="N", IF(AND(ISNUMBER('Cost Inputs'!$M$150), OR('Cost Inputs'!$M$150=2,'Cost Inputs'!$M$150=3,'Cost Inputs'!$M$150=6)), $E713, ""),"")),""),"")</f>
        <v/>
      </c>
      <c r="AC713" s="102" t="str">
        <f>IF(ISNUMBER($B$537), IF($C713&lt;&gt;"", IF('Cost Inputs'!$L$150="Y", $E713, IF('Cost Inputs'!$L$150="N", IF(AND(ISNUMBER('Cost Inputs'!$M$150), OR('Cost Inputs'!$M$150=2,'Cost Inputs'!$M$150=7)), $E713, ""),"")),""),"")</f>
        <v/>
      </c>
      <c r="AD713" s="102" t="str">
        <f>IF(ISNUMBER($B$537), IF($C713&lt;&gt;"", IF('Cost Inputs'!$L$150="Y", $E713, IF('Cost Inputs'!$L$150="N", IF(AND(ISNUMBER('Cost Inputs'!$M$150), OR('Cost Inputs'!$M$150=2,'Cost Inputs'!$M$150=4,'Cost Inputs'!$M$150=8)), $E713, ""),"")),""),"")</f>
        <v/>
      </c>
      <c r="AE713" s="102" t="str">
        <f>IF(ISNUMBER($B$537), IF($C713&lt;&gt;"", IF('Cost Inputs'!$L$150="Y", $E713, IF('Cost Inputs'!$L$150="N", IF(AND(ISNUMBER('Cost Inputs'!$M$150), OR('Cost Inputs'!$M$150=2,'Cost Inputs'!$M$150=3,'Cost Inputs'!$M$150=9)), $E713, ""),"")),""),"")</f>
        <v/>
      </c>
    </row>
    <row r="714" spans="1:31" x14ac:dyDescent="0.25">
      <c r="A714" s="518"/>
      <c r="B714" s="504"/>
      <c r="C714" s="104" t="str">
        <f>IF(AND(ISNUMBER(B709), OR('Cost Inputs'!$H$151&lt;&gt;"", 'Cost Inputs'!$I$151&lt;&gt;"", 'Cost Inputs'!$J$151&lt;&gt;"")), _5_4_1, "")</f>
        <v/>
      </c>
      <c r="D714" s="17" t="str">
        <f>IF(AND(C714&lt;&gt;"", 'Cost Inputs'!$G$151&lt;&gt;""), 'Cost Inputs'!$G$151, "")</f>
        <v/>
      </c>
      <c r="E714" s="17" t="str">
        <f>IF(AND(C714&lt;&gt;"", 'Cost Inputs'!$H$151&lt;&gt;""), 'Cost Inputs'!$H$151, "")</f>
        <v/>
      </c>
      <c r="F714" s="17" t="str">
        <f>IF(AND(C714&lt;&gt;"", 'Cost Inputs'!$I$151&lt;&gt;""), 'Cost Inputs'!$I$151, "")</f>
        <v/>
      </c>
      <c r="G714" s="105" t="str">
        <f t="shared" si="469"/>
        <v/>
      </c>
      <c r="H714" s="17" t="str">
        <f>IF(AND(C714&lt;&gt;"", 'Cost Inputs'!$J$151&lt;&gt;""), 'Cost Inputs'!$J$151, "")</f>
        <v/>
      </c>
      <c r="I714" s="17" t="str">
        <f t="shared" si="472"/>
        <v/>
      </c>
      <c r="J714" s="17" t="str">
        <f>IF(AND(C714&lt;&gt;"",('Cost Inputs'!$I$151+'Cost Inputs'!$J$151+'Cost Inputs'!$K$151)&gt;0), 'Cost Inputs'!$I$151+'Cost Inputs'!$J$151+'Cost Inputs'!$K$151, "")</f>
        <v/>
      </c>
      <c r="K714" s="17" t="str">
        <f t="shared" si="473"/>
        <v/>
      </c>
      <c r="M714" s="106"/>
      <c r="V714" s="17" t="str">
        <f>IF(ISNUMBER($B$537), IF($C714&lt;&gt;"", IF('Cost Inputs'!$L$151="Y", $E714, IF('Cost Inputs'!$L$151="N", IF(ISNUMBER('Cost Inputs'!$M$151), $E714, ""),"")),""),"")</f>
        <v/>
      </c>
      <c r="W714" s="17" t="str">
        <f>IF(ISNUMBER($B$537), IF($C714&lt;&gt;"", IF('Cost Inputs'!$L$151="Y", $E714, IF('Cost Inputs'!$L$151="N", "", "")),""),"")</f>
        <v/>
      </c>
      <c r="X714" s="17" t="str">
        <f>IF(ISNUMBER($B$537), IF($C714&lt;&gt;"", IF('Cost Inputs'!$L$151="Y", $E714, IF('Cost Inputs'!$L$151="N", IF(AND(ISNUMBER('Cost Inputs'!$M$151), OR('Cost Inputs'!$M$151=2)), $E714, ""),"")),""),"")</f>
        <v/>
      </c>
      <c r="Y714" s="17" t="str">
        <f>IF(ISNUMBER($B$537), IF($C714&lt;&gt;"", IF('Cost Inputs'!$L$151="Y", $E714, IF('Cost Inputs'!$L$151="N", IF(AND(ISNUMBER('Cost Inputs'!$M$151), OR('Cost Inputs'!$M$151=3)), $E714, ""),"")),""),"")</f>
        <v/>
      </c>
      <c r="Z714" s="17" t="str">
        <f>IF(ISNUMBER($B$537), IF($C714&lt;&gt;"", IF('Cost Inputs'!$L$151="Y", $E714, IF('Cost Inputs'!$L$151="N", IF(AND(ISNUMBER('Cost Inputs'!$M$151), OR('Cost Inputs'!$M$151=2, 'Cost Inputs'!$M$151=4)), $E714, ""),"")),""),"")</f>
        <v/>
      </c>
      <c r="AA714" s="17" t="str">
        <f>IF(ISNUMBER($B$537), IF($C714&lt;&gt;"", IF('Cost Inputs'!$L$151="Y", $E714, IF('Cost Inputs'!$L$151="N", IF(AND(ISNUMBER('Cost Inputs'!$M$151), OR('Cost Inputs'!$M$151=2,'Cost Inputs'!$M$151=5)), $E714, ""),"")),""),"")</f>
        <v/>
      </c>
      <c r="AB714" s="17" t="str">
        <f>IF(ISNUMBER($B$537), IF($C714&lt;&gt;"", IF('Cost Inputs'!$L$151="Y", $E714, IF('Cost Inputs'!$L$151="N", IF(AND(ISNUMBER('Cost Inputs'!$M$151), OR('Cost Inputs'!$M$151=2,'Cost Inputs'!$M$151=3,'Cost Inputs'!$M$151=6)), $E714, ""),"")),""),"")</f>
        <v/>
      </c>
      <c r="AC714" s="17" t="str">
        <f>IF(ISNUMBER($B$537), IF($C714&lt;&gt;"", IF('Cost Inputs'!$L$151="Y", $E714, IF('Cost Inputs'!$L$151="N", IF(AND(ISNUMBER('Cost Inputs'!$M$151), OR('Cost Inputs'!$M$151=2,'Cost Inputs'!$M$151=7)), $E714, ""),"")),""),"")</f>
        <v/>
      </c>
      <c r="AD714" s="17" t="str">
        <f>IF(ISNUMBER($B$537), IF($C714&lt;&gt;"", IF('Cost Inputs'!$L$151="Y", $E714, IF('Cost Inputs'!$L$151="N", IF(AND(ISNUMBER('Cost Inputs'!$M$151), OR('Cost Inputs'!$M$151=2,'Cost Inputs'!$M$151=4,'Cost Inputs'!$M$151=8)), $E714, ""),"")),""),"")</f>
        <v/>
      </c>
      <c r="AE714" s="17" t="str">
        <f>IF(ISNUMBER($B$537), IF($C714&lt;&gt;"", IF('Cost Inputs'!$L$151="Y", $E714, IF('Cost Inputs'!$L$151="N", IF(AND(ISNUMBER('Cost Inputs'!$M$151), OR('Cost Inputs'!$M$151=2,'Cost Inputs'!$M$151=3,'Cost Inputs'!$M$151=9)), $E714, ""),"")),""),"")</f>
        <v/>
      </c>
    </row>
    <row r="715" spans="1:31" x14ac:dyDescent="0.25">
      <c r="A715" s="518"/>
      <c r="B715" s="504"/>
      <c r="C715" s="107" t="str">
        <f>IF(AND(ISNUMBER(B709), OR('Cost Inputs'!$H$152&lt;&gt;"", 'Cost Inputs'!$I$152&lt;&gt;"", 'Cost Inputs'!$J$152&lt;&gt;"")), _5_4_2, "")</f>
        <v/>
      </c>
      <c r="D715" s="93" t="str">
        <f>IF(AND(C715&lt;&gt;"", 'Cost Inputs'!$G$152&lt;&gt;""), 'Cost Inputs'!$G$152, "")</f>
        <v/>
      </c>
      <c r="E715" s="93" t="str">
        <f>IF(AND(C715&lt;&gt;"", 'Cost Inputs'!$H$152&lt;&gt;""), 'Cost Inputs'!$H$152, "")</f>
        <v/>
      </c>
      <c r="F715" s="93" t="str">
        <f>IF(AND(C715&lt;&gt;"", 'Cost Inputs'!$I$152&lt;&gt;""), 'Cost Inputs'!$I$152, "")</f>
        <v/>
      </c>
      <c r="G715" s="108" t="str">
        <f t="shared" si="469"/>
        <v/>
      </c>
      <c r="H715" s="93" t="str">
        <f>IF(AND(C715&lt;&gt;"", 'Cost Inputs'!$J$152&lt;&gt;""), 'Cost Inputs'!$J$152, "")</f>
        <v/>
      </c>
      <c r="I715" s="93" t="str">
        <f t="shared" si="472"/>
        <v/>
      </c>
      <c r="J715" s="93" t="str">
        <f>IF(AND(C715&lt;&gt;"",('Cost Inputs'!$I$152+'Cost Inputs'!$J$152+'Cost Inputs'!$K$152)&gt;0), 'Cost Inputs'!$I$152+'Cost Inputs'!$J$152+'Cost Inputs'!$K$152, "")</f>
        <v/>
      </c>
      <c r="K715" s="93" t="str">
        <f t="shared" si="473"/>
        <v/>
      </c>
      <c r="L715" s="93"/>
      <c r="M715" s="109"/>
      <c r="V715" s="93" t="str">
        <f>IF(ISNUMBER($B$537), IF($C715&lt;&gt;"", IF('Cost Inputs'!$L$152="Y", $E715, IF('Cost Inputs'!$L$152="N", IF(ISNUMBER('Cost Inputs'!$M$152), $E715, ""),"")),""),"")</f>
        <v/>
      </c>
      <c r="W715" s="93" t="str">
        <f>IF(ISNUMBER($B$537), IF($C715&lt;&gt;"", IF('Cost Inputs'!$L$152="Y", $E715, IF('Cost Inputs'!$L$152="N", "", "")),""),"")</f>
        <v/>
      </c>
      <c r="X715" s="93" t="str">
        <f>IF(ISNUMBER($B$537), IF($C715&lt;&gt;"", IF('Cost Inputs'!$L$152="Y", $E715, IF('Cost Inputs'!$L$152="N", IF(AND(ISNUMBER('Cost Inputs'!$M$152), OR('Cost Inputs'!$M$152=2)), $E715, ""),"")),""),"")</f>
        <v/>
      </c>
      <c r="Y715" s="93" t="str">
        <f>IF(ISNUMBER($B$537), IF($C715&lt;&gt;"", IF('Cost Inputs'!$L$152="Y", $E715, IF('Cost Inputs'!$L$152="N", IF(AND(ISNUMBER('Cost Inputs'!$M$152), OR('Cost Inputs'!$M$152=3)), $E715, ""),"")),""),"")</f>
        <v/>
      </c>
      <c r="Z715" s="93" t="str">
        <f>IF(ISNUMBER($B$537), IF($C715&lt;&gt;"", IF('Cost Inputs'!$L$152="Y", $E715, IF('Cost Inputs'!$L$152="N", IF(AND(ISNUMBER('Cost Inputs'!$M$152), OR('Cost Inputs'!$M$152=2, 'Cost Inputs'!$M$152=4)), $E715, ""),"")),""),"")</f>
        <v/>
      </c>
      <c r="AA715" s="93" t="str">
        <f>IF(ISNUMBER($B$537), IF($C715&lt;&gt;"", IF('Cost Inputs'!$L$152="Y", $E715, IF('Cost Inputs'!$L$152="N", IF(AND(ISNUMBER('Cost Inputs'!$M$152), OR('Cost Inputs'!$M$152=2,'Cost Inputs'!$M$152=5)), $E715, ""),"")),""),"")</f>
        <v/>
      </c>
      <c r="AB715" s="93" t="str">
        <f>IF(ISNUMBER($B$537), IF($C715&lt;&gt;"", IF('Cost Inputs'!$L$152="Y", $E715, IF('Cost Inputs'!$L$152="N", IF(AND(ISNUMBER('Cost Inputs'!$M$152), OR('Cost Inputs'!$M$152=2,'Cost Inputs'!$M$152=3,'Cost Inputs'!$M$152=6)), $E715, ""),"")),""),"")</f>
        <v/>
      </c>
      <c r="AC715" s="93" t="str">
        <f>IF(ISNUMBER($B$537), IF($C715&lt;&gt;"", IF('Cost Inputs'!$L$152="Y", $E715, IF('Cost Inputs'!$L$152="N", IF(AND(ISNUMBER('Cost Inputs'!$M$152), OR('Cost Inputs'!$M$152=2,'Cost Inputs'!$M$152=7)), $E715, ""),"")),""),"")</f>
        <v/>
      </c>
      <c r="AD715" s="93" t="str">
        <f>IF(ISNUMBER($B$537), IF($C715&lt;&gt;"", IF('Cost Inputs'!$L$152="Y", $E715, IF('Cost Inputs'!$L$152="N", IF(AND(ISNUMBER('Cost Inputs'!$M$152), OR('Cost Inputs'!$M$152=2,'Cost Inputs'!$M$152=4,'Cost Inputs'!$M$152=8)), $E715, ""),"")),""),"")</f>
        <v/>
      </c>
      <c r="AE715" s="93" t="str">
        <f>IF(ISNUMBER($B$537), IF($C715&lt;&gt;"", IF('Cost Inputs'!$L$152="Y", $E715, IF('Cost Inputs'!$L$152="N", IF(AND(ISNUMBER('Cost Inputs'!$M$152), OR('Cost Inputs'!$M$152=2,'Cost Inputs'!$M$152=3,'Cost Inputs'!$M$152=9)), $E715, ""),"")),""),"")</f>
        <v/>
      </c>
    </row>
    <row r="716" spans="1:31" x14ac:dyDescent="0.25">
      <c r="A716" s="518"/>
      <c r="B716" s="504"/>
      <c r="C716" s="104" t="str">
        <f>IF(AND(ISNUMBER(B709), OR('Cost Inputs'!$H$153&lt;&gt;"", 'Cost Inputs'!$I$153&lt;&gt;"", 'Cost Inputs'!$J$153&lt;&gt;"")), _5_4_3, "")</f>
        <v/>
      </c>
      <c r="D716" s="17" t="str">
        <f>IF(AND(C716&lt;&gt;"", 'Cost Inputs'!$G$153&lt;&gt;""), 'Cost Inputs'!$G$153, "")</f>
        <v/>
      </c>
      <c r="E716" s="17" t="str">
        <f>IF(AND(C716&lt;&gt;"", 'Cost Inputs'!$H$153&lt;&gt;""), 'Cost Inputs'!$H$153, "")</f>
        <v/>
      </c>
      <c r="F716" s="17" t="str">
        <f>IF(AND(C716&lt;&gt;"", 'Cost Inputs'!$I$153&lt;&gt;""), 'Cost Inputs'!$I$153, "")</f>
        <v/>
      </c>
      <c r="G716" s="105" t="str">
        <f t="shared" si="469"/>
        <v/>
      </c>
      <c r="H716" s="17" t="str">
        <f>IF(AND(C716&lt;&gt;"", 'Cost Inputs'!$J$153&lt;&gt;""), 'Cost Inputs'!$J$153, "")</f>
        <v/>
      </c>
      <c r="I716" s="17" t="str">
        <f t="shared" si="472"/>
        <v/>
      </c>
      <c r="J716" s="17" t="str">
        <f>IF(AND(C716&lt;&gt;"",('Cost Inputs'!$I$153+'Cost Inputs'!$J$153+'Cost Inputs'!$K$153)&gt;0), 'Cost Inputs'!$I$153+'Cost Inputs'!$J$153+'Cost Inputs'!$K$153, "")</f>
        <v/>
      </c>
      <c r="K716" s="17" t="str">
        <f t="shared" si="473"/>
        <v/>
      </c>
      <c r="M716" s="106"/>
      <c r="V716" s="17" t="str">
        <f>IF(ISNUMBER($B$537), IF($C716&lt;&gt;"", IF('Cost Inputs'!$L$153="Y", $E716, IF('Cost Inputs'!$L$153="N", IF(ISNUMBER('Cost Inputs'!$M$153), $E716, ""),"")),""),"")</f>
        <v/>
      </c>
      <c r="W716" s="17" t="str">
        <f>IF(ISNUMBER($B$537), IF($C716&lt;&gt;"", IF('Cost Inputs'!$L$153="Y", $E716, IF('Cost Inputs'!$L$153="N", "", "")),""),"")</f>
        <v/>
      </c>
      <c r="X716" s="17" t="str">
        <f>IF(ISNUMBER($B$537), IF($C716&lt;&gt;"", IF('Cost Inputs'!$L$153="Y", $E716, IF('Cost Inputs'!$L$153="N", IF(AND(ISNUMBER('Cost Inputs'!$M$153), OR('Cost Inputs'!$M$153=2)), $E716, ""),"")),""),"")</f>
        <v/>
      </c>
      <c r="Y716" s="17" t="str">
        <f>IF(ISNUMBER($B$537), IF($C716&lt;&gt;"", IF('Cost Inputs'!$L$153="Y", $E716, IF('Cost Inputs'!$L$153="N", IF(AND(ISNUMBER('Cost Inputs'!$M$153), OR('Cost Inputs'!$M$153=3)), $E716, ""),"")),""),"")</f>
        <v/>
      </c>
      <c r="Z716" s="17" t="str">
        <f>IF(ISNUMBER($B$537), IF($C716&lt;&gt;"", IF('Cost Inputs'!$L$153="Y", $E716, IF('Cost Inputs'!$L$153="N", IF(AND(ISNUMBER('Cost Inputs'!$M$153), OR('Cost Inputs'!$M$153=2, 'Cost Inputs'!$M$153=4)), $E716, ""),"")),""),"")</f>
        <v/>
      </c>
      <c r="AA716" s="17" t="str">
        <f>IF(ISNUMBER($B$537), IF($C716&lt;&gt;"", IF('Cost Inputs'!$L$153="Y", $E716, IF('Cost Inputs'!$L$153="N", IF(AND(ISNUMBER('Cost Inputs'!$M$153), OR('Cost Inputs'!$M$153=2,'Cost Inputs'!$M$153=5)), $E716, ""),"")),""),"")</f>
        <v/>
      </c>
      <c r="AB716" s="17" t="str">
        <f>IF(ISNUMBER($B$537), IF($C716&lt;&gt;"", IF('Cost Inputs'!$L$153="Y", $E716, IF('Cost Inputs'!$L$153="N", IF(AND(ISNUMBER('Cost Inputs'!$M$153), OR('Cost Inputs'!$M$153=2,'Cost Inputs'!$M$153=3,'Cost Inputs'!$M$153=6)), $E716, ""),"")),""),"")</f>
        <v/>
      </c>
      <c r="AC716" s="17" t="str">
        <f>IF(ISNUMBER($B$537), IF($C716&lt;&gt;"", IF('Cost Inputs'!$L$153="Y", $E716, IF('Cost Inputs'!$L$153="N", IF(AND(ISNUMBER('Cost Inputs'!$M$153), OR('Cost Inputs'!$M$153=2,'Cost Inputs'!$M$153=7)), $E716, ""),"")),""),"")</f>
        <v/>
      </c>
      <c r="AD716" s="17" t="str">
        <f>IF(ISNUMBER($B$537), IF($C716&lt;&gt;"", IF('Cost Inputs'!$L$153="Y", $E716, IF('Cost Inputs'!$L$153="N", IF(AND(ISNUMBER('Cost Inputs'!$M$153), OR('Cost Inputs'!$M$153=2,'Cost Inputs'!$M$153=4,'Cost Inputs'!$M$153=8)), $E716, ""),"")),""),"")</f>
        <v/>
      </c>
      <c r="AE716" s="17" t="str">
        <f>IF(ISNUMBER($B$537), IF($C716&lt;&gt;"", IF('Cost Inputs'!$L$153="Y", $E716, IF('Cost Inputs'!$L$153="N", IF(AND(ISNUMBER('Cost Inputs'!$M$153), OR('Cost Inputs'!$M$153=2,'Cost Inputs'!$M$153=3,'Cost Inputs'!$M$153=9)), $E716, ""),"")),""),"")</f>
        <v/>
      </c>
    </row>
    <row r="717" spans="1:31" x14ac:dyDescent="0.25">
      <c r="A717" s="518"/>
      <c r="B717" s="504"/>
      <c r="C717" s="107" t="str">
        <f>IF(AND(ISNUMBER(B709), OR('Cost Inputs'!$H$154&lt;&gt;"", 'Cost Inputs'!$I$154&lt;&gt;"", 'Cost Inputs'!$J$154&lt;&gt;"")), _5_4_4, "")</f>
        <v/>
      </c>
      <c r="D717" s="93" t="str">
        <f>IF(AND(C717&lt;&gt;"", 'Cost Inputs'!$G$154&lt;&gt;""), 'Cost Inputs'!$G$154, "")</f>
        <v/>
      </c>
      <c r="E717" s="93" t="str">
        <f>IF(AND(C717&lt;&gt;"", 'Cost Inputs'!$H$154&lt;&gt;""), 'Cost Inputs'!$H$154, "")</f>
        <v/>
      </c>
      <c r="F717" s="93" t="str">
        <f>IF(AND(C717&lt;&gt;"", 'Cost Inputs'!$I$154&lt;&gt;""), 'Cost Inputs'!$I$154, "")</f>
        <v/>
      </c>
      <c r="G717" s="108" t="str">
        <f t="shared" si="469"/>
        <v/>
      </c>
      <c r="H717" s="93" t="str">
        <f>IF(AND(C717&lt;&gt;"", 'Cost Inputs'!$J$154&lt;&gt;""), 'Cost Inputs'!$J$154, "")</f>
        <v/>
      </c>
      <c r="I717" s="93" t="str">
        <f t="shared" si="472"/>
        <v/>
      </c>
      <c r="J717" s="93" t="str">
        <f>IF(AND(C717&lt;&gt;"",('Cost Inputs'!$I$154+'Cost Inputs'!$J$154+'Cost Inputs'!$K$154)&gt;0), 'Cost Inputs'!$I$154+'Cost Inputs'!$J$154+'Cost Inputs'!$K$154, "")</f>
        <v/>
      </c>
      <c r="K717" s="93" t="str">
        <f t="shared" si="473"/>
        <v/>
      </c>
      <c r="L717" s="93"/>
      <c r="M717" s="109"/>
      <c r="V717" s="93" t="str">
        <f>IF(ISNUMBER($B$537), IF($C717&lt;&gt;"", IF('Cost Inputs'!$L$154="Y", $E717, IF('Cost Inputs'!$L$154="N", IF(ISNUMBER('Cost Inputs'!$M$154), $E717, ""),"")),""),"")</f>
        <v/>
      </c>
      <c r="W717" s="93" t="str">
        <f>IF(ISNUMBER($B$537), IF($C717&lt;&gt;"", IF('Cost Inputs'!$L$154="Y", $E717, IF('Cost Inputs'!$L$154="N", "", "")),""),"")</f>
        <v/>
      </c>
      <c r="X717" s="93" t="str">
        <f>IF(ISNUMBER($B$537), IF($C717&lt;&gt;"", IF('Cost Inputs'!$L$154="Y", $E717, IF('Cost Inputs'!$L$154="N", IF(AND(ISNUMBER('Cost Inputs'!$M$154), OR('Cost Inputs'!$M$154=2)), $E717, ""),"")),""),"")</f>
        <v/>
      </c>
      <c r="Y717" s="93" t="str">
        <f>IF(ISNUMBER($B$537), IF($C717&lt;&gt;"", IF('Cost Inputs'!$L$154="Y", $E717, IF('Cost Inputs'!$L$154="N", IF(AND(ISNUMBER('Cost Inputs'!$M$154), OR('Cost Inputs'!$M$154=3)), $E717, ""),"")),""),"")</f>
        <v/>
      </c>
      <c r="Z717" s="93" t="str">
        <f>IF(ISNUMBER($B$537), IF($C717&lt;&gt;"", IF('Cost Inputs'!$L$154="Y", $E717, IF('Cost Inputs'!$L$154="N", IF(AND(ISNUMBER('Cost Inputs'!$M$154), OR('Cost Inputs'!$M$154=2, 'Cost Inputs'!$M$154=4)), $E717, ""),"")),""),"")</f>
        <v/>
      </c>
      <c r="AA717" s="93" t="str">
        <f>IF(ISNUMBER($B$537), IF($C717&lt;&gt;"", IF('Cost Inputs'!$L$154="Y", $E717, IF('Cost Inputs'!$L$154="N", IF(AND(ISNUMBER('Cost Inputs'!$M$154), OR('Cost Inputs'!$M$154=2,'Cost Inputs'!$M$154=5)), $E717, ""),"")),""),"")</f>
        <v/>
      </c>
      <c r="AB717" s="93" t="str">
        <f>IF(ISNUMBER($B$537), IF($C717&lt;&gt;"", IF('Cost Inputs'!$L$154="Y", $E717, IF('Cost Inputs'!$L$154="N", IF(AND(ISNUMBER('Cost Inputs'!$M$154), OR('Cost Inputs'!$M$154=2,'Cost Inputs'!$M$154=3,'Cost Inputs'!$M$154=6)), $E717, ""),"")),""),"")</f>
        <v/>
      </c>
      <c r="AC717" s="93" t="str">
        <f>IF(ISNUMBER($B$537), IF($C717&lt;&gt;"", IF('Cost Inputs'!$L$154="Y", $E717, IF('Cost Inputs'!$L$154="N", IF(AND(ISNUMBER('Cost Inputs'!$M$154), OR('Cost Inputs'!$M$154=2,'Cost Inputs'!$M$154=7)), $E717, ""),"")),""),"")</f>
        <v/>
      </c>
      <c r="AD717" s="93" t="str">
        <f>IF(ISNUMBER($B$537), IF($C717&lt;&gt;"", IF('Cost Inputs'!$L$154="Y", $E717, IF('Cost Inputs'!$L$154="N", IF(AND(ISNUMBER('Cost Inputs'!$M$154), OR('Cost Inputs'!$M$154=2,'Cost Inputs'!$M$154=4,'Cost Inputs'!$M$154=8)), $E717, ""),"")),""),"")</f>
        <v/>
      </c>
      <c r="AE717" s="93" t="str">
        <f>IF(ISNUMBER($B$537), IF($C717&lt;&gt;"", IF('Cost Inputs'!$L$154="Y", $E717, IF('Cost Inputs'!$L$154="N", IF(AND(ISNUMBER('Cost Inputs'!$M$154), OR('Cost Inputs'!$M$154=2,'Cost Inputs'!$M$154=3,'Cost Inputs'!$M$154=9)), $E717, ""),"")),""),"")</f>
        <v/>
      </c>
    </row>
    <row r="718" spans="1:31" x14ac:dyDescent="0.25">
      <c r="A718" s="518"/>
      <c r="B718" s="504"/>
      <c r="C718" s="104" t="str">
        <f>IF(AND(ISNUMBER(B709), OR('Cost Inputs'!$H$155&lt;&gt;"", 'Cost Inputs'!$I$155&lt;&gt;"", 'Cost Inputs'!$J$155&lt;&gt;"")), _5_4_5, "")</f>
        <v/>
      </c>
      <c r="D718" s="17" t="str">
        <f>IF(AND(C718&lt;&gt;"", 'Cost Inputs'!$G$155&lt;&gt;""), 'Cost Inputs'!$G$155, "")</f>
        <v/>
      </c>
      <c r="E718" s="17" t="str">
        <f>IF(AND(C718&lt;&gt;"", 'Cost Inputs'!$H$155&lt;&gt;""), 'Cost Inputs'!$H$155, "")</f>
        <v/>
      </c>
      <c r="F718" s="17" t="str">
        <f>IF(AND(C718&lt;&gt;"", 'Cost Inputs'!$I$155&lt;&gt;""), 'Cost Inputs'!$I$155, "")</f>
        <v/>
      </c>
      <c r="G718" s="105" t="str">
        <f t="shared" si="469"/>
        <v/>
      </c>
      <c r="H718" s="17" t="str">
        <f>IF(AND(C718&lt;&gt;"", 'Cost Inputs'!$J$155&lt;&gt;""), 'Cost Inputs'!$J$155, "")</f>
        <v/>
      </c>
      <c r="I718" s="17" t="str">
        <f t="shared" si="472"/>
        <v/>
      </c>
      <c r="J718" s="17" t="str">
        <f>IF(AND(C718&lt;&gt;"",('Cost Inputs'!$I$155+'Cost Inputs'!$J$155+'Cost Inputs'!$K$155)&gt;0), 'Cost Inputs'!$I$155+'Cost Inputs'!$J$155+'Cost Inputs'!$K$155, "")</f>
        <v/>
      </c>
      <c r="K718" s="17" t="str">
        <f t="shared" si="473"/>
        <v/>
      </c>
      <c r="M718" s="106"/>
      <c r="V718" s="17" t="str">
        <f>IF(ISNUMBER($B$537), IF($C718&lt;&gt;"", IF('Cost Inputs'!$L$155="Y", $E718, IF('Cost Inputs'!$L$155="N", IF(ISNUMBER('Cost Inputs'!$M$155), $E718, ""),"")),""),"")</f>
        <v/>
      </c>
      <c r="W718" s="17" t="str">
        <f>IF(ISNUMBER($B$537), IF($C718&lt;&gt;"", IF('Cost Inputs'!$L$155="Y", $E718, IF('Cost Inputs'!$L$155="N", "", "")),""),"")</f>
        <v/>
      </c>
      <c r="X718" s="17" t="str">
        <f>IF(ISNUMBER($B$537), IF($C718&lt;&gt;"", IF('Cost Inputs'!$L$155="Y", $E718, IF('Cost Inputs'!$L$155="N", IF(AND(ISNUMBER('Cost Inputs'!$M$155), OR('Cost Inputs'!$M$155=2)), $E718, ""),"")),""),"")</f>
        <v/>
      </c>
      <c r="Y718" s="17" t="str">
        <f>IF(ISNUMBER($B$537), IF($C718&lt;&gt;"", IF('Cost Inputs'!$L$155="Y", $E718, IF('Cost Inputs'!$L$155="N", IF(AND(ISNUMBER('Cost Inputs'!$M$155), OR('Cost Inputs'!$M$155=3)), $E718, ""),"")),""),"")</f>
        <v/>
      </c>
      <c r="Z718" s="17" t="str">
        <f>IF(ISNUMBER($B$537), IF($C718&lt;&gt;"", IF('Cost Inputs'!$L$155="Y", $E718, IF('Cost Inputs'!$L$155="N", IF(AND(ISNUMBER('Cost Inputs'!$M$155), OR('Cost Inputs'!$M$155=2, 'Cost Inputs'!$M$155=4)), $E718, ""),"")),""),"")</f>
        <v/>
      </c>
      <c r="AA718" s="17" t="str">
        <f>IF(ISNUMBER($B$537), IF($C718&lt;&gt;"", IF('Cost Inputs'!$L$155="Y", $E718, IF('Cost Inputs'!$L$155="N", IF(AND(ISNUMBER('Cost Inputs'!$M$155), OR('Cost Inputs'!$M$155=2,'Cost Inputs'!$M$155=5)), $E718, ""),"")),""),"")</f>
        <v/>
      </c>
      <c r="AB718" s="17" t="str">
        <f>IF(ISNUMBER($B$537), IF($C718&lt;&gt;"", IF('Cost Inputs'!$L$155="Y", $E718, IF('Cost Inputs'!$L$155="N", IF(AND(ISNUMBER('Cost Inputs'!$M$155), OR('Cost Inputs'!$M$155=2,'Cost Inputs'!$M$155=3,'Cost Inputs'!$M$155=6)), $E718, ""),"")),""),"")</f>
        <v/>
      </c>
      <c r="AC718" s="17" t="str">
        <f>IF(ISNUMBER($B$537), IF($C718&lt;&gt;"", IF('Cost Inputs'!$L$155="Y", $E718, IF('Cost Inputs'!$L$155="N", IF(AND(ISNUMBER('Cost Inputs'!$M$155), OR('Cost Inputs'!$M$155=2,'Cost Inputs'!$M$155=7)), $E718, ""),"")),""),"")</f>
        <v/>
      </c>
      <c r="AD718" s="17" t="str">
        <f>IF(ISNUMBER($B$537), IF($C718&lt;&gt;"", IF('Cost Inputs'!$L$155="Y", $E718, IF('Cost Inputs'!$L$155="N", IF(AND(ISNUMBER('Cost Inputs'!$M$155), OR('Cost Inputs'!$M$155=2,'Cost Inputs'!$M$155=4,'Cost Inputs'!$M$155=8)), $E718, ""),"")),""),"")</f>
        <v/>
      </c>
      <c r="AE718" s="17" t="str">
        <f>IF(ISNUMBER($B$537), IF($C718&lt;&gt;"", IF('Cost Inputs'!$L$155="Y", $E718, IF('Cost Inputs'!$L$155="N", IF(AND(ISNUMBER('Cost Inputs'!$M$155), OR('Cost Inputs'!$M$155=2,'Cost Inputs'!$M$155=3,'Cost Inputs'!$M$155=9)), $E718, ""),"")),""),"")</f>
        <v/>
      </c>
    </row>
    <row r="719" spans="1:31" x14ac:dyDescent="0.25">
      <c r="A719" s="518"/>
      <c r="B719" s="504"/>
      <c r="C719" s="107" t="str">
        <f>IF(AND(ISNUMBER(B709), OR('Cost Inputs'!$H$156&lt;&gt;"", 'Cost Inputs'!$I$156&lt;&gt;"", 'Cost Inputs'!$J$156&lt;&gt;"")), _5_4_6, "")</f>
        <v/>
      </c>
      <c r="D719" s="93" t="str">
        <f>IF(AND(C719&lt;&gt;"", 'Cost Inputs'!$G$156&lt;&gt;""), 'Cost Inputs'!$G$156, "")</f>
        <v/>
      </c>
      <c r="E719" s="93" t="str">
        <f>IF(AND(C719&lt;&gt;"", 'Cost Inputs'!$H$156&lt;&gt;""), 'Cost Inputs'!$H$156, "")</f>
        <v/>
      </c>
      <c r="F719" s="93" t="str">
        <f>IF(AND(C719&lt;&gt;"", 'Cost Inputs'!$I$156&lt;&gt;""), 'Cost Inputs'!$I$156, "")</f>
        <v/>
      </c>
      <c r="G719" s="108" t="str">
        <f t="shared" si="469"/>
        <v/>
      </c>
      <c r="H719" s="93" t="str">
        <f>IF(AND(C719&lt;&gt;"", 'Cost Inputs'!$J$156&lt;&gt;""), 'Cost Inputs'!$J$16, "")</f>
        <v/>
      </c>
      <c r="I719" s="93" t="str">
        <f t="shared" si="472"/>
        <v/>
      </c>
      <c r="J719" s="93" t="str">
        <f>IF(AND(C719&lt;&gt;"",('Cost Inputs'!$I$156+'Cost Inputs'!$J$156+'Cost Inputs'!$K$156)&gt;0), 'Cost Inputs'!$I$156+'Cost Inputs'!$J$156+'Cost Inputs'!$K$156, "")</f>
        <v/>
      </c>
      <c r="K719" s="93" t="str">
        <f t="shared" si="473"/>
        <v/>
      </c>
      <c r="L719" s="93"/>
      <c r="M719" s="109"/>
      <c r="V719" s="93" t="str">
        <f>IF(ISNUMBER($B$537), IF($C719&lt;&gt;"", IF('Cost Inputs'!$L$156="Y", $E719, IF('Cost Inputs'!$L$156="N", IF(ISNUMBER('Cost Inputs'!$M$156), $E719, ""),"")),""),"")</f>
        <v/>
      </c>
      <c r="W719" s="93" t="str">
        <f>IF(ISNUMBER($B$537), IF($C719&lt;&gt;"", IF('Cost Inputs'!$L$156="Y", $E719, IF('Cost Inputs'!$L$156="N", "", "")),""),"")</f>
        <v/>
      </c>
      <c r="X719" s="93" t="str">
        <f>IF(ISNUMBER($B$537), IF($C719&lt;&gt;"", IF('Cost Inputs'!$L$156="Y", $E719, IF('Cost Inputs'!$L$156="N", IF(AND(ISNUMBER('Cost Inputs'!$M$156), OR('Cost Inputs'!$M$156=2)), $E719, ""),"")),""),"")</f>
        <v/>
      </c>
      <c r="Y719" s="93" t="str">
        <f>IF(ISNUMBER($B$537), IF($C719&lt;&gt;"", IF('Cost Inputs'!$L$156="Y", $E719, IF('Cost Inputs'!$L$156="N", IF(AND(ISNUMBER('Cost Inputs'!$M$156), OR('Cost Inputs'!$M$156=3)), $E719, ""),"")),""),"")</f>
        <v/>
      </c>
      <c r="Z719" s="93" t="str">
        <f>IF(ISNUMBER($B$537), IF($C719&lt;&gt;"", IF('Cost Inputs'!$L$156="Y", $E719, IF('Cost Inputs'!$L$156="N", IF(AND(ISNUMBER('Cost Inputs'!$M$156), OR('Cost Inputs'!$M$156=2, 'Cost Inputs'!$M$156=4)), $E719, ""),"")),""),"")</f>
        <v/>
      </c>
      <c r="AA719" s="93" t="str">
        <f>IF(ISNUMBER($B$537), IF($C719&lt;&gt;"", IF('Cost Inputs'!$L$156="Y", $E719, IF('Cost Inputs'!$L$156="N", IF(AND(ISNUMBER('Cost Inputs'!$M$156), OR('Cost Inputs'!$M$156=2,'Cost Inputs'!$M$156=5)), $E719, ""),"")),""),"")</f>
        <v/>
      </c>
      <c r="AB719" s="93" t="str">
        <f>IF(ISNUMBER($B$537), IF($C719&lt;&gt;"", IF('Cost Inputs'!$L$156="Y", $E719, IF('Cost Inputs'!$L$156="N", IF(AND(ISNUMBER('Cost Inputs'!$M$156), OR('Cost Inputs'!$M$156=2,'Cost Inputs'!$M$156=3,'Cost Inputs'!$M$156=6)), $E719, ""),"")),""),"")</f>
        <v/>
      </c>
      <c r="AC719" s="93" t="str">
        <f>IF(ISNUMBER($B$537), IF($C719&lt;&gt;"", IF('Cost Inputs'!$L$156="Y", $E719, IF('Cost Inputs'!$L$156="N", IF(AND(ISNUMBER('Cost Inputs'!$M$156), OR('Cost Inputs'!$M$156=2,'Cost Inputs'!$M$156=7)), $E719, ""),"")),""),"")</f>
        <v/>
      </c>
      <c r="AD719" s="93" t="str">
        <f>IF(ISNUMBER($B$537), IF($C719&lt;&gt;"", IF('Cost Inputs'!$L$156="Y", $E719, IF('Cost Inputs'!$L$156="N", IF(AND(ISNUMBER('Cost Inputs'!$M$156), OR('Cost Inputs'!$M$156=2,'Cost Inputs'!$M$156=4,'Cost Inputs'!$M$156=8)), $E719, ""),"")),""),"")</f>
        <v/>
      </c>
      <c r="AE719" s="93" t="str">
        <f>IF(ISNUMBER($B$537), IF($C719&lt;&gt;"", IF('Cost Inputs'!$L$156="Y", $E719, IF('Cost Inputs'!$L$156="N", IF(AND(ISNUMBER('Cost Inputs'!$M$156), OR('Cost Inputs'!$M$156=2,'Cost Inputs'!$M$156=3,'Cost Inputs'!$M$156=9)), $E719, ""),"")),""),"")</f>
        <v/>
      </c>
    </row>
    <row r="720" spans="1:31" x14ac:dyDescent="0.25">
      <c r="A720" s="518"/>
      <c r="B720" s="504"/>
      <c r="C720" s="521" t="str">
        <f>IF(AND(B709&lt;&gt;"",ISNUMBER(B709),ISNUMBER(Stage3EvaluationBegins)),IF((INDEX(ProgramYearStage3,MATCH(Stage3EvaluationBegins,Years_in_Stage3,0)))=B709,_5_5_0,IF(AND(B709&lt;&gt;"",C698&lt;&gt;""),_5_5_0,IF(AND(B709&lt;&gt;"",ISNUMBER(B709),OR(Stage3EvaluationBegins=0,Stage3EvaluationBegins="")),"",""))),"")</f>
        <v/>
      </c>
      <c r="D720" s="94" t="str">
        <f>IF(AND(C720&lt;&gt;"", 'Cost Inputs'!$G$157&lt;&gt;""), 'Cost Inputs'!$G$157, "")</f>
        <v/>
      </c>
      <c r="E720" s="94" t="str">
        <f>IF(AND(C720&lt;&gt;"", 'Cost Inputs'!$H$157&lt;&gt;""), 'Cost Inputs'!$H$157, "")</f>
        <v/>
      </c>
      <c r="F720" s="492" t="str">
        <f>IF(AND(C720&lt;&gt;"", 'Cost Inputs'!$I$157&lt;&gt;""), 'Cost Inputs'!$I$157, "")</f>
        <v/>
      </c>
      <c r="G720" s="102" t="str">
        <f t="shared" si="469"/>
        <v/>
      </c>
      <c r="H720" s="492" t="str">
        <f>IF(AND(C720&lt;&gt;"", 'Cost Inputs'!$J$157&lt;&gt;""), 'Cost Inputs'!$J$157, "")</f>
        <v/>
      </c>
      <c r="I720" s="102" t="str">
        <f>IF($C720&lt;&gt;"",IF(AND($E720&lt;&gt;"",H720&lt;&gt;""), H720/$E720, 0),"")</f>
        <v/>
      </c>
      <c r="J720" s="492" t="str">
        <f>IF(AND(C720&lt;&gt;"",('Cost Inputs'!$I$157+'Cost Inputs'!$J$157+'Cost Inputs'!$K$157)&gt;0), 'Cost Inputs'!$I$157+'Cost Inputs'!$J$157+'Cost Inputs'!$K$157, "")</f>
        <v/>
      </c>
      <c r="K720" s="102" t="str">
        <f>IF($C720&lt;&gt;"",IF(AND($E720&lt;&gt;"",J720&lt;&gt;""), J720/$E720, 0),"")</f>
        <v/>
      </c>
      <c r="L720" s="94"/>
      <c r="M720" s="103"/>
      <c r="V720" s="492" t="str">
        <f>IF(ISNUMBER($B$537), IF($C720&lt;&gt;"", IF('Cost Inputs'!$L$157="Y", $E720, IF('Cost Inputs'!$L$157="N", IF(ISNUMBER('Cost Inputs'!$M$157), $E720, ""),"")),""),"")</f>
        <v/>
      </c>
      <c r="W720" s="492" t="str">
        <f>IF(ISNUMBER($B$537), IF($C720&lt;&gt;"", IF('Cost Inputs'!$L$157="Y", $E720, IF('Cost Inputs'!$L$157="N", "", "")),""),"")</f>
        <v/>
      </c>
      <c r="X720" s="492" t="str">
        <f>IF(ISNUMBER($B$537), IF($C720&lt;&gt;"", IF('Cost Inputs'!$L$157="Y", $E720, IF('Cost Inputs'!$L$157="N", IF(AND(ISNUMBER('Cost Inputs'!$M$157), OR('Cost Inputs'!$M$157=2)), $E720, ""),"")),""),"")</f>
        <v/>
      </c>
      <c r="Y720" s="492" t="str">
        <f>IF(ISNUMBER($B$537), IF($C720&lt;&gt;"", IF('Cost Inputs'!$L$157="Y", $E720, IF('Cost Inputs'!$L$157="N", IF(AND(ISNUMBER('Cost Inputs'!$M$157), OR('Cost Inputs'!$M$157=3)), $E720, ""),"")),""),"")</f>
        <v/>
      </c>
      <c r="Z720" s="492" t="str">
        <f>IF(ISNUMBER($B$537), IF($C720&lt;&gt;"", IF('Cost Inputs'!$L$157="Y", $E720, IF('Cost Inputs'!$L$157="N", IF(AND(ISNUMBER('Cost Inputs'!$M$157), OR('Cost Inputs'!$M$157=2, 'Cost Inputs'!$M$157=4)), $E720, ""),"")),""),"")</f>
        <v/>
      </c>
      <c r="AA720" s="492" t="str">
        <f>IF(ISNUMBER($B$537), IF($C720&lt;&gt;"", IF('Cost Inputs'!$L$157="Y", $E720, IF('Cost Inputs'!$L$157="N", IF(AND(ISNUMBER('Cost Inputs'!$M$157), OR('Cost Inputs'!$M$157=2,'Cost Inputs'!$M$157=5)), $E720, ""),"")),""),"")</f>
        <v/>
      </c>
      <c r="AB720" s="492" t="str">
        <f>IF(ISNUMBER($B$537), IF($C720&lt;&gt;"", IF('Cost Inputs'!$L$157="Y", $E720, IF('Cost Inputs'!$L$157="N", IF(AND(ISNUMBER('Cost Inputs'!$M$157), OR('Cost Inputs'!$M$157=2,'Cost Inputs'!$M$157=3,'Cost Inputs'!$M$157=6)), $E720, ""),"")),""),"")</f>
        <v/>
      </c>
      <c r="AC720" s="492" t="str">
        <f>IF(ISNUMBER($B$537), IF($C720&lt;&gt;"", IF('Cost Inputs'!$L$157="Y", $E720, IF('Cost Inputs'!$L$157="N", IF(AND(ISNUMBER('Cost Inputs'!$M$157), OR('Cost Inputs'!$M$157=2,'Cost Inputs'!$M$157=7)), $E720, ""),"")),""),"")</f>
        <v/>
      </c>
      <c r="AD720" s="492" t="str">
        <f>IF(ISNUMBER($B$537), IF($C720&lt;&gt;"", IF('Cost Inputs'!$L$157="Y", $E720, IF('Cost Inputs'!$L$157="N", IF(AND(ISNUMBER('Cost Inputs'!$M$157), OR('Cost Inputs'!$M$157=2,'Cost Inputs'!$M$157=4,'Cost Inputs'!$M$157=8)), $E720, ""),"")),""),"")</f>
        <v/>
      </c>
      <c r="AE720" s="492" t="str">
        <f>IF(ISNUMBER($B$537), IF($C720&lt;&gt;"", IF('Cost Inputs'!$L$157="Y", $E720, IF('Cost Inputs'!$L$157="N", IF(AND(ISNUMBER('Cost Inputs'!$M$157), OR('Cost Inputs'!$M$157=2,'Cost Inputs'!$M$157=3,'Cost Inputs'!$M$157=9)), $E720, ""),"")),""),"")</f>
        <v/>
      </c>
    </row>
    <row r="721" spans="1:32" x14ac:dyDescent="0.25">
      <c r="A721" s="518"/>
      <c r="B721" s="504"/>
      <c r="C721" s="521"/>
      <c r="D721" s="94" t="str">
        <f>IF(AND(C720&lt;&gt;"", 'Cost Inputs'!$G$158&lt;&gt;""), 'Cost Inputs'!$G$158, "")</f>
        <v/>
      </c>
      <c r="E721" s="94" t="str">
        <f>IF(AND(C720&lt;&gt;"", 'Cost Inputs'!$H$158&lt;&gt;""), 'Cost Inputs'!$H$158, "")</f>
        <v/>
      </c>
      <c r="F721" s="492"/>
      <c r="G721" s="102" t="str">
        <f t="shared" si="469"/>
        <v/>
      </c>
      <c r="H721" s="492"/>
      <c r="I721" s="102" t="str">
        <f>IF($C720&lt;&gt;"", IF(AND($E721&lt;&gt;"", H720&lt;&gt;""), H720/($E720*$E721), 0), "")</f>
        <v/>
      </c>
      <c r="J721" s="492" t="str">
        <f>IF(AND(C721&lt;&gt;"",('Cost Inputs'!$I$86+'Cost Inputs'!$J$86+'Cost Inputs'!$K$86)&gt;0), 'Cost Inputs'!$I$86+'Cost Inputs'!$J$86+'Cost Inputs'!$K$86, "")</f>
        <v/>
      </c>
      <c r="K721" s="102" t="str">
        <f>IF($C720&lt;&gt;"", IF(AND($E721&lt;&gt;"", J720&lt;&gt;""), J720/($E720*$E721), 0), "")</f>
        <v/>
      </c>
      <c r="L721" s="94"/>
      <c r="M721" s="103"/>
      <c r="V721" s="492" t="str">
        <f>IF(ISNUMBER($B$537), IF($C721&lt;&gt;"", IF('Cost Inputs'!$L312="Y", $E721, IF('Cost Inputs'!$L312="N", IF(ISNUMBER('Cost Inputs'!$M312), $E721, ""),"")),""),"")</f>
        <v/>
      </c>
      <c r="W721" s="492" t="str">
        <f>IF(ISNUMBER($B$537), IF($C721&lt;&gt;"", IF('Cost Inputs'!$L312="Y", $E721, IF('Cost Inputs'!$L312="N", "", "")),""),"")</f>
        <v/>
      </c>
      <c r="X721" s="492" t="str">
        <f>IF(ISNUMBER($B$537), IF($C721&lt;&gt;"", IF('Cost Inputs'!$L312="Y", $E721, IF('Cost Inputs'!$L312="N", IF(AND(ISNUMBER('Cost Inputs'!$M312), OR('Cost Inputs'!$M312=2)), $E721, ""),"")),""),"")</f>
        <v/>
      </c>
      <c r="Y721" s="492" t="str">
        <f>IF(ISNUMBER($B$537), IF($C721&lt;&gt;"", IF('Cost Inputs'!$L312="Y", $E721, IF('Cost Inputs'!$L312="N", IF(AND(ISNUMBER('Cost Inputs'!$M312), OR('Cost Inputs'!$M312=3)), $E721, ""),"")),""),"")</f>
        <v/>
      </c>
      <c r="Z721" s="492" t="str">
        <f>IF(ISNUMBER($B$537), IF($C721&lt;&gt;"", IF('Cost Inputs'!$L312="Y", $E721, IF('Cost Inputs'!$L312="N", IF(AND(ISNUMBER('Cost Inputs'!$M312), OR('Cost Inputs'!$M312=2, 'Cost Inputs'!$M312=4)), $E721, ""),"")),""),"")</f>
        <v/>
      </c>
      <c r="AA721" s="492" t="str">
        <f>IF(ISNUMBER($B$537), IF($C721&lt;&gt;"", IF('Cost Inputs'!$L312="Y", $E721, IF('Cost Inputs'!$L312="N", IF(AND(ISNUMBER('Cost Inputs'!$M312), OR('Cost Inputs'!$M312=2,'Cost Inputs'!$M312=5)), $E721, ""),"")),""),"")</f>
        <v/>
      </c>
      <c r="AB721" s="492" t="str">
        <f>IF(ISNUMBER($B$537), IF($C721&lt;&gt;"", IF('Cost Inputs'!$L312="Y", $E721, IF('Cost Inputs'!$L312="N", IF(AND(ISNUMBER('Cost Inputs'!$M312), OR('Cost Inputs'!$M312=2,'Cost Inputs'!$M312=3,'Cost Inputs'!$M312=6)), $E721, ""),"")),""),"")</f>
        <v/>
      </c>
      <c r="AC721" s="492" t="str">
        <f>IF(ISNUMBER($B$537), IF($C721&lt;&gt;"", IF('Cost Inputs'!$L312="Y", $E721, IF('Cost Inputs'!$L312="N", IF(AND(ISNUMBER('Cost Inputs'!$M312), OR('Cost Inputs'!$M312=2,'Cost Inputs'!$M312=7)), $E721, ""),"")),""),"")</f>
        <v/>
      </c>
      <c r="AD721" s="492" t="str">
        <f>IF(ISNUMBER($B$537), IF($C721&lt;&gt;"", IF('Cost Inputs'!$L312="Y", $E721, IF('Cost Inputs'!$L312="N", IF(AND(ISNUMBER('Cost Inputs'!$M312), OR('Cost Inputs'!$M312=2,'Cost Inputs'!$M312=4,'Cost Inputs'!$M312=8)), $E721, ""),"")),""),"")</f>
        <v/>
      </c>
      <c r="AE721" s="492" t="str">
        <f>IF(ISNUMBER($B$537), IF($C721&lt;&gt;"", IF('Cost Inputs'!$L312="Y", $E721, IF('Cost Inputs'!$L312="N", IF(AND(ISNUMBER('Cost Inputs'!$M312), OR('Cost Inputs'!$M312=2,'Cost Inputs'!$M312=3,'Cost Inputs'!$M312=9)), $E721, ""),"")),""),"")</f>
        <v/>
      </c>
    </row>
    <row r="722" spans="1:32" x14ac:dyDescent="0.25">
      <c r="A722" s="518"/>
      <c r="B722" s="504"/>
      <c r="C722" s="376" t="str">
        <f>IF(AND(ISNUMBER(B709), C720&lt;&gt;"", OR('Cost Inputs'!$H$159&lt;&gt;"", 'Cost Inputs'!$I$159&lt;&gt;"", 'Cost Inputs'!$J$159&lt;&gt;"")), _5_5_1, "")</f>
        <v/>
      </c>
      <c r="D722" s="17" t="str">
        <f>IF(AND(C722&lt;&gt;"", 'Cost Inputs'!$G$159&lt;&gt;""), 'Cost Inputs'!$G$159, "")</f>
        <v/>
      </c>
      <c r="E722" s="17" t="str">
        <f>IF(AND(C722&lt;&gt;"", 'Cost Inputs'!$H$159&lt;&gt;""), 'Cost Inputs'!$H$159, "")</f>
        <v/>
      </c>
      <c r="F722" s="493" t="str">
        <f>IF(AND(C722&lt;&gt;"", 'Cost Inputs'!$I$159&lt;&gt;""), 'Cost Inputs'!$I$159, "")</f>
        <v/>
      </c>
      <c r="G722" s="105" t="str">
        <f t="shared" si="469"/>
        <v/>
      </c>
      <c r="H722" s="493" t="str">
        <f>IF(AND(C722&lt;&gt;"", 'Cost Inputs'!$J$159&lt;&gt;""), 'Cost Inputs'!$J$159, "")</f>
        <v/>
      </c>
      <c r="I722" s="105" t="str">
        <f>IF($C722&lt;&gt;"",IF(AND($E722&lt;&gt;"",H722&lt;&gt;""), H722/$E722, 0),"")</f>
        <v/>
      </c>
      <c r="J722" s="493" t="str">
        <f>IF(AND(C722&lt;&gt;"",('Cost Inputs'!$I$159+'Cost Inputs'!$J$159+'Cost Inputs'!$K$159)&gt;0), 'Cost Inputs'!$I$159+'Cost Inputs'!$J$159+'Cost Inputs'!$K$159, "")</f>
        <v/>
      </c>
      <c r="K722" s="105" t="str">
        <f>IF($C722&lt;&gt;"",IF(AND($E722&lt;&gt;"",J722&lt;&gt;""), J722/$E722, 0),"")</f>
        <v/>
      </c>
      <c r="M722" s="106"/>
      <c r="V722" s="493" t="str">
        <f>IF(ISNUMBER($B$537), IF($C722&lt;&gt;"", IF('Cost Inputs'!$L$159="Y", $E722, IF('Cost Inputs'!$L$159="N", IF(ISNUMBER('Cost Inputs'!$M$159), $E722, ""),"")),""),"")</f>
        <v/>
      </c>
      <c r="W722" s="493" t="str">
        <f>IF(ISNUMBER($B$537), IF($C722&lt;&gt;"", IF('Cost Inputs'!$L$159="Y", $E722, IF('Cost Inputs'!$L$159="N", "", "")),""),"")</f>
        <v/>
      </c>
      <c r="X722" s="493" t="str">
        <f>IF(ISNUMBER($B$537), IF($C722&lt;&gt;"", IF('Cost Inputs'!$L$159="Y", $E722, IF('Cost Inputs'!$L$159="N", IF(AND(ISNUMBER('Cost Inputs'!$M$159), OR('Cost Inputs'!$M$159=2)), $E722, ""),"")),""),"")</f>
        <v/>
      </c>
      <c r="Y722" s="493" t="str">
        <f>IF(ISNUMBER($B$537), IF($C722&lt;&gt;"", IF('Cost Inputs'!$L$159="Y", $E722, IF('Cost Inputs'!$L$159="N", IF(AND(ISNUMBER('Cost Inputs'!$M$159), OR('Cost Inputs'!$M$159=3)), $E722, ""),"")),""),"")</f>
        <v/>
      </c>
      <c r="Z722" s="493" t="str">
        <f>IF(ISNUMBER($B$537), IF($C722&lt;&gt;"", IF('Cost Inputs'!$L$159="Y", $E722, IF('Cost Inputs'!$L$159="N", IF(AND(ISNUMBER('Cost Inputs'!$M$159), OR('Cost Inputs'!$M$159=2, 'Cost Inputs'!$M$159=4)), $E722, ""),"")),""),"")</f>
        <v/>
      </c>
      <c r="AA722" s="493" t="str">
        <f>IF(ISNUMBER($B$537), IF($C722&lt;&gt;"", IF('Cost Inputs'!$L$159="Y", $E722, IF('Cost Inputs'!$L$159="N", IF(AND(ISNUMBER('Cost Inputs'!$M$159), OR('Cost Inputs'!$M$159=2,'Cost Inputs'!$M$159=5)), $E722, ""),"")),""),"")</f>
        <v/>
      </c>
      <c r="AB722" s="493" t="str">
        <f>IF(ISNUMBER($B$537), IF($C722&lt;&gt;"", IF('Cost Inputs'!$L$159="Y", $E722, IF('Cost Inputs'!$L$159="N", IF(AND(ISNUMBER('Cost Inputs'!$M$159), OR('Cost Inputs'!$M$159=2,'Cost Inputs'!$M$159=3,'Cost Inputs'!$M$159=6)), $E722, ""),"")),""),"")</f>
        <v/>
      </c>
      <c r="AC722" s="493" t="str">
        <f>IF(ISNUMBER($B$537), IF($C722&lt;&gt;"", IF('Cost Inputs'!$L$159="Y", $E722, IF('Cost Inputs'!$L$159="N", IF(AND(ISNUMBER('Cost Inputs'!$M$159), OR('Cost Inputs'!$M$159=2,'Cost Inputs'!$M$159=7)), $E722, ""),"")),""),"")</f>
        <v/>
      </c>
      <c r="AD722" s="493" t="str">
        <f>IF(ISNUMBER($B$537), IF($C722&lt;&gt;"", IF('Cost Inputs'!$L$159="Y", $E722, IF('Cost Inputs'!$L$159="N", IF(AND(ISNUMBER('Cost Inputs'!$M$159), OR('Cost Inputs'!$M$159=2,'Cost Inputs'!$M$159=4,'Cost Inputs'!$M$159=8)), $E722, ""),"")),""),"")</f>
        <v/>
      </c>
      <c r="AE722" s="493" t="str">
        <f>IF(ISNUMBER($B$537), IF($C722&lt;&gt;"", IF('Cost Inputs'!$L$159="Y", $E722, IF('Cost Inputs'!$L$159="N", IF(AND(ISNUMBER('Cost Inputs'!$M$159), OR('Cost Inputs'!$M$159=2,'Cost Inputs'!$M$159=3,'Cost Inputs'!$M$159=9)), $E722, ""),"")),""),"")</f>
        <v/>
      </c>
    </row>
    <row r="723" spans="1:32" x14ac:dyDescent="0.25">
      <c r="A723" s="518"/>
      <c r="B723" s="504"/>
      <c r="C723" s="376" t="str">
        <f>IF(AND(ISNUMBER(B705), OR('Cost Inputs'!$H$85&lt;&gt;"", 'Cost Inputs'!$I$85&lt;&gt;"", 'Cost Inputs'!$J$85&lt;&gt;"")), _3_5_1, "")</f>
        <v/>
      </c>
      <c r="D723" s="17" t="str">
        <f>IF(AND(C722&lt;&gt;"", 'Cost Inputs'!$G$160&lt;&gt;""), 'Cost Inputs'!$G$160, "")</f>
        <v/>
      </c>
      <c r="E723" s="17" t="str">
        <f>IF(AND(C722&lt;&gt;"", 'Cost Inputs'!$H$160&lt;&gt;""), 'Cost Inputs'!$H$160, "")</f>
        <v/>
      </c>
      <c r="F723" s="493"/>
      <c r="G723" s="105" t="str">
        <f t="shared" si="469"/>
        <v/>
      </c>
      <c r="H723" s="493"/>
      <c r="I723" s="105" t="str">
        <f>IF($C722&lt;&gt;"", IF(AND($E723&lt;&gt;"", H722&lt;&gt;""), H722/($E722*$E723), 0), "")</f>
        <v/>
      </c>
      <c r="J723" s="493" t="str">
        <f>IF(AND(C723&lt;&gt;"",('Cost Inputs'!$I$86+'Cost Inputs'!$J$86+'Cost Inputs'!$K$86)&gt;0), 'Cost Inputs'!$I$86+'Cost Inputs'!$J$86+'Cost Inputs'!$K$86, "")</f>
        <v/>
      </c>
      <c r="K723" s="105" t="str">
        <f>IF($C722&lt;&gt;"", IF(AND($E723&lt;&gt;"", J722&lt;&gt;""), J722/($E722*$E723), 0), "")</f>
        <v/>
      </c>
      <c r="M723" s="106"/>
      <c r="V723" s="493" t="str">
        <f>IF(ISNUMBER($B$537), IF($C723&lt;&gt;"", IF('Cost Inputs'!$L314="Y", $E723, IF('Cost Inputs'!$L314="N", IF(ISNUMBER('Cost Inputs'!$M314), $E723, ""),"")),""),"")</f>
        <v/>
      </c>
      <c r="W723" s="493" t="str">
        <f>IF(ISNUMBER($B$537), IF($C723&lt;&gt;"", IF('Cost Inputs'!$L314="Y", $E723, IF('Cost Inputs'!$L314="N", "", "")),""),"")</f>
        <v/>
      </c>
      <c r="X723" s="493" t="str">
        <f>IF(ISNUMBER($B$537), IF($C723&lt;&gt;"", IF('Cost Inputs'!$L314="Y", $E723, IF('Cost Inputs'!$L314="N", IF(AND(ISNUMBER('Cost Inputs'!$M314), OR('Cost Inputs'!$M314=2)), $E723, ""),"")),""),"")</f>
        <v/>
      </c>
      <c r="Y723" s="493" t="str">
        <f>IF(ISNUMBER($B$537), IF($C723&lt;&gt;"", IF('Cost Inputs'!$L314="Y", $E723, IF('Cost Inputs'!$L314="N", IF(AND(ISNUMBER('Cost Inputs'!$M314), OR('Cost Inputs'!$M314=3)), $E723, ""),"")),""),"")</f>
        <v/>
      </c>
      <c r="Z723" s="493" t="str">
        <f>IF(ISNUMBER($B$537), IF($C723&lt;&gt;"", IF('Cost Inputs'!$L314="Y", $E723, IF('Cost Inputs'!$L314="N", IF(AND(ISNUMBER('Cost Inputs'!$M314), OR('Cost Inputs'!$M314=2, 'Cost Inputs'!$M314=4)), $E723, ""),"")),""),"")</f>
        <v/>
      </c>
      <c r="AA723" s="493" t="str">
        <f>IF(ISNUMBER($B$537), IF($C723&lt;&gt;"", IF('Cost Inputs'!$L314="Y", $E723, IF('Cost Inputs'!$L314="N", IF(AND(ISNUMBER('Cost Inputs'!$M314), OR('Cost Inputs'!$M314=2,'Cost Inputs'!$M314=5)), $E723, ""),"")),""),"")</f>
        <v/>
      </c>
      <c r="AB723" s="493" t="str">
        <f>IF(ISNUMBER($B$537), IF($C723&lt;&gt;"", IF('Cost Inputs'!$L314="Y", $E723, IF('Cost Inputs'!$L314="N", IF(AND(ISNUMBER('Cost Inputs'!$M314), OR('Cost Inputs'!$M314=2,'Cost Inputs'!$M314=3,'Cost Inputs'!$M314=6)), $E723, ""),"")),""),"")</f>
        <v/>
      </c>
      <c r="AC723" s="493" t="str">
        <f>IF(ISNUMBER($B$537), IF($C723&lt;&gt;"", IF('Cost Inputs'!$L314="Y", $E723, IF('Cost Inputs'!$L314="N", IF(AND(ISNUMBER('Cost Inputs'!$M314), OR('Cost Inputs'!$M314=2,'Cost Inputs'!$M314=7)), $E723, ""),"")),""),"")</f>
        <v/>
      </c>
      <c r="AD723" s="493" t="str">
        <f>IF(ISNUMBER($B$537), IF($C723&lt;&gt;"", IF('Cost Inputs'!$L314="Y", $E723, IF('Cost Inputs'!$L314="N", IF(AND(ISNUMBER('Cost Inputs'!$M314), OR('Cost Inputs'!$M314=2,'Cost Inputs'!$M314=4,'Cost Inputs'!$M314=8)), $E723, ""),"")),""),"")</f>
        <v/>
      </c>
      <c r="AE723" s="493" t="str">
        <f>IF(ISNUMBER($B$537), IF($C723&lt;&gt;"", IF('Cost Inputs'!$L314="Y", $E723, IF('Cost Inputs'!$L314="N", IF(AND(ISNUMBER('Cost Inputs'!$M314), OR('Cost Inputs'!$M314=2,'Cost Inputs'!$M314=3,'Cost Inputs'!$M314=9)), $E723, ""),"")),""),"")</f>
        <v/>
      </c>
    </row>
    <row r="724" spans="1:32" x14ac:dyDescent="0.25">
      <c r="A724" s="518"/>
      <c r="B724" s="504"/>
      <c r="C724" s="107" t="str">
        <f>IF(AND(ISNUMBER(B709), C720&lt;&gt;"", OR('Cost Inputs'!$H$161&lt;&gt;"", 'Cost Inputs'!$I$161&lt;&gt;"", 'Cost Inputs'!$J$161&lt;&gt;"")), _5_5_2, "")</f>
        <v/>
      </c>
      <c r="D724" s="93" t="str">
        <f>IF(AND(C724&lt;&gt;"", 'Cost Inputs'!$G$161&lt;&gt;""), 'Cost Inputs'!$G$161, "")</f>
        <v/>
      </c>
      <c r="E724" s="93" t="str">
        <f>IF(AND(C724&lt;&gt;"", 'Cost Inputs'!$H$161&lt;&gt;""), 'Cost Inputs'!$H$161, "")</f>
        <v/>
      </c>
      <c r="F724" s="93" t="str">
        <f>IF(AND(C724&lt;&gt;"", 'Cost Inputs'!$I$161&lt;&gt;""), 'Cost Inputs'!$I$161, "")</f>
        <v/>
      </c>
      <c r="G724" s="108" t="str">
        <f t="shared" si="469"/>
        <v/>
      </c>
      <c r="H724" s="93" t="str">
        <f>IF(AND(C724&lt;&gt;"", 'Cost Inputs'!$J$161&lt;&gt;""), 'Cost Inputs'!$J$161, "")</f>
        <v/>
      </c>
      <c r="I724" s="93" t="str">
        <f>IF($C724&lt;&gt;"", IF(AND($E724&lt;&gt;"", H724&lt;&gt;""), H724/$E724, 0),"")</f>
        <v/>
      </c>
      <c r="J724" s="93" t="str">
        <f>IF(AND(C724&lt;&gt;"",('Cost Inputs'!$I$161+'Cost Inputs'!$J$161+'Cost Inputs'!$K$161)&gt;0), 'Cost Inputs'!$I$161+'Cost Inputs'!$J$161+'Cost Inputs'!$K$161, "")</f>
        <v/>
      </c>
      <c r="K724" s="93" t="str">
        <f>IF($C724&lt;&gt;"", IF(AND($E724&lt;&gt;"", J724&lt;&gt;""), J724/$E724, 0),"")</f>
        <v/>
      </c>
      <c r="L724" s="93"/>
      <c r="M724" s="109"/>
      <c r="V724" s="93" t="str">
        <f>IF(ISNUMBER($B$537), IF($C724&lt;&gt;"", IF('Cost Inputs'!$L$161="Y", $E724, IF('Cost Inputs'!$L$161="N", IF(ISNUMBER('Cost Inputs'!$M$161), $E724, ""),"")),""),"")</f>
        <v/>
      </c>
      <c r="W724" s="93" t="str">
        <f>IF(ISNUMBER($B$537), IF($C724&lt;&gt;"", IF('Cost Inputs'!$L$161="Y", $E724, IF('Cost Inputs'!$L$161="N", "", "")),""),"")</f>
        <v/>
      </c>
      <c r="X724" s="93" t="str">
        <f>IF(ISNUMBER($B$537), IF($C724&lt;&gt;"", IF('Cost Inputs'!$L$161="Y", $E724, IF('Cost Inputs'!$L$161="N", IF(AND(ISNUMBER('Cost Inputs'!$M$161), OR('Cost Inputs'!$M$161=2)), $E724, ""),"")),""),"")</f>
        <v/>
      </c>
      <c r="Y724" s="93" t="str">
        <f>IF(ISNUMBER($B$537), IF($C724&lt;&gt;"", IF('Cost Inputs'!$L$161="Y", $E724, IF('Cost Inputs'!$L$161="N", IF(AND(ISNUMBER('Cost Inputs'!$M$161), OR('Cost Inputs'!$M$161=3)), $E724, ""),"")),""),"")</f>
        <v/>
      </c>
      <c r="Z724" s="93" t="str">
        <f>IF(ISNUMBER($B$537), IF($C724&lt;&gt;"", IF('Cost Inputs'!$L$161="Y", $E724, IF('Cost Inputs'!$L$161="N", IF(AND(ISNUMBER('Cost Inputs'!$M$161), OR('Cost Inputs'!$M$161=2, 'Cost Inputs'!$M$161=4)), $E724, ""),"")),""),"")</f>
        <v/>
      </c>
      <c r="AA724" s="93" t="str">
        <f>IF(ISNUMBER($B$537), IF($C724&lt;&gt;"", IF('Cost Inputs'!$L$161="Y", $E724, IF('Cost Inputs'!$L$161="N", IF(AND(ISNUMBER('Cost Inputs'!$M$161), OR('Cost Inputs'!$M$161=2,'Cost Inputs'!$M$161=5)), $E724, ""),"")),""),"")</f>
        <v/>
      </c>
      <c r="AB724" s="93" t="str">
        <f>IF(ISNUMBER($B$537), IF($C724&lt;&gt;"", IF('Cost Inputs'!$L$161="Y", $E724, IF('Cost Inputs'!$L$161="N", IF(AND(ISNUMBER('Cost Inputs'!$M$161), OR('Cost Inputs'!$M$161=2,'Cost Inputs'!$M$161=3,'Cost Inputs'!$M$161=6)), $E724, ""),"")),""),"")</f>
        <v/>
      </c>
      <c r="AC724" s="93" t="str">
        <f>IF(ISNUMBER($B$537), IF($C724&lt;&gt;"", IF('Cost Inputs'!$L$161="Y", $E724, IF('Cost Inputs'!$L$161="N", IF(AND(ISNUMBER('Cost Inputs'!$M$161), OR('Cost Inputs'!$M$161=2,'Cost Inputs'!$M$161=7)), $E724, ""),"")),""),"")</f>
        <v/>
      </c>
      <c r="AD724" s="93" t="str">
        <f>IF(ISNUMBER($B$537), IF($C724&lt;&gt;"", IF('Cost Inputs'!$L$161="Y", $E724, IF('Cost Inputs'!$L$161="N", IF(AND(ISNUMBER('Cost Inputs'!$M$161), OR('Cost Inputs'!$M$161=2,'Cost Inputs'!$M$161=4,'Cost Inputs'!$M$161=8)), $E724, ""),"")),""),"")</f>
        <v/>
      </c>
      <c r="AE724" s="93" t="str">
        <f>IF(ISNUMBER($B$537), IF($C724&lt;&gt;"", IF('Cost Inputs'!$L$161="Y", $E724, IF('Cost Inputs'!$L$161="N", IF(AND(ISNUMBER('Cost Inputs'!$M$161), OR('Cost Inputs'!$M$161=2,'Cost Inputs'!$M$161=3,'Cost Inputs'!$M$161=9)), $E724, ""),"")),""),"")</f>
        <v/>
      </c>
    </row>
    <row r="725" spans="1:32" x14ac:dyDescent="0.25">
      <c r="A725" s="518"/>
      <c r="B725" s="504"/>
      <c r="C725" s="104" t="str">
        <f>IF(AND(ISNUMBER(B709), C720&lt;&gt;"", OR('Cost Inputs'!$H$162&lt;&gt;"", 'Cost Inputs'!$I$162&lt;&gt;"", 'Cost Inputs'!$J$162&lt;&gt;"")), _5_5_3, "")</f>
        <v/>
      </c>
      <c r="D725" s="17" t="str">
        <f>IF(AND(C725&lt;&gt;"", 'Cost Inputs'!$G$162&lt;&gt;""), 'Cost Inputs'!$G$162, "")</f>
        <v/>
      </c>
      <c r="E725" s="17" t="str">
        <f>IF(AND(C725&lt;&gt;"", 'Cost Inputs'!$H$162&lt;&gt;""), 'Cost Inputs'!$H$162, "")</f>
        <v/>
      </c>
      <c r="F725" s="17" t="str">
        <f>IF(AND(C725&lt;&gt;"", 'Cost Inputs'!$I$162&lt;&gt;""), 'Cost Inputs'!$I$162, "")</f>
        <v/>
      </c>
      <c r="G725" s="105" t="str">
        <f t="shared" si="469"/>
        <v/>
      </c>
      <c r="H725" s="17" t="str">
        <f>IF(AND(C725&lt;&gt;"", 'Cost Inputs'!$J$162&lt;&gt;""), 'Cost Inputs'!$J$162, "")</f>
        <v/>
      </c>
      <c r="I725" s="17" t="str">
        <f>IF($C725&lt;&gt;"", IF(AND($E725&lt;&gt;"", H725&lt;&gt;""), H725/$E725, 0),"")</f>
        <v/>
      </c>
      <c r="J725" s="17" t="str">
        <f>IF(AND(C725&lt;&gt;"",('Cost Inputs'!$I$162+'Cost Inputs'!$J$162+'Cost Inputs'!$K$162)&gt;0), 'Cost Inputs'!$I$162+'Cost Inputs'!$J$162+'Cost Inputs'!$K$162, "")</f>
        <v/>
      </c>
      <c r="K725" s="17" t="str">
        <f>IF($C725&lt;&gt;"", IF(AND($E725&lt;&gt;"", J725&lt;&gt;""), J725/$E725, 0),"")</f>
        <v/>
      </c>
      <c r="M725" s="106"/>
      <c r="V725" s="17" t="str">
        <f>IF(ISNUMBER($B$537), IF($C725&lt;&gt;"", IF('Cost Inputs'!$L$162="Y", $E725, IF('Cost Inputs'!$L$162="N", IF(ISNUMBER('Cost Inputs'!$M$162), $E725, ""),"")),""),"")</f>
        <v/>
      </c>
      <c r="W725" s="17" t="str">
        <f>IF(ISNUMBER($B$537), IF($C725&lt;&gt;"", IF('Cost Inputs'!$L$162="Y", $E725, IF('Cost Inputs'!$L$162="N", "", "")),""),"")</f>
        <v/>
      </c>
      <c r="X725" s="17" t="str">
        <f>IF(ISNUMBER($B$537), IF($C725&lt;&gt;"", IF('Cost Inputs'!$L$162="Y", $E725, IF('Cost Inputs'!$L$162="N", IF(AND(ISNUMBER('Cost Inputs'!$M$162), OR('Cost Inputs'!$M$162=2)), $E725, ""),"")),""),"")</f>
        <v/>
      </c>
      <c r="Y725" s="17" t="str">
        <f>IF(ISNUMBER($B$537), IF($C725&lt;&gt;"", IF('Cost Inputs'!$L$162="Y", $E725, IF('Cost Inputs'!$L$162="N", IF(AND(ISNUMBER('Cost Inputs'!$M$162), OR('Cost Inputs'!$M$162=3)), $E725, ""),"")),""),"")</f>
        <v/>
      </c>
      <c r="Z725" s="17" t="str">
        <f>IF(ISNUMBER($B$537), IF($C725&lt;&gt;"", IF('Cost Inputs'!$L$162="Y", $E725, IF('Cost Inputs'!$L$162="N", IF(AND(ISNUMBER('Cost Inputs'!$M$162), OR('Cost Inputs'!$M$162=2, 'Cost Inputs'!$M$162=4)), $E725, ""),"")),""),"")</f>
        <v/>
      </c>
      <c r="AA725" s="17" t="str">
        <f>IF(ISNUMBER($B$537), IF($C725&lt;&gt;"", IF('Cost Inputs'!$L$162="Y", $E725, IF('Cost Inputs'!$L$162="N", IF(AND(ISNUMBER('Cost Inputs'!$M$162), OR('Cost Inputs'!$M$162=2,'Cost Inputs'!$M$162=5)), $E725, ""),"")),""),"")</f>
        <v/>
      </c>
      <c r="AB725" s="17" t="str">
        <f>IF(ISNUMBER($B$537), IF($C725&lt;&gt;"", IF('Cost Inputs'!$L$162="Y", $E725, IF('Cost Inputs'!$L$162="N", IF(AND(ISNUMBER('Cost Inputs'!$M$162), OR('Cost Inputs'!$M$162=2,'Cost Inputs'!$M$162=3,'Cost Inputs'!$M$162=6)), $E725, ""),"")),""),"")</f>
        <v/>
      </c>
      <c r="AC725" s="17" t="str">
        <f>IF(ISNUMBER($B$537), IF($C725&lt;&gt;"", IF('Cost Inputs'!$L$162="Y", $E725, IF('Cost Inputs'!$L$162="N", IF(AND(ISNUMBER('Cost Inputs'!$M$162), OR('Cost Inputs'!$M$162=2,'Cost Inputs'!$M$162=7)), $E725, ""),"")),""),"")</f>
        <v/>
      </c>
      <c r="AD725" s="17" t="str">
        <f>IF(ISNUMBER($B$537), IF($C725&lt;&gt;"", IF('Cost Inputs'!$L$162="Y", $E725, IF('Cost Inputs'!$L$162="N", IF(AND(ISNUMBER('Cost Inputs'!$M$162), OR('Cost Inputs'!$M$162=2,'Cost Inputs'!$M$162=4,'Cost Inputs'!$M$162=8)), $E725, ""),"")),""),"")</f>
        <v/>
      </c>
      <c r="AE725" s="17" t="str">
        <f>IF(ISNUMBER($B$537), IF($C725&lt;&gt;"", IF('Cost Inputs'!$L$162="Y", $E725, IF('Cost Inputs'!$L$162="N", IF(AND(ISNUMBER('Cost Inputs'!$M$162), OR('Cost Inputs'!$M$162=2,'Cost Inputs'!$M$162=3,'Cost Inputs'!$M$162=9)), $E725, ""),"")),""),"")</f>
        <v/>
      </c>
    </row>
    <row r="726" spans="1:32" x14ac:dyDescent="0.25">
      <c r="A726" s="518"/>
      <c r="B726" s="504"/>
      <c r="C726" s="107" t="str">
        <f>IF(AND(ISNUMBER(B709), C720&lt;&gt;"", OR('Cost Inputs'!$H$163&lt;&gt;"", 'Cost Inputs'!$I$163&lt;&gt;"", 'Cost Inputs'!$J$163&lt;&gt;"")), _5_5_4, "")</f>
        <v/>
      </c>
      <c r="D726" s="93" t="str">
        <f>IF(AND(C726&lt;&gt;"", 'Cost Inputs'!$G$163&lt;&gt;""), 'Cost Inputs'!$G$163, "")</f>
        <v/>
      </c>
      <c r="E726" s="93" t="str">
        <f>IF(AND(C726&lt;&gt;"", 'Cost Inputs'!$H$163&lt;&gt;""), 'Cost Inputs'!$H$163, "")</f>
        <v/>
      </c>
      <c r="F726" s="93" t="str">
        <f>IF(AND(C726&lt;&gt;"", 'Cost Inputs'!$I$163&lt;&gt;""), 'Cost Inputs'!$I$163, "")</f>
        <v/>
      </c>
      <c r="G726" s="108" t="str">
        <f t="shared" si="469"/>
        <v/>
      </c>
      <c r="H726" s="93" t="str">
        <f>IF(AND(C726&lt;&gt;"", 'Cost Inputs'!$J$163&lt;&gt;""), 'Cost Inputs'!$J$163, "")</f>
        <v/>
      </c>
      <c r="I726" s="93" t="str">
        <f>IF($C726&lt;&gt;"", IF(AND($E726&lt;&gt;"", H726&lt;&gt;""), H726/$E726, 0),"")</f>
        <v/>
      </c>
      <c r="J726" s="93" t="str">
        <f>IF(AND(C726&lt;&gt;"",('Cost Inputs'!$I$163+'Cost Inputs'!$J$163+'Cost Inputs'!$K$163)&gt;0), 'Cost Inputs'!$I$163+'Cost Inputs'!$J$163+'Cost Inputs'!$K$163, "")</f>
        <v/>
      </c>
      <c r="K726" s="93" t="str">
        <f>IF($C726&lt;&gt;"", IF(AND($E726&lt;&gt;"", J726&lt;&gt;""), J726/$E726, 0),"")</f>
        <v/>
      </c>
      <c r="L726" s="93"/>
      <c r="M726" s="109"/>
      <c r="V726" s="93" t="str">
        <f>IF(ISNUMBER($B$537), IF($C726&lt;&gt;"", IF('Cost Inputs'!$L$163="Y", $E726, IF('Cost Inputs'!$L$163="N", IF(ISNUMBER('Cost Inputs'!$M$163), $E726, ""),"")),""),"")</f>
        <v/>
      </c>
      <c r="W726" s="93" t="str">
        <f>IF(ISNUMBER($B$537), IF($C726&lt;&gt;"", IF('Cost Inputs'!$L$163="Y", $E726, IF('Cost Inputs'!$L$163="N", "", "")),""),"")</f>
        <v/>
      </c>
      <c r="X726" s="93" t="str">
        <f>IF(ISNUMBER($B$537), IF($C726&lt;&gt;"", IF('Cost Inputs'!$L$163="Y", $E726, IF('Cost Inputs'!$L$163="N", IF(AND(ISNUMBER('Cost Inputs'!$M$163), OR('Cost Inputs'!$M$163=2)), $E726, ""),"")),""),"")</f>
        <v/>
      </c>
      <c r="Y726" s="93" t="str">
        <f>IF(ISNUMBER($B$537), IF($C726&lt;&gt;"", IF('Cost Inputs'!$L$163="Y", $E726, IF('Cost Inputs'!$L$163="N", IF(AND(ISNUMBER('Cost Inputs'!$M$163), OR('Cost Inputs'!$M$163=3)), $E726, ""),"")),""),"")</f>
        <v/>
      </c>
      <c r="Z726" s="93" t="str">
        <f>IF(ISNUMBER($B$537), IF($C726&lt;&gt;"", IF('Cost Inputs'!$L$163="Y", $E726, IF('Cost Inputs'!$L$163="N", IF(AND(ISNUMBER('Cost Inputs'!$M$163), OR('Cost Inputs'!$M$163=2, 'Cost Inputs'!$M$163=4)), $E726, ""),"")),""),"")</f>
        <v/>
      </c>
      <c r="AA726" s="93" t="str">
        <f>IF(ISNUMBER($B$537), IF($C726&lt;&gt;"", IF('Cost Inputs'!$L$163="Y", $E726, IF('Cost Inputs'!$L$163="N", IF(AND(ISNUMBER('Cost Inputs'!$M$163), OR('Cost Inputs'!$M$163=2,'Cost Inputs'!$M$163=5)), $E726, ""),"")),""),"")</f>
        <v/>
      </c>
      <c r="AB726" s="93" t="str">
        <f>IF(ISNUMBER($B$537), IF($C726&lt;&gt;"", IF('Cost Inputs'!$L$163="Y", $E726, IF('Cost Inputs'!$L$163="N", IF(AND(ISNUMBER('Cost Inputs'!$M$163), OR('Cost Inputs'!$M$163=2,'Cost Inputs'!$M$163=3,'Cost Inputs'!$M$163=6)), $E726, ""),"")),""),"")</f>
        <v/>
      </c>
      <c r="AC726" s="93" t="str">
        <f>IF(ISNUMBER($B$537), IF($C726&lt;&gt;"", IF('Cost Inputs'!$L$163="Y", $E726, IF('Cost Inputs'!$L$163="N", IF(AND(ISNUMBER('Cost Inputs'!$M$163), OR('Cost Inputs'!$M$163=2,'Cost Inputs'!$M$163=7)), $E726, ""),"")),""),"")</f>
        <v/>
      </c>
      <c r="AD726" s="93" t="str">
        <f>IF(ISNUMBER($B$537), IF($C726&lt;&gt;"", IF('Cost Inputs'!$L$163="Y", $E726, IF('Cost Inputs'!$L$163="N", IF(AND(ISNUMBER('Cost Inputs'!$M$163), OR('Cost Inputs'!$M$163=2,'Cost Inputs'!$M$163=4,'Cost Inputs'!$M$163=8)), $E726, ""),"")),""),"")</f>
        <v/>
      </c>
      <c r="AE726" s="93" t="str">
        <f>IF(ISNUMBER($B$537), IF($C726&lt;&gt;"", IF('Cost Inputs'!$L$163="Y", $E726, IF('Cost Inputs'!$L$163="N", IF(AND(ISNUMBER('Cost Inputs'!$M$163), OR('Cost Inputs'!$M$163=2,'Cost Inputs'!$M$163=3,'Cost Inputs'!$M$163=9)), $E726, ""),"")),""),"")</f>
        <v/>
      </c>
    </row>
    <row r="727" spans="1:32" x14ac:dyDescent="0.25">
      <c r="A727" s="518"/>
      <c r="B727" s="504"/>
      <c r="C727" s="104" t="str">
        <f>IF(AND(ISNUMBER(B709), C720&lt;&gt;"", OR('Cost Inputs'!$H$164&lt;&gt;"", 'Cost Inputs'!$I$164&lt;&gt;"", 'Cost Inputs'!$J$164&lt;&gt;"")), _5_5_5, "")</f>
        <v/>
      </c>
      <c r="D727" s="17" t="str">
        <f>IF(AND(C727&lt;&gt;"", 'Cost Inputs'!$G$164&lt;&gt;""), 'Cost Inputs'!$G$164, "")</f>
        <v/>
      </c>
      <c r="E727" s="17" t="str">
        <f>IF(AND(C727&lt;&gt;"", 'Cost Inputs'!$H$164&lt;&gt;""), 'Cost Inputs'!$H$164, "")</f>
        <v/>
      </c>
      <c r="F727" s="17" t="str">
        <f>IF(AND(C727&lt;&gt;"", 'Cost Inputs'!$I$164&lt;&gt;""), 'Cost Inputs'!$I$164, "")</f>
        <v/>
      </c>
      <c r="G727" s="105" t="str">
        <f t="shared" si="469"/>
        <v/>
      </c>
      <c r="H727" s="17" t="str">
        <f>IF(AND(C727&lt;&gt;"", 'Cost Inputs'!$J$164&lt;&gt;""), 'Cost Inputs'!$J$164, "")</f>
        <v/>
      </c>
      <c r="I727" s="17" t="str">
        <f>IF($C727&lt;&gt;"", IF(AND($E727&lt;&gt;"", H727&lt;&gt;""), H727/$E727, 0),"")</f>
        <v/>
      </c>
      <c r="J727" s="17" t="str">
        <f>IF(AND(C727&lt;&gt;"",('Cost Inputs'!$I$164+'Cost Inputs'!$J$164+'Cost Inputs'!$K$164)&gt;0), 'Cost Inputs'!$I$164+'Cost Inputs'!$J$164+'Cost Inputs'!$K$164, "")</f>
        <v/>
      </c>
      <c r="K727" s="17" t="str">
        <f>IF($C727&lt;&gt;"", IF(AND($E727&lt;&gt;"", J727&lt;&gt;""), J727/$E727, 0),"")</f>
        <v/>
      </c>
      <c r="M727" s="106"/>
      <c r="V727" s="17" t="str">
        <f>IF(ISNUMBER($B$537), IF($C727&lt;&gt;"", IF('Cost Inputs'!$L$164="Y", $E727, IF('Cost Inputs'!$L$164="N", IF(ISNUMBER('Cost Inputs'!$M$164), $E727, ""),"")),""),"")</f>
        <v/>
      </c>
      <c r="W727" s="17" t="str">
        <f>IF(ISNUMBER($B$537), IF($C727&lt;&gt;"", IF('Cost Inputs'!$L$164="Y", $E727, IF('Cost Inputs'!$L$164="N", "", "")),""),"")</f>
        <v/>
      </c>
      <c r="X727" s="17" t="str">
        <f>IF(ISNUMBER($B$537), IF($C727&lt;&gt;"", IF('Cost Inputs'!$L$164="Y", $E727, IF('Cost Inputs'!$L$164="N", IF(AND(ISNUMBER('Cost Inputs'!$M$164), OR('Cost Inputs'!$M$164=2)), $E727, ""),"")),""),"")</f>
        <v/>
      </c>
      <c r="Y727" s="17" t="str">
        <f>IF(ISNUMBER($B$537), IF($C727&lt;&gt;"", IF('Cost Inputs'!$L$164="Y", $E727, IF('Cost Inputs'!$L$164="N", IF(AND(ISNUMBER('Cost Inputs'!$M$164), OR('Cost Inputs'!$M$164=3)), $E727, ""),"")),""),"")</f>
        <v/>
      </c>
      <c r="Z727" s="17" t="str">
        <f>IF(ISNUMBER($B$537), IF($C727&lt;&gt;"", IF('Cost Inputs'!$L$164="Y", $E727, IF('Cost Inputs'!$L$164="N", IF(AND(ISNUMBER('Cost Inputs'!$M$164), OR('Cost Inputs'!$M$164=2, 'Cost Inputs'!$M$164=4)), $E727, ""),"")),""),"")</f>
        <v/>
      </c>
      <c r="AA727" s="17" t="str">
        <f>IF(ISNUMBER($B$537), IF($C727&lt;&gt;"", IF('Cost Inputs'!$L$164="Y", $E727, IF('Cost Inputs'!$L$164="N", IF(AND(ISNUMBER('Cost Inputs'!$M$164), OR('Cost Inputs'!$M$164=2,'Cost Inputs'!$M$164=5)), $E727, ""),"")),""),"")</f>
        <v/>
      </c>
      <c r="AB727" s="17" t="str">
        <f>IF(ISNUMBER($B$537), IF($C727&lt;&gt;"", IF('Cost Inputs'!$L$164="Y", $E727, IF('Cost Inputs'!$L$164="N", IF(AND(ISNUMBER('Cost Inputs'!$M$164), OR('Cost Inputs'!$M$164=2,'Cost Inputs'!$M$164=3,'Cost Inputs'!$M$164=6)), $E727, ""),"")),""),"")</f>
        <v/>
      </c>
      <c r="AC727" s="17" t="str">
        <f>IF(ISNUMBER($B$537), IF($C727&lt;&gt;"", IF('Cost Inputs'!$L$164="Y", $E727, IF('Cost Inputs'!$L$164="N", IF(AND(ISNUMBER('Cost Inputs'!$M$164), OR('Cost Inputs'!$M$164=2,'Cost Inputs'!$M$164=7)), $E727, ""),"")),""),"")</f>
        <v/>
      </c>
      <c r="AD727" s="17" t="str">
        <f>IF(ISNUMBER($B$537), IF($C727&lt;&gt;"", IF('Cost Inputs'!$L$164="Y", $E727, IF('Cost Inputs'!$L$164="N", IF(AND(ISNUMBER('Cost Inputs'!$M$164), OR('Cost Inputs'!$M$164=2,'Cost Inputs'!$M$164=4,'Cost Inputs'!$M$164=8)), $E727, ""),"")),""),"")</f>
        <v/>
      </c>
      <c r="AE727" s="17" t="str">
        <f>IF(ISNUMBER($B$537), IF($C727&lt;&gt;"", IF('Cost Inputs'!$L$164="Y", $E727, IF('Cost Inputs'!$L$164="N", IF(AND(ISNUMBER('Cost Inputs'!$M$164), OR('Cost Inputs'!$M$164=2,'Cost Inputs'!$M$164=3,'Cost Inputs'!$M$164=9)), $E727, ""),"")),""),"")</f>
        <v/>
      </c>
    </row>
    <row r="728" spans="1:32" x14ac:dyDescent="0.25">
      <c r="A728" s="518"/>
      <c r="B728" s="504"/>
      <c r="C728" s="110" t="str">
        <f>IF(ISNUMBER(B709), _5_6_0, "")</f>
        <v/>
      </c>
      <c r="D728" s="94" t="str">
        <f>IF(AND(C728&lt;&gt;"", 'Cost Inputs'!$G$165&lt;&gt;""), 'Cost Inputs'!$G$165, "")</f>
        <v/>
      </c>
      <c r="E728" s="94" t="str">
        <f>IF(AND(C728&lt;&gt;"", 'Cost Inputs'!$H$165&lt;&gt;""), 'Cost Inputs'!$H$165, "")</f>
        <v/>
      </c>
      <c r="F728" s="94" t="str">
        <f>IF(AND(C728&lt;&gt;"", 'Cost Inputs'!$I$165&lt;&gt;""), 'Cost Inputs'!$I$165, "")</f>
        <v/>
      </c>
      <c r="G728" s="102" t="str">
        <f t="shared" si="469"/>
        <v/>
      </c>
      <c r="H728" s="94" t="str">
        <f>IF(AND(C728&lt;&gt;"", 'Cost Inputs'!$J$165&lt;&gt;""), 'Cost Inputs'!$J$165, "")</f>
        <v/>
      </c>
      <c r="I728" s="102" t="str">
        <f>IF($C728&lt;&gt;"",IF(AND($E728&lt;&gt;"",H728&lt;&gt;""), H728/$E728, 0),"")</f>
        <v/>
      </c>
      <c r="J728" s="94" t="str">
        <f>IF(AND(C728&lt;&gt;"",('Cost Inputs'!$I$165+'Cost Inputs'!$J$165+'Cost Inputs'!$K$165)&gt;0), 'Cost Inputs'!$I$165+'Cost Inputs'!$J$165+'Cost Inputs'!$K$165, "")</f>
        <v/>
      </c>
      <c r="K728" s="102" t="str">
        <f>IF($C728&lt;&gt;"",IF(AND($E728&lt;&gt;"",J728&lt;&gt;""), J728/$E728, 0),"")</f>
        <v/>
      </c>
      <c r="L728" s="94"/>
      <c r="M728" s="103"/>
      <c r="V728" s="94" t="str">
        <f>IF(ISNUMBER($B$537), IF($C728&lt;&gt;"", IF('Cost Inputs'!$L$165="Y", $E728, IF('Cost Inputs'!$L$165="N", IF(ISNUMBER('Cost Inputs'!$M$165), $E728, ""),"")),""),"")</f>
        <v/>
      </c>
      <c r="W728" s="94" t="str">
        <f>IF(ISNUMBER($B$537), IF($C728&lt;&gt;"", IF('Cost Inputs'!$L$165="Y", $E728, IF('Cost Inputs'!$L$165="N", "", "")),""),"")</f>
        <v/>
      </c>
      <c r="X728" s="94" t="str">
        <f>IF(ISNUMBER($B$537), IF($C728&lt;&gt;"", IF('Cost Inputs'!$L$165="Y", $E728, IF('Cost Inputs'!$L$165="N", IF(AND(ISNUMBER('Cost Inputs'!$M$165), OR('Cost Inputs'!$M$165=2)), $E728, ""),"")),""),"")</f>
        <v/>
      </c>
      <c r="Y728" s="94" t="str">
        <f>IF(ISNUMBER($B$537), IF($C728&lt;&gt;"", IF('Cost Inputs'!$L$165="Y", $E728, IF('Cost Inputs'!$L$165="N", IF(AND(ISNUMBER('Cost Inputs'!$M$165), OR('Cost Inputs'!$M$165=3)), $E728, ""),"")),""),"")</f>
        <v/>
      </c>
      <c r="Z728" s="94" t="str">
        <f>IF(ISNUMBER($B$537), IF($C728&lt;&gt;"", IF('Cost Inputs'!$L$165="Y", $E728, IF('Cost Inputs'!$L$165="N", IF(AND(ISNUMBER('Cost Inputs'!$M$165), OR('Cost Inputs'!$M$165=2, 'Cost Inputs'!$M$165=4)), $E728, ""),"")),""),"")</f>
        <v/>
      </c>
      <c r="AA728" s="94" t="str">
        <f>IF(ISNUMBER($B$537), IF($C728&lt;&gt;"", IF('Cost Inputs'!$L$165="Y", $E728, IF('Cost Inputs'!$L$165="N", IF(AND(ISNUMBER('Cost Inputs'!$M$165), OR('Cost Inputs'!$M$165=2,'Cost Inputs'!$M$165=5)), $E728, ""),"")),""),"")</f>
        <v/>
      </c>
      <c r="AB728" s="94" t="str">
        <f>IF(ISNUMBER($B$537), IF($C728&lt;&gt;"", IF('Cost Inputs'!$L$165="Y", $E728, IF('Cost Inputs'!$L$165="N", IF(AND(ISNUMBER('Cost Inputs'!$M$165), OR('Cost Inputs'!$M$165=2,'Cost Inputs'!$M$165=3,'Cost Inputs'!$M$165=6)), $E728, ""),"")),""),"")</f>
        <v/>
      </c>
      <c r="AC728" s="94" t="str">
        <f>IF(ISNUMBER($B$537), IF($C728&lt;&gt;"", IF('Cost Inputs'!$L$165="Y", $E728, IF('Cost Inputs'!$L$165="N", IF(AND(ISNUMBER('Cost Inputs'!$M$165), OR('Cost Inputs'!$M$165=2,'Cost Inputs'!$M$165=7)), $E728, ""),"")),""),"")</f>
        <v/>
      </c>
      <c r="AD728" s="94" t="str">
        <f>IF(ISNUMBER($B$537), IF($C728&lt;&gt;"", IF('Cost Inputs'!$L$165="Y", $E728, IF('Cost Inputs'!$L$165="N", IF(AND(ISNUMBER('Cost Inputs'!$M$165), OR('Cost Inputs'!$M$165=2,'Cost Inputs'!$M$165=4,'Cost Inputs'!$M$165=8)), $E728, ""),"")),""),"")</f>
        <v/>
      </c>
      <c r="AE728" s="94" t="str">
        <f>IF(ISNUMBER($B$537), IF($C728&lt;&gt;"", IF('Cost Inputs'!$L$165="Y", $E728, IF('Cost Inputs'!$L$165="N", IF(AND(ISNUMBER('Cost Inputs'!$M$165), OR('Cost Inputs'!$M$165=2,'Cost Inputs'!$M$165=3,'Cost Inputs'!$M$165=9)), $E728, ""),"")),""),"")</f>
        <v/>
      </c>
    </row>
    <row r="729" spans="1:32" x14ac:dyDescent="0.25">
      <c r="A729" s="518"/>
      <c r="B729" s="504"/>
      <c r="C729" s="104" t="str">
        <f>IF(AND(ISNUMBER(B709), OR('Cost Inputs'!$H$166&lt;&gt;"", 'Cost Inputs'!$I$166&lt;&gt;"", 'Cost Inputs'!$J$166&lt;&gt;"")), _5_6_1, "")</f>
        <v/>
      </c>
      <c r="D729" s="17" t="str">
        <f>IF(AND(C729&lt;&gt;"", 'Cost Inputs'!$G$166&lt;&gt;""), 'Cost Inputs'!$G$166, "")</f>
        <v/>
      </c>
      <c r="E729" s="17" t="str">
        <f>IF(AND(C729&lt;&gt;"", 'Cost Inputs'!$H$166&lt;&gt;""), 'Cost Inputs'!$H$166, "")</f>
        <v/>
      </c>
      <c r="F729" s="17" t="str">
        <f>IF(AND(C729&lt;&gt;"", 'Cost Inputs'!$I$166&lt;&gt;""), 'Cost Inputs'!$I$166, "")</f>
        <v/>
      </c>
      <c r="G729" s="105" t="str">
        <f t="shared" si="469"/>
        <v/>
      </c>
      <c r="H729" s="17" t="str">
        <f>IF(AND(C729&lt;&gt;"", 'Cost Inputs'!$J$166&lt;&gt;""), 'Cost Inputs'!$J$166, "")</f>
        <v/>
      </c>
      <c r="I729" s="17" t="str">
        <f>IF($C729&lt;&gt;"", IF(AND($E729&lt;&gt;"", H729&lt;&gt;""), H729/$E729, 0),"")</f>
        <v/>
      </c>
      <c r="J729" s="17" t="str">
        <f>IF(AND(C729&lt;&gt;"",('Cost Inputs'!$I$166+'Cost Inputs'!$J$166+'Cost Inputs'!$K$166)&gt;0), 'Cost Inputs'!$I$166+'Cost Inputs'!$J$166+'Cost Inputs'!$K$166, "")</f>
        <v/>
      </c>
      <c r="K729" s="17" t="str">
        <f>IF($C729&lt;&gt;"", IF(AND($E729&lt;&gt;"", J729&lt;&gt;""), J729/$E729, 0),"")</f>
        <v/>
      </c>
      <c r="M729" s="106"/>
      <c r="V729" s="17" t="str">
        <f>IF(ISNUMBER($B$537), IF($C729&lt;&gt;"", IF('Cost Inputs'!$L$166="Y", $E729, IF('Cost Inputs'!$L$166="N", IF(ISNUMBER('Cost Inputs'!$M$166), $E729, ""),"")),""),"")</f>
        <v/>
      </c>
      <c r="W729" s="17" t="str">
        <f>IF(ISNUMBER($B$537), IF($C729&lt;&gt;"", IF('Cost Inputs'!$L$166="Y", $E729, IF('Cost Inputs'!$L$166="N", "", "")),""),"")</f>
        <v/>
      </c>
      <c r="X729" s="17" t="str">
        <f>IF(ISNUMBER($B$537), IF($C729&lt;&gt;"", IF('Cost Inputs'!$L$166="Y", $E729, IF('Cost Inputs'!$L$166="N", IF(AND(ISNUMBER('Cost Inputs'!$M$166), OR('Cost Inputs'!$M$166=2)), $E729, ""),"")),""),"")</f>
        <v/>
      </c>
      <c r="Y729" s="17" t="str">
        <f>IF(ISNUMBER($B$537), IF($C729&lt;&gt;"", IF('Cost Inputs'!$L$166="Y", $E729, IF('Cost Inputs'!$L$166="N", IF(AND(ISNUMBER('Cost Inputs'!$M$166), OR('Cost Inputs'!$M$166=3)), $E729, ""),"")),""),"")</f>
        <v/>
      </c>
      <c r="Z729" s="17" t="str">
        <f>IF(ISNUMBER($B$537), IF($C729&lt;&gt;"", IF('Cost Inputs'!$L$166="Y", $E729, IF('Cost Inputs'!$L$166="N", IF(AND(ISNUMBER('Cost Inputs'!$M$166), OR('Cost Inputs'!$M$166=2, 'Cost Inputs'!$M$166=4)), $E729, ""),"")),""),"")</f>
        <v/>
      </c>
      <c r="AA729" s="17" t="str">
        <f>IF(ISNUMBER($B$537), IF($C729&lt;&gt;"", IF('Cost Inputs'!$L$166="Y", $E729, IF('Cost Inputs'!$L$166="N", IF(AND(ISNUMBER('Cost Inputs'!$M$166), OR('Cost Inputs'!$M$166=2,'Cost Inputs'!$M$166=5)), $E729, ""),"")),""),"")</f>
        <v/>
      </c>
      <c r="AB729" s="17" t="str">
        <f>IF(ISNUMBER($B$537), IF($C729&lt;&gt;"", IF('Cost Inputs'!$L$166="Y", $E729, IF('Cost Inputs'!$L$166="N", IF(AND(ISNUMBER('Cost Inputs'!$M$166), OR('Cost Inputs'!$M$166=2,'Cost Inputs'!$M$166=3,'Cost Inputs'!$M$166=6)), $E729, ""),"")),""),"")</f>
        <v/>
      </c>
      <c r="AC729" s="17" t="str">
        <f>IF(ISNUMBER($B$537), IF($C729&lt;&gt;"", IF('Cost Inputs'!$L$166="Y", $E729, IF('Cost Inputs'!$L$166="N", IF(AND(ISNUMBER('Cost Inputs'!$M$166), OR('Cost Inputs'!$M$166=2,'Cost Inputs'!$M$166=7)), $E729, ""),"")),""),"")</f>
        <v/>
      </c>
      <c r="AD729" s="17" t="str">
        <f>IF(ISNUMBER($B$537), IF($C729&lt;&gt;"", IF('Cost Inputs'!$L$166="Y", $E729, IF('Cost Inputs'!$L$166="N", IF(AND(ISNUMBER('Cost Inputs'!$M$166), OR('Cost Inputs'!$M$166=2,'Cost Inputs'!$M$166=4,'Cost Inputs'!$M$166=8)), $E729, ""),"")),""),"")</f>
        <v/>
      </c>
      <c r="AE729" s="17" t="str">
        <f>IF(ISNUMBER($B$537), IF($C729&lt;&gt;"", IF('Cost Inputs'!$L$166="Y", $E729, IF('Cost Inputs'!$L$166="N", IF(AND(ISNUMBER('Cost Inputs'!$M$166), OR('Cost Inputs'!$M$166=2,'Cost Inputs'!$M$166=3,'Cost Inputs'!$M$166=9)), $E729, ""),"")),""),"")</f>
        <v/>
      </c>
    </row>
    <row r="730" spans="1:32" ht="15.75" thickBot="1" x14ac:dyDescent="0.3">
      <c r="A730" s="518"/>
      <c r="B730" s="505"/>
      <c r="C730" s="111" t="str">
        <f>IF(AND(ISNUMBER(B709), OR('Cost Inputs'!$H$167&lt;&gt;"", 'Cost Inputs'!$I$167&lt;&gt;"", 'Cost Inputs'!$J$167&lt;&gt;"")), _5_6_2, "")</f>
        <v/>
      </c>
      <c r="D730" s="95" t="str">
        <f>IF(AND(C730&lt;&gt;"", 'Cost Inputs'!$G$167&lt;&gt;""), 'Cost Inputs'!$G$167, "")</f>
        <v/>
      </c>
      <c r="E730" s="95" t="str">
        <f>IF(AND(C730&lt;&gt;"", 'Cost Inputs'!$H$167&lt;&gt;""), 'Cost Inputs'!$H$167, "")</f>
        <v/>
      </c>
      <c r="F730" s="95" t="str">
        <f>IF(AND(C730&lt;&gt;"", 'Cost Inputs'!$I$167&lt;&gt;""), 'Cost Inputs'!$I$167, "")</f>
        <v/>
      </c>
      <c r="G730" s="112" t="str">
        <f t="shared" si="469"/>
        <v/>
      </c>
      <c r="H730" s="95" t="str">
        <f>IF(AND(C730&lt;&gt;"", 'Cost Inputs'!$J$167&lt;&gt;""), 'Cost Inputs'!$J$167, "")</f>
        <v/>
      </c>
      <c r="I730" s="95" t="str">
        <f>IF($C730&lt;&gt;"", IF(AND($E730&lt;&gt;"", H730&lt;&gt;""), H730/$E730, 0),"")</f>
        <v/>
      </c>
      <c r="J730" s="95" t="str">
        <f>IF(AND(C730&lt;&gt;"",('Cost Inputs'!$I$167+'Cost Inputs'!$J$167+'Cost Inputs'!$K$167)&gt;0), 'Cost Inputs'!$I$167+'Cost Inputs'!$J$167+'Cost Inputs'!$K$167, "")</f>
        <v/>
      </c>
      <c r="K730" s="95" t="str">
        <f>IF($C730&lt;&gt;"", IF(AND($E730&lt;&gt;"", J730&lt;&gt;""), J730/$E730, 0),"")</f>
        <v/>
      </c>
      <c r="L730" s="95"/>
      <c r="M730" s="113"/>
      <c r="V730" s="95" t="str">
        <f>IF(ISNUMBER($B$537), IF($C730&lt;&gt;"", IF('Cost Inputs'!$L$167="Y", $E730, IF('Cost Inputs'!$L$167="N", IF(ISNUMBER('Cost Inputs'!$M$167), $E730, ""),"")),""),"")</f>
        <v/>
      </c>
      <c r="W730" s="95" t="str">
        <f>IF(ISNUMBER($B$537), IF($C730&lt;&gt;"", IF('Cost Inputs'!$L$167="Y", $E730, IF('Cost Inputs'!$L$167="N", "", "")),""),"")</f>
        <v/>
      </c>
      <c r="X730" s="95" t="str">
        <f>IF(ISNUMBER($B$537), IF($C730&lt;&gt;"", IF('Cost Inputs'!$L$167="Y", $E730, IF('Cost Inputs'!$L$167="N", IF(AND(ISNUMBER('Cost Inputs'!$M$167), OR('Cost Inputs'!$M$167=2)), $E730, ""),"")),""),"")</f>
        <v/>
      </c>
      <c r="Y730" s="95" t="str">
        <f>IF(ISNUMBER($B$537), IF($C730&lt;&gt;"", IF('Cost Inputs'!$L$167="Y", $E730, IF('Cost Inputs'!$L$167="N", IF(AND(ISNUMBER('Cost Inputs'!$M$167), OR('Cost Inputs'!$M$167=3)), $E730, ""),"")),""),"")</f>
        <v/>
      </c>
      <c r="Z730" s="95" t="str">
        <f>IF(ISNUMBER($B$537), IF($C730&lt;&gt;"", IF('Cost Inputs'!$L$167="Y", $E730, IF('Cost Inputs'!$L$167="N", IF(AND(ISNUMBER('Cost Inputs'!$M$167), OR('Cost Inputs'!$M$167=2, 'Cost Inputs'!$M$167=4)), $E730, ""),"")),""),"")</f>
        <v/>
      </c>
      <c r="AA730" s="95" t="str">
        <f>IF(ISNUMBER($B$537), IF($C730&lt;&gt;"", IF('Cost Inputs'!$L$167="Y", $E730, IF('Cost Inputs'!$L$167="N", IF(AND(ISNUMBER('Cost Inputs'!$M$167), OR('Cost Inputs'!$M$167=2,'Cost Inputs'!$M$167=5)), $E730, ""),"")),""),"")</f>
        <v/>
      </c>
      <c r="AB730" s="95" t="str">
        <f>IF(ISNUMBER($B$537), IF($C730&lt;&gt;"", IF('Cost Inputs'!$L$167="Y", $E730, IF('Cost Inputs'!$L$167="N", IF(AND(ISNUMBER('Cost Inputs'!$M$167), OR('Cost Inputs'!$M$167=2,'Cost Inputs'!$M$167=3,'Cost Inputs'!$M$167=6)), $E730, ""),"")),""),"")</f>
        <v/>
      </c>
      <c r="AC730" s="95" t="str">
        <f>IF(ISNUMBER($B$537), IF($C730&lt;&gt;"", IF('Cost Inputs'!$L$167="Y", $E730, IF('Cost Inputs'!$L$167="N", IF(AND(ISNUMBER('Cost Inputs'!$M$167), OR('Cost Inputs'!$M$167=2,'Cost Inputs'!$M$167=7)), $E730, ""),"")),""),"")</f>
        <v/>
      </c>
      <c r="AD730" s="95" t="str">
        <f>IF(ISNUMBER($B$537), IF($C730&lt;&gt;"", IF('Cost Inputs'!$L$167="Y", $E730, IF('Cost Inputs'!$L$167="N", IF(AND(ISNUMBER('Cost Inputs'!$M$167), OR('Cost Inputs'!$M$167=2,'Cost Inputs'!$M$167=4,'Cost Inputs'!$M$167=8)), $E730, ""),"")),""),"")</f>
        <v/>
      </c>
      <c r="AE730" s="95" t="str">
        <f>IF(ISNUMBER($B$537), IF($C730&lt;&gt;"", IF('Cost Inputs'!$L$167="Y", $E730, IF('Cost Inputs'!$L$167="N", IF(AND(ISNUMBER('Cost Inputs'!$M$167), OR('Cost Inputs'!$M$167=2,'Cost Inputs'!$M$167=3,'Cost Inputs'!$M$167=9)), $E730, ""),"")),""),"")</f>
        <v/>
      </c>
    </row>
    <row r="731" spans="1:32" x14ac:dyDescent="0.25">
      <c r="A731" s="518" t="str">
        <f>Fifth_Stage</f>
        <v>Stage 3 Clonal Replication with Increased Repetitions</v>
      </c>
      <c r="B731" s="503" t="str">
        <f>'Breeding Inputs'!B109</f>
        <v/>
      </c>
      <c r="C731" s="520" t="str">
        <f>IF(ISNUMBER(B731), _5_3_0, "")</f>
        <v/>
      </c>
      <c r="D731" s="92" t="str">
        <f>IF(AND(C731&lt;&gt;"", 'Cost Inputs'!$G$146&lt;&gt;""), 'Cost Inputs'!$G$146, "")</f>
        <v/>
      </c>
      <c r="E731" s="92" t="str">
        <f>IF(AND(C731&lt;&gt;"", 'Cost Inputs'!$H$146&lt;&gt;""), 'Cost Inputs'!$H$146, "")</f>
        <v/>
      </c>
      <c r="F731" s="522" t="str">
        <f>IF(AND(C731&lt;&gt;"", 'Cost Inputs'!$I$146&lt;&gt;""), 'Cost Inputs'!$I$146, "")</f>
        <v/>
      </c>
      <c r="G731" s="100" t="str">
        <f t="shared" si="469"/>
        <v/>
      </c>
      <c r="H731" s="522" t="str">
        <f>IF(AND(C731&lt;&gt;"", 'Cost Inputs'!$J$146&lt;&gt;""), 'Cost Inputs'!$J$146, "")</f>
        <v/>
      </c>
      <c r="I731" s="100" t="str">
        <f>IF($C731&lt;&gt;"",IF(AND($E731&lt;&gt;"",H731&lt;&gt;""), H731/$E731, 0),"")</f>
        <v/>
      </c>
      <c r="J731" s="522" t="str">
        <f>IF(AND(C731&lt;&gt;"",('Cost Inputs'!$I$146+'Cost Inputs'!$J$146+'Cost Inputs'!$K$146)&gt;0), 'Cost Inputs'!$I$146+'Cost Inputs'!$J$146+'Cost Inputs'!$K$146, "")</f>
        <v/>
      </c>
      <c r="K731" s="100" t="str">
        <f>IF($C731&lt;&gt;"",IF(AND($E731&lt;&gt;"",J731&lt;&gt;""), J731/$E731, 0),"")</f>
        <v/>
      </c>
      <c r="L731" s="92"/>
      <c r="M731" s="101"/>
      <c r="W731" s="492" t="str">
        <f>IF(ISNUMBER($B$537), IF($C731&lt;&gt;"", IF('Cost Inputs'!$L$146="Y", $E731, IF('Cost Inputs'!$L$146="N", IF(ISNUMBER('Cost Inputs'!$M$146), $E731, ""),"")),""),"")</f>
        <v/>
      </c>
      <c r="X731" s="492" t="str">
        <f>IF(ISNUMBER($B$537), IF($C731&lt;&gt;"", IF('Cost Inputs'!$L$146="Y", $E731, IF('Cost Inputs'!$L$146="N", "", "")),""),"")</f>
        <v/>
      </c>
      <c r="Y731" s="492" t="str">
        <f>IF(ISNUMBER($B$537), IF($C731&lt;&gt;"", IF('Cost Inputs'!$L$146="Y", $E731, IF('Cost Inputs'!$L$146="N", IF(AND(ISNUMBER('Cost Inputs'!$M$146), OR('Cost Inputs'!$M$146=2)), $E731, ""),"")),""),"")</f>
        <v/>
      </c>
      <c r="Z731" s="492" t="str">
        <f>IF(ISNUMBER($B$537), IF($C731&lt;&gt;"", IF('Cost Inputs'!$L$146="Y", $E731, IF('Cost Inputs'!$L$146="N", IF(AND(ISNUMBER('Cost Inputs'!$M$146), OR('Cost Inputs'!$M$146=3)), $E731, ""),"")),""),"")</f>
        <v/>
      </c>
      <c r="AA731" s="492" t="str">
        <f>IF(ISNUMBER($B$537), IF($C731&lt;&gt;"", IF('Cost Inputs'!$L$146="Y", $E731, IF('Cost Inputs'!$L$146="N", IF(AND(ISNUMBER('Cost Inputs'!$M$146), OR('Cost Inputs'!$M$146=2, 'Cost Inputs'!$M$146=4)), $E731, ""),"")),""),"")</f>
        <v/>
      </c>
      <c r="AB731" s="492" t="str">
        <f>IF(ISNUMBER($B$537), IF($C731&lt;&gt;"", IF('Cost Inputs'!$L$146="Y", $E731, IF('Cost Inputs'!$L$146="N", IF(AND(ISNUMBER('Cost Inputs'!$M$146), OR('Cost Inputs'!$M$146=2,'Cost Inputs'!$M$146=5)), $E731, ""),"")),""),"")</f>
        <v/>
      </c>
      <c r="AC731" s="492" t="str">
        <f>IF(ISNUMBER($B$537), IF($C731&lt;&gt;"", IF('Cost Inputs'!$L$146="Y", $E731, IF('Cost Inputs'!$L$146="N", IF(AND(ISNUMBER('Cost Inputs'!$M$146), OR('Cost Inputs'!$M$146=2,'Cost Inputs'!$M$146=3,'Cost Inputs'!$M$146=6)), $E731, ""),"")),""),"")</f>
        <v/>
      </c>
      <c r="AD731" s="492" t="str">
        <f>IF(ISNUMBER($B$537), IF($C731&lt;&gt;"", IF('Cost Inputs'!$L$146="Y", $E731, IF('Cost Inputs'!$L$146="N", IF(AND(ISNUMBER('Cost Inputs'!$M$146), OR('Cost Inputs'!$M$146=2,'Cost Inputs'!$M$146=7)), $E731, ""),"")),""),"")</f>
        <v/>
      </c>
      <c r="AE731" s="492" t="str">
        <f>IF(ISNUMBER($B$537), IF($C731&lt;&gt;"", IF('Cost Inputs'!$L$146="Y", $E731, IF('Cost Inputs'!$L$146="N", IF(AND(ISNUMBER('Cost Inputs'!$M$146), OR('Cost Inputs'!$M$146=2,'Cost Inputs'!$M$146=4,'Cost Inputs'!$M$146=8)), $E731, ""),"")),""),"")</f>
        <v/>
      </c>
      <c r="AF731" s="492" t="str">
        <f>IF(ISNUMBER($B$537), IF($C731&lt;&gt;"", IF('Cost Inputs'!$L$146="Y", $E731, IF('Cost Inputs'!$L$146="N", IF(AND(ISNUMBER('Cost Inputs'!$M$146), OR('Cost Inputs'!$M$146=2,'Cost Inputs'!$M$146=3,'Cost Inputs'!$M$146=9)), $E731, ""),"")),""),"")</f>
        <v/>
      </c>
    </row>
    <row r="732" spans="1:32" x14ac:dyDescent="0.25">
      <c r="A732" s="518"/>
      <c r="B732" s="504"/>
      <c r="C732" s="521"/>
      <c r="D732" s="94" t="str">
        <f>IF(AND(C731&lt;&gt;"", 'Cost Inputs'!$G$147&lt;&gt;""), 'Cost Inputs'!$G$147, "")</f>
        <v/>
      </c>
      <c r="E732" s="94" t="str">
        <f>IF(AND(C731&lt;&gt;"", 'Cost Inputs'!$H$147&lt;&gt;""), 'Cost Inputs'!$H$147, "")</f>
        <v/>
      </c>
      <c r="F732" s="492"/>
      <c r="G732" s="102" t="str">
        <f t="shared" si="469"/>
        <v/>
      </c>
      <c r="H732" s="492"/>
      <c r="I732" s="102" t="str">
        <f>IF($C731&lt;&gt;"", IF(AND($E732&lt;&gt;"", H731&lt;&gt;""), H731/($E731*$E732), 0), "")</f>
        <v/>
      </c>
      <c r="J732" s="492" t="str">
        <f>IF(AND(C732&lt;&gt;"",('Cost Inputs'!$I$86+'Cost Inputs'!$J$86+'Cost Inputs'!$K$86)&gt;0), 'Cost Inputs'!$I$86+'Cost Inputs'!$J$86+'Cost Inputs'!$K$86, "")</f>
        <v/>
      </c>
      <c r="K732" s="102" t="str">
        <f>IF($C731&lt;&gt;"", IF(AND($E732&lt;&gt;"", J731&lt;&gt;""), J731/($E731*$E732), 0), "")</f>
        <v/>
      </c>
      <c r="L732" s="94"/>
      <c r="M732" s="103"/>
      <c r="W732" s="492" t="str">
        <f>IF(ISNUMBER($B$537), IF($C732&lt;&gt;"", IF('Cost Inputs'!$L323="Y", $E732, IF('Cost Inputs'!$L323="N", IF(ISNUMBER('Cost Inputs'!$M323), $E732, ""),"")),""),"")</f>
        <v/>
      </c>
      <c r="X732" s="492" t="str">
        <f>IF(ISNUMBER($B$537), IF($C732&lt;&gt;"", IF('Cost Inputs'!$L323="Y", $E732, IF('Cost Inputs'!$L323="N", "", "")),""),"")</f>
        <v/>
      </c>
      <c r="Y732" s="492" t="str">
        <f>IF(ISNUMBER($B$537), IF($C732&lt;&gt;"", IF('Cost Inputs'!$L323="Y", $E732, IF('Cost Inputs'!$L323="N", IF(AND(ISNUMBER('Cost Inputs'!$M323), OR('Cost Inputs'!$M323=2)), $E732, ""),"")),""),"")</f>
        <v/>
      </c>
      <c r="Z732" s="492" t="str">
        <f>IF(ISNUMBER($B$537), IF($C732&lt;&gt;"", IF('Cost Inputs'!$L323="Y", $E732, IF('Cost Inputs'!$L323="N", IF(AND(ISNUMBER('Cost Inputs'!$M323), OR('Cost Inputs'!$M323=3)), $E732, ""),"")),""),"")</f>
        <v/>
      </c>
      <c r="AA732" s="492" t="str">
        <f>IF(ISNUMBER($B$537), IF($C732&lt;&gt;"", IF('Cost Inputs'!$L323="Y", $E732, IF('Cost Inputs'!$L323="N", IF(AND(ISNUMBER('Cost Inputs'!$M323), OR('Cost Inputs'!$M323=2, 'Cost Inputs'!$M323=4)), $E732, ""),"")),""),"")</f>
        <v/>
      </c>
      <c r="AB732" s="492" t="str">
        <f>IF(ISNUMBER($B$537), IF($C732&lt;&gt;"", IF('Cost Inputs'!$L323="Y", $E732, IF('Cost Inputs'!$L323="N", IF(AND(ISNUMBER('Cost Inputs'!$M323), OR('Cost Inputs'!$M323=2,'Cost Inputs'!$M323=5)), $E732, ""),"")),""),"")</f>
        <v/>
      </c>
      <c r="AC732" s="492" t="str">
        <f>IF(ISNUMBER($B$537), IF($C732&lt;&gt;"", IF('Cost Inputs'!$L323="Y", $E732, IF('Cost Inputs'!$L323="N", IF(AND(ISNUMBER('Cost Inputs'!$M323), OR('Cost Inputs'!$M323=2,'Cost Inputs'!$M323=3,'Cost Inputs'!$M323=6)), $E732, ""),"")),""),"")</f>
        <v/>
      </c>
      <c r="AD732" s="492" t="str">
        <f>IF(ISNUMBER($B$537), IF($C732&lt;&gt;"", IF('Cost Inputs'!$L323="Y", $E732, IF('Cost Inputs'!$L323="N", IF(AND(ISNUMBER('Cost Inputs'!$M323), OR('Cost Inputs'!$M323=2,'Cost Inputs'!$M323=7)), $E732, ""),"")),""),"")</f>
        <v/>
      </c>
      <c r="AE732" s="492" t="str">
        <f>IF(ISNUMBER($B$537), IF($C732&lt;&gt;"", IF('Cost Inputs'!$L323="Y", $E732, IF('Cost Inputs'!$L323="N", IF(AND(ISNUMBER('Cost Inputs'!$M323), OR('Cost Inputs'!$M323=2,'Cost Inputs'!$M323=4,'Cost Inputs'!$M323=8)), $E732, ""),"")),""),"")</f>
        <v/>
      </c>
      <c r="AF732" s="492" t="str">
        <f>IF(ISNUMBER($B$537), IF($C732&lt;&gt;"", IF('Cost Inputs'!$L323="Y", $E732, IF('Cost Inputs'!$L323="N", IF(AND(ISNUMBER('Cost Inputs'!$M323), OR('Cost Inputs'!$M323=2,'Cost Inputs'!$M323=3,'Cost Inputs'!$M323=9)), $E732, ""),"")),""),"")</f>
        <v/>
      </c>
    </row>
    <row r="733" spans="1:32" x14ac:dyDescent="0.25">
      <c r="A733" s="518"/>
      <c r="B733" s="504"/>
      <c r="C733" s="104" t="str">
        <f>IF(AND(ISNUMBER(B731), OR('Cost Inputs'!$H$148&lt;&gt;"", 'Cost Inputs'!$I$148&lt;&gt;"", 'Cost Inputs'!$J$148&lt;&gt;"")), _5_3_1, "")</f>
        <v/>
      </c>
      <c r="D733" s="17" t="str">
        <f>IF(AND(C733&lt;&gt;"", 'Cost Inputs'!$G$148&lt;&gt;""), 'Cost Inputs'!$G$148, "")</f>
        <v/>
      </c>
      <c r="E733" s="17" t="str">
        <f>IF(AND(C733&lt;&gt;"", 'Cost Inputs'!$H$148&lt;&gt;""), 'Cost Inputs'!$H$148, "")</f>
        <v/>
      </c>
      <c r="F733" s="17" t="str">
        <f>IF(AND(C733&lt;&gt;"", 'Cost Inputs'!$I$148&lt;&gt;""), 'Cost Inputs'!$I$148, "")</f>
        <v/>
      </c>
      <c r="G733" s="105" t="str">
        <f t="shared" si="469"/>
        <v/>
      </c>
      <c r="H733" s="17" t="str">
        <f>IF(AND(C733&lt;&gt;"", 'Cost Inputs'!$J$148&lt;&gt;""), 'Cost Inputs'!$J$148, "")</f>
        <v/>
      </c>
      <c r="I733" s="17" t="str">
        <f t="shared" ref="I733:I741" si="474">IF($C733&lt;&gt;"", IF(AND($E733&lt;&gt;"", H733&lt;&gt;""), H733/$E733, 0),"")</f>
        <v/>
      </c>
      <c r="J733" s="17" t="str">
        <f>IF(AND(C733&lt;&gt;"",('Cost Inputs'!$I$148+'Cost Inputs'!$J$148+'Cost Inputs'!$K$148)&gt;0), 'Cost Inputs'!$I$148+'Cost Inputs'!$J$148+'Cost Inputs'!$K$148, "")</f>
        <v/>
      </c>
      <c r="K733" s="17" t="str">
        <f t="shared" ref="K733:K741" si="475">IF($C733&lt;&gt;"", IF(AND($E733&lt;&gt;"", J733&lt;&gt;""), J733/$E733, 0),"")</f>
        <v/>
      </c>
      <c r="M733" s="106"/>
      <c r="W733" s="17" t="str">
        <f>IF(ISNUMBER($B$537), IF($C733&lt;&gt;"", IF('Cost Inputs'!$L$148="Y", $E733, IF('Cost Inputs'!$L$148="N", IF(ISNUMBER('Cost Inputs'!$M$148), $E733, ""),"")),""),"")</f>
        <v/>
      </c>
      <c r="X733" s="17" t="str">
        <f>IF(ISNUMBER($B$537), IF($C733&lt;&gt;"", IF('Cost Inputs'!$L$148="Y", $E733, IF('Cost Inputs'!$L$148="N", "", "")),""),"")</f>
        <v/>
      </c>
      <c r="Y733" s="17" t="str">
        <f>IF(ISNUMBER($B$537), IF($C733&lt;&gt;"", IF('Cost Inputs'!$L$148="Y", $E733, IF('Cost Inputs'!$L$148="N", IF(AND(ISNUMBER('Cost Inputs'!$M$148), OR('Cost Inputs'!$M$148=2)), $E733, ""),"")),""),"")</f>
        <v/>
      </c>
      <c r="Z733" s="17" t="str">
        <f>IF(ISNUMBER($B$537), IF($C733&lt;&gt;"", IF('Cost Inputs'!$L$148="Y", $E733, IF('Cost Inputs'!$L$148="N", IF(AND(ISNUMBER('Cost Inputs'!$M$148), OR('Cost Inputs'!$M$148=3)), $E733, ""),"")),""),"")</f>
        <v/>
      </c>
      <c r="AA733" s="17" t="str">
        <f>IF(ISNUMBER($B$537), IF($C733&lt;&gt;"", IF('Cost Inputs'!$L$148="Y", $E733, IF('Cost Inputs'!$L$148="N", IF(AND(ISNUMBER('Cost Inputs'!$M$148), OR('Cost Inputs'!$M$148=2, 'Cost Inputs'!$M$148=4)), $E733, ""),"")),""),"")</f>
        <v/>
      </c>
      <c r="AB733" s="17" t="str">
        <f>IF(ISNUMBER($B$537), IF($C733&lt;&gt;"", IF('Cost Inputs'!$L$148="Y", $E733, IF('Cost Inputs'!$L$148="N", IF(AND(ISNUMBER('Cost Inputs'!$M$148), OR('Cost Inputs'!$M$148=2,'Cost Inputs'!$M$148=5)), $E733, ""),"")),""),"")</f>
        <v/>
      </c>
      <c r="AC733" s="17" t="str">
        <f>IF(ISNUMBER($B$537), IF($C733&lt;&gt;"", IF('Cost Inputs'!$L$148="Y", $E733, IF('Cost Inputs'!$L$148="N", IF(AND(ISNUMBER('Cost Inputs'!$M$148), OR('Cost Inputs'!$M$148=2,'Cost Inputs'!$M$148=3,'Cost Inputs'!$M$148=6)), $E733, ""),"")),""),"")</f>
        <v/>
      </c>
      <c r="AD733" s="17" t="str">
        <f>IF(ISNUMBER($B$537), IF($C733&lt;&gt;"", IF('Cost Inputs'!$L$148="Y", $E733, IF('Cost Inputs'!$L$148="N", IF(AND(ISNUMBER('Cost Inputs'!$M$148), OR('Cost Inputs'!$M$148=2,'Cost Inputs'!$M$148=7)), $E733, ""),"")),""),"")</f>
        <v/>
      </c>
      <c r="AE733" s="17" t="str">
        <f>IF(ISNUMBER($B$537), IF($C733&lt;&gt;"", IF('Cost Inputs'!$L$148="Y", $E733, IF('Cost Inputs'!$L$148="N", IF(AND(ISNUMBER('Cost Inputs'!$M$148), OR('Cost Inputs'!$M$148=2,'Cost Inputs'!$M$148=4,'Cost Inputs'!$M$148=8)), $E733, ""),"")),""),"")</f>
        <v/>
      </c>
      <c r="AF733" s="17" t="str">
        <f>IF(ISNUMBER($B$537), IF($C733&lt;&gt;"", IF('Cost Inputs'!$L$148="Y", $E733, IF('Cost Inputs'!$L$148="N", IF(AND(ISNUMBER('Cost Inputs'!$M$148), OR('Cost Inputs'!$M$148=2,'Cost Inputs'!$M$148=3,'Cost Inputs'!$M$148=9)), $E733, ""),"")),""),"")</f>
        <v/>
      </c>
    </row>
    <row r="734" spans="1:32" x14ac:dyDescent="0.25">
      <c r="A734" s="518"/>
      <c r="B734" s="504"/>
      <c r="C734" s="107" t="str">
        <f>IF(AND(ISNUMBER(B731), OR('Cost Inputs'!$H$149&lt;&gt;"", 'Cost Inputs'!$I$149&lt;&gt;"", 'Cost Inputs'!$J$149&lt;&gt;"")), _5_3_2, "")</f>
        <v/>
      </c>
      <c r="D734" s="93" t="str">
        <f>IF(AND(C734&lt;&gt;"", 'Cost Inputs'!$G$149&lt;&gt;""), 'Cost Inputs'!$G$149, "")</f>
        <v/>
      </c>
      <c r="E734" s="93" t="str">
        <f>IF(AND(C734&lt;&gt;"", 'Cost Inputs'!$H$149&lt;&gt;""), 'Cost Inputs'!$H$149, "")</f>
        <v/>
      </c>
      <c r="F734" s="93" t="str">
        <f>IF(AND(C734&lt;&gt;"", 'Cost Inputs'!$I$149&lt;&gt;""), 'Cost Inputs'!$I$149, "")</f>
        <v/>
      </c>
      <c r="G734" s="108" t="str">
        <f t="shared" si="469"/>
        <v/>
      </c>
      <c r="H734" s="93" t="str">
        <f>IF(AND(C734&lt;&gt;"", 'Cost Inputs'!$J$149&lt;&gt;""), 'Cost Inputs'!$J$149, "")</f>
        <v/>
      </c>
      <c r="I734" s="93" t="str">
        <f t="shared" si="474"/>
        <v/>
      </c>
      <c r="J734" s="93" t="str">
        <f>IF(AND(C734&lt;&gt;"",('Cost Inputs'!$I$149+'Cost Inputs'!$J$149+'Cost Inputs'!$K$149)&gt;0), 'Cost Inputs'!$I$149+'Cost Inputs'!$J$149+'Cost Inputs'!$K$149, "")</f>
        <v/>
      </c>
      <c r="K734" s="93" t="str">
        <f t="shared" si="475"/>
        <v/>
      </c>
      <c r="L734" s="93"/>
      <c r="M734" s="109"/>
      <c r="W734" s="93" t="str">
        <f>IF(ISNUMBER($B$537), IF($C734&lt;&gt;"", IF('Cost Inputs'!$L$149="Y", $E734, IF('Cost Inputs'!$L$149="N", IF(ISNUMBER('Cost Inputs'!$M$149), $E734, ""),"")),""),"")</f>
        <v/>
      </c>
      <c r="X734" s="93" t="str">
        <f>IF(ISNUMBER($B$537), IF($C734&lt;&gt;"", IF('Cost Inputs'!$L$149="Y", $E734, IF('Cost Inputs'!$L$149="N", "", "")),""),"")</f>
        <v/>
      </c>
      <c r="Y734" s="93" t="str">
        <f>IF(ISNUMBER($B$537), IF($C734&lt;&gt;"", IF('Cost Inputs'!$L$149="Y", $E734, IF('Cost Inputs'!$L$149="N", IF(AND(ISNUMBER('Cost Inputs'!$M$149), OR('Cost Inputs'!$M$149=2)), $E734, ""),"")),""),"")</f>
        <v/>
      </c>
      <c r="Z734" s="93" t="str">
        <f>IF(ISNUMBER($B$537), IF($C734&lt;&gt;"", IF('Cost Inputs'!$L$149="Y", $E734, IF('Cost Inputs'!$L$149="N", IF(AND(ISNUMBER('Cost Inputs'!$M$149), OR('Cost Inputs'!$M$149=3)), $E734, ""),"")),""),"")</f>
        <v/>
      </c>
      <c r="AA734" s="93" t="str">
        <f>IF(ISNUMBER($B$537), IF($C734&lt;&gt;"", IF('Cost Inputs'!$L$149="Y", $E734, IF('Cost Inputs'!$L$149="N", IF(AND(ISNUMBER('Cost Inputs'!$M$149), OR('Cost Inputs'!$M$149=2, 'Cost Inputs'!$M$149=4)), $E734, ""),"")),""),"")</f>
        <v/>
      </c>
      <c r="AB734" s="93" t="str">
        <f>IF(ISNUMBER($B$537), IF($C734&lt;&gt;"", IF('Cost Inputs'!$L$149="Y", $E734, IF('Cost Inputs'!$L$149="N", IF(AND(ISNUMBER('Cost Inputs'!$M$149), OR('Cost Inputs'!$M$149=2,'Cost Inputs'!$M$149=5)), $E734, ""),"")),""),"")</f>
        <v/>
      </c>
      <c r="AC734" s="93" t="str">
        <f>IF(ISNUMBER($B$537), IF($C734&lt;&gt;"", IF('Cost Inputs'!$L$149="Y", $E734, IF('Cost Inputs'!$L$149="N", IF(AND(ISNUMBER('Cost Inputs'!$M$149), OR('Cost Inputs'!$M$149=2,'Cost Inputs'!$M$149=3,'Cost Inputs'!$M$149=6)), $E734, ""),"")),""),"")</f>
        <v/>
      </c>
      <c r="AD734" s="93" t="str">
        <f>IF(ISNUMBER($B$537), IF($C734&lt;&gt;"", IF('Cost Inputs'!$L$149="Y", $E734, IF('Cost Inputs'!$L$149="N", IF(AND(ISNUMBER('Cost Inputs'!$M$149), OR('Cost Inputs'!$M$149=2,'Cost Inputs'!$M$149=7)), $E734, ""),"")),""),"")</f>
        <v/>
      </c>
      <c r="AE734" s="93" t="str">
        <f>IF(ISNUMBER($B$537), IF($C734&lt;&gt;"", IF('Cost Inputs'!$L$149="Y", $E734, IF('Cost Inputs'!$L$149="N", IF(AND(ISNUMBER('Cost Inputs'!$M$149), OR('Cost Inputs'!$M$149=2,'Cost Inputs'!$M$149=4,'Cost Inputs'!$M$149=8)), $E734, ""),"")),""),"")</f>
        <v/>
      </c>
      <c r="AF734" s="93" t="str">
        <f>IF(ISNUMBER($B$537), IF($C734&lt;&gt;"", IF('Cost Inputs'!$L$149="Y", $E734, IF('Cost Inputs'!$L$149="N", IF(AND(ISNUMBER('Cost Inputs'!$M$149), OR('Cost Inputs'!$M$149=2,'Cost Inputs'!$M$149=3,'Cost Inputs'!$M$149=9)), $E734, ""),"")),""),"")</f>
        <v/>
      </c>
    </row>
    <row r="735" spans="1:32" x14ac:dyDescent="0.25">
      <c r="A735" s="518"/>
      <c r="B735" s="504"/>
      <c r="C735" s="110" t="str">
        <f>IF(ISNUMBER(B731), _5_4_0, "")</f>
        <v/>
      </c>
      <c r="D735" s="94" t="str">
        <f>IF(AND(C735&lt;&gt;"", 'Cost Inputs'!$G$150&lt;&gt;""), 'Cost Inputs'!$G$150, "")</f>
        <v/>
      </c>
      <c r="E735" s="94" t="str">
        <f>IF(AND(C735&lt;&gt;"", 'Cost Inputs'!$H$150&lt;&gt;""), 'Cost Inputs'!$H$150, "")</f>
        <v/>
      </c>
      <c r="F735" s="94" t="str">
        <f>IF(AND(C735&lt;&gt;"", 'Cost Inputs'!$I$150&lt;&gt;""), 'Cost Inputs'!$I$150, "")</f>
        <v/>
      </c>
      <c r="G735" s="102" t="str">
        <f t="shared" si="469"/>
        <v/>
      </c>
      <c r="H735" s="102" t="str">
        <f>IF(AND(C735&lt;&gt;"", 'Cost Inputs'!$J$150&lt;&gt;""), 'Cost Inputs'!$J$150, "")</f>
        <v/>
      </c>
      <c r="I735" s="102" t="str">
        <f t="shared" si="474"/>
        <v/>
      </c>
      <c r="J735" s="102" t="str">
        <f>IF(AND(C735&lt;&gt;"",('Cost Inputs'!$I$150+'Cost Inputs'!$J$150+'Cost Inputs'!$K$150)&gt;0), 'Cost Inputs'!$I$150+'Cost Inputs'!$J$150+'Cost Inputs'!$K$150, "")</f>
        <v/>
      </c>
      <c r="K735" s="102" t="str">
        <f t="shared" si="475"/>
        <v/>
      </c>
      <c r="L735" s="94"/>
      <c r="M735" s="103"/>
      <c r="W735" s="102" t="str">
        <f>IF(ISNUMBER($B$537), IF($C735&lt;&gt;"", IF('Cost Inputs'!$L$150="Y", $E735, IF('Cost Inputs'!$L$150="N", IF(ISNUMBER('Cost Inputs'!$M$150), $E735, ""),"")),""),"")</f>
        <v/>
      </c>
      <c r="X735" s="102" t="str">
        <f>IF(ISNUMBER($B$537), IF($C735&lt;&gt;"", IF('Cost Inputs'!$L$150="Y", $E735, IF('Cost Inputs'!$L$150="N", "", "")),""),"")</f>
        <v/>
      </c>
      <c r="Y735" s="102" t="str">
        <f>IF(ISNUMBER($B$537), IF($C735&lt;&gt;"", IF('Cost Inputs'!$L$150="Y", $E735, IF('Cost Inputs'!$L$150="N", IF(AND(ISNUMBER('Cost Inputs'!$M$150), OR('Cost Inputs'!$M$150=2)), $E735, ""),"")),""),"")</f>
        <v/>
      </c>
      <c r="Z735" s="102" t="str">
        <f>IF(ISNUMBER($B$537), IF($C735&lt;&gt;"", IF('Cost Inputs'!$L$150="Y", $E735, IF('Cost Inputs'!$L$150="N", IF(AND(ISNUMBER('Cost Inputs'!$M$150), OR('Cost Inputs'!$M$150=3)), $E735, ""),"")),""),"")</f>
        <v/>
      </c>
      <c r="AA735" s="102" t="str">
        <f>IF(ISNUMBER($B$537), IF($C735&lt;&gt;"", IF('Cost Inputs'!$L$150="Y", $E735, IF('Cost Inputs'!$L$150="N", IF(AND(ISNUMBER('Cost Inputs'!$M$150), OR('Cost Inputs'!$M$150=2, 'Cost Inputs'!$M$150=4)), $E735, ""),"")),""),"")</f>
        <v/>
      </c>
      <c r="AB735" s="102" t="str">
        <f>IF(ISNUMBER($B$537), IF($C735&lt;&gt;"", IF('Cost Inputs'!$L$150="Y", $E735, IF('Cost Inputs'!$L$150="N", IF(AND(ISNUMBER('Cost Inputs'!$M$150), OR('Cost Inputs'!$M$150=2,'Cost Inputs'!$M$150=5)), $E735, ""),"")),""),"")</f>
        <v/>
      </c>
      <c r="AC735" s="102" t="str">
        <f>IF(ISNUMBER($B$537), IF($C735&lt;&gt;"", IF('Cost Inputs'!$L$150="Y", $E735, IF('Cost Inputs'!$L$150="N", IF(AND(ISNUMBER('Cost Inputs'!$M$150), OR('Cost Inputs'!$M$150=2,'Cost Inputs'!$M$150=3,'Cost Inputs'!$M$150=6)), $E735, ""),"")),""),"")</f>
        <v/>
      </c>
      <c r="AD735" s="102" t="str">
        <f>IF(ISNUMBER($B$537), IF($C735&lt;&gt;"", IF('Cost Inputs'!$L$150="Y", $E735, IF('Cost Inputs'!$L$150="N", IF(AND(ISNUMBER('Cost Inputs'!$M$150), OR('Cost Inputs'!$M$150=2,'Cost Inputs'!$M$150=7)), $E735, ""),"")),""),"")</f>
        <v/>
      </c>
      <c r="AE735" s="102" t="str">
        <f>IF(ISNUMBER($B$537), IF($C735&lt;&gt;"", IF('Cost Inputs'!$L$150="Y", $E735, IF('Cost Inputs'!$L$150="N", IF(AND(ISNUMBER('Cost Inputs'!$M$150), OR('Cost Inputs'!$M$150=2,'Cost Inputs'!$M$150=4,'Cost Inputs'!$M$150=8)), $E735, ""),"")),""),"")</f>
        <v/>
      </c>
      <c r="AF735" s="102" t="str">
        <f>IF(ISNUMBER($B$537), IF($C735&lt;&gt;"", IF('Cost Inputs'!$L$150="Y", $E735, IF('Cost Inputs'!$L$150="N", IF(AND(ISNUMBER('Cost Inputs'!$M$150), OR('Cost Inputs'!$M$150=2,'Cost Inputs'!$M$150=3,'Cost Inputs'!$M$150=9)), $E735, ""),"")),""),"")</f>
        <v/>
      </c>
    </row>
    <row r="736" spans="1:32" x14ac:dyDescent="0.25">
      <c r="A736" s="518"/>
      <c r="B736" s="504"/>
      <c r="C736" s="104" t="str">
        <f>IF(AND(ISNUMBER(B731), OR('Cost Inputs'!$H$151&lt;&gt;"", 'Cost Inputs'!$I$151&lt;&gt;"", 'Cost Inputs'!$J$151&lt;&gt;"")), _5_4_1, "")</f>
        <v/>
      </c>
      <c r="D736" s="17" t="str">
        <f>IF(AND(C736&lt;&gt;"", 'Cost Inputs'!$G$151&lt;&gt;""), 'Cost Inputs'!$G$151, "")</f>
        <v/>
      </c>
      <c r="E736" s="17" t="str">
        <f>IF(AND(C736&lt;&gt;"", 'Cost Inputs'!$H$151&lt;&gt;""), 'Cost Inputs'!$H$151, "")</f>
        <v/>
      </c>
      <c r="F736" s="17" t="str">
        <f>IF(AND(C736&lt;&gt;"", 'Cost Inputs'!$I$151&lt;&gt;""), 'Cost Inputs'!$I$151, "")</f>
        <v/>
      </c>
      <c r="G736" s="105" t="str">
        <f t="shared" si="469"/>
        <v/>
      </c>
      <c r="H736" s="17" t="str">
        <f>IF(AND(C736&lt;&gt;"", 'Cost Inputs'!$J$151&lt;&gt;""), 'Cost Inputs'!$J$151, "")</f>
        <v/>
      </c>
      <c r="I736" s="17" t="str">
        <f t="shared" si="474"/>
        <v/>
      </c>
      <c r="J736" s="17" t="str">
        <f>IF(AND(C736&lt;&gt;"",('Cost Inputs'!$I$151+'Cost Inputs'!$J$151+'Cost Inputs'!$K$151)&gt;0), 'Cost Inputs'!$I$151+'Cost Inputs'!$J$151+'Cost Inputs'!$K$151, "")</f>
        <v/>
      </c>
      <c r="K736" s="17" t="str">
        <f t="shared" si="475"/>
        <v/>
      </c>
      <c r="M736" s="106"/>
      <c r="W736" s="17" t="str">
        <f>IF(ISNUMBER($B$537), IF($C736&lt;&gt;"", IF('Cost Inputs'!$L$151="Y", $E736, IF('Cost Inputs'!$L$151="N", IF(ISNUMBER('Cost Inputs'!$M$151), $E736, ""),"")),""),"")</f>
        <v/>
      </c>
      <c r="X736" s="17" t="str">
        <f>IF(ISNUMBER($B$537), IF($C736&lt;&gt;"", IF('Cost Inputs'!$L$151="Y", $E736, IF('Cost Inputs'!$L$151="N", "", "")),""),"")</f>
        <v/>
      </c>
      <c r="Y736" s="17" t="str">
        <f>IF(ISNUMBER($B$537), IF($C736&lt;&gt;"", IF('Cost Inputs'!$L$151="Y", $E736, IF('Cost Inputs'!$L$151="N", IF(AND(ISNUMBER('Cost Inputs'!$M$151), OR('Cost Inputs'!$M$151=2)), $E736, ""),"")),""),"")</f>
        <v/>
      </c>
      <c r="Z736" s="17" t="str">
        <f>IF(ISNUMBER($B$537), IF($C736&lt;&gt;"", IF('Cost Inputs'!$L$151="Y", $E736, IF('Cost Inputs'!$L$151="N", IF(AND(ISNUMBER('Cost Inputs'!$M$151), OR('Cost Inputs'!$M$151=3)), $E736, ""),"")),""),"")</f>
        <v/>
      </c>
      <c r="AA736" s="17" t="str">
        <f>IF(ISNUMBER($B$537), IF($C736&lt;&gt;"", IF('Cost Inputs'!$L$151="Y", $E736, IF('Cost Inputs'!$L$151="N", IF(AND(ISNUMBER('Cost Inputs'!$M$151), OR('Cost Inputs'!$M$151=2, 'Cost Inputs'!$M$151=4)), $E736, ""),"")),""),"")</f>
        <v/>
      </c>
      <c r="AB736" s="17" t="str">
        <f>IF(ISNUMBER($B$537), IF($C736&lt;&gt;"", IF('Cost Inputs'!$L$151="Y", $E736, IF('Cost Inputs'!$L$151="N", IF(AND(ISNUMBER('Cost Inputs'!$M$151), OR('Cost Inputs'!$M$151=2,'Cost Inputs'!$M$151=5)), $E736, ""),"")),""),"")</f>
        <v/>
      </c>
      <c r="AC736" s="17" t="str">
        <f>IF(ISNUMBER($B$537), IF($C736&lt;&gt;"", IF('Cost Inputs'!$L$151="Y", $E736, IF('Cost Inputs'!$L$151="N", IF(AND(ISNUMBER('Cost Inputs'!$M$151), OR('Cost Inputs'!$M$151=2,'Cost Inputs'!$M$151=3,'Cost Inputs'!$M$151=6)), $E736, ""),"")),""),"")</f>
        <v/>
      </c>
      <c r="AD736" s="17" t="str">
        <f>IF(ISNUMBER($B$537), IF($C736&lt;&gt;"", IF('Cost Inputs'!$L$151="Y", $E736, IF('Cost Inputs'!$L$151="N", IF(AND(ISNUMBER('Cost Inputs'!$M$151), OR('Cost Inputs'!$M$151=2,'Cost Inputs'!$M$151=7)), $E736, ""),"")),""),"")</f>
        <v/>
      </c>
      <c r="AE736" s="17" t="str">
        <f>IF(ISNUMBER($B$537), IF($C736&lt;&gt;"", IF('Cost Inputs'!$L$151="Y", $E736, IF('Cost Inputs'!$L$151="N", IF(AND(ISNUMBER('Cost Inputs'!$M$151), OR('Cost Inputs'!$M$151=2,'Cost Inputs'!$M$151=4,'Cost Inputs'!$M$151=8)), $E736, ""),"")),""),"")</f>
        <v/>
      </c>
      <c r="AF736" s="17" t="str">
        <f>IF(ISNUMBER($B$537), IF($C736&lt;&gt;"", IF('Cost Inputs'!$L$151="Y", $E736, IF('Cost Inputs'!$L$151="N", IF(AND(ISNUMBER('Cost Inputs'!$M$151), OR('Cost Inputs'!$M$151=2,'Cost Inputs'!$M$151=3,'Cost Inputs'!$M$151=9)), $E736, ""),"")),""),"")</f>
        <v/>
      </c>
    </row>
    <row r="737" spans="1:32" x14ac:dyDescent="0.25">
      <c r="A737" s="518"/>
      <c r="B737" s="504"/>
      <c r="C737" s="107" t="str">
        <f>IF(AND(ISNUMBER(B731), OR('Cost Inputs'!$H$152&lt;&gt;"", 'Cost Inputs'!$I$152&lt;&gt;"", 'Cost Inputs'!$J$152&lt;&gt;"")), _5_4_2, "")</f>
        <v/>
      </c>
      <c r="D737" s="93" t="str">
        <f>IF(AND(C737&lt;&gt;"", 'Cost Inputs'!$G$152&lt;&gt;""), 'Cost Inputs'!$G$152, "")</f>
        <v/>
      </c>
      <c r="E737" s="93" t="str">
        <f>IF(AND(C737&lt;&gt;"", 'Cost Inputs'!$H$152&lt;&gt;""), 'Cost Inputs'!$H$152, "")</f>
        <v/>
      </c>
      <c r="F737" s="93" t="str">
        <f>IF(AND(C737&lt;&gt;"", 'Cost Inputs'!$I$152&lt;&gt;""), 'Cost Inputs'!$I$152, "")</f>
        <v/>
      </c>
      <c r="G737" s="108" t="str">
        <f t="shared" si="469"/>
        <v/>
      </c>
      <c r="H737" s="93" t="str">
        <f>IF(AND(C737&lt;&gt;"", 'Cost Inputs'!$J$152&lt;&gt;""), 'Cost Inputs'!$J$152, "")</f>
        <v/>
      </c>
      <c r="I737" s="93" t="str">
        <f t="shared" si="474"/>
        <v/>
      </c>
      <c r="J737" s="93" t="str">
        <f>IF(AND(C737&lt;&gt;"",('Cost Inputs'!$I$152+'Cost Inputs'!$J$152+'Cost Inputs'!$K$152)&gt;0), 'Cost Inputs'!$I$152+'Cost Inputs'!$J$152+'Cost Inputs'!$K$152, "")</f>
        <v/>
      </c>
      <c r="K737" s="93" t="str">
        <f t="shared" si="475"/>
        <v/>
      </c>
      <c r="L737" s="93"/>
      <c r="M737" s="109"/>
      <c r="W737" s="93" t="str">
        <f>IF(ISNUMBER($B$537), IF($C737&lt;&gt;"", IF('Cost Inputs'!$L$152="Y", $E737, IF('Cost Inputs'!$L$152="N", IF(ISNUMBER('Cost Inputs'!$M$152), $E737, ""),"")),""),"")</f>
        <v/>
      </c>
      <c r="X737" s="93" t="str">
        <f>IF(ISNUMBER($B$537), IF($C737&lt;&gt;"", IF('Cost Inputs'!$L$152="Y", $E737, IF('Cost Inputs'!$L$152="N", "", "")),""),"")</f>
        <v/>
      </c>
      <c r="Y737" s="93" t="str">
        <f>IF(ISNUMBER($B$537), IF($C737&lt;&gt;"", IF('Cost Inputs'!$L$152="Y", $E737, IF('Cost Inputs'!$L$152="N", IF(AND(ISNUMBER('Cost Inputs'!$M$152), OR('Cost Inputs'!$M$152=2)), $E737, ""),"")),""),"")</f>
        <v/>
      </c>
      <c r="Z737" s="93" t="str">
        <f>IF(ISNUMBER($B$537), IF($C737&lt;&gt;"", IF('Cost Inputs'!$L$152="Y", $E737, IF('Cost Inputs'!$L$152="N", IF(AND(ISNUMBER('Cost Inputs'!$M$152), OR('Cost Inputs'!$M$152=3)), $E737, ""),"")),""),"")</f>
        <v/>
      </c>
      <c r="AA737" s="93" t="str">
        <f>IF(ISNUMBER($B$537), IF($C737&lt;&gt;"", IF('Cost Inputs'!$L$152="Y", $E737, IF('Cost Inputs'!$L$152="N", IF(AND(ISNUMBER('Cost Inputs'!$M$152), OR('Cost Inputs'!$M$152=2, 'Cost Inputs'!$M$152=4)), $E737, ""),"")),""),"")</f>
        <v/>
      </c>
      <c r="AB737" s="93" t="str">
        <f>IF(ISNUMBER($B$537), IF($C737&lt;&gt;"", IF('Cost Inputs'!$L$152="Y", $E737, IF('Cost Inputs'!$L$152="N", IF(AND(ISNUMBER('Cost Inputs'!$M$152), OR('Cost Inputs'!$M$152=2,'Cost Inputs'!$M$152=5)), $E737, ""),"")),""),"")</f>
        <v/>
      </c>
      <c r="AC737" s="93" t="str">
        <f>IF(ISNUMBER($B$537), IF($C737&lt;&gt;"", IF('Cost Inputs'!$L$152="Y", $E737, IF('Cost Inputs'!$L$152="N", IF(AND(ISNUMBER('Cost Inputs'!$M$152), OR('Cost Inputs'!$M$152=2,'Cost Inputs'!$M$152=3,'Cost Inputs'!$M$152=6)), $E737, ""),"")),""),"")</f>
        <v/>
      </c>
      <c r="AD737" s="93" t="str">
        <f>IF(ISNUMBER($B$537), IF($C737&lt;&gt;"", IF('Cost Inputs'!$L$152="Y", $E737, IF('Cost Inputs'!$L$152="N", IF(AND(ISNUMBER('Cost Inputs'!$M$152), OR('Cost Inputs'!$M$152=2,'Cost Inputs'!$M$152=7)), $E737, ""),"")),""),"")</f>
        <v/>
      </c>
      <c r="AE737" s="93" t="str">
        <f>IF(ISNUMBER($B$537), IF($C737&lt;&gt;"", IF('Cost Inputs'!$L$152="Y", $E737, IF('Cost Inputs'!$L$152="N", IF(AND(ISNUMBER('Cost Inputs'!$M$152), OR('Cost Inputs'!$M$152=2,'Cost Inputs'!$M$152=4,'Cost Inputs'!$M$152=8)), $E737, ""),"")),""),"")</f>
        <v/>
      </c>
      <c r="AF737" s="93" t="str">
        <f>IF(ISNUMBER($B$537), IF($C737&lt;&gt;"", IF('Cost Inputs'!$L$152="Y", $E737, IF('Cost Inputs'!$L$152="N", IF(AND(ISNUMBER('Cost Inputs'!$M$152), OR('Cost Inputs'!$M$152=2,'Cost Inputs'!$M$152=3,'Cost Inputs'!$M$152=9)), $E737, ""),"")),""),"")</f>
        <v/>
      </c>
    </row>
    <row r="738" spans="1:32" x14ac:dyDescent="0.25">
      <c r="A738" s="518"/>
      <c r="B738" s="504"/>
      <c r="C738" s="104" t="str">
        <f>IF(AND(ISNUMBER(B731), OR('Cost Inputs'!$H$153&lt;&gt;"", 'Cost Inputs'!$I$153&lt;&gt;"", 'Cost Inputs'!$J$153&lt;&gt;"")), _5_4_3, "")</f>
        <v/>
      </c>
      <c r="D738" s="17" t="str">
        <f>IF(AND(C738&lt;&gt;"", 'Cost Inputs'!$G$153&lt;&gt;""), 'Cost Inputs'!$G$153, "")</f>
        <v/>
      </c>
      <c r="E738" s="17" t="str">
        <f>IF(AND(C738&lt;&gt;"", 'Cost Inputs'!$H$153&lt;&gt;""), 'Cost Inputs'!$H$153, "")</f>
        <v/>
      </c>
      <c r="F738" s="17" t="str">
        <f>IF(AND(C738&lt;&gt;"", 'Cost Inputs'!$I$153&lt;&gt;""), 'Cost Inputs'!$I$153, "")</f>
        <v/>
      </c>
      <c r="G738" s="105" t="str">
        <f t="shared" si="469"/>
        <v/>
      </c>
      <c r="H738" s="17" t="str">
        <f>IF(AND(C738&lt;&gt;"", 'Cost Inputs'!$J$153&lt;&gt;""), 'Cost Inputs'!$J$153, "")</f>
        <v/>
      </c>
      <c r="I738" s="17" t="str">
        <f t="shared" si="474"/>
        <v/>
      </c>
      <c r="J738" s="17" t="str">
        <f>IF(AND(C738&lt;&gt;"",('Cost Inputs'!$I$153+'Cost Inputs'!$J$153+'Cost Inputs'!$K$153)&gt;0), 'Cost Inputs'!$I$153+'Cost Inputs'!$J$153+'Cost Inputs'!$K$153, "")</f>
        <v/>
      </c>
      <c r="K738" s="17" t="str">
        <f t="shared" si="475"/>
        <v/>
      </c>
      <c r="M738" s="106"/>
      <c r="W738" s="17" t="str">
        <f>IF(ISNUMBER($B$537), IF($C738&lt;&gt;"", IF('Cost Inputs'!$L$153="Y", $E738, IF('Cost Inputs'!$L$153="N", IF(ISNUMBER('Cost Inputs'!$M$153), $E738, ""),"")),""),"")</f>
        <v/>
      </c>
      <c r="X738" s="17" t="str">
        <f>IF(ISNUMBER($B$537), IF($C738&lt;&gt;"", IF('Cost Inputs'!$L$153="Y", $E738, IF('Cost Inputs'!$L$153="N", "", "")),""),"")</f>
        <v/>
      </c>
      <c r="Y738" s="17" t="str">
        <f>IF(ISNUMBER($B$537), IF($C738&lt;&gt;"", IF('Cost Inputs'!$L$153="Y", $E738, IF('Cost Inputs'!$L$153="N", IF(AND(ISNUMBER('Cost Inputs'!$M$153), OR('Cost Inputs'!$M$153=2)), $E738, ""),"")),""),"")</f>
        <v/>
      </c>
      <c r="Z738" s="17" t="str">
        <f>IF(ISNUMBER($B$537), IF($C738&lt;&gt;"", IF('Cost Inputs'!$L$153="Y", $E738, IF('Cost Inputs'!$L$153="N", IF(AND(ISNUMBER('Cost Inputs'!$M$153), OR('Cost Inputs'!$M$153=3)), $E738, ""),"")),""),"")</f>
        <v/>
      </c>
      <c r="AA738" s="17" t="str">
        <f>IF(ISNUMBER($B$537), IF($C738&lt;&gt;"", IF('Cost Inputs'!$L$153="Y", $E738, IF('Cost Inputs'!$L$153="N", IF(AND(ISNUMBER('Cost Inputs'!$M$153), OR('Cost Inputs'!$M$153=2, 'Cost Inputs'!$M$153=4)), $E738, ""),"")),""),"")</f>
        <v/>
      </c>
      <c r="AB738" s="17" t="str">
        <f>IF(ISNUMBER($B$537), IF($C738&lt;&gt;"", IF('Cost Inputs'!$L$153="Y", $E738, IF('Cost Inputs'!$L$153="N", IF(AND(ISNUMBER('Cost Inputs'!$M$153), OR('Cost Inputs'!$M$153=2,'Cost Inputs'!$M$153=5)), $E738, ""),"")),""),"")</f>
        <v/>
      </c>
      <c r="AC738" s="17" t="str">
        <f>IF(ISNUMBER($B$537), IF($C738&lt;&gt;"", IF('Cost Inputs'!$L$153="Y", $E738, IF('Cost Inputs'!$L$153="N", IF(AND(ISNUMBER('Cost Inputs'!$M$153), OR('Cost Inputs'!$M$153=2,'Cost Inputs'!$M$153=3,'Cost Inputs'!$M$153=6)), $E738, ""),"")),""),"")</f>
        <v/>
      </c>
      <c r="AD738" s="17" t="str">
        <f>IF(ISNUMBER($B$537), IF($C738&lt;&gt;"", IF('Cost Inputs'!$L$153="Y", $E738, IF('Cost Inputs'!$L$153="N", IF(AND(ISNUMBER('Cost Inputs'!$M$153), OR('Cost Inputs'!$M$153=2,'Cost Inputs'!$M$153=7)), $E738, ""),"")),""),"")</f>
        <v/>
      </c>
      <c r="AE738" s="17" t="str">
        <f>IF(ISNUMBER($B$537), IF($C738&lt;&gt;"", IF('Cost Inputs'!$L$153="Y", $E738, IF('Cost Inputs'!$L$153="N", IF(AND(ISNUMBER('Cost Inputs'!$M$153), OR('Cost Inputs'!$M$153=2,'Cost Inputs'!$M$153=4,'Cost Inputs'!$M$153=8)), $E738, ""),"")),""),"")</f>
        <v/>
      </c>
      <c r="AF738" s="17" t="str">
        <f>IF(ISNUMBER($B$537), IF($C738&lt;&gt;"", IF('Cost Inputs'!$L$153="Y", $E738, IF('Cost Inputs'!$L$153="N", IF(AND(ISNUMBER('Cost Inputs'!$M$153), OR('Cost Inputs'!$M$153=2,'Cost Inputs'!$M$153=3,'Cost Inputs'!$M$153=9)), $E738, ""),"")),""),"")</f>
        <v/>
      </c>
    </row>
    <row r="739" spans="1:32" x14ac:dyDescent="0.25">
      <c r="A739" s="518"/>
      <c r="B739" s="504"/>
      <c r="C739" s="107" t="str">
        <f>IF(AND(ISNUMBER(B731), OR('Cost Inputs'!$H$154&lt;&gt;"", 'Cost Inputs'!$I$154&lt;&gt;"", 'Cost Inputs'!$J$154&lt;&gt;"")), _5_4_4, "")</f>
        <v/>
      </c>
      <c r="D739" s="93" t="str">
        <f>IF(AND(C739&lt;&gt;"", 'Cost Inputs'!$G$154&lt;&gt;""), 'Cost Inputs'!$G$154, "")</f>
        <v/>
      </c>
      <c r="E739" s="93" t="str">
        <f>IF(AND(C739&lt;&gt;"", 'Cost Inputs'!$H$154&lt;&gt;""), 'Cost Inputs'!$H$154, "")</f>
        <v/>
      </c>
      <c r="F739" s="93" t="str">
        <f>IF(AND(C739&lt;&gt;"", 'Cost Inputs'!$I$154&lt;&gt;""), 'Cost Inputs'!$I$154, "")</f>
        <v/>
      </c>
      <c r="G739" s="108" t="str">
        <f t="shared" ref="G739:G802" si="476">IF(AND($E739&lt;&gt;"", $E739&gt;0, F739&lt;&gt;""), F739/$E739, "")</f>
        <v/>
      </c>
      <c r="H739" s="93" t="str">
        <f>IF(AND(C739&lt;&gt;"", 'Cost Inputs'!$J$154&lt;&gt;""), 'Cost Inputs'!$J$154, "")</f>
        <v/>
      </c>
      <c r="I739" s="93" t="str">
        <f t="shared" si="474"/>
        <v/>
      </c>
      <c r="J739" s="93" t="str">
        <f>IF(AND(C739&lt;&gt;"",('Cost Inputs'!$I$154+'Cost Inputs'!$J$154+'Cost Inputs'!$K$154)&gt;0), 'Cost Inputs'!$I$154+'Cost Inputs'!$J$154+'Cost Inputs'!$K$154, "")</f>
        <v/>
      </c>
      <c r="K739" s="93" t="str">
        <f t="shared" si="475"/>
        <v/>
      </c>
      <c r="L739" s="93"/>
      <c r="M739" s="109"/>
      <c r="W739" s="93" t="str">
        <f>IF(ISNUMBER($B$537), IF($C739&lt;&gt;"", IF('Cost Inputs'!$L$154="Y", $E739, IF('Cost Inputs'!$L$154="N", IF(ISNUMBER('Cost Inputs'!$M$154), $E739, ""),"")),""),"")</f>
        <v/>
      </c>
      <c r="X739" s="93" t="str">
        <f>IF(ISNUMBER($B$537), IF($C739&lt;&gt;"", IF('Cost Inputs'!$L$154="Y", $E739, IF('Cost Inputs'!$L$154="N", "", "")),""),"")</f>
        <v/>
      </c>
      <c r="Y739" s="93" t="str">
        <f>IF(ISNUMBER($B$537), IF($C739&lt;&gt;"", IF('Cost Inputs'!$L$154="Y", $E739, IF('Cost Inputs'!$L$154="N", IF(AND(ISNUMBER('Cost Inputs'!$M$154), OR('Cost Inputs'!$M$154=2)), $E739, ""),"")),""),"")</f>
        <v/>
      </c>
      <c r="Z739" s="93" t="str">
        <f>IF(ISNUMBER($B$537), IF($C739&lt;&gt;"", IF('Cost Inputs'!$L$154="Y", $E739, IF('Cost Inputs'!$L$154="N", IF(AND(ISNUMBER('Cost Inputs'!$M$154), OR('Cost Inputs'!$M$154=3)), $E739, ""),"")),""),"")</f>
        <v/>
      </c>
      <c r="AA739" s="93" t="str">
        <f>IF(ISNUMBER($B$537), IF($C739&lt;&gt;"", IF('Cost Inputs'!$L$154="Y", $E739, IF('Cost Inputs'!$L$154="N", IF(AND(ISNUMBER('Cost Inputs'!$M$154), OR('Cost Inputs'!$M$154=2, 'Cost Inputs'!$M$154=4)), $E739, ""),"")),""),"")</f>
        <v/>
      </c>
      <c r="AB739" s="93" t="str">
        <f>IF(ISNUMBER($B$537), IF($C739&lt;&gt;"", IF('Cost Inputs'!$L$154="Y", $E739, IF('Cost Inputs'!$L$154="N", IF(AND(ISNUMBER('Cost Inputs'!$M$154), OR('Cost Inputs'!$M$154=2,'Cost Inputs'!$M$154=5)), $E739, ""),"")),""),"")</f>
        <v/>
      </c>
      <c r="AC739" s="93" t="str">
        <f>IF(ISNUMBER($B$537), IF($C739&lt;&gt;"", IF('Cost Inputs'!$L$154="Y", $E739, IF('Cost Inputs'!$L$154="N", IF(AND(ISNUMBER('Cost Inputs'!$M$154), OR('Cost Inputs'!$M$154=2,'Cost Inputs'!$M$154=3,'Cost Inputs'!$M$154=6)), $E739, ""),"")),""),"")</f>
        <v/>
      </c>
      <c r="AD739" s="93" t="str">
        <f>IF(ISNUMBER($B$537), IF($C739&lt;&gt;"", IF('Cost Inputs'!$L$154="Y", $E739, IF('Cost Inputs'!$L$154="N", IF(AND(ISNUMBER('Cost Inputs'!$M$154), OR('Cost Inputs'!$M$154=2,'Cost Inputs'!$M$154=7)), $E739, ""),"")),""),"")</f>
        <v/>
      </c>
      <c r="AE739" s="93" t="str">
        <f>IF(ISNUMBER($B$537), IF($C739&lt;&gt;"", IF('Cost Inputs'!$L$154="Y", $E739, IF('Cost Inputs'!$L$154="N", IF(AND(ISNUMBER('Cost Inputs'!$M$154), OR('Cost Inputs'!$M$154=2,'Cost Inputs'!$M$154=4,'Cost Inputs'!$M$154=8)), $E739, ""),"")),""),"")</f>
        <v/>
      </c>
      <c r="AF739" s="93" t="str">
        <f>IF(ISNUMBER($B$537), IF($C739&lt;&gt;"", IF('Cost Inputs'!$L$154="Y", $E739, IF('Cost Inputs'!$L$154="N", IF(AND(ISNUMBER('Cost Inputs'!$M$154), OR('Cost Inputs'!$M$154=2,'Cost Inputs'!$M$154=3,'Cost Inputs'!$M$154=9)), $E739, ""),"")),""),"")</f>
        <v/>
      </c>
    </row>
    <row r="740" spans="1:32" x14ac:dyDescent="0.25">
      <c r="A740" s="518"/>
      <c r="B740" s="504"/>
      <c r="C740" s="104" t="str">
        <f>IF(AND(ISNUMBER(B731), OR('Cost Inputs'!$H$155&lt;&gt;"", 'Cost Inputs'!$I$155&lt;&gt;"", 'Cost Inputs'!$J$155&lt;&gt;"")), _5_4_5, "")</f>
        <v/>
      </c>
      <c r="D740" s="17" t="str">
        <f>IF(AND(C740&lt;&gt;"", 'Cost Inputs'!$G$155&lt;&gt;""), 'Cost Inputs'!$G$155, "")</f>
        <v/>
      </c>
      <c r="E740" s="17" t="str">
        <f>IF(AND(C740&lt;&gt;"", 'Cost Inputs'!$H$155&lt;&gt;""), 'Cost Inputs'!$H$155, "")</f>
        <v/>
      </c>
      <c r="F740" s="17" t="str">
        <f>IF(AND(C740&lt;&gt;"", 'Cost Inputs'!$I$155&lt;&gt;""), 'Cost Inputs'!$I$155, "")</f>
        <v/>
      </c>
      <c r="G740" s="105" t="str">
        <f t="shared" si="476"/>
        <v/>
      </c>
      <c r="H740" s="17" t="str">
        <f>IF(AND(C740&lt;&gt;"", 'Cost Inputs'!$J$155&lt;&gt;""), 'Cost Inputs'!$J$155, "")</f>
        <v/>
      </c>
      <c r="I740" s="17" t="str">
        <f t="shared" si="474"/>
        <v/>
      </c>
      <c r="J740" s="17" t="str">
        <f>IF(AND(C740&lt;&gt;"",('Cost Inputs'!$I$155+'Cost Inputs'!$J$155+'Cost Inputs'!$K$155)&gt;0), 'Cost Inputs'!$I$155+'Cost Inputs'!$J$155+'Cost Inputs'!$K$155, "")</f>
        <v/>
      </c>
      <c r="K740" s="17" t="str">
        <f t="shared" si="475"/>
        <v/>
      </c>
      <c r="M740" s="106"/>
      <c r="W740" s="17" t="str">
        <f>IF(ISNUMBER($B$537), IF($C740&lt;&gt;"", IF('Cost Inputs'!$L$155="Y", $E740, IF('Cost Inputs'!$L$155="N", IF(ISNUMBER('Cost Inputs'!$M$155), $E740, ""),"")),""),"")</f>
        <v/>
      </c>
      <c r="X740" s="17" t="str">
        <f>IF(ISNUMBER($B$537), IF($C740&lt;&gt;"", IF('Cost Inputs'!$L$155="Y", $E740, IF('Cost Inputs'!$L$155="N", "", "")),""),"")</f>
        <v/>
      </c>
      <c r="Y740" s="17" t="str">
        <f>IF(ISNUMBER($B$537), IF($C740&lt;&gt;"", IF('Cost Inputs'!$L$155="Y", $E740, IF('Cost Inputs'!$L$155="N", IF(AND(ISNUMBER('Cost Inputs'!$M$155), OR('Cost Inputs'!$M$155=2)), $E740, ""),"")),""),"")</f>
        <v/>
      </c>
      <c r="Z740" s="17" t="str">
        <f>IF(ISNUMBER($B$537), IF($C740&lt;&gt;"", IF('Cost Inputs'!$L$155="Y", $E740, IF('Cost Inputs'!$L$155="N", IF(AND(ISNUMBER('Cost Inputs'!$M$155), OR('Cost Inputs'!$M$155=3)), $E740, ""),"")),""),"")</f>
        <v/>
      </c>
      <c r="AA740" s="17" t="str">
        <f>IF(ISNUMBER($B$537), IF($C740&lt;&gt;"", IF('Cost Inputs'!$L$155="Y", $E740, IF('Cost Inputs'!$L$155="N", IF(AND(ISNUMBER('Cost Inputs'!$M$155), OR('Cost Inputs'!$M$155=2, 'Cost Inputs'!$M$155=4)), $E740, ""),"")),""),"")</f>
        <v/>
      </c>
      <c r="AB740" s="17" t="str">
        <f>IF(ISNUMBER($B$537), IF($C740&lt;&gt;"", IF('Cost Inputs'!$L$155="Y", $E740, IF('Cost Inputs'!$L$155="N", IF(AND(ISNUMBER('Cost Inputs'!$M$155), OR('Cost Inputs'!$M$155=2,'Cost Inputs'!$M$155=5)), $E740, ""),"")),""),"")</f>
        <v/>
      </c>
      <c r="AC740" s="17" t="str">
        <f>IF(ISNUMBER($B$537), IF($C740&lt;&gt;"", IF('Cost Inputs'!$L$155="Y", $E740, IF('Cost Inputs'!$L$155="N", IF(AND(ISNUMBER('Cost Inputs'!$M$155), OR('Cost Inputs'!$M$155=2,'Cost Inputs'!$M$155=3,'Cost Inputs'!$M$155=6)), $E740, ""),"")),""),"")</f>
        <v/>
      </c>
      <c r="AD740" s="17" t="str">
        <f>IF(ISNUMBER($B$537), IF($C740&lt;&gt;"", IF('Cost Inputs'!$L$155="Y", $E740, IF('Cost Inputs'!$L$155="N", IF(AND(ISNUMBER('Cost Inputs'!$M$155), OR('Cost Inputs'!$M$155=2,'Cost Inputs'!$M$155=7)), $E740, ""),"")),""),"")</f>
        <v/>
      </c>
      <c r="AE740" s="17" t="str">
        <f>IF(ISNUMBER($B$537), IF($C740&lt;&gt;"", IF('Cost Inputs'!$L$155="Y", $E740, IF('Cost Inputs'!$L$155="N", IF(AND(ISNUMBER('Cost Inputs'!$M$155), OR('Cost Inputs'!$M$155=2,'Cost Inputs'!$M$155=4,'Cost Inputs'!$M$155=8)), $E740, ""),"")),""),"")</f>
        <v/>
      </c>
      <c r="AF740" s="17" t="str">
        <f>IF(ISNUMBER($B$537), IF($C740&lt;&gt;"", IF('Cost Inputs'!$L$155="Y", $E740, IF('Cost Inputs'!$L$155="N", IF(AND(ISNUMBER('Cost Inputs'!$M$155), OR('Cost Inputs'!$M$155=2,'Cost Inputs'!$M$155=3,'Cost Inputs'!$M$155=9)), $E740, ""),"")),""),"")</f>
        <v/>
      </c>
    </row>
    <row r="741" spans="1:32" x14ac:dyDescent="0.25">
      <c r="A741" s="518"/>
      <c r="B741" s="504"/>
      <c r="C741" s="107" t="str">
        <f>IF(AND(ISNUMBER(B731), OR('Cost Inputs'!$H$156&lt;&gt;"", 'Cost Inputs'!$I$156&lt;&gt;"", 'Cost Inputs'!$J$156&lt;&gt;"")), _5_4_6, "")</f>
        <v/>
      </c>
      <c r="D741" s="93" t="str">
        <f>IF(AND(C741&lt;&gt;"", 'Cost Inputs'!$G$156&lt;&gt;""), 'Cost Inputs'!$G$156, "")</f>
        <v/>
      </c>
      <c r="E741" s="93" t="str">
        <f>IF(AND(C741&lt;&gt;"", 'Cost Inputs'!$H$156&lt;&gt;""), 'Cost Inputs'!$H$156, "")</f>
        <v/>
      </c>
      <c r="F741" s="93" t="str">
        <f>IF(AND(C741&lt;&gt;"", 'Cost Inputs'!$I$156&lt;&gt;""), 'Cost Inputs'!$I$156, "")</f>
        <v/>
      </c>
      <c r="G741" s="108" t="str">
        <f t="shared" si="476"/>
        <v/>
      </c>
      <c r="H741" s="93" t="str">
        <f>IF(AND(C741&lt;&gt;"", 'Cost Inputs'!$J$156&lt;&gt;""), 'Cost Inputs'!$J$16, "")</f>
        <v/>
      </c>
      <c r="I741" s="93" t="str">
        <f t="shared" si="474"/>
        <v/>
      </c>
      <c r="J741" s="93" t="str">
        <f>IF(AND(C741&lt;&gt;"",('Cost Inputs'!$I$156+'Cost Inputs'!$J$156+'Cost Inputs'!$K$156)&gt;0), 'Cost Inputs'!$I$156+'Cost Inputs'!$J$156+'Cost Inputs'!$K$156, "")</f>
        <v/>
      </c>
      <c r="K741" s="93" t="str">
        <f t="shared" si="475"/>
        <v/>
      </c>
      <c r="L741" s="93"/>
      <c r="M741" s="109"/>
      <c r="W741" s="93" t="str">
        <f>IF(ISNUMBER($B$537), IF($C741&lt;&gt;"", IF('Cost Inputs'!$L$156="Y", $E741, IF('Cost Inputs'!$L$156="N", IF(ISNUMBER('Cost Inputs'!$M$156), $E741, ""),"")),""),"")</f>
        <v/>
      </c>
      <c r="X741" s="93" t="str">
        <f>IF(ISNUMBER($B$537), IF($C741&lt;&gt;"", IF('Cost Inputs'!$L$156="Y", $E741, IF('Cost Inputs'!$L$156="N", "", "")),""),"")</f>
        <v/>
      </c>
      <c r="Y741" s="93" t="str">
        <f>IF(ISNUMBER($B$537), IF($C741&lt;&gt;"", IF('Cost Inputs'!$L$156="Y", $E741, IF('Cost Inputs'!$L$156="N", IF(AND(ISNUMBER('Cost Inputs'!$M$156), OR('Cost Inputs'!$M$156=2)), $E741, ""),"")),""),"")</f>
        <v/>
      </c>
      <c r="Z741" s="93" t="str">
        <f>IF(ISNUMBER($B$537), IF($C741&lt;&gt;"", IF('Cost Inputs'!$L$156="Y", $E741, IF('Cost Inputs'!$L$156="N", IF(AND(ISNUMBER('Cost Inputs'!$M$156), OR('Cost Inputs'!$M$156=3)), $E741, ""),"")),""),"")</f>
        <v/>
      </c>
      <c r="AA741" s="93" t="str">
        <f>IF(ISNUMBER($B$537), IF($C741&lt;&gt;"", IF('Cost Inputs'!$L$156="Y", $E741, IF('Cost Inputs'!$L$156="N", IF(AND(ISNUMBER('Cost Inputs'!$M$156), OR('Cost Inputs'!$M$156=2, 'Cost Inputs'!$M$156=4)), $E741, ""),"")),""),"")</f>
        <v/>
      </c>
      <c r="AB741" s="93" t="str">
        <f>IF(ISNUMBER($B$537), IF($C741&lt;&gt;"", IF('Cost Inputs'!$L$156="Y", $E741, IF('Cost Inputs'!$L$156="N", IF(AND(ISNUMBER('Cost Inputs'!$M$156), OR('Cost Inputs'!$M$156=2,'Cost Inputs'!$M$156=5)), $E741, ""),"")),""),"")</f>
        <v/>
      </c>
      <c r="AC741" s="93" t="str">
        <f>IF(ISNUMBER($B$537), IF($C741&lt;&gt;"", IF('Cost Inputs'!$L$156="Y", $E741, IF('Cost Inputs'!$L$156="N", IF(AND(ISNUMBER('Cost Inputs'!$M$156), OR('Cost Inputs'!$M$156=2,'Cost Inputs'!$M$156=3,'Cost Inputs'!$M$156=6)), $E741, ""),"")),""),"")</f>
        <v/>
      </c>
      <c r="AD741" s="93" t="str">
        <f>IF(ISNUMBER($B$537), IF($C741&lt;&gt;"", IF('Cost Inputs'!$L$156="Y", $E741, IF('Cost Inputs'!$L$156="N", IF(AND(ISNUMBER('Cost Inputs'!$M$156), OR('Cost Inputs'!$M$156=2,'Cost Inputs'!$M$156=7)), $E741, ""),"")),""),"")</f>
        <v/>
      </c>
      <c r="AE741" s="93" t="str">
        <f>IF(ISNUMBER($B$537), IF($C741&lt;&gt;"", IF('Cost Inputs'!$L$156="Y", $E741, IF('Cost Inputs'!$L$156="N", IF(AND(ISNUMBER('Cost Inputs'!$M$156), OR('Cost Inputs'!$M$156=2,'Cost Inputs'!$M$156=4,'Cost Inputs'!$M$156=8)), $E741, ""),"")),""),"")</f>
        <v/>
      </c>
      <c r="AF741" s="93" t="str">
        <f>IF(ISNUMBER($B$537), IF($C741&lt;&gt;"", IF('Cost Inputs'!$L$156="Y", $E741, IF('Cost Inputs'!$L$156="N", IF(AND(ISNUMBER('Cost Inputs'!$M$156), OR('Cost Inputs'!$M$156=2,'Cost Inputs'!$M$156=3,'Cost Inputs'!$M$156=9)), $E741, ""),"")),""),"")</f>
        <v/>
      </c>
    </row>
    <row r="742" spans="1:32" x14ac:dyDescent="0.25">
      <c r="A742" s="518"/>
      <c r="B742" s="504"/>
      <c r="C742" s="521" t="str">
        <f>IF(AND(B731&lt;&gt;"",ISNUMBER(B731),ISNUMBER(Stage3EvaluationBegins)),IF((INDEX(ProgramYearStage3,MATCH(Stage3EvaluationBegins,Years_in_Stage3,0)))=B731,_5_5_0,IF(AND(B731&lt;&gt;"",C720&lt;&gt;""),_5_5_0,IF(AND(B731&lt;&gt;"",ISNUMBER(B731),OR(Stage3EvaluationBegins=0,Stage3EvaluationBegins="")),"",""))),"")</f>
        <v/>
      </c>
      <c r="D742" s="94" t="str">
        <f>IF(AND(C742&lt;&gt;"", 'Cost Inputs'!$G$157&lt;&gt;""), 'Cost Inputs'!$G$157, "")</f>
        <v/>
      </c>
      <c r="E742" s="94" t="str">
        <f>IF(AND(C742&lt;&gt;"", 'Cost Inputs'!$H$157&lt;&gt;""), 'Cost Inputs'!$H$157, "")</f>
        <v/>
      </c>
      <c r="F742" s="492" t="str">
        <f>IF(AND(C742&lt;&gt;"", 'Cost Inputs'!$I$157&lt;&gt;""), 'Cost Inputs'!$I$157, "")</f>
        <v/>
      </c>
      <c r="G742" s="102" t="str">
        <f t="shared" si="476"/>
        <v/>
      </c>
      <c r="H742" s="492" t="str">
        <f>IF(AND(C742&lt;&gt;"", 'Cost Inputs'!$J$157&lt;&gt;""), 'Cost Inputs'!$J$157, "")</f>
        <v/>
      </c>
      <c r="I742" s="102" t="str">
        <f>IF($C742&lt;&gt;"",IF(AND($E742&lt;&gt;"",H742&lt;&gt;""), H742/$E742, 0),"")</f>
        <v/>
      </c>
      <c r="J742" s="492" t="str">
        <f>IF(AND(C742&lt;&gt;"",('Cost Inputs'!$I$157+'Cost Inputs'!$J$157+'Cost Inputs'!$K$157)&gt;0), 'Cost Inputs'!$I$157+'Cost Inputs'!$J$157+'Cost Inputs'!$K$157, "")</f>
        <v/>
      </c>
      <c r="K742" s="102" t="str">
        <f>IF($C742&lt;&gt;"",IF(AND($E742&lt;&gt;"",J742&lt;&gt;""), J742/$E742, 0),"")</f>
        <v/>
      </c>
      <c r="L742" s="94"/>
      <c r="M742" s="103"/>
      <c r="W742" s="492" t="str">
        <f>IF(ISNUMBER($B$537), IF($C742&lt;&gt;"", IF('Cost Inputs'!$L$157="Y", $E742, IF('Cost Inputs'!$L$157="N", IF(ISNUMBER('Cost Inputs'!$M$157), $E742, ""),"")),""),"")</f>
        <v/>
      </c>
      <c r="X742" s="492" t="str">
        <f>IF(ISNUMBER($B$537), IF($C742&lt;&gt;"", IF('Cost Inputs'!$L$157="Y", $E742, IF('Cost Inputs'!$L$157="N", "", "")),""),"")</f>
        <v/>
      </c>
      <c r="Y742" s="492" t="str">
        <f>IF(ISNUMBER($B$537), IF($C742&lt;&gt;"", IF('Cost Inputs'!$L$157="Y", $E742, IF('Cost Inputs'!$L$157="N", IF(AND(ISNUMBER('Cost Inputs'!$M$157), OR('Cost Inputs'!$M$157=2)), $E742, ""),"")),""),"")</f>
        <v/>
      </c>
      <c r="Z742" s="492" t="str">
        <f>IF(ISNUMBER($B$537), IF($C742&lt;&gt;"", IF('Cost Inputs'!$L$157="Y", $E742, IF('Cost Inputs'!$L$157="N", IF(AND(ISNUMBER('Cost Inputs'!$M$157), OR('Cost Inputs'!$M$157=3)), $E742, ""),"")),""),"")</f>
        <v/>
      </c>
      <c r="AA742" s="492" t="str">
        <f>IF(ISNUMBER($B$537), IF($C742&lt;&gt;"", IF('Cost Inputs'!$L$157="Y", $E742, IF('Cost Inputs'!$L$157="N", IF(AND(ISNUMBER('Cost Inputs'!$M$157), OR('Cost Inputs'!$M$157=2, 'Cost Inputs'!$M$157=4)), $E742, ""),"")),""),"")</f>
        <v/>
      </c>
      <c r="AB742" s="492" t="str">
        <f>IF(ISNUMBER($B$537), IF($C742&lt;&gt;"", IF('Cost Inputs'!$L$157="Y", $E742, IF('Cost Inputs'!$L$157="N", IF(AND(ISNUMBER('Cost Inputs'!$M$157), OR('Cost Inputs'!$M$157=2,'Cost Inputs'!$M$157=5)), $E742, ""),"")),""),"")</f>
        <v/>
      </c>
      <c r="AC742" s="492" t="str">
        <f>IF(ISNUMBER($B$537), IF($C742&lt;&gt;"", IF('Cost Inputs'!$L$157="Y", $E742, IF('Cost Inputs'!$L$157="N", IF(AND(ISNUMBER('Cost Inputs'!$M$157), OR('Cost Inputs'!$M$157=2,'Cost Inputs'!$M$157=3,'Cost Inputs'!$M$157=6)), $E742, ""),"")),""),"")</f>
        <v/>
      </c>
      <c r="AD742" s="492" t="str">
        <f>IF(ISNUMBER($B$537), IF($C742&lt;&gt;"", IF('Cost Inputs'!$L$157="Y", $E742, IF('Cost Inputs'!$L$157="N", IF(AND(ISNUMBER('Cost Inputs'!$M$157), OR('Cost Inputs'!$M$157=2,'Cost Inputs'!$M$157=7)), $E742, ""),"")),""),"")</f>
        <v/>
      </c>
      <c r="AE742" s="492" t="str">
        <f>IF(ISNUMBER($B$537), IF($C742&lt;&gt;"", IF('Cost Inputs'!$L$157="Y", $E742, IF('Cost Inputs'!$L$157="N", IF(AND(ISNUMBER('Cost Inputs'!$M$157), OR('Cost Inputs'!$M$157=2,'Cost Inputs'!$M$157=4,'Cost Inputs'!$M$157=8)), $E742, ""),"")),""),"")</f>
        <v/>
      </c>
      <c r="AF742" s="492" t="str">
        <f>IF(ISNUMBER($B$537), IF($C742&lt;&gt;"", IF('Cost Inputs'!$L$157="Y", $E742, IF('Cost Inputs'!$L$157="N", IF(AND(ISNUMBER('Cost Inputs'!$M$157), OR('Cost Inputs'!$M$157=2,'Cost Inputs'!$M$157=3,'Cost Inputs'!$M$157=9)), $E742, ""),"")),""),"")</f>
        <v/>
      </c>
    </row>
    <row r="743" spans="1:32" x14ac:dyDescent="0.25">
      <c r="A743" s="518"/>
      <c r="B743" s="504"/>
      <c r="C743" s="521"/>
      <c r="D743" s="94" t="str">
        <f>IF(AND(C742&lt;&gt;"", 'Cost Inputs'!$G$158&lt;&gt;""), 'Cost Inputs'!$G$158, "")</f>
        <v/>
      </c>
      <c r="E743" s="94" t="str">
        <f>IF(AND(C742&lt;&gt;"", 'Cost Inputs'!$H$158&lt;&gt;""), 'Cost Inputs'!$H$158, "")</f>
        <v/>
      </c>
      <c r="F743" s="492"/>
      <c r="G743" s="102" t="str">
        <f t="shared" si="476"/>
        <v/>
      </c>
      <c r="H743" s="492"/>
      <c r="I743" s="102" t="str">
        <f>IF($C742&lt;&gt;"", IF(AND($E743&lt;&gt;"", H742&lt;&gt;""), H742/($E742*$E743), 0), "")</f>
        <v/>
      </c>
      <c r="J743" s="492" t="str">
        <f>IF(AND(C743&lt;&gt;"",('Cost Inputs'!$I$86+'Cost Inputs'!$J$86+'Cost Inputs'!$K$86)&gt;0), 'Cost Inputs'!$I$86+'Cost Inputs'!$J$86+'Cost Inputs'!$K$86, "")</f>
        <v/>
      </c>
      <c r="K743" s="102" t="str">
        <f>IF($C742&lt;&gt;"", IF(AND($E743&lt;&gt;"", J742&lt;&gt;""), J742/($E742*$E743), 0), "")</f>
        <v/>
      </c>
      <c r="L743" s="94"/>
      <c r="M743" s="103"/>
      <c r="W743" s="492" t="str">
        <f>IF(ISNUMBER($B$537), IF($C743&lt;&gt;"", IF('Cost Inputs'!$L334="Y", $E743, IF('Cost Inputs'!$L334="N", IF(ISNUMBER('Cost Inputs'!$M334), $E743, ""),"")),""),"")</f>
        <v/>
      </c>
      <c r="X743" s="492" t="str">
        <f>IF(ISNUMBER($B$537), IF($C743&lt;&gt;"", IF('Cost Inputs'!$L334="Y", $E743, IF('Cost Inputs'!$L334="N", "", "")),""),"")</f>
        <v/>
      </c>
      <c r="Y743" s="492" t="str">
        <f>IF(ISNUMBER($B$537), IF($C743&lt;&gt;"", IF('Cost Inputs'!$L334="Y", $E743, IF('Cost Inputs'!$L334="N", IF(AND(ISNUMBER('Cost Inputs'!$M334), OR('Cost Inputs'!$M334=2)), $E743, ""),"")),""),"")</f>
        <v/>
      </c>
      <c r="Z743" s="492" t="str">
        <f>IF(ISNUMBER($B$537), IF($C743&lt;&gt;"", IF('Cost Inputs'!$L334="Y", $E743, IF('Cost Inputs'!$L334="N", IF(AND(ISNUMBER('Cost Inputs'!$M334), OR('Cost Inputs'!$M334=3)), $E743, ""),"")),""),"")</f>
        <v/>
      </c>
      <c r="AA743" s="492" t="str">
        <f>IF(ISNUMBER($B$537), IF($C743&lt;&gt;"", IF('Cost Inputs'!$L334="Y", $E743, IF('Cost Inputs'!$L334="N", IF(AND(ISNUMBER('Cost Inputs'!$M334), OR('Cost Inputs'!$M334=2, 'Cost Inputs'!$M334=4)), $E743, ""),"")),""),"")</f>
        <v/>
      </c>
      <c r="AB743" s="492" t="str">
        <f>IF(ISNUMBER($B$537), IF($C743&lt;&gt;"", IF('Cost Inputs'!$L334="Y", $E743, IF('Cost Inputs'!$L334="N", IF(AND(ISNUMBER('Cost Inputs'!$M334), OR('Cost Inputs'!$M334=2,'Cost Inputs'!$M334=5)), $E743, ""),"")),""),"")</f>
        <v/>
      </c>
      <c r="AC743" s="492" t="str">
        <f>IF(ISNUMBER($B$537), IF($C743&lt;&gt;"", IF('Cost Inputs'!$L334="Y", $E743, IF('Cost Inputs'!$L334="N", IF(AND(ISNUMBER('Cost Inputs'!$M334), OR('Cost Inputs'!$M334=2,'Cost Inputs'!$M334=3,'Cost Inputs'!$M334=6)), $E743, ""),"")),""),"")</f>
        <v/>
      </c>
      <c r="AD743" s="492" t="str">
        <f>IF(ISNUMBER($B$537), IF($C743&lt;&gt;"", IF('Cost Inputs'!$L334="Y", $E743, IF('Cost Inputs'!$L334="N", IF(AND(ISNUMBER('Cost Inputs'!$M334), OR('Cost Inputs'!$M334=2,'Cost Inputs'!$M334=7)), $E743, ""),"")),""),"")</f>
        <v/>
      </c>
      <c r="AE743" s="492" t="str">
        <f>IF(ISNUMBER($B$537), IF($C743&lt;&gt;"", IF('Cost Inputs'!$L334="Y", $E743, IF('Cost Inputs'!$L334="N", IF(AND(ISNUMBER('Cost Inputs'!$M334), OR('Cost Inputs'!$M334=2,'Cost Inputs'!$M334=4,'Cost Inputs'!$M334=8)), $E743, ""),"")),""),"")</f>
        <v/>
      </c>
      <c r="AF743" s="492" t="str">
        <f>IF(ISNUMBER($B$537), IF($C743&lt;&gt;"", IF('Cost Inputs'!$L334="Y", $E743, IF('Cost Inputs'!$L334="N", IF(AND(ISNUMBER('Cost Inputs'!$M334), OR('Cost Inputs'!$M334=2,'Cost Inputs'!$M334=3,'Cost Inputs'!$M334=9)), $E743, ""),"")),""),"")</f>
        <v/>
      </c>
    </row>
    <row r="744" spans="1:32" x14ac:dyDescent="0.25">
      <c r="A744" s="518"/>
      <c r="B744" s="504"/>
      <c r="C744" s="376" t="str">
        <f>IF(AND(ISNUMBER(B731), C742&lt;&gt;"", OR('Cost Inputs'!$H$159&lt;&gt;"", 'Cost Inputs'!$I$159&lt;&gt;"", 'Cost Inputs'!$J$159&lt;&gt;"")), _5_5_1, "")</f>
        <v/>
      </c>
      <c r="D744" s="17" t="str">
        <f>IF(AND(C744&lt;&gt;"", 'Cost Inputs'!$G$159&lt;&gt;""), 'Cost Inputs'!$G$159, "")</f>
        <v/>
      </c>
      <c r="E744" s="17" t="str">
        <f>IF(AND(C744&lt;&gt;"", 'Cost Inputs'!$H$159&lt;&gt;""), 'Cost Inputs'!$H$159, "")</f>
        <v/>
      </c>
      <c r="F744" s="493" t="str">
        <f>IF(AND(C744&lt;&gt;"", 'Cost Inputs'!$I$159&lt;&gt;""), 'Cost Inputs'!$I$159, "")</f>
        <v/>
      </c>
      <c r="G744" s="105" t="str">
        <f t="shared" si="476"/>
        <v/>
      </c>
      <c r="H744" s="493" t="str">
        <f>IF(AND(C744&lt;&gt;"", 'Cost Inputs'!$J$159&lt;&gt;""), 'Cost Inputs'!$J$159, "")</f>
        <v/>
      </c>
      <c r="I744" s="105" t="str">
        <f>IF($C744&lt;&gt;"",IF(AND($E744&lt;&gt;"",H744&lt;&gt;""), H744/$E744, 0),"")</f>
        <v/>
      </c>
      <c r="J744" s="493" t="str">
        <f>IF(AND(C744&lt;&gt;"",('Cost Inputs'!$I$159+'Cost Inputs'!$J$159+'Cost Inputs'!$K$159)&gt;0), 'Cost Inputs'!$I$159+'Cost Inputs'!$J$159+'Cost Inputs'!$K$159, "")</f>
        <v/>
      </c>
      <c r="K744" s="105" t="str">
        <f>IF($C744&lt;&gt;"",IF(AND($E744&lt;&gt;"",J744&lt;&gt;""), J744/$E744, 0),"")</f>
        <v/>
      </c>
      <c r="M744" s="106"/>
      <c r="W744" s="493" t="str">
        <f>IF(ISNUMBER($B$537), IF($C744&lt;&gt;"", IF('Cost Inputs'!$L$159="Y", $E744, IF('Cost Inputs'!$L$159="N", IF(ISNUMBER('Cost Inputs'!$M$159), $E744, ""),"")),""),"")</f>
        <v/>
      </c>
      <c r="X744" s="493" t="str">
        <f>IF(ISNUMBER($B$537), IF($C744&lt;&gt;"", IF('Cost Inputs'!$L$159="Y", $E744, IF('Cost Inputs'!$L$159="N", "", "")),""),"")</f>
        <v/>
      </c>
      <c r="Y744" s="493" t="str">
        <f>IF(ISNUMBER($B$537), IF($C744&lt;&gt;"", IF('Cost Inputs'!$L$159="Y", $E744, IF('Cost Inputs'!$L$159="N", IF(AND(ISNUMBER('Cost Inputs'!$M$159), OR('Cost Inputs'!$M$159=2)), $E744, ""),"")),""),"")</f>
        <v/>
      </c>
      <c r="Z744" s="493" t="str">
        <f>IF(ISNUMBER($B$537), IF($C744&lt;&gt;"", IF('Cost Inputs'!$L$159="Y", $E744, IF('Cost Inputs'!$L$159="N", IF(AND(ISNUMBER('Cost Inputs'!$M$159), OR('Cost Inputs'!$M$159=3)), $E744, ""),"")),""),"")</f>
        <v/>
      </c>
      <c r="AA744" s="493" t="str">
        <f>IF(ISNUMBER($B$537), IF($C744&lt;&gt;"", IF('Cost Inputs'!$L$159="Y", $E744, IF('Cost Inputs'!$L$159="N", IF(AND(ISNUMBER('Cost Inputs'!$M$159), OR('Cost Inputs'!$M$159=2, 'Cost Inputs'!$M$159=4)), $E744, ""),"")),""),"")</f>
        <v/>
      </c>
      <c r="AB744" s="493" t="str">
        <f>IF(ISNUMBER($B$537), IF($C744&lt;&gt;"", IF('Cost Inputs'!$L$159="Y", $E744, IF('Cost Inputs'!$L$159="N", IF(AND(ISNUMBER('Cost Inputs'!$M$159), OR('Cost Inputs'!$M$159=2,'Cost Inputs'!$M$159=5)), $E744, ""),"")),""),"")</f>
        <v/>
      </c>
      <c r="AC744" s="493" t="str">
        <f>IF(ISNUMBER($B$537), IF($C744&lt;&gt;"", IF('Cost Inputs'!$L$159="Y", $E744, IF('Cost Inputs'!$L$159="N", IF(AND(ISNUMBER('Cost Inputs'!$M$159), OR('Cost Inputs'!$M$159=2,'Cost Inputs'!$M$159=3,'Cost Inputs'!$M$159=6)), $E744, ""),"")),""),"")</f>
        <v/>
      </c>
      <c r="AD744" s="493" t="str">
        <f>IF(ISNUMBER($B$537), IF($C744&lt;&gt;"", IF('Cost Inputs'!$L$159="Y", $E744, IF('Cost Inputs'!$L$159="N", IF(AND(ISNUMBER('Cost Inputs'!$M$159), OR('Cost Inputs'!$M$159=2,'Cost Inputs'!$M$159=7)), $E744, ""),"")),""),"")</f>
        <v/>
      </c>
      <c r="AE744" s="493" t="str">
        <f>IF(ISNUMBER($B$537), IF($C744&lt;&gt;"", IF('Cost Inputs'!$L$159="Y", $E744, IF('Cost Inputs'!$L$159="N", IF(AND(ISNUMBER('Cost Inputs'!$M$159), OR('Cost Inputs'!$M$159=2,'Cost Inputs'!$M$159=4,'Cost Inputs'!$M$159=8)), $E744, ""),"")),""),"")</f>
        <v/>
      </c>
      <c r="AF744" s="493" t="str">
        <f>IF(ISNUMBER($B$537), IF($C744&lt;&gt;"", IF('Cost Inputs'!$L$159="Y", $E744, IF('Cost Inputs'!$L$159="N", IF(AND(ISNUMBER('Cost Inputs'!$M$159), OR('Cost Inputs'!$M$159=2,'Cost Inputs'!$M$159=3,'Cost Inputs'!$M$159=9)), $E744, ""),"")),""),"")</f>
        <v/>
      </c>
    </row>
    <row r="745" spans="1:32" x14ac:dyDescent="0.25">
      <c r="A745" s="518"/>
      <c r="B745" s="504"/>
      <c r="C745" s="376" t="str">
        <f>IF(AND(ISNUMBER(B727), OR('Cost Inputs'!$H$85&lt;&gt;"", 'Cost Inputs'!$I$85&lt;&gt;"", 'Cost Inputs'!$J$85&lt;&gt;"")), _3_5_1, "")</f>
        <v/>
      </c>
      <c r="D745" s="17" t="str">
        <f>IF(AND(C744&lt;&gt;"", 'Cost Inputs'!$G$160&lt;&gt;""), 'Cost Inputs'!$G$160, "")</f>
        <v/>
      </c>
      <c r="E745" s="17" t="str">
        <f>IF(AND(C744&lt;&gt;"", 'Cost Inputs'!$H$160&lt;&gt;""), 'Cost Inputs'!$H$160, "")</f>
        <v/>
      </c>
      <c r="F745" s="493"/>
      <c r="G745" s="105" t="str">
        <f t="shared" si="476"/>
        <v/>
      </c>
      <c r="H745" s="493"/>
      <c r="I745" s="105" t="str">
        <f>IF($C744&lt;&gt;"", IF(AND($E745&lt;&gt;"", H744&lt;&gt;""), H744/($E744*$E745), 0), "")</f>
        <v/>
      </c>
      <c r="J745" s="493" t="str">
        <f>IF(AND(C745&lt;&gt;"",('Cost Inputs'!$I$86+'Cost Inputs'!$J$86+'Cost Inputs'!$K$86)&gt;0), 'Cost Inputs'!$I$86+'Cost Inputs'!$J$86+'Cost Inputs'!$K$86, "")</f>
        <v/>
      </c>
      <c r="K745" s="105" t="str">
        <f>IF($C744&lt;&gt;"", IF(AND($E745&lt;&gt;"", J744&lt;&gt;""), J744/($E744*$E745), 0), "")</f>
        <v/>
      </c>
      <c r="M745" s="106"/>
      <c r="W745" s="493" t="str">
        <f>IF(ISNUMBER($B$537), IF($C745&lt;&gt;"", IF('Cost Inputs'!$L336="Y", $E745, IF('Cost Inputs'!$L336="N", IF(ISNUMBER('Cost Inputs'!$M336), $E745, ""),"")),""),"")</f>
        <v/>
      </c>
      <c r="X745" s="493" t="str">
        <f>IF(ISNUMBER($B$537), IF($C745&lt;&gt;"", IF('Cost Inputs'!$L336="Y", $E745, IF('Cost Inputs'!$L336="N", "", "")),""),"")</f>
        <v/>
      </c>
      <c r="Y745" s="493" t="str">
        <f>IF(ISNUMBER($B$537), IF($C745&lt;&gt;"", IF('Cost Inputs'!$L336="Y", $E745, IF('Cost Inputs'!$L336="N", IF(AND(ISNUMBER('Cost Inputs'!$M336), OR('Cost Inputs'!$M336=2)), $E745, ""),"")),""),"")</f>
        <v/>
      </c>
      <c r="Z745" s="493" t="str">
        <f>IF(ISNUMBER($B$537), IF($C745&lt;&gt;"", IF('Cost Inputs'!$L336="Y", $E745, IF('Cost Inputs'!$L336="N", IF(AND(ISNUMBER('Cost Inputs'!$M336), OR('Cost Inputs'!$M336=3)), $E745, ""),"")),""),"")</f>
        <v/>
      </c>
      <c r="AA745" s="493" t="str">
        <f>IF(ISNUMBER($B$537), IF($C745&lt;&gt;"", IF('Cost Inputs'!$L336="Y", $E745, IF('Cost Inputs'!$L336="N", IF(AND(ISNUMBER('Cost Inputs'!$M336), OR('Cost Inputs'!$M336=2, 'Cost Inputs'!$M336=4)), $E745, ""),"")),""),"")</f>
        <v/>
      </c>
      <c r="AB745" s="493" t="str">
        <f>IF(ISNUMBER($B$537), IF($C745&lt;&gt;"", IF('Cost Inputs'!$L336="Y", $E745, IF('Cost Inputs'!$L336="N", IF(AND(ISNUMBER('Cost Inputs'!$M336), OR('Cost Inputs'!$M336=2,'Cost Inputs'!$M336=5)), $E745, ""),"")),""),"")</f>
        <v/>
      </c>
      <c r="AC745" s="493" t="str">
        <f>IF(ISNUMBER($B$537), IF($C745&lt;&gt;"", IF('Cost Inputs'!$L336="Y", $E745, IF('Cost Inputs'!$L336="N", IF(AND(ISNUMBER('Cost Inputs'!$M336), OR('Cost Inputs'!$M336=2,'Cost Inputs'!$M336=3,'Cost Inputs'!$M336=6)), $E745, ""),"")),""),"")</f>
        <v/>
      </c>
      <c r="AD745" s="493" t="str">
        <f>IF(ISNUMBER($B$537), IF($C745&lt;&gt;"", IF('Cost Inputs'!$L336="Y", $E745, IF('Cost Inputs'!$L336="N", IF(AND(ISNUMBER('Cost Inputs'!$M336), OR('Cost Inputs'!$M336=2,'Cost Inputs'!$M336=7)), $E745, ""),"")),""),"")</f>
        <v/>
      </c>
      <c r="AE745" s="493" t="str">
        <f>IF(ISNUMBER($B$537), IF($C745&lt;&gt;"", IF('Cost Inputs'!$L336="Y", $E745, IF('Cost Inputs'!$L336="N", IF(AND(ISNUMBER('Cost Inputs'!$M336), OR('Cost Inputs'!$M336=2,'Cost Inputs'!$M336=4,'Cost Inputs'!$M336=8)), $E745, ""),"")),""),"")</f>
        <v/>
      </c>
      <c r="AF745" s="493" t="str">
        <f>IF(ISNUMBER($B$537), IF($C745&lt;&gt;"", IF('Cost Inputs'!$L336="Y", $E745, IF('Cost Inputs'!$L336="N", IF(AND(ISNUMBER('Cost Inputs'!$M336), OR('Cost Inputs'!$M336=2,'Cost Inputs'!$M336=3,'Cost Inputs'!$M336=9)), $E745, ""),"")),""),"")</f>
        <v/>
      </c>
    </row>
    <row r="746" spans="1:32" x14ac:dyDescent="0.25">
      <c r="A746" s="518"/>
      <c r="B746" s="504"/>
      <c r="C746" s="107" t="str">
        <f>IF(AND(ISNUMBER(B731), C742&lt;&gt;"", OR('Cost Inputs'!$H$161&lt;&gt;"", 'Cost Inputs'!$I$161&lt;&gt;"", 'Cost Inputs'!$J$161&lt;&gt;"")), _5_5_2, "")</f>
        <v/>
      </c>
      <c r="D746" s="93" t="str">
        <f>IF(AND(C746&lt;&gt;"", 'Cost Inputs'!$G$161&lt;&gt;""), 'Cost Inputs'!$G$161, "")</f>
        <v/>
      </c>
      <c r="E746" s="93" t="str">
        <f>IF(AND(C746&lt;&gt;"", 'Cost Inputs'!$H$161&lt;&gt;""), 'Cost Inputs'!$H$161, "")</f>
        <v/>
      </c>
      <c r="F746" s="93" t="str">
        <f>IF(AND(C746&lt;&gt;"", 'Cost Inputs'!$I$161&lt;&gt;""), 'Cost Inputs'!$I$161, "")</f>
        <v/>
      </c>
      <c r="G746" s="108" t="str">
        <f t="shared" si="476"/>
        <v/>
      </c>
      <c r="H746" s="93" t="str">
        <f>IF(AND(C746&lt;&gt;"", 'Cost Inputs'!$J$161&lt;&gt;""), 'Cost Inputs'!$J$161, "")</f>
        <v/>
      </c>
      <c r="I746" s="93" t="str">
        <f>IF($C746&lt;&gt;"", IF(AND($E746&lt;&gt;"", H746&lt;&gt;""), H746/$E746, 0),"")</f>
        <v/>
      </c>
      <c r="J746" s="93" t="str">
        <f>IF(AND(C746&lt;&gt;"",('Cost Inputs'!$I$161+'Cost Inputs'!$J$161+'Cost Inputs'!$K$161)&gt;0), 'Cost Inputs'!$I$161+'Cost Inputs'!$J$161+'Cost Inputs'!$K$161, "")</f>
        <v/>
      </c>
      <c r="K746" s="93" t="str">
        <f>IF($C746&lt;&gt;"", IF(AND($E746&lt;&gt;"", J746&lt;&gt;""), J746/$E746, 0),"")</f>
        <v/>
      </c>
      <c r="L746" s="93"/>
      <c r="M746" s="109"/>
      <c r="W746" s="93" t="str">
        <f>IF(ISNUMBER($B$537), IF($C746&lt;&gt;"", IF('Cost Inputs'!$L$161="Y", $E746, IF('Cost Inputs'!$L$161="N", IF(ISNUMBER('Cost Inputs'!$M$161), $E746, ""),"")),""),"")</f>
        <v/>
      </c>
      <c r="X746" s="93" t="str">
        <f>IF(ISNUMBER($B$537), IF($C746&lt;&gt;"", IF('Cost Inputs'!$L$161="Y", $E746, IF('Cost Inputs'!$L$161="N", "", "")),""),"")</f>
        <v/>
      </c>
      <c r="Y746" s="93" t="str">
        <f>IF(ISNUMBER($B$537), IF($C746&lt;&gt;"", IF('Cost Inputs'!$L$161="Y", $E746, IF('Cost Inputs'!$L$161="N", IF(AND(ISNUMBER('Cost Inputs'!$M$161), OR('Cost Inputs'!$M$161=2)), $E746, ""),"")),""),"")</f>
        <v/>
      </c>
      <c r="Z746" s="93" t="str">
        <f>IF(ISNUMBER($B$537), IF($C746&lt;&gt;"", IF('Cost Inputs'!$L$161="Y", $E746, IF('Cost Inputs'!$L$161="N", IF(AND(ISNUMBER('Cost Inputs'!$M$161), OR('Cost Inputs'!$M$161=3)), $E746, ""),"")),""),"")</f>
        <v/>
      </c>
      <c r="AA746" s="93" t="str">
        <f>IF(ISNUMBER($B$537), IF($C746&lt;&gt;"", IF('Cost Inputs'!$L$161="Y", $E746, IF('Cost Inputs'!$L$161="N", IF(AND(ISNUMBER('Cost Inputs'!$M$161), OR('Cost Inputs'!$M$161=2, 'Cost Inputs'!$M$161=4)), $E746, ""),"")),""),"")</f>
        <v/>
      </c>
      <c r="AB746" s="93" t="str">
        <f>IF(ISNUMBER($B$537), IF($C746&lt;&gt;"", IF('Cost Inputs'!$L$161="Y", $E746, IF('Cost Inputs'!$L$161="N", IF(AND(ISNUMBER('Cost Inputs'!$M$161), OR('Cost Inputs'!$M$161=2,'Cost Inputs'!$M$161=5)), $E746, ""),"")),""),"")</f>
        <v/>
      </c>
      <c r="AC746" s="93" t="str">
        <f>IF(ISNUMBER($B$537), IF($C746&lt;&gt;"", IF('Cost Inputs'!$L$161="Y", $E746, IF('Cost Inputs'!$L$161="N", IF(AND(ISNUMBER('Cost Inputs'!$M$161), OR('Cost Inputs'!$M$161=2,'Cost Inputs'!$M$161=3,'Cost Inputs'!$M$161=6)), $E746, ""),"")),""),"")</f>
        <v/>
      </c>
      <c r="AD746" s="93" t="str">
        <f>IF(ISNUMBER($B$537), IF($C746&lt;&gt;"", IF('Cost Inputs'!$L$161="Y", $E746, IF('Cost Inputs'!$L$161="N", IF(AND(ISNUMBER('Cost Inputs'!$M$161), OR('Cost Inputs'!$M$161=2,'Cost Inputs'!$M$161=7)), $E746, ""),"")),""),"")</f>
        <v/>
      </c>
      <c r="AE746" s="93" t="str">
        <f>IF(ISNUMBER($B$537), IF($C746&lt;&gt;"", IF('Cost Inputs'!$L$161="Y", $E746, IF('Cost Inputs'!$L$161="N", IF(AND(ISNUMBER('Cost Inputs'!$M$161), OR('Cost Inputs'!$M$161=2,'Cost Inputs'!$M$161=4,'Cost Inputs'!$M$161=8)), $E746, ""),"")),""),"")</f>
        <v/>
      </c>
      <c r="AF746" s="93" t="str">
        <f>IF(ISNUMBER($B$537), IF($C746&lt;&gt;"", IF('Cost Inputs'!$L$161="Y", $E746, IF('Cost Inputs'!$L$161="N", IF(AND(ISNUMBER('Cost Inputs'!$M$161), OR('Cost Inputs'!$M$161=2,'Cost Inputs'!$M$161=3,'Cost Inputs'!$M$161=9)), $E746, ""),"")),""),"")</f>
        <v/>
      </c>
    </row>
    <row r="747" spans="1:32" x14ac:dyDescent="0.25">
      <c r="A747" s="518"/>
      <c r="B747" s="504"/>
      <c r="C747" s="104" t="str">
        <f>IF(AND(ISNUMBER(B731), C742&lt;&gt;"", OR('Cost Inputs'!$H$162&lt;&gt;"", 'Cost Inputs'!$I$162&lt;&gt;"", 'Cost Inputs'!$J$162&lt;&gt;"")), _5_5_3, "")</f>
        <v/>
      </c>
      <c r="D747" s="17" t="str">
        <f>IF(AND(C747&lt;&gt;"", 'Cost Inputs'!$G$162&lt;&gt;""), 'Cost Inputs'!$G$162, "")</f>
        <v/>
      </c>
      <c r="E747" s="17" t="str">
        <f>IF(AND(C747&lt;&gt;"", 'Cost Inputs'!$H$162&lt;&gt;""), 'Cost Inputs'!$H$162, "")</f>
        <v/>
      </c>
      <c r="F747" s="17" t="str">
        <f>IF(AND(C747&lt;&gt;"", 'Cost Inputs'!$I$162&lt;&gt;""), 'Cost Inputs'!$I$162, "")</f>
        <v/>
      </c>
      <c r="G747" s="105" t="str">
        <f t="shared" si="476"/>
        <v/>
      </c>
      <c r="H747" s="17" t="str">
        <f>IF(AND(C747&lt;&gt;"", 'Cost Inputs'!$J$162&lt;&gt;""), 'Cost Inputs'!$J$162, "")</f>
        <v/>
      </c>
      <c r="I747" s="17" t="str">
        <f>IF($C747&lt;&gt;"", IF(AND($E747&lt;&gt;"", H747&lt;&gt;""), H747/$E747, 0),"")</f>
        <v/>
      </c>
      <c r="J747" s="17" t="str">
        <f>IF(AND(C747&lt;&gt;"",('Cost Inputs'!$I$162+'Cost Inputs'!$J$162+'Cost Inputs'!$K$162)&gt;0), 'Cost Inputs'!$I$162+'Cost Inputs'!$J$162+'Cost Inputs'!$K$162, "")</f>
        <v/>
      </c>
      <c r="K747" s="17" t="str">
        <f>IF($C747&lt;&gt;"", IF(AND($E747&lt;&gt;"", J747&lt;&gt;""), J747/$E747, 0),"")</f>
        <v/>
      </c>
      <c r="M747" s="106"/>
      <c r="W747" s="17" t="str">
        <f>IF(ISNUMBER($B$537), IF($C747&lt;&gt;"", IF('Cost Inputs'!$L$162="Y", $E747, IF('Cost Inputs'!$L$162="N", IF(ISNUMBER('Cost Inputs'!$M$162), $E747, ""),"")),""),"")</f>
        <v/>
      </c>
      <c r="X747" s="17" t="str">
        <f>IF(ISNUMBER($B$537), IF($C747&lt;&gt;"", IF('Cost Inputs'!$L$162="Y", $E747, IF('Cost Inputs'!$L$162="N", "", "")),""),"")</f>
        <v/>
      </c>
      <c r="Y747" s="17" t="str">
        <f>IF(ISNUMBER($B$537), IF($C747&lt;&gt;"", IF('Cost Inputs'!$L$162="Y", $E747, IF('Cost Inputs'!$L$162="N", IF(AND(ISNUMBER('Cost Inputs'!$M$162), OR('Cost Inputs'!$M$162=2)), $E747, ""),"")),""),"")</f>
        <v/>
      </c>
      <c r="Z747" s="17" t="str">
        <f>IF(ISNUMBER($B$537), IF($C747&lt;&gt;"", IF('Cost Inputs'!$L$162="Y", $E747, IF('Cost Inputs'!$L$162="N", IF(AND(ISNUMBER('Cost Inputs'!$M$162), OR('Cost Inputs'!$M$162=3)), $E747, ""),"")),""),"")</f>
        <v/>
      </c>
      <c r="AA747" s="17" t="str">
        <f>IF(ISNUMBER($B$537), IF($C747&lt;&gt;"", IF('Cost Inputs'!$L$162="Y", $E747, IF('Cost Inputs'!$L$162="N", IF(AND(ISNUMBER('Cost Inputs'!$M$162), OR('Cost Inputs'!$M$162=2, 'Cost Inputs'!$M$162=4)), $E747, ""),"")),""),"")</f>
        <v/>
      </c>
      <c r="AB747" s="17" t="str">
        <f>IF(ISNUMBER($B$537), IF($C747&lt;&gt;"", IF('Cost Inputs'!$L$162="Y", $E747, IF('Cost Inputs'!$L$162="N", IF(AND(ISNUMBER('Cost Inputs'!$M$162), OR('Cost Inputs'!$M$162=2,'Cost Inputs'!$M$162=5)), $E747, ""),"")),""),"")</f>
        <v/>
      </c>
      <c r="AC747" s="17" t="str">
        <f>IF(ISNUMBER($B$537), IF($C747&lt;&gt;"", IF('Cost Inputs'!$L$162="Y", $E747, IF('Cost Inputs'!$L$162="N", IF(AND(ISNUMBER('Cost Inputs'!$M$162), OR('Cost Inputs'!$M$162=2,'Cost Inputs'!$M$162=3,'Cost Inputs'!$M$162=6)), $E747, ""),"")),""),"")</f>
        <v/>
      </c>
      <c r="AD747" s="17" t="str">
        <f>IF(ISNUMBER($B$537), IF($C747&lt;&gt;"", IF('Cost Inputs'!$L$162="Y", $E747, IF('Cost Inputs'!$L$162="N", IF(AND(ISNUMBER('Cost Inputs'!$M$162), OR('Cost Inputs'!$M$162=2,'Cost Inputs'!$M$162=7)), $E747, ""),"")),""),"")</f>
        <v/>
      </c>
      <c r="AE747" s="17" t="str">
        <f>IF(ISNUMBER($B$537), IF($C747&lt;&gt;"", IF('Cost Inputs'!$L$162="Y", $E747, IF('Cost Inputs'!$L$162="N", IF(AND(ISNUMBER('Cost Inputs'!$M$162), OR('Cost Inputs'!$M$162=2,'Cost Inputs'!$M$162=4,'Cost Inputs'!$M$162=8)), $E747, ""),"")),""),"")</f>
        <v/>
      </c>
      <c r="AF747" s="17" t="str">
        <f>IF(ISNUMBER($B$537), IF($C747&lt;&gt;"", IF('Cost Inputs'!$L$162="Y", $E747, IF('Cost Inputs'!$L$162="N", IF(AND(ISNUMBER('Cost Inputs'!$M$162), OR('Cost Inputs'!$M$162=2,'Cost Inputs'!$M$162=3,'Cost Inputs'!$M$162=9)), $E747, ""),"")),""),"")</f>
        <v/>
      </c>
    </row>
    <row r="748" spans="1:32" x14ac:dyDescent="0.25">
      <c r="A748" s="518"/>
      <c r="B748" s="504"/>
      <c r="C748" s="107" t="str">
        <f>IF(AND(ISNUMBER(B731), C742&lt;&gt;"", OR('Cost Inputs'!$H$163&lt;&gt;"", 'Cost Inputs'!$I$163&lt;&gt;"", 'Cost Inputs'!$J$163&lt;&gt;"")), _5_5_4, "")</f>
        <v/>
      </c>
      <c r="D748" s="93" t="str">
        <f>IF(AND(C748&lt;&gt;"", 'Cost Inputs'!$G$163&lt;&gt;""), 'Cost Inputs'!$G$163, "")</f>
        <v/>
      </c>
      <c r="E748" s="93" t="str">
        <f>IF(AND(C748&lt;&gt;"", 'Cost Inputs'!$H$163&lt;&gt;""), 'Cost Inputs'!$H$163, "")</f>
        <v/>
      </c>
      <c r="F748" s="93" t="str">
        <f>IF(AND(C748&lt;&gt;"", 'Cost Inputs'!$I$163&lt;&gt;""), 'Cost Inputs'!$I$163, "")</f>
        <v/>
      </c>
      <c r="G748" s="108" t="str">
        <f t="shared" si="476"/>
        <v/>
      </c>
      <c r="H748" s="93" t="str">
        <f>IF(AND(C748&lt;&gt;"", 'Cost Inputs'!$J$163&lt;&gt;""), 'Cost Inputs'!$J$163, "")</f>
        <v/>
      </c>
      <c r="I748" s="93" t="str">
        <f>IF($C748&lt;&gt;"", IF(AND($E748&lt;&gt;"", H748&lt;&gt;""), H748/$E748, 0),"")</f>
        <v/>
      </c>
      <c r="J748" s="93" t="str">
        <f>IF(AND(C748&lt;&gt;"",('Cost Inputs'!$I$163+'Cost Inputs'!$J$163+'Cost Inputs'!$K$163)&gt;0), 'Cost Inputs'!$I$163+'Cost Inputs'!$J$163+'Cost Inputs'!$K$163, "")</f>
        <v/>
      </c>
      <c r="K748" s="93" t="str">
        <f>IF($C748&lt;&gt;"", IF(AND($E748&lt;&gt;"", J748&lt;&gt;""), J748/$E748, 0),"")</f>
        <v/>
      </c>
      <c r="L748" s="93"/>
      <c r="M748" s="109"/>
      <c r="W748" s="93" t="str">
        <f>IF(ISNUMBER($B$537), IF($C748&lt;&gt;"", IF('Cost Inputs'!$L$163="Y", $E748, IF('Cost Inputs'!$L$163="N", IF(ISNUMBER('Cost Inputs'!$M$163), $E748, ""),"")),""),"")</f>
        <v/>
      </c>
      <c r="X748" s="93" t="str">
        <f>IF(ISNUMBER($B$537), IF($C748&lt;&gt;"", IF('Cost Inputs'!$L$163="Y", $E748, IF('Cost Inputs'!$L$163="N", "", "")),""),"")</f>
        <v/>
      </c>
      <c r="Y748" s="93" t="str">
        <f>IF(ISNUMBER($B$537), IF($C748&lt;&gt;"", IF('Cost Inputs'!$L$163="Y", $E748, IF('Cost Inputs'!$L$163="N", IF(AND(ISNUMBER('Cost Inputs'!$M$163), OR('Cost Inputs'!$M$163=2)), $E748, ""),"")),""),"")</f>
        <v/>
      </c>
      <c r="Z748" s="93" t="str">
        <f>IF(ISNUMBER($B$537), IF($C748&lt;&gt;"", IF('Cost Inputs'!$L$163="Y", $E748, IF('Cost Inputs'!$L$163="N", IF(AND(ISNUMBER('Cost Inputs'!$M$163), OR('Cost Inputs'!$M$163=3)), $E748, ""),"")),""),"")</f>
        <v/>
      </c>
      <c r="AA748" s="93" t="str">
        <f>IF(ISNUMBER($B$537), IF($C748&lt;&gt;"", IF('Cost Inputs'!$L$163="Y", $E748, IF('Cost Inputs'!$L$163="N", IF(AND(ISNUMBER('Cost Inputs'!$M$163), OR('Cost Inputs'!$M$163=2, 'Cost Inputs'!$M$163=4)), $E748, ""),"")),""),"")</f>
        <v/>
      </c>
      <c r="AB748" s="93" t="str">
        <f>IF(ISNUMBER($B$537), IF($C748&lt;&gt;"", IF('Cost Inputs'!$L$163="Y", $E748, IF('Cost Inputs'!$L$163="N", IF(AND(ISNUMBER('Cost Inputs'!$M$163), OR('Cost Inputs'!$M$163=2,'Cost Inputs'!$M$163=5)), $E748, ""),"")),""),"")</f>
        <v/>
      </c>
      <c r="AC748" s="93" t="str">
        <f>IF(ISNUMBER($B$537), IF($C748&lt;&gt;"", IF('Cost Inputs'!$L$163="Y", $E748, IF('Cost Inputs'!$L$163="N", IF(AND(ISNUMBER('Cost Inputs'!$M$163), OR('Cost Inputs'!$M$163=2,'Cost Inputs'!$M$163=3,'Cost Inputs'!$M$163=6)), $E748, ""),"")),""),"")</f>
        <v/>
      </c>
      <c r="AD748" s="93" t="str">
        <f>IF(ISNUMBER($B$537), IF($C748&lt;&gt;"", IF('Cost Inputs'!$L$163="Y", $E748, IF('Cost Inputs'!$L$163="N", IF(AND(ISNUMBER('Cost Inputs'!$M$163), OR('Cost Inputs'!$M$163=2,'Cost Inputs'!$M$163=7)), $E748, ""),"")),""),"")</f>
        <v/>
      </c>
      <c r="AE748" s="93" t="str">
        <f>IF(ISNUMBER($B$537), IF($C748&lt;&gt;"", IF('Cost Inputs'!$L$163="Y", $E748, IF('Cost Inputs'!$L$163="N", IF(AND(ISNUMBER('Cost Inputs'!$M$163), OR('Cost Inputs'!$M$163=2,'Cost Inputs'!$M$163=4,'Cost Inputs'!$M$163=8)), $E748, ""),"")),""),"")</f>
        <v/>
      </c>
      <c r="AF748" s="93" t="str">
        <f>IF(ISNUMBER($B$537), IF($C748&lt;&gt;"", IF('Cost Inputs'!$L$163="Y", $E748, IF('Cost Inputs'!$L$163="N", IF(AND(ISNUMBER('Cost Inputs'!$M$163), OR('Cost Inputs'!$M$163=2,'Cost Inputs'!$M$163=3,'Cost Inputs'!$M$163=9)), $E748, ""),"")),""),"")</f>
        <v/>
      </c>
    </row>
    <row r="749" spans="1:32" x14ac:dyDescent="0.25">
      <c r="A749" s="518"/>
      <c r="B749" s="504"/>
      <c r="C749" s="104" t="str">
        <f>IF(AND(ISNUMBER(B731), C742&lt;&gt;"", OR('Cost Inputs'!$H$164&lt;&gt;"", 'Cost Inputs'!$I$164&lt;&gt;"", 'Cost Inputs'!$J$164&lt;&gt;"")), _5_5_5, "")</f>
        <v/>
      </c>
      <c r="D749" s="17" t="str">
        <f>IF(AND(C749&lt;&gt;"", 'Cost Inputs'!$G$164&lt;&gt;""), 'Cost Inputs'!$G$164, "")</f>
        <v/>
      </c>
      <c r="E749" s="17" t="str">
        <f>IF(AND(C749&lt;&gt;"", 'Cost Inputs'!$H$164&lt;&gt;""), 'Cost Inputs'!$H$164, "")</f>
        <v/>
      </c>
      <c r="F749" s="17" t="str">
        <f>IF(AND(C749&lt;&gt;"", 'Cost Inputs'!$I$164&lt;&gt;""), 'Cost Inputs'!$I$164, "")</f>
        <v/>
      </c>
      <c r="G749" s="105" t="str">
        <f t="shared" si="476"/>
        <v/>
      </c>
      <c r="H749" s="17" t="str">
        <f>IF(AND(C749&lt;&gt;"", 'Cost Inputs'!$J$164&lt;&gt;""), 'Cost Inputs'!$J$164, "")</f>
        <v/>
      </c>
      <c r="I749" s="17" t="str">
        <f>IF($C749&lt;&gt;"", IF(AND($E749&lt;&gt;"", H749&lt;&gt;""), H749/$E749, 0),"")</f>
        <v/>
      </c>
      <c r="J749" s="17" t="str">
        <f>IF(AND(C749&lt;&gt;"",('Cost Inputs'!$I$164+'Cost Inputs'!$J$164+'Cost Inputs'!$K$164)&gt;0), 'Cost Inputs'!$I$164+'Cost Inputs'!$J$164+'Cost Inputs'!$K$164, "")</f>
        <v/>
      </c>
      <c r="K749" s="17" t="str">
        <f>IF($C749&lt;&gt;"", IF(AND($E749&lt;&gt;"", J749&lt;&gt;""), J749/$E749, 0),"")</f>
        <v/>
      </c>
      <c r="M749" s="106"/>
      <c r="W749" s="17" t="str">
        <f>IF(ISNUMBER($B$537), IF($C749&lt;&gt;"", IF('Cost Inputs'!$L$164="Y", $E749, IF('Cost Inputs'!$L$164="N", IF(ISNUMBER('Cost Inputs'!$M$164), $E749, ""),"")),""),"")</f>
        <v/>
      </c>
      <c r="X749" s="17" t="str">
        <f>IF(ISNUMBER($B$537), IF($C749&lt;&gt;"", IF('Cost Inputs'!$L$164="Y", $E749, IF('Cost Inputs'!$L$164="N", "", "")),""),"")</f>
        <v/>
      </c>
      <c r="Y749" s="17" t="str">
        <f>IF(ISNUMBER($B$537), IF($C749&lt;&gt;"", IF('Cost Inputs'!$L$164="Y", $E749, IF('Cost Inputs'!$L$164="N", IF(AND(ISNUMBER('Cost Inputs'!$M$164), OR('Cost Inputs'!$M$164=2)), $E749, ""),"")),""),"")</f>
        <v/>
      </c>
      <c r="Z749" s="17" t="str">
        <f>IF(ISNUMBER($B$537), IF($C749&lt;&gt;"", IF('Cost Inputs'!$L$164="Y", $E749, IF('Cost Inputs'!$L$164="N", IF(AND(ISNUMBER('Cost Inputs'!$M$164), OR('Cost Inputs'!$M$164=3)), $E749, ""),"")),""),"")</f>
        <v/>
      </c>
      <c r="AA749" s="17" t="str">
        <f>IF(ISNUMBER($B$537), IF($C749&lt;&gt;"", IF('Cost Inputs'!$L$164="Y", $E749, IF('Cost Inputs'!$L$164="N", IF(AND(ISNUMBER('Cost Inputs'!$M$164), OR('Cost Inputs'!$M$164=2, 'Cost Inputs'!$M$164=4)), $E749, ""),"")),""),"")</f>
        <v/>
      </c>
      <c r="AB749" s="17" t="str">
        <f>IF(ISNUMBER($B$537), IF($C749&lt;&gt;"", IF('Cost Inputs'!$L$164="Y", $E749, IF('Cost Inputs'!$L$164="N", IF(AND(ISNUMBER('Cost Inputs'!$M$164), OR('Cost Inputs'!$M$164=2,'Cost Inputs'!$M$164=5)), $E749, ""),"")),""),"")</f>
        <v/>
      </c>
      <c r="AC749" s="17" t="str">
        <f>IF(ISNUMBER($B$537), IF($C749&lt;&gt;"", IF('Cost Inputs'!$L$164="Y", $E749, IF('Cost Inputs'!$L$164="N", IF(AND(ISNUMBER('Cost Inputs'!$M$164), OR('Cost Inputs'!$M$164=2,'Cost Inputs'!$M$164=3,'Cost Inputs'!$M$164=6)), $E749, ""),"")),""),"")</f>
        <v/>
      </c>
      <c r="AD749" s="17" t="str">
        <f>IF(ISNUMBER($B$537), IF($C749&lt;&gt;"", IF('Cost Inputs'!$L$164="Y", $E749, IF('Cost Inputs'!$L$164="N", IF(AND(ISNUMBER('Cost Inputs'!$M$164), OR('Cost Inputs'!$M$164=2,'Cost Inputs'!$M$164=7)), $E749, ""),"")),""),"")</f>
        <v/>
      </c>
      <c r="AE749" s="17" t="str">
        <f>IF(ISNUMBER($B$537), IF($C749&lt;&gt;"", IF('Cost Inputs'!$L$164="Y", $E749, IF('Cost Inputs'!$L$164="N", IF(AND(ISNUMBER('Cost Inputs'!$M$164), OR('Cost Inputs'!$M$164=2,'Cost Inputs'!$M$164=4,'Cost Inputs'!$M$164=8)), $E749, ""),"")),""),"")</f>
        <v/>
      </c>
      <c r="AF749" s="17" t="str">
        <f>IF(ISNUMBER($B$537), IF($C749&lt;&gt;"", IF('Cost Inputs'!$L$164="Y", $E749, IF('Cost Inputs'!$L$164="N", IF(AND(ISNUMBER('Cost Inputs'!$M$164), OR('Cost Inputs'!$M$164=2,'Cost Inputs'!$M$164=3,'Cost Inputs'!$M$164=9)), $E749, ""),"")),""),"")</f>
        <v/>
      </c>
    </row>
    <row r="750" spans="1:32" x14ac:dyDescent="0.25">
      <c r="A750" s="518"/>
      <c r="B750" s="504"/>
      <c r="C750" s="110" t="str">
        <f>IF(ISNUMBER(B731), _5_6_0, "")</f>
        <v/>
      </c>
      <c r="D750" s="94" t="str">
        <f>IF(AND(C750&lt;&gt;"", 'Cost Inputs'!$G$165&lt;&gt;""), 'Cost Inputs'!$G$165, "")</f>
        <v/>
      </c>
      <c r="E750" s="94" t="str">
        <f>IF(AND(C750&lt;&gt;"", 'Cost Inputs'!$H$165&lt;&gt;""), 'Cost Inputs'!$H$165, "")</f>
        <v/>
      </c>
      <c r="F750" s="94" t="str">
        <f>IF(AND(C750&lt;&gt;"", 'Cost Inputs'!$I$165&lt;&gt;""), 'Cost Inputs'!$I$165, "")</f>
        <v/>
      </c>
      <c r="G750" s="102" t="str">
        <f t="shared" si="476"/>
        <v/>
      </c>
      <c r="H750" s="94" t="str">
        <f>IF(AND(C750&lt;&gt;"", 'Cost Inputs'!$J$165&lt;&gt;""), 'Cost Inputs'!$J$165, "")</f>
        <v/>
      </c>
      <c r="I750" s="102" t="str">
        <f>IF($C750&lt;&gt;"",IF(AND($E750&lt;&gt;"",H750&lt;&gt;""), H750/$E750, 0),"")</f>
        <v/>
      </c>
      <c r="J750" s="94" t="str">
        <f>IF(AND(C750&lt;&gt;"",('Cost Inputs'!$I$165+'Cost Inputs'!$J$165+'Cost Inputs'!$K$165)&gt;0), 'Cost Inputs'!$I$165+'Cost Inputs'!$J$165+'Cost Inputs'!$K$165, "")</f>
        <v/>
      </c>
      <c r="K750" s="102" t="str">
        <f>IF($C750&lt;&gt;"",IF(AND($E750&lt;&gt;"",J750&lt;&gt;""), J750/$E750, 0),"")</f>
        <v/>
      </c>
      <c r="L750" s="94"/>
      <c r="M750" s="103"/>
      <c r="W750" s="94" t="str">
        <f>IF(ISNUMBER($B$537), IF($C750&lt;&gt;"", IF('Cost Inputs'!$L$165="Y", $E750, IF('Cost Inputs'!$L$165="N", IF(ISNUMBER('Cost Inputs'!$M$165), $E750, ""),"")),""),"")</f>
        <v/>
      </c>
      <c r="X750" s="94" t="str">
        <f>IF(ISNUMBER($B$537), IF($C750&lt;&gt;"", IF('Cost Inputs'!$L$165="Y", $E750, IF('Cost Inputs'!$L$165="N", "", "")),""),"")</f>
        <v/>
      </c>
      <c r="Y750" s="94" t="str">
        <f>IF(ISNUMBER($B$537), IF($C750&lt;&gt;"", IF('Cost Inputs'!$L$165="Y", $E750, IF('Cost Inputs'!$L$165="N", IF(AND(ISNUMBER('Cost Inputs'!$M$165), OR('Cost Inputs'!$M$165=2)), $E750, ""),"")),""),"")</f>
        <v/>
      </c>
      <c r="Z750" s="94" t="str">
        <f>IF(ISNUMBER($B$537), IF($C750&lt;&gt;"", IF('Cost Inputs'!$L$165="Y", $E750, IF('Cost Inputs'!$L$165="N", IF(AND(ISNUMBER('Cost Inputs'!$M$165), OR('Cost Inputs'!$M$165=3)), $E750, ""),"")),""),"")</f>
        <v/>
      </c>
      <c r="AA750" s="94" t="str">
        <f>IF(ISNUMBER($B$537), IF($C750&lt;&gt;"", IF('Cost Inputs'!$L$165="Y", $E750, IF('Cost Inputs'!$L$165="N", IF(AND(ISNUMBER('Cost Inputs'!$M$165), OR('Cost Inputs'!$M$165=2, 'Cost Inputs'!$M$165=4)), $E750, ""),"")),""),"")</f>
        <v/>
      </c>
      <c r="AB750" s="94" t="str">
        <f>IF(ISNUMBER($B$537), IF($C750&lt;&gt;"", IF('Cost Inputs'!$L$165="Y", $E750, IF('Cost Inputs'!$L$165="N", IF(AND(ISNUMBER('Cost Inputs'!$M$165), OR('Cost Inputs'!$M$165=2,'Cost Inputs'!$M$165=5)), $E750, ""),"")),""),"")</f>
        <v/>
      </c>
      <c r="AC750" s="94" t="str">
        <f>IF(ISNUMBER($B$537), IF($C750&lt;&gt;"", IF('Cost Inputs'!$L$165="Y", $E750, IF('Cost Inputs'!$L$165="N", IF(AND(ISNUMBER('Cost Inputs'!$M$165), OR('Cost Inputs'!$M$165=2,'Cost Inputs'!$M$165=3,'Cost Inputs'!$M$165=6)), $E750, ""),"")),""),"")</f>
        <v/>
      </c>
      <c r="AD750" s="94" t="str">
        <f>IF(ISNUMBER($B$537), IF($C750&lt;&gt;"", IF('Cost Inputs'!$L$165="Y", $E750, IF('Cost Inputs'!$L$165="N", IF(AND(ISNUMBER('Cost Inputs'!$M$165), OR('Cost Inputs'!$M$165=2,'Cost Inputs'!$M$165=7)), $E750, ""),"")),""),"")</f>
        <v/>
      </c>
      <c r="AE750" s="94" t="str">
        <f>IF(ISNUMBER($B$537), IF($C750&lt;&gt;"", IF('Cost Inputs'!$L$165="Y", $E750, IF('Cost Inputs'!$L$165="N", IF(AND(ISNUMBER('Cost Inputs'!$M$165), OR('Cost Inputs'!$M$165=2,'Cost Inputs'!$M$165=4,'Cost Inputs'!$M$165=8)), $E750, ""),"")),""),"")</f>
        <v/>
      </c>
      <c r="AF750" s="94" t="str">
        <f>IF(ISNUMBER($B$537), IF($C750&lt;&gt;"", IF('Cost Inputs'!$L$165="Y", $E750, IF('Cost Inputs'!$L$165="N", IF(AND(ISNUMBER('Cost Inputs'!$M$165), OR('Cost Inputs'!$M$165=2,'Cost Inputs'!$M$165=3,'Cost Inputs'!$M$165=9)), $E750, ""),"")),""),"")</f>
        <v/>
      </c>
    </row>
    <row r="751" spans="1:32" x14ac:dyDescent="0.25">
      <c r="A751" s="518"/>
      <c r="B751" s="504"/>
      <c r="C751" s="104" t="str">
        <f>IF(AND(ISNUMBER(B731), OR('Cost Inputs'!$H$166&lt;&gt;"", 'Cost Inputs'!$I$166&lt;&gt;"", 'Cost Inputs'!$J$166&lt;&gt;"")), _5_6_1, "")</f>
        <v/>
      </c>
      <c r="D751" s="17" t="str">
        <f>IF(AND(C751&lt;&gt;"", 'Cost Inputs'!$G$166&lt;&gt;""), 'Cost Inputs'!$G$166, "")</f>
        <v/>
      </c>
      <c r="E751" s="17" t="str">
        <f>IF(AND(C751&lt;&gt;"", 'Cost Inputs'!$H$166&lt;&gt;""), 'Cost Inputs'!$H$166, "")</f>
        <v/>
      </c>
      <c r="F751" s="17" t="str">
        <f>IF(AND(C751&lt;&gt;"", 'Cost Inputs'!$I$166&lt;&gt;""), 'Cost Inputs'!$I$166, "")</f>
        <v/>
      </c>
      <c r="G751" s="105" t="str">
        <f t="shared" si="476"/>
        <v/>
      </c>
      <c r="H751" s="17" t="str">
        <f>IF(AND(C751&lt;&gt;"", 'Cost Inputs'!$J$166&lt;&gt;""), 'Cost Inputs'!$J$166, "")</f>
        <v/>
      </c>
      <c r="I751" s="17" t="str">
        <f>IF($C751&lt;&gt;"", IF(AND($E751&lt;&gt;"", H751&lt;&gt;""), H751/$E751, 0),"")</f>
        <v/>
      </c>
      <c r="J751" s="17" t="str">
        <f>IF(AND(C751&lt;&gt;"",('Cost Inputs'!$I$166+'Cost Inputs'!$J$166+'Cost Inputs'!$K$166)&gt;0), 'Cost Inputs'!$I$166+'Cost Inputs'!$J$166+'Cost Inputs'!$K$166, "")</f>
        <v/>
      </c>
      <c r="K751" s="17" t="str">
        <f>IF($C751&lt;&gt;"", IF(AND($E751&lt;&gt;"", J751&lt;&gt;""), J751/$E751, 0),"")</f>
        <v/>
      </c>
      <c r="M751" s="106"/>
      <c r="W751" s="17" t="str">
        <f>IF(ISNUMBER($B$537), IF($C751&lt;&gt;"", IF('Cost Inputs'!$L$166="Y", $E751, IF('Cost Inputs'!$L$166="N", IF(ISNUMBER('Cost Inputs'!$M$166), $E751, ""),"")),""),"")</f>
        <v/>
      </c>
      <c r="X751" s="17" t="str">
        <f>IF(ISNUMBER($B$537), IF($C751&lt;&gt;"", IF('Cost Inputs'!$L$166="Y", $E751, IF('Cost Inputs'!$L$166="N", "", "")),""),"")</f>
        <v/>
      </c>
      <c r="Y751" s="17" t="str">
        <f>IF(ISNUMBER($B$537), IF($C751&lt;&gt;"", IF('Cost Inputs'!$L$166="Y", $E751, IF('Cost Inputs'!$L$166="N", IF(AND(ISNUMBER('Cost Inputs'!$M$166), OR('Cost Inputs'!$M$166=2)), $E751, ""),"")),""),"")</f>
        <v/>
      </c>
      <c r="Z751" s="17" t="str">
        <f>IF(ISNUMBER($B$537), IF($C751&lt;&gt;"", IF('Cost Inputs'!$L$166="Y", $E751, IF('Cost Inputs'!$L$166="N", IF(AND(ISNUMBER('Cost Inputs'!$M$166), OR('Cost Inputs'!$M$166=3)), $E751, ""),"")),""),"")</f>
        <v/>
      </c>
      <c r="AA751" s="17" t="str">
        <f>IF(ISNUMBER($B$537), IF($C751&lt;&gt;"", IF('Cost Inputs'!$L$166="Y", $E751, IF('Cost Inputs'!$L$166="N", IF(AND(ISNUMBER('Cost Inputs'!$M$166), OR('Cost Inputs'!$M$166=2, 'Cost Inputs'!$M$166=4)), $E751, ""),"")),""),"")</f>
        <v/>
      </c>
      <c r="AB751" s="17" t="str">
        <f>IF(ISNUMBER($B$537), IF($C751&lt;&gt;"", IF('Cost Inputs'!$L$166="Y", $E751, IF('Cost Inputs'!$L$166="N", IF(AND(ISNUMBER('Cost Inputs'!$M$166), OR('Cost Inputs'!$M$166=2,'Cost Inputs'!$M$166=5)), $E751, ""),"")),""),"")</f>
        <v/>
      </c>
      <c r="AC751" s="17" t="str">
        <f>IF(ISNUMBER($B$537), IF($C751&lt;&gt;"", IF('Cost Inputs'!$L$166="Y", $E751, IF('Cost Inputs'!$L$166="N", IF(AND(ISNUMBER('Cost Inputs'!$M$166), OR('Cost Inputs'!$M$166=2,'Cost Inputs'!$M$166=3,'Cost Inputs'!$M$166=6)), $E751, ""),"")),""),"")</f>
        <v/>
      </c>
      <c r="AD751" s="17" t="str">
        <f>IF(ISNUMBER($B$537), IF($C751&lt;&gt;"", IF('Cost Inputs'!$L$166="Y", $E751, IF('Cost Inputs'!$L$166="N", IF(AND(ISNUMBER('Cost Inputs'!$M$166), OR('Cost Inputs'!$M$166=2,'Cost Inputs'!$M$166=7)), $E751, ""),"")),""),"")</f>
        <v/>
      </c>
      <c r="AE751" s="17" t="str">
        <f>IF(ISNUMBER($B$537), IF($C751&lt;&gt;"", IF('Cost Inputs'!$L$166="Y", $E751, IF('Cost Inputs'!$L$166="N", IF(AND(ISNUMBER('Cost Inputs'!$M$166), OR('Cost Inputs'!$M$166=2,'Cost Inputs'!$M$166=4,'Cost Inputs'!$M$166=8)), $E751, ""),"")),""),"")</f>
        <v/>
      </c>
      <c r="AF751" s="17" t="str">
        <f>IF(ISNUMBER($B$537), IF($C751&lt;&gt;"", IF('Cost Inputs'!$L$166="Y", $E751, IF('Cost Inputs'!$L$166="N", IF(AND(ISNUMBER('Cost Inputs'!$M$166), OR('Cost Inputs'!$M$166=2,'Cost Inputs'!$M$166=3,'Cost Inputs'!$M$166=9)), $E751, ""),"")),""),"")</f>
        <v/>
      </c>
    </row>
    <row r="752" spans="1:32" ht="15.75" thickBot="1" x14ac:dyDescent="0.3">
      <c r="A752" s="518"/>
      <c r="B752" s="505"/>
      <c r="C752" s="111" t="str">
        <f>IF(AND(ISNUMBER(B731), OR('Cost Inputs'!$H$167&lt;&gt;"", 'Cost Inputs'!$I$167&lt;&gt;"", 'Cost Inputs'!$J$167&lt;&gt;"")), _5_6_2, "")</f>
        <v/>
      </c>
      <c r="D752" s="95" t="str">
        <f>IF(AND(C752&lt;&gt;"", 'Cost Inputs'!$G$167&lt;&gt;""), 'Cost Inputs'!$G$167, "")</f>
        <v/>
      </c>
      <c r="E752" s="95" t="str">
        <f>IF(AND(C752&lt;&gt;"", 'Cost Inputs'!$H$167&lt;&gt;""), 'Cost Inputs'!$H$167, "")</f>
        <v/>
      </c>
      <c r="F752" s="95" t="str">
        <f>IF(AND(C752&lt;&gt;"", 'Cost Inputs'!$I$167&lt;&gt;""), 'Cost Inputs'!$I$167, "")</f>
        <v/>
      </c>
      <c r="G752" s="112" t="str">
        <f t="shared" si="476"/>
        <v/>
      </c>
      <c r="H752" s="95" t="str">
        <f>IF(AND(C752&lt;&gt;"", 'Cost Inputs'!$J$167&lt;&gt;""), 'Cost Inputs'!$J$167, "")</f>
        <v/>
      </c>
      <c r="I752" s="95" t="str">
        <f>IF($C752&lt;&gt;"", IF(AND($E752&lt;&gt;"", H752&lt;&gt;""), H752/$E752, 0),"")</f>
        <v/>
      </c>
      <c r="J752" s="95" t="str">
        <f>IF(AND(C752&lt;&gt;"",('Cost Inputs'!$I$167+'Cost Inputs'!$J$167+'Cost Inputs'!$K$167)&gt;0), 'Cost Inputs'!$I$167+'Cost Inputs'!$J$167+'Cost Inputs'!$K$167, "")</f>
        <v/>
      </c>
      <c r="K752" s="95" t="str">
        <f>IF($C752&lt;&gt;"", IF(AND($E752&lt;&gt;"", J752&lt;&gt;""), J752/$E752, 0),"")</f>
        <v/>
      </c>
      <c r="L752" s="95"/>
      <c r="M752" s="113"/>
      <c r="W752" s="95" t="str">
        <f>IF(ISNUMBER($B$537), IF($C752&lt;&gt;"", IF('Cost Inputs'!$L$167="Y", $E752, IF('Cost Inputs'!$L$167="N", IF(ISNUMBER('Cost Inputs'!$M$167), $E752, ""),"")),""),"")</f>
        <v/>
      </c>
      <c r="X752" s="95" t="str">
        <f>IF(ISNUMBER($B$537), IF($C752&lt;&gt;"", IF('Cost Inputs'!$L$167="Y", $E752, IF('Cost Inputs'!$L$167="N", "", "")),""),"")</f>
        <v/>
      </c>
      <c r="Y752" s="95" t="str">
        <f>IF(ISNUMBER($B$537), IF($C752&lt;&gt;"", IF('Cost Inputs'!$L$167="Y", $E752, IF('Cost Inputs'!$L$167="N", IF(AND(ISNUMBER('Cost Inputs'!$M$167), OR('Cost Inputs'!$M$167=2)), $E752, ""),"")),""),"")</f>
        <v/>
      </c>
      <c r="Z752" s="95" t="str">
        <f>IF(ISNUMBER($B$537), IF($C752&lt;&gt;"", IF('Cost Inputs'!$L$167="Y", $E752, IF('Cost Inputs'!$L$167="N", IF(AND(ISNUMBER('Cost Inputs'!$M$167), OR('Cost Inputs'!$M$167=3)), $E752, ""),"")),""),"")</f>
        <v/>
      </c>
      <c r="AA752" s="95" t="str">
        <f>IF(ISNUMBER($B$537), IF($C752&lt;&gt;"", IF('Cost Inputs'!$L$167="Y", $E752, IF('Cost Inputs'!$L$167="N", IF(AND(ISNUMBER('Cost Inputs'!$M$167), OR('Cost Inputs'!$M$167=2, 'Cost Inputs'!$M$167=4)), $E752, ""),"")),""),"")</f>
        <v/>
      </c>
      <c r="AB752" s="95" t="str">
        <f>IF(ISNUMBER($B$537), IF($C752&lt;&gt;"", IF('Cost Inputs'!$L$167="Y", $E752, IF('Cost Inputs'!$L$167="N", IF(AND(ISNUMBER('Cost Inputs'!$M$167), OR('Cost Inputs'!$M$167=2,'Cost Inputs'!$M$167=5)), $E752, ""),"")),""),"")</f>
        <v/>
      </c>
      <c r="AC752" s="95" t="str">
        <f>IF(ISNUMBER($B$537), IF($C752&lt;&gt;"", IF('Cost Inputs'!$L$167="Y", $E752, IF('Cost Inputs'!$L$167="N", IF(AND(ISNUMBER('Cost Inputs'!$M$167), OR('Cost Inputs'!$M$167=2,'Cost Inputs'!$M$167=3,'Cost Inputs'!$M$167=6)), $E752, ""),"")),""),"")</f>
        <v/>
      </c>
      <c r="AD752" s="95" t="str">
        <f>IF(ISNUMBER($B$537), IF($C752&lt;&gt;"", IF('Cost Inputs'!$L$167="Y", $E752, IF('Cost Inputs'!$L$167="N", IF(AND(ISNUMBER('Cost Inputs'!$M$167), OR('Cost Inputs'!$M$167=2,'Cost Inputs'!$M$167=7)), $E752, ""),"")),""),"")</f>
        <v/>
      </c>
      <c r="AE752" s="95" t="str">
        <f>IF(ISNUMBER($B$537), IF($C752&lt;&gt;"", IF('Cost Inputs'!$L$167="Y", $E752, IF('Cost Inputs'!$L$167="N", IF(AND(ISNUMBER('Cost Inputs'!$M$167), OR('Cost Inputs'!$M$167=2,'Cost Inputs'!$M$167=4,'Cost Inputs'!$M$167=8)), $E752, ""),"")),""),"")</f>
        <v/>
      </c>
      <c r="AF752" s="95" t="str">
        <f>IF(ISNUMBER($B$537), IF($C752&lt;&gt;"", IF('Cost Inputs'!$L$167="Y", $E752, IF('Cost Inputs'!$L$167="N", IF(AND(ISNUMBER('Cost Inputs'!$M$167), OR('Cost Inputs'!$M$167=2,'Cost Inputs'!$M$167=3,'Cost Inputs'!$M$167=9)), $E752, ""),"")),""),"")</f>
        <v/>
      </c>
    </row>
    <row r="753" spans="1:33" x14ac:dyDescent="0.25">
      <c r="A753" s="518" t="str">
        <f>Fifth_Stage</f>
        <v>Stage 3 Clonal Replication with Increased Repetitions</v>
      </c>
      <c r="B753" s="503" t="str">
        <f>'Breeding Inputs'!B110</f>
        <v/>
      </c>
      <c r="C753" s="520" t="str">
        <f>IF(ISNUMBER(B753), _5_3_0, "")</f>
        <v/>
      </c>
      <c r="D753" s="92" t="str">
        <f>IF(AND(C753&lt;&gt;"", 'Cost Inputs'!$G$146&lt;&gt;""), 'Cost Inputs'!$G$146, "")</f>
        <v/>
      </c>
      <c r="E753" s="92" t="str">
        <f>IF(AND(C753&lt;&gt;"", 'Cost Inputs'!$H$146&lt;&gt;""), 'Cost Inputs'!$H$146, "")</f>
        <v/>
      </c>
      <c r="F753" s="522" t="str">
        <f>IF(AND(C753&lt;&gt;"", 'Cost Inputs'!$I$146&lt;&gt;""), 'Cost Inputs'!$I$146, "")</f>
        <v/>
      </c>
      <c r="G753" s="100" t="str">
        <f t="shared" si="476"/>
        <v/>
      </c>
      <c r="H753" s="522" t="str">
        <f>IF(AND(C753&lt;&gt;"", 'Cost Inputs'!$J$146&lt;&gt;""), 'Cost Inputs'!$J$146, "")</f>
        <v/>
      </c>
      <c r="I753" s="100" t="str">
        <f>IF($C753&lt;&gt;"",IF(AND($E753&lt;&gt;"",H753&lt;&gt;""), H753/$E753, 0),"")</f>
        <v/>
      </c>
      <c r="J753" s="522" t="str">
        <f>IF(AND(C753&lt;&gt;"",('Cost Inputs'!$I$146+'Cost Inputs'!$J$146+'Cost Inputs'!$K$146)&gt;0), 'Cost Inputs'!$I$146+'Cost Inputs'!$J$146+'Cost Inputs'!$K$146, "")</f>
        <v/>
      </c>
      <c r="K753" s="100" t="str">
        <f>IF($C753&lt;&gt;"",IF(AND($E753&lt;&gt;"",J753&lt;&gt;""), J753/$E753, 0),"")</f>
        <v/>
      </c>
      <c r="L753" s="92"/>
      <c r="M753" s="101"/>
      <c r="X753" s="492" t="str">
        <f>IF(ISNUMBER($B$537), IF($C753&lt;&gt;"", IF('Cost Inputs'!$L$146="Y", $E753, IF('Cost Inputs'!$L$146="N", IF(ISNUMBER('Cost Inputs'!$M$146), $E753, ""),"")),""),"")</f>
        <v/>
      </c>
      <c r="Y753" s="492" t="str">
        <f>IF(ISNUMBER($B$537), IF($C753&lt;&gt;"", IF('Cost Inputs'!$L$146="Y", $E753, IF('Cost Inputs'!$L$146="N", "", "")),""),"")</f>
        <v/>
      </c>
      <c r="Z753" s="492" t="str">
        <f>IF(ISNUMBER($B$537), IF($C753&lt;&gt;"", IF('Cost Inputs'!$L$146="Y", $E753, IF('Cost Inputs'!$L$146="N", IF(AND(ISNUMBER('Cost Inputs'!$M$146), OR('Cost Inputs'!$M$146=2)), $E753, ""),"")),""),"")</f>
        <v/>
      </c>
      <c r="AA753" s="492" t="str">
        <f>IF(ISNUMBER($B$537), IF($C753&lt;&gt;"", IF('Cost Inputs'!$L$146="Y", $E753, IF('Cost Inputs'!$L$146="N", IF(AND(ISNUMBER('Cost Inputs'!$M$146), OR('Cost Inputs'!$M$146=3)), $E753, ""),"")),""),"")</f>
        <v/>
      </c>
      <c r="AB753" s="492" t="str">
        <f>IF(ISNUMBER($B$537), IF($C753&lt;&gt;"", IF('Cost Inputs'!$L$146="Y", $E753, IF('Cost Inputs'!$L$146="N", IF(AND(ISNUMBER('Cost Inputs'!$M$146), OR('Cost Inputs'!$M$146=2, 'Cost Inputs'!$M$146=4)), $E753, ""),"")),""),"")</f>
        <v/>
      </c>
      <c r="AC753" s="492" t="str">
        <f>IF(ISNUMBER($B$537), IF($C753&lt;&gt;"", IF('Cost Inputs'!$L$146="Y", $E753, IF('Cost Inputs'!$L$146="N", IF(AND(ISNUMBER('Cost Inputs'!$M$146), OR('Cost Inputs'!$M$146=2,'Cost Inputs'!$M$146=5)), $E753, ""),"")),""),"")</f>
        <v/>
      </c>
      <c r="AD753" s="492" t="str">
        <f>IF(ISNUMBER($B$537), IF($C753&lt;&gt;"", IF('Cost Inputs'!$L$146="Y", $E753, IF('Cost Inputs'!$L$146="N", IF(AND(ISNUMBER('Cost Inputs'!$M$146), OR('Cost Inputs'!$M$146=2,'Cost Inputs'!$M$146=3,'Cost Inputs'!$M$146=6)), $E753, ""),"")),""),"")</f>
        <v/>
      </c>
      <c r="AE753" s="492" t="str">
        <f>IF(ISNUMBER($B$537), IF($C753&lt;&gt;"", IF('Cost Inputs'!$L$146="Y", $E753, IF('Cost Inputs'!$L$146="N", IF(AND(ISNUMBER('Cost Inputs'!$M$146), OR('Cost Inputs'!$M$146=2,'Cost Inputs'!$M$146=7)), $E753, ""),"")),""),"")</f>
        <v/>
      </c>
      <c r="AF753" s="492" t="str">
        <f>IF(ISNUMBER($B$537), IF($C753&lt;&gt;"", IF('Cost Inputs'!$L$146="Y", $E753, IF('Cost Inputs'!$L$146="N", IF(AND(ISNUMBER('Cost Inputs'!$M$146), OR('Cost Inputs'!$M$146=2,'Cost Inputs'!$M$146=4,'Cost Inputs'!$M$146=8)), $E753, ""),"")),""),"")</f>
        <v/>
      </c>
      <c r="AG753" s="492" t="str">
        <f>IF(ISNUMBER($B$537), IF($C753&lt;&gt;"", IF('Cost Inputs'!$L$146="Y", $E753, IF('Cost Inputs'!$L$146="N", IF(AND(ISNUMBER('Cost Inputs'!$M$146), OR('Cost Inputs'!$M$146=2,'Cost Inputs'!$M$146=3,'Cost Inputs'!$M$146=9)), $E753, ""),"")),""),"")</f>
        <v/>
      </c>
    </row>
    <row r="754" spans="1:33" x14ac:dyDescent="0.25">
      <c r="A754" s="518"/>
      <c r="B754" s="504"/>
      <c r="C754" s="521"/>
      <c r="D754" s="94" t="str">
        <f>IF(AND(C753&lt;&gt;"", 'Cost Inputs'!$G$147&lt;&gt;""), 'Cost Inputs'!$G$147, "")</f>
        <v/>
      </c>
      <c r="E754" s="94" t="str">
        <f>IF(AND(C753&lt;&gt;"", 'Cost Inputs'!$H$147&lt;&gt;""), 'Cost Inputs'!$H$147, "")</f>
        <v/>
      </c>
      <c r="F754" s="492"/>
      <c r="G754" s="102" t="str">
        <f t="shared" si="476"/>
        <v/>
      </c>
      <c r="H754" s="492"/>
      <c r="I754" s="102" t="str">
        <f>IF($C753&lt;&gt;"", IF(AND($E754&lt;&gt;"", H753&lt;&gt;""), H753/($E753*$E754), 0), "")</f>
        <v/>
      </c>
      <c r="J754" s="492" t="str">
        <f>IF(AND(C754&lt;&gt;"",('Cost Inputs'!$I$86+'Cost Inputs'!$J$86+'Cost Inputs'!$K$86)&gt;0), 'Cost Inputs'!$I$86+'Cost Inputs'!$J$86+'Cost Inputs'!$K$86, "")</f>
        <v/>
      </c>
      <c r="K754" s="102" t="str">
        <f>IF($C753&lt;&gt;"", IF(AND($E754&lt;&gt;"", J753&lt;&gt;""), J753/($E753*$E754), 0), "")</f>
        <v/>
      </c>
      <c r="L754" s="94"/>
      <c r="M754" s="103"/>
      <c r="X754" s="492" t="str">
        <f>IF(ISNUMBER($B$537), IF($C754&lt;&gt;"", IF('Cost Inputs'!$L345="Y", $E754, IF('Cost Inputs'!$L345="N", IF(ISNUMBER('Cost Inputs'!$M345), $E754, ""),"")),""),"")</f>
        <v/>
      </c>
      <c r="Y754" s="492" t="str">
        <f>IF(ISNUMBER($B$537), IF($C754&lt;&gt;"", IF('Cost Inputs'!$L345="Y", $E754, IF('Cost Inputs'!$L345="N", "", "")),""),"")</f>
        <v/>
      </c>
      <c r="Z754" s="492" t="str">
        <f>IF(ISNUMBER($B$537), IF($C754&lt;&gt;"", IF('Cost Inputs'!$L345="Y", $E754, IF('Cost Inputs'!$L345="N", IF(AND(ISNUMBER('Cost Inputs'!$M345), OR('Cost Inputs'!$M345=2)), $E754, ""),"")),""),"")</f>
        <v/>
      </c>
      <c r="AA754" s="492" t="str">
        <f>IF(ISNUMBER($B$537), IF($C754&lt;&gt;"", IF('Cost Inputs'!$L345="Y", $E754, IF('Cost Inputs'!$L345="N", IF(AND(ISNUMBER('Cost Inputs'!$M345), OR('Cost Inputs'!$M345=3)), $E754, ""),"")),""),"")</f>
        <v/>
      </c>
      <c r="AB754" s="492" t="str">
        <f>IF(ISNUMBER($B$537), IF($C754&lt;&gt;"", IF('Cost Inputs'!$L345="Y", $E754, IF('Cost Inputs'!$L345="N", IF(AND(ISNUMBER('Cost Inputs'!$M345), OR('Cost Inputs'!$M345=2, 'Cost Inputs'!$M345=4)), $E754, ""),"")),""),"")</f>
        <v/>
      </c>
      <c r="AC754" s="492" t="str">
        <f>IF(ISNUMBER($B$537), IF($C754&lt;&gt;"", IF('Cost Inputs'!$L345="Y", $E754, IF('Cost Inputs'!$L345="N", IF(AND(ISNUMBER('Cost Inputs'!$M345), OR('Cost Inputs'!$M345=2,'Cost Inputs'!$M345=5)), $E754, ""),"")),""),"")</f>
        <v/>
      </c>
      <c r="AD754" s="492" t="str">
        <f>IF(ISNUMBER($B$537), IF($C754&lt;&gt;"", IF('Cost Inputs'!$L345="Y", $E754, IF('Cost Inputs'!$L345="N", IF(AND(ISNUMBER('Cost Inputs'!$M345), OR('Cost Inputs'!$M345=2,'Cost Inputs'!$M345=3,'Cost Inputs'!$M345=6)), $E754, ""),"")),""),"")</f>
        <v/>
      </c>
      <c r="AE754" s="492" t="str">
        <f>IF(ISNUMBER($B$537), IF($C754&lt;&gt;"", IF('Cost Inputs'!$L345="Y", $E754, IF('Cost Inputs'!$L345="N", IF(AND(ISNUMBER('Cost Inputs'!$M345), OR('Cost Inputs'!$M345=2,'Cost Inputs'!$M345=7)), $E754, ""),"")),""),"")</f>
        <v/>
      </c>
      <c r="AF754" s="492" t="str">
        <f>IF(ISNUMBER($B$537), IF($C754&lt;&gt;"", IF('Cost Inputs'!$L345="Y", $E754, IF('Cost Inputs'!$L345="N", IF(AND(ISNUMBER('Cost Inputs'!$M345), OR('Cost Inputs'!$M345=2,'Cost Inputs'!$M345=4,'Cost Inputs'!$M345=8)), $E754, ""),"")),""),"")</f>
        <v/>
      </c>
      <c r="AG754" s="492" t="str">
        <f>IF(ISNUMBER($B$537), IF($C754&lt;&gt;"", IF('Cost Inputs'!$L345="Y", $E754, IF('Cost Inputs'!$L345="N", IF(AND(ISNUMBER('Cost Inputs'!$M345), OR('Cost Inputs'!$M345=2,'Cost Inputs'!$M345=3,'Cost Inputs'!$M345=9)), $E754, ""),"")),""),"")</f>
        <v/>
      </c>
    </row>
    <row r="755" spans="1:33" x14ac:dyDescent="0.25">
      <c r="A755" s="518"/>
      <c r="B755" s="504"/>
      <c r="C755" s="104" t="str">
        <f>IF(AND(ISNUMBER(B753), OR('Cost Inputs'!$H$148&lt;&gt;"", 'Cost Inputs'!$I$148&lt;&gt;"", 'Cost Inputs'!$J$148&lt;&gt;"")), _5_3_1, "")</f>
        <v/>
      </c>
      <c r="D755" s="17" t="str">
        <f>IF(AND(C755&lt;&gt;"", 'Cost Inputs'!$G$148&lt;&gt;""), 'Cost Inputs'!$G$148, "")</f>
        <v/>
      </c>
      <c r="E755" s="17" t="str">
        <f>IF(AND(C755&lt;&gt;"", 'Cost Inputs'!$H$148&lt;&gt;""), 'Cost Inputs'!$H$148, "")</f>
        <v/>
      </c>
      <c r="F755" s="17" t="str">
        <f>IF(AND(C755&lt;&gt;"", 'Cost Inputs'!$I$148&lt;&gt;""), 'Cost Inputs'!$I$148, "")</f>
        <v/>
      </c>
      <c r="G755" s="105" t="str">
        <f t="shared" si="476"/>
        <v/>
      </c>
      <c r="H755" s="17" t="str">
        <f>IF(AND(C755&lt;&gt;"", 'Cost Inputs'!$J$148&lt;&gt;""), 'Cost Inputs'!$J$148, "")</f>
        <v/>
      </c>
      <c r="I755" s="17" t="str">
        <f t="shared" ref="I755:I763" si="477">IF($C755&lt;&gt;"", IF(AND($E755&lt;&gt;"", H755&lt;&gt;""), H755/$E755, 0),"")</f>
        <v/>
      </c>
      <c r="J755" s="17" t="str">
        <f>IF(AND(C755&lt;&gt;"",('Cost Inputs'!$I$148+'Cost Inputs'!$J$148+'Cost Inputs'!$K$148)&gt;0), 'Cost Inputs'!$I$148+'Cost Inputs'!$J$148+'Cost Inputs'!$K$148, "")</f>
        <v/>
      </c>
      <c r="K755" s="17" t="str">
        <f t="shared" ref="K755:K763" si="478">IF($C755&lt;&gt;"", IF(AND($E755&lt;&gt;"", J755&lt;&gt;""), J755/$E755, 0),"")</f>
        <v/>
      </c>
      <c r="M755" s="106"/>
      <c r="X755" s="17" t="str">
        <f>IF(ISNUMBER($B$537), IF($C755&lt;&gt;"", IF('Cost Inputs'!$L$148="Y", $E755, IF('Cost Inputs'!$L$148="N", IF(ISNUMBER('Cost Inputs'!$M$148), $E755, ""),"")),""),"")</f>
        <v/>
      </c>
      <c r="Y755" s="17" t="str">
        <f>IF(ISNUMBER($B$537), IF($C755&lt;&gt;"", IF('Cost Inputs'!$L$148="Y", $E755, IF('Cost Inputs'!$L$148="N", "", "")),""),"")</f>
        <v/>
      </c>
      <c r="Z755" s="17" t="str">
        <f>IF(ISNUMBER($B$537), IF($C755&lt;&gt;"", IF('Cost Inputs'!$L$148="Y", $E755, IF('Cost Inputs'!$L$148="N", IF(AND(ISNUMBER('Cost Inputs'!$M$148), OR('Cost Inputs'!$M$148=2)), $E755, ""),"")),""),"")</f>
        <v/>
      </c>
      <c r="AA755" s="17" t="str">
        <f>IF(ISNUMBER($B$537), IF($C755&lt;&gt;"", IF('Cost Inputs'!$L$148="Y", $E755, IF('Cost Inputs'!$L$148="N", IF(AND(ISNUMBER('Cost Inputs'!$M$148), OR('Cost Inputs'!$M$148=3)), $E755, ""),"")),""),"")</f>
        <v/>
      </c>
      <c r="AB755" s="17" t="str">
        <f>IF(ISNUMBER($B$537), IF($C755&lt;&gt;"", IF('Cost Inputs'!$L$148="Y", $E755, IF('Cost Inputs'!$L$148="N", IF(AND(ISNUMBER('Cost Inputs'!$M$148), OR('Cost Inputs'!$M$148=2, 'Cost Inputs'!$M$148=4)), $E755, ""),"")),""),"")</f>
        <v/>
      </c>
      <c r="AC755" s="17" t="str">
        <f>IF(ISNUMBER($B$537), IF($C755&lt;&gt;"", IF('Cost Inputs'!$L$148="Y", $E755, IF('Cost Inputs'!$L$148="N", IF(AND(ISNUMBER('Cost Inputs'!$M$148), OR('Cost Inputs'!$M$148=2,'Cost Inputs'!$M$148=5)), $E755, ""),"")),""),"")</f>
        <v/>
      </c>
      <c r="AD755" s="17" t="str">
        <f>IF(ISNUMBER($B$537), IF($C755&lt;&gt;"", IF('Cost Inputs'!$L$148="Y", $E755, IF('Cost Inputs'!$L$148="N", IF(AND(ISNUMBER('Cost Inputs'!$M$148), OR('Cost Inputs'!$M$148=2,'Cost Inputs'!$M$148=3,'Cost Inputs'!$M$148=6)), $E755, ""),"")),""),"")</f>
        <v/>
      </c>
      <c r="AE755" s="17" t="str">
        <f>IF(ISNUMBER($B$537), IF($C755&lt;&gt;"", IF('Cost Inputs'!$L$148="Y", $E755, IF('Cost Inputs'!$L$148="N", IF(AND(ISNUMBER('Cost Inputs'!$M$148), OR('Cost Inputs'!$M$148=2,'Cost Inputs'!$M$148=7)), $E755, ""),"")),""),"")</f>
        <v/>
      </c>
      <c r="AF755" s="17" t="str">
        <f>IF(ISNUMBER($B$537), IF($C755&lt;&gt;"", IF('Cost Inputs'!$L$148="Y", $E755, IF('Cost Inputs'!$L$148="N", IF(AND(ISNUMBER('Cost Inputs'!$M$148), OR('Cost Inputs'!$M$148=2,'Cost Inputs'!$M$148=4,'Cost Inputs'!$M$148=8)), $E755, ""),"")),""),"")</f>
        <v/>
      </c>
      <c r="AG755" s="17" t="str">
        <f>IF(ISNUMBER($B$537), IF($C755&lt;&gt;"", IF('Cost Inputs'!$L$148="Y", $E755, IF('Cost Inputs'!$L$148="N", IF(AND(ISNUMBER('Cost Inputs'!$M$148), OR('Cost Inputs'!$M$148=2,'Cost Inputs'!$M$148=3,'Cost Inputs'!$M$148=9)), $E755, ""),"")),""),"")</f>
        <v/>
      </c>
    </row>
    <row r="756" spans="1:33" x14ac:dyDescent="0.25">
      <c r="A756" s="518"/>
      <c r="B756" s="504"/>
      <c r="C756" s="107" t="str">
        <f>IF(AND(ISNUMBER(B753), OR('Cost Inputs'!$H$149&lt;&gt;"", 'Cost Inputs'!$I$149&lt;&gt;"", 'Cost Inputs'!$J$149&lt;&gt;"")), _5_3_2, "")</f>
        <v/>
      </c>
      <c r="D756" s="93" t="str">
        <f>IF(AND(C756&lt;&gt;"", 'Cost Inputs'!$G$149&lt;&gt;""), 'Cost Inputs'!$G$149, "")</f>
        <v/>
      </c>
      <c r="E756" s="93" t="str">
        <f>IF(AND(C756&lt;&gt;"", 'Cost Inputs'!$H$149&lt;&gt;""), 'Cost Inputs'!$H$149, "")</f>
        <v/>
      </c>
      <c r="F756" s="93" t="str">
        <f>IF(AND(C756&lt;&gt;"", 'Cost Inputs'!$I$149&lt;&gt;""), 'Cost Inputs'!$I$149, "")</f>
        <v/>
      </c>
      <c r="G756" s="108" t="str">
        <f t="shared" si="476"/>
        <v/>
      </c>
      <c r="H756" s="93" t="str">
        <f>IF(AND(C756&lt;&gt;"", 'Cost Inputs'!$J$149&lt;&gt;""), 'Cost Inputs'!$J$149, "")</f>
        <v/>
      </c>
      <c r="I756" s="93" t="str">
        <f t="shared" si="477"/>
        <v/>
      </c>
      <c r="J756" s="93" t="str">
        <f>IF(AND(C756&lt;&gt;"",('Cost Inputs'!$I$149+'Cost Inputs'!$J$149+'Cost Inputs'!$K$149)&gt;0), 'Cost Inputs'!$I$149+'Cost Inputs'!$J$149+'Cost Inputs'!$K$149, "")</f>
        <v/>
      </c>
      <c r="K756" s="93" t="str">
        <f t="shared" si="478"/>
        <v/>
      </c>
      <c r="L756" s="93"/>
      <c r="M756" s="109"/>
      <c r="X756" s="93" t="str">
        <f>IF(ISNUMBER($B$537), IF($C756&lt;&gt;"", IF('Cost Inputs'!$L$149="Y", $E756, IF('Cost Inputs'!$L$149="N", IF(ISNUMBER('Cost Inputs'!$M$149), $E756, ""),"")),""),"")</f>
        <v/>
      </c>
      <c r="Y756" s="93" t="str">
        <f>IF(ISNUMBER($B$537), IF($C756&lt;&gt;"", IF('Cost Inputs'!$L$149="Y", $E756, IF('Cost Inputs'!$L$149="N", "", "")),""),"")</f>
        <v/>
      </c>
      <c r="Z756" s="93" t="str">
        <f>IF(ISNUMBER($B$537), IF($C756&lt;&gt;"", IF('Cost Inputs'!$L$149="Y", $E756, IF('Cost Inputs'!$L$149="N", IF(AND(ISNUMBER('Cost Inputs'!$M$149), OR('Cost Inputs'!$M$149=2)), $E756, ""),"")),""),"")</f>
        <v/>
      </c>
      <c r="AA756" s="93" t="str">
        <f>IF(ISNUMBER($B$537), IF($C756&lt;&gt;"", IF('Cost Inputs'!$L$149="Y", $E756, IF('Cost Inputs'!$L$149="N", IF(AND(ISNUMBER('Cost Inputs'!$M$149), OR('Cost Inputs'!$M$149=3)), $E756, ""),"")),""),"")</f>
        <v/>
      </c>
      <c r="AB756" s="93" t="str">
        <f>IF(ISNUMBER($B$537), IF($C756&lt;&gt;"", IF('Cost Inputs'!$L$149="Y", $E756, IF('Cost Inputs'!$L$149="N", IF(AND(ISNUMBER('Cost Inputs'!$M$149), OR('Cost Inputs'!$M$149=2, 'Cost Inputs'!$M$149=4)), $E756, ""),"")),""),"")</f>
        <v/>
      </c>
      <c r="AC756" s="93" t="str">
        <f>IF(ISNUMBER($B$537), IF($C756&lt;&gt;"", IF('Cost Inputs'!$L$149="Y", $E756, IF('Cost Inputs'!$L$149="N", IF(AND(ISNUMBER('Cost Inputs'!$M$149), OR('Cost Inputs'!$M$149=2,'Cost Inputs'!$M$149=5)), $E756, ""),"")),""),"")</f>
        <v/>
      </c>
      <c r="AD756" s="93" t="str">
        <f>IF(ISNUMBER($B$537), IF($C756&lt;&gt;"", IF('Cost Inputs'!$L$149="Y", $E756, IF('Cost Inputs'!$L$149="N", IF(AND(ISNUMBER('Cost Inputs'!$M$149), OR('Cost Inputs'!$M$149=2,'Cost Inputs'!$M$149=3,'Cost Inputs'!$M$149=6)), $E756, ""),"")),""),"")</f>
        <v/>
      </c>
      <c r="AE756" s="93" t="str">
        <f>IF(ISNUMBER($B$537), IF($C756&lt;&gt;"", IF('Cost Inputs'!$L$149="Y", $E756, IF('Cost Inputs'!$L$149="N", IF(AND(ISNUMBER('Cost Inputs'!$M$149), OR('Cost Inputs'!$M$149=2,'Cost Inputs'!$M$149=7)), $E756, ""),"")),""),"")</f>
        <v/>
      </c>
      <c r="AF756" s="93" t="str">
        <f>IF(ISNUMBER($B$537), IF($C756&lt;&gt;"", IF('Cost Inputs'!$L$149="Y", $E756, IF('Cost Inputs'!$L$149="N", IF(AND(ISNUMBER('Cost Inputs'!$M$149), OR('Cost Inputs'!$M$149=2,'Cost Inputs'!$M$149=4,'Cost Inputs'!$M$149=8)), $E756, ""),"")),""),"")</f>
        <v/>
      </c>
      <c r="AG756" s="93" t="str">
        <f>IF(ISNUMBER($B$537), IF($C756&lt;&gt;"", IF('Cost Inputs'!$L$149="Y", $E756, IF('Cost Inputs'!$L$149="N", IF(AND(ISNUMBER('Cost Inputs'!$M$149), OR('Cost Inputs'!$M$149=2,'Cost Inputs'!$M$149=3,'Cost Inputs'!$M$149=9)), $E756, ""),"")),""),"")</f>
        <v/>
      </c>
    </row>
    <row r="757" spans="1:33" x14ac:dyDescent="0.25">
      <c r="A757" s="518"/>
      <c r="B757" s="504"/>
      <c r="C757" s="110" t="str">
        <f>IF(ISNUMBER(B753), _5_4_0, "")</f>
        <v/>
      </c>
      <c r="D757" s="94" t="str">
        <f>IF(AND(C757&lt;&gt;"", 'Cost Inputs'!$G$150&lt;&gt;""), 'Cost Inputs'!$G$150, "")</f>
        <v/>
      </c>
      <c r="E757" s="94" t="str">
        <f>IF(AND(C757&lt;&gt;"", 'Cost Inputs'!$H$150&lt;&gt;""), 'Cost Inputs'!$H$150, "")</f>
        <v/>
      </c>
      <c r="F757" s="94" t="str">
        <f>IF(AND(C757&lt;&gt;"", 'Cost Inputs'!$I$150&lt;&gt;""), 'Cost Inputs'!$I$150, "")</f>
        <v/>
      </c>
      <c r="G757" s="102" t="str">
        <f t="shared" si="476"/>
        <v/>
      </c>
      <c r="H757" s="102" t="str">
        <f>IF(AND(C757&lt;&gt;"", 'Cost Inputs'!$J$150&lt;&gt;""), 'Cost Inputs'!$J$150, "")</f>
        <v/>
      </c>
      <c r="I757" s="102" t="str">
        <f t="shared" si="477"/>
        <v/>
      </c>
      <c r="J757" s="102" t="str">
        <f>IF(AND(C757&lt;&gt;"",('Cost Inputs'!$I$150+'Cost Inputs'!$J$150+'Cost Inputs'!$K$150)&gt;0), 'Cost Inputs'!$I$150+'Cost Inputs'!$J$150+'Cost Inputs'!$K$150, "")</f>
        <v/>
      </c>
      <c r="K757" s="102" t="str">
        <f t="shared" si="478"/>
        <v/>
      </c>
      <c r="L757" s="94"/>
      <c r="M757" s="103"/>
      <c r="X757" s="102" t="str">
        <f>IF(ISNUMBER($B$537), IF($C757&lt;&gt;"", IF('Cost Inputs'!$L$150="Y", $E757, IF('Cost Inputs'!$L$150="N", IF(ISNUMBER('Cost Inputs'!$M$150), $E757, ""),"")),""),"")</f>
        <v/>
      </c>
      <c r="Y757" s="102" t="str">
        <f>IF(ISNUMBER($B$537), IF($C757&lt;&gt;"", IF('Cost Inputs'!$L$150="Y", $E757, IF('Cost Inputs'!$L$150="N", "", "")),""),"")</f>
        <v/>
      </c>
      <c r="Z757" s="102" t="str">
        <f>IF(ISNUMBER($B$537), IF($C757&lt;&gt;"", IF('Cost Inputs'!$L$150="Y", $E757, IF('Cost Inputs'!$L$150="N", IF(AND(ISNUMBER('Cost Inputs'!$M$150), OR('Cost Inputs'!$M$150=2)), $E757, ""),"")),""),"")</f>
        <v/>
      </c>
      <c r="AA757" s="102" t="str">
        <f>IF(ISNUMBER($B$537), IF($C757&lt;&gt;"", IF('Cost Inputs'!$L$150="Y", $E757, IF('Cost Inputs'!$L$150="N", IF(AND(ISNUMBER('Cost Inputs'!$M$150), OR('Cost Inputs'!$M$150=3)), $E757, ""),"")),""),"")</f>
        <v/>
      </c>
      <c r="AB757" s="102" t="str">
        <f>IF(ISNUMBER($B$537), IF($C757&lt;&gt;"", IF('Cost Inputs'!$L$150="Y", $E757, IF('Cost Inputs'!$L$150="N", IF(AND(ISNUMBER('Cost Inputs'!$M$150), OR('Cost Inputs'!$M$150=2, 'Cost Inputs'!$M$150=4)), $E757, ""),"")),""),"")</f>
        <v/>
      </c>
      <c r="AC757" s="102" t="str">
        <f>IF(ISNUMBER($B$537), IF($C757&lt;&gt;"", IF('Cost Inputs'!$L$150="Y", $E757, IF('Cost Inputs'!$L$150="N", IF(AND(ISNUMBER('Cost Inputs'!$M$150), OR('Cost Inputs'!$M$150=2,'Cost Inputs'!$M$150=5)), $E757, ""),"")),""),"")</f>
        <v/>
      </c>
      <c r="AD757" s="102" t="str">
        <f>IF(ISNUMBER($B$537), IF($C757&lt;&gt;"", IF('Cost Inputs'!$L$150="Y", $E757, IF('Cost Inputs'!$L$150="N", IF(AND(ISNUMBER('Cost Inputs'!$M$150), OR('Cost Inputs'!$M$150=2,'Cost Inputs'!$M$150=3,'Cost Inputs'!$M$150=6)), $E757, ""),"")),""),"")</f>
        <v/>
      </c>
      <c r="AE757" s="102" t="str">
        <f>IF(ISNUMBER($B$537), IF($C757&lt;&gt;"", IF('Cost Inputs'!$L$150="Y", $E757, IF('Cost Inputs'!$L$150="N", IF(AND(ISNUMBER('Cost Inputs'!$M$150), OR('Cost Inputs'!$M$150=2,'Cost Inputs'!$M$150=7)), $E757, ""),"")),""),"")</f>
        <v/>
      </c>
      <c r="AF757" s="102" t="str">
        <f>IF(ISNUMBER($B$537), IF($C757&lt;&gt;"", IF('Cost Inputs'!$L$150="Y", $E757, IF('Cost Inputs'!$L$150="N", IF(AND(ISNUMBER('Cost Inputs'!$M$150), OR('Cost Inputs'!$M$150=2,'Cost Inputs'!$M$150=4,'Cost Inputs'!$M$150=8)), $E757, ""),"")),""),"")</f>
        <v/>
      </c>
      <c r="AG757" s="102" t="str">
        <f>IF(ISNUMBER($B$537), IF($C757&lt;&gt;"", IF('Cost Inputs'!$L$150="Y", $E757, IF('Cost Inputs'!$L$150="N", IF(AND(ISNUMBER('Cost Inputs'!$M$150), OR('Cost Inputs'!$M$150=2,'Cost Inputs'!$M$150=3,'Cost Inputs'!$M$150=9)), $E757, ""),"")),""),"")</f>
        <v/>
      </c>
    </row>
    <row r="758" spans="1:33" x14ac:dyDescent="0.25">
      <c r="A758" s="518"/>
      <c r="B758" s="504"/>
      <c r="C758" s="104" t="str">
        <f>IF(AND(ISNUMBER(B753), OR('Cost Inputs'!$H$151&lt;&gt;"", 'Cost Inputs'!$I$151&lt;&gt;"", 'Cost Inputs'!$J$151&lt;&gt;"")), _5_4_1, "")</f>
        <v/>
      </c>
      <c r="D758" s="17" t="str">
        <f>IF(AND(C758&lt;&gt;"", 'Cost Inputs'!$G$151&lt;&gt;""), 'Cost Inputs'!$G$151, "")</f>
        <v/>
      </c>
      <c r="E758" s="17" t="str">
        <f>IF(AND(C758&lt;&gt;"", 'Cost Inputs'!$H$151&lt;&gt;""), 'Cost Inputs'!$H$151, "")</f>
        <v/>
      </c>
      <c r="F758" s="17" t="str">
        <f>IF(AND(C758&lt;&gt;"", 'Cost Inputs'!$I$151&lt;&gt;""), 'Cost Inputs'!$I$151, "")</f>
        <v/>
      </c>
      <c r="G758" s="105" t="str">
        <f t="shared" si="476"/>
        <v/>
      </c>
      <c r="H758" s="17" t="str">
        <f>IF(AND(C758&lt;&gt;"", 'Cost Inputs'!$J$151&lt;&gt;""), 'Cost Inputs'!$J$151, "")</f>
        <v/>
      </c>
      <c r="I758" s="17" t="str">
        <f t="shared" si="477"/>
        <v/>
      </c>
      <c r="J758" s="17" t="str">
        <f>IF(AND(C758&lt;&gt;"",('Cost Inputs'!$I$151+'Cost Inputs'!$J$151+'Cost Inputs'!$K$151)&gt;0), 'Cost Inputs'!$I$151+'Cost Inputs'!$J$151+'Cost Inputs'!$K$151, "")</f>
        <v/>
      </c>
      <c r="K758" s="17" t="str">
        <f t="shared" si="478"/>
        <v/>
      </c>
      <c r="M758" s="106"/>
      <c r="X758" s="17" t="str">
        <f>IF(ISNUMBER($B$537), IF($C758&lt;&gt;"", IF('Cost Inputs'!$L$151="Y", $E758, IF('Cost Inputs'!$L$151="N", IF(ISNUMBER('Cost Inputs'!$M$151), $E758, ""),"")),""),"")</f>
        <v/>
      </c>
      <c r="Y758" s="17" t="str">
        <f>IF(ISNUMBER($B$537), IF($C758&lt;&gt;"", IF('Cost Inputs'!$L$151="Y", $E758, IF('Cost Inputs'!$L$151="N", "", "")),""),"")</f>
        <v/>
      </c>
      <c r="Z758" s="17" t="str">
        <f>IF(ISNUMBER($B$537), IF($C758&lt;&gt;"", IF('Cost Inputs'!$L$151="Y", $E758, IF('Cost Inputs'!$L$151="N", IF(AND(ISNUMBER('Cost Inputs'!$M$151), OR('Cost Inputs'!$M$151=2)), $E758, ""),"")),""),"")</f>
        <v/>
      </c>
      <c r="AA758" s="17" t="str">
        <f>IF(ISNUMBER($B$537), IF($C758&lt;&gt;"", IF('Cost Inputs'!$L$151="Y", $E758, IF('Cost Inputs'!$L$151="N", IF(AND(ISNUMBER('Cost Inputs'!$M$151), OR('Cost Inputs'!$M$151=3)), $E758, ""),"")),""),"")</f>
        <v/>
      </c>
      <c r="AB758" s="17" t="str">
        <f>IF(ISNUMBER($B$537), IF($C758&lt;&gt;"", IF('Cost Inputs'!$L$151="Y", $E758, IF('Cost Inputs'!$L$151="N", IF(AND(ISNUMBER('Cost Inputs'!$M$151), OR('Cost Inputs'!$M$151=2, 'Cost Inputs'!$M$151=4)), $E758, ""),"")),""),"")</f>
        <v/>
      </c>
      <c r="AC758" s="17" t="str">
        <f>IF(ISNUMBER($B$537), IF($C758&lt;&gt;"", IF('Cost Inputs'!$L$151="Y", $E758, IF('Cost Inputs'!$L$151="N", IF(AND(ISNUMBER('Cost Inputs'!$M$151), OR('Cost Inputs'!$M$151=2,'Cost Inputs'!$M$151=5)), $E758, ""),"")),""),"")</f>
        <v/>
      </c>
      <c r="AD758" s="17" t="str">
        <f>IF(ISNUMBER($B$537), IF($C758&lt;&gt;"", IF('Cost Inputs'!$L$151="Y", $E758, IF('Cost Inputs'!$L$151="N", IF(AND(ISNUMBER('Cost Inputs'!$M$151), OR('Cost Inputs'!$M$151=2,'Cost Inputs'!$M$151=3,'Cost Inputs'!$M$151=6)), $E758, ""),"")),""),"")</f>
        <v/>
      </c>
      <c r="AE758" s="17" t="str">
        <f>IF(ISNUMBER($B$537), IF($C758&lt;&gt;"", IF('Cost Inputs'!$L$151="Y", $E758, IF('Cost Inputs'!$L$151="N", IF(AND(ISNUMBER('Cost Inputs'!$M$151), OR('Cost Inputs'!$M$151=2,'Cost Inputs'!$M$151=7)), $E758, ""),"")),""),"")</f>
        <v/>
      </c>
      <c r="AF758" s="17" t="str">
        <f>IF(ISNUMBER($B$537), IF($C758&lt;&gt;"", IF('Cost Inputs'!$L$151="Y", $E758, IF('Cost Inputs'!$L$151="N", IF(AND(ISNUMBER('Cost Inputs'!$M$151), OR('Cost Inputs'!$M$151=2,'Cost Inputs'!$M$151=4,'Cost Inputs'!$M$151=8)), $E758, ""),"")),""),"")</f>
        <v/>
      </c>
      <c r="AG758" s="17" t="str">
        <f>IF(ISNUMBER($B$537), IF($C758&lt;&gt;"", IF('Cost Inputs'!$L$151="Y", $E758, IF('Cost Inputs'!$L$151="N", IF(AND(ISNUMBER('Cost Inputs'!$M$151), OR('Cost Inputs'!$M$151=2,'Cost Inputs'!$M$151=3,'Cost Inputs'!$M$151=9)), $E758, ""),"")),""),"")</f>
        <v/>
      </c>
    </row>
    <row r="759" spans="1:33" x14ac:dyDescent="0.25">
      <c r="A759" s="518"/>
      <c r="B759" s="504"/>
      <c r="C759" s="107" t="str">
        <f>IF(AND(ISNUMBER(B753), OR('Cost Inputs'!$H$152&lt;&gt;"", 'Cost Inputs'!$I$152&lt;&gt;"", 'Cost Inputs'!$J$152&lt;&gt;"")), _5_4_2, "")</f>
        <v/>
      </c>
      <c r="D759" s="93" t="str">
        <f>IF(AND(C759&lt;&gt;"", 'Cost Inputs'!$G$152&lt;&gt;""), 'Cost Inputs'!$G$152, "")</f>
        <v/>
      </c>
      <c r="E759" s="93" t="str">
        <f>IF(AND(C759&lt;&gt;"", 'Cost Inputs'!$H$152&lt;&gt;""), 'Cost Inputs'!$H$152, "")</f>
        <v/>
      </c>
      <c r="F759" s="93" t="str">
        <f>IF(AND(C759&lt;&gt;"", 'Cost Inputs'!$I$152&lt;&gt;""), 'Cost Inputs'!$I$152, "")</f>
        <v/>
      </c>
      <c r="G759" s="108" t="str">
        <f t="shared" si="476"/>
        <v/>
      </c>
      <c r="H759" s="93" t="str">
        <f>IF(AND(C759&lt;&gt;"", 'Cost Inputs'!$J$152&lt;&gt;""), 'Cost Inputs'!$J$152, "")</f>
        <v/>
      </c>
      <c r="I759" s="93" t="str">
        <f t="shared" si="477"/>
        <v/>
      </c>
      <c r="J759" s="93" t="str">
        <f>IF(AND(C759&lt;&gt;"",('Cost Inputs'!$I$152+'Cost Inputs'!$J$152+'Cost Inputs'!$K$152)&gt;0), 'Cost Inputs'!$I$152+'Cost Inputs'!$J$152+'Cost Inputs'!$K$152, "")</f>
        <v/>
      </c>
      <c r="K759" s="93" t="str">
        <f t="shared" si="478"/>
        <v/>
      </c>
      <c r="L759" s="93"/>
      <c r="M759" s="109"/>
      <c r="X759" s="93" t="str">
        <f>IF(ISNUMBER($B$537), IF($C759&lt;&gt;"", IF('Cost Inputs'!$L$152="Y", $E759, IF('Cost Inputs'!$L$152="N", IF(ISNUMBER('Cost Inputs'!$M$152), $E759, ""),"")),""),"")</f>
        <v/>
      </c>
      <c r="Y759" s="93" t="str">
        <f>IF(ISNUMBER($B$537), IF($C759&lt;&gt;"", IF('Cost Inputs'!$L$152="Y", $E759, IF('Cost Inputs'!$L$152="N", "", "")),""),"")</f>
        <v/>
      </c>
      <c r="Z759" s="93" t="str">
        <f>IF(ISNUMBER($B$537), IF($C759&lt;&gt;"", IF('Cost Inputs'!$L$152="Y", $E759, IF('Cost Inputs'!$L$152="N", IF(AND(ISNUMBER('Cost Inputs'!$M$152), OR('Cost Inputs'!$M$152=2)), $E759, ""),"")),""),"")</f>
        <v/>
      </c>
      <c r="AA759" s="93" t="str">
        <f>IF(ISNUMBER($B$537), IF($C759&lt;&gt;"", IF('Cost Inputs'!$L$152="Y", $E759, IF('Cost Inputs'!$L$152="N", IF(AND(ISNUMBER('Cost Inputs'!$M$152), OR('Cost Inputs'!$M$152=3)), $E759, ""),"")),""),"")</f>
        <v/>
      </c>
      <c r="AB759" s="93" t="str">
        <f>IF(ISNUMBER($B$537), IF($C759&lt;&gt;"", IF('Cost Inputs'!$L$152="Y", $E759, IF('Cost Inputs'!$L$152="N", IF(AND(ISNUMBER('Cost Inputs'!$M$152), OR('Cost Inputs'!$M$152=2, 'Cost Inputs'!$M$152=4)), $E759, ""),"")),""),"")</f>
        <v/>
      </c>
      <c r="AC759" s="93" t="str">
        <f>IF(ISNUMBER($B$537), IF($C759&lt;&gt;"", IF('Cost Inputs'!$L$152="Y", $E759, IF('Cost Inputs'!$L$152="N", IF(AND(ISNUMBER('Cost Inputs'!$M$152), OR('Cost Inputs'!$M$152=2,'Cost Inputs'!$M$152=5)), $E759, ""),"")),""),"")</f>
        <v/>
      </c>
      <c r="AD759" s="93" t="str">
        <f>IF(ISNUMBER($B$537), IF($C759&lt;&gt;"", IF('Cost Inputs'!$L$152="Y", $E759, IF('Cost Inputs'!$L$152="N", IF(AND(ISNUMBER('Cost Inputs'!$M$152), OR('Cost Inputs'!$M$152=2,'Cost Inputs'!$M$152=3,'Cost Inputs'!$M$152=6)), $E759, ""),"")),""),"")</f>
        <v/>
      </c>
      <c r="AE759" s="93" t="str">
        <f>IF(ISNUMBER($B$537), IF($C759&lt;&gt;"", IF('Cost Inputs'!$L$152="Y", $E759, IF('Cost Inputs'!$L$152="N", IF(AND(ISNUMBER('Cost Inputs'!$M$152), OR('Cost Inputs'!$M$152=2,'Cost Inputs'!$M$152=7)), $E759, ""),"")),""),"")</f>
        <v/>
      </c>
      <c r="AF759" s="93" t="str">
        <f>IF(ISNUMBER($B$537), IF($C759&lt;&gt;"", IF('Cost Inputs'!$L$152="Y", $E759, IF('Cost Inputs'!$L$152="N", IF(AND(ISNUMBER('Cost Inputs'!$M$152), OR('Cost Inputs'!$M$152=2,'Cost Inputs'!$M$152=4,'Cost Inputs'!$M$152=8)), $E759, ""),"")),""),"")</f>
        <v/>
      </c>
      <c r="AG759" s="93" t="str">
        <f>IF(ISNUMBER($B$537), IF($C759&lt;&gt;"", IF('Cost Inputs'!$L$152="Y", $E759, IF('Cost Inputs'!$L$152="N", IF(AND(ISNUMBER('Cost Inputs'!$M$152), OR('Cost Inputs'!$M$152=2,'Cost Inputs'!$M$152=3,'Cost Inputs'!$M$152=9)), $E759, ""),"")),""),"")</f>
        <v/>
      </c>
    </row>
    <row r="760" spans="1:33" x14ac:dyDescent="0.25">
      <c r="A760" s="518"/>
      <c r="B760" s="504"/>
      <c r="C760" s="104" t="str">
        <f>IF(AND(ISNUMBER(B753), OR('Cost Inputs'!$H$153&lt;&gt;"", 'Cost Inputs'!$I$153&lt;&gt;"", 'Cost Inputs'!$J$153&lt;&gt;"")), _5_4_3, "")</f>
        <v/>
      </c>
      <c r="D760" s="17" t="str">
        <f>IF(AND(C760&lt;&gt;"", 'Cost Inputs'!$G$153&lt;&gt;""), 'Cost Inputs'!$G$153, "")</f>
        <v/>
      </c>
      <c r="E760" s="17" t="str">
        <f>IF(AND(C760&lt;&gt;"", 'Cost Inputs'!$H$153&lt;&gt;""), 'Cost Inputs'!$H$153, "")</f>
        <v/>
      </c>
      <c r="F760" s="17" t="str">
        <f>IF(AND(C760&lt;&gt;"", 'Cost Inputs'!$I$153&lt;&gt;""), 'Cost Inputs'!$I$153, "")</f>
        <v/>
      </c>
      <c r="G760" s="105" t="str">
        <f t="shared" si="476"/>
        <v/>
      </c>
      <c r="H760" s="17" t="str">
        <f>IF(AND(C760&lt;&gt;"", 'Cost Inputs'!$J$153&lt;&gt;""), 'Cost Inputs'!$J$153, "")</f>
        <v/>
      </c>
      <c r="I760" s="17" t="str">
        <f t="shared" si="477"/>
        <v/>
      </c>
      <c r="J760" s="17" t="str">
        <f>IF(AND(C760&lt;&gt;"",('Cost Inputs'!$I$153+'Cost Inputs'!$J$153+'Cost Inputs'!$K$153)&gt;0), 'Cost Inputs'!$I$153+'Cost Inputs'!$J$153+'Cost Inputs'!$K$153, "")</f>
        <v/>
      </c>
      <c r="K760" s="17" t="str">
        <f t="shared" si="478"/>
        <v/>
      </c>
      <c r="M760" s="106"/>
      <c r="X760" s="17" t="str">
        <f>IF(ISNUMBER($B$537), IF($C760&lt;&gt;"", IF('Cost Inputs'!$L$153="Y", $E760, IF('Cost Inputs'!$L$153="N", IF(ISNUMBER('Cost Inputs'!$M$153), $E760, ""),"")),""),"")</f>
        <v/>
      </c>
      <c r="Y760" s="17" t="str">
        <f>IF(ISNUMBER($B$537), IF($C760&lt;&gt;"", IF('Cost Inputs'!$L$153="Y", $E760, IF('Cost Inputs'!$L$153="N", "", "")),""),"")</f>
        <v/>
      </c>
      <c r="Z760" s="17" t="str">
        <f>IF(ISNUMBER($B$537), IF($C760&lt;&gt;"", IF('Cost Inputs'!$L$153="Y", $E760, IF('Cost Inputs'!$L$153="N", IF(AND(ISNUMBER('Cost Inputs'!$M$153), OR('Cost Inputs'!$M$153=2)), $E760, ""),"")),""),"")</f>
        <v/>
      </c>
      <c r="AA760" s="17" t="str">
        <f>IF(ISNUMBER($B$537), IF($C760&lt;&gt;"", IF('Cost Inputs'!$L$153="Y", $E760, IF('Cost Inputs'!$L$153="N", IF(AND(ISNUMBER('Cost Inputs'!$M$153), OR('Cost Inputs'!$M$153=3)), $E760, ""),"")),""),"")</f>
        <v/>
      </c>
      <c r="AB760" s="17" t="str">
        <f>IF(ISNUMBER($B$537), IF($C760&lt;&gt;"", IF('Cost Inputs'!$L$153="Y", $E760, IF('Cost Inputs'!$L$153="N", IF(AND(ISNUMBER('Cost Inputs'!$M$153), OR('Cost Inputs'!$M$153=2, 'Cost Inputs'!$M$153=4)), $E760, ""),"")),""),"")</f>
        <v/>
      </c>
      <c r="AC760" s="17" t="str">
        <f>IF(ISNUMBER($B$537), IF($C760&lt;&gt;"", IF('Cost Inputs'!$L$153="Y", $E760, IF('Cost Inputs'!$L$153="N", IF(AND(ISNUMBER('Cost Inputs'!$M$153), OR('Cost Inputs'!$M$153=2,'Cost Inputs'!$M$153=5)), $E760, ""),"")),""),"")</f>
        <v/>
      </c>
      <c r="AD760" s="17" t="str">
        <f>IF(ISNUMBER($B$537), IF($C760&lt;&gt;"", IF('Cost Inputs'!$L$153="Y", $E760, IF('Cost Inputs'!$L$153="N", IF(AND(ISNUMBER('Cost Inputs'!$M$153), OR('Cost Inputs'!$M$153=2,'Cost Inputs'!$M$153=3,'Cost Inputs'!$M$153=6)), $E760, ""),"")),""),"")</f>
        <v/>
      </c>
      <c r="AE760" s="17" t="str">
        <f>IF(ISNUMBER($B$537), IF($C760&lt;&gt;"", IF('Cost Inputs'!$L$153="Y", $E760, IF('Cost Inputs'!$L$153="N", IF(AND(ISNUMBER('Cost Inputs'!$M$153), OR('Cost Inputs'!$M$153=2,'Cost Inputs'!$M$153=7)), $E760, ""),"")),""),"")</f>
        <v/>
      </c>
      <c r="AF760" s="17" t="str">
        <f>IF(ISNUMBER($B$537), IF($C760&lt;&gt;"", IF('Cost Inputs'!$L$153="Y", $E760, IF('Cost Inputs'!$L$153="N", IF(AND(ISNUMBER('Cost Inputs'!$M$153), OR('Cost Inputs'!$M$153=2,'Cost Inputs'!$M$153=4,'Cost Inputs'!$M$153=8)), $E760, ""),"")),""),"")</f>
        <v/>
      </c>
      <c r="AG760" s="17" t="str">
        <f>IF(ISNUMBER($B$537), IF($C760&lt;&gt;"", IF('Cost Inputs'!$L$153="Y", $E760, IF('Cost Inputs'!$L$153="N", IF(AND(ISNUMBER('Cost Inputs'!$M$153), OR('Cost Inputs'!$M$153=2,'Cost Inputs'!$M$153=3,'Cost Inputs'!$M$153=9)), $E760, ""),"")),""),"")</f>
        <v/>
      </c>
    </row>
    <row r="761" spans="1:33" x14ac:dyDescent="0.25">
      <c r="A761" s="518"/>
      <c r="B761" s="504"/>
      <c r="C761" s="107" t="str">
        <f>IF(AND(ISNUMBER(B753), OR('Cost Inputs'!$H$154&lt;&gt;"", 'Cost Inputs'!$I$154&lt;&gt;"", 'Cost Inputs'!$J$154&lt;&gt;"")), _5_4_4, "")</f>
        <v/>
      </c>
      <c r="D761" s="93" t="str">
        <f>IF(AND(C761&lt;&gt;"", 'Cost Inputs'!$G$154&lt;&gt;""), 'Cost Inputs'!$G$154, "")</f>
        <v/>
      </c>
      <c r="E761" s="93" t="str">
        <f>IF(AND(C761&lt;&gt;"", 'Cost Inputs'!$H$154&lt;&gt;""), 'Cost Inputs'!$H$154, "")</f>
        <v/>
      </c>
      <c r="F761" s="93" t="str">
        <f>IF(AND(C761&lt;&gt;"", 'Cost Inputs'!$I$154&lt;&gt;""), 'Cost Inputs'!$I$154, "")</f>
        <v/>
      </c>
      <c r="G761" s="108" t="str">
        <f t="shared" si="476"/>
        <v/>
      </c>
      <c r="H761" s="93" t="str">
        <f>IF(AND(C761&lt;&gt;"", 'Cost Inputs'!$J$154&lt;&gt;""), 'Cost Inputs'!$J$154, "")</f>
        <v/>
      </c>
      <c r="I761" s="93" t="str">
        <f t="shared" si="477"/>
        <v/>
      </c>
      <c r="J761" s="93" t="str">
        <f>IF(AND(C761&lt;&gt;"",('Cost Inputs'!$I$154+'Cost Inputs'!$J$154+'Cost Inputs'!$K$154)&gt;0), 'Cost Inputs'!$I$154+'Cost Inputs'!$J$154+'Cost Inputs'!$K$154, "")</f>
        <v/>
      </c>
      <c r="K761" s="93" t="str">
        <f t="shared" si="478"/>
        <v/>
      </c>
      <c r="L761" s="93"/>
      <c r="M761" s="109"/>
      <c r="X761" s="93" t="str">
        <f>IF(ISNUMBER($B$537), IF($C761&lt;&gt;"", IF('Cost Inputs'!$L$154="Y", $E761, IF('Cost Inputs'!$L$154="N", IF(ISNUMBER('Cost Inputs'!$M$154), $E761, ""),"")),""),"")</f>
        <v/>
      </c>
      <c r="Y761" s="93" t="str">
        <f>IF(ISNUMBER($B$537), IF($C761&lt;&gt;"", IF('Cost Inputs'!$L$154="Y", $E761, IF('Cost Inputs'!$L$154="N", "", "")),""),"")</f>
        <v/>
      </c>
      <c r="Z761" s="93" t="str">
        <f>IF(ISNUMBER($B$537), IF($C761&lt;&gt;"", IF('Cost Inputs'!$L$154="Y", $E761, IF('Cost Inputs'!$L$154="N", IF(AND(ISNUMBER('Cost Inputs'!$M$154), OR('Cost Inputs'!$M$154=2)), $E761, ""),"")),""),"")</f>
        <v/>
      </c>
      <c r="AA761" s="93" t="str">
        <f>IF(ISNUMBER($B$537), IF($C761&lt;&gt;"", IF('Cost Inputs'!$L$154="Y", $E761, IF('Cost Inputs'!$L$154="N", IF(AND(ISNUMBER('Cost Inputs'!$M$154), OR('Cost Inputs'!$M$154=3)), $E761, ""),"")),""),"")</f>
        <v/>
      </c>
      <c r="AB761" s="93" t="str">
        <f>IF(ISNUMBER($B$537), IF($C761&lt;&gt;"", IF('Cost Inputs'!$L$154="Y", $E761, IF('Cost Inputs'!$L$154="N", IF(AND(ISNUMBER('Cost Inputs'!$M$154), OR('Cost Inputs'!$M$154=2, 'Cost Inputs'!$M$154=4)), $E761, ""),"")),""),"")</f>
        <v/>
      </c>
      <c r="AC761" s="93" t="str">
        <f>IF(ISNUMBER($B$537), IF($C761&lt;&gt;"", IF('Cost Inputs'!$L$154="Y", $E761, IF('Cost Inputs'!$L$154="N", IF(AND(ISNUMBER('Cost Inputs'!$M$154), OR('Cost Inputs'!$M$154=2,'Cost Inputs'!$M$154=5)), $E761, ""),"")),""),"")</f>
        <v/>
      </c>
      <c r="AD761" s="93" t="str">
        <f>IF(ISNUMBER($B$537), IF($C761&lt;&gt;"", IF('Cost Inputs'!$L$154="Y", $E761, IF('Cost Inputs'!$L$154="N", IF(AND(ISNUMBER('Cost Inputs'!$M$154), OR('Cost Inputs'!$M$154=2,'Cost Inputs'!$M$154=3,'Cost Inputs'!$M$154=6)), $E761, ""),"")),""),"")</f>
        <v/>
      </c>
      <c r="AE761" s="93" t="str">
        <f>IF(ISNUMBER($B$537), IF($C761&lt;&gt;"", IF('Cost Inputs'!$L$154="Y", $E761, IF('Cost Inputs'!$L$154="N", IF(AND(ISNUMBER('Cost Inputs'!$M$154), OR('Cost Inputs'!$M$154=2,'Cost Inputs'!$M$154=7)), $E761, ""),"")),""),"")</f>
        <v/>
      </c>
      <c r="AF761" s="93" t="str">
        <f>IF(ISNUMBER($B$537), IF($C761&lt;&gt;"", IF('Cost Inputs'!$L$154="Y", $E761, IF('Cost Inputs'!$L$154="N", IF(AND(ISNUMBER('Cost Inputs'!$M$154), OR('Cost Inputs'!$M$154=2,'Cost Inputs'!$M$154=4,'Cost Inputs'!$M$154=8)), $E761, ""),"")),""),"")</f>
        <v/>
      </c>
      <c r="AG761" s="93" t="str">
        <f>IF(ISNUMBER($B$537), IF($C761&lt;&gt;"", IF('Cost Inputs'!$L$154="Y", $E761, IF('Cost Inputs'!$L$154="N", IF(AND(ISNUMBER('Cost Inputs'!$M$154), OR('Cost Inputs'!$M$154=2,'Cost Inputs'!$M$154=3,'Cost Inputs'!$M$154=9)), $E761, ""),"")),""),"")</f>
        <v/>
      </c>
    </row>
    <row r="762" spans="1:33" x14ac:dyDescent="0.25">
      <c r="A762" s="518"/>
      <c r="B762" s="504"/>
      <c r="C762" s="104" t="str">
        <f>IF(AND(ISNUMBER(B753), OR('Cost Inputs'!$H$155&lt;&gt;"", 'Cost Inputs'!$I$155&lt;&gt;"", 'Cost Inputs'!$J$155&lt;&gt;"")), _5_4_5, "")</f>
        <v/>
      </c>
      <c r="D762" s="17" t="str">
        <f>IF(AND(C762&lt;&gt;"", 'Cost Inputs'!$G$155&lt;&gt;""), 'Cost Inputs'!$G$155, "")</f>
        <v/>
      </c>
      <c r="E762" s="17" t="str">
        <f>IF(AND(C762&lt;&gt;"", 'Cost Inputs'!$H$155&lt;&gt;""), 'Cost Inputs'!$H$155, "")</f>
        <v/>
      </c>
      <c r="F762" s="17" t="str">
        <f>IF(AND(C762&lt;&gt;"", 'Cost Inputs'!$I$155&lt;&gt;""), 'Cost Inputs'!$I$155, "")</f>
        <v/>
      </c>
      <c r="G762" s="105" t="str">
        <f t="shared" si="476"/>
        <v/>
      </c>
      <c r="H762" s="17" t="str">
        <f>IF(AND(C762&lt;&gt;"", 'Cost Inputs'!$J$155&lt;&gt;""), 'Cost Inputs'!$J$155, "")</f>
        <v/>
      </c>
      <c r="I762" s="17" t="str">
        <f t="shared" si="477"/>
        <v/>
      </c>
      <c r="J762" s="17" t="str">
        <f>IF(AND(C762&lt;&gt;"",('Cost Inputs'!$I$155+'Cost Inputs'!$J$155+'Cost Inputs'!$K$155)&gt;0), 'Cost Inputs'!$I$155+'Cost Inputs'!$J$155+'Cost Inputs'!$K$155, "")</f>
        <v/>
      </c>
      <c r="K762" s="17" t="str">
        <f t="shared" si="478"/>
        <v/>
      </c>
      <c r="M762" s="106"/>
      <c r="X762" s="17" t="str">
        <f>IF(ISNUMBER($B$537), IF($C762&lt;&gt;"", IF('Cost Inputs'!$L$155="Y", $E762, IF('Cost Inputs'!$L$155="N", IF(ISNUMBER('Cost Inputs'!$M$155), $E762, ""),"")),""),"")</f>
        <v/>
      </c>
      <c r="Y762" s="17" t="str">
        <f>IF(ISNUMBER($B$537), IF($C762&lt;&gt;"", IF('Cost Inputs'!$L$155="Y", $E762, IF('Cost Inputs'!$L$155="N", "", "")),""),"")</f>
        <v/>
      </c>
      <c r="Z762" s="17" t="str">
        <f>IF(ISNUMBER($B$537), IF($C762&lt;&gt;"", IF('Cost Inputs'!$L$155="Y", $E762, IF('Cost Inputs'!$L$155="N", IF(AND(ISNUMBER('Cost Inputs'!$M$155), OR('Cost Inputs'!$M$155=2)), $E762, ""),"")),""),"")</f>
        <v/>
      </c>
      <c r="AA762" s="17" t="str">
        <f>IF(ISNUMBER($B$537), IF($C762&lt;&gt;"", IF('Cost Inputs'!$L$155="Y", $E762, IF('Cost Inputs'!$L$155="N", IF(AND(ISNUMBER('Cost Inputs'!$M$155), OR('Cost Inputs'!$M$155=3)), $E762, ""),"")),""),"")</f>
        <v/>
      </c>
      <c r="AB762" s="17" t="str">
        <f>IF(ISNUMBER($B$537), IF($C762&lt;&gt;"", IF('Cost Inputs'!$L$155="Y", $E762, IF('Cost Inputs'!$L$155="N", IF(AND(ISNUMBER('Cost Inputs'!$M$155), OR('Cost Inputs'!$M$155=2, 'Cost Inputs'!$M$155=4)), $E762, ""),"")),""),"")</f>
        <v/>
      </c>
      <c r="AC762" s="17" t="str">
        <f>IF(ISNUMBER($B$537), IF($C762&lt;&gt;"", IF('Cost Inputs'!$L$155="Y", $E762, IF('Cost Inputs'!$L$155="N", IF(AND(ISNUMBER('Cost Inputs'!$M$155), OR('Cost Inputs'!$M$155=2,'Cost Inputs'!$M$155=5)), $E762, ""),"")),""),"")</f>
        <v/>
      </c>
      <c r="AD762" s="17" t="str">
        <f>IF(ISNUMBER($B$537), IF($C762&lt;&gt;"", IF('Cost Inputs'!$L$155="Y", $E762, IF('Cost Inputs'!$L$155="N", IF(AND(ISNUMBER('Cost Inputs'!$M$155), OR('Cost Inputs'!$M$155=2,'Cost Inputs'!$M$155=3,'Cost Inputs'!$M$155=6)), $E762, ""),"")),""),"")</f>
        <v/>
      </c>
      <c r="AE762" s="17" t="str">
        <f>IF(ISNUMBER($B$537), IF($C762&lt;&gt;"", IF('Cost Inputs'!$L$155="Y", $E762, IF('Cost Inputs'!$L$155="N", IF(AND(ISNUMBER('Cost Inputs'!$M$155), OR('Cost Inputs'!$M$155=2,'Cost Inputs'!$M$155=7)), $E762, ""),"")),""),"")</f>
        <v/>
      </c>
      <c r="AF762" s="17" t="str">
        <f>IF(ISNUMBER($B$537), IF($C762&lt;&gt;"", IF('Cost Inputs'!$L$155="Y", $E762, IF('Cost Inputs'!$L$155="N", IF(AND(ISNUMBER('Cost Inputs'!$M$155), OR('Cost Inputs'!$M$155=2,'Cost Inputs'!$M$155=4,'Cost Inputs'!$M$155=8)), $E762, ""),"")),""),"")</f>
        <v/>
      </c>
      <c r="AG762" s="17" t="str">
        <f>IF(ISNUMBER($B$537), IF($C762&lt;&gt;"", IF('Cost Inputs'!$L$155="Y", $E762, IF('Cost Inputs'!$L$155="N", IF(AND(ISNUMBER('Cost Inputs'!$M$155), OR('Cost Inputs'!$M$155=2,'Cost Inputs'!$M$155=3,'Cost Inputs'!$M$155=9)), $E762, ""),"")),""),"")</f>
        <v/>
      </c>
    </row>
    <row r="763" spans="1:33" x14ac:dyDescent="0.25">
      <c r="A763" s="518"/>
      <c r="B763" s="504"/>
      <c r="C763" s="107" t="str">
        <f>IF(AND(ISNUMBER(B753), OR('Cost Inputs'!$H$156&lt;&gt;"", 'Cost Inputs'!$I$156&lt;&gt;"", 'Cost Inputs'!$J$156&lt;&gt;"")), _5_4_6, "")</f>
        <v/>
      </c>
      <c r="D763" s="93" t="str">
        <f>IF(AND(C763&lt;&gt;"", 'Cost Inputs'!$G$156&lt;&gt;""), 'Cost Inputs'!$G$156, "")</f>
        <v/>
      </c>
      <c r="E763" s="93" t="str">
        <f>IF(AND(C763&lt;&gt;"", 'Cost Inputs'!$H$156&lt;&gt;""), 'Cost Inputs'!$H$156, "")</f>
        <v/>
      </c>
      <c r="F763" s="93" t="str">
        <f>IF(AND(C763&lt;&gt;"", 'Cost Inputs'!$I$156&lt;&gt;""), 'Cost Inputs'!$I$156, "")</f>
        <v/>
      </c>
      <c r="G763" s="108" t="str">
        <f t="shared" si="476"/>
        <v/>
      </c>
      <c r="H763" s="93" t="str">
        <f>IF(AND(C763&lt;&gt;"", 'Cost Inputs'!$J$156&lt;&gt;""), 'Cost Inputs'!$J$16, "")</f>
        <v/>
      </c>
      <c r="I763" s="93" t="str">
        <f t="shared" si="477"/>
        <v/>
      </c>
      <c r="J763" s="93" t="str">
        <f>IF(AND(C763&lt;&gt;"",('Cost Inputs'!$I$156+'Cost Inputs'!$J$156+'Cost Inputs'!$K$156)&gt;0), 'Cost Inputs'!$I$156+'Cost Inputs'!$J$156+'Cost Inputs'!$K$156, "")</f>
        <v/>
      </c>
      <c r="K763" s="93" t="str">
        <f t="shared" si="478"/>
        <v/>
      </c>
      <c r="L763" s="93"/>
      <c r="M763" s="109"/>
      <c r="X763" s="93" t="str">
        <f>IF(ISNUMBER($B$537), IF($C763&lt;&gt;"", IF('Cost Inputs'!$L$156="Y", $E763, IF('Cost Inputs'!$L$156="N", IF(ISNUMBER('Cost Inputs'!$M$156), $E763, ""),"")),""),"")</f>
        <v/>
      </c>
      <c r="Y763" s="93" t="str">
        <f>IF(ISNUMBER($B$537), IF($C763&lt;&gt;"", IF('Cost Inputs'!$L$156="Y", $E763, IF('Cost Inputs'!$L$156="N", "", "")),""),"")</f>
        <v/>
      </c>
      <c r="Z763" s="93" t="str">
        <f>IF(ISNUMBER($B$537), IF($C763&lt;&gt;"", IF('Cost Inputs'!$L$156="Y", $E763, IF('Cost Inputs'!$L$156="N", IF(AND(ISNUMBER('Cost Inputs'!$M$156), OR('Cost Inputs'!$M$156=2)), $E763, ""),"")),""),"")</f>
        <v/>
      </c>
      <c r="AA763" s="93" t="str">
        <f>IF(ISNUMBER($B$537), IF($C763&lt;&gt;"", IF('Cost Inputs'!$L$156="Y", $E763, IF('Cost Inputs'!$L$156="N", IF(AND(ISNUMBER('Cost Inputs'!$M$156), OR('Cost Inputs'!$M$156=3)), $E763, ""),"")),""),"")</f>
        <v/>
      </c>
      <c r="AB763" s="93" t="str">
        <f>IF(ISNUMBER($B$537), IF($C763&lt;&gt;"", IF('Cost Inputs'!$L$156="Y", $E763, IF('Cost Inputs'!$L$156="N", IF(AND(ISNUMBER('Cost Inputs'!$M$156), OR('Cost Inputs'!$M$156=2, 'Cost Inputs'!$M$156=4)), $E763, ""),"")),""),"")</f>
        <v/>
      </c>
      <c r="AC763" s="93" t="str">
        <f>IF(ISNUMBER($B$537), IF($C763&lt;&gt;"", IF('Cost Inputs'!$L$156="Y", $E763, IF('Cost Inputs'!$L$156="N", IF(AND(ISNUMBER('Cost Inputs'!$M$156), OR('Cost Inputs'!$M$156=2,'Cost Inputs'!$M$156=5)), $E763, ""),"")),""),"")</f>
        <v/>
      </c>
      <c r="AD763" s="93" t="str">
        <f>IF(ISNUMBER($B$537), IF($C763&lt;&gt;"", IF('Cost Inputs'!$L$156="Y", $E763, IF('Cost Inputs'!$L$156="N", IF(AND(ISNUMBER('Cost Inputs'!$M$156), OR('Cost Inputs'!$M$156=2,'Cost Inputs'!$M$156=3,'Cost Inputs'!$M$156=6)), $E763, ""),"")),""),"")</f>
        <v/>
      </c>
      <c r="AE763" s="93" t="str">
        <f>IF(ISNUMBER($B$537), IF($C763&lt;&gt;"", IF('Cost Inputs'!$L$156="Y", $E763, IF('Cost Inputs'!$L$156="N", IF(AND(ISNUMBER('Cost Inputs'!$M$156), OR('Cost Inputs'!$M$156=2,'Cost Inputs'!$M$156=7)), $E763, ""),"")),""),"")</f>
        <v/>
      </c>
      <c r="AF763" s="93" t="str">
        <f>IF(ISNUMBER($B$537), IF($C763&lt;&gt;"", IF('Cost Inputs'!$L$156="Y", $E763, IF('Cost Inputs'!$L$156="N", IF(AND(ISNUMBER('Cost Inputs'!$M$156), OR('Cost Inputs'!$M$156=2,'Cost Inputs'!$M$156=4,'Cost Inputs'!$M$156=8)), $E763, ""),"")),""),"")</f>
        <v/>
      </c>
      <c r="AG763" s="93" t="str">
        <f>IF(ISNUMBER($B$537), IF($C763&lt;&gt;"", IF('Cost Inputs'!$L$156="Y", $E763, IF('Cost Inputs'!$L$156="N", IF(AND(ISNUMBER('Cost Inputs'!$M$156), OR('Cost Inputs'!$M$156=2,'Cost Inputs'!$M$156=3,'Cost Inputs'!$M$156=9)), $E763, ""),"")),""),"")</f>
        <v/>
      </c>
    </row>
    <row r="764" spans="1:33" x14ac:dyDescent="0.25">
      <c r="A764" s="518"/>
      <c r="B764" s="504"/>
      <c r="C764" s="521" t="str">
        <f>IF(AND(B753&lt;&gt;"",ISNUMBER(B753),ISNUMBER(Stage3EvaluationBegins)),IF((INDEX(ProgramYearStage3,MATCH(Stage3EvaluationBegins,Years_in_Stage3,0)))=B753,_5_5_0,IF(AND(B753&lt;&gt;"",C742&lt;&gt;""),_5_5_0,IF(AND(B753&lt;&gt;"",ISNUMBER(B753),OR(Stage3EvaluationBegins=0,Stage3EvaluationBegins="")),"",""))),"")</f>
        <v/>
      </c>
      <c r="D764" s="94" t="str">
        <f>IF(AND(C764&lt;&gt;"", 'Cost Inputs'!$G$157&lt;&gt;""), 'Cost Inputs'!$G$157, "")</f>
        <v/>
      </c>
      <c r="E764" s="94" t="str">
        <f>IF(AND(C764&lt;&gt;"", 'Cost Inputs'!$H$157&lt;&gt;""), 'Cost Inputs'!$H$157, "")</f>
        <v/>
      </c>
      <c r="F764" s="492" t="str">
        <f>IF(AND(C764&lt;&gt;"", 'Cost Inputs'!$I$157&lt;&gt;""), 'Cost Inputs'!$I$157, "")</f>
        <v/>
      </c>
      <c r="G764" s="102" t="str">
        <f t="shared" si="476"/>
        <v/>
      </c>
      <c r="H764" s="492" t="str">
        <f>IF(AND(C764&lt;&gt;"", 'Cost Inputs'!$J$157&lt;&gt;""), 'Cost Inputs'!$J$157, "")</f>
        <v/>
      </c>
      <c r="I764" s="102" t="str">
        <f>IF($C764&lt;&gt;"",IF(AND($E764&lt;&gt;"",H764&lt;&gt;""), H764/$E764, 0),"")</f>
        <v/>
      </c>
      <c r="J764" s="492" t="str">
        <f>IF(AND(C764&lt;&gt;"",('Cost Inputs'!$I$157+'Cost Inputs'!$J$157+'Cost Inputs'!$K$157)&gt;0), 'Cost Inputs'!$I$157+'Cost Inputs'!$J$157+'Cost Inputs'!$K$157, "")</f>
        <v/>
      </c>
      <c r="K764" s="102" t="str">
        <f>IF($C764&lt;&gt;"",IF(AND($E764&lt;&gt;"",J764&lt;&gt;""), J764/$E764, 0),"")</f>
        <v/>
      </c>
      <c r="L764" s="94"/>
      <c r="M764" s="103"/>
      <c r="X764" s="492" t="str">
        <f>IF(ISNUMBER($B$537), IF($C764&lt;&gt;"", IF('Cost Inputs'!$L$157="Y", $E764, IF('Cost Inputs'!$L$157="N", IF(ISNUMBER('Cost Inputs'!$M$157), $E764, ""),"")),""),"")</f>
        <v/>
      </c>
      <c r="Y764" s="492" t="str">
        <f>IF(ISNUMBER($B$537), IF($C764&lt;&gt;"", IF('Cost Inputs'!$L$157="Y", $E764, IF('Cost Inputs'!$L$157="N", "", "")),""),"")</f>
        <v/>
      </c>
      <c r="Z764" s="492" t="str">
        <f>IF(ISNUMBER($B$537), IF($C764&lt;&gt;"", IF('Cost Inputs'!$L$157="Y", $E764, IF('Cost Inputs'!$L$157="N", IF(AND(ISNUMBER('Cost Inputs'!$M$157), OR('Cost Inputs'!$M$157=2)), $E764, ""),"")),""),"")</f>
        <v/>
      </c>
      <c r="AA764" s="492" t="str">
        <f>IF(ISNUMBER($B$537), IF($C764&lt;&gt;"", IF('Cost Inputs'!$L$157="Y", $E764, IF('Cost Inputs'!$L$157="N", IF(AND(ISNUMBER('Cost Inputs'!$M$157), OR('Cost Inputs'!$M$157=3)), $E764, ""),"")),""),"")</f>
        <v/>
      </c>
      <c r="AB764" s="492" t="str">
        <f>IF(ISNUMBER($B$537), IF($C764&lt;&gt;"", IF('Cost Inputs'!$L$157="Y", $E764, IF('Cost Inputs'!$L$157="N", IF(AND(ISNUMBER('Cost Inputs'!$M$157), OR('Cost Inputs'!$M$157=2, 'Cost Inputs'!$M$157=4)), $E764, ""),"")),""),"")</f>
        <v/>
      </c>
      <c r="AC764" s="492" t="str">
        <f>IF(ISNUMBER($B$537), IF($C764&lt;&gt;"", IF('Cost Inputs'!$L$157="Y", $E764, IF('Cost Inputs'!$L$157="N", IF(AND(ISNUMBER('Cost Inputs'!$M$157), OR('Cost Inputs'!$M$157=2,'Cost Inputs'!$M$157=5)), $E764, ""),"")),""),"")</f>
        <v/>
      </c>
      <c r="AD764" s="492" t="str">
        <f>IF(ISNUMBER($B$537), IF($C764&lt;&gt;"", IF('Cost Inputs'!$L$157="Y", $E764, IF('Cost Inputs'!$L$157="N", IF(AND(ISNUMBER('Cost Inputs'!$M$157), OR('Cost Inputs'!$M$157=2,'Cost Inputs'!$M$157=3,'Cost Inputs'!$M$157=6)), $E764, ""),"")),""),"")</f>
        <v/>
      </c>
      <c r="AE764" s="492" t="str">
        <f>IF(ISNUMBER($B$537), IF($C764&lt;&gt;"", IF('Cost Inputs'!$L$157="Y", $E764, IF('Cost Inputs'!$L$157="N", IF(AND(ISNUMBER('Cost Inputs'!$M$157), OR('Cost Inputs'!$M$157=2,'Cost Inputs'!$M$157=7)), $E764, ""),"")),""),"")</f>
        <v/>
      </c>
      <c r="AF764" s="492" t="str">
        <f>IF(ISNUMBER($B$537), IF($C764&lt;&gt;"", IF('Cost Inputs'!$L$157="Y", $E764, IF('Cost Inputs'!$L$157="N", IF(AND(ISNUMBER('Cost Inputs'!$M$157), OR('Cost Inputs'!$M$157=2,'Cost Inputs'!$M$157=4,'Cost Inputs'!$M$157=8)), $E764, ""),"")),""),"")</f>
        <v/>
      </c>
      <c r="AG764" s="492" t="str">
        <f>IF(ISNUMBER($B$537), IF($C764&lt;&gt;"", IF('Cost Inputs'!$L$157="Y", $E764, IF('Cost Inputs'!$L$157="N", IF(AND(ISNUMBER('Cost Inputs'!$M$157), OR('Cost Inputs'!$M$157=2,'Cost Inputs'!$M$157=3,'Cost Inputs'!$M$157=9)), $E764, ""),"")),""),"")</f>
        <v/>
      </c>
    </row>
    <row r="765" spans="1:33" x14ac:dyDescent="0.25">
      <c r="A765" s="518"/>
      <c r="B765" s="504"/>
      <c r="C765" s="521"/>
      <c r="D765" s="94" t="str">
        <f>IF(AND(C764&lt;&gt;"", 'Cost Inputs'!$G$158&lt;&gt;""), 'Cost Inputs'!$G$158, "")</f>
        <v/>
      </c>
      <c r="E765" s="94" t="str">
        <f>IF(AND(C764&lt;&gt;"", 'Cost Inputs'!$H$158&lt;&gt;""), 'Cost Inputs'!$H$158, "")</f>
        <v/>
      </c>
      <c r="F765" s="492"/>
      <c r="G765" s="102" t="str">
        <f t="shared" si="476"/>
        <v/>
      </c>
      <c r="H765" s="492"/>
      <c r="I765" s="102" t="str">
        <f>IF($C764&lt;&gt;"", IF(AND($E765&lt;&gt;"", H764&lt;&gt;""), H764/($E764*$E765), 0), "")</f>
        <v/>
      </c>
      <c r="J765" s="492" t="str">
        <f>IF(AND(C765&lt;&gt;"",('Cost Inputs'!$I$86+'Cost Inputs'!$J$86+'Cost Inputs'!$K$86)&gt;0), 'Cost Inputs'!$I$86+'Cost Inputs'!$J$86+'Cost Inputs'!$K$86, "")</f>
        <v/>
      </c>
      <c r="K765" s="102" t="str">
        <f>IF($C764&lt;&gt;"", IF(AND($E765&lt;&gt;"", J764&lt;&gt;""), J764/($E764*$E765), 0), "")</f>
        <v/>
      </c>
      <c r="L765" s="94"/>
      <c r="M765" s="103"/>
      <c r="X765" s="492" t="str">
        <f>IF(ISNUMBER($B$537), IF($C765&lt;&gt;"", IF('Cost Inputs'!$L356="Y", $E765, IF('Cost Inputs'!$L356="N", IF(ISNUMBER('Cost Inputs'!$M356), $E765, ""),"")),""),"")</f>
        <v/>
      </c>
      <c r="Y765" s="492" t="str">
        <f>IF(ISNUMBER($B$537), IF($C765&lt;&gt;"", IF('Cost Inputs'!$L356="Y", $E765, IF('Cost Inputs'!$L356="N", "", "")),""),"")</f>
        <v/>
      </c>
      <c r="Z765" s="492" t="str">
        <f>IF(ISNUMBER($B$537), IF($C765&lt;&gt;"", IF('Cost Inputs'!$L356="Y", $E765, IF('Cost Inputs'!$L356="N", IF(AND(ISNUMBER('Cost Inputs'!$M356), OR('Cost Inputs'!$M356=2)), $E765, ""),"")),""),"")</f>
        <v/>
      </c>
      <c r="AA765" s="492" t="str">
        <f>IF(ISNUMBER($B$537), IF($C765&lt;&gt;"", IF('Cost Inputs'!$L356="Y", $E765, IF('Cost Inputs'!$L356="N", IF(AND(ISNUMBER('Cost Inputs'!$M356), OR('Cost Inputs'!$M356=3)), $E765, ""),"")),""),"")</f>
        <v/>
      </c>
      <c r="AB765" s="492" t="str">
        <f>IF(ISNUMBER($B$537), IF($C765&lt;&gt;"", IF('Cost Inputs'!$L356="Y", $E765, IF('Cost Inputs'!$L356="N", IF(AND(ISNUMBER('Cost Inputs'!$M356), OR('Cost Inputs'!$M356=2, 'Cost Inputs'!$M356=4)), $E765, ""),"")),""),"")</f>
        <v/>
      </c>
      <c r="AC765" s="492" t="str">
        <f>IF(ISNUMBER($B$537), IF($C765&lt;&gt;"", IF('Cost Inputs'!$L356="Y", $E765, IF('Cost Inputs'!$L356="N", IF(AND(ISNUMBER('Cost Inputs'!$M356), OR('Cost Inputs'!$M356=2,'Cost Inputs'!$M356=5)), $E765, ""),"")),""),"")</f>
        <v/>
      </c>
      <c r="AD765" s="492" t="str">
        <f>IF(ISNUMBER($B$537), IF($C765&lt;&gt;"", IF('Cost Inputs'!$L356="Y", $E765, IF('Cost Inputs'!$L356="N", IF(AND(ISNUMBER('Cost Inputs'!$M356), OR('Cost Inputs'!$M356=2,'Cost Inputs'!$M356=3,'Cost Inputs'!$M356=6)), $E765, ""),"")),""),"")</f>
        <v/>
      </c>
      <c r="AE765" s="492" t="str">
        <f>IF(ISNUMBER($B$537), IF($C765&lt;&gt;"", IF('Cost Inputs'!$L356="Y", $E765, IF('Cost Inputs'!$L356="N", IF(AND(ISNUMBER('Cost Inputs'!$M356), OR('Cost Inputs'!$M356=2,'Cost Inputs'!$M356=7)), $E765, ""),"")),""),"")</f>
        <v/>
      </c>
      <c r="AF765" s="492" t="str">
        <f>IF(ISNUMBER($B$537), IF($C765&lt;&gt;"", IF('Cost Inputs'!$L356="Y", $E765, IF('Cost Inputs'!$L356="N", IF(AND(ISNUMBER('Cost Inputs'!$M356), OR('Cost Inputs'!$M356=2,'Cost Inputs'!$M356=4,'Cost Inputs'!$M356=8)), $E765, ""),"")),""),"")</f>
        <v/>
      </c>
      <c r="AG765" s="492" t="str">
        <f>IF(ISNUMBER($B$537), IF($C765&lt;&gt;"", IF('Cost Inputs'!$L356="Y", $E765, IF('Cost Inputs'!$L356="N", IF(AND(ISNUMBER('Cost Inputs'!$M356), OR('Cost Inputs'!$M356=2,'Cost Inputs'!$M356=3,'Cost Inputs'!$M356=9)), $E765, ""),"")),""),"")</f>
        <v/>
      </c>
    </row>
    <row r="766" spans="1:33" x14ac:dyDescent="0.25">
      <c r="A766" s="518"/>
      <c r="B766" s="504"/>
      <c r="C766" s="376" t="str">
        <f>IF(AND(ISNUMBER(B753), C764&lt;&gt;"", OR('Cost Inputs'!$H$159&lt;&gt;"", 'Cost Inputs'!$I$159&lt;&gt;"", 'Cost Inputs'!$J$159&lt;&gt;"")), _5_5_1, "")</f>
        <v/>
      </c>
      <c r="D766" s="17" t="str">
        <f>IF(AND(C766&lt;&gt;"", 'Cost Inputs'!$G$159&lt;&gt;""), 'Cost Inputs'!$G$159, "")</f>
        <v/>
      </c>
      <c r="E766" s="17" t="str">
        <f>IF(AND(C766&lt;&gt;"", 'Cost Inputs'!$H$159&lt;&gt;""), 'Cost Inputs'!$H$159, "")</f>
        <v/>
      </c>
      <c r="F766" s="493" t="str">
        <f>IF(AND(C766&lt;&gt;"", 'Cost Inputs'!$I$159&lt;&gt;""), 'Cost Inputs'!$I$159, "")</f>
        <v/>
      </c>
      <c r="G766" s="105" t="str">
        <f t="shared" si="476"/>
        <v/>
      </c>
      <c r="H766" s="493" t="str">
        <f>IF(AND(C766&lt;&gt;"", 'Cost Inputs'!$J$159&lt;&gt;""), 'Cost Inputs'!$J$159, "")</f>
        <v/>
      </c>
      <c r="I766" s="105" t="str">
        <f>IF($C766&lt;&gt;"",IF(AND($E766&lt;&gt;"",H766&lt;&gt;""), H766/$E766, 0),"")</f>
        <v/>
      </c>
      <c r="J766" s="493" t="str">
        <f>IF(AND(C766&lt;&gt;"",('Cost Inputs'!$I$159+'Cost Inputs'!$J$159+'Cost Inputs'!$K$159)&gt;0), 'Cost Inputs'!$I$159+'Cost Inputs'!$J$159+'Cost Inputs'!$K$159, "")</f>
        <v/>
      </c>
      <c r="K766" s="105" t="str">
        <f>IF($C766&lt;&gt;"",IF(AND($E766&lt;&gt;"",J766&lt;&gt;""), J766/$E766, 0),"")</f>
        <v/>
      </c>
      <c r="M766" s="106"/>
      <c r="X766" s="493" t="str">
        <f>IF(ISNUMBER($B$537), IF($C766&lt;&gt;"", IF('Cost Inputs'!$L$159="Y", $E766, IF('Cost Inputs'!$L$159="N", IF(ISNUMBER('Cost Inputs'!$M$159), $E766, ""),"")),""),"")</f>
        <v/>
      </c>
      <c r="Y766" s="493" t="str">
        <f>IF(ISNUMBER($B$537), IF($C766&lt;&gt;"", IF('Cost Inputs'!$L$159="Y", $E766, IF('Cost Inputs'!$L$159="N", "", "")),""),"")</f>
        <v/>
      </c>
      <c r="Z766" s="493" t="str">
        <f>IF(ISNUMBER($B$537), IF($C766&lt;&gt;"", IF('Cost Inputs'!$L$159="Y", $E766, IF('Cost Inputs'!$L$159="N", IF(AND(ISNUMBER('Cost Inputs'!$M$159), OR('Cost Inputs'!$M$159=2)), $E766, ""),"")),""),"")</f>
        <v/>
      </c>
      <c r="AA766" s="493" t="str">
        <f>IF(ISNUMBER($B$537), IF($C766&lt;&gt;"", IF('Cost Inputs'!$L$159="Y", $E766, IF('Cost Inputs'!$L$159="N", IF(AND(ISNUMBER('Cost Inputs'!$M$159), OR('Cost Inputs'!$M$159=3)), $E766, ""),"")),""),"")</f>
        <v/>
      </c>
      <c r="AB766" s="493" t="str">
        <f>IF(ISNUMBER($B$537), IF($C766&lt;&gt;"", IF('Cost Inputs'!$L$159="Y", $E766, IF('Cost Inputs'!$L$159="N", IF(AND(ISNUMBER('Cost Inputs'!$M$159), OR('Cost Inputs'!$M$159=2, 'Cost Inputs'!$M$159=4)), $E766, ""),"")),""),"")</f>
        <v/>
      </c>
      <c r="AC766" s="493" t="str">
        <f>IF(ISNUMBER($B$537), IF($C766&lt;&gt;"", IF('Cost Inputs'!$L$159="Y", $E766, IF('Cost Inputs'!$L$159="N", IF(AND(ISNUMBER('Cost Inputs'!$M$159), OR('Cost Inputs'!$M$159=2,'Cost Inputs'!$M$159=5)), $E766, ""),"")),""),"")</f>
        <v/>
      </c>
      <c r="AD766" s="493" t="str">
        <f>IF(ISNUMBER($B$537), IF($C766&lt;&gt;"", IF('Cost Inputs'!$L$159="Y", $E766, IF('Cost Inputs'!$L$159="N", IF(AND(ISNUMBER('Cost Inputs'!$M$159), OR('Cost Inputs'!$M$159=2,'Cost Inputs'!$M$159=3,'Cost Inputs'!$M$159=6)), $E766, ""),"")),""),"")</f>
        <v/>
      </c>
      <c r="AE766" s="493" t="str">
        <f>IF(ISNUMBER($B$537), IF($C766&lt;&gt;"", IF('Cost Inputs'!$L$159="Y", $E766, IF('Cost Inputs'!$L$159="N", IF(AND(ISNUMBER('Cost Inputs'!$M$159), OR('Cost Inputs'!$M$159=2,'Cost Inputs'!$M$159=7)), $E766, ""),"")),""),"")</f>
        <v/>
      </c>
      <c r="AF766" s="493" t="str">
        <f>IF(ISNUMBER($B$537), IF($C766&lt;&gt;"", IF('Cost Inputs'!$L$159="Y", $E766, IF('Cost Inputs'!$L$159="N", IF(AND(ISNUMBER('Cost Inputs'!$M$159), OR('Cost Inputs'!$M$159=2,'Cost Inputs'!$M$159=4,'Cost Inputs'!$M$159=8)), $E766, ""),"")),""),"")</f>
        <v/>
      </c>
      <c r="AG766" s="493" t="str">
        <f>IF(ISNUMBER($B$537), IF($C766&lt;&gt;"", IF('Cost Inputs'!$L$159="Y", $E766, IF('Cost Inputs'!$L$159="N", IF(AND(ISNUMBER('Cost Inputs'!$M$159), OR('Cost Inputs'!$M$159=2,'Cost Inputs'!$M$159=3,'Cost Inputs'!$M$159=9)), $E766, ""),"")),""),"")</f>
        <v/>
      </c>
    </row>
    <row r="767" spans="1:33" x14ac:dyDescent="0.25">
      <c r="A767" s="518"/>
      <c r="B767" s="504"/>
      <c r="C767" s="376" t="str">
        <f>IF(AND(ISNUMBER(B749), OR('Cost Inputs'!$H$85&lt;&gt;"", 'Cost Inputs'!$I$85&lt;&gt;"", 'Cost Inputs'!$J$85&lt;&gt;"")), _3_5_1, "")</f>
        <v/>
      </c>
      <c r="D767" s="17" t="str">
        <f>IF(AND(C766&lt;&gt;"", 'Cost Inputs'!$G$160&lt;&gt;""), 'Cost Inputs'!$G$160, "")</f>
        <v/>
      </c>
      <c r="E767" s="17" t="str">
        <f>IF(AND(C766&lt;&gt;"", 'Cost Inputs'!$H$160&lt;&gt;""), 'Cost Inputs'!$H$160, "")</f>
        <v/>
      </c>
      <c r="F767" s="493"/>
      <c r="G767" s="105" t="str">
        <f t="shared" si="476"/>
        <v/>
      </c>
      <c r="H767" s="493"/>
      <c r="I767" s="105" t="str">
        <f>IF($C766&lt;&gt;"", IF(AND($E767&lt;&gt;"", H766&lt;&gt;""), H766/($E766*$E767), 0), "")</f>
        <v/>
      </c>
      <c r="J767" s="493" t="str">
        <f>IF(AND(C767&lt;&gt;"",('Cost Inputs'!$I$86+'Cost Inputs'!$J$86+'Cost Inputs'!$K$86)&gt;0), 'Cost Inputs'!$I$86+'Cost Inputs'!$J$86+'Cost Inputs'!$K$86, "")</f>
        <v/>
      </c>
      <c r="K767" s="105" t="str">
        <f>IF($C766&lt;&gt;"", IF(AND($E767&lt;&gt;"", J766&lt;&gt;""), J766/($E766*$E767), 0), "")</f>
        <v/>
      </c>
      <c r="M767" s="106"/>
      <c r="X767" s="493" t="str">
        <f>IF(ISNUMBER($B$537), IF($C767&lt;&gt;"", IF('Cost Inputs'!$L358="Y", $E767, IF('Cost Inputs'!$L358="N", IF(ISNUMBER('Cost Inputs'!$M358), $E767, ""),"")),""),"")</f>
        <v/>
      </c>
      <c r="Y767" s="493" t="str">
        <f>IF(ISNUMBER($B$537), IF($C767&lt;&gt;"", IF('Cost Inputs'!$L358="Y", $E767, IF('Cost Inputs'!$L358="N", "", "")),""),"")</f>
        <v/>
      </c>
      <c r="Z767" s="493" t="str">
        <f>IF(ISNUMBER($B$537), IF($C767&lt;&gt;"", IF('Cost Inputs'!$L358="Y", $E767, IF('Cost Inputs'!$L358="N", IF(AND(ISNUMBER('Cost Inputs'!$M358), OR('Cost Inputs'!$M358=2)), $E767, ""),"")),""),"")</f>
        <v/>
      </c>
      <c r="AA767" s="493" t="str">
        <f>IF(ISNUMBER($B$537), IF($C767&lt;&gt;"", IF('Cost Inputs'!$L358="Y", $E767, IF('Cost Inputs'!$L358="N", IF(AND(ISNUMBER('Cost Inputs'!$M358), OR('Cost Inputs'!$M358=3)), $E767, ""),"")),""),"")</f>
        <v/>
      </c>
      <c r="AB767" s="493" t="str">
        <f>IF(ISNUMBER($B$537), IF($C767&lt;&gt;"", IF('Cost Inputs'!$L358="Y", $E767, IF('Cost Inputs'!$L358="N", IF(AND(ISNUMBER('Cost Inputs'!$M358), OR('Cost Inputs'!$M358=2, 'Cost Inputs'!$M358=4)), $E767, ""),"")),""),"")</f>
        <v/>
      </c>
      <c r="AC767" s="493" t="str">
        <f>IF(ISNUMBER($B$537), IF($C767&lt;&gt;"", IF('Cost Inputs'!$L358="Y", $E767, IF('Cost Inputs'!$L358="N", IF(AND(ISNUMBER('Cost Inputs'!$M358), OR('Cost Inputs'!$M358=2,'Cost Inputs'!$M358=5)), $E767, ""),"")),""),"")</f>
        <v/>
      </c>
      <c r="AD767" s="493" t="str">
        <f>IF(ISNUMBER($B$537), IF($C767&lt;&gt;"", IF('Cost Inputs'!$L358="Y", $E767, IF('Cost Inputs'!$L358="N", IF(AND(ISNUMBER('Cost Inputs'!$M358), OR('Cost Inputs'!$M358=2,'Cost Inputs'!$M358=3,'Cost Inputs'!$M358=6)), $E767, ""),"")),""),"")</f>
        <v/>
      </c>
      <c r="AE767" s="493" t="str">
        <f>IF(ISNUMBER($B$537), IF($C767&lt;&gt;"", IF('Cost Inputs'!$L358="Y", $E767, IF('Cost Inputs'!$L358="N", IF(AND(ISNUMBER('Cost Inputs'!$M358), OR('Cost Inputs'!$M358=2,'Cost Inputs'!$M358=7)), $E767, ""),"")),""),"")</f>
        <v/>
      </c>
      <c r="AF767" s="493" t="str">
        <f>IF(ISNUMBER($B$537), IF($C767&lt;&gt;"", IF('Cost Inputs'!$L358="Y", $E767, IF('Cost Inputs'!$L358="N", IF(AND(ISNUMBER('Cost Inputs'!$M358), OR('Cost Inputs'!$M358=2,'Cost Inputs'!$M358=4,'Cost Inputs'!$M358=8)), $E767, ""),"")),""),"")</f>
        <v/>
      </c>
      <c r="AG767" s="493" t="str">
        <f>IF(ISNUMBER($B$537), IF($C767&lt;&gt;"", IF('Cost Inputs'!$L358="Y", $E767, IF('Cost Inputs'!$L358="N", IF(AND(ISNUMBER('Cost Inputs'!$M358), OR('Cost Inputs'!$M358=2,'Cost Inputs'!$M358=3,'Cost Inputs'!$M358=9)), $E767, ""),"")),""),"")</f>
        <v/>
      </c>
    </row>
    <row r="768" spans="1:33" x14ac:dyDescent="0.25">
      <c r="A768" s="518"/>
      <c r="B768" s="504"/>
      <c r="C768" s="107" t="str">
        <f>IF(AND(ISNUMBER(B753), C764&lt;&gt;"", OR('Cost Inputs'!$H$161&lt;&gt;"", 'Cost Inputs'!$I$161&lt;&gt;"", 'Cost Inputs'!$J$161&lt;&gt;"")), _5_5_2, "")</f>
        <v/>
      </c>
      <c r="D768" s="93" t="str">
        <f>IF(AND(C768&lt;&gt;"", 'Cost Inputs'!$G$161&lt;&gt;""), 'Cost Inputs'!$G$161, "")</f>
        <v/>
      </c>
      <c r="E768" s="93" t="str">
        <f>IF(AND(C768&lt;&gt;"", 'Cost Inputs'!$H$161&lt;&gt;""), 'Cost Inputs'!$H$161, "")</f>
        <v/>
      </c>
      <c r="F768" s="93" t="str">
        <f>IF(AND(C768&lt;&gt;"", 'Cost Inputs'!$I$161&lt;&gt;""), 'Cost Inputs'!$I$161, "")</f>
        <v/>
      </c>
      <c r="G768" s="108" t="str">
        <f t="shared" si="476"/>
        <v/>
      </c>
      <c r="H768" s="93" t="str">
        <f>IF(AND(C768&lt;&gt;"", 'Cost Inputs'!$J$161&lt;&gt;""), 'Cost Inputs'!$J$161, "")</f>
        <v/>
      </c>
      <c r="I768" s="93" t="str">
        <f>IF($C768&lt;&gt;"", IF(AND($E768&lt;&gt;"", H768&lt;&gt;""), H768/$E768, 0),"")</f>
        <v/>
      </c>
      <c r="J768" s="93" t="str">
        <f>IF(AND(C768&lt;&gt;"",('Cost Inputs'!$I$161+'Cost Inputs'!$J$161+'Cost Inputs'!$K$161)&gt;0), 'Cost Inputs'!$I$161+'Cost Inputs'!$J$161+'Cost Inputs'!$K$161, "")</f>
        <v/>
      </c>
      <c r="K768" s="93" t="str">
        <f>IF($C768&lt;&gt;"", IF(AND($E768&lt;&gt;"", J768&lt;&gt;""), J768/$E768, 0),"")</f>
        <v/>
      </c>
      <c r="L768" s="93"/>
      <c r="M768" s="109"/>
      <c r="X768" s="93" t="str">
        <f>IF(ISNUMBER($B$537), IF($C768&lt;&gt;"", IF('Cost Inputs'!$L$161="Y", $E768, IF('Cost Inputs'!$L$161="N", IF(ISNUMBER('Cost Inputs'!$M$161), $E768, ""),"")),""),"")</f>
        <v/>
      </c>
      <c r="Y768" s="93" t="str">
        <f>IF(ISNUMBER($B$537), IF($C768&lt;&gt;"", IF('Cost Inputs'!$L$161="Y", $E768, IF('Cost Inputs'!$L$161="N", "", "")),""),"")</f>
        <v/>
      </c>
      <c r="Z768" s="93" t="str">
        <f>IF(ISNUMBER($B$537), IF($C768&lt;&gt;"", IF('Cost Inputs'!$L$161="Y", $E768, IF('Cost Inputs'!$L$161="N", IF(AND(ISNUMBER('Cost Inputs'!$M$161), OR('Cost Inputs'!$M$161=2)), $E768, ""),"")),""),"")</f>
        <v/>
      </c>
      <c r="AA768" s="93" t="str">
        <f>IF(ISNUMBER($B$537), IF($C768&lt;&gt;"", IF('Cost Inputs'!$L$161="Y", $E768, IF('Cost Inputs'!$L$161="N", IF(AND(ISNUMBER('Cost Inputs'!$M$161), OR('Cost Inputs'!$M$161=3)), $E768, ""),"")),""),"")</f>
        <v/>
      </c>
      <c r="AB768" s="93" t="str">
        <f>IF(ISNUMBER($B$537), IF($C768&lt;&gt;"", IF('Cost Inputs'!$L$161="Y", $E768, IF('Cost Inputs'!$L$161="N", IF(AND(ISNUMBER('Cost Inputs'!$M$161), OR('Cost Inputs'!$M$161=2, 'Cost Inputs'!$M$161=4)), $E768, ""),"")),""),"")</f>
        <v/>
      </c>
      <c r="AC768" s="93" t="str">
        <f>IF(ISNUMBER($B$537), IF($C768&lt;&gt;"", IF('Cost Inputs'!$L$161="Y", $E768, IF('Cost Inputs'!$L$161="N", IF(AND(ISNUMBER('Cost Inputs'!$M$161), OR('Cost Inputs'!$M$161=2,'Cost Inputs'!$M$161=5)), $E768, ""),"")),""),"")</f>
        <v/>
      </c>
      <c r="AD768" s="93" t="str">
        <f>IF(ISNUMBER($B$537), IF($C768&lt;&gt;"", IF('Cost Inputs'!$L$161="Y", $E768, IF('Cost Inputs'!$L$161="N", IF(AND(ISNUMBER('Cost Inputs'!$M$161), OR('Cost Inputs'!$M$161=2,'Cost Inputs'!$M$161=3,'Cost Inputs'!$M$161=6)), $E768, ""),"")),""),"")</f>
        <v/>
      </c>
      <c r="AE768" s="93" t="str">
        <f>IF(ISNUMBER($B$537), IF($C768&lt;&gt;"", IF('Cost Inputs'!$L$161="Y", $E768, IF('Cost Inputs'!$L$161="N", IF(AND(ISNUMBER('Cost Inputs'!$M$161), OR('Cost Inputs'!$M$161=2,'Cost Inputs'!$M$161=7)), $E768, ""),"")),""),"")</f>
        <v/>
      </c>
      <c r="AF768" s="93" t="str">
        <f>IF(ISNUMBER($B$537), IF($C768&lt;&gt;"", IF('Cost Inputs'!$L$161="Y", $E768, IF('Cost Inputs'!$L$161="N", IF(AND(ISNUMBER('Cost Inputs'!$M$161), OR('Cost Inputs'!$M$161=2,'Cost Inputs'!$M$161=4,'Cost Inputs'!$M$161=8)), $E768, ""),"")),""),"")</f>
        <v/>
      </c>
      <c r="AG768" s="93" t="str">
        <f>IF(ISNUMBER($B$537), IF($C768&lt;&gt;"", IF('Cost Inputs'!$L$161="Y", $E768, IF('Cost Inputs'!$L$161="N", IF(AND(ISNUMBER('Cost Inputs'!$M$161), OR('Cost Inputs'!$M$161=2,'Cost Inputs'!$M$161=3,'Cost Inputs'!$M$161=9)), $E768, ""),"")),""),"")</f>
        <v/>
      </c>
    </row>
    <row r="769" spans="1:44" x14ac:dyDescent="0.25">
      <c r="A769" s="518"/>
      <c r="B769" s="504"/>
      <c r="C769" s="104" t="str">
        <f>IF(AND(ISNUMBER(B753), C764&lt;&gt;"", OR('Cost Inputs'!$H$162&lt;&gt;"", 'Cost Inputs'!$I$162&lt;&gt;"", 'Cost Inputs'!$J$162&lt;&gt;"")), _5_5_3, "")</f>
        <v/>
      </c>
      <c r="D769" s="17" t="str">
        <f>IF(AND(C769&lt;&gt;"", 'Cost Inputs'!$G$162&lt;&gt;""), 'Cost Inputs'!$G$162, "")</f>
        <v/>
      </c>
      <c r="E769" s="17" t="str">
        <f>IF(AND(C769&lt;&gt;"", 'Cost Inputs'!$H$162&lt;&gt;""), 'Cost Inputs'!$H$162, "")</f>
        <v/>
      </c>
      <c r="F769" s="17" t="str">
        <f>IF(AND(C769&lt;&gt;"", 'Cost Inputs'!$I$162&lt;&gt;""), 'Cost Inputs'!$I$162, "")</f>
        <v/>
      </c>
      <c r="G769" s="105" t="str">
        <f t="shared" si="476"/>
        <v/>
      </c>
      <c r="H769" s="17" t="str">
        <f>IF(AND(C769&lt;&gt;"", 'Cost Inputs'!$J$162&lt;&gt;""), 'Cost Inputs'!$J$162, "")</f>
        <v/>
      </c>
      <c r="I769" s="17" t="str">
        <f>IF($C769&lt;&gt;"", IF(AND($E769&lt;&gt;"", H769&lt;&gt;""), H769/$E769, 0),"")</f>
        <v/>
      </c>
      <c r="J769" s="17" t="str">
        <f>IF(AND(C769&lt;&gt;"",('Cost Inputs'!$I$162+'Cost Inputs'!$J$162+'Cost Inputs'!$K$162)&gt;0), 'Cost Inputs'!$I$162+'Cost Inputs'!$J$162+'Cost Inputs'!$K$162, "")</f>
        <v/>
      </c>
      <c r="K769" s="17" t="str">
        <f>IF($C769&lt;&gt;"", IF(AND($E769&lt;&gt;"", J769&lt;&gt;""), J769/$E769, 0),"")</f>
        <v/>
      </c>
      <c r="M769" s="106"/>
      <c r="X769" s="17" t="str">
        <f>IF(ISNUMBER($B$537), IF($C769&lt;&gt;"", IF('Cost Inputs'!$L$162="Y", $E769, IF('Cost Inputs'!$L$162="N", IF(ISNUMBER('Cost Inputs'!$M$162), $E769, ""),"")),""),"")</f>
        <v/>
      </c>
      <c r="Y769" s="17" t="str">
        <f>IF(ISNUMBER($B$537), IF($C769&lt;&gt;"", IF('Cost Inputs'!$L$162="Y", $E769, IF('Cost Inputs'!$L$162="N", "", "")),""),"")</f>
        <v/>
      </c>
      <c r="Z769" s="17" t="str">
        <f>IF(ISNUMBER($B$537), IF($C769&lt;&gt;"", IF('Cost Inputs'!$L$162="Y", $E769, IF('Cost Inputs'!$L$162="N", IF(AND(ISNUMBER('Cost Inputs'!$M$162), OR('Cost Inputs'!$M$162=2)), $E769, ""),"")),""),"")</f>
        <v/>
      </c>
      <c r="AA769" s="17" t="str">
        <f>IF(ISNUMBER($B$537), IF($C769&lt;&gt;"", IF('Cost Inputs'!$L$162="Y", $E769, IF('Cost Inputs'!$L$162="N", IF(AND(ISNUMBER('Cost Inputs'!$M$162), OR('Cost Inputs'!$M$162=3)), $E769, ""),"")),""),"")</f>
        <v/>
      </c>
      <c r="AB769" s="17" t="str">
        <f>IF(ISNUMBER($B$537), IF($C769&lt;&gt;"", IF('Cost Inputs'!$L$162="Y", $E769, IF('Cost Inputs'!$L$162="N", IF(AND(ISNUMBER('Cost Inputs'!$M$162), OR('Cost Inputs'!$M$162=2, 'Cost Inputs'!$M$162=4)), $E769, ""),"")),""),"")</f>
        <v/>
      </c>
      <c r="AC769" s="17" t="str">
        <f>IF(ISNUMBER($B$537), IF($C769&lt;&gt;"", IF('Cost Inputs'!$L$162="Y", $E769, IF('Cost Inputs'!$L$162="N", IF(AND(ISNUMBER('Cost Inputs'!$M$162), OR('Cost Inputs'!$M$162=2,'Cost Inputs'!$M$162=5)), $E769, ""),"")),""),"")</f>
        <v/>
      </c>
      <c r="AD769" s="17" t="str">
        <f>IF(ISNUMBER($B$537), IF($C769&lt;&gt;"", IF('Cost Inputs'!$L$162="Y", $E769, IF('Cost Inputs'!$L$162="N", IF(AND(ISNUMBER('Cost Inputs'!$M$162), OR('Cost Inputs'!$M$162=2,'Cost Inputs'!$M$162=3,'Cost Inputs'!$M$162=6)), $E769, ""),"")),""),"")</f>
        <v/>
      </c>
      <c r="AE769" s="17" t="str">
        <f>IF(ISNUMBER($B$537), IF($C769&lt;&gt;"", IF('Cost Inputs'!$L$162="Y", $E769, IF('Cost Inputs'!$L$162="N", IF(AND(ISNUMBER('Cost Inputs'!$M$162), OR('Cost Inputs'!$M$162=2,'Cost Inputs'!$M$162=7)), $E769, ""),"")),""),"")</f>
        <v/>
      </c>
      <c r="AF769" s="17" t="str">
        <f>IF(ISNUMBER($B$537), IF($C769&lt;&gt;"", IF('Cost Inputs'!$L$162="Y", $E769, IF('Cost Inputs'!$L$162="N", IF(AND(ISNUMBER('Cost Inputs'!$M$162), OR('Cost Inputs'!$M$162=2,'Cost Inputs'!$M$162=4,'Cost Inputs'!$M$162=8)), $E769, ""),"")),""),"")</f>
        <v/>
      </c>
      <c r="AG769" s="17" t="str">
        <f>IF(ISNUMBER($B$537), IF($C769&lt;&gt;"", IF('Cost Inputs'!$L$162="Y", $E769, IF('Cost Inputs'!$L$162="N", IF(AND(ISNUMBER('Cost Inputs'!$M$162), OR('Cost Inputs'!$M$162=2,'Cost Inputs'!$M$162=3,'Cost Inputs'!$M$162=9)), $E769, ""),"")),""),"")</f>
        <v/>
      </c>
    </row>
    <row r="770" spans="1:44" x14ac:dyDescent="0.25">
      <c r="A770" s="518"/>
      <c r="B770" s="504"/>
      <c r="C770" s="107" t="str">
        <f>IF(AND(ISNUMBER(B753), C764&lt;&gt;"", OR('Cost Inputs'!$H$163&lt;&gt;"", 'Cost Inputs'!$I$163&lt;&gt;"", 'Cost Inputs'!$J$163&lt;&gt;"")), _5_5_4, "")</f>
        <v/>
      </c>
      <c r="D770" s="93" t="str">
        <f>IF(AND(C770&lt;&gt;"", 'Cost Inputs'!$G$163&lt;&gt;""), 'Cost Inputs'!$G$163, "")</f>
        <v/>
      </c>
      <c r="E770" s="93" t="str">
        <f>IF(AND(C770&lt;&gt;"", 'Cost Inputs'!$H$163&lt;&gt;""), 'Cost Inputs'!$H$163, "")</f>
        <v/>
      </c>
      <c r="F770" s="93" t="str">
        <f>IF(AND(C770&lt;&gt;"", 'Cost Inputs'!$I$163&lt;&gt;""), 'Cost Inputs'!$I$163, "")</f>
        <v/>
      </c>
      <c r="G770" s="108" t="str">
        <f t="shared" si="476"/>
        <v/>
      </c>
      <c r="H770" s="93" t="str">
        <f>IF(AND(C770&lt;&gt;"", 'Cost Inputs'!$J$163&lt;&gt;""), 'Cost Inputs'!$J$163, "")</f>
        <v/>
      </c>
      <c r="I770" s="93" t="str">
        <f>IF($C770&lt;&gt;"", IF(AND($E770&lt;&gt;"", H770&lt;&gt;""), H770/$E770, 0),"")</f>
        <v/>
      </c>
      <c r="J770" s="93" t="str">
        <f>IF(AND(C770&lt;&gt;"",('Cost Inputs'!$I$163+'Cost Inputs'!$J$163+'Cost Inputs'!$K$163)&gt;0), 'Cost Inputs'!$I$163+'Cost Inputs'!$J$163+'Cost Inputs'!$K$163, "")</f>
        <v/>
      </c>
      <c r="K770" s="93" t="str">
        <f>IF($C770&lt;&gt;"", IF(AND($E770&lt;&gt;"", J770&lt;&gt;""), J770/$E770, 0),"")</f>
        <v/>
      </c>
      <c r="L770" s="93"/>
      <c r="M770" s="109"/>
      <c r="X770" s="93" t="str">
        <f>IF(ISNUMBER($B$537), IF($C770&lt;&gt;"", IF('Cost Inputs'!$L$163="Y", $E770, IF('Cost Inputs'!$L$163="N", IF(ISNUMBER('Cost Inputs'!$M$163), $E770, ""),"")),""),"")</f>
        <v/>
      </c>
      <c r="Y770" s="93" t="str">
        <f>IF(ISNUMBER($B$537), IF($C770&lt;&gt;"", IF('Cost Inputs'!$L$163="Y", $E770, IF('Cost Inputs'!$L$163="N", "", "")),""),"")</f>
        <v/>
      </c>
      <c r="Z770" s="93" t="str">
        <f>IF(ISNUMBER($B$537), IF($C770&lt;&gt;"", IF('Cost Inputs'!$L$163="Y", $E770, IF('Cost Inputs'!$L$163="N", IF(AND(ISNUMBER('Cost Inputs'!$M$163), OR('Cost Inputs'!$M$163=2)), $E770, ""),"")),""),"")</f>
        <v/>
      </c>
      <c r="AA770" s="93" t="str">
        <f>IF(ISNUMBER($B$537), IF($C770&lt;&gt;"", IF('Cost Inputs'!$L$163="Y", $E770, IF('Cost Inputs'!$L$163="N", IF(AND(ISNUMBER('Cost Inputs'!$M$163), OR('Cost Inputs'!$M$163=3)), $E770, ""),"")),""),"")</f>
        <v/>
      </c>
      <c r="AB770" s="93" t="str">
        <f>IF(ISNUMBER($B$537), IF($C770&lt;&gt;"", IF('Cost Inputs'!$L$163="Y", $E770, IF('Cost Inputs'!$L$163="N", IF(AND(ISNUMBER('Cost Inputs'!$M$163), OR('Cost Inputs'!$M$163=2, 'Cost Inputs'!$M$163=4)), $E770, ""),"")),""),"")</f>
        <v/>
      </c>
      <c r="AC770" s="93" t="str">
        <f>IF(ISNUMBER($B$537), IF($C770&lt;&gt;"", IF('Cost Inputs'!$L$163="Y", $E770, IF('Cost Inputs'!$L$163="N", IF(AND(ISNUMBER('Cost Inputs'!$M$163), OR('Cost Inputs'!$M$163=2,'Cost Inputs'!$M$163=5)), $E770, ""),"")),""),"")</f>
        <v/>
      </c>
      <c r="AD770" s="93" t="str">
        <f>IF(ISNUMBER($B$537), IF($C770&lt;&gt;"", IF('Cost Inputs'!$L$163="Y", $E770, IF('Cost Inputs'!$L$163="N", IF(AND(ISNUMBER('Cost Inputs'!$M$163), OR('Cost Inputs'!$M$163=2,'Cost Inputs'!$M$163=3,'Cost Inputs'!$M$163=6)), $E770, ""),"")),""),"")</f>
        <v/>
      </c>
      <c r="AE770" s="93" t="str">
        <f>IF(ISNUMBER($B$537), IF($C770&lt;&gt;"", IF('Cost Inputs'!$L$163="Y", $E770, IF('Cost Inputs'!$L$163="N", IF(AND(ISNUMBER('Cost Inputs'!$M$163), OR('Cost Inputs'!$M$163=2,'Cost Inputs'!$M$163=7)), $E770, ""),"")),""),"")</f>
        <v/>
      </c>
      <c r="AF770" s="93" t="str">
        <f>IF(ISNUMBER($B$537), IF($C770&lt;&gt;"", IF('Cost Inputs'!$L$163="Y", $E770, IF('Cost Inputs'!$L$163="N", IF(AND(ISNUMBER('Cost Inputs'!$M$163), OR('Cost Inputs'!$M$163=2,'Cost Inputs'!$M$163=4,'Cost Inputs'!$M$163=8)), $E770, ""),"")),""),"")</f>
        <v/>
      </c>
      <c r="AG770" s="93" t="str">
        <f>IF(ISNUMBER($B$537), IF($C770&lt;&gt;"", IF('Cost Inputs'!$L$163="Y", $E770, IF('Cost Inputs'!$L$163="N", IF(AND(ISNUMBER('Cost Inputs'!$M$163), OR('Cost Inputs'!$M$163=2,'Cost Inputs'!$M$163=3,'Cost Inputs'!$M$163=9)), $E770, ""),"")),""),"")</f>
        <v/>
      </c>
    </row>
    <row r="771" spans="1:44" x14ac:dyDescent="0.25">
      <c r="A771" s="518"/>
      <c r="B771" s="504"/>
      <c r="C771" s="104" t="str">
        <f>IF(AND(ISNUMBER(B753), C764&lt;&gt;"", OR('Cost Inputs'!$H$164&lt;&gt;"", 'Cost Inputs'!$I$164&lt;&gt;"", 'Cost Inputs'!$J$164&lt;&gt;"")), _5_5_5, "")</f>
        <v/>
      </c>
      <c r="D771" s="17" t="str">
        <f>IF(AND(C771&lt;&gt;"", 'Cost Inputs'!$G$164&lt;&gt;""), 'Cost Inputs'!$G$164, "")</f>
        <v/>
      </c>
      <c r="E771" s="17" t="str">
        <f>IF(AND(C771&lt;&gt;"", 'Cost Inputs'!$H$164&lt;&gt;""), 'Cost Inputs'!$H$164, "")</f>
        <v/>
      </c>
      <c r="F771" s="17" t="str">
        <f>IF(AND(C771&lt;&gt;"", 'Cost Inputs'!$I$164&lt;&gt;""), 'Cost Inputs'!$I$164, "")</f>
        <v/>
      </c>
      <c r="G771" s="105" t="str">
        <f t="shared" si="476"/>
        <v/>
      </c>
      <c r="H771" s="17" t="str">
        <f>IF(AND(C771&lt;&gt;"", 'Cost Inputs'!$J$164&lt;&gt;""), 'Cost Inputs'!$J$164, "")</f>
        <v/>
      </c>
      <c r="I771" s="17" t="str">
        <f>IF($C771&lt;&gt;"", IF(AND($E771&lt;&gt;"", H771&lt;&gt;""), H771/$E771, 0),"")</f>
        <v/>
      </c>
      <c r="J771" s="17" t="str">
        <f>IF(AND(C771&lt;&gt;"",('Cost Inputs'!$I$164+'Cost Inputs'!$J$164+'Cost Inputs'!$K$164)&gt;0), 'Cost Inputs'!$I$164+'Cost Inputs'!$J$164+'Cost Inputs'!$K$164, "")</f>
        <v/>
      </c>
      <c r="K771" s="17" t="str">
        <f>IF($C771&lt;&gt;"", IF(AND($E771&lt;&gt;"", J771&lt;&gt;""), J771/$E771, 0),"")</f>
        <v/>
      </c>
      <c r="M771" s="106"/>
      <c r="X771" s="17" t="str">
        <f>IF(ISNUMBER($B$537), IF($C771&lt;&gt;"", IF('Cost Inputs'!$L$164="Y", $E771, IF('Cost Inputs'!$L$164="N", IF(ISNUMBER('Cost Inputs'!$M$164), $E771, ""),"")),""),"")</f>
        <v/>
      </c>
      <c r="Y771" s="17" t="str">
        <f>IF(ISNUMBER($B$537), IF($C771&lt;&gt;"", IF('Cost Inputs'!$L$164="Y", $E771, IF('Cost Inputs'!$L$164="N", "", "")),""),"")</f>
        <v/>
      </c>
      <c r="Z771" s="17" t="str">
        <f>IF(ISNUMBER($B$537), IF($C771&lt;&gt;"", IF('Cost Inputs'!$L$164="Y", $E771, IF('Cost Inputs'!$L$164="N", IF(AND(ISNUMBER('Cost Inputs'!$M$164), OR('Cost Inputs'!$M$164=2)), $E771, ""),"")),""),"")</f>
        <v/>
      </c>
      <c r="AA771" s="17" t="str">
        <f>IF(ISNUMBER($B$537), IF($C771&lt;&gt;"", IF('Cost Inputs'!$L$164="Y", $E771, IF('Cost Inputs'!$L$164="N", IF(AND(ISNUMBER('Cost Inputs'!$M$164), OR('Cost Inputs'!$M$164=3)), $E771, ""),"")),""),"")</f>
        <v/>
      </c>
      <c r="AB771" s="17" t="str">
        <f>IF(ISNUMBER($B$537), IF($C771&lt;&gt;"", IF('Cost Inputs'!$L$164="Y", $E771, IF('Cost Inputs'!$L$164="N", IF(AND(ISNUMBER('Cost Inputs'!$M$164), OR('Cost Inputs'!$M$164=2, 'Cost Inputs'!$M$164=4)), $E771, ""),"")),""),"")</f>
        <v/>
      </c>
      <c r="AC771" s="17" t="str">
        <f>IF(ISNUMBER($B$537), IF($C771&lt;&gt;"", IF('Cost Inputs'!$L$164="Y", $E771, IF('Cost Inputs'!$L$164="N", IF(AND(ISNUMBER('Cost Inputs'!$M$164), OR('Cost Inputs'!$M$164=2,'Cost Inputs'!$M$164=5)), $E771, ""),"")),""),"")</f>
        <v/>
      </c>
      <c r="AD771" s="17" t="str">
        <f>IF(ISNUMBER($B$537), IF($C771&lt;&gt;"", IF('Cost Inputs'!$L$164="Y", $E771, IF('Cost Inputs'!$L$164="N", IF(AND(ISNUMBER('Cost Inputs'!$M$164), OR('Cost Inputs'!$M$164=2,'Cost Inputs'!$M$164=3,'Cost Inputs'!$M$164=6)), $E771, ""),"")),""),"")</f>
        <v/>
      </c>
      <c r="AE771" s="17" t="str">
        <f>IF(ISNUMBER($B$537), IF($C771&lt;&gt;"", IF('Cost Inputs'!$L$164="Y", $E771, IF('Cost Inputs'!$L$164="N", IF(AND(ISNUMBER('Cost Inputs'!$M$164), OR('Cost Inputs'!$M$164=2,'Cost Inputs'!$M$164=7)), $E771, ""),"")),""),"")</f>
        <v/>
      </c>
      <c r="AF771" s="17" t="str">
        <f>IF(ISNUMBER($B$537), IF($C771&lt;&gt;"", IF('Cost Inputs'!$L$164="Y", $E771, IF('Cost Inputs'!$L$164="N", IF(AND(ISNUMBER('Cost Inputs'!$M$164), OR('Cost Inputs'!$M$164=2,'Cost Inputs'!$M$164=4,'Cost Inputs'!$M$164=8)), $E771, ""),"")),""),"")</f>
        <v/>
      </c>
      <c r="AG771" s="17" t="str">
        <f>IF(ISNUMBER($B$537), IF($C771&lt;&gt;"", IF('Cost Inputs'!$L$164="Y", $E771, IF('Cost Inputs'!$L$164="N", IF(AND(ISNUMBER('Cost Inputs'!$M$164), OR('Cost Inputs'!$M$164=2,'Cost Inputs'!$M$164=3,'Cost Inputs'!$M$164=9)), $E771, ""),"")),""),"")</f>
        <v/>
      </c>
    </row>
    <row r="772" spans="1:44" x14ac:dyDescent="0.25">
      <c r="A772" s="518"/>
      <c r="B772" s="504"/>
      <c r="C772" s="110" t="str">
        <f>IF(ISNUMBER(B753), _5_6_0, "")</f>
        <v/>
      </c>
      <c r="D772" s="94" t="str">
        <f>IF(AND(C772&lt;&gt;"", 'Cost Inputs'!$G$165&lt;&gt;""), 'Cost Inputs'!$G$165, "")</f>
        <v/>
      </c>
      <c r="E772" s="94" t="str">
        <f>IF(AND(C772&lt;&gt;"", 'Cost Inputs'!$H$165&lt;&gt;""), 'Cost Inputs'!$H$165, "")</f>
        <v/>
      </c>
      <c r="F772" s="94" t="str">
        <f>IF(AND(C772&lt;&gt;"", 'Cost Inputs'!$I$165&lt;&gt;""), 'Cost Inputs'!$I$165, "")</f>
        <v/>
      </c>
      <c r="G772" s="102" t="str">
        <f t="shared" si="476"/>
        <v/>
      </c>
      <c r="H772" s="94" t="str">
        <f>IF(AND(C772&lt;&gt;"", 'Cost Inputs'!$J$165&lt;&gt;""), 'Cost Inputs'!$J$165, "")</f>
        <v/>
      </c>
      <c r="I772" s="102" t="str">
        <f>IF($C772&lt;&gt;"",IF(AND($E772&lt;&gt;"",H772&lt;&gt;""), H772/$E772, 0),"")</f>
        <v/>
      </c>
      <c r="J772" s="94" t="str">
        <f>IF(AND(C772&lt;&gt;"",('Cost Inputs'!$I$165+'Cost Inputs'!$J$165+'Cost Inputs'!$K$165)&gt;0), 'Cost Inputs'!$I$165+'Cost Inputs'!$J$165+'Cost Inputs'!$K$165, "")</f>
        <v/>
      </c>
      <c r="K772" s="102" t="str">
        <f>IF($C772&lt;&gt;"",IF(AND($E772&lt;&gt;"",J772&lt;&gt;""), J772/$E772, 0),"")</f>
        <v/>
      </c>
      <c r="L772" s="94"/>
      <c r="M772" s="103"/>
      <c r="X772" s="94" t="str">
        <f>IF(ISNUMBER($B$537), IF($C772&lt;&gt;"", IF('Cost Inputs'!$L$165="Y", $E772, IF('Cost Inputs'!$L$165="N", IF(ISNUMBER('Cost Inputs'!$M$165), $E772, ""),"")),""),"")</f>
        <v/>
      </c>
      <c r="Y772" s="94" t="str">
        <f>IF(ISNUMBER($B$537), IF($C772&lt;&gt;"", IF('Cost Inputs'!$L$165="Y", $E772, IF('Cost Inputs'!$L$165="N", "", "")),""),"")</f>
        <v/>
      </c>
      <c r="Z772" s="94" t="str">
        <f>IF(ISNUMBER($B$537), IF($C772&lt;&gt;"", IF('Cost Inputs'!$L$165="Y", $E772, IF('Cost Inputs'!$L$165="N", IF(AND(ISNUMBER('Cost Inputs'!$M$165), OR('Cost Inputs'!$M$165=2)), $E772, ""),"")),""),"")</f>
        <v/>
      </c>
      <c r="AA772" s="94" t="str">
        <f>IF(ISNUMBER($B$537), IF($C772&lt;&gt;"", IF('Cost Inputs'!$L$165="Y", $E772, IF('Cost Inputs'!$L$165="N", IF(AND(ISNUMBER('Cost Inputs'!$M$165), OR('Cost Inputs'!$M$165=3)), $E772, ""),"")),""),"")</f>
        <v/>
      </c>
      <c r="AB772" s="94" t="str">
        <f>IF(ISNUMBER($B$537), IF($C772&lt;&gt;"", IF('Cost Inputs'!$L$165="Y", $E772, IF('Cost Inputs'!$L$165="N", IF(AND(ISNUMBER('Cost Inputs'!$M$165), OR('Cost Inputs'!$M$165=2, 'Cost Inputs'!$M$165=4)), $E772, ""),"")),""),"")</f>
        <v/>
      </c>
      <c r="AC772" s="94" t="str">
        <f>IF(ISNUMBER($B$537), IF($C772&lt;&gt;"", IF('Cost Inputs'!$L$165="Y", $E772, IF('Cost Inputs'!$L$165="N", IF(AND(ISNUMBER('Cost Inputs'!$M$165), OR('Cost Inputs'!$M$165=2,'Cost Inputs'!$M$165=5)), $E772, ""),"")),""),"")</f>
        <v/>
      </c>
      <c r="AD772" s="94" t="str">
        <f>IF(ISNUMBER($B$537), IF($C772&lt;&gt;"", IF('Cost Inputs'!$L$165="Y", $E772, IF('Cost Inputs'!$L$165="N", IF(AND(ISNUMBER('Cost Inputs'!$M$165), OR('Cost Inputs'!$M$165=2,'Cost Inputs'!$M$165=3,'Cost Inputs'!$M$165=6)), $E772, ""),"")),""),"")</f>
        <v/>
      </c>
      <c r="AE772" s="94" t="str">
        <f>IF(ISNUMBER($B$537), IF($C772&lt;&gt;"", IF('Cost Inputs'!$L$165="Y", $E772, IF('Cost Inputs'!$L$165="N", IF(AND(ISNUMBER('Cost Inputs'!$M$165), OR('Cost Inputs'!$M$165=2,'Cost Inputs'!$M$165=7)), $E772, ""),"")),""),"")</f>
        <v/>
      </c>
      <c r="AF772" s="94" t="str">
        <f>IF(ISNUMBER($B$537), IF($C772&lt;&gt;"", IF('Cost Inputs'!$L$165="Y", $E772, IF('Cost Inputs'!$L$165="N", IF(AND(ISNUMBER('Cost Inputs'!$M$165), OR('Cost Inputs'!$M$165=2,'Cost Inputs'!$M$165=4,'Cost Inputs'!$M$165=8)), $E772, ""),"")),""),"")</f>
        <v/>
      </c>
      <c r="AG772" s="94" t="str">
        <f>IF(ISNUMBER($B$537), IF($C772&lt;&gt;"", IF('Cost Inputs'!$L$165="Y", $E772, IF('Cost Inputs'!$L$165="N", IF(AND(ISNUMBER('Cost Inputs'!$M$165), OR('Cost Inputs'!$M$165=2,'Cost Inputs'!$M$165=3,'Cost Inputs'!$M$165=9)), $E772, ""),"")),""),"")</f>
        <v/>
      </c>
    </row>
    <row r="773" spans="1:44" x14ac:dyDescent="0.25">
      <c r="A773" s="518"/>
      <c r="B773" s="504"/>
      <c r="C773" s="104" t="str">
        <f>IF(AND(ISNUMBER(B753), OR('Cost Inputs'!$H$166&lt;&gt;"", 'Cost Inputs'!$I$166&lt;&gt;"", 'Cost Inputs'!$J$166&lt;&gt;"")), _5_6_1, "")</f>
        <v/>
      </c>
      <c r="D773" s="17" t="str">
        <f>IF(AND(C773&lt;&gt;"", 'Cost Inputs'!$G$166&lt;&gt;""), 'Cost Inputs'!$G$166, "")</f>
        <v/>
      </c>
      <c r="E773" s="17" t="str">
        <f>IF(AND(C773&lt;&gt;"", 'Cost Inputs'!$H$166&lt;&gt;""), 'Cost Inputs'!$H$166, "")</f>
        <v/>
      </c>
      <c r="F773" s="17" t="str">
        <f>IF(AND(C773&lt;&gt;"", 'Cost Inputs'!$I$166&lt;&gt;""), 'Cost Inputs'!$I$166, "")</f>
        <v/>
      </c>
      <c r="G773" s="105" t="str">
        <f t="shared" si="476"/>
        <v/>
      </c>
      <c r="H773" s="17" t="str">
        <f>IF(AND(C773&lt;&gt;"", 'Cost Inputs'!$J$166&lt;&gt;""), 'Cost Inputs'!$J$166, "")</f>
        <v/>
      </c>
      <c r="I773" s="17" t="str">
        <f>IF($C773&lt;&gt;"", IF(AND($E773&lt;&gt;"", H773&lt;&gt;""), H773/$E773, 0),"")</f>
        <v/>
      </c>
      <c r="J773" s="17" t="str">
        <f>IF(AND(C773&lt;&gt;"",('Cost Inputs'!$I$166+'Cost Inputs'!$J$166+'Cost Inputs'!$K$166)&gt;0), 'Cost Inputs'!$I$166+'Cost Inputs'!$J$166+'Cost Inputs'!$K$166, "")</f>
        <v/>
      </c>
      <c r="K773" s="17" t="str">
        <f>IF($C773&lt;&gt;"", IF(AND($E773&lt;&gt;"", J773&lt;&gt;""), J773/$E773, 0),"")</f>
        <v/>
      </c>
      <c r="M773" s="106"/>
      <c r="X773" s="17" t="str">
        <f>IF(ISNUMBER($B$537), IF($C773&lt;&gt;"", IF('Cost Inputs'!$L$166="Y", $E773, IF('Cost Inputs'!$L$166="N", IF(ISNUMBER('Cost Inputs'!$M$166), $E773, ""),"")),""),"")</f>
        <v/>
      </c>
      <c r="Y773" s="17" t="str">
        <f>IF(ISNUMBER($B$537), IF($C773&lt;&gt;"", IF('Cost Inputs'!$L$166="Y", $E773, IF('Cost Inputs'!$L$166="N", "", "")),""),"")</f>
        <v/>
      </c>
      <c r="Z773" s="17" t="str">
        <f>IF(ISNUMBER($B$537), IF($C773&lt;&gt;"", IF('Cost Inputs'!$L$166="Y", $E773, IF('Cost Inputs'!$L$166="N", IF(AND(ISNUMBER('Cost Inputs'!$M$166), OR('Cost Inputs'!$M$166=2)), $E773, ""),"")),""),"")</f>
        <v/>
      </c>
      <c r="AA773" s="17" t="str">
        <f>IF(ISNUMBER($B$537), IF($C773&lt;&gt;"", IF('Cost Inputs'!$L$166="Y", $E773, IF('Cost Inputs'!$L$166="N", IF(AND(ISNUMBER('Cost Inputs'!$M$166), OR('Cost Inputs'!$M$166=3)), $E773, ""),"")),""),"")</f>
        <v/>
      </c>
      <c r="AB773" s="17" t="str">
        <f>IF(ISNUMBER($B$537), IF($C773&lt;&gt;"", IF('Cost Inputs'!$L$166="Y", $E773, IF('Cost Inputs'!$L$166="N", IF(AND(ISNUMBER('Cost Inputs'!$M$166), OR('Cost Inputs'!$M$166=2, 'Cost Inputs'!$M$166=4)), $E773, ""),"")),""),"")</f>
        <v/>
      </c>
      <c r="AC773" s="17" t="str">
        <f>IF(ISNUMBER($B$537), IF($C773&lt;&gt;"", IF('Cost Inputs'!$L$166="Y", $E773, IF('Cost Inputs'!$L$166="N", IF(AND(ISNUMBER('Cost Inputs'!$M$166), OR('Cost Inputs'!$M$166=2,'Cost Inputs'!$M$166=5)), $E773, ""),"")),""),"")</f>
        <v/>
      </c>
      <c r="AD773" s="17" t="str">
        <f>IF(ISNUMBER($B$537), IF($C773&lt;&gt;"", IF('Cost Inputs'!$L$166="Y", $E773, IF('Cost Inputs'!$L$166="N", IF(AND(ISNUMBER('Cost Inputs'!$M$166), OR('Cost Inputs'!$M$166=2,'Cost Inputs'!$M$166=3,'Cost Inputs'!$M$166=6)), $E773, ""),"")),""),"")</f>
        <v/>
      </c>
      <c r="AE773" s="17" t="str">
        <f>IF(ISNUMBER($B$537), IF($C773&lt;&gt;"", IF('Cost Inputs'!$L$166="Y", $E773, IF('Cost Inputs'!$L$166="N", IF(AND(ISNUMBER('Cost Inputs'!$M$166), OR('Cost Inputs'!$M$166=2,'Cost Inputs'!$M$166=7)), $E773, ""),"")),""),"")</f>
        <v/>
      </c>
      <c r="AF773" s="17" t="str">
        <f>IF(ISNUMBER($B$537), IF($C773&lt;&gt;"", IF('Cost Inputs'!$L$166="Y", $E773, IF('Cost Inputs'!$L$166="N", IF(AND(ISNUMBER('Cost Inputs'!$M$166), OR('Cost Inputs'!$M$166=2,'Cost Inputs'!$M$166=4,'Cost Inputs'!$M$166=8)), $E773, ""),"")),""),"")</f>
        <v/>
      </c>
      <c r="AG773" s="17" t="str">
        <f>IF(ISNUMBER($B$537), IF($C773&lt;&gt;"", IF('Cost Inputs'!$L$166="Y", $E773, IF('Cost Inputs'!$L$166="N", IF(AND(ISNUMBER('Cost Inputs'!$M$166), OR('Cost Inputs'!$M$166=2,'Cost Inputs'!$M$166=3,'Cost Inputs'!$M$166=9)), $E773, ""),"")),""),"")</f>
        <v/>
      </c>
    </row>
    <row r="774" spans="1:44" ht="15.75" thickBot="1" x14ac:dyDescent="0.3">
      <c r="A774" s="518"/>
      <c r="B774" s="504"/>
      <c r="C774" s="107" t="str">
        <f>IF(AND(ISNUMBER(B753), OR('Cost Inputs'!$H$167&lt;&gt;"", 'Cost Inputs'!$I$167&lt;&gt;"", 'Cost Inputs'!$J$167&lt;&gt;"")), _5_6_2, "")</f>
        <v/>
      </c>
      <c r="D774" s="93" t="str">
        <f>IF(AND(C774&lt;&gt;"", 'Cost Inputs'!$G$167&lt;&gt;""), 'Cost Inputs'!$G$167, "")</f>
        <v/>
      </c>
      <c r="E774" s="93" t="str">
        <f>IF(AND(C774&lt;&gt;"", 'Cost Inputs'!$H$167&lt;&gt;""), 'Cost Inputs'!$H$167, "")</f>
        <v/>
      </c>
      <c r="F774" s="93" t="str">
        <f>IF(AND(C774&lt;&gt;"", 'Cost Inputs'!$I$167&lt;&gt;""), 'Cost Inputs'!$I$167, "")</f>
        <v/>
      </c>
      <c r="G774" s="108" t="str">
        <f t="shared" si="476"/>
        <v/>
      </c>
      <c r="H774" s="93" t="str">
        <f>IF(AND(C774&lt;&gt;"", 'Cost Inputs'!$J$167&lt;&gt;""), 'Cost Inputs'!$J$167, "")</f>
        <v/>
      </c>
      <c r="I774" s="93" t="str">
        <f>IF($C774&lt;&gt;"", IF(AND($E774&lt;&gt;"", H774&lt;&gt;""), H774/$E774, 0),"")</f>
        <v/>
      </c>
      <c r="J774" s="93" t="str">
        <f>IF(AND(C774&lt;&gt;"",('Cost Inputs'!$I$167+'Cost Inputs'!$J$167+'Cost Inputs'!$K$167)&gt;0), 'Cost Inputs'!$I$167+'Cost Inputs'!$J$167+'Cost Inputs'!$K$167, "")</f>
        <v/>
      </c>
      <c r="K774" s="93" t="str">
        <f>IF($C774&lt;&gt;"", IF(AND($E774&lt;&gt;"", J774&lt;&gt;""), J774/$E774, 0),"")</f>
        <v/>
      </c>
      <c r="L774" s="93"/>
      <c r="M774" s="109"/>
      <c r="X774" s="95" t="str">
        <f>IF(ISNUMBER($B$537), IF($C774&lt;&gt;"", IF('Cost Inputs'!$L$167="Y", $E774, IF('Cost Inputs'!$L$167="N", IF(ISNUMBER('Cost Inputs'!$M$167), $E774, ""),"")),""),"")</f>
        <v/>
      </c>
      <c r="Y774" s="95" t="str">
        <f>IF(ISNUMBER($B$537), IF($C774&lt;&gt;"", IF('Cost Inputs'!$L$167="Y", $E774, IF('Cost Inputs'!$L$167="N", "", "")),""),"")</f>
        <v/>
      </c>
      <c r="Z774" s="95" t="str">
        <f>IF(ISNUMBER($B$537), IF($C774&lt;&gt;"", IF('Cost Inputs'!$L$167="Y", $E774, IF('Cost Inputs'!$L$167="N", IF(AND(ISNUMBER('Cost Inputs'!$M$167), OR('Cost Inputs'!$M$167=2)), $E774, ""),"")),""),"")</f>
        <v/>
      </c>
      <c r="AA774" s="95" t="str">
        <f>IF(ISNUMBER($B$537), IF($C774&lt;&gt;"", IF('Cost Inputs'!$L$167="Y", $E774, IF('Cost Inputs'!$L$167="N", IF(AND(ISNUMBER('Cost Inputs'!$M$167), OR('Cost Inputs'!$M$167=3)), $E774, ""),"")),""),"")</f>
        <v/>
      </c>
      <c r="AB774" s="95" t="str">
        <f>IF(ISNUMBER($B$537), IF($C774&lt;&gt;"", IF('Cost Inputs'!$L$167="Y", $E774, IF('Cost Inputs'!$L$167="N", IF(AND(ISNUMBER('Cost Inputs'!$M$167), OR('Cost Inputs'!$M$167=2, 'Cost Inputs'!$M$167=4)), $E774, ""),"")),""),"")</f>
        <v/>
      </c>
      <c r="AC774" s="95" t="str">
        <f>IF(ISNUMBER($B$537), IF($C774&lt;&gt;"", IF('Cost Inputs'!$L$167="Y", $E774, IF('Cost Inputs'!$L$167="N", IF(AND(ISNUMBER('Cost Inputs'!$M$167), OR('Cost Inputs'!$M$167=2,'Cost Inputs'!$M$167=5)), $E774, ""),"")),""),"")</f>
        <v/>
      </c>
      <c r="AD774" s="95" t="str">
        <f>IF(ISNUMBER($B$537), IF($C774&lt;&gt;"", IF('Cost Inputs'!$L$167="Y", $E774, IF('Cost Inputs'!$L$167="N", IF(AND(ISNUMBER('Cost Inputs'!$M$167), OR('Cost Inputs'!$M$167=2,'Cost Inputs'!$M$167=3,'Cost Inputs'!$M$167=6)), $E774, ""),"")),""),"")</f>
        <v/>
      </c>
      <c r="AE774" s="95" t="str">
        <f>IF(ISNUMBER($B$537), IF($C774&lt;&gt;"", IF('Cost Inputs'!$L$167="Y", $E774, IF('Cost Inputs'!$L$167="N", IF(AND(ISNUMBER('Cost Inputs'!$M$167), OR('Cost Inputs'!$M$167=2,'Cost Inputs'!$M$167=7)), $E774, ""),"")),""),"")</f>
        <v/>
      </c>
      <c r="AF774" s="95" t="str">
        <f>IF(ISNUMBER($B$537), IF($C774&lt;&gt;"", IF('Cost Inputs'!$L$167="Y", $E774, IF('Cost Inputs'!$L$167="N", IF(AND(ISNUMBER('Cost Inputs'!$M$167), OR('Cost Inputs'!$M$167=2,'Cost Inputs'!$M$167=4,'Cost Inputs'!$M$167=8)), $E774, ""),"")),""),"")</f>
        <v/>
      </c>
      <c r="AG774" s="95" t="str">
        <f>IF(ISNUMBER($B$537), IF($C774&lt;&gt;"", IF('Cost Inputs'!$L$167="Y", $E774, IF('Cost Inputs'!$L$167="N", IF(AND(ISNUMBER('Cost Inputs'!$M$167), OR('Cost Inputs'!$M$167=2,'Cost Inputs'!$M$167=3,'Cost Inputs'!$M$167=9)), $E774, ""),"")),""),"")</f>
        <v/>
      </c>
    </row>
    <row r="775" spans="1:44" ht="44.45" customHeight="1" thickBot="1" x14ac:dyDescent="0.3">
      <c r="A775" s="98"/>
      <c r="B775" s="99"/>
      <c r="C775" s="114"/>
      <c r="D775" s="114"/>
      <c r="E775" s="114"/>
      <c r="F775" s="114"/>
      <c r="G775" s="114" t="str">
        <f t="shared" si="476"/>
        <v/>
      </c>
      <c r="H775" s="114"/>
      <c r="I775" s="114"/>
      <c r="J775" s="114"/>
      <c r="K775" s="114"/>
      <c r="L775" s="114"/>
      <c r="M775" s="115"/>
      <c r="O775" s="295" t="str">
        <f>'Breeding Inputs'!B113</f>
        <v/>
      </c>
      <c r="P775" s="296" t="str">
        <f>IF(ISNUMBER(O775), O775+1,"")</f>
        <v/>
      </c>
      <c r="Q775" s="296" t="str">
        <f t="shared" ref="Q775:AG775" si="479">IF(ISNUMBER(P775), P775+1,"")</f>
        <v/>
      </c>
      <c r="R775" s="296" t="str">
        <f t="shared" si="479"/>
        <v/>
      </c>
      <c r="S775" s="296" t="str">
        <f t="shared" si="479"/>
        <v/>
      </c>
      <c r="T775" s="296" t="str">
        <f t="shared" si="479"/>
        <v/>
      </c>
      <c r="U775" s="296" t="str">
        <f t="shared" si="479"/>
        <v/>
      </c>
      <c r="V775" s="296" t="str">
        <f t="shared" si="479"/>
        <v/>
      </c>
      <c r="W775" s="296" t="str">
        <f t="shared" si="479"/>
        <v/>
      </c>
      <c r="X775" s="296" t="str">
        <f t="shared" si="479"/>
        <v/>
      </c>
      <c r="Y775" s="296" t="str">
        <f t="shared" si="479"/>
        <v/>
      </c>
      <c r="Z775" s="296" t="str">
        <f t="shared" si="479"/>
        <v/>
      </c>
      <c r="AA775" s="296" t="str">
        <f t="shared" si="479"/>
        <v/>
      </c>
      <c r="AB775" s="296" t="str">
        <f t="shared" si="479"/>
        <v/>
      </c>
      <c r="AC775" s="296" t="str">
        <f t="shared" si="479"/>
        <v/>
      </c>
      <c r="AD775" s="296" t="str">
        <f t="shared" si="479"/>
        <v/>
      </c>
      <c r="AE775" s="296" t="str">
        <f t="shared" si="479"/>
        <v/>
      </c>
      <c r="AF775" s="296" t="str">
        <f t="shared" si="479"/>
        <v/>
      </c>
      <c r="AG775" s="296" t="str">
        <f t="shared" si="479"/>
        <v/>
      </c>
      <c r="AH775" s="280"/>
      <c r="AI775" s="280"/>
      <c r="AJ775" s="280"/>
      <c r="AK775" s="280"/>
      <c r="AL775" s="280"/>
      <c r="AM775" s="280"/>
      <c r="AN775" s="280"/>
      <c r="AO775" s="280"/>
      <c r="AP775" s="280"/>
      <c r="AQ775" s="280"/>
      <c r="AR775" s="287"/>
    </row>
    <row r="776" spans="1:44" x14ac:dyDescent="0.25">
      <c r="A776" s="518" t="str">
        <f>Sixth_Stage</f>
        <v>Stage 4 Grower Trials</v>
      </c>
      <c r="B776" s="504" t="str">
        <f>'Breeding Inputs'!B113</f>
        <v/>
      </c>
      <c r="C776" s="521" t="str">
        <f>IF(ISNUMBER(B776), _6_1_0, "")</f>
        <v/>
      </c>
      <c r="D776" s="94" t="str">
        <f>IF(AND(C776&lt;&gt;"", 'Cost Inputs'!$G$169&lt;&gt;""), 'Cost Inputs'!$G$169, "")</f>
        <v/>
      </c>
      <c r="E776" s="94" t="str">
        <f>IF(AND(C776&lt;&gt;"", 'Cost Inputs'!$H$169&lt;&gt;""), 'Cost Inputs'!$H$169, "")</f>
        <v/>
      </c>
      <c r="F776" s="492" t="str">
        <f>IF(AND(C776&lt;&gt;"", 'Cost Inputs'!$I$169&lt;&gt;""), 'Cost Inputs'!$I$169, "")</f>
        <v/>
      </c>
      <c r="G776" s="102" t="str">
        <f t="shared" si="476"/>
        <v/>
      </c>
      <c r="H776" s="492" t="str">
        <f>IF(AND(C776&lt;&gt;"", 'Cost Inputs'!$J$169&lt;&gt;""), 'Cost Inputs'!$J$169, "")</f>
        <v/>
      </c>
      <c r="I776" s="102" t="str">
        <f>IF($C776&lt;&gt;"",IF(AND($E776&lt;&gt;"",H776&lt;&gt;""), H776/$E776, 0),"")</f>
        <v/>
      </c>
      <c r="J776" s="492" t="str">
        <f>IF(AND(C776&lt;&gt;"",('Cost Inputs'!$I$169+'Cost Inputs'!$J$169+'Cost Inputs'!$K$169)&gt;0), 'Cost Inputs'!$I$169+'Cost Inputs'!$J$169+'Cost Inputs'!$K$169, "")</f>
        <v/>
      </c>
      <c r="K776" s="102" t="str">
        <f>IF($C776&lt;&gt;"",IF(AND($E776&lt;&gt;"",J776&lt;&gt;""), J776/$E776, 0),"")</f>
        <v/>
      </c>
      <c r="L776" s="94"/>
      <c r="M776" s="103"/>
      <c r="O776" s="492" t="str">
        <f>IF(ISNUMBER($B776), IF($C776&lt;&gt;"", IF('Cost Inputs'!$L$169="Y", $E776, IF('Cost Inputs'!$L$169="N", IF(ISNUMBER('Cost Inputs'!$M$169), $E776, ""),"")),""),"")</f>
        <v/>
      </c>
      <c r="P776" s="492" t="str">
        <f>IF(ISNUMBER($B776), IF($C776&lt;&gt;"", IF('Cost Inputs'!$L$169="Y", $E776, IF('Cost Inputs'!$L$169="N", "", "")),""),"")</f>
        <v/>
      </c>
      <c r="Q776" s="492" t="str">
        <f>IF(ISNUMBER($B776), IF($C776&lt;&gt;"", IF('Cost Inputs'!$L$169="Y", $E776, IF('Cost Inputs'!$L$169="N", IF(AND(ISNUMBER('Cost Inputs'!$M$169), OR('Cost Inputs'!$M$169=2)), $E776, ""),"")),""),"")</f>
        <v/>
      </c>
      <c r="R776" s="492" t="str">
        <f>IF(ISNUMBER($B776), IF($C776&lt;&gt;"", IF('Cost Inputs'!$L$169="Y", $E776, IF('Cost Inputs'!$L$169="N", IF(AND(ISNUMBER('Cost Inputs'!$M$169), OR('Cost Inputs'!$M$169=3)), $E776, ""),"")),""),"")</f>
        <v/>
      </c>
      <c r="S776" s="492" t="str">
        <f>IF(ISNUMBER($B776), IF($C776&lt;&gt;"", IF('Cost Inputs'!$L$169="Y", $E776, IF('Cost Inputs'!$L$169="N", IF(AND(ISNUMBER('Cost Inputs'!$M$169), OR('Cost Inputs'!$M$169=2, 'Cost Inputs'!$M$169=4)), $E776, ""),"")),""),"")</f>
        <v/>
      </c>
      <c r="T776" s="492" t="str">
        <f>IF(ISNUMBER($B776), IF($C776&lt;&gt;"", IF('Cost Inputs'!$L$169="Y", $E776, IF('Cost Inputs'!$L$169="N", IF(AND(ISNUMBER('Cost Inputs'!$M$169), OR('Cost Inputs'!$M$169=2,'Cost Inputs'!$M$169=5)), $E776, ""),"")),""),"")</f>
        <v/>
      </c>
      <c r="U776" s="492" t="str">
        <f>IF(ISNUMBER($B776), IF($C776&lt;&gt;"", IF('Cost Inputs'!$L$169="Y", $E776, IF('Cost Inputs'!$L$169="N", IF(AND(ISNUMBER('Cost Inputs'!$M$169), OR('Cost Inputs'!$M$169=2,'Cost Inputs'!$M$169=3,'Cost Inputs'!$M$169=6)), $E776, ""),"")),""),"")</f>
        <v/>
      </c>
      <c r="V776" s="492" t="str">
        <f>IF(ISNUMBER($B776), IF($C776&lt;&gt;"", IF('Cost Inputs'!$L$169="Y", $E776, IF('Cost Inputs'!$L$169="N", IF(AND(ISNUMBER('Cost Inputs'!$M$169), OR('Cost Inputs'!$M$169=2,'Cost Inputs'!$M$169=7)), $E776, ""),"")),""),"")</f>
        <v/>
      </c>
      <c r="W776" s="492" t="str">
        <f>IF(ISNUMBER($B776), IF($C776&lt;&gt;"", IF('Cost Inputs'!$L$169="Y", $E776, IF('Cost Inputs'!$L$169="N", IF(AND(ISNUMBER('Cost Inputs'!$M$169), OR('Cost Inputs'!$M$169=2,'Cost Inputs'!$M$169=4,'Cost Inputs'!$M$169=8)), $E776, ""),"")),""),"")</f>
        <v/>
      </c>
      <c r="X776" s="492" t="str">
        <f>IF(ISNUMBER($B776), IF($C776&lt;&gt;"", IF('Cost Inputs'!$L$169="Y", $E776, IF('Cost Inputs'!$L$169="N", IF(AND(ISNUMBER('Cost Inputs'!$M$169), OR('Cost Inputs'!$M$169=2,'Cost Inputs'!$M$169=3,'Cost Inputs'!$M$169=9)), $E776, ""),"")),""),"")</f>
        <v/>
      </c>
    </row>
    <row r="777" spans="1:44" x14ac:dyDescent="0.25">
      <c r="A777" s="518"/>
      <c r="B777" s="504"/>
      <c r="C777" s="521"/>
      <c r="D777" s="94" t="str">
        <f>IF(AND(C776&lt;&gt;"", 'Cost Inputs'!$G$170&lt;&gt;""), 'Cost Inputs'!$G$170, "")</f>
        <v/>
      </c>
      <c r="E777" s="94" t="str">
        <f>IF(AND(C776&lt;&gt;"", 'Cost Inputs'!$H$170&lt;&gt;""), 'Cost Inputs'!$H$170, "")</f>
        <v/>
      </c>
      <c r="F777" s="492" t="str">
        <f>IF(AND(C777&lt;&gt;"", 'Cost Inputs'!$I$86&lt;&gt;""), 'Cost Inputs'!$I$86, "")</f>
        <v/>
      </c>
      <c r="G777" s="102" t="str">
        <f t="shared" si="476"/>
        <v/>
      </c>
      <c r="H777" s="492" t="str">
        <f>IF(AND(C777&lt;&gt;"", 'Cost Inputs'!$J$86&lt;&gt;""), 'Cost Inputs'!$J$86, "")</f>
        <v/>
      </c>
      <c r="I777" s="102" t="str">
        <f>IF($C776&lt;&gt;"", IF(AND($E777&lt;&gt;"", H776&lt;&gt;""), H776/($E776*$E777), 0), "")</f>
        <v/>
      </c>
      <c r="J777" s="492" t="str">
        <f>IF(AND(C777&lt;&gt;"",('Cost Inputs'!$I$86+'Cost Inputs'!$J$86+'Cost Inputs'!$K$86)&gt;0), 'Cost Inputs'!$I$86+'Cost Inputs'!$J$86+'Cost Inputs'!$K$86, "")</f>
        <v/>
      </c>
      <c r="K777" s="102" t="str">
        <f>IF($C776&lt;&gt;"", IF(AND($E777&lt;&gt;"", J776&lt;&gt;""), J776/($E776*$E777), 0), "")</f>
        <v/>
      </c>
      <c r="L777" s="94"/>
      <c r="M777" s="103"/>
      <c r="O777" s="492"/>
      <c r="P777" s="492"/>
      <c r="Q777" s="492"/>
      <c r="R777" s="492"/>
      <c r="S777" s="492"/>
      <c r="T777" s="492"/>
      <c r="U777" s="492"/>
      <c r="V777" s="492"/>
      <c r="W777" s="492"/>
      <c r="X777" s="492"/>
    </row>
    <row r="778" spans="1:44" x14ac:dyDescent="0.25">
      <c r="A778" s="518"/>
      <c r="B778" s="504"/>
      <c r="C778" s="376" t="str">
        <f>IF(AND(ISNUMBER(B776), OR('Cost Inputs'!$H$171&lt;&gt;"", 'Cost Inputs'!$I$171&lt;&gt;"", 'Cost Inputs'!$J$171&lt;&gt;"")), _6_1_1, "")</f>
        <v/>
      </c>
      <c r="D778" s="17" t="str">
        <f>IF(AND(C778&lt;&gt;"", 'Cost Inputs'!$G$171&lt;&gt;""), 'Cost Inputs'!$G$171, "")</f>
        <v/>
      </c>
      <c r="E778" s="17" t="str">
        <f>IF(AND(C778&lt;&gt;"", 'Cost Inputs'!$H$171&lt;&gt;""), 'Cost Inputs'!$H$171, "")</f>
        <v/>
      </c>
      <c r="F778" s="493" t="str">
        <f>IF(AND(C778&lt;&gt;"", 'Cost Inputs'!$I$171&lt;&gt;""), 'Cost Inputs'!$I$171, "")</f>
        <v/>
      </c>
      <c r="G778" s="105" t="str">
        <f t="shared" si="476"/>
        <v/>
      </c>
      <c r="H778" s="493" t="str">
        <f>IF(AND(C778&lt;&gt;"", 'Cost Inputs'!$J$171&lt;&gt;""), 'Cost Inputs'!$J$171, "")</f>
        <v/>
      </c>
      <c r="I778" s="105" t="str">
        <f>IF($C778&lt;&gt;"",IF(AND($E778&lt;&gt;"",H778&lt;&gt;""), H778/$E778, 0),"")</f>
        <v/>
      </c>
      <c r="J778" s="493" t="str">
        <f>IF(AND(C778&lt;&gt;"",('Cost Inputs'!$I$171+'Cost Inputs'!$J$171+'Cost Inputs'!$K$171)&gt;0), 'Cost Inputs'!$I$171+'Cost Inputs'!$J$171+'Cost Inputs'!$K$171, "")</f>
        <v/>
      </c>
      <c r="K778" s="105" t="str">
        <f>IF($C778&lt;&gt;"",IF(AND($E778&lt;&gt;"",J778&lt;&gt;""), J778/$E778, 0),"")</f>
        <v/>
      </c>
      <c r="M778" s="106"/>
      <c r="O778" s="493" t="str">
        <f>IF(ISNUMBER($B776), IF($C778&lt;&gt;"", IF('Cost Inputs'!$L$171="Y", $E778, IF('Cost Inputs'!$L$171="N", IF(ISNUMBER('Cost Inputs'!$M$171), $E778, ""),"")),""),"")</f>
        <v/>
      </c>
      <c r="P778" s="493" t="str">
        <f>IF(ISNUMBER($B776), IF($C778&lt;&gt;"", IF('Cost Inputs'!$L$171="Y", $E778, IF('Cost Inputs'!$L$171="N", "", "")),""),"")</f>
        <v/>
      </c>
      <c r="Q778" s="493" t="str">
        <f>IF(ISNUMBER($B776), IF($C778&lt;&gt;"", IF('Cost Inputs'!$L$171="Y", $E778, IF('Cost Inputs'!$L$171="N", IF(AND(ISNUMBER('Cost Inputs'!$M$171), OR('Cost Inputs'!$M$171=2)), $E778, ""),"")),""),"")</f>
        <v/>
      </c>
      <c r="R778" s="493" t="str">
        <f>IF(ISNUMBER($B776), IF($C778&lt;&gt;"", IF('Cost Inputs'!$L$171="Y", $E778, IF('Cost Inputs'!$L$171="N", IF(AND(ISNUMBER('Cost Inputs'!$M$171), OR('Cost Inputs'!$M$171=3)), $E778, ""),"")),""),"")</f>
        <v/>
      </c>
      <c r="S778" s="493" t="str">
        <f>IF(ISNUMBER($B776), IF($C778&lt;&gt;"", IF('Cost Inputs'!$L$171="Y", $E778, IF('Cost Inputs'!$L$171="N", IF(AND(ISNUMBER('Cost Inputs'!$M$171), OR('Cost Inputs'!$M$171=2, 'Cost Inputs'!$M$171=4)), $E778, ""),"")),""),"")</f>
        <v/>
      </c>
      <c r="T778" s="493" t="str">
        <f>IF(ISNUMBER($B776), IF($C778&lt;&gt;"", IF('Cost Inputs'!$L$171="Y", $E778, IF('Cost Inputs'!$L$171="N", IF(AND(ISNUMBER('Cost Inputs'!$M$171), OR('Cost Inputs'!$M$171=2,'Cost Inputs'!$M$171=5)), $E778, ""),"")),""),"")</f>
        <v/>
      </c>
      <c r="U778" s="493" t="str">
        <f>IF(ISNUMBER($B776), IF($C778&lt;&gt;"", IF('Cost Inputs'!$L$171="Y", $E778, IF('Cost Inputs'!$L$171="N", IF(AND(ISNUMBER('Cost Inputs'!$M$171), OR('Cost Inputs'!$M$171=2,'Cost Inputs'!$M$171=3,'Cost Inputs'!$M$171=6)), $E778, ""),"")),""),"")</f>
        <v/>
      </c>
      <c r="V778" s="493" t="str">
        <f>IF(ISNUMBER($B776), IF($C778&lt;&gt;"", IF('Cost Inputs'!$L$171="Y", $E778, IF('Cost Inputs'!$L$171="N", IF(AND(ISNUMBER('Cost Inputs'!$M$171), OR('Cost Inputs'!$M$171=2,'Cost Inputs'!$M$171=7)), $E778, ""),"")),""),"")</f>
        <v/>
      </c>
      <c r="W778" s="493" t="str">
        <f>IF(ISNUMBER($B776), IF($C778&lt;&gt;"", IF('Cost Inputs'!$L$171="Y", $E778, IF('Cost Inputs'!$L$171="N", IF(AND(ISNUMBER('Cost Inputs'!$M$171), OR('Cost Inputs'!$M$171=2,'Cost Inputs'!$M$171=4,'Cost Inputs'!$M$171=8)), $E778, ""),"")),""),"")</f>
        <v/>
      </c>
      <c r="X778" s="493" t="str">
        <f>IF(ISNUMBER($B776), IF($C778&lt;&gt;"", IF('Cost Inputs'!$L$171="Y", $E778, IF('Cost Inputs'!$L$171="N", IF(AND(ISNUMBER('Cost Inputs'!$M$171), OR('Cost Inputs'!$M$171=2,'Cost Inputs'!$M$171=3,'Cost Inputs'!$M$171=9)), $E778, ""),"")),""),"")</f>
        <v/>
      </c>
    </row>
    <row r="779" spans="1:44" x14ac:dyDescent="0.25">
      <c r="A779" s="518"/>
      <c r="B779" s="504"/>
      <c r="C779" s="376" t="str">
        <f>IF(AND(ISNUMBER(B761), OR('Cost Inputs'!$H$85&lt;&gt;"", 'Cost Inputs'!$I$85&lt;&gt;"", 'Cost Inputs'!$J$85&lt;&gt;"")), _3_5_1, "")</f>
        <v/>
      </c>
      <c r="D779" s="17" t="str">
        <f>IF(AND(C778&lt;&gt;"", 'Cost Inputs'!$G$172&lt;&gt;""), 'Cost Inputs'!$G$172, "")</f>
        <v/>
      </c>
      <c r="E779" s="17" t="str">
        <f>IF(AND(C778&lt;&gt;"", 'Cost Inputs'!$H$172&lt;&gt;""), 'Cost Inputs'!$H$172, "")</f>
        <v/>
      </c>
      <c r="F779" s="493"/>
      <c r="G779" s="105" t="str">
        <f t="shared" si="476"/>
        <v/>
      </c>
      <c r="H779" s="493"/>
      <c r="I779" s="105" t="str">
        <f>IF($C778&lt;&gt;"", IF(AND($E779&lt;&gt;"", H778&lt;&gt;""), H778/($E778*$E779), 0), "")</f>
        <v/>
      </c>
      <c r="J779" s="493" t="str">
        <f>IF(AND(C779&lt;&gt;"",('Cost Inputs'!$I$86+'Cost Inputs'!$J$86+'Cost Inputs'!$K$86)&gt;0), 'Cost Inputs'!$I$86+'Cost Inputs'!$J$86+'Cost Inputs'!$K$86, "")</f>
        <v/>
      </c>
      <c r="K779" s="105" t="str">
        <f>IF($C778&lt;&gt;"", IF(AND($E779&lt;&gt;"", J778&lt;&gt;""), J778/($E778*$E779), 0), "")</f>
        <v/>
      </c>
      <c r="M779" s="106"/>
      <c r="O779" s="493"/>
      <c r="P779" s="493"/>
      <c r="Q779" s="493"/>
      <c r="R779" s="493"/>
      <c r="S779" s="493"/>
      <c r="T779" s="493"/>
      <c r="U779" s="493"/>
      <c r="V779" s="493"/>
      <c r="W779" s="493"/>
      <c r="X779" s="493"/>
    </row>
    <row r="780" spans="1:44" x14ac:dyDescent="0.25">
      <c r="A780" s="518"/>
      <c r="B780" s="504"/>
      <c r="C780" s="523" t="str">
        <f>IF(AND(ISNUMBER(B776), OR('Cost Inputs'!$H$173&lt;&gt;"", 'Cost Inputs'!$I$173&lt;&gt;"", 'Cost Inputs'!$J$173&lt;&gt;"")), _6_1_2, "")</f>
        <v/>
      </c>
      <c r="D780" s="93" t="str">
        <f>IF(AND(C780&lt;&gt;"", 'Cost Inputs'!$G$173&lt;&gt;""), 'Cost Inputs'!$G$173, "")</f>
        <v/>
      </c>
      <c r="E780" s="93" t="str">
        <f>IF(AND(C780&lt;&gt;"", 'Cost Inputs'!$H$173&lt;&gt;""), 'Cost Inputs'!$H$173, "")</f>
        <v/>
      </c>
      <c r="F780" s="494" t="str">
        <f>IF(AND(C780&lt;&gt;"", 'Cost Inputs'!$I$173&lt;&gt;""), 'Cost Inputs'!$I$173, "")</f>
        <v/>
      </c>
      <c r="G780" s="108" t="str">
        <f t="shared" si="476"/>
        <v/>
      </c>
      <c r="H780" s="494" t="str">
        <f>IF(AND(C780&lt;&gt;"", 'Cost Inputs'!$J$173&lt;&gt;""), 'Cost Inputs'!$J$173, "")</f>
        <v/>
      </c>
      <c r="I780" s="108" t="str">
        <f>IF($C780&lt;&gt;"",IF(AND($E780&lt;&gt;"",H780&lt;&gt;""), H780/$E780, 0),"")</f>
        <v/>
      </c>
      <c r="J780" s="494" t="str">
        <f>IF(AND(C780&lt;&gt;"",('Cost Inputs'!$I$173+'Cost Inputs'!$J$173+'Cost Inputs'!$K$173)&gt;0), 'Cost Inputs'!$I$173+'Cost Inputs'!$J$173+'Cost Inputs'!$K$173, "")</f>
        <v/>
      </c>
      <c r="K780" s="108" t="str">
        <f>IF($C780&lt;&gt;"",IF(AND($E780&lt;&gt;"",J780&lt;&gt;""), J780/$E780, 0),"")</f>
        <v/>
      </c>
      <c r="L780" s="93"/>
      <c r="M780" s="109"/>
      <c r="O780" s="494" t="str">
        <f>IF(ISNUMBER($B776), IF($C780&lt;&gt;"", IF('Cost Inputs'!$L$173="Y", $E780, IF('Cost Inputs'!$L$173="N", IF(ISNUMBER('Cost Inputs'!$M$173), $E780, ""),"")),""),"")</f>
        <v/>
      </c>
      <c r="P780" s="494" t="str">
        <f>IF(ISNUMBER($B776), IF($C780&lt;&gt;"", IF('Cost Inputs'!$L$173="Y", $E780, IF('Cost Inputs'!$L$173="N", "", "")),""),"")</f>
        <v/>
      </c>
      <c r="Q780" s="494" t="str">
        <f>IF(ISNUMBER($B776), IF($C780&lt;&gt;"", IF('Cost Inputs'!$L$173="Y", $E780, IF('Cost Inputs'!$L$173="N", IF(AND(ISNUMBER('Cost Inputs'!$M$173), OR('Cost Inputs'!$M$173=2)), $E780, ""),"")),""),"")</f>
        <v/>
      </c>
      <c r="R780" s="494" t="str">
        <f>IF(ISNUMBER($B776), IF($C780&lt;&gt;"", IF('Cost Inputs'!$L$173="Y", $E780, IF('Cost Inputs'!$L$173="N", IF(AND(ISNUMBER('Cost Inputs'!$M$173), OR('Cost Inputs'!$M$173=3)), $E780, ""),"")),""),"")</f>
        <v/>
      </c>
      <c r="S780" s="494" t="str">
        <f>IF(ISNUMBER($B776), IF($C780&lt;&gt;"", IF('Cost Inputs'!$L$173="Y", $E780, IF('Cost Inputs'!$L$173="N", IF(AND(ISNUMBER('Cost Inputs'!$M$173), OR('Cost Inputs'!$M$173=2, 'Cost Inputs'!$M$173=4)), $E780, ""),"")),""),"")</f>
        <v/>
      </c>
      <c r="T780" s="494" t="str">
        <f>IF(ISNUMBER($B776), IF($C780&lt;&gt;"", IF('Cost Inputs'!$L$173="Y", $E780, IF('Cost Inputs'!$L$173="N", IF(AND(ISNUMBER('Cost Inputs'!$M$173), OR('Cost Inputs'!$M$173=2,'Cost Inputs'!$M$173=5)), $E780, ""),"")),""),"")</f>
        <v/>
      </c>
      <c r="U780" s="494" t="str">
        <f>IF(ISNUMBER($B776), IF($C780&lt;&gt;"", IF('Cost Inputs'!$L$173="Y", $E780, IF('Cost Inputs'!$L$173="N", IF(AND(ISNUMBER('Cost Inputs'!$M$173), OR('Cost Inputs'!$M$173=2,'Cost Inputs'!$M$173=3,'Cost Inputs'!$M$173=6)), $E780, ""),"")),""),"")</f>
        <v/>
      </c>
      <c r="V780" s="494" t="str">
        <f>IF(ISNUMBER($B776), IF($C780&lt;&gt;"", IF('Cost Inputs'!$L$173="Y", $E780, IF('Cost Inputs'!$L$173="N", IF(AND(ISNUMBER('Cost Inputs'!$M$173), OR('Cost Inputs'!$M$173=2,'Cost Inputs'!$M$173=7)), $E780, ""),"")),""),"")</f>
        <v/>
      </c>
      <c r="W780" s="494" t="str">
        <f>IF(ISNUMBER($B776), IF($C780&lt;&gt;"", IF('Cost Inputs'!$L$173="Y", $E780, IF('Cost Inputs'!$L$173="N", IF(AND(ISNUMBER('Cost Inputs'!$M$173), OR('Cost Inputs'!$M$173=2,'Cost Inputs'!$M$173=4,'Cost Inputs'!$M$173=8)), $E780, ""),"")),""),"")</f>
        <v/>
      </c>
      <c r="X780" s="494" t="str">
        <f>IF(ISNUMBER($B776), IF($C780&lt;&gt;"", IF('Cost Inputs'!$L$173="Y", $E780, IF('Cost Inputs'!$L$173="N", IF(AND(ISNUMBER('Cost Inputs'!$M$173), OR('Cost Inputs'!$M$173=2,'Cost Inputs'!$M$173=3,'Cost Inputs'!$M$173=9)), $E780, ""),"")),""),"")</f>
        <v/>
      </c>
    </row>
    <row r="781" spans="1:44" x14ac:dyDescent="0.25">
      <c r="A781" s="518"/>
      <c r="B781" s="504"/>
      <c r="C781" s="523"/>
      <c r="D781" s="93" t="str">
        <f>IF(AND(C780&lt;&gt;"", 'Cost Inputs'!$G$174&lt;&gt;""), 'Cost Inputs'!$G$174, "")</f>
        <v/>
      </c>
      <c r="E781" s="93" t="str">
        <f>IF(AND(C780&lt;&gt;"", 'Cost Inputs'!$H$174&lt;&gt;""), 'Cost Inputs'!$H$174, "")</f>
        <v/>
      </c>
      <c r="F781" s="494"/>
      <c r="G781" s="108" t="str">
        <f t="shared" si="476"/>
        <v/>
      </c>
      <c r="H781" s="494"/>
      <c r="I781" s="108" t="str">
        <f>IF($C780&lt;&gt;"", IF(AND($E781&lt;&gt;"", H780&lt;&gt;""), H780/($E780*$E781), 0), "")</f>
        <v/>
      </c>
      <c r="J781" s="494"/>
      <c r="K781" s="108" t="str">
        <f>IF($C780&lt;&gt;"", IF(AND($E781&lt;&gt;"", J780&lt;&gt;""), J780/($E780*$E781), 0), "")</f>
        <v/>
      </c>
      <c r="L781" s="93"/>
      <c r="M781" s="109"/>
      <c r="O781" s="494"/>
      <c r="P781" s="494"/>
      <c r="Q781" s="494"/>
      <c r="R781" s="494"/>
      <c r="S781" s="494"/>
      <c r="T781" s="494"/>
      <c r="U781" s="494"/>
      <c r="V781" s="494"/>
      <c r="W781" s="494"/>
      <c r="X781" s="494"/>
    </row>
    <row r="782" spans="1:44" x14ac:dyDescent="0.25">
      <c r="A782" s="518"/>
      <c r="B782" s="504"/>
      <c r="C782" s="376" t="str">
        <f>IF(AND(ISNUMBER(B776), OR('Cost Inputs'!$H$175&lt;&gt;"", 'Cost Inputs'!$I$175&lt;&gt;"", 'Cost Inputs'!$J$175&lt;&gt;"")), _6_1_3, "")</f>
        <v/>
      </c>
      <c r="D782" s="17" t="str">
        <f>IF(AND(C782&lt;&gt;"", 'Cost Inputs'!$G$175&lt;&gt;""), 'Cost Inputs'!$G$175, "")</f>
        <v/>
      </c>
      <c r="E782" s="17" t="str">
        <f>IF(AND(C782&lt;&gt;"", 'Cost Inputs'!$H$175&lt;&gt;""), 'Cost Inputs'!$H$175, "")</f>
        <v/>
      </c>
      <c r="F782" s="493" t="str">
        <f>IF(AND(C782&lt;&gt;"", 'Cost Inputs'!$I$175&lt;&gt;""), 'Cost Inputs'!$I$175, "")</f>
        <v/>
      </c>
      <c r="G782" s="105" t="str">
        <f t="shared" si="476"/>
        <v/>
      </c>
      <c r="H782" s="493" t="str">
        <f>IF(AND(C782&lt;&gt;"", 'Cost Inputs'!$J$175&lt;&gt;""), 'Cost Inputs'!$J$175, "")</f>
        <v/>
      </c>
      <c r="I782" s="105" t="str">
        <f>IF($C782&lt;&gt;"",IF(AND($E782&lt;&gt;"",H782&lt;&gt;""), H782/$E782, 0),"")</f>
        <v/>
      </c>
      <c r="J782" s="493" t="str">
        <f>IF(AND(C782&lt;&gt;"",('Cost Inputs'!$I$175+'Cost Inputs'!$J$175+'Cost Inputs'!$K$175)&gt;0), 'Cost Inputs'!$I$175+'Cost Inputs'!$J$175+'Cost Inputs'!$K$175, "")</f>
        <v/>
      </c>
      <c r="K782" s="105" t="str">
        <f>IF($C782&lt;&gt;"",IF(AND($E782&lt;&gt;"",J782&lt;&gt;""), J782/$E782, 0),"")</f>
        <v/>
      </c>
      <c r="M782" s="106"/>
      <c r="O782" s="493" t="str">
        <f>IF(ISNUMBER($B776), IF($C782&lt;&gt;"", IF('Cost Inputs'!$L$175="Y", $E782, IF('Cost Inputs'!$L$175="N", IF(ISNUMBER('Cost Inputs'!$M$175), $E782, ""),"")),""),"")</f>
        <v/>
      </c>
      <c r="P782" s="493" t="str">
        <f>IF(ISNUMBER($B776), IF($C782&lt;&gt;"", IF('Cost Inputs'!$L$175="Y", $E782, IF('Cost Inputs'!$L$175="N", "", "")),""),"")</f>
        <v/>
      </c>
      <c r="Q782" s="493" t="str">
        <f>IF(ISNUMBER($B776), IF($C782&lt;&gt;"", IF('Cost Inputs'!$L$175="Y", $E782, IF('Cost Inputs'!$L$175="N", IF(AND(ISNUMBER('Cost Inputs'!$M$175), OR('Cost Inputs'!$M$175=2)), $E782, ""),"")),""),"")</f>
        <v/>
      </c>
      <c r="R782" s="493" t="str">
        <f>IF(ISNUMBER($B776), IF($C782&lt;&gt;"", IF('Cost Inputs'!$L$175="Y", $E782, IF('Cost Inputs'!$L$175="N", IF(AND(ISNUMBER('Cost Inputs'!$M$175), OR('Cost Inputs'!$M$175=3)), $E782, ""),"")),""),"")</f>
        <v/>
      </c>
      <c r="S782" s="493" t="str">
        <f>IF(ISNUMBER($B776), IF($C782&lt;&gt;"", IF('Cost Inputs'!$L$175="Y", $E782, IF('Cost Inputs'!$L$175="N", IF(AND(ISNUMBER('Cost Inputs'!$M$175), OR('Cost Inputs'!$M$175=2, 'Cost Inputs'!$M$175=4)), $E782, ""),"")),""),"")</f>
        <v/>
      </c>
      <c r="T782" s="493" t="str">
        <f>IF(ISNUMBER($B776), IF($C782&lt;&gt;"", IF('Cost Inputs'!$L$175="Y", $E782, IF('Cost Inputs'!$L$175="N", IF(AND(ISNUMBER('Cost Inputs'!$M$175), OR('Cost Inputs'!$M$175=2,'Cost Inputs'!$M$175=5)), $E782, ""),"")),""),"")</f>
        <v/>
      </c>
      <c r="U782" s="493" t="str">
        <f>IF(ISNUMBER($B776), IF($C782&lt;&gt;"", IF('Cost Inputs'!$L$175="Y", $E782, IF('Cost Inputs'!$L$175="N", IF(AND(ISNUMBER('Cost Inputs'!$M$175), OR('Cost Inputs'!$M$175=2,'Cost Inputs'!$M$175=3,'Cost Inputs'!$M$175=6)), $E782, ""),"")),""),"")</f>
        <v/>
      </c>
      <c r="V782" s="493" t="str">
        <f>IF(ISNUMBER($B776), IF($C782&lt;&gt;"", IF('Cost Inputs'!$L$175="Y", $E782, IF('Cost Inputs'!$L$175="N", IF(AND(ISNUMBER('Cost Inputs'!$M$175), OR('Cost Inputs'!$M$175=2,'Cost Inputs'!$M$175=7)), $E782, ""),"")),""),"")</f>
        <v/>
      </c>
      <c r="W782" s="493" t="str">
        <f>IF(ISNUMBER($B776), IF($C782&lt;&gt;"", IF('Cost Inputs'!$L$175="Y", $E782, IF('Cost Inputs'!$L$175="N", IF(AND(ISNUMBER('Cost Inputs'!$M$175), OR('Cost Inputs'!$M$175=2,'Cost Inputs'!$M$175=4,'Cost Inputs'!$M$175=8)), $E782, ""),"")),""),"")</f>
        <v/>
      </c>
      <c r="X782" s="493" t="str">
        <f>IF(ISNUMBER($B776), IF($C782&lt;&gt;"", IF('Cost Inputs'!$L$175="Y", $E782, IF('Cost Inputs'!$L$175="N", IF(AND(ISNUMBER('Cost Inputs'!$M$175), OR('Cost Inputs'!$M$175=2,'Cost Inputs'!$M$175=3,'Cost Inputs'!$M$175=9)), $E782, ""),"")),""),"")</f>
        <v/>
      </c>
    </row>
    <row r="783" spans="1:44" x14ac:dyDescent="0.25">
      <c r="A783" s="518"/>
      <c r="B783" s="504"/>
      <c r="C783" s="376"/>
      <c r="D783" s="17" t="str">
        <f>IF(AND(C782&lt;&gt;"", 'Cost Inputs'!$G$176&lt;&gt;""), 'Cost Inputs'!$G$176, "")</f>
        <v/>
      </c>
      <c r="E783" s="17" t="str">
        <f>IF(AND(C782&lt;&gt;"", 'Cost Inputs'!$H$176&lt;&gt;""), 'Cost Inputs'!$H$176, "")</f>
        <v/>
      </c>
      <c r="F783" s="493"/>
      <c r="G783" s="105" t="str">
        <f t="shared" si="476"/>
        <v/>
      </c>
      <c r="H783" s="493"/>
      <c r="I783" s="105" t="str">
        <f>IF($C782&lt;&gt;"", IF(AND($E783&lt;&gt;"", H782&lt;&gt;""), H782/($E782*$E783), 0), "")</f>
        <v/>
      </c>
      <c r="J783" s="493"/>
      <c r="K783" s="105" t="str">
        <f>IF($C782&lt;&gt;"", IF(AND($E783&lt;&gt;"", J782&lt;&gt;""), J782/($E782*$E783), 0), "")</f>
        <v/>
      </c>
      <c r="M783" s="106"/>
      <c r="O783" s="493"/>
      <c r="P783" s="493"/>
      <c r="Q783" s="493"/>
      <c r="R783" s="493"/>
      <c r="S783" s="493"/>
      <c r="T783" s="493"/>
      <c r="U783" s="493"/>
      <c r="V783" s="493"/>
      <c r="W783" s="493"/>
      <c r="X783" s="493"/>
    </row>
    <row r="784" spans="1:44" x14ac:dyDescent="0.25">
      <c r="A784" s="518"/>
      <c r="B784" s="504"/>
      <c r="C784" s="107" t="str">
        <f>IF(AND(ISNUMBER(B776), OR('Cost Inputs'!$H$177&lt;&gt;"", 'Cost Inputs'!$I$177&lt;&gt;"", 'Cost Inputs'!$J$177&lt;&gt;"")), _6_1_4, "")</f>
        <v/>
      </c>
      <c r="D784" s="93" t="str">
        <f>IF(AND(C784&lt;&gt;"", 'Cost Inputs'!$G$177&lt;&gt;""), 'Cost Inputs'!$G$177, "")</f>
        <v/>
      </c>
      <c r="E784" s="93" t="str">
        <f>IF(AND(C784&lt;&gt;"", 'Cost Inputs'!$H$177&lt;&gt;""), 'Cost Inputs'!$H$177, "")</f>
        <v/>
      </c>
      <c r="F784" s="93" t="str">
        <f>IF(AND(C784&lt;&gt;"", 'Cost Inputs'!$I$177&lt;&gt;""), 'Cost Inputs'!$I$177, "")</f>
        <v/>
      </c>
      <c r="G784" s="108" t="str">
        <f t="shared" si="476"/>
        <v/>
      </c>
      <c r="H784" s="93" t="str">
        <f>IF(AND(C784&lt;&gt;"", 'Cost Inputs'!$J$177&lt;&gt;""), 'Cost Inputs'!$J$177, "")</f>
        <v/>
      </c>
      <c r="I784" s="108" t="str">
        <f>IF($C784&lt;&gt;"", IF(AND($E784&lt;&gt;"", H784&lt;&gt;""), H784/$E784, 0),"")</f>
        <v/>
      </c>
      <c r="J784" s="93" t="str">
        <f>IF(AND(C784&lt;&gt;"",('Cost Inputs'!$I$177+'Cost Inputs'!$J$177+'Cost Inputs'!$K$177)&gt;0), 'Cost Inputs'!$I$177+'Cost Inputs'!$J$177+'Cost Inputs'!$K$177, "")</f>
        <v/>
      </c>
      <c r="K784" s="108" t="str">
        <f>IF($C784&lt;&gt;"", IF(AND($E784&lt;&gt;"", J784&lt;&gt;""), J784/$E784, 0),"")</f>
        <v/>
      </c>
      <c r="L784" s="93"/>
      <c r="M784" s="109"/>
      <c r="O784" s="93" t="str">
        <f>IF(ISNUMBER($B776), IF($C784&lt;&gt;"", IF('Cost Inputs'!$L$177="Y", $E784, IF('Cost Inputs'!$L$177="N", IF(ISNUMBER('Cost Inputs'!$M$177), $E784, ""),"")),""),"")</f>
        <v/>
      </c>
      <c r="P784" s="93" t="str">
        <f>IF(ISNUMBER($B776), IF($C784&lt;&gt;"", IF('Cost Inputs'!$L$177="Y", $E784, IF('Cost Inputs'!$L$177="N", IF(ISNUMBER('Cost Inputs'!$M$177), $E784, ""),"")),""),"")</f>
        <v/>
      </c>
      <c r="Q784" s="93" t="str">
        <f>IF(ISNUMBER($B776), IF($C784&lt;&gt;"", IF('Cost Inputs'!$L$177="Y", $E784, IF('Cost Inputs'!$L$177="N", IF(ISNUMBER('Cost Inputs'!$M$177), $E784, ""),"")),""),"")</f>
        <v/>
      </c>
      <c r="R784" s="93" t="str">
        <f>IF(ISNUMBER($B776), IF($C784&lt;&gt;"", IF('Cost Inputs'!$L$177="Y", $E784, IF('Cost Inputs'!$L$177="N", IF(ISNUMBER('Cost Inputs'!$M$177), $E784, ""),"")),""),"")</f>
        <v/>
      </c>
      <c r="S784" s="93" t="str">
        <f>IF(ISNUMBER($B776), IF($C784&lt;&gt;"", IF('Cost Inputs'!$L$177="Y", $E784, IF('Cost Inputs'!$L$177="N", IF(ISNUMBER('Cost Inputs'!$M$177), $E784, ""),"")),""),"")</f>
        <v/>
      </c>
      <c r="T784" s="93" t="str">
        <f>IF(ISNUMBER($B776), IF($C784&lt;&gt;"", IF('Cost Inputs'!$L$177="Y", $E784, IF('Cost Inputs'!$L$177="N", IF(ISNUMBER('Cost Inputs'!$M$177), $E784, ""),"")),""),"")</f>
        <v/>
      </c>
      <c r="U784" s="93" t="str">
        <f>IF(ISNUMBER($B776), IF($C784&lt;&gt;"", IF('Cost Inputs'!$L$177="Y", $E784, IF('Cost Inputs'!$L$177="N", IF(ISNUMBER('Cost Inputs'!$M$177), $E784, ""),"")),""),"")</f>
        <v/>
      </c>
      <c r="V784" s="93" t="str">
        <f>IF(ISNUMBER($B776), IF($C784&lt;&gt;"", IF('Cost Inputs'!$L$177="Y", $E784, IF('Cost Inputs'!$L$177="N", IF(ISNUMBER('Cost Inputs'!$M$177), $E784, ""),"")),""),"")</f>
        <v/>
      </c>
      <c r="W784" s="93" t="str">
        <f>IF(ISNUMBER($B776), IF($C784&lt;&gt;"", IF('Cost Inputs'!$L$177="Y", $E784, IF('Cost Inputs'!$L$177="N", IF(ISNUMBER('Cost Inputs'!$M$177), $E784, ""),"")),""),"")</f>
        <v/>
      </c>
      <c r="X784" s="93" t="str">
        <f>IF(ISNUMBER($B776), IF($C784&lt;&gt;"", IF('Cost Inputs'!$L$177="Y", $E784, IF('Cost Inputs'!$L$177="N", IF(ISNUMBER('Cost Inputs'!$M$177), $E784, ""),"")),""),"")</f>
        <v/>
      </c>
    </row>
    <row r="785" spans="1:24" x14ac:dyDescent="0.25">
      <c r="A785" s="518"/>
      <c r="B785" s="504"/>
      <c r="C785" s="104" t="str">
        <f>IF(AND(ISNUMBER(B776), OR('Cost Inputs'!$H$178&lt;&gt;"", 'Cost Inputs'!$I$178&lt;&gt;"", 'Cost Inputs'!$J$178&lt;&gt;"")), _6_1_5, "")</f>
        <v/>
      </c>
      <c r="D785" s="17" t="str">
        <f>IF(AND(C785&lt;&gt;"", 'Cost Inputs'!$G$178&lt;&gt;""), 'Cost Inputs'!$G$178, "")</f>
        <v/>
      </c>
      <c r="E785" s="17" t="str">
        <f>IF(AND(C785&lt;&gt;"", 'Cost Inputs'!$H$178&lt;&gt;""), 'Cost Inputs'!$H$178, "")</f>
        <v/>
      </c>
      <c r="F785" s="17" t="str">
        <f>IF(AND(C785&lt;&gt;"", 'Cost Inputs'!$I$178&lt;&gt;""), 'Cost Inputs'!$I$178, "")</f>
        <v/>
      </c>
      <c r="G785" s="105" t="str">
        <f t="shared" si="476"/>
        <v/>
      </c>
      <c r="H785" s="17" t="str">
        <f>IF(AND(C785&lt;&gt;"", 'Cost Inputs'!$J$178&lt;&gt;""), 'Cost Inputs'!$J$178, "")</f>
        <v/>
      </c>
      <c r="I785" s="105" t="str">
        <f>IF($C785&lt;&gt;"", IF(AND($E785&lt;&gt;"", H785&lt;&gt;""), H785/$E785, 0),"")</f>
        <v/>
      </c>
      <c r="J785" s="17" t="str">
        <f>IF(AND(C785&lt;&gt;"",('Cost Inputs'!$I$178+'Cost Inputs'!$J$178+'Cost Inputs'!$K$178)&gt;0), 'Cost Inputs'!$I$178+'Cost Inputs'!$J$178+'Cost Inputs'!$K$178, "")</f>
        <v/>
      </c>
      <c r="K785" s="105"/>
      <c r="M785" s="106"/>
      <c r="O785" s="17" t="str">
        <f>IF(ISNUMBER($B776), IF($C785&lt;&gt;"", IF('Cost Inputs'!$L$178="Y", $E785, IF('Cost Inputs'!$L$178="N", IF(ISNUMBER('Cost Inputs'!$M$178), $E785, ""),"")),""),"")</f>
        <v/>
      </c>
      <c r="P785" s="17" t="str">
        <f>IF(ISNUMBER($B776), IF($C785&lt;&gt;"", IF('Cost Inputs'!$L$178="Y", $E785, IF('Cost Inputs'!$L$178="N", IF(ISNUMBER('Cost Inputs'!$M$178), $E785, ""),"")),""),"")</f>
        <v/>
      </c>
      <c r="Q785" s="17" t="str">
        <f>IF(ISNUMBER($B776), IF($C785&lt;&gt;"", IF('Cost Inputs'!$L$178="Y", $E785, IF('Cost Inputs'!$L$178="N", IF(ISNUMBER('Cost Inputs'!$M$178), $E785, ""),"")),""),"")</f>
        <v/>
      </c>
      <c r="R785" s="17" t="str">
        <f>IF(ISNUMBER($B776), IF($C785&lt;&gt;"", IF('Cost Inputs'!$L$178="Y", $E785, IF('Cost Inputs'!$L$178="N", IF(ISNUMBER('Cost Inputs'!$M$178), $E785, ""),"")),""),"")</f>
        <v/>
      </c>
      <c r="S785" s="17" t="str">
        <f>IF(ISNUMBER($B776), IF($C785&lt;&gt;"", IF('Cost Inputs'!$L$178="Y", $E785, IF('Cost Inputs'!$L$178="N", IF(ISNUMBER('Cost Inputs'!$M$178), $E785, ""),"")),""),"")</f>
        <v/>
      </c>
      <c r="T785" s="17" t="str">
        <f>IF(ISNUMBER($B776), IF($C785&lt;&gt;"", IF('Cost Inputs'!$L$178="Y", $E785, IF('Cost Inputs'!$L$178="N", IF(ISNUMBER('Cost Inputs'!$M$178), $E785, ""),"")),""),"")</f>
        <v/>
      </c>
      <c r="U785" s="17" t="str">
        <f>IF(ISNUMBER($B776), IF($C785&lt;&gt;"", IF('Cost Inputs'!$L$178="Y", $E785, IF('Cost Inputs'!$L$178="N", IF(ISNUMBER('Cost Inputs'!$M$178), $E785, ""),"")),""),"")</f>
        <v/>
      </c>
      <c r="V785" s="17" t="str">
        <f>IF(ISNUMBER($B776), IF($C785&lt;&gt;"", IF('Cost Inputs'!$L$178="Y", $E785, IF('Cost Inputs'!$L$178="N", IF(ISNUMBER('Cost Inputs'!$M$178), $E785, ""),"")),""),"")</f>
        <v/>
      </c>
      <c r="W785" s="17" t="str">
        <f>IF(ISNUMBER($B776), IF($C785&lt;&gt;"", IF('Cost Inputs'!$L$178="Y", $E785, IF('Cost Inputs'!$L$178="N", IF(ISNUMBER('Cost Inputs'!$M$178), $E785, ""),"")),""),"")</f>
        <v/>
      </c>
      <c r="X785" s="17" t="str">
        <f>IF(ISNUMBER($B776), IF($C785&lt;&gt;"", IF('Cost Inputs'!$L$178="Y", $E785, IF('Cost Inputs'!$L$178="N", IF(ISNUMBER('Cost Inputs'!$M$178), $E785, ""),"")),""),"")</f>
        <v/>
      </c>
    </row>
    <row r="786" spans="1:24" x14ac:dyDescent="0.25">
      <c r="A786" s="518"/>
      <c r="B786" s="504"/>
      <c r="C786" s="521" t="str">
        <f>IF(ISNUMBER(B776), _6_2_0, "")</f>
        <v/>
      </c>
      <c r="D786" s="94" t="str">
        <f>IF(AND(C786&lt;&gt;"", 'Cost Inputs'!$G$179&lt;&gt;""), 'Cost Inputs'!$G$179, "")</f>
        <v/>
      </c>
      <c r="E786" s="94" t="str">
        <f>IF(AND(C786&lt;&gt;"", 'Cost Inputs'!$H$179&lt;&gt;""), 'Cost Inputs'!$H$179, "")</f>
        <v/>
      </c>
      <c r="F786" s="492" t="str">
        <f>IF(AND(C786&lt;&gt;"", 'Cost Inputs'!$I$179&lt;&gt;""), 'Cost Inputs'!$I$179, "")</f>
        <v/>
      </c>
      <c r="G786" s="102" t="str">
        <f t="shared" si="476"/>
        <v/>
      </c>
      <c r="H786" s="492" t="str">
        <f>IF(AND(C786&lt;&gt;"", 'Cost Inputs'!$J$179&lt;&gt;""), 'Cost Inputs'!$J$179, "")</f>
        <v/>
      </c>
      <c r="I786" s="102" t="str">
        <f>IF($C786&lt;&gt;"",IF(AND($E786&lt;&gt;"",H786&lt;&gt;""), H786/$E786, 0),"")</f>
        <v/>
      </c>
      <c r="J786" s="492" t="str">
        <f>IF(AND(C786&lt;&gt;"",('Cost Inputs'!$I$179+'Cost Inputs'!$J$179+'Cost Inputs'!$K$179)&gt;0), 'Cost Inputs'!$I$179+'Cost Inputs'!$J$179+'Cost Inputs'!$K$179, "")</f>
        <v/>
      </c>
      <c r="K786" s="102" t="str">
        <f>IF($C786&lt;&gt;"",IF(AND($E786&lt;&gt;"",J786&lt;&gt;""), J786/$E786, 0),"")</f>
        <v/>
      </c>
      <c r="L786" s="94"/>
      <c r="M786" s="103"/>
      <c r="O786" s="492" t="str">
        <f>IF(ISNUMBER($B776), IF($C786&lt;&gt;"", IF('Cost Inputs'!$L$179="Y", $E786, IF('Cost Inputs'!$L$179="N", IF(ISNUMBER('Cost Inputs'!$M$179), $E786, ""),"")),""),"")</f>
        <v/>
      </c>
      <c r="P786" s="492" t="str">
        <f>IF(ISNUMBER($B776), IF($C786&lt;&gt;"", IF('Cost Inputs'!$L$179="Y", $E786, IF('Cost Inputs'!$L$179="N", IF(ISNUMBER('Cost Inputs'!$M$179), $E786, ""),"")),""),"")</f>
        <v/>
      </c>
      <c r="Q786" s="492" t="str">
        <f>IF(ISNUMBER($B776), IF($C786&lt;&gt;"", IF('Cost Inputs'!$L$179="Y", $E786, IF('Cost Inputs'!$L$179="N", IF(ISNUMBER('Cost Inputs'!$M$179), $E786, ""),"")),""),"")</f>
        <v/>
      </c>
      <c r="R786" s="492" t="str">
        <f>IF(ISNUMBER($B776), IF($C786&lt;&gt;"", IF('Cost Inputs'!$L$179="Y", $E786, IF('Cost Inputs'!$L$179="N", IF(ISNUMBER('Cost Inputs'!$M$179), $E786, ""),"")),""),"")</f>
        <v/>
      </c>
      <c r="S786" s="492" t="str">
        <f>IF(ISNUMBER($B776), IF($C786&lt;&gt;"", IF('Cost Inputs'!$L$179="Y", $E786, IF('Cost Inputs'!$L$179="N", IF(ISNUMBER('Cost Inputs'!$M$179), $E786, ""),"")),""),"")</f>
        <v/>
      </c>
      <c r="T786" s="492" t="str">
        <f>IF(ISNUMBER($B776), IF($C786&lt;&gt;"", IF('Cost Inputs'!$L$179="Y", $E786, IF('Cost Inputs'!$L$179="N", IF(ISNUMBER('Cost Inputs'!$M$179), $E786, ""),"")),""),"")</f>
        <v/>
      </c>
      <c r="U786" s="492" t="str">
        <f>IF(ISNUMBER($B776), IF($C786&lt;&gt;"", IF('Cost Inputs'!$L$179="Y", $E786, IF('Cost Inputs'!$L$179="N", IF(ISNUMBER('Cost Inputs'!$M$179), $E786, ""),"")),""),"")</f>
        <v/>
      </c>
      <c r="V786" s="492" t="str">
        <f>IF(ISNUMBER($B776), IF($C786&lt;&gt;"", IF('Cost Inputs'!$L$179="Y", $E786, IF('Cost Inputs'!$L$179="N", IF(ISNUMBER('Cost Inputs'!$M$179), $E786, ""),"")),""),"")</f>
        <v/>
      </c>
      <c r="W786" s="492" t="str">
        <f>IF(ISNUMBER($B776), IF($C786&lt;&gt;"", IF('Cost Inputs'!$L$179="Y", $E786, IF('Cost Inputs'!$L$179="N", IF(ISNUMBER('Cost Inputs'!$M$179), $E786, ""),"")),""),"")</f>
        <v/>
      </c>
      <c r="X786" s="492" t="str">
        <f>IF(ISNUMBER($B776), IF($C786&lt;&gt;"", IF('Cost Inputs'!$L$179="Y", $E786, IF('Cost Inputs'!$L$179="N", IF(ISNUMBER('Cost Inputs'!$M$179), $E786, ""),"")),""),"")</f>
        <v/>
      </c>
    </row>
    <row r="787" spans="1:24" x14ac:dyDescent="0.25">
      <c r="A787" s="518"/>
      <c r="B787" s="504"/>
      <c r="C787" s="521"/>
      <c r="D787" s="94" t="str">
        <f>IF(AND(C786&lt;&gt;"", 'Cost Inputs'!$G$180&lt;&gt;""), 'Cost Inputs'!$G$180, "")</f>
        <v/>
      </c>
      <c r="E787" s="94" t="str">
        <f>IF(AND(C786&lt;&gt;"", 'Cost Inputs'!$H$180&lt;&gt;""), 'Cost Inputs'!$H$180, "")</f>
        <v/>
      </c>
      <c r="F787" s="492"/>
      <c r="G787" s="102" t="str">
        <f t="shared" si="476"/>
        <v/>
      </c>
      <c r="H787" s="492"/>
      <c r="I787" s="102" t="str">
        <f>IF($C786&lt;&gt;"", IF(AND($E787&lt;&gt;"", H786&lt;&gt;""), H786/($E786*$E787), 0), "")</f>
        <v/>
      </c>
      <c r="J787" s="492" t="str">
        <f>IF(AND(C787&lt;&gt;"",('Cost Inputs'!$I$86+'Cost Inputs'!$J$86+'Cost Inputs'!$K$86)&gt;0), 'Cost Inputs'!$I$86+'Cost Inputs'!$J$86+'Cost Inputs'!$K$86, "")</f>
        <v/>
      </c>
      <c r="K787" s="102" t="str">
        <f>IF($C786&lt;&gt;"", IF(AND($E787&lt;&gt;"", J786&lt;&gt;""), J786/($E786*$E787), 0), "")</f>
        <v/>
      </c>
      <c r="L787" s="94"/>
      <c r="M787" s="103"/>
      <c r="O787" s="492" t="str">
        <f>IF(ISNUMBER($B$776), IF($C787&lt;&gt;"", IF('Cost Inputs'!$L180="Y", $E787, IF('Cost Inputs'!$L180="N", IF(ISNUMBER('Cost Inputs'!$M180), $E787, ""),"")),""),"")</f>
        <v/>
      </c>
      <c r="P787" s="492" t="str">
        <f>IF(ISNUMBER($B$776), IF($C787&lt;&gt;"", IF('Cost Inputs'!$L180="Y", $E787, IF('Cost Inputs'!$L180="N", IF(ISNUMBER('Cost Inputs'!$M180), $E787, ""),"")),""),"")</f>
        <v/>
      </c>
      <c r="Q787" s="492" t="str">
        <f>IF(ISNUMBER($B$776), IF($C787&lt;&gt;"", IF('Cost Inputs'!$L180="Y", $E787, IF('Cost Inputs'!$L180="N", IF(ISNUMBER('Cost Inputs'!$M180), $E787, ""),"")),""),"")</f>
        <v/>
      </c>
      <c r="R787" s="492" t="str">
        <f>IF(ISNUMBER($B$776), IF($C787&lt;&gt;"", IF('Cost Inputs'!$L180="Y", $E787, IF('Cost Inputs'!$L180="N", IF(ISNUMBER('Cost Inputs'!$M180), $E787, ""),"")),""),"")</f>
        <v/>
      </c>
      <c r="S787" s="492" t="str">
        <f>IF(ISNUMBER($B$776), IF($C787&lt;&gt;"", IF('Cost Inputs'!$L180="Y", $E787, IF('Cost Inputs'!$L180="N", IF(ISNUMBER('Cost Inputs'!$M180), $E787, ""),"")),""),"")</f>
        <v/>
      </c>
      <c r="T787" s="492" t="str">
        <f>IF(ISNUMBER($B$776), IF($C787&lt;&gt;"", IF('Cost Inputs'!$L180="Y", $E787, IF('Cost Inputs'!$L180="N", IF(ISNUMBER('Cost Inputs'!$M180), $E787, ""),"")),""),"")</f>
        <v/>
      </c>
      <c r="U787" s="492" t="str">
        <f>IF(ISNUMBER($B$776), IF($C787&lt;&gt;"", IF('Cost Inputs'!$L180="Y", $E787, IF('Cost Inputs'!$L180="N", IF(ISNUMBER('Cost Inputs'!$M180), $E787, ""),"")),""),"")</f>
        <v/>
      </c>
      <c r="V787" s="492" t="str">
        <f>IF(ISNUMBER($B$776), IF($C787&lt;&gt;"", IF('Cost Inputs'!$L180="Y", $E787, IF('Cost Inputs'!$L180="N", IF(ISNUMBER('Cost Inputs'!$M180), $E787, ""),"")),""),"")</f>
        <v/>
      </c>
      <c r="W787" s="492" t="str">
        <f>IF(ISNUMBER($B$776), IF($C787&lt;&gt;"", IF('Cost Inputs'!$L180="Y", $E787, IF('Cost Inputs'!$L180="N", IF(ISNUMBER('Cost Inputs'!$M180), $E787, ""),"")),""),"")</f>
        <v/>
      </c>
      <c r="X787" s="492" t="str">
        <f>IF(ISNUMBER($B$776), IF($C787&lt;&gt;"", IF('Cost Inputs'!$L180="Y", $E787, IF('Cost Inputs'!$L180="N", IF(ISNUMBER('Cost Inputs'!$M180), $E787, ""),"")),""),"")</f>
        <v/>
      </c>
    </row>
    <row r="788" spans="1:24" x14ac:dyDescent="0.25">
      <c r="A788" s="518"/>
      <c r="B788" s="504"/>
      <c r="C788" s="376" t="str">
        <f>IF(AND(ISNUMBER(B776), OR('Cost Inputs'!$H$181&lt;&gt;"", 'Cost Inputs'!$I$181&lt;&gt;"", 'Cost Inputs'!$J$181&lt;&gt;"")), _6_2_1, "")</f>
        <v/>
      </c>
      <c r="D788" s="17" t="str">
        <f>IF(AND(C788&lt;&gt;"", 'Cost Inputs'!$G$181&lt;&gt;""), 'Cost Inputs'!$G$181, "")</f>
        <v/>
      </c>
      <c r="E788" s="17" t="str">
        <f>IF(AND(C788&lt;&gt;"", 'Cost Inputs'!$H$181&lt;&gt;""), 'Cost Inputs'!$H$181, "")</f>
        <v/>
      </c>
      <c r="F788" s="493" t="str">
        <f>IF(AND(C788&lt;&gt;"", 'Cost Inputs'!$I$181&lt;&gt;""), 'Cost Inputs'!$I$181, "")</f>
        <v/>
      </c>
      <c r="G788" s="105" t="str">
        <f t="shared" si="476"/>
        <v/>
      </c>
      <c r="H788" s="493" t="str">
        <f>IF(AND(C788&lt;&gt;"", 'Cost Inputs'!$J$181&lt;&gt;""), 'Cost Inputs'!$J$181, "")</f>
        <v/>
      </c>
      <c r="I788" s="105" t="str">
        <f>IF($C788&lt;&gt;"",IF(AND($E788&lt;&gt;"",H788&lt;&gt;""), H788/$E788, 0),"")</f>
        <v/>
      </c>
      <c r="J788" s="493" t="str">
        <f>IF(AND(C788&lt;&gt;"",('Cost Inputs'!$I$181+'Cost Inputs'!$J$181+'Cost Inputs'!$K$181)&gt;0), 'Cost Inputs'!$I$181+'Cost Inputs'!$J$181+'Cost Inputs'!$K$181, "")</f>
        <v/>
      </c>
      <c r="K788" s="105" t="str">
        <f>IF($C788&lt;&gt;"",IF(AND($E788&lt;&gt;"",J788&lt;&gt;""), J788/$E788, 0),"")</f>
        <v/>
      </c>
      <c r="M788" s="106"/>
      <c r="O788" s="493" t="str">
        <f>IF(ISNUMBER($B776), IF($C788&lt;&gt;"", IF('Cost Inputs'!$L$181="Y", $E788, IF('Cost Inputs'!$L$181="N", IF(ISNUMBER('Cost Inputs'!$M$181), $E788, ""),"")),""),"")</f>
        <v/>
      </c>
      <c r="P788" s="493" t="str">
        <f>IF(ISNUMBER($B776), IF($C788&lt;&gt;"", IF('Cost Inputs'!$L$181="Y", $E788, IF('Cost Inputs'!$L$181="N", IF(ISNUMBER('Cost Inputs'!$M$181), $E788, ""),"")),""),"")</f>
        <v/>
      </c>
      <c r="Q788" s="493" t="str">
        <f>IF(ISNUMBER($B776), IF($C788&lt;&gt;"", IF('Cost Inputs'!$L$181="Y", $E788, IF('Cost Inputs'!$L$181="N", IF(ISNUMBER('Cost Inputs'!$M$181), $E788, ""),"")),""),"")</f>
        <v/>
      </c>
      <c r="R788" s="493" t="str">
        <f>IF(ISNUMBER($B776), IF($C788&lt;&gt;"", IF('Cost Inputs'!$L$181="Y", $E788, IF('Cost Inputs'!$L$181="N", IF(ISNUMBER('Cost Inputs'!$M$181), $E788, ""),"")),""),"")</f>
        <v/>
      </c>
      <c r="S788" s="493" t="str">
        <f>IF(ISNUMBER($B776), IF($C788&lt;&gt;"", IF('Cost Inputs'!$L$181="Y", $E788, IF('Cost Inputs'!$L$181="N", IF(ISNUMBER('Cost Inputs'!$M$181), $E788, ""),"")),""),"")</f>
        <v/>
      </c>
      <c r="T788" s="493" t="str">
        <f>IF(ISNUMBER($B776), IF($C788&lt;&gt;"", IF('Cost Inputs'!$L$181="Y", $E788, IF('Cost Inputs'!$L$181="N", IF(ISNUMBER('Cost Inputs'!$M$181), $E788, ""),"")),""),"")</f>
        <v/>
      </c>
      <c r="U788" s="493" t="str">
        <f>IF(ISNUMBER($B776), IF($C788&lt;&gt;"", IF('Cost Inputs'!$L$181="Y", $E788, IF('Cost Inputs'!$L$181="N", IF(ISNUMBER('Cost Inputs'!$M$181), $E788, ""),"")),""),"")</f>
        <v/>
      </c>
      <c r="V788" s="493" t="str">
        <f>IF(ISNUMBER($B776), IF($C788&lt;&gt;"", IF('Cost Inputs'!$L$181="Y", $E788, IF('Cost Inputs'!$L$181="N", IF(ISNUMBER('Cost Inputs'!$M$181), $E788, ""),"")),""),"")</f>
        <v/>
      </c>
      <c r="W788" s="493" t="str">
        <f>IF(ISNUMBER($B776), IF($C788&lt;&gt;"", IF('Cost Inputs'!$L$181="Y", $E788, IF('Cost Inputs'!$L$181="N", IF(ISNUMBER('Cost Inputs'!$M$181), $E788, ""),"")),""),"")</f>
        <v/>
      </c>
      <c r="X788" s="493" t="str">
        <f>IF(ISNUMBER($B776), IF($C788&lt;&gt;"", IF('Cost Inputs'!$L$181="Y", $E788, IF('Cost Inputs'!$L$181="N", IF(ISNUMBER('Cost Inputs'!$M$181), $E788, ""),"")),""),"")</f>
        <v/>
      </c>
    </row>
    <row r="789" spans="1:24" x14ac:dyDescent="0.25">
      <c r="A789" s="518"/>
      <c r="B789" s="504"/>
      <c r="C789" s="376" t="str">
        <f>IF(AND(ISNUMBER(B770), OR('Cost Inputs'!$H$85&lt;&gt;"", 'Cost Inputs'!$I$85&lt;&gt;"", 'Cost Inputs'!$J$85&lt;&gt;"")), _3_5_1, "")</f>
        <v/>
      </c>
      <c r="D789" s="17" t="str">
        <f>IF(AND(C788&lt;&gt;"", 'Cost Inputs'!$G$182&lt;&gt;""), 'Cost Inputs'!$G$182, "")</f>
        <v/>
      </c>
      <c r="E789" s="17" t="str">
        <f>IF(AND(C788&lt;&gt;"", 'Cost Inputs'!$H$182&lt;&gt;""), 'Cost Inputs'!$H$182, "")</f>
        <v/>
      </c>
      <c r="F789" s="493"/>
      <c r="G789" s="105" t="str">
        <f t="shared" si="476"/>
        <v/>
      </c>
      <c r="H789" s="493"/>
      <c r="I789" s="105" t="str">
        <f>IF($C788&lt;&gt;"", IF(AND($E789&lt;&gt;"", H788&lt;&gt;""), H788/($E788*$E789), 0), "")</f>
        <v/>
      </c>
      <c r="J789" s="493" t="str">
        <f>IF(AND(C789&lt;&gt;"",('Cost Inputs'!$I$86+'Cost Inputs'!$J$86+'Cost Inputs'!$K$86)&gt;0), 'Cost Inputs'!$I$86+'Cost Inputs'!$J$86+'Cost Inputs'!$K$86, "")</f>
        <v/>
      </c>
      <c r="K789" s="105" t="str">
        <f>IF($C788&lt;&gt;"", IF(AND($E789&lt;&gt;"", J788&lt;&gt;""), J788/($E788*$E789), 0), "")</f>
        <v/>
      </c>
      <c r="M789" s="106"/>
      <c r="O789" s="493" t="str">
        <f>IF(ISNUMBER($B$776), IF($C789&lt;&gt;"", IF('Cost Inputs'!$L182="Y", $E789, IF('Cost Inputs'!$L182="N", IF(ISNUMBER('Cost Inputs'!$M182), $E789, ""),"")),""),"")</f>
        <v/>
      </c>
      <c r="P789" s="493" t="str">
        <f>IF(ISNUMBER($B$776), IF($C789&lt;&gt;"", IF('Cost Inputs'!$L182="Y", $E789, IF('Cost Inputs'!$L182="N", IF(ISNUMBER('Cost Inputs'!$M182), $E789, ""),"")),""),"")</f>
        <v/>
      </c>
      <c r="Q789" s="493" t="str">
        <f>IF(ISNUMBER($B$776), IF($C789&lt;&gt;"", IF('Cost Inputs'!$L182="Y", $E789, IF('Cost Inputs'!$L182="N", IF(ISNUMBER('Cost Inputs'!$M182), $E789, ""),"")),""),"")</f>
        <v/>
      </c>
      <c r="R789" s="493" t="str">
        <f>IF(ISNUMBER($B$776), IF($C789&lt;&gt;"", IF('Cost Inputs'!$L182="Y", $E789, IF('Cost Inputs'!$L182="N", IF(ISNUMBER('Cost Inputs'!$M182), $E789, ""),"")),""),"")</f>
        <v/>
      </c>
      <c r="S789" s="493" t="str">
        <f>IF(ISNUMBER($B$776), IF($C789&lt;&gt;"", IF('Cost Inputs'!$L182="Y", $E789, IF('Cost Inputs'!$L182="N", IF(ISNUMBER('Cost Inputs'!$M182), $E789, ""),"")),""),"")</f>
        <v/>
      </c>
      <c r="T789" s="493" t="str">
        <f>IF(ISNUMBER($B$776), IF($C789&lt;&gt;"", IF('Cost Inputs'!$L182="Y", $E789, IF('Cost Inputs'!$L182="N", IF(ISNUMBER('Cost Inputs'!$M182), $E789, ""),"")),""),"")</f>
        <v/>
      </c>
      <c r="U789" s="493" t="str">
        <f>IF(ISNUMBER($B$776), IF($C789&lt;&gt;"", IF('Cost Inputs'!$L182="Y", $E789, IF('Cost Inputs'!$L182="N", IF(ISNUMBER('Cost Inputs'!$M182), $E789, ""),"")),""),"")</f>
        <v/>
      </c>
      <c r="V789" s="493" t="str">
        <f>IF(ISNUMBER($B$776), IF($C789&lt;&gt;"", IF('Cost Inputs'!$L182="Y", $E789, IF('Cost Inputs'!$L182="N", IF(ISNUMBER('Cost Inputs'!$M182), $E789, ""),"")),""),"")</f>
        <v/>
      </c>
      <c r="W789" s="493" t="str">
        <f>IF(ISNUMBER($B$776), IF($C789&lt;&gt;"", IF('Cost Inputs'!$L182="Y", $E789, IF('Cost Inputs'!$L182="N", IF(ISNUMBER('Cost Inputs'!$M182), $E789, ""),"")),""),"")</f>
        <v/>
      </c>
      <c r="X789" s="493" t="str">
        <f>IF(ISNUMBER($B$776), IF($C789&lt;&gt;"", IF('Cost Inputs'!$L182="Y", $E789, IF('Cost Inputs'!$L182="N", IF(ISNUMBER('Cost Inputs'!$M182), $E789, ""),"")),""),"")</f>
        <v/>
      </c>
    </row>
    <row r="790" spans="1:24" x14ac:dyDescent="0.25">
      <c r="A790" s="518"/>
      <c r="B790" s="504"/>
      <c r="C790" s="523" t="str">
        <f>IF(AND(ISNUMBER(B776), OR('Cost Inputs'!$H$183&lt;&gt;"", 'Cost Inputs'!$I$183&lt;&gt;"", 'Cost Inputs'!$J$183&lt;&gt;"")), _6_2_2, "")</f>
        <v/>
      </c>
      <c r="D790" s="93" t="str">
        <f>IF(AND(C790&lt;&gt;"", 'Cost Inputs'!$G$183&lt;&gt;""), 'Cost Inputs'!$G$183, "")</f>
        <v/>
      </c>
      <c r="E790" s="93" t="str">
        <f>IF(AND(C790&lt;&gt;"", 'Cost Inputs'!$H$183&lt;&gt;""), 'Cost Inputs'!$H$183, "")</f>
        <v/>
      </c>
      <c r="F790" s="494" t="str">
        <f>IF(AND(C790&lt;&gt;"", 'Cost Inputs'!$I$183&lt;&gt;""), 'Cost Inputs'!$I$183, "")</f>
        <v/>
      </c>
      <c r="G790" s="108" t="str">
        <f t="shared" si="476"/>
        <v/>
      </c>
      <c r="H790" s="494" t="str">
        <f>IF(AND(C790&lt;&gt;"", 'Cost Inputs'!$J$183&lt;&gt;""), 'Cost Inputs'!$J$183, "")</f>
        <v/>
      </c>
      <c r="I790" s="108" t="str">
        <f>IF($C790&lt;&gt;"",IF(AND($E790&lt;&gt;"",H790&lt;&gt;""), H790/$E790, 0),"")</f>
        <v/>
      </c>
      <c r="J790" s="494" t="str">
        <f>IF(AND(C790&lt;&gt;"",('Cost Inputs'!$I$183+'Cost Inputs'!$J$183+'Cost Inputs'!$K$183)&gt;0), 'Cost Inputs'!$I$183+'Cost Inputs'!$J$183+'Cost Inputs'!$K$183, "")</f>
        <v/>
      </c>
      <c r="K790" s="108" t="str">
        <f>IF($C790&lt;&gt;"",IF(AND($E790&lt;&gt;"",J790&lt;&gt;""), J790/$E790, 0),"")</f>
        <v/>
      </c>
      <c r="L790" s="93"/>
      <c r="M790" s="109"/>
      <c r="O790" s="494" t="str">
        <f>IF(ISNUMBER($B776), IF($C790&lt;&gt;"", IF('Cost Inputs'!$L$183="Y", $E790, IF('Cost Inputs'!$L$183="N", IF(ISNUMBER('Cost Inputs'!$M$183), $E790, ""),"")),""),"")</f>
        <v/>
      </c>
      <c r="P790" s="494" t="str">
        <f>IF(ISNUMBER($B776), IF($C790&lt;&gt;"", IF('Cost Inputs'!$L$183="Y", $E790, IF('Cost Inputs'!$L$183="N", IF(ISNUMBER('Cost Inputs'!$M$183), $E790, ""),"")),""),"")</f>
        <v/>
      </c>
      <c r="Q790" s="494" t="str">
        <f>IF(ISNUMBER($B776), IF($C790&lt;&gt;"", IF('Cost Inputs'!$L$183="Y", $E790, IF('Cost Inputs'!$L$183="N", IF(ISNUMBER('Cost Inputs'!$M$183), $E790, ""),"")),""),"")</f>
        <v/>
      </c>
      <c r="R790" s="494" t="str">
        <f>IF(ISNUMBER($B776), IF($C790&lt;&gt;"", IF('Cost Inputs'!$L$183="Y", $E790, IF('Cost Inputs'!$L$183="N", IF(ISNUMBER('Cost Inputs'!$M$183), $E790, ""),"")),""),"")</f>
        <v/>
      </c>
      <c r="S790" s="494" t="str">
        <f>IF(ISNUMBER($B776), IF($C790&lt;&gt;"", IF('Cost Inputs'!$L$183="Y", $E790, IF('Cost Inputs'!$L$183="N", IF(ISNUMBER('Cost Inputs'!$M$183), $E790, ""),"")),""),"")</f>
        <v/>
      </c>
      <c r="T790" s="494" t="str">
        <f>IF(ISNUMBER($B776), IF($C790&lt;&gt;"", IF('Cost Inputs'!$L$183="Y", $E790, IF('Cost Inputs'!$L$183="N", IF(ISNUMBER('Cost Inputs'!$M$183), $E790, ""),"")),""),"")</f>
        <v/>
      </c>
      <c r="U790" s="494" t="str">
        <f>IF(ISNUMBER($B776), IF($C790&lt;&gt;"", IF('Cost Inputs'!$L$183="Y", $E790, IF('Cost Inputs'!$L$183="N", IF(ISNUMBER('Cost Inputs'!$M$183), $E790, ""),"")),""),"")</f>
        <v/>
      </c>
      <c r="V790" s="494" t="str">
        <f>IF(ISNUMBER($B776), IF($C790&lt;&gt;"", IF('Cost Inputs'!$L$183="Y", $E790, IF('Cost Inputs'!$L$183="N", IF(ISNUMBER('Cost Inputs'!$M$183), $E790, ""),"")),""),"")</f>
        <v/>
      </c>
      <c r="W790" s="494" t="str">
        <f>IF(ISNUMBER($B776), IF($C790&lt;&gt;"", IF('Cost Inputs'!$L$183="Y", $E790, IF('Cost Inputs'!$L$183="N", IF(ISNUMBER('Cost Inputs'!$M$183), $E790, ""),"")),""),"")</f>
        <v/>
      </c>
      <c r="X790" s="494" t="str">
        <f>IF(ISNUMBER($B776), IF($C790&lt;&gt;"", IF('Cost Inputs'!$L$183="Y", $E790, IF('Cost Inputs'!$L$183="N", IF(ISNUMBER('Cost Inputs'!$M$183), $E790, ""),"")),""),"")</f>
        <v/>
      </c>
    </row>
    <row r="791" spans="1:24" x14ac:dyDescent="0.25">
      <c r="A791" s="518"/>
      <c r="B791" s="504"/>
      <c r="C791" s="523" t="str">
        <f>IF(AND(ISNUMBER(B772), OR('Cost Inputs'!$H$85&lt;&gt;"", 'Cost Inputs'!$I$85&lt;&gt;"", 'Cost Inputs'!$J$85&lt;&gt;"")), _3_5_1, "")</f>
        <v/>
      </c>
      <c r="D791" s="93" t="str">
        <f>IF(AND(C790&lt;&gt;"", 'Cost Inputs'!$G$184&lt;&gt;""), 'Cost Inputs'!$G$184, "")</f>
        <v/>
      </c>
      <c r="E791" s="93" t="str">
        <f>IF(AND(C790&lt;&gt;"", 'Cost Inputs'!$H$184&lt;&gt;""), 'Cost Inputs'!$H$184, "")</f>
        <v/>
      </c>
      <c r="F791" s="494"/>
      <c r="G791" s="108" t="str">
        <f t="shared" si="476"/>
        <v/>
      </c>
      <c r="H791" s="494"/>
      <c r="I791" s="108" t="str">
        <f>IF($C790&lt;&gt;"", IF(AND($E791&lt;&gt;"", H790&lt;&gt;""), H790/($E790*$E791), 0), "")</f>
        <v/>
      </c>
      <c r="J791" s="494" t="str">
        <f>IF(AND(C791&lt;&gt;"",('Cost Inputs'!$I$86+'Cost Inputs'!$J$86+'Cost Inputs'!$K$86)&gt;0), 'Cost Inputs'!$I$86+'Cost Inputs'!$J$86+'Cost Inputs'!$K$86, "")</f>
        <v/>
      </c>
      <c r="K791" s="108" t="str">
        <f>IF($C790&lt;&gt;"", IF(AND($E791&lt;&gt;"", J790&lt;&gt;""), J790/($E790*$E791), 0), "")</f>
        <v/>
      </c>
      <c r="L791" s="93"/>
      <c r="M791" s="109"/>
      <c r="O791" s="494" t="str">
        <f>IF(ISNUMBER($B$776), IF($C791&lt;&gt;"", IF('Cost Inputs'!$L184="Y", $E791, IF('Cost Inputs'!$L184="N", IF(ISNUMBER('Cost Inputs'!$M184), $E791, ""),"")),""),"")</f>
        <v/>
      </c>
      <c r="P791" s="494" t="str">
        <f>IF(ISNUMBER($B$776), IF($C791&lt;&gt;"", IF('Cost Inputs'!$L184="Y", $E791, IF('Cost Inputs'!$L184="N", IF(ISNUMBER('Cost Inputs'!$M184), $E791, ""),"")),""),"")</f>
        <v/>
      </c>
      <c r="Q791" s="494" t="str">
        <f>IF(ISNUMBER($B$776), IF($C791&lt;&gt;"", IF('Cost Inputs'!$L184="Y", $E791, IF('Cost Inputs'!$L184="N", IF(ISNUMBER('Cost Inputs'!$M184), $E791, ""),"")),""),"")</f>
        <v/>
      </c>
      <c r="R791" s="494" t="str">
        <f>IF(ISNUMBER($B$776), IF($C791&lt;&gt;"", IF('Cost Inputs'!$L184="Y", $E791, IF('Cost Inputs'!$L184="N", IF(ISNUMBER('Cost Inputs'!$M184), $E791, ""),"")),""),"")</f>
        <v/>
      </c>
      <c r="S791" s="494" t="str">
        <f>IF(ISNUMBER($B$776), IF($C791&lt;&gt;"", IF('Cost Inputs'!$L184="Y", $E791, IF('Cost Inputs'!$L184="N", IF(ISNUMBER('Cost Inputs'!$M184), $E791, ""),"")),""),"")</f>
        <v/>
      </c>
      <c r="T791" s="494" t="str">
        <f>IF(ISNUMBER($B$776), IF($C791&lt;&gt;"", IF('Cost Inputs'!$L184="Y", $E791, IF('Cost Inputs'!$L184="N", IF(ISNUMBER('Cost Inputs'!$M184), $E791, ""),"")),""),"")</f>
        <v/>
      </c>
      <c r="U791" s="494" t="str">
        <f>IF(ISNUMBER($B$776), IF($C791&lt;&gt;"", IF('Cost Inputs'!$L184="Y", $E791, IF('Cost Inputs'!$L184="N", IF(ISNUMBER('Cost Inputs'!$M184), $E791, ""),"")),""),"")</f>
        <v/>
      </c>
      <c r="V791" s="494" t="str">
        <f>IF(ISNUMBER($B$776), IF($C791&lt;&gt;"", IF('Cost Inputs'!$L184="Y", $E791, IF('Cost Inputs'!$L184="N", IF(ISNUMBER('Cost Inputs'!$M184), $E791, ""),"")),""),"")</f>
        <v/>
      </c>
      <c r="W791" s="494" t="str">
        <f>IF(ISNUMBER($B$776), IF($C791&lt;&gt;"", IF('Cost Inputs'!$L184="Y", $E791, IF('Cost Inputs'!$L184="N", IF(ISNUMBER('Cost Inputs'!$M184), $E791, ""),"")),""),"")</f>
        <v/>
      </c>
      <c r="X791" s="494" t="str">
        <f>IF(ISNUMBER($B$776), IF($C791&lt;&gt;"", IF('Cost Inputs'!$L184="Y", $E791, IF('Cost Inputs'!$L184="N", IF(ISNUMBER('Cost Inputs'!$M184), $E791, ""),"")),""),"")</f>
        <v/>
      </c>
    </row>
    <row r="792" spans="1:24" x14ac:dyDescent="0.25">
      <c r="A792" s="518"/>
      <c r="B792" s="504"/>
      <c r="C792" s="104" t="str">
        <f>IF(AND(ISNUMBER(B776), OR('Cost Inputs'!$H$185&lt;&gt;"", 'Cost Inputs'!$I$185&lt;&gt;"", 'Cost Inputs'!$J$185&lt;&gt;"")), _6_2_3, "")</f>
        <v/>
      </c>
      <c r="D792" s="17" t="str">
        <f>IF(AND(C792&lt;&gt;"", 'Cost Inputs'!$G$185&lt;&gt;""), 'Cost Inputs'!$G$185, "")</f>
        <v/>
      </c>
      <c r="E792" s="17" t="str">
        <f>IF(AND(C792&lt;&gt;"", 'Cost Inputs'!$H$185&lt;&gt;""), 'Cost Inputs'!$H$185, "")</f>
        <v/>
      </c>
      <c r="F792" s="17" t="str">
        <f>IF(AND(C792&lt;&gt;"", 'Cost Inputs'!$I$185&lt;&gt;""), 'Cost Inputs'!$I$185, "")</f>
        <v/>
      </c>
      <c r="G792" s="105" t="str">
        <f t="shared" si="476"/>
        <v/>
      </c>
      <c r="H792" s="17" t="str">
        <f>IF(AND(C792&lt;&gt;"", 'Cost Inputs'!$J$185&lt;&gt;""), 'Cost Inputs'!$J$185, "")</f>
        <v/>
      </c>
      <c r="I792" s="17" t="str">
        <f>IF($C792&lt;&gt;"", IF(AND($E792&lt;&gt;"", H792&lt;&gt;""), H792/$E792, 0),"")</f>
        <v/>
      </c>
      <c r="J792" s="17" t="str">
        <f>IF(AND(C792&lt;&gt;"",('Cost Inputs'!$I$185+'Cost Inputs'!$J$185+'Cost Inputs'!$K$185)&gt;0), 'Cost Inputs'!$I$185+'Cost Inputs'!$J$185+'Cost Inputs'!$K$185, "")</f>
        <v/>
      </c>
      <c r="K792" s="17" t="str">
        <f>IF($C792&lt;&gt;"", IF(AND($E792&lt;&gt;"", J792&lt;&gt;""), J792/$E792, 0),"")</f>
        <v/>
      </c>
      <c r="M792" s="106"/>
      <c r="O792" s="17" t="str">
        <f>IF(ISNUMBER($B776), IF($C792&lt;&gt;"", IF('Cost Inputs'!$L$185="Y", $E792, IF('Cost Inputs'!$L$185="N", IF(ISNUMBER('Cost Inputs'!$M$185), $E792, ""),"")),""),"")</f>
        <v/>
      </c>
      <c r="P792" s="17" t="str">
        <f>IF(ISNUMBER($B776), IF($C792&lt;&gt;"", IF('Cost Inputs'!$L$185="Y", $E792, IF('Cost Inputs'!$L$185="N", IF(ISNUMBER('Cost Inputs'!$M$185), $E792, ""),"")),""),"")</f>
        <v/>
      </c>
      <c r="Q792" s="17" t="str">
        <f>IF(ISNUMBER($B776), IF($C792&lt;&gt;"", IF('Cost Inputs'!$L$185="Y", $E792, IF('Cost Inputs'!$L$185="N", IF(ISNUMBER('Cost Inputs'!$M$185), $E792, ""),"")),""),"")</f>
        <v/>
      </c>
      <c r="R792" s="17" t="str">
        <f>IF(ISNUMBER($B776), IF($C792&lt;&gt;"", IF('Cost Inputs'!$L$185="Y", $E792, IF('Cost Inputs'!$L$185="N", IF(ISNUMBER('Cost Inputs'!$M$185), $E792, ""),"")),""),"")</f>
        <v/>
      </c>
      <c r="S792" s="17" t="str">
        <f>IF(ISNUMBER($B776), IF($C792&lt;&gt;"", IF('Cost Inputs'!$L$185="Y", $E792, IF('Cost Inputs'!$L$185="N", IF(ISNUMBER('Cost Inputs'!$M$185), $E792, ""),"")),""),"")</f>
        <v/>
      </c>
      <c r="T792" s="17" t="str">
        <f>IF(ISNUMBER($B776), IF($C792&lt;&gt;"", IF('Cost Inputs'!$L$185="Y", $E792, IF('Cost Inputs'!$L$185="N", IF(ISNUMBER('Cost Inputs'!$M$185), $E792, ""),"")),""),"")</f>
        <v/>
      </c>
      <c r="U792" s="17" t="str">
        <f>IF(ISNUMBER($B776), IF($C792&lt;&gt;"", IF('Cost Inputs'!$L$185="Y", $E792, IF('Cost Inputs'!$L$185="N", IF(ISNUMBER('Cost Inputs'!$M$185), $E792, ""),"")),""),"")</f>
        <v/>
      </c>
      <c r="V792" s="17" t="str">
        <f>IF(ISNUMBER($B776), IF($C792&lt;&gt;"", IF('Cost Inputs'!$L$185="Y", $E792, IF('Cost Inputs'!$L$185="N", IF(ISNUMBER('Cost Inputs'!$M$185), $E792, ""),"")),""),"")</f>
        <v/>
      </c>
      <c r="W792" s="17" t="str">
        <f>IF(ISNUMBER($B776), IF($C792&lt;&gt;"", IF('Cost Inputs'!$L$185="Y", $E792, IF('Cost Inputs'!$L$185="N", IF(ISNUMBER('Cost Inputs'!$M$185), $E792, ""),"")),""),"")</f>
        <v/>
      </c>
      <c r="X792" s="17" t="str">
        <f>IF(ISNUMBER($B776), IF($C792&lt;&gt;"", IF('Cost Inputs'!$L$185="Y", $E792, IF('Cost Inputs'!$L$185="N", IF(ISNUMBER('Cost Inputs'!$M$185), $E792, ""),"")),""),"")</f>
        <v/>
      </c>
    </row>
    <row r="793" spans="1:24" x14ac:dyDescent="0.25">
      <c r="A793" s="518"/>
      <c r="B793" s="504"/>
      <c r="C793" s="107" t="str">
        <f>IF(AND(ISNUMBER(B776), OR('Cost Inputs'!$H$186&lt;&gt;"", 'Cost Inputs'!$I$186&lt;&gt;"", 'Cost Inputs'!$J$186&lt;&gt;"")), _6_2_4, "")</f>
        <v/>
      </c>
      <c r="D793" s="93" t="str">
        <f>IF(AND(C793&lt;&gt;"", 'Cost Inputs'!$G$186&lt;&gt;""), 'Cost Inputs'!$G$186, "")</f>
        <v/>
      </c>
      <c r="E793" s="93" t="str">
        <f>IF(AND(C793&lt;&gt;"", 'Cost Inputs'!$H$186&lt;&gt;""), 'Cost Inputs'!$H$186, "")</f>
        <v/>
      </c>
      <c r="F793" s="93" t="str">
        <f>IF(AND(C793&lt;&gt;"", 'Cost Inputs'!$I$186&lt;&gt;""), 'Cost Inputs'!$I$186, "")</f>
        <v/>
      </c>
      <c r="G793" s="108" t="str">
        <f t="shared" si="476"/>
        <v/>
      </c>
      <c r="H793" s="93" t="str">
        <f>IF(AND(C793&lt;&gt;"", 'Cost Inputs'!$J$186&lt;&gt;""), 'Cost Inputs'!$J$186, "")</f>
        <v/>
      </c>
      <c r="I793" s="93" t="str">
        <f>IF($C793&lt;&gt;"", IF(AND($E793&lt;&gt;"", H793&lt;&gt;""), H793/$E793, 0),"")</f>
        <v/>
      </c>
      <c r="J793" s="93" t="str">
        <f>IF(AND(C793&lt;&gt;"",('Cost Inputs'!$I$186+'Cost Inputs'!$J$186+'Cost Inputs'!$K$186)&gt;0), 'Cost Inputs'!$I$186+'Cost Inputs'!$J$186+'Cost Inputs'!$K$186, "")</f>
        <v/>
      </c>
      <c r="K793" s="93" t="str">
        <f>IF($C793&lt;&gt;"", IF(AND($E793&lt;&gt;"", J793&lt;&gt;""), J793/$E793, 0),"")</f>
        <v/>
      </c>
      <c r="L793" s="93"/>
      <c r="M793" s="109"/>
      <c r="O793" s="93" t="str">
        <f>IF(ISNUMBER($B776), IF($C793&lt;&gt;"", IF('Cost Inputs'!$L$186="Y", $E793, IF('Cost Inputs'!$L$186="N", IF(ISNUMBER('Cost Inputs'!$M$186), $E793, ""),"")),""),"")</f>
        <v/>
      </c>
      <c r="P793" s="93" t="str">
        <f>IF(ISNUMBER($B776), IF($C793&lt;&gt;"", IF('Cost Inputs'!$L$186="Y", $E793, IF('Cost Inputs'!$L$186="N", IF(ISNUMBER('Cost Inputs'!$M$186), $E793, ""),"")),""),"")</f>
        <v/>
      </c>
      <c r="Q793" s="93" t="str">
        <f>IF(ISNUMBER($B776), IF($C793&lt;&gt;"", IF('Cost Inputs'!$L$186="Y", $E793, IF('Cost Inputs'!$L$186="N", IF(ISNUMBER('Cost Inputs'!$M$186), $E793, ""),"")),""),"")</f>
        <v/>
      </c>
      <c r="R793" s="93" t="str">
        <f>IF(ISNUMBER($B776), IF($C793&lt;&gt;"", IF('Cost Inputs'!$L$186="Y", $E793, IF('Cost Inputs'!$L$186="N", IF(ISNUMBER('Cost Inputs'!$M$186), $E793, ""),"")),""),"")</f>
        <v/>
      </c>
      <c r="S793" s="93" t="str">
        <f>IF(ISNUMBER($B776), IF($C793&lt;&gt;"", IF('Cost Inputs'!$L$186="Y", $E793, IF('Cost Inputs'!$L$186="N", IF(ISNUMBER('Cost Inputs'!$M$186), $E793, ""),"")),""),"")</f>
        <v/>
      </c>
      <c r="T793" s="93" t="str">
        <f>IF(ISNUMBER($B776), IF($C793&lt;&gt;"", IF('Cost Inputs'!$L$186="Y", $E793, IF('Cost Inputs'!$L$186="N", IF(ISNUMBER('Cost Inputs'!$M$186), $E793, ""),"")),""),"")</f>
        <v/>
      </c>
      <c r="U793" s="93" t="str">
        <f>IF(ISNUMBER($B776), IF($C793&lt;&gt;"", IF('Cost Inputs'!$L$186="Y", $E793, IF('Cost Inputs'!$L$186="N", IF(ISNUMBER('Cost Inputs'!$M$186), $E793, ""),"")),""),"")</f>
        <v/>
      </c>
      <c r="V793" s="93" t="str">
        <f>IF(ISNUMBER($B776), IF($C793&lt;&gt;"", IF('Cost Inputs'!$L$186="Y", $E793, IF('Cost Inputs'!$L$186="N", IF(ISNUMBER('Cost Inputs'!$M$186), $E793, ""),"")),""),"")</f>
        <v/>
      </c>
      <c r="W793" s="93" t="str">
        <f>IF(ISNUMBER($B776), IF($C793&lt;&gt;"", IF('Cost Inputs'!$L$186="Y", $E793, IF('Cost Inputs'!$L$186="N", IF(ISNUMBER('Cost Inputs'!$M$186), $E793, ""),"")),""),"")</f>
        <v/>
      </c>
      <c r="X793" s="93" t="str">
        <f>IF(ISNUMBER($B776), IF($C793&lt;&gt;"", IF('Cost Inputs'!$L$186="Y", $E793, IF('Cost Inputs'!$L$186="N", IF(ISNUMBER('Cost Inputs'!$M$186), $E793, ""),"")),""),"")</f>
        <v/>
      </c>
    </row>
    <row r="794" spans="1:24" x14ac:dyDescent="0.25">
      <c r="A794" s="518"/>
      <c r="B794" s="504"/>
      <c r="C794" s="521" t="str">
        <f>IF(ISNUMBER(B776), _6_3_0, "")</f>
        <v/>
      </c>
      <c r="D794" s="94" t="str">
        <f>IF(AND(C794&lt;&gt;"", 'Cost Inputs'!$G$187&lt;&gt;""), 'Cost Inputs'!$G$187, "")</f>
        <v/>
      </c>
      <c r="E794" s="94" t="str">
        <f>IF(AND(C794&lt;&gt;"", 'Cost Inputs'!$H$187&lt;&gt;""), 'Cost Inputs'!$H$187, "")</f>
        <v/>
      </c>
      <c r="F794" s="492" t="str">
        <f>IF(AND(C794&lt;&gt;"", 'Cost Inputs'!$I$187&lt;&gt;""), 'Cost Inputs'!$I$187, "")</f>
        <v/>
      </c>
      <c r="G794" s="102" t="str">
        <f t="shared" si="476"/>
        <v/>
      </c>
      <c r="H794" s="492" t="str">
        <f>IF(AND(C794&lt;&gt;"", 'Cost Inputs'!$J$187&lt;&gt;""), 'Cost Inputs'!$J$187, "")</f>
        <v/>
      </c>
      <c r="I794" s="102" t="str">
        <f>IF($C794&lt;&gt;"",IF(AND($E794&lt;&gt;"",H794&lt;&gt;""), H794/$E794, 0),"")</f>
        <v/>
      </c>
      <c r="J794" s="492" t="str">
        <f>IF(AND(C794&lt;&gt;"",('Cost Inputs'!$I$187+'Cost Inputs'!$J$187+'Cost Inputs'!$K$187)&gt;0), 'Cost Inputs'!$I$187+'Cost Inputs'!$J$187+'Cost Inputs'!$K$187, "")</f>
        <v/>
      </c>
      <c r="K794" s="102" t="str">
        <f>IF($C794&lt;&gt;"",IF(AND($E794&lt;&gt;"",J794&lt;&gt;""), J794/$E794, 0),"")</f>
        <v/>
      </c>
      <c r="L794" s="94"/>
      <c r="M794" s="103"/>
      <c r="O794" s="492" t="str">
        <f>IF(ISNUMBER($B776), IF($C794&lt;&gt;"", IF('Cost Inputs'!$L$187="Y", $E794, IF('Cost Inputs'!$L$187="N", IF(ISNUMBER('Cost Inputs'!$M$187), $E794, ""),"")),""),"")</f>
        <v/>
      </c>
      <c r="P794" s="492" t="str">
        <f>IF(ISNUMBER($B776), IF($C794&lt;&gt;"", IF('Cost Inputs'!$L$187="Y", $E794, IF('Cost Inputs'!$L$187="N", IF(ISNUMBER('Cost Inputs'!$M$187), $E794, ""),"")),""),"")</f>
        <v/>
      </c>
      <c r="Q794" s="492" t="str">
        <f>IF(ISNUMBER($B776), IF($C794&lt;&gt;"", IF('Cost Inputs'!$L$187="Y", $E794, IF('Cost Inputs'!$L$187="N", IF(ISNUMBER('Cost Inputs'!$M$187), $E794, ""),"")),""),"")</f>
        <v/>
      </c>
      <c r="R794" s="492" t="str">
        <f>IF(ISNUMBER($B776), IF($C794&lt;&gt;"", IF('Cost Inputs'!$L$187="Y", $E794, IF('Cost Inputs'!$L$187="N", IF(ISNUMBER('Cost Inputs'!$M$187), $E794, ""),"")),""),"")</f>
        <v/>
      </c>
      <c r="S794" s="492" t="str">
        <f>IF(ISNUMBER($B776), IF($C794&lt;&gt;"", IF('Cost Inputs'!$L$187="Y", $E794, IF('Cost Inputs'!$L$187="N", IF(ISNUMBER('Cost Inputs'!$M$187), $E794, ""),"")),""),"")</f>
        <v/>
      </c>
      <c r="T794" s="492" t="str">
        <f>IF(ISNUMBER($B776), IF($C794&lt;&gt;"", IF('Cost Inputs'!$L$187="Y", $E794, IF('Cost Inputs'!$L$187="N", IF(ISNUMBER('Cost Inputs'!$M$187), $E794, ""),"")),""),"")</f>
        <v/>
      </c>
      <c r="U794" s="492" t="str">
        <f>IF(ISNUMBER($B776), IF($C794&lt;&gt;"", IF('Cost Inputs'!$L$187="Y", $E794, IF('Cost Inputs'!$L$187="N", IF(ISNUMBER('Cost Inputs'!$M$187), $E794, ""),"")),""),"")</f>
        <v/>
      </c>
      <c r="V794" s="492" t="str">
        <f>IF(ISNUMBER($B776), IF($C794&lt;&gt;"", IF('Cost Inputs'!$L$187="Y", $E794, IF('Cost Inputs'!$L$187="N", IF(ISNUMBER('Cost Inputs'!$M$187), $E794, ""),"")),""),"")</f>
        <v/>
      </c>
      <c r="W794" s="492" t="str">
        <f>IF(ISNUMBER($B776), IF($C794&lt;&gt;"", IF('Cost Inputs'!$L$187="Y", $E794, IF('Cost Inputs'!$L$187="N", IF(ISNUMBER('Cost Inputs'!$M$187), $E794, ""),"")),""),"")</f>
        <v/>
      </c>
      <c r="X794" s="492" t="str">
        <f>IF(ISNUMBER($B776), IF($C794&lt;&gt;"", IF('Cost Inputs'!$L$187="Y", $E794, IF('Cost Inputs'!$L$187="N", IF(ISNUMBER('Cost Inputs'!$M$187), $E794, ""),"")),""),"")</f>
        <v/>
      </c>
    </row>
    <row r="795" spans="1:24" x14ac:dyDescent="0.25">
      <c r="A795" s="518"/>
      <c r="B795" s="504"/>
      <c r="C795" s="521"/>
      <c r="D795" s="94" t="str">
        <f>IF(AND(C794&lt;&gt;"", 'Cost Inputs'!$G$188&lt;&gt;""), 'Cost Inputs'!$G$188, "")</f>
        <v/>
      </c>
      <c r="E795" s="94" t="str">
        <f>IF(AND(C794&lt;&gt;"", 'Cost Inputs'!$H$188&lt;&gt;""), 'Cost Inputs'!$H$188, "")</f>
        <v/>
      </c>
      <c r="F795" s="492"/>
      <c r="G795" s="102" t="str">
        <f t="shared" si="476"/>
        <v/>
      </c>
      <c r="H795" s="492"/>
      <c r="I795" s="102" t="str">
        <f>IF($C794&lt;&gt;"", IF(AND($E795&lt;&gt;"", H794&lt;&gt;""), H794/($E794*$E795), 0), "")</f>
        <v/>
      </c>
      <c r="J795" s="492" t="str">
        <f>IF(AND(C795&lt;&gt;"",('Cost Inputs'!$I$86+'Cost Inputs'!$J$86+'Cost Inputs'!$K$86)&gt;0), 'Cost Inputs'!$I$86+'Cost Inputs'!$J$86+'Cost Inputs'!$K$86, "")</f>
        <v/>
      </c>
      <c r="K795" s="102" t="str">
        <f>IF($C794&lt;&gt;"", IF(AND($E795&lt;&gt;"", J794&lt;&gt;""), J794/($E794*$E795), 0), "")</f>
        <v/>
      </c>
      <c r="L795" s="94"/>
      <c r="M795" s="103"/>
      <c r="O795" s="492" t="str">
        <f>IF(ISNUMBER($B$776), IF($C795&lt;&gt;"", IF('Cost Inputs'!$L188="Y", $E795, IF('Cost Inputs'!$L188="N", IF(ISNUMBER('Cost Inputs'!$M188), $E795, ""),"")),""),"")</f>
        <v/>
      </c>
      <c r="P795" s="492" t="str">
        <f>IF(ISNUMBER($B$776), IF($C795&lt;&gt;"", IF('Cost Inputs'!$L188="Y", $E795, IF('Cost Inputs'!$L188="N", IF(ISNUMBER('Cost Inputs'!$M188), $E795, ""),"")),""),"")</f>
        <v/>
      </c>
      <c r="Q795" s="492" t="str">
        <f>IF(ISNUMBER($B$776), IF($C795&lt;&gt;"", IF('Cost Inputs'!$L188="Y", $E795, IF('Cost Inputs'!$L188="N", IF(ISNUMBER('Cost Inputs'!$M188), $E795, ""),"")),""),"")</f>
        <v/>
      </c>
      <c r="R795" s="492" t="str">
        <f>IF(ISNUMBER($B$776), IF($C795&lt;&gt;"", IF('Cost Inputs'!$L188="Y", $E795, IF('Cost Inputs'!$L188="N", IF(ISNUMBER('Cost Inputs'!$M188), $E795, ""),"")),""),"")</f>
        <v/>
      </c>
      <c r="S795" s="492" t="str">
        <f>IF(ISNUMBER($B$776), IF($C795&lt;&gt;"", IF('Cost Inputs'!$L188="Y", $E795, IF('Cost Inputs'!$L188="N", IF(ISNUMBER('Cost Inputs'!$M188), $E795, ""),"")),""),"")</f>
        <v/>
      </c>
      <c r="T795" s="492" t="str">
        <f>IF(ISNUMBER($B$776), IF($C795&lt;&gt;"", IF('Cost Inputs'!$L188="Y", $E795, IF('Cost Inputs'!$L188="N", IF(ISNUMBER('Cost Inputs'!$M188), $E795, ""),"")),""),"")</f>
        <v/>
      </c>
      <c r="U795" s="492" t="str">
        <f>IF(ISNUMBER($B$776), IF($C795&lt;&gt;"", IF('Cost Inputs'!$L188="Y", $E795, IF('Cost Inputs'!$L188="N", IF(ISNUMBER('Cost Inputs'!$M188), $E795, ""),"")),""),"")</f>
        <v/>
      </c>
      <c r="V795" s="492" t="str">
        <f>IF(ISNUMBER($B$776), IF($C795&lt;&gt;"", IF('Cost Inputs'!$L188="Y", $E795, IF('Cost Inputs'!$L188="N", IF(ISNUMBER('Cost Inputs'!$M188), $E795, ""),"")),""),"")</f>
        <v/>
      </c>
      <c r="W795" s="492" t="str">
        <f>IF(ISNUMBER($B$776), IF($C795&lt;&gt;"", IF('Cost Inputs'!$L188="Y", $E795, IF('Cost Inputs'!$L188="N", IF(ISNUMBER('Cost Inputs'!$M188), $E795, ""),"")),""),"")</f>
        <v/>
      </c>
      <c r="X795" s="492" t="str">
        <f>IF(ISNUMBER($B$776), IF($C795&lt;&gt;"", IF('Cost Inputs'!$L188="Y", $E795, IF('Cost Inputs'!$L188="N", IF(ISNUMBER('Cost Inputs'!$M188), $E795, ""),"")),""),"")</f>
        <v/>
      </c>
    </row>
    <row r="796" spans="1:24" x14ac:dyDescent="0.25">
      <c r="A796" s="518"/>
      <c r="B796" s="504"/>
      <c r="C796" s="104" t="str">
        <f>IF(AND(ISNUMBER(B776), OR('Cost Inputs'!$H$189&lt;&gt;"", 'Cost Inputs'!$I$189&lt;&gt;"", 'Cost Inputs'!$J$189&lt;&gt;"")), _6_3_1, "")</f>
        <v/>
      </c>
      <c r="D796" s="17" t="str">
        <f>IF(AND(C796&lt;&gt;"", 'Cost Inputs'!$G$189&lt;&gt;""), 'Cost Inputs'!$G$189, "")</f>
        <v/>
      </c>
      <c r="E796" s="17" t="str">
        <f>IF(AND(C796&lt;&gt;"", 'Cost Inputs'!$H$189&lt;&gt;""), 'Cost Inputs'!$H$189, "")</f>
        <v/>
      </c>
      <c r="F796" s="17" t="str">
        <f>IF(AND(C796&lt;&gt;"", 'Cost Inputs'!$I$189&lt;&gt;""), 'Cost Inputs'!$I$189, "")</f>
        <v/>
      </c>
      <c r="G796" s="105" t="str">
        <f t="shared" si="476"/>
        <v/>
      </c>
      <c r="H796" s="17" t="str">
        <f>IF(AND(C796&lt;&gt;"", 'Cost Inputs'!$J$189&lt;&gt;""), 'Cost Inputs'!$J$189, "")</f>
        <v/>
      </c>
      <c r="I796" s="17" t="str">
        <f t="shared" ref="I796:I804" si="480">IF($C796&lt;&gt;"", IF(AND($E796&lt;&gt;"", H796&lt;&gt;""), H796/$E796, 0),"")</f>
        <v/>
      </c>
      <c r="J796" s="17" t="str">
        <f>IF(AND(C796&lt;&gt;"",('Cost Inputs'!$I$189+'Cost Inputs'!$J$189+'Cost Inputs'!$K$189)&gt;0), 'Cost Inputs'!$I$189+'Cost Inputs'!$J$189+'Cost Inputs'!$K$189, "")</f>
        <v/>
      </c>
      <c r="K796" s="17" t="str">
        <f t="shared" ref="K796:K804" si="481">IF($C796&lt;&gt;"", IF(AND($E796&lt;&gt;"", J796&lt;&gt;""), J796/$E796, 0),"")</f>
        <v/>
      </c>
      <c r="M796" s="106"/>
      <c r="O796" s="17" t="str">
        <f>IF(ISNUMBER($B776), IF($C796&lt;&gt;"", IF('Cost Inputs'!$L$189="Y", $E796, IF('Cost Inputs'!$L$189="N", IF(ISNUMBER('Cost Inputs'!$M$189), $E796, ""),"")),""),"")</f>
        <v/>
      </c>
      <c r="P796" s="17" t="str">
        <f>IF(ISNUMBER($B776), IF($C796&lt;&gt;"", IF('Cost Inputs'!$L$189="Y", $E796, IF('Cost Inputs'!$L$189="N", IF(ISNUMBER('Cost Inputs'!$M$189), $E796, ""),"")),""),"")</f>
        <v/>
      </c>
      <c r="Q796" s="17" t="str">
        <f>IF(ISNUMBER($B776), IF($C796&lt;&gt;"", IF('Cost Inputs'!$L$189="Y", $E796, IF('Cost Inputs'!$L$189="N", IF(ISNUMBER('Cost Inputs'!$M$189), $E796, ""),"")),""),"")</f>
        <v/>
      </c>
      <c r="R796" s="17" t="str">
        <f>IF(ISNUMBER($B776), IF($C796&lt;&gt;"", IF('Cost Inputs'!$L$189="Y", $E796, IF('Cost Inputs'!$L$189="N", IF(ISNUMBER('Cost Inputs'!$M$189), $E796, ""),"")),""),"")</f>
        <v/>
      </c>
      <c r="S796" s="17" t="str">
        <f>IF(ISNUMBER($B776), IF($C796&lt;&gt;"", IF('Cost Inputs'!$L$189="Y", $E796, IF('Cost Inputs'!$L$189="N", IF(ISNUMBER('Cost Inputs'!$M$189), $E796, ""),"")),""),"")</f>
        <v/>
      </c>
      <c r="T796" s="17" t="str">
        <f>IF(ISNUMBER($B776), IF($C796&lt;&gt;"", IF('Cost Inputs'!$L$189="Y", $E796, IF('Cost Inputs'!$L$189="N", IF(ISNUMBER('Cost Inputs'!$M$189), $E796, ""),"")),""),"")</f>
        <v/>
      </c>
      <c r="U796" s="17" t="str">
        <f>IF(ISNUMBER($B776), IF($C796&lt;&gt;"", IF('Cost Inputs'!$L$189="Y", $E796, IF('Cost Inputs'!$L$189="N", IF(ISNUMBER('Cost Inputs'!$M$189), $E796, ""),"")),""),"")</f>
        <v/>
      </c>
      <c r="V796" s="17" t="str">
        <f>IF(ISNUMBER($B776), IF($C796&lt;&gt;"", IF('Cost Inputs'!$L$189="Y", $E796, IF('Cost Inputs'!$L$189="N", IF(ISNUMBER('Cost Inputs'!$M$189), $E796, ""),"")),""),"")</f>
        <v/>
      </c>
      <c r="W796" s="17" t="str">
        <f>IF(ISNUMBER($B776), IF($C796&lt;&gt;"", IF('Cost Inputs'!$L$189="Y", $E796, IF('Cost Inputs'!$L$189="N", IF(ISNUMBER('Cost Inputs'!$M$189), $E796, ""),"")),""),"")</f>
        <v/>
      </c>
      <c r="X796" s="17" t="str">
        <f>IF(ISNUMBER($B776), IF($C796&lt;&gt;"", IF('Cost Inputs'!$L$189="Y", $E796, IF('Cost Inputs'!$L$189="N", IF(ISNUMBER('Cost Inputs'!$M$189), $E796, ""),"")),""),"")</f>
        <v/>
      </c>
    </row>
    <row r="797" spans="1:24" x14ac:dyDescent="0.25">
      <c r="A797" s="518"/>
      <c r="B797" s="504"/>
      <c r="C797" s="107" t="str">
        <f>IF(AND(ISNUMBER(B776), OR('Cost Inputs'!$H$190&lt;&gt;"", 'Cost Inputs'!$I$190&lt;&gt;"", 'Cost Inputs'!$J$190&lt;&gt;"")), _6_3_2, "")</f>
        <v/>
      </c>
      <c r="D797" s="93" t="str">
        <f>IF(AND(C797&lt;&gt;"", 'Cost Inputs'!$G$190&lt;&gt;""), 'Cost Inputs'!$G$190, "")</f>
        <v/>
      </c>
      <c r="E797" s="93" t="str">
        <f>IF(AND(C797&lt;&gt;"", 'Cost Inputs'!$H$190&lt;&gt;""), 'Cost Inputs'!$H$190, "")</f>
        <v/>
      </c>
      <c r="F797" s="93" t="str">
        <f>IF(AND(C797&lt;&gt;"", 'Cost Inputs'!$I$190&lt;&gt;""), 'Cost Inputs'!$I$190, "")</f>
        <v/>
      </c>
      <c r="G797" s="108" t="str">
        <f t="shared" si="476"/>
        <v/>
      </c>
      <c r="H797" s="93" t="str">
        <f>IF(AND(C797&lt;&gt;"", 'Cost Inputs'!$J$190&lt;&gt;""), 'Cost Inputs'!$J$190, "")</f>
        <v/>
      </c>
      <c r="I797" s="93" t="str">
        <f t="shared" si="480"/>
        <v/>
      </c>
      <c r="J797" s="93" t="str">
        <f>IF(AND(C797&lt;&gt;"",('Cost Inputs'!$I$190+'Cost Inputs'!$J$190+'Cost Inputs'!$K$190)&gt;0), 'Cost Inputs'!$I$190+'Cost Inputs'!$J$190+'Cost Inputs'!$K$190, "")</f>
        <v/>
      </c>
      <c r="K797" s="93" t="str">
        <f t="shared" si="481"/>
        <v/>
      </c>
      <c r="L797" s="93"/>
      <c r="M797" s="109"/>
      <c r="O797" s="93" t="str">
        <f>IF(ISNUMBER($B776), IF($C797&lt;&gt;"", IF('Cost Inputs'!$L$190="Y", $E797, IF('Cost Inputs'!$L$190="N", IF(ISNUMBER('Cost Inputs'!$M$190), $E797, ""),"")),""),"")</f>
        <v/>
      </c>
      <c r="P797" s="93" t="str">
        <f>IF(ISNUMBER($B776), IF($C797&lt;&gt;"", IF('Cost Inputs'!$L$190="Y", $E797, IF('Cost Inputs'!$L$190="N", IF(ISNUMBER('Cost Inputs'!$M$190), $E797, ""),"")),""),"")</f>
        <v/>
      </c>
      <c r="Q797" s="93" t="str">
        <f>IF(ISNUMBER($B776), IF($C797&lt;&gt;"", IF('Cost Inputs'!$L$190="Y", $E797, IF('Cost Inputs'!$L$190="N", IF(ISNUMBER('Cost Inputs'!$M$190), $E797, ""),"")),""),"")</f>
        <v/>
      </c>
      <c r="R797" s="93" t="str">
        <f>IF(ISNUMBER($B776), IF($C797&lt;&gt;"", IF('Cost Inputs'!$L$190="Y", $E797, IF('Cost Inputs'!$L$190="N", IF(ISNUMBER('Cost Inputs'!$M$190), $E797, ""),"")),""),"")</f>
        <v/>
      </c>
      <c r="S797" s="93" t="str">
        <f>IF(ISNUMBER($B776), IF($C797&lt;&gt;"", IF('Cost Inputs'!$L$190="Y", $E797, IF('Cost Inputs'!$L$190="N", IF(ISNUMBER('Cost Inputs'!$M$190), $E797, ""),"")),""),"")</f>
        <v/>
      </c>
      <c r="T797" s="93" t="str">
        <f>IF(ISNUMBER($B776), IF($C797&lt;&gt;"", IF('Cost Inputs'!$L$190="Y", $E797, IF('Cost Inputs'!$L$190="N", IF(ISNUMBER('Cost Inputs'!$M$190), $E797, ""),"")),""),"")</f>
        <v/>
      </c>
      <c r="U797" s="93" t="str">
        <f>IF(ISNUMBER($B776), IF($C797&lt;&gt;"", IF('Cost Inputs'!$L$190="Y", $E797, IF('Cost Inputs'!$L$190="N", IF(ISNUMBER('Cost Inputs'!$M$190), $E797, ""),"")),""),"")</f>
        <v/>
      </c>
      <c r="V797" s="93" t="str">
        <f>IF(ISNUMBER($B776), IF($C797&lt;&gt;"", IF('Cost Inputs'!$L$190="Y", $E797, IF('Cost Inputs'!$L$190="N", IF(ISNUMBER('Cost Inputs'!$M$190), $E797, ""),"")),""),"")</f>
        <v/>
      </c>
      <c r="W797" s="93" t="str">
        <f>IF(ISNUMBER($B776), IF($C797&lt;&gt;"", IF('Cost Inputs'!$L$190="Y", $E797, IF('Cost Inputs'!$L$190="N", IF(ISNUMBER('Cost Inputs'!$M$190), $E797, ""),"")),""),"")</f>
        <v/>
      </c>
      <c r="X797" s="93" t="str">
        <f>IF(ISNUMBER($B776), IF($C797&lt;&gt;"", IF('Cost Inputs'!$L$190="Y", $E797, IF('Cost Inputs'!$L$190="N", IF(ISNUMBER('Cost Inputs'!$M$190), $E797, ""),"")),""),"")</f>
        <v/>
      </c>
    </row>
    <row r="798" spans="1:24" x14ac:dyDescent="0.25">
      <c r="A798" s="518"/>
      <c r="B798" s="504"/>
      <c r="C798" s="110" t="str">
        <f>IF(ISNUMBER(B776), _6_4_0, "")</f>
        <v/>
      </c>
      <c r="D798" s="94" t="str">
        <f>IF(AND(C798&lt;&gt;"", 'Cost Inputs'!$G$191&lt;&gt;""), 'Cost Inputs'!$G$191, "")</f>
        <v/>
      </c>
      <c r="E798" s="94" t="str">
        <f>IF(AND(C798&lt;&gt;"", 'Cost Inputs'!$H$191&lt;&gt;""), 'Cost Inputs'!$H$191, "")</f>
        <v/>
      </c>
      <c r="F798" s="94" t="str">
        <f>IF(AND(C798&lt;&gt;"", 'Cost Inputs'!$I$191&lt;&gt;""), 'Cost Inputs'!$I$191, "")</f>
        <v/>
      </c>
      <c r="G798" s="102" t="str">
        <f t="shared" si="476"/>
        <v/>
      </c>
      <c r="H798" s="102" t="str">
        <f>IF(AND(C798&lt;&gt;"", 'Cost Inputs'!$J$191&lt;&gt;""), 'Cost Inputs'!$J$191, "")</f>
        <v/>
      </c>
      <c r="I798" s="102" t="str">
        <f t="shared" si="480"/>
        <v/>
      </c>
      <c r="J798" s="102" t="str">
        <f>IF(AND(C798&lt;&gt;"",('Cost Inputs'!$I$191+'Cost Inputs'!$J$191+'Cost Inputs'!$K$191)&gt;0), 'Cost Inputs'!$I$191+'Cost Inputs'!$J$191+'Cost Inputs'!$K$191, "")</f>
        <v/>
      </c>
      <c r="K798" s="102" t="str">
        <f t="shared" si="481"/>
        <v/>
      </c>
      <c r="L798" s="94"/>
      <c r="M798" s="103"/>
      <c r="O798" s="102" t="str">
        <f>IF(ISNUMBER($B776), IF($C798&lt;&gt;"", IF('Cost Inputs'!$L$191="Y", $E798, IF('Cost Inputs'!$L$191="N", IF(ISNUMBER('Cost Inputs'!$M$191), $E798, ""),"")),""),"")</f>
        <v/>
      </c>
      <c r="P798" s="102" t="str">
        <f>IF(ISNUMBER($B776), IF($C798&lt;&gt;"", IF('Cost Inputs'!$L$191="Y", $E798, IF('Cost Inputs'!$L$191="N", IF(ISNUMBER('Cost Inputs'!$M$191), $E798, ""),"")),""),"")</f>
        <v/>
      </c>
      <c r="Q798" s="102" t="str">
        <f>IF(ISNUMBER($B776), IF($C798&lt;&gt;"", IF('Cost Inputs'!$L$191="Y", $E798, IF('Cost Inputs'!$L$191="N", IF(ISNUMBER('Cost Inputs'!$M$191), $E798, ""),"")),""),"")</f>
        <v/>
      </c>
      <c r="R798" s="102" t="str">
        <f>IF(ISNUMBER($B776), IF($C798&lt;&gt;"", IF('Cost Inputs'!$L$191="Y", $E798, IF('Cost Inputs'!$L$191="N", IF(ISNUMBER('Cost Inputs'!$M$191), $E798, ""),"")),""),"")</f>
        <v/>
      </c>
      <c r="S798" s="102" t="str">
        <f>IF(ISNUMBER($B776), IF($C798&lt;&gt;"", IF('Cost Inputs'!$L$191="Y", $E798, IF('Cost Inputs'!$L$191="N", IF(ISNUMBER('Cost Inputs'!$M$191), $E798, ""),"")),""),"")</f>
        <v/>
      </c>
      <c r="T798" s="102" t="str">
        <f>IF(ISNUMBER($B776), IF($C798&lt;&gt;"", IF('Cost Inputs'!$L$191="Y", $E798, IF('Cost Inputs'!$L$191="N", IF(ISNUMBER('Cost Inputs'!$M$191), $E798, ""),"")),""),"")</f>
        <v/>
      </c>
      <c r="U798" s="102" t="str">
        <f>IF(ISNUMBER($B776), IF($C798&lt;&gt;"", IF('Cost Inputs'!$L$191="Y", $E798, IF('Cost Inputs'!$L$191="N", IF(ISNUMBER('Cost Inputs'!$M$191), $E798, ""),"")),""),"")</f>
        <v/>
      </c>
      <c r="V798" s="102" t="str">
        <f>IF(ISNUMBER($B776), IF($C798&lt;&gt;"", IF('Cost Inputs'!$L$191="Y", $E798, IF('Cost Inputs'!$L$191="N", IF(ISNUMBER('Cost Inputs'!$M$191), $E798, ""),"")),""),"")</f>
        <v/>
      </c>
      <c r="W798" s="102" t="str">
        <f>IF(ISNUMBER($B776), IF($C798&lt;&gt;"", IF('Cost Inputs'!$L$191="Y", $E798, IF('Cost Inputs'!$L$191="N", IF(ISNUMBER('Cost Inputs'!$M$191), $E798, ""),"")),""),"")</f>
        <v/>
      </c>
      <c r="X798" s="102" t="str">
        <f>IF(ISNUMBER($B776), IF($C798&lt;&gt;"", IF('Cost Inputs'!$L$191="Y", $E798, IF('Cost Inputs'!$L$191="N", IF(ISNUMBER('Cost Inputs'!$M$191), $E798, ""),"")),""),"")</f>
        <v/>
      </c>
    </row>
    <row r="799" spans="1:24" x14ac:dyDescent="0.25">
      <c r="A799" s="518"/>
      <c r="B799" s="504"/>
      <c r="C799" s="104" t="str">
        <f>IF(AND(ISNUMBER(B776), OR('Cost Inputs'!$H$192&lt;&gt;"", 'Cost Inputs'!$I$192&lt;&gt;"", 'Cost Inputs'!$J$192&lt;&gt;"")), _6_4_1, "")</f>
        <v/>
      </c>
      <c r="D799" s="17" t="str">
        <f>IF(AND(C799&lt;&gt;"", 'Cost Inputs'!$G$192&lt;&gt;""), 'Cost Inputs'!$G$192, "")</f>
        <v/>
      </c>
      <c r="E799" s="17" t="str">
        <f>IF(AND(C799&lt;&gt;"", 'Cost Inputs'!$H$192&lt;&gt;""), 'Cost Inputs'!$H$192, "")</f>
        <v/>
      </c>
      <c r="F799" s="17" t="str">
        <f>IF(AND(C799&lt;&gt;"", 'Cost Inputs'!$I$192&lt;&gt;""), 'Cost Inputs'!$I$192, "")</f>
        <v/>
      </c>
      <c r="G799" s="105" t="str">
        <f t="shared" si="476"/>
        <v/>
      </c>
      <c r="H799" s="17" t="str">
        <f>IF(AND(C799&lt;&gt;"", 'Cost Inputs'!$J$192&lt;&gt;""), 'Cost Inputs'!$J$192, "")</f>
        <v/>
      </c>
      <c r="I799" s="17" t="str">
        <f t="shared" si="480"/>
        <v/>
      </c>
      <c r="J799" s="17" t="str">
        <f>IF(AND(C799&lt;&gt;"",('Cost Inputs'!$I$192+'Cost Inputs'!$J$192+'Cost Inputs'!$K$192)&gt;0), 'Cost Inputs'!$I$192+'Cost Inputs'!$J$192+'Cost Inputs'!$K$192, "")</f>
        <v/>
      </c>
      <c r="K799" s="17" t="str">
        <f t="shared" si="481"/>
        <v/>
      </c>
      <c r="M799" s="106"/>
      <c r="O799" s="17" t="str">
        <f>IF(ISNUMBER($B776), IF($C799&lt;&gt;"", IF('Cost Inputs'!$L$192="Y", $E799, IF('Cost Inputs'!$L$192="N", IF(ISNUMBER('Cost Inputs'!$M$192), $E799, ""),"")),""),"")</f>
        <v/>
      </c>
      <c r="P799" s="17" t="str">
        <f>IF(ISNUMBER($B776), IF($C799&lt;&gt;"", IF('Cost Inputs'!$L$192="Y", $E799, IF('Cost Inputs'!$L$192="N", IF(ISNUMBER('Cost Inputs'!$M$192), $E799, ""),"")),""),"")</f>
        <v/>
      </c>
      <c r="Q799" s="17" t="str">
        <f>IF(ISNUMBER($B776), IF($C799&lt;&gt;"", IF('Cost Inputs'!$L$192="Y", $E799, IF('Cost Inputs'!$L$192="N", IF(ISNUMBER('Cost Inputs'!$M$192), $E799, ""),"")),""),"")</f>
        <v/>
      </c>
      <c r="R799" s="17" t="str">
        <f>IF(ISNUMBER($B776), IF($C799&lt;&gt;"", IF('Cost Inputs'!$L$192="Y", $E799, IF('Cost Inputs'!$L$192="N", IF(ISNUMBER('Cost Inputs'!$M$192), $E799, ""),"")),""),"")</f>
        <v/>
      </c>
      <c r="S799" s="17" t="str">
        <f>IF(ISNUMBER($B776), IF($C799&lt;&gt;"", IF('Cost Inputs'!$L$192="Y", $E799, IF('Cost Inputs'!$L$192="N", IF(ISNUMBER('Cost Inputs'!$M$192), $E799, ""),"")),""),"")</f>
        <v/>
      </c>
      <c r="T799" s="17" t="str">
        <f>IF(ISNUMBER($B776), IF($C799&lt;&gt;"", IF('Cost Inputs'!$L$192="Y", $E799, IF('Cost Inputs'!$L$192="N", IF(ISNUMBER('Cost Inputs'!$M$192), $E799, ""),"")),""),"")</f>
        <v/>
      </c>
      <c r="U799" s="17" t="str">
        <f>IF(ISNUMBER($B776), IF($C799&lt;&gt;"", IF('Cost Inputs'!$L$192="Y", $E799, IF('Cost Inputs'!$L$192="N", IF(ISNUMBER('Cost Inputs'!$M$192), $E799, ""),"")),""),"")</f>
        <v/>
      </c>
      <c r="V799" s="17" t="str">
        <f>IF(ISNUMBER($B776), IF($C799&lt;&gt;"", IF('Cost Inputs'!$L$192="Y", $E799, IF('Cost Inputs'!$L$192="N", IF(ISNUMBER('Cost Inputs'!$M$192), $E799, ""),"")),""),"")</f>
        <v/>
      </c>
      <c r="W799" s="17" t="str">
        <f>IF(ISNUMBER($B776), IF($C799&lt;&gt;"", IF('Cost Inputs'!$L$192="Y", $E799, IF('Cost Inputs'!$L$192="N", IF(ISNUMBER('Cost Inputs'!$M$192), $E799, ""),"")),""),"")</f>
        <v/>
      </c>
      <c r="X799" s="17" t="str">
        <f>IF(ISNUMBER($B776), IF($C799&lt;&gt;"", IF('Cost Inputs'!$L$192="Y", $E799, IF('Cost Inputs'!$L$192="N", IF(ISNUMBER('Cost Inputs'!$M$192), $E799, ""),"")),""),"")</f>
        <v/>
      </c>
    </row>
    <row r="800" spans="1:24" x14ac:dyDescent="0.25">
      <c r="A800" s="518"/>
      <c r="B800" s="504"/>
      <c r="C800" s="107" t="str">
        <f>IF(AND(ISNUMBER(B776), OR('Cost Inputs'!$H$193&lt;&gt;"", 'Cost Inputs'!$I$193&lt;&gt;"", 'Cost Inputs'!$J$193&lt;&gt;"")), _6_4_2, "")</f>
        <v/>
      </c>
      <c r="D800" s="93" t="str">
        <f>IF(AND(C800&lt;&gt;"", 'Cost Inputs'!$G$193&lt;&gt;""), 'Cost Inputs'!$G$193, "")</f>
        <v/>
      </c>
      <c r="E800" s="93" t="str">
        <f>IF(AND(C800&lt;&gt;"", 'Cost Inputs'!$H$193&lt;&gt;""), 'Cost Inputs'!$H$193, "")</f>
        <v/>
      </c>
      <c r="F800" s="93" t="str">
        <f>IF(AND(C800&lt;&gt;"", 'Cost Inputs'!$I$193&lt;&gt;""), 'Cost Inputs'!$I$193, "")</f>
        <v/>
      </c>
      <c r="G800" s="108" t="str">
        <f t="shared" si="476"/>
        <v/>
      </c>
      <c r="H800" s="93" t="str">
        <f>IF(AND(C800&lt;&gt;"", 'Cost Inputs'!$J$193&lt;&gt;""), 'Cost Inputs'!$J$193, "")</f>
        <v/>
      </c>
      <c r="I800" s="93" t="str">
        <f t="shared" si="480"/>
        <v/>
      </c>
      <c r="J800" s="93" t="str">
        <f>IF(AND(C800&lt;&gt;"",('Cost Inputs'!$I$152+'Cost Inputs'!$J$152+'Cost Inputs'!$K$152)&gt;0), 'Cost Inputs'!$I$152+'Cost Inputs'!$J$152+'Cost Inputs'!$K$152, "")</f>
        <v/>
      </c>
      <c r="K800" s="93" t="str">
        <f t="shared" si="481"/>
        <v/>
      </c>
      <c r="L800" s="93"/>
      <c r="M800" s="109"/>
      <c r="O800" s="93" t="str">
        <f>IF(ISNUMBER($B776), IF($C800&lt;&gt;"", IF('Cost Inputs'!$L$193="Y", $E800, IF('Cost Inputs'!$L$193="N", IF(ISNUMBER('Cost Inputs'!$M$193), $E800, ""),"")),""),"")</f>
        <v/>
      </c>
      <c r="P800" s="93" t="str">
        <f>IF(ISNUMBER($B776), IF($C800&lt;&gt;"", IF('Cost Inputs'!$L$193="Y", $E800, IF('Cost Inputs'!$L$193="N", IF(ISNUMBER('Cost Inputs'!$M$193), $E800, ""),"")),""),"")</f>
        <v/>
      </c>
      <c r="Q800" s="93" t="str">
        <f>IF(ISNUMBER($B776), IF($C800&lt;&gt;"", IF('Cost Inputs'!$L$193="Y", $E800, IF('Cost Inputs'!$L$193="N", IF(ISNUMBER('Cost Inputs'!$M$193), $E800, ""),"")),""),"")</f>
        <v/>
      </c>
      <c r="R800" s="93" t="str">
        <f>IF(ISNUMBER($B776), IF($C800&lt;&gt;"", IF('Cost Inputs'!$L$193="Y", $E800, IF('Cost Inputs'!$L$193="N", IF(ISNUMBER('Cost Inputs'!$M$193), $E800, ""),"")),""),"")</f>
        <v/>
      </c>
      <c r="S800" s="93" t="str">
        <f>IF(ISNUMBER($B776), IF($C800&lt;&gt;"", IF('Cost Inputs'!$L$193="Y", $E800, IF('Cost Inputs'!$L$193="N", IF(ISNUMBER('Cost Inputs'!$M$193), $E800, ""),"")),""),"")</f>
        <v/>
      </c>
      <c r="T800" s="93" t="str">
        <f>IF(ISNUMBER($B776), IF($C800&lt;&gt;"", IF('Cost Inputs'!$L$193="Y", $E800, IF('Cost Inputs'!$L$193="N", IF(ISNUMBER('Cost Inputs'!$M$193), $E800, ""),"")),""),"")</f>
        <v/>
      </c>
      <c r="U800" s="93" t="str">
        <f>IF(ISNUMBER($B776), IF($C800&lt;&gt;"", IF('Cost Inputs'!$L$193="Y", $E800, IF('Cost Inputs'!$L$193="N", IF(ISNUMBER('Cost Inputs'!$M$193), $E800, ""),"")),""),"")</f>
        <v/>
      </c>
      <c r="V800" s="93" t="str">
        <f>IF(ISNUMBER($B776), IF($C800&lt;&gt;"", IF('Cost Inputs'!$L$193="Y", $E800, IF('Cost Inputs'!$L$193="N", IF(ISNUMBER('Cost Inputs'!$M$193), $E800, ""),"")),""),"")</f>
        <v/>
      </c>
      <c r="W800" s="93" t="str">
        <f>IF(ISNUMBER($B776), IF($C800&lt;&gt;"", IF('Cost Inputs'!$L$193="Y", $E800, IF('Cost Inputs'!$L$193="N", IF(ISNUMBER('Cost Inputs'!$M$193), $E800, ""),"")),""),"")</f>
        <v/>
      </c>
      <c r="X800" s="93" t="str">
        <f>IF(ISNUMBER($B776), IF($C800&lt;&gt;"", IF('Cost Inputs'!$L$193="Y", $E800, IF('Cost Inputs'!$L$193="N", IF(ISNUMBER('Cost Inputs'!$M$193), $E800, ""),"")),""),"")</f>
        <v/>
      </c>
    </row>
    <row r="801" spans="1:25" x14ac:dyDescent="0.25">
      <c r="A801" s="518"/>
      <c r="B801" s="504"/>
      <c r="C801" s="104" t="str">
        <f>IF(AND(ISNUMBER(B776), OR('Cost Inputs'!$H$194&lt;&gt;"", 'Cost Inputs'!$I$194&lt;&gt;"", 'Cost Inputs'!$J$194&lt;&gt;"")), _6_4_3, "")</f>
        <v/>
      </c>
      <c r="D801" s="17" t="str">
        <f>IF(AND(C801&lt;&gt;"", 'Cost Inputs'!$G$194&lt;&gt;""), 'Cost Inputs'!$G$194, "")</f>
        <v/>
      </c>
      <c r="E801" s="17" t="str">
        <f>IF(AND(C801&lt;&gt;"", 'Cost Inputs'!$H$194&lt;&gt;""), 'Cost Inputs'!$H$194, "")</f>
        <v/>
      </c>
      <c r="F801" s="17" t="str">
        <f>IF(AND(C801&lt;&gt;"", 'Cost Inputs'!$I$194&lt;&gt;""), 'Cost Inputs'!$I$194, "")</f>
        <v/>
      </c>
      <c r="G801" s="105" t="str">
        <f t="shared" si="476"/>
        <v/>
      </c>
      <c r="H801" s="17" t="str">
        <f>IF(AND(C801&lt;&gt;"", 'Cost Inputs'!$J$194&lt;&gt;""), 'Cost Inputs'!$J$194, "")</f>
        <v/>
      </c>
      <c r="I801" s="17" t="str">
        <f t="shared" si="480"/>
        <v/>
      </c>
      <c r="J801" s="17" t="str">
        <f>IF(AND(C801&lt;&gt;"",('Cost Inputs'!$I$194+'Cost Inputs'!$J$194+'Cost Inputs'!$K$194)&gt;0), 'Cost Inputs'!$I$194+'Cost Inputs'!$J$194+'Cost Inputs'!$K$194, "")</f>
        <v/>
      </c>
      <c r="K801" s="17" t="str">
        <f t="shared" si="481"/>
        <v/>
      </c>
      <c r="M801" s="106"/>
      <c r="O801" s="17" t="str">
        <f>IF(ISNUMBER($B776), IF($C801&lt;&gt;"", IF('Cost Inputs'!$L$194="Y", $E801, IF('Cost Inputs'!$L$194="N", IF(ISNUMBER('Cost Inputs'!$M$194), $E801, ""),"")),""),"")</f>
        <v/>
      </c>
      <c r="P801" s="17" t="str">
        <f>IF(ISNUMBER($B776), IF($C801&lt;&gt;"", IF('Cost Inputs'!$L$194="Y", $E801, IF('Cost Inputs'!$L$194="N", IF(ISNUMBER('Cost Inputs'!$M$194), $E801, ""),"")),""),"")</f>
        <v/>
      </c>
      <c r="Q801" s="17" t="str">
        <f>IF(ISNUMBER($B776), IF($C801&lt;&gt;"", IF('Cost Inputs'!$L$194="Y", $E801, IF('Cost Inputs'!$L$194="N", IF(ISNUMBER('Cost Inputs'!$M$194), $E801, ""),"")),""),"")</f>
        <v/>
      </c>
      <c r="R801" s="17" t="str">
        <f>IF(ISNUMBER($B776), IF($C801&lt;&gt;"", IF('Cost Inputs'!$L$194="Y", $E801, IF('Cost Inputs'!$L$194="N", IF(ISNUMBER('Cost Inputs'!$M$194), $E801, ""),"")),""),"")</f>
        <v/>
      </c>
      <c r="S801" s="17" t="str">
        <f>IF(ISNUMBER($B776), IF($C801&lt;&gt;"", IF('Cost Inputs'!$L$194="Y", $E801, IF('Cost Inputs'!$L$194="N", IF(ISNUMBER('Cost Inputs'!$M$194), $E801, ""),"")),""),"")</f>
        <v/>
      </c>
      <c r="T801" s="17" t="str">
        <f>IF(ISNUMBER($B776), IF($C801&lt;&gt;"", IF('Cost Inputs'!$L$194="Y", $E801, IF('Cost Inputs'!$L$194="N", IF(ISNUMBER('Cost Inputs'!$M$194), $E801, ""),"")),""),"")</f>
        <v/>
      </c>
      <c r="U801" s="17" t="str">
        <f>IF(ISNUMBER($B776), IF($C801&lt;&gt;"", IF('Cost Inputs'!$L$194="Y", $E801, IF('Cost Inputs'!$L$194="N", IF(ISNUMBER('Cost Inputs'!$M$194), $E801, ""),"")),""),"")</f>
        <v/>
      </c>
      <c r="V801" s="17" t="str">
        <f>IF(ISNUMBER($B776), IF($C801&lt;&gt;"", IF('Cost Inputs'!$L$194="Y", $E801, IF('Cost Inputs'!$L$194="N", IF(ISNUMBER('Cost Inputs'!$M$194), $E801, ""),"")),""),"")</f>
        <v/>
      </c>
      <c r="W801" s="17" t="str">
        <f>IF(ISNUMBER($B776), IF($C801&lt;&gt;"", IF('Cost Inputs'!$L$194="Y", $E801, IF('Cost Inputs'!$L$194="N", IF(ISNUMBER('Cost Inputs'!$M$194), $E801, ""),"")),""),"")</f>
        <v/>
      </c>
      <c r="X801" s="17" t="str">
        <f>IF(ISNUMBER($B776), IF($C801&lt;&gt;"", IF('Cost Inputs'!$L$194="Y", $E801, IF('Cost Inputs'!$L$194="N", IF(ISNUMBER('Cost Inputs'!$M$194), $E801, ""),"")),""),"")</f>
        <v/>
      </c>
    </row>
    <row r="802" spans="1:25" x14ac:dyDescent="0.25">
      <c r="A802" s="518"/>
      <c r="B802" s="504"/>
      <c r="C802" s="107" t="str">
        <f>IF(AND(ISNUMBER(B776), OR('Cost Inputs'!$H$195&lt;&gt;"", 'Cost Inputs'!$I$195&lt;&gt;"", 'Cost Inputs'!$J$195&lt;&gt;"")), _6_4_4, "")</f>
        <v/>
      </c>
      <c r="D802" s="93" t="str">
        <f>IF(AND(C802&lt;&gt;"", 'Cost Inputs'!$G$195&lt;&gt;""), 'Cost Inputs'!$G$195, "")</f>
        <v/>
      </c>
      <c r="E802" s="93" t="str">
        <f>IF(AND(C802&lt;&gt;"", 'Cost Inputs'!$H$195&lt;&gt;""), 'Cost Inputs'!$H$195, "")</f>
        <v/>
      </c>
      <c r="F802" s="93" t="str">
        <f>IF(AND(C802&lt;&gt;"", 'Cost Inputs'!$I$195&lt;&gt;""), 'Cost Inputs'!$I$195, "")</f>
        <v/>
      </c>
      <c r="G802" s="108" t="str">
        <f t="shared" si="476"/>
        <v/>
      </c>
      <c r="H802" s="93" t="str">
        <f>IF(AND(C802&lt;&gt;"", 'Cost Inputs'!$J$195&lt;&gt;""), 'Cost Inputs'!$J$195, "")</f>
        <v/>
      </c>
      <c r="I802" s="93" t="str">
        <f t="shared" si="480"/>
        <v/>
      </c>
      <c r="J802" s="93" t="str">
        <f>IF(AND(C802&lt;&gt;"",('Cost Inputs'!$I$195+'Cost Inputs'!$J$195+'Cost Inputs'!$K$195)&gt;0), 'Cost Inputs'!$I$195+'Cost Inputs'!$J$195+'Cost Inputs'!$K$195, "")</f>
        <v/>
      </c>
      <c r="K802" s="93" t="str">
        <f t="shared" si="481"/>
        <v/>
      </c>
      <c r="L802" s="93"/>
      <c r="M802" s="109"/>
      <c r="O802" s="93" t="str">
        <f>IF(ISNUMBER($B776), IF($C802&lt;&gt;"", IF('Cost Inputs'!$L$195="Y", $E802, IF('Cost Inputs'!$L$195="N", IF(ISNUMBER('Cost Inputs'!$M$195), $E802, ""),"")),""),"")</f>
        <v/>
      </c>
      <c r="P802" s="93" t="str">
        <f>IF(ISNUMBER($B776), IF($C802&lt;&gt;"", IF('Cost Inputs'!$L$195="Y", $E802, IF('Cost Inputs'!$L$195="N", IF(ISNUMBER('Cost Inputs'!$M$195), $E802, ""),"")),""),"")</f>
        <v/>
      </c>
      <c r="Q802" s="93" t="str">
        <f>IF(ISNUMBER($B776), IF($C802&lt;&gt;"", IF('Cost Inputs'!$L$195="Y", $E802, IF('Cost Inputs'!$L$195="N", IF(ISNUMBER('Cost Inputs'!$M$195), $E802, ""),"")),""),"")</f>
        <v/>
      </c>
      <c r="R802" s="93" t="str">
        <f>IF(ISNUMBER($B776), IF($C802&lt;&gt;"", IF('Cost Inputs'!$L$195="Y", $E802, IF('Cost Inputs'!$L$195="N", IF(ISNUMBER('Cost Inputs'!$M$195), $E802, ""),"")),""),"")</f>
        <v/>
      </c>
      <c r="S802" s="93" t="str">
        <f>IF(ISNUMBER($B776), IF($C802&lt;&gt;"", IF('Cost Inputs'!$L$195="Y", $E802, IF('Cost Inputs'!$L$195="N", IF(ISNUMBER('Cost Inputs'!$M$195), $E802, ""),"")),""),"")</f>
        <v/>
      </c>
      <c r="T802" s="93" t="str">
        <f>IF(ISNUMBER($B776), IF($C802&lt;&gt;"", IF('Cost Inputs'!$L$195="Y", $E802, IF('Cost Inputs'!$L$195="N", IF(ISNUMBER('Cost Inputs'!$M$195), $E802, ""),"")),""),"")</f>
        <v/>
      </c>
      <c r="U802" s="93" t="str">
        <f>IF(ISNUMBER($B776), IF($C802&lt;&gt;"", IF('Cost Inputs'!$L$195="Y", $E802, IF('Cost Inputs'!$L$195="N", IF(ISNUMBER('Cost Inputs'!$M$195), $E802, ""),"")),""),"")</f>
        <v/>
      </c>
      <c r="V802" s="93" t="str">
        <f>IF(ISNUMBER($B776), IF($C802&lt;&gt;"", IF('Cost Inputs'!$L$195="Y", $E802, IF('Cost Inputs'!$L$195="N", IF(ISNUMBER('Cost Inputs'!$M$195), $E802, ""),"")),""),"")</f>
        <v/>
      </c>
      <c r="W802" s="93" t="str">
        <f>IF(ISNUMBER($B776), IF($C802&lt;&gt;"", IF('Cost Inputs'!$L$195="Y", $E802, IF('Cost Inputs'!$L$195="N", IF(ISNUMBER('Cost Inputs'!$M$195), $E802, ""),"")),""),"")</f>
        <v/>
      </c>
      <c r="X802" s="93" t="str">
        <f>IF(ISNUMBER($B776), IF($C802&lt;&gt;"", IF('Cost Inputs'!$L$195="Y", $E802, IF('Cost Inputs'!$L$195="N", IF(ISNUMBER('Cost Inputs'!$M$195), $E802, ""),"")),""),"")</f>
        <v/>
      </c>
    </row>
    <row r="803" spans="1:25" x14ac:dyDescent="0.25">
      <c r="A803" s="518"/>
      <c r="B803" s="504"/>
      <c r="C803" s="104" t="str">
        <f>IF(AND(ISNUMBER(B776), OR('Cost Inputs'!$H$196&lt;&gt;"", 'Cost Inputs'!$I$196&lt;&gt;"", 'Cost Inputs'!$J$196&lt;&gt;"")), _6_4_5, "")</f>
        <v/>
      </c>
      <c r="D803" s="17" t="str">
        <f>IF(AND(C803&lt;&gt;"", 'Cost Inputs'!$G$196&lt;&gt;""), 'Cost Inputs'!$G$196, "")</f>
        <v/>
      </c>
      <c r="E803" s="17" t="str">
        <f>IF(AND(C803&lt;&gt;"", 'Cost Inputs'!$H$196&lt;&gt;""), 'Cost Inputs'!$H$196, "")</f>
        <v/>
      </c>
      <c r="F803" s="17" t="str">
        <f>IF(AND(C803&lt;&gt;"", 'Cost Inputs'!$I$196&lt;&gt;""), 'Cost Inputs'!$I$196, "")</f>
        <v/>
      </c>
      <c r="G803" s="105" t="str">
        <f t="shared" ref="G803:G866" si="482">IF(AND($E803&lt;&gt;"", $E803&gt;0, F803&lt;&gt;""), F803/$E803, "")</f>
        <v/>
      </c>
      <c r="H803" s="17" t="str">
        <f>IF(AND(C803&lt;&gt;"", 'Cost Inputs'!$J$196&lt;&gt;""), 'Cost Inputs'!$J$196, "")</f>
        <v/>
      </c>
      <c r="I803" s="17" t="str">
        <f t="shared" si="480"/>
        <v/>
      </c>
      <c r="J803" s="17" t="str">
        <f>IF(AND(C803&lt;&gt;"",('Cost Inputs'!$I$196+'Cost Inputs'!$J$196+'Cost Inputs'!$K$196)&gt;0), 'Cost Inputs'!$I$196+'Cost Inputs'!$J$196+'Cost Inputs'!$K$196, "")</f>
        <v/>
      </c>
      <c r="K803" s="17" t="str">
        <f t="shared" si="481"/>
        <v/>
      </c>
      <c r="M803" s="106"/>
      <c r="O803" s="17" t="str">
        <f>IF(ISNUMBER($B776), IF($C803&lt;&gt;"", IF('Cost Inputs'!$L$196="Y", $E803, IF('Cost Inputs'!$L$196="N", IF(ISNUMBER('Cost Inputs'!$M$196), $E803, ""),"")),""),"")</f>
        <v/>
      </c>
      <c r="P803" s="17" t="str">
        <f>IF(ISNUMBER($B776), IF($C803&lt;&gt;"", IF('Cost Inputs'!$L$196="Y", $E803, IF('Cost Inputs'!$L$196="N", IF(ISNUMBER('Cost Inputs'!$M$196), $E803, ""),"")),""),"")</f>
        <v/>
      </c>
      <c r="Q803" s="17" t="str">
        <f>IF(ISNUMBER($B776), IF($C803&lt;&gt;"", IF('Cost Inputs'!$L$196="Y", $E803, IF('Cost Inputs'!$L$196="N", IF(ISNUMBER('Cost Inputs'!$M$196), $E803, ""),"")),""),"")</f>
        <v/>
      </c>
      <c r="R803" s="17" t="str">
        <f>IF(ISNUMBER($B776), IF($C803&lt;&gt;"", IF('Cost Inputs'!$L$196="Y", $E803, IF('Cost Inputs'!$L$196="N", IF(ISNUMBER('Cost Inputs'!$M$196), $E803, ""),"")),""),"")</f>
        <v/>
      </c>
      <c r="S803" s="17" t="str">
        <f>IF(ISNUMBER($B776), IF($C803&lt;&gt;"", IF('Cost Inputs'!$L$196="Y", $E803, IF('Cost Inputs'!$L$196="N", IF(ISNUMBER('Cost Inputs'!$M$196), $E803, ""),"")),""),"")</f>
        <v/>
      </c>
      <c r="T803" s="17" t="str">
        <f>IF(ISNUMBER($B776), IF($C803&lt;&gt;"", IF('Cost Inputs'!$L$196="Y", $E803, IF('Cost Inputs'!$L$196="N", IF(ISNUMBER('Cost Inputs'!$M$196), $E803, ""),"")),""),"")</f>
        <v/>
      </c>
      <c r="U803" s="17" t="str">
        <f>IF(ISNUMBER($B776), IF($C803&lt;&gt;"", IF('Cost Inputs'!$L$196="Y", $E803, IF('Cost Inputs'!$L$196="N", IF(ISNUMBER('Cost Inputs'!$M$196), $E803, ""),"")),""),"")</f>
        <v/>
      </c>
      <c r="V803" s="17" t="str">
        <f>IF(ISNUMBER($B776), IF($C803&lt;&gt;"", IF('Cost Inputs'!$L$196="Y", $E803, IF('Cost Inputs'!$L$196="N", IF(ISNUMBER('Cost Inputs'!$M$196), $E803, ""),"")),""),"")</f>
        <v/>
      </c>
      <c r="W803" s="17" t="str">
        <f>IF(ISNUMBER($B776), IF($C803&lt;&gt;"", IF('Cost Inputs'!$L$196="Y", $E803, IF('Cost Inputs'!$L$196="N", IF(ISNUMBER('Cost Inputs'!$M$196), $E803, ""),"")),""),"")</f>
        <v/>
      </c>
      <c r="X803" s="17" t="str">
        <f>IF(ISNUMBER($B776), IF($C803&lt;&gt;"", IF('Cost Inputs'!$L$196="Y", $E803, IF('Cost Inputs'!$L$196="N", IF(ISNUMBER('Cost Inputs'!$M$196), $E803, ""),"")),""),"")</f>
        <v/>
      </c>
    </row>
    <row r="804" spans="1:25" x14ac:dyDescent="0.25">
      <c r="A804" s="518"/>
      <c r="B804" s="504"/>
      <c r="C804" s="107" t="str">
        <f>IF(AND(ISNUMBER(B776), OR('Cost Inputs'!$H$197&lt;&gt;"", 'Cost Inputs'!$I$197&lt;&gt;"", 'Cost Inputs'!$J$197&lt;&gt;"")), _6_4_6, "")</f>
        <v/>
      </c>
      <c r="D804" s="93" t="str">
        <f>IF(AND(C804&lt;&gt;"", 'Cost Inputs'!$G$197&lt;&gt;""), 'Cost Inputs'!$G$197, "")</f>
        <v/>
      </c>
      <c r="E804" s="93" t="str">
        <f>IF(AND(C804&lt;&gt;"", 'Cost Inputs'!$H$197&lt;&gt;""), 'Cost Inputs'!$H$197, "")</f>
        <v/>
      </c>
      <c r="F804" s="93" t="str">
        <f>IF(AND(C804&lt;&gt;"", 'Cost Inputs'!$I$197&lt;&gt;""), 'Cost Inputs'!$I$197, "")</f>
        <v/>
      </c>
      <c r="G804" s="108" t="str">
        <f t="shared" si="482"/>
        <v/>
      </c>
      <c r="H804" s="93" t="str">
        <f>IF(AND(C804&lt;&gt;"", 'Cost Inputs'!$J$197&lt;&gt;""), 'Cost Inputs'!$J$16, "")</f>
        <v/>
      </c>
      <c r="I804" s="93" t="str">
        <f t="shared" si="480"/>
        <v/>
      </c>
      <c r="J804" s="93" t="str">
        <f>IF(AND(C804&lt;&gt;"",('Cost Inputs'!$I$197+'Cost Inputs'!$J$197+'Cost Inputs'!$K$197)&gt;0), 'Cost Inputs'!$I$197+'Cost Inputs'!$J$197+'Cost Inputs'!$K$197, "")</f>
        <v/>
      </c>
      <c r="K804" s="93" t="str">
        <f t="shared" si="481"/>
        <v/>
      </c>
      <c r="L804" s="93"/>
      <c r="M804" s="109"/>
      <c r="O804" s="93" t="str">
        <f>IF(ISNUMBER($B776), IF($C804&lt;&gt;"", IF('Cost Inputs'!$L$197="Y", $E804, IF('Cost Inputs'!$L$197="N", IF(ISNUMBER('Cost Inputs'!$M$197), $E804, ""),"")),""),"")</f>
        <v/>
      </c>
      <c r="P804" s="93" t="str">
        <f>IF(ISNUMBER($B776), IF($C804&lt;&gt;"", IF('Cost Inputs'!$L$197="Y", $E804, IF('Cost Inputs'!$L$197="N", IF(ISNUMBER('Cost Inputs'!$M$197), $E804, ""),"")),""),"")</f>
        <v/>
      </c>
      <c r="Q804" s="93" t="str">
        <f>IF(ISNUMBER($B776), IF($C804&lt;&gt;"", IF('Cost Inputs'!$L$197="Y", $E804, IF('Cost Inputs'!$L$197="N", IF(ISNUMBER('Cost Inputs'!$M$197), $E804, ""),"")),""),"")</f>
        <v/>
      </c>
      <c r="R804" s="93" t="str">
        <f>IF(ISNUMBER($B776), IF($C804&lt;&gt;"", IF('Cost Inputs'!$L$197="Y", $E804, IF('Cost Inputs'!$L$197="N", IF(ISNUMBER('Cost Inputs'!$M$197), $E804, ""),"")),""),"")</f>
        <v/>
      </c>
      <c r="S804" s="93" t="str">
        <f>IF(ISNUMBER($B776), IF($C804&lt;&gt;"", IF('Cost Inputs'!$L$197="Y", $E804, IF('Cost Inputs'!$L$197="N", IF(ISNUMBER('Cost Inputs'!$M$197), $E804, ""),"")),""),"")</f>
        <v/>
      </c>
      <c r="T804" s="93" t="str">
        <f>IF(ISNUMBER($B776), IF($C804&lt;&gt;"", IF('Cost Inputs'!$L$197="Y", $E804, IF('Cost Inputs'!$L$197="N", IF(ISNUMBER('Cost Inputs'!$M$197), $E804, ""),"")),""),"")</f>
        <v/>
      </c>
      <c r="U804" s="93" t="str">
        <f>IF(ISNUMBER($B776), IF($C804&lt;&gt;"", IF('Cost Inputs'!$L$197="Y", $E804, IF('Cost Inputs'!$L$197="N", IF(ISNUMBER('Cost Inputs'!$M$197), $E804, ""),"")),""),"")</f>
        <v/>
      </c>
      <c r="V804" s="93" t="str">
        <f>IF(ISNUMBER($B776), IF($C804&lt;&gt;"", IF('Cost Inputs'!$L$197="Y", $E804, IF('Cost Inputs'!$L$197="N", IF(ISNUMBER('Cost Inputs'!$M$197), $E804, ""),"")),""),"")</f>
        <v/>
      </c>
      <c r="W804" s="93" t="str">
        <f>IF(ISNUMBER($B776), IF($C804&lt;&gt;"", IF('Cost Inputs'!$L$197="Y", $E804, IF('Cost Inputs'!$L$197="N", IF(ISNUMBER('Cost Inputs'!$M$197), $E804, ""),"")),""),"")</f>
        <v/>
      </c>
      <c r="X804" s="93" t="str">
        <f>IF(ISNUMBER($B776), IF($C804&lt;&gt;"", IF('Cost Inputs'!$L$197="Y", $E804, IF('Cost Inputs'!$L$197="N", IF(ISNUMBER('Cost Inputs'!$M$197), $E804, ""),"")),""),"")</f>
        <v/>
      </c>
    </row>
    <row r="805" spans="1:25" x14ac:dyDescent="0.25">
      <c r="A805" s="518"/>
      <c r="B805" s="504"/>
      <c r="C805" s="521" t="str">
        <f>IF(AND(B776&lt;&gt;"", ISNUMBER(B776), ISNUMBER(Stage4EvaluationBegins)), IF((INDEX(ProgramYearStage4,MATCH(Stage4EvaluationBegins,Years_in_Stage4,0)))=B776, _6_5_0, IF(AND(B776&lt;&gt;"", ISNUMBER(B776), OR(Stage4EvaluationBegins=0, Stage4EvaluationBegins="")),"", "")),"")</f>
        <v/>
      </c>
      <c r="D805" s="94" t="str">
        <f>IF(AND(C805&lt;&gt;"", 'Cost Inputs'!$G$198&lt;&gt;""), 'Cost Inputs'!$G$198, "")</f>
        <v/>
      </c>
      <c r="E805" s="94" t="str">
        <f>IF(AND(C805&lt;&gt;"", 'Cost Inputs'!$H$198&lt;&gt;""), 'Cost Inputs'!$H$198, "")</f>
        <v/>
      </c>
      <c r="F805" s="492" t="str">
        <f>IF(AND(C805&lt;&gt;"", 'Cost Inputs'!$I$198&lt;&gt;""), 'Cost Inputs'!$I$198, "")</f>
        <v/>
      </c>
      <c r="G805" s="102" t="str">
        <f t="shared" si="482"/>
        <v/>
      </c>
      <c r="H805" s="492" t="str">
        <f>IF(AND(C805&lt;&gt;"", 'Cost Inputs'!$J$198&lt;&gt;""), 'Cost Inputs'!$J$198, "")</f>
        <v/>
      </c>
      <c r="I805" s="102" t="str">
        <f>IF($C805&lt;&gt;"",IF(AND($E805&lt;&gt;"",H805&lt;&gt;""), H805/$E805, 0),"")</f>
        <v/>
      </c>
      <c r="J805" s="492" t="str">
        <f>IF(AND(C805&lt;&gt;"",('Cost Inputs'!$I$198+'Cost Inputs'!$J$198+'Cost Inputs'!$K$198)&gt;0), 'Cost Inputs'!$I$198+'Cost Inputs'!$J$198+'Cost Inputs'!$K$198, "")</f>
        <v/>
      </c>
      <c r="K805" s="102" t="str">
        <f>IF($C805&lt;&gt;"",IF(AND($E805&lt;&gt;"",J805&lt;&gt;""), J805/$E805, 0),"")</f>
        <v/>
      </c>
      <c r="L805" s="94"/>
      <c r="M805" s="103"/>
      <c r="O805" s="492" t="str">
        <f>IF(ISNUMBER($B776), IF($C805&lt;&gt;"", IF('Cost Inputs'!$L$198="Y", $E805, IF('Cost Inputs'!$L$198="N", IF(ISNUMBER('Cost Inputs'!$M$198), $E805, ""),"")),""),"")</f>
        <v/>
      </c>
      <c r="P805" s="492" t="str">
        <f>IF(ISNUMBER($B776), IF($C805&lt;&gt;"", IF('Cost Inputs'!$L$198="Y", $E805, IF('Cost Inputs'!$L$198="N", IF(ISNUMBER('Cost Inputs'!$M$198), $E805, ""),"")),""),"")</f>
        <v/>
      </c>
      <c r="Q805" s="492" t="str">
        <f>IF(ISNUMBER($B776), IF($C805&lt;&gt;"", IF('Cost Inputs'!$L$198="Y", $E805, IF('Cost Inputs'!$L$198="N", IF(ISNUMBER('Cost Inputs'!$M$198), $E805, ""),"")),""),"")</f>
        <v/>
      </c>
      <c r="R805" s="492" t="str">
        <f>IF(ISNUMBER($B776), IF($C805&lt;&gt;"", IF('Cost Inputs'!$L$198="Y", $E805, IF('Cost Inputs'!$L$198="N", IF(ISNUMBER('Cost Inputs'!$M$198), $E805, ""),"")),""),"")</f>
        <v/>
      </c>
      <c r="S805" s="492" t="str">
        <f>IF(ISNUMBER($B776), IF($C805&lt;&gt;"", IF('Cost Inputs'!$L$198="Y", $E805, IF('Cost Inputs'!$L$198="N", IF(ISNUMBER('Cost Inputs'!$M$198), $E805, ""),"")),""),"")</f>
        <v/>
      </c>
      <c r="T805" s="492" t="str">
        <f>IF(ISNUMBER($B776), IF($C805&lt;&gt;"", IF('Cost Inputs'!$L$198="Y", $E805, IF('Cost Inputs'!$L$198="N", IF(ISNUMBER('Cost Inputs'!$M$198), $E805, ""),"")),""),"")</f>
        <v/>
      </c>
      <c r="U805" s="492" t="str">
        <f>IF(ISNUMBER($B776), IF($C805&lt;&gt;"", IF('Cost Inputs'!$L$198="Y", $E805, IF('Cost Inputs'!$L$198="N", IF(ISNUMBER('Cost Inputs'!$M$198), $E805, ""),"")),""),"")</f>
        <v/>
      </c>
      <c r="V805" s="492" t="str">
        <f>IF(ISNUMBER($B776), IF($C805&lt;&gt;"", IF('Cost Inputs'!$L$198="Y", $E805, IF('Cost Inputs'!$L$198="N", IF(ISNUMBER('Cost Inputs'!$M$198), $E805, ""),"")),""),"")</f>
        <v/>
      </c>
      <c r="W805" s="492" t="str">
        <f>IF(ISNUMBER($B776), IF($C805&lt;&gt;"", IF('Cost Inputs'!$L$198="Y", $E805, IF('Cost Inputs'!$L$198="N", IF(ISNUMBER('Cost Inputs'!$M$198), $E805, ""),"")),""),"")</f>
        <v/>
      </c>
      <c r="X805" s="492" t="str">
        <f>IF(ISNUMBER($B776), IF($C805&lt;&gt;"", IF('Cost Inputs'!$L$198="Y", $E805, IF('Cost Inputs'!$L$198="N", IF(ISNUMBER('Cost Inputs'!$M$198), $E805, ""),"")),""),"")</f>
        <v/>
      </c>
    </row>
    <row r="806" spans="1:25" x14ac:dyDescent="0.25">
      <c r="A806" s="518"/>
      <c r="B806" s="504"/>
      <c r="C806" s="521"/>
      <c r="D806" s="94" t="str">
        <f>IF(AND(C805&lt;&gt;"", 'Cost Inputs'!$G$199&lt;&gt;""), 'Cost Inputs'!$G$199, "")</f>
        <v/>
      </c>
      <c r="E806" s="94" t="str">
        <f>IF(AND(C805&lt;&gt;"", 'Cost Inputs'!$H$199&lt;&gt;""), 'Cost Inputs'!$H$199, "")</f>
        <v/>
      </c>
      <c r="F806" s="492"/>
      <c r="G806" s="102" t="str">
        <f t="shared" si="482"/>
        <v/>
      </c>
      <c r="H806" s="492"/>
      <c r="I806" s="102" t="str">
        <f>IF($C805&lt;&gt;"", IF(AND($E806&lt;&gt;"", H805&lt;&gt;""), H805/($E805*$E806), 0), "")</f>
        <v/>
      </c>
      <c r="J806" s="492" t="str">
        <f>IF(AND(C806&lt;&gt;"",('Cost Inputs'!$I$86+'Cost Inputs'!$J$86+'Cost Inputs'!$K$86)&gt;0), 'Cost Inputs'!$I$86+'Cost Inputs'!$J$86+'Cost Inputs'!$K$86, "")</f>
        <v/>
      </c>
      <c r="K806" s="102" t="str">
        <f>IF($C805&lt;&gt;"", IF(AND($E806&lt;&gt;"", J805&lt;&gt;""), J805/($E805*$E806), 0), "")</f>
        <v/>
      </c>
      <c r="L806" s="94"/>
      <c r="M806" s="103"/>
      <c r="O806" s="492" t="str">
        <f>IF(ISNUMBER($B$776), IF($C806&lt;&gt;"", IF('Cost Inputs'!$L199="Y", $E806, IF('Cost Inputs'!$L199="N", IF(ISNUMBER('Cost Inputs'!$M199), $E806, ""),"")),""),"")</f>
        <v/>
      </c>
      <c r="P806" s="492" t="str">
        <f>IF(ISNUMBER($B$776), IF($C806&lt;&gt;"", IF('Cost Inputs'!$L199="Y", $E806, IF('Cost Inputs'!$L199="N", IF(ISNUMBER('Cost Inputs'!$M199), $E806, ""),"")),""),"")</f>
        <v/>
      </c>
      <c r="Q806" s="492" t="str">
        <f>IF(ISNUMBER($B$776), IF($C806&lt;&gt;"", IF('Cost Inputs'!$L199="Y", $E806, IF('Cost Inputs'!$L199="N", IF(ISNUMBER('Cost Inputs'!$M199), $E806, ""),"")),""),"")</f>
        <v/>
      </c>
      <c r="R806" s="492" t="str">
        <f>IF(ISNUMBER($B$776), IF($C806&lt;&gt;"", IF('Cost Inputs'!$L199="Y", $E806, IF('Cost Inputs'!$L199="N", IF(ISNUMBER('Cost Inputs'!$M199), $E806, ""),"")),""),"")</f>
        <v/>
      </c>
      <c r="S806" s="492" t="str">
        <f>IF(ISNUMBER($B$776), IF($C806&lt;&gt;"", IF('Cost Inputs'!$L199="Y", $E806, IF('Cost Inputs'!$L199="N", IF(ISNUMBER('Cost Inputs'!$M199), $E806, ""),"")),""),"")</f>
        <v/>
      </c>
      <c r="T806" s="492" t="str">
        <f>IF(ISNUMBER($B$776), IF($C806&lt;&gt;"", IF('Cost Inputs'!$L199="Y", $E806, IF('Cost Inputs'!$L199="N", IF(ISNUMBER('Cost Inputs'!$M199), $E806, ""),"")),""),"")</f>
        <v/>
      </c>
      <c r="U806" s="492" t="str">
        <f>IF(ISNUMBER($B$776), IF($C806&lt;&gt;"", IF('Cost Inputs'!$L199="Y", $E806, IF('Cost Inputs'!$L199="N", IF(ISNUMBER('Cost Inputs'!$M199), $E806, ""),"")),""),"")</f>
        <v/>
      </c>
      <c r="V806" s="492" t="str">
        <f>IF(ISNUMBER($B$776), IF($C806&lt;&gt;"", IF('Cost Inputs'!$L199="Y", $E806, IF('Cost Inputs'!$L199="N", IF(ISNUMBER('Cost Inputs'!$M199), $E806, ""),"")),""),"")</f>
        <v/>
      </c>
      <c r="W806" s="492" t="str">
        <f>IF(ISNUMBER($B$776), IF($C806&lt;&gt;"", IF('Cost Inputs'!$L199="Y", $E806, IF('Cost Inputs'!$L199="N", IF(ISNUMBER('Cost Inputs'!$M199), $E806, ""),"")),""),"")</f>
        <v/>
      </c>
      <c r="X806" s="492" t="str">
        <f>IF(ISNUMBER($B$776), IF($C806&lt;&gt;"", IF('Cost Inputs'!$L199="Y", $E806, IF('Cost Inputs'!$L199="N", IF(ISNUMBER('Cost Inputs'!$M199), $E806, ""),"")),""),"")</f>
        <v/>
      </c>
    </row>
    <row r="807" spans="1:25" x14ac:dyDescent="0.25">
      <c r="A807" s="518"/>
      <c r="B807" s="504"/>
      <c r="C807" s="376" t="str">
        <f>IF(AND(ISNUMBER(B776), C805&lt;&gt;"", OR('Cost Inputs'!$H$200&lt;&gt;"", 'Cost Inputs'!$I$200&lt;&gt;"", 'Cost Inputs'!$J$200&lt;&gt;"")), _6_5_1, "")</f>
        <v/>
      </c>
      <c r="D807" s="17" t="str">
        <f>IF(AND(C807&lt;&gt;"", 'Cost Inputs'!$G$200&lt;&gt;""), 'Cost Inputs'!$G$200, "")</f>
        <v/>
      </c>
      <c r="E807" s="17" t="str">
        <f>IF(AND(C807&lt;&gt;"", 'Cost Inputs'!$H$200&lt;&gt;""), 'Cost Inputs'!$H$200, "")</f>
        <v/>
      </c>
      <c r="F807" s="493" t="str">
        <f>IF(AND(C807&lt;&gt;"", 'Cost Inputs'!$I$200&lt;&gt;""), 'Cost Inputs'!$I$200, "")</f>
        <v/>
      </c>
      <c r="G807" s="105" t="str">
        <f t="shared" si="482"/>
        <v/>
      </c>
      <c r="H807" s="493" t="str">
        <f>IF(AND(C807&lt;&gt;"", 'Cost Inputs'!$J$200&lt;&gt;""), 'Cost Inputs'!$J$200, "")</f>
        <v/>
      </c>
      <c r="I807" s="105" t="str">
        <f>IF($C807&lt;&gt;"",IF(AND($E807&lt;&gt;"",H807&lt;&gt;""), H807/$E807, 0),"")</f>
        <v/>
      </c>
      <c r="J807" s="493" t="str">
        <f>IF(AND(C807&lt;&gt;"",('Cost Inputs'!$I$200+'Cost Inputs'!$J$200+'Cost Inputs'!$K$200)&gt;0), 'Cost Inputs'!$I$200+'Cost Inputs'!$J$200+'Cost Inputs'!$K$200, "")</f>
        <v/>
      </c>
      <c r="K807" s="105" t="str">
        <f>IF($C807&lt;&gt;"",IF(AND($E807&lt;&gt;"",J807&lt;&gt;""), J807/$E807, 0),"")</f>
        <v/>
      </c>
      <c r="M807" s="106"/>
      <c r="O807" s="493" t="str">
        <f>IF(ISNUMBER($B776), IF($C807&lt;&gt;"", IF('Cost Inputs'!$L$200="Y", $E807, IF('Cost Inputs'!$L$200="N", IF(ISNUMBER('Cost Inputs'!$M$200), $E807, ""),"")),""),"")</f>
        <v/>
      </c>
      <c r="P807" s="493" t="str">
        <f>IF(ISNUMBER($B776), IF($C807&lt;&gt;"", IF('Cost Inputs'!$L$200="Y", $E807, IF('Cost Inputs'!$L$200="N", IF(ISNUMBER('Cost Inputs'!$M$200), $E807, ""),"")),""),"")</f>
        <v/>
      </c>
      <c r="Q807" s="493" t="str">
        <f>IF(ISNUMBER($B776), IF($C807&lt;&gt;"", IF('Cost Inputs'!$L$200="Y", $E807, IF('Cost Inputs'!$L$200="N", IF(ISNUMBER('Cost Inputs'!$M$200), $E807, ""),"")),""),"")</f>
        <v/>
      </c>
      <c r="R807" s="493" t="str">
        <f>IF(ISNUMBER($B776), IF($C807&lt;&gt;"", IF('Cost Inputs'!$L$200="Y", $E807, IF('Cost Inputs'!$L$200="N", IF(ISNUMBER('Cost Inputs'!$M$200), $E807, ""),"")),""),"")</f>
        <v/>
      </c>
      <c r="S807" s="493" t="str">
        <f>IF(ISNUMBER($B776), IF($C807&lt;&gt;"", IF('Cost Inputs'!$L$200="Y", $E807, IF('Cost Inputs'!$L$200="N", IF(ISNUMBER('Cost Inputs'!$M$200), $E807, ""),"")),""),"")</f>
        <v/>
      </c>
      <c r="T807" s="493" t="str">
        <f>IF(ISNUMBER($B776), IF($C807&lt;&gt;"", IF('Cost Inputs'!$L$200="Y", $E807, IF('Cost Inputs'!$L$200="N", IF(ISNUMBER('Cost Inputs'!$M$200), $E807, ""),"")),""),"")</f>
        <v/>
      </c>
      <c r="U807" s="493" t="str">
        <f>IF(ISNUMBER($B776), IF($C807&lt;&gt;"", IF('Cost Inputs'!$L$200="Y", $E807, IF('Cost Inputs'!$L$200="N", IF(ISNUMBER('Cost Inputs'!$M$200), $E807, ""),"")),""),"")</f>
        <v/>
      </c>
      <c r="V807" s="493" t="str">
        <f>IF(ISNUMBER($B776), IF($C807&lt;&gt;"", IF('Cost Inputs'!$L$200="Y", $E807, IF('Cost Inputs'!$L$200="N", IF(ISNUMBER('Cost Inputs'!$M$200), $E807, ""),"")),""),"")</f>
        <v/>
      </c>
      <c r="W807" s="493" t="str">
        <f>IF(ISNUMBER($B776), IF($C807&lt;&gt;"", IF('Cost Inputs'!$L$200="Y", $E807, IF('Cost Inputs'!$L$200="N", IF(ISNUMBER('Cost Inputs'!$M$200), $E807, ""),"")),""),"")</f>
        <v/>
      </c>
      <c r="X807" s="493" t="str">
        <f>IF(ISNUMBER($B776), IF($C807&lt;&gt;"", IF('Cost Inputs'!$L$200="Y", $E807, IF('Cost Inputs'!$L$200="N", IF(ISNUMBER('Cost Inputs'!$M$200), $E807, ""),"")),""),"")</f>
        <v/>
      </c>
    </row>
    <row r="808" spans="1:25" x14ac:dyDescent="0.25">
      <c r="A808" s="518"/>
      <c r="B808" s="504"/>
      <c r="C808" s="376" t="str">
        <f>IF(AND(ISNUMBER(B790), OR('Cost Inputs'!$H$85&lt;&gt;"", 'Cost Inputs'!$I$85&lt;&gt;"", 'Cost Inputs'!$J$85&lt;&gt;"")), _3_5_1, "")</f>
        <v/>
      </c>
      <c r="D808" s="17" t="str">
        <f>IF(AND(C807&lt;&gt;"", 'Cost Inputs'!$G$201&lt;&gt;""), 'Cost Inputs'!$G$201, "")</f>
        <v/>
      </c>
      <c r="E808" s="17" t="str">
        <f>IF(AND(C807&lt;&gt;"", 'Cost Inputs'!$H$201&lt;&gt;""), 'Cost Inputs'!$H$201, "")</f>
        <v/>
      </c>
      <c r="F808" s="493"/>
      <c r="G808" s="105" t="str">
        <f t="shared" si="482"/>
        <v/>
      </c>
      <c r="H808" s="493"/>
      <c r="I808" s="105" t="str">
        <f>IF($C807&lt;&gt;"", IF(AND($E808&lt;&gt;"", H807&lt;&gt;""), H807/($E807*$E808), 0), "")</f>
        <v/>
      </c>
      <c r="J808" s="493" t="str">
        <f>IF(AND(C808&lt;&gt;"",('Cost Inputs'!$I$86+'Cost Inputs'!$J$86+'Cost Inputs'!$K$86)&gt;0), 'Cost Inputs'!$I$86+'Cost Inputs'!$J$86+'Cost Inputs'!$K$86, "")</f>
        <v/>
      </c>
      <c r="K808" s="105" t="str">
        <f>IF($C807&lt;&gt;"", IF(AND($E808&lt;&gt;"", J807&lt;&gt;""), J807/($E807*$E808), 0), "")</f>
        <v/>
      </c>
      <c r="M808" s="106"/>
      <c r="O808" s="493" t="str">
        <f>IF(ISNUMBER($B$776), IF($C808&lt;&gt;"", IF('Cost Inputs'!$L201="Y", $E808, IF('Cost Inputs'!$L201="N", IF(ISNUMBER('Cost Inputs'!$M201), $E808, ""),"")),""),"")</f>
        <v/>
      </c>
      <c r="P808" s="493" t="str">
        <f>IF(ISNUMBER($B$776), IF($C808&lt;&gt;"", IF('Cost Inputs'!$L201="Y", $E808, IF('Cost Inputs'!$L201="N", IF(ISNUMBER('Cost Inputs'!$M201), $E808, ""),"")),""),"")</f>
        <v/>
      </c>
      <c r="Q808" s="493" t="str">
        <f>IF(ISNUMBER($B$776), IF($C808&lt;&gt;"", IF('Cost Inputs'!$L201="Y", $E808, IF('Cost Inputs'!$L201="N", IF(ISNUMBER('Cost Inputs'!$M201), $E808, ""),"")),""),"")</f>
        <v/>
      </c>
      <c r="R808" s="493" t="str">
        <f>IF(ISNUMBER($B$776), IF($C808&lt;&gt;"", IF('Cost Inputs'!$L201="Y", $E808, IF('Cost Inputs'!$L201="N", IF(ISNUMBER('Cost Inputs'!$M201), $E808, ""),"")),""),"")</f>
        <v/>
      </c>
      <c r="S808" s="493" t="str">
        <f>IF(ISNUMBER($B$776), IF($C808&lt;&gt;"", IF('Cost Inputs'!$L201="Y", $E808, IF('Cost Inputs'!$L201="N", IF(ISNUMBER('Cost Inputs'!$M201), $E808, ""),"")),""),"")</f>
        <v/>
      </c>
      <c r="T808" s="493" t="str">
        <f>IF(ISNUMBER($B$776), IF($C808&lt;&gt;"", IF('Cost Inputs'!$L201="Y", $E808, IF('Cost Inputs'!$L201="N", IF(ISNUMBER('Cost Inputs'!$M201), $E808, ""),"")),""),"")</f>
        <v/>
      </c>
      <c r="U808" s="493" t="str">
        <f>IF(ISNUMBER($B$776), IF($C808&lt;&gt;"", IF('Cost Inputs'!$L201="Y", $E808, IF('Cost Inputs'!$L201="N", IF(ISNUMBER('Cost Inputs'!$M201), $E808, ""),"")),""),"")</f>
        <v/>
      </c>
      <c r="V808" s="493" t="str">
        <f>IF(ISNUMBER($B$776), IF($C808&lt;&gt;"", IF('Cost Inputs'!$L201="Y", $E808, IF('Cost Inputs'!$L201="N", IF(ISNUMBER('Cost Inputs'!$M201), $E808, ""),"")),""),"")</f>
        <v/>
      </c>
      <c r="W808" s="493" t="str">
        <f>IF(ISNUMBER($B$776), IF($C808&lt;&gt;"", IF('Cost Inputs'!$L201="Y", $E808, IF('Cost Inputs'!$L201="N", IF(ISNUMBER('Cost Inputs'!$M201), $E808, ""),"")),""),"")</f>
        <v/>
      </c>
      <c r="X808" s="493" t="str">
        <f>IF(ISNUMBER($B$776), IF($C808&lt;&gt;"", IF('Cost Inputs'!$L201="Y", $E808, IF('Cost Inputs'!$L201="N", IF(ISNUMBER('Cost Inputs'!$M201), $E808, ""),"")),""),"")</f>
        <v/>
      </c>
    </row>
    <row r="809" spans="1:25" x14ac:dyDescent="0.25">
      <c r="A809" s="518"/>
      <c r="B809" s="504"/>
      <c r="C809" s="107" t="str">
        <f>IF(AND(ISNUMBER(B776), C805&lt;&gt;"", OR('Cost Inputs'!$H$202&lt;&gt;"", 'Cost Inputs'!$I$202&lt;&gt;"", 'Cost Inputs'!$J$202&lt;&gt;"")), _6_5_2, "")</f>
        <v/>
      </c>
      <c r="D809" s="93" t="str">
        <f>IF(AND(C809&lt;&gt;"", 'Cost Inputs'!$G$202&lt;&gt;""), 'Cost Inputs'!$G$202, "")</f>
        <v/>
      </c>
      <c r="E809" s="93" t="str">
        <f>IF(AND(C809&lt;&gt;"", 'Cost Inputs'!$H$202&lt;&gt;""), 'Cost Inputs'!$H$202, "")</f>
        <v/>
      </c>
      <c r="F809" s="93" t="str">
        <f>IF(AND(C809&lt;&gt;"", 'Cost Inputs'!$I$202&lt;&gt;""), 'Cost Inputs'!$I$202, "")</f>
        <v/>
      </c>
      <c r="G809" s="108" t="str">
        <f t="shared" si="482"/>
        <v/>
      </c>
      <c r="H809" s="93" t="str">
        <f>IF(AND(C809&lt;&gt;"", 'Cost Inputs'!$J$202&lt;&gt;""), 'Cost Inputs'!$J$202, "")</f>
        <v/>
      </c>
      <c r="I809" s="93" t="str">
        <f>IF($C809&lt;&gt;"", IF(AND($E809&lt;&gt;"", H809&lt;&gt;""), H809/$E809, 0),"")</f>
        <v/>
      </c>
      <c r="J809" s="93" t="str">
        <f>IF(AND(C809&lt;&gt;"",('Cost Inputs'!$I$202+'Cost Inputs'!$J$202+'Cost Inputs'!$K$202)&gt;0), 'Cost Inputs'!$I$202+'Cost Inputs'!$J$202+'Cost Inputs'!$K$202, "")</f>
        <v/>
      </c>
      <c r="K809" s="93" t="str">
        <f>IF($C809&lt;&gt;"", IF(AND($E809&lt;&gt;"", J809&lt;&gt;""), J809/$E809, 0),"")</f>
        <v/>
      </c>
      <c r="L809" s="93"/>
      <c r="M809" s="109"/>
      <c r="O809" s="93" t="str">
        <f>IF(ISNUMBER($B776), IF($C809&lt;&gt;"", IF('Cost Inputs'!$L$202="Y", $E809, IF('Cost Inputs'!$L$202="N", IF(ISNUMBER('Cost Inputs'!$M$202), $E809, ""),"")),""),"")</f>
        <v/>
      </c>
      <c r="P809" s="93" t="str">
        <f>IF(ISNUMBER($B776), IF($C809&lt;&gt;"", IF('Cost Inputs'!$L$202="Y", $E809, IF('Cost Inputs'!$L$202="N", IF(ISNUMBER('Cost Inputs'!$M$202), $E809, ""),"")),""),"")</f>
        <v/>
      </c>
      <c r="Q809" s="93" t="str">
        <f>IF(ISNUMBER($B776), IF($C809&lt;&gt;"", IF('Cost Inputs'!$L$202="Y", $E809, IF('Cost Inputs'!$L$202="N", IF(ISNUMBER('Cost Inputs'!$M$202), $E809, ""),"")),""),"")</f>
        <v/>
      </c>
      <c r="R809" s="93" t="str">
        <f>IF(ISNUMBER($B776), IF($C809&lt;&gt;"", IF('Cost Inputs'!$L$202="Y", $E809, IF('Cost Inputs'!$L$202="N", IF(ISNUMBER('Cost Inputs'!$M$202), $E809, ""),"")),""),"")</f>
        <v/>
      </c>
      <c r="S809" s="93" t="str">
        <f>IF(ISNUMBER($B776), IF($C809&lt;&gt;"", IF('Cost Inputs'!$L$202="Y", $E809, IF('Cost Inputs'!$L$202="N", IF(ISNUMBER('Cost Inputs'!$M$202), $E809, ""),"")),""),"")</f>
        <v/>
      </c>
      <c r="T809" s="93" t="str">
        <f>IF(ISNUMBER($B776), IF($C809&lt;&gt;"", IF('Cost Inputs'!$L$202="Y", $E809, IF('Cost Inputs'!$L$202="N", IF(ISNUMBER('Cost Inputs'!$M$202), $E809, ""),"")),""),"")</f>
        <v/>
      </c>
      <c r="U809" s="93" t="str">
        <f>IF(ISNUMBER($B776), IF($C809&lt;&gt;"", IF('Cost Inputs'!$L$202="Y", $E809, IF('Cost Inputs'!$L$202="N", IF(ISNUMBER('Cost Inputs'!$M$202), $E809, ""),"")),""),"")</f>
        <v/>
      </c>
      <c r="V809" s="93" t="str">
        <f>IF(ISNUMBER($B776), IF($C809&lt;&gt;"", IF('Cost Inputs'!$L$202="Y", $E809, IF('Cost Inputs'!$L$202="N", IF(ISNUMBER('Cost Inputs'!$M$202), $E809, ""),"")),""),"")</f>
        <v/>
      </c>
      <c r="W809" s="93" t="str">
        <f>IF(ISNUMBER($B776), IF($C809&lt;&gt;"", IF('Cost Inputs'!$L$202="Y", $E809, IF('Cost Inputs'!$L$202="N", IF(ISNUMBER('Cost Inputs'!$M$202), $E809, ""),"")),""),"")</f>
        <v/>
      </c>
      <c r="X809" s="93" t="str">
        <f>IF(ISNUMBER($B776), IF($C809&lt;&gt;"", IF('Cost Inputs'!$L$202="Y", $E809, IF('Cost Inputs'!$L$202="N", IF(ISNUMBER('Cost Inputs'!$M$202), $E809, ""),"")),""),"")</f>
        <v/>
      </c>
    </row>
    <row r="810" spans="1:25" x14ac:dyDescent="0.25">
      <c r="A810" s="518"/>
      <c r="B810" s="504"/>
      <c r="C810" s="104" t="str">
        <f>IF(AND(ISNUMBER(B776), C805&lt;&gt;"", OR('Cost Inputs'!$H$203&lt;&gt;"", 'Cost Inputs'!$I$203&lt;&gt;"", 'Cost Inputs'!$J$203&lt;&gt;"")), _6_5_3, "")</f>
        <v/>
      </c>
      <c r="D810" s="17" t="str">
        <f>IF(AND(C810&lt;&gt;"", 'Cost Inputs'!$G$203&lt;&gt;""), 'Cost Inputs'!$G$203, "")</f>
        <v/>
      </c>
      <c r="E810" s="17" t="str">
        <f>IF(AND(C810&lt;&gt;"", 'Cost Inputs'!$H$203&lt;&gt;""), 'Cost Inputs'!$H$203, "")</f>
        <v/>
      </c>
      <c r="F810" s="17" t="str">
        <f>IF(AND(C810&lt;&gt;"", 'Cost Inputs'!$I$203&lt;&gt;""), 'Cost Inputs'!$I$203, "")</f>
        <v/>
      </c>
      <c r="G810" s="105" t="str">
        <f t="shared" si="482"/>
        <v/>
      </c>
      <c r="H810" s="17" t="str">
        <f>IF(AND(C810&lt;&gt;"", 'Cost Inputs'!$J$203&lt;&gt;""), 'Cost Inputs'!$J$203, "")</f>
        <v/>
      </c>
      <c r="I810" s="17" t="str">
        <f>IF($C810&lt;&gt;"", IF(AND($E810&lt;&gt;"", H810&lt;&gt;""), H810/$E810, 0),"")</f>
        <v/>
      </c>
      <c r="J810" s="17" t="str">
        <f>IF(AND(C810&lt;&gt;"",('Cost Inputs'!$I$203+'Cost Inputs'!$J$203+'Cost Inputs'!$K$203)&gt;0), 'Cost Inputs'!$I$203+'Cost Inputs'!$J$203+'Cost Inputs'!$K$203, "")</f>
        <v/>
      </c>
      <c r="K810" s="17" t="str">
        <f>IF($C810&lt;&gt;"", IF(AND($E810&lt;&gt;"", J810&lt;&gt;""), J810/$E810, 0),"")</f>
        <v/>
      </c>
      <c r="M810" s="106"/>
      <c r="O810" s="17" t="str">
        <f>IF(ISNUMBER($B776), IF($C810&lt;&gt;"", IF('Cost Inputs'!$L$203="Y", $E810, IF('Cost Inputs'!$L$203="N", IF(ISNUMBER('Cost Inputs'!$M$203), $E810, ""),"")),""),"")</f>
        <v/>
      </c>
      <c r="P810" s="17" t="str">
        <f>IF(ISNUMBER($B776), IF($C810&lt;&gt;"", IF('Cost Inputs'!$L$203="Y", $E810, IF('Cost Inputs'!$L$203="N", IF(ISNUMBER('Cost Inputs'!$M$203), $E810, ""),"")),""),"")</f>
        <v/>
      </c>
      <c r="Q810" s="17" t="str">
        <f>IF(ISNUMBER($B776), IF($C810&lt;&gt;"", IF('Cost Inputs'!$L$203="Y", $E810, IF('Cost Inputs'!$L$203="N", IF(ISNUMBER('Cost Inputs'!$M$203), $E810, ""),"")),""),"")</f>
        <v/>
      </c>
      <c r="R810" s="17" t="str">
        <f>IF(ISNUMBER($B776), IF($C810&lt;&gt;"", IF('Cost Inputs'!$L$203="Y", $E810, IF('Cost Inputs'!$L$203="N", IF(ISNUMBER('Cost Inputs'!$M$203), $E810, ""),"")),""),"")</f>
        <v/>
      </c>
      <c r="S810" s="17" t="str">
        <f>IF(ISNUMBER($B776), IF($C810&lt;&gt;"", IF('Cost Inputs'!$L$203="Y", $E810, IF('Cost Inputs'!$L$203="N", IF(ISNUMBER('Cost Inputs'!$M$203), $E810, ""),"")),""),"")</f>
        <v/>
      </c>
      <c r="T810" s="17" t="str">
        <f>IF(ISNUMBER($B776), IF($C810&lt;&gt;"", IF('Cost Inputs'!$L$203="Y", $E810, IF('Cost Inputs'!$L$203="N", IF(ISNUMBER('Cost Inputs'!$M$203), $E810, ""),"")),""),"")</f>
        <v/>
      </c>
      <c r="U810" s="17" t="str">
        <f>IF(ISNUMBER($B776), IF($C810&lt;&gt;"", IF('Cost Inputs'!$L$203="Y", $E810, IF('Cost Inputs'!$L$203="N", IF(ISNUMBER('Cost Inputs'!$M$203), $E810, ""),"")),""),"")</f>
        <v/>
      </c>
      <c r="V810" s="17" t="str">
        <f>IF(ISNUMBER($B776), IF($C810&lt;&gt;"", IF('Cost Inputs'!$L$203="Y", $E810, IF('Cost Inputs'!$L$203="N", IF(ISNUMBER('Cost Inputs'!$M$203), $E810, ""),"")),""),"")</f>
        <v/>
      </c>
      <c r="W810" s="17" t="str">
        <f>IF(ISNUMBER($B776), IF($C810&lt;&gt;"", IF('Cost Inputs'!$L$203="Y", $E810, IF('Cost Inputs'!$L$203="N", IF(ISNUMBER('Cost Inputs'!$M$203), $E810, ""),"")),""),"")</f>
        <v/>
      </c>
      <c r="X810" s="17" t="str">
        <f>IF(ISNUMBER($B776), IF($C810&lt;&gt;"", IF('Cost Inputs'!$L$203="Y", $E810, IF('Cost Inputs'!$L$203="N", IF(ISNUMBER('Cost Inputs'!$M$203), $E810, ""),"")),""),"")</f>
        <v/>
      </c>
    </row>
    <row r="811" spans="1:25" x14ac:dyDescent="0.25">
      <c r="A811" s="518"/>
      <c r="B811" s="504"/>
      <c r="C811" s="107" t="str">
        <f>IF(AND(ISNUMBER(B776), C805&lt;&gt;"", OR('Cost Inputs'!$H$204&lt;&gt;"", 'Cost Inputs'!$I$204&lt;&gt;"", 'Cost Inputs'!$J$204&lt;&gt;"")), _6_5_4, "")</f>
        <v/>
      </c>
      <c r="D811" s="93" t="str">
        <f>IF(AND(C811&lt;&gt;"", 'Cost Inputs'!$G$204&lt;&gt;""), 'Cost Inputs'!$G$204, "")</f>
        <v/>
      </c>
      <c r="E811" s="93" t="str">
        <f>IF(AND(C811&lt;&gt;"", 'Cost Inputs'!$H$204&lt;&gt;""), 'Cost Inputs'!$H$204, "")</f>
        <v/>
      </c>
      <c r="F811" s="93" t="str">
        <f>IF(AND(C811&lt;&gt;"", 'Cost Inputs'!$I$204&lt;&gt;""), 'Cost Inputs'!$I$204, "")</f>
        <v/>
      </c>
      <c r="G811" s="108" t="str">
        <f t="shared" si="482"/>
        <v/>
      </c>
      <c r="H811" s="93" t="str">
        <f>IF(AND(C811&lt;&gt;"", 'Cost Inputs'!$J$204&lt;&gt;""), 'Cost Inputs'!$J$204, "")</f>
        <v/>
      </c>
      <c r="I811" s="93" t="str">
        <f>IF($C811&lt;&gt;"", IF(AND($E811&lt;&gt;"", H811&lt;&gt;""), H811/$E811, 0),"")</f>
        <v/>
      </c>
      <c r="J811" s="93" t="str">
        <f>IF(AND(C811&lt;&gt;"",('Cost Inputs'!$I$204+'Cost Inputs'!$J$204+'Cost Inputs'!$K$204)&gt;0), 'Cost Inputs'!$I$204+'Cost Inputs'!$J$204+'Cost Inputs'!$K$204, "")</f>
        <v/>
      </c>
      <c r="K811" s="93" t="str">
        <f>IF($C811&lt;&gt;"", IF(AND($E811&lt;&gt;"", J811&lt;&gt;""), J811/$E811, 0),"")</f>
        <v/>
      </c>
      <c r="L811" s="93"/>
      <c r="M811" s="109"/>
      <c r="O811" s="93" t="str">
        <f>IF(ISNUMBER($B776), IF($C811&lt;&gt;"", IF('Cost Inputs'!$L$204="Y", $E811, IF('Cost Inputs'!$L$204="N", IF(ISNUMBER('Cost Inputs'!$M$204), $E811, ""),"")),""),"")</f>
        <v/>
      </c>
      <c r="P811" s="93" t="str">
        <f>IF(ISNUMBER($B776), IF($C811&lt;&gt;"", IF('Cost Inputs'!$L$204="Y", $E811, IF('Cost Inputs'!$L$204="N", IF(ISNUMBER('Cost Inputs'!$M$204), $E811, ""),"")),""),"")</f>
        <v/>
      </c>
      <c r="Q811" s="93" t="str">
        <f>IF(ISNUMBER($B776), IF($C811&lt;&gt;"", IF('Cost Inputs'!$L$204="Y", $E811, IF('Cost Inputs'!$L$204="N", IF(ISNUMBER('Cost Inputs'!$M$204), $E811, ""),"")),""),"")</f>
        <v/>
      </c>
      <c r="R811" s="93" t="str">
        <f>IF(ISNUMBER($B776), IF($C811&lt;&gt;"", IF('Cost Inputs'!$L$204="Y", $E811, IF('Cost Inputs'!$L$204="N", IF(ISNUMBER('Cost Inputs'!$M$204), $E811, ""),"")),""),"")</f>
        <v/>
      </c>
      <c r="S811" s="93" t="str">
        <f>IF(ISNUMBER($B776), IF($C811&lt;&gt;"", IF('Cost Inputs'!$L$204="Y", $E811, IF('Cost Inputs'!$L$204="N", IF(ISNUMBER('Cost Inputs'!$M$204), $E811, ""),"")),""),"")</f>
        <v/>
      </c>
      <c r="T811" s="93" t="str">
        <f>IF(ISNUMBER($B776), IF($C811&lt;&gt;"", IF('Cost Inputs'!$L$204="Y", $E811, IF('Cost Inputs'!$L$204="N", IF(ISNUMBER('Cost Inputs'!$M$204), $E811, ""),"")),""),"")</f>
        <v/>
      </c>
      <c r="U811" s="93" t="str">
        <f>IF(ISNUMBER($B776), IF($C811&lt;&gt;"", IF('Cost Inputs'!$L$204="Y", $E811, IF('Cost Inputs'!$L$204="N", IF(ISNUMBER('Cost Inputs'!$M$204), $E811, ""),"")),""),"")</f>
        <v/>
      </c>
      <c r="V811" s="93" t="str">
        <f>IF(ISNUMBER($B776), IF($C811&lt;&gt;"", IF('Cost Inputs'!$L$204="Y", $E811, IF('Cost Inputs'!$L$204="N", IF(ISNUMBER('Cost Inputs'!$M$204), $E811, ""),"")),""),"")</f>
        <v/>
      </c>
      <c r="W811" s="93" t="str">
        <f>IF(ISNUMBER($B776), IF($C811&lt;&gt;"", IF('Cost Inputs'!$L$204="Y", $E811, IF('Cost Inputs'!$L$204="N", IF(ISNUMBER('Cost Inputs'!$M$204), $E811, ""),"")),""),"")</f>
        <v/>
      </c>
      <c r="X811" s="93" t="str">
        <f>IF(ISNUMBER($B776), IF($C811&lt;&gt;"", IF('Cost Inputs'!$L$204="Y", $E811, IF('Cost Inputs'!$L$204="N", IF(ISNUMBER('Cost Inputs'!$M$204), $E811, ""),"")),""),"")</f>
        <v/>
      </c>
    </row>
    <row r="812" spans="1:25" x14ac:dyDescent="0.25">
      <c r="A812" s="518"/>
      <c r="B812" s="504"/>
      <c r="C812" s="104" t="str">
        <f>IF(AND(ISNUMBER(B776), C805&lt;&gt;"", OR('Cost Inputs'!$H$205&lt;&gt;"", 'Cost Inputs'!$I$205&lt;&gt;"", 'Cost Inputs'!$J$205&lt;&gt;"")), _6_5_5, "")</f>
        <v/>
      </c>
      <c r="D812" s="17" t="str">
        <f>IF(AND(C812&lt;&gt;"", 'Cost Inputs'!$G$205&lt;&gt;""), 'Cost Inputs'!$G$205, "")</f>
        <v/>
      </c>
      <c r="E812" s="17" t="str">
        <f>IF(AND(C812&lt;&gt;"", 'Cost Inputs'!$H$205&lt;&gt;""), 'Cost Inputs'!$H$205, "")</f>
        <v/>
      </c>
      <c r="F812" s="17" t="str">
        <f>IF(AND(C812&lt;&gt;"", 'Cost Inputs'!$I$205&lt;&gt;""), 'Cost Inputs'!$I$205, "")</f>
        <v/>
      </c>
      <c r="G812" s="105" t="str">
        <f t="shared" si="482"/>
        <v/>
      </c>
      <c r="H812" s="17" t="str">
        <f>IF(AND(C812&lt;&gt;"", 'Cost Inputs'!$J$205&lt;&gt;""), 'Cost Inputs'!$J$205, "")</f>
        <v/>
      </c>
      <c r="I812" s="17" t="str">
        <f>IF($C812&lt;&gt;"", IF(AND($E812&lt;&gt;"", H812&lt;&gt;""), H812/$E812, 0),"")</f>
        <v/>
      </c>
      <c r="J812" s="17" t="str">
        <f>IF(AND(C812&lt;&gt;"",('Cost Inputs'!$I$205+'Cost Inputs'!$J$205+'Cost Inputs'!$K$205)&gt;0), 'Cost Inputs'!$I$205+'Cost Inputs'!$J$205+'Cost Inputs'!$K$205, "")</f>
        <v/>
      </c>
      <c r="K812" s="17" t="str">
        <f>IF($C812&lt;&gt;"", IF(AND($E812&lt;&gt;"", J812&lt;&gt;""), J812/$E812, 0),"")</f>
        <v/>
      </c>
      <c r="M812" s="106"/>
      <c r="O812" s="17" t="str">
        <f>IF(ISNUMBER($B776), IF($C812&lt;&gt;"", IF('Cost Inputs'!$L$205="Y", $E812, IF('Cost Inputs'!$L$205="N", IF(ISNUMBER('Cost Inputs'!$M$205), $E812, ""),"")),""),"")</f>
        <v/>
      </c>
      <c r="P812" s="17" t="str">
        <f>IF(ISNUMBER($B776), IF($C812&lt;&gt;"", IF('Cost Inputs'!$L$205="Y", $E812, IF('Cost Inputs'!$L$205="N", IF(ISNUMBER('Cost Inputs'!$M$205), $E812, ""),"")),""),"")</f>
        <v/>
      </c>
      <c r="Q812" s="17" t="str">
        <f>IF(ISNUMBER($B776), IF($C812&lt;&gt;"", IF('Cost Inputs'!$L$205="Y", $E812, IF('Cost Inputs'!$L$205="N", IF(ISNUMBER('Cost Inputs'!$M$205), $E812, ""),"")),""),"")</f>
        <v/>
      </c>
      <c r="R812" s="17" t="str">
        <f>IF(ISNUMBER($B776), IF($C812&lt;&gt;"", IF('Cost Inputs'!$L$205="Y", $E812, IF('Cost Inputs'!$L$205="N", IF(ISNUMBER('Cost Inputs'!$M$205), $E812, ""),"")),""),"")</f>
        <v/>
      </c>
      <c r="S812" s="17" t="str">
        <f>IF(ISNUMBER($B776), IF($C812&lt;&gt;"", IF('Cost Inputs'!$L$205="Y", $E812, IF('Cost Inputs'!$L$205="N", IF(ISNUMBER('Cost Inputs'!$M$205), $E812, ""),"")),""),"")</f>
        <v/>
      </c>
      <c r="T812" s="17" t="str">
        <f>IF(ISNUMBER($B776), IF($C812&lt;&gt;"", IF('Cost Inputs'!$L$205="Y", $E812, IF('Cost Inputs'!$L$205="N", IF(ISNUMBER('Cost Inputs'!$M$205), $E812, ""),"")),""),"")</f>
        <v/>
      </c>
      <c r="U812" s="17" t="str">
        <f>IF(ISNUMBER($B776), IF($C812&lt;&gt;"", IF('Cost Inputs'!$L$205="Y", $E812, IF('Cost Inputs'!$L$205="N", IF(ISNUMBER('Cost Inputs'!$M$205), $E812, ""),"")),""),"")</f>
        <v/>
      </c>
      <c r="V812" s="17" t="str">
        <f>IF(ISNUMBER($B776), IF($C812&lt;&gt;"", IF('Cost Inputs'!$L$205="Y", $E812, IF('Cost Inputs'!$L$205="N", IF(ISNUMBER('Cost Inputs'!$M$205), $E812, ""),"")),""),"")</f>
        <v/>
      </c>
      <c r="W812" s="17" t="str">
        <f>IF(ISNUMBER($B776), IF($C812&lt;&gt;"", IF('Cost Inputs'!$L$205="Y", $E812, IF('Cost Inputs'!$L$205="N", IF(ISNUMBER('Cost Inputs'!$M$205), $E812, ""),"")),""),"")</f>
        <v/>
      </c>
      <c r="X812" s="17" t="str">
        <f>IF(ISNUMBER($B776), IF($C812&lt;&gt;"", IF('Cost Inputs'!$L$205="Y", $E812, IF('Cost Inputs'!$L$205="N", IF(ISNUMBER('Cost Inputs'!$M$205), $E812, ""),"")),""),"")</f>
        <v/>
      </c>
    </row>
    <row r="813" spans="1:25" x14ac:dyDescent="0.25">
      <c r="A813" s="518"/>
      <c r="B813" s="504"/>
      <c r="C813" s="110" t="str">
        <f>IF(ISNUMBER(B776), _6_6_0, "")</f>
        <v/>
      </c>
      <c r="D813" s="94" t="str">
        <f>IF(AND(C813&lt;&gt;"", 'Cost Inputs'!$G$206&lt;&gt;""), 'Cost Inputs'!$G$206, "")</f>
        <v/>
      </c>
      <c r="E813" s="94" t="str">
        <f>IF(AND(C813&lt;&gt;"", 'Cost Inputs'!$H$206&lt;&gt;""), 'Cost Inputs'!$H$206, "")</f>
        <v/>
      </c>
      <c r="F813" s="94" t="str">
        <f>IF(AND(C813&lt;&gt;"", 'Cost Inputs'!$I$206&lt;&gt;""), 'Cost Inputs'!$I$206, "")</f>
        <v/>
      </c>
      <c r="G813" s="102" t="str">
        <f t="shared" si="482"/>
        <v/>
      </c>
      <c r="H813" s="94" t="str">
        <f>IF(AND(C813&lt;&gt;"", 'Cost Inputs'!$J$206&lt;&gt;""), 'Cost Inputs'!$J$206, "")</f>
        <v/>
      </c>
      <c r="I813" s="102" t="str">
        <f>IF($C813&lt;&gt;"",IF(AND($E813&lt;&gt;"",H813&lt;&gt;""), H813/$E813, 0),"")</f>
        <v/>
      </c>
      <c r="J813" s="94" t="str">
        <f>IF(AND(C813&lt;&gt;"",('Cost Inputs'!$I$206+'Cost Inputs'!$J$206+'Cost Inputs'!$K$206)&gt;0), 'Cost Inputs'!$I$206+'Cost Inputs'!$J$206+'Cost Inputs'!$K$206, "")</f>
        <v/>
      </c>
      <c r="K813" s="102" t="str">
        <f>IF($C813&lt;&gt;"",IF(AND($E813&lt;&gt;"",J813&lt;&gt;""), J813/$E813, 0),"")</f>
        <v/>
      </c>
      <c r="L813" s="94"/>
      <c r="M813" s="103"/>
      <c r="O813" s="94" t="str">
        <f>IF(ISNUMBER($B776), IF($C813&lt;&gt;"", IF('Cost Inputs'!$L$206="Y", $E813, IF('Cost Inputs'!$L$206="N", IF(ISNUMBER('Cost Inputs'!$M$206), $E813, ""),"")),""),"")</f>
        <v/>
      </c>
      <c r="P813" s="94" t="str">
        <f>IF(ISNUMBER($B776), IF($C813&lt;&gt;"", IF('Cost Inputs'!$L$206="Y", $E813, IF('Cost Inputs'!$L$206="N", IF(ISNUMBER('Cost Inputs'!$M$206), $E813, ""),"")),""),"")</f>
        <v/>
      </c>
      <c r="Q813" s="94" t="str">
        <f>IF(ISNUMBER($B776), IF($C813&lt;&gt;"", IF('Cost Inputs'!$L$206="Y", $E813, IF('Cost Inputs'!$L$206="N", IF(ISNUMBER('Cost Inputs'!$M$206), $E813, ""),"")),""),"")</f>
        <v/>
      </c>
      <c r="R813" s="94" t="str">
        <f>IF(ISNUMBER($B776), IF($C813&lt;&gt;"", IF('Cost Inputs'!$L$206="Y", $E813, IF('Cost Inputs'!$L$206="N", IF(ISNUMBER('Cost Inputs'!$M$206), $E813, ""),"")),""),"")</f>
        <v/>
      </c>
      <c r="S813" s="94" t="str">
        <f>IF(ISNUMBER($B776), IF($C813&lt;&gt;"", IF('Cost Inputs'!$L$206="Y", $E813, IF('Cost Inputs'!$L$206="N", IF(ISNUMBER('Cost Inputs'!$M$206), $E813, ""),"")),""),"")</f>
        <v/>
      </c>
      <c r="T813" s="94" t="str">
        <f>IF(ISNUMBER($B776), IF($C813&lt;&gt;"", IF('Cost Inputs'!$L$206="Y", $E813, IF('Cost Inputs'!$L$206="N", IF(ISNUMBER('Cost Inputs'!$M$206), $E813, ""),"")),""),"")</f>
        <v/>
      </c>
      <c r="U813" s="94" t="str">
        <f>IF(ISNUMBER($B776), IF($C813&lt;&gt;"", IF('Cost Inputs'!$L$206="Y", $E813, IF('Cost Inputs'!$L$206="N", IF(ISNUMBER('Cost Inputs'!$M$206), $E813, ""),"")),""),"")</f>
        <v/>
      </c>
      <c r="V813" s="94" t="str">
        <f>IF(ISNUMBER($B776), IF($C813&lt;&gt;"", IF('Cost Inputs'!$L$206="Y", $E813, IF('Cost Inputs'!$L$206="N", IF(ISNUMBER('Cost Inputs'!$M$206), $E813, ""),"")),""),"")</f>
        <v/>
      </c>
      <c r="W813" s="94" t="str">
        <f>IF(ISNUMBER($B776), IF($C813&lt;&gt;"", IF('Cost Inputs'!$L$206="Y", $E813, IF('Cost Inputs'!$L$206="N", IF(ISNUMBER('Cost Inputs'!$M$206), $E813, ""),"")),""),"")</f>
        <v/>
      </c>
      <c r="X813" s="94" t="str">
        <f>IF(ISNUMBER($B776), IF($C813&lt;&gt;"", IF('Cost Inputs'!$L$206="Y", $E813, IF('Cost Inputs'!$L$206="N", IF(ISNUMBER('Cost Inputs'!$M$206), $E813, ""),"")),""),"")</f>
        <v/>
      </c>
    </row>
    <row r="814" spans="1:25" x14ac:dyDescent="0.25">
      <c r="A814" s="518"/>
      <c r="B814" s="504"/>
      <c r="C814" s="104" t="str">
        <f>IF(AND(ISNUMBER(B776), OR('Cost Inputs'!$H$207&lt;&gt;"", 'Cost Inputs'!$I$207&lt;&gt;"", 'Cost Inputs'!$J$207&lt;&gt;"")), _6_6_1, "")</f>
        <v/>
      </c>
      <c r="D814" s="17" t="str">
        <f>IF(AND(C814&lt;&gt;"", 'Cost Inputs'!$G$207&lt;&gt;""), 'Cost Inputs'!$G$207, "")</f>
        <v/>
      </c>
      <c r="E814" s="17" t="str">
        <f>IF(AND(C814&lt;&gt;"", 'Cost Inputs'!$H$207&lt;&gt;""), 'Cost Inputs'!$H$207, "")</f>
        <v/>
      </c>
      <c r="F814" s="17" t="str">
        <f>IF(AND(C814&lt;&gt;"", 'Cost Inputs'!$I$207&lt;&gt;""), 'Cost Inputs'!$I$207, "")</f>
        <v/>
      </c>
      <c r="G814" s="105" t="str">
        <f t="shared" si="482"/>
        <v/>
      </c>
      <c r="H814" s="17" t="str">
        <f>IF(AND(C814&lt;&gt;"", 'Cost Inputs'!$J$207&lt;&gt;""), 'Cost Inputs'!$J$207, "")</f>
        <v/>
      </c>
      <c r="I814" s="17" t="str">
        <f>IF($C814&lt;&gt;"", IF(AND($E814&lt;&gt;"", H814&lt;&gt;""), H814/$E814, 0),"")</f>
        <v/>
      </c>
      <c r="J814" s="17" t="str">
        <f>IF(AND(C814&lt;&gt;"",('Cost Inputs'!$I$207+'Cost Inputs'!$J$207+'Cost Inputs'!$K$207)&gt;0), 'Cost Inputs'!$I$207+'Cost Inputs'!$J$207+'Cost Inputs'!$K$207, "")</f>
        <v/>
      </c>
      <c r="K814" s="17" t="str">
        <f>IF($C814&lt;&gt;"", IF(AND($E814&lt;&gt;"", J814&lt;&gt;""), J814/$E814, 0),"")</f>
        <v/>
      </c>
      <c r="M814" s="106"/>
      <c r="O814" s="17" t="str">
        <f>IF(ISNUMBER($B776), IF($C814&lt;&gt;"", IF('Cost Inputs'!$L$207="Y", $E814, IF('Cost Inputs'!$L$207="N", IF(ISNUMBER('Cost Inputs'!$M$207), $E814, ""),"")),""),"")</f>
        <v/>
      </c>
      <c r="P814" s="17" t="str">
        <f>IF(ISNUMBER($B776), IF($C814&lt;&gt;"", IF('Cost Inputs'!$L$207="Y", $E814, IF('Cost Inputs'!$L$207="N", IF(ISNUMBER('Cost Inputs'!$M$207), $E814, ""),"")),""),"")</f>
        <v/>
      </c>
      <c r="Q814" s="17" t="str">
        <f>IF(ISNUMBER($B776), IF($C814&lt;&gt;"", IF('Cost Inputs'!$L$207="Y", $E814, IF('Cost Inputs'!$L$207="N", IF(ISNUMBER('Cost Inputs'!$M$207), $E814, ""),"")),""),"")</f>
        <v/>
      </c>
      <c r="R814" s="17" t="str">
        <f>IF(ISNUMBER($B776), IF($C814&lt;&gt;"", IF('Cost Inputs'!$L$207="Y", $E814, IF('Cost Inputs'!$L$207="N", IF(ISNUMBER('Cost Inputs'!$M$207), $E814, ""),"")),""),"")</f>
        <v/>
      </c>
      <c r="S814" s="17" t="str">
        <f>IF(ISNUMBER($B776), IF($C814&lt;&gt;"", IF('Cost Inputs'!$L$207="Y", $E814, IF('Cost Inputs'!$L$207="N", IF(ISNUMBER('Cost Inputs'!$M$207), $E814, ""),"")),""),"")</f>
        <v/>
      </c>
      <c r="T814" s="17" t="str">
        <f>IF(ISNUMBER($B776), IF($C814&lt;&gt;"", IF('Cost Inputs'!$L$207="Y", $E814, IF('Cost Inputs'!$L$207="N", IF(ISNUMBER('Cost Inputs'!$M$207), $E814, ""),"")),""),"")</f>
        <v/>
      </c>
      <c r="U814" s="17" t="str">
        <f>IF(ISNUMBER($B776), IF($C814&lt;&gt;"", IF('Cost Inputs'!$L$207="Y", $E814, IF('Cost Inputs'!$L$207="N", IF(ISNUMBER('Cost Inputs'!$M$207), $E814, ""),"")),""),"")</f>
        <v/>
      </c>
      <c r="V814" s="17" t="str">
        <f>IF(ISNUMBER($B776), IF($C814&lt;&gt;"", IF('Cost Inputs'!$L$207="Y", $E814, IF('Cost Inputs'!$L$207="N", IF(ISNUMBER('Cost Inputs'!$M$207), $E814, ""),"")),""),"")</f>
        <v/>
      </c>
      <c r="W814" s="17" t="str">
        <f>IF(ISNUMBER($B776), IF($C814&lt;&gt;"", IF('Cost Inputs'!$L$207="Y", $E814, IF('Cost Inputs'!$L$207="N", IF(ISNUMBER('Cost Inputs'!$M$207), $E814, ""),"")),""),"")</f>
        <v/>
      </c>
      <c r="X814" s="17" t="str">
        <f>IF(ISNUMBER($B776), IF($C814&lt;&gt;"", IF('Cost Inputs'!$L$207="Y", $E814, IF('Cost Inputs'!$L$207="N", IF(ISNUMBER('Cost Inputs'!$M$207), $E814, ""),"")),""),"")</f>
        <v/>
      </c>
    </row>
    <row r="815" spans="1:25" ht="15.75" thickBot="1" x14ac:dyDescent="0.3">
      <c r="A815" s="518"/>
      <c r="B815" s="505"/>
      <c r="C815" s="111" t="str">
        <f>IF(AND(ISNUMBER(B776), OR('Cost Inputs'!$H$208&lt;&gt;"", 'Cost Inputs'!$I$208&lt;&gt;"", 'Cost Inputs'!$J$208&lt;&gt;"")), _6_6_2, "")</f>
        <v/>
      </c>
      <c r="D815" s="95" t="str">
        <f>IF(AND(C815&lt;&gt;"", 'Cost Inputs'!$G$208&lt;&gt;""), 'Cost Inputs'!$G$208, "")</f>
        <v/>
      </c>
      <c r="E815" s="95" t="str">
        <f>IF(AND(C815&lt;&gt;"", 'Cost Inputs'!$H$208&lt;&gt;""), 'Cost Inputs'!$H$208, "")</f>
        <v/>
      </c>
      <c r="F815" s="95" t="str">
        <f>IF(AND(C815&lt;&gt;"", 'Cost Inputs'!$I$208&lt;&gt;""), 'Cost Inputs'!$I$208, "")</f>
        <v/>
      </c>
      <c r="G815" s="112" t="str">
        <f t="shared" si="482"/>
        <v/>
      </c>
      <c r="H815" s="95" t="str">
        <f>IF(AND(C815&lt;&gt;"", 'Cost Inputs'!$J$208&lt;&gt;""), 'Cost Inputs'!$J$208, "")</f>
        <v/>
      </c>
      <c r="I815" s="95" t="str">
        <f>IF($C815&lt;&gt;"", IF(AND($E815&lt;&gt;"", H815&lt;&gt;""), H815/$E815, 0),"")</f>
        <v/>
      </c>
      <c r="J815" s="95" t="str">
        <f>IF(AND(C815&lt;&gt;"",('Cost Inputs'!$I$208+'Cost Inputs'!$J$208+'Cost Inputs'!$K$208)&gt;0), 'Cost Inputs'!$I$208+'Cost Inputs'!$J$208+'Cost Inputs'!$K$208, "")</f>
        <v/>
      </c>
      <c r="K815" s="95" t="str">
        <f>IF($C815&lt;&gt;"", IF(AND($E815&lt;&gt;"", J815&lt;&gt;""), J815/$E815, 0),"")</f>
        <v/>
      </c>
      <c r="L815" s="95"/>
      <c r="M815" s="113"/>
      <c r="O815" s="95" t="str">
        <f>IF(ISNUMBER($B776), IF($C815&lt;&gt;"", IF('Cost Inputs'!$L$208="Y", $E815, IF('Cost Inputs'!$L$208="N", IF(ISNUMBER('Cost Inputs'!$M$208), $E815, ""),"")),""),"")</f>
        <v/>
      </c>
      <c r="P815" s="95" t="str">
        <f>IF(ISNUMBER($B776), IF($C815&lt;&gt;"", IF('Cost Inputs'!$L$208="Y", $E815, IF('Cost Inputs'!$L$208="N", IF(ISNUMBER('Cost Inputs'!$M$208), $E815, ""),"")),""),"")</f>
        <v/>
      </c>
      <c r="Q815" s="95" t="str">
        <f>IF(ISNUMBER($B776), IF($C815&lt;&gt;"", IF('Cost Inputs'!$L$208="Y", $E815, IF('Cost Inputs'!$L$208="N", IF(ISNUMBER('Cost Inputs'!$M$208), $E815, ""),"")),""),"")</f>
        <v/>
      </c>
      <c r="R815" s="95" t="str">
        <f>IF(ISNUMBER($B776), IF($C815&lt;&gt;"", IF('Cost Inputs'!$L$208="Y", $E815, IF('Cost Inputs'!$L$208="N", IF(ISNUMBER('Cost Inputs'!$M$208), $E815, ""),"")),""),"")</f>
        <v/>
      </c>
      <c r="S815" s="95" t="str">
        <f>IF(ISNUMBER($B776), IF($C815&lt;&gt;"", IF('Cost Inputs'!$L$208="Y", $E815, IF('Cost Inputs'!$L$208="N", IF(ISNUMBER('Cost Inputs'!$M$208), $E815, ""),"")),""),"")</f>
        <v/>
      </c>
      <c r="T815" s="95" t="str">
        <f>IF(ISNUMBER($B776), IF($C815&lt;&gt;"", IF('Cost Inputs'!$L$208="Y", $E815, IF('Cost Inputs'!$L$208="N", IF(ISNUMBER('Cost Inputs'!$M$208), $E815, ""),"")),""),"")</f>
        <v/>
      </c>
      <c r="U815" s="95" t="str">
        <f>IF(ISNUMBER($B776), IF($C815&lt;&gt;"", IF('Cost Inputs'!$L$208="Y", $E815, IF('Cost Inputs'!$L$208="N", IF(ISNUMBER('Cost Inputs'!$M$208), $E815, ""),"")),""),"")</f>
        <v/>
      </c>
      <c r="V815" s="95" t="str">
        <f>IF(ISNUMBER($B776), IF($C815&lt;&gt;"", IF('Cost Inputs'!$L$208="Y", $E815, IF('Cost Inputs'!$L$208="N", IF(ISNUMBER('Cost Inputs'!$M$208), $E815, ""),"")),""),"")</f>
        <v/>
      </c>
      <c r="W815" s="95" t="str">
        <f>IF(ISNUMBER($B776), IF($C815&lt;&gt;"", IF('Cost Inputs'!$L$208="Y", $E815, IF('Cost Inputs'!$L$208="N", IF(ISNUMBER('Cost Inputs'!$M$208), $E815, ""),"")),""),"")</f>
        <v/>
      </c>
      <c r="X815" s="95" t="str">
        <f>IF(ISNUMBER($B776), IF($C815&lt;&gt;"", IF('Cost Inputs'!$L$208="Y", $E815, IF('Cost Inputs'!$L$208="N", IF(ISNUMBER('Cost Inputs'!$M$208), $E815, ""),"")),""),"")</f>
        <v/>
      </c>
    </row>
    <row r="816" spans="1:25" x14ac:dyDescent="0.25">
      <c r="A816" s="518" t="str">
        <f>Sixth_Stage</f>
        <v>Stage 4 Grower Trials</v>
      </c>
      <c r="B816" s="503" t="str">
        <f>'Breeding Inputs'!B114</f>
        <v/>
      </c>
      <c r="C816" s="521" t="str">
        <f>IF(ISNUMBER(B798), _6_3_0, "")</f>
        <v/>
      </c>
      <c r="D816" s="94" t="str">
        <f>IF(AND(C816&lt;&gt;"", 'Cost Inputs'!$G$187&lt;&gt;""), 'Cost Inputs'!$G$187, "")</f>
        <v/>
      </c>
      <c r="E816" s="94" t="str">
        <f>IF(AND(C816&lt;&gt;"", 'Cost Inputs'!$H$187&lt;&gt;""), 'Cost Inputs'!$H$187, "")</f>
        <v/>
      </c>
      <c r="F816" s="492" t="str">
        <f>IF(AND(C816&lt;&gt;"", 'Cost Inputs'!$I$187&lt;&gt;""), 'Cost Inputs'!$I$187, "")</f>
        <v/>
      </c>
      <c r="G816" s="102" t="str">
        <f t="shared" si="482"/>
        <v/>
      </c>
      <c r="H816" s="492" t="str">
        <f>IF(AND(C816&lt;&gt;"", 'Cost Inputs'!$J$187&lt;&gt;""), 'Cost Inputs'!$J$187, "")</f>
        <v/>
      </c>
      <c r="I816" s="102" t="str">
        <f>IF($C816&lt;&gt;"",IF(AND($E816&lt;&gt;"",H816&lt;&gt;""), H816/$E816, 0),"")</f>
        <v/>
      </c>
      <c r="J816" s="492" t="str">
        <f>IF(AND(C816&lt;&gt;"",('Cost Inputs'!$I$187+'Cost Inputs'!$J$187+'Cost Inputs'!$K$187)&gt;0), 'Cost Inputs'!$I$187+'Cost Inputs'!$J$187+'Cost Inputs'!$K$187, "")</f>
        <v/>
      </c>
      <c r="K816" s="102" t="str">
        <f>IF($C816&lt;&gt;"",IF(AND($E816&lt;&gt;"",J816&lt;&gt;""), J816/$E816, 0),"")</f>
        <v/>
      </c>
      <c r="L816" s="94"/>
      <c r="M816" s="103"/>
      <c r="P816" s="492" t="str">
        <f>IF(ISNUMBER($B798), IF($C816&lt;&gt;"", IF('Cost Inputs'!$L$187="Y", $E816, IF('Cost Inputs'!$L$187="N", IF(ISNUMBER('Cost Inputs'!$M$187), $E816, ""),"")),""),"")</f>
        <v/>
      </c>
      <c r="Q816" s="492" t="str">
        <f>IF(ISNUMBER($B798), IF($C816&lt;&gt;"", IF('Cost Inputs'!$L$187="Y", $E816, IF('Cost Inputs'!$L$187="N", IF(ISNUMBER('Cost Inputs'!$M$187), $E816, ""),"")),""),"")</f>
        <v/>
      </c>
      <c r="R816" s="492" t="str">
        <f>IF(ISNUMBER($B798), IF($C816&lt;&gt;"", IF('Cost Inputs'!$L$187="Y", $E816, IF('Cost Inputs'!$L$187="N", IF(ISNUMBER('Cost Inputs'!$M$187), $E816, ""),"")),""),"")</f>
        <v/>
      </c>
      <c r="S816" s="492" t="str">
        <f>IF(ISNUMBER($B798), IF($C816&lt;&gt;"", IF('Cost Inputs'!$L$187="Y", $E816, IF('Cost Inputs'!$L$187="N", IF(ISNUMBER('Cost Inputs'!$M$187), $E816, ""),"")),""),"")</f>
        <v/>
      </c>
      <c r="T816" s="492" t="str">
        <f>IF(ISNUMBER($B798), IF($C816&lt;&gt;"", IF('Cost Inputs'!$L$187="Y", $E816, IF('Cost Inputs'!$L$187="N", IF(ISNUMBER('Cost Inputs'!$M$187), $E816, ""),"")),""),"")</f>
        <v/>
      </c>
      <c r="U816" s="492" t="str">
        <f>IF(ISNUMBER($B798), IF($C816&lt;&gt;"", IF('Cost Inputs'!$L$187="Y", $E816, IF('Cost Inputs'!$L$187="N", IF(ISNUMBER('Cost Inputs'!$M$187), $E816, ""),"")),""),"")</f>
        <v/>
      </c>
      <c r="V816" s="492" t="str">
        <f>IF(ISNUMBER($B798), IF($C816&lt;&gt;"", IF('Cost Inputs'!$L$187="Y", $E816, IF('Cost Inputs'!$L$187="N", IF(ISNUMBER('Cost Inputs'!$M$187), $E816, ""),"")),""),"")</f>
        <v/>
      </c>
      <c r="W816" s="492" t="str">
        <f>IF(ISNUMBER($B798), IF($C816&lt;&gt;"", IF('Cost Inputs'!$L$187="Y", $E816, IF('Cost Inputs'!$L$187="N", IF(ISNUMBER('Cost Inputs'!$M$187), $E816, ""),"")),""),"")</f>
        <v/>
      </c>
      <c r="X816" s="492" t="str">
        <f>IF(ISNUMBER($B798), IF($C816&lt;&gt;"", IF('Cost Inputs'!$L$187="Y", $E816, IF('Cost Inputs'!$L$187="N", IF(ISNUMBER('Cost Inputs'!$M$187), $E816, ""),"")),""),"")</f>
        <v/>
      </c>
      <c r="Y816" s="492" t="str">
        <f>IF(ISNUMBER($B798), IF($C816&lt;&gt;"", IF('Cost Inputs'!$L$187="Y", $E816, IF('Cost Inputs'!$L$187="N", IF(ISNUMBER('Cost Inputs'!$M$187), $E816, ""),"")),""),"")</f>
        <v/>
      </c>
    </row>
    <row r="817" spans="1:25" x14ac:dyDescent="0.25">
      <c r="A817" s="518"/>
      <c r="B817" s="504"/>
      <c r="C817" s="521"/>
      <c r="D817" s="94" t="str">
        <f>IF(AND(C816&lt;&gt;"", 'Cost Inputs'!$G$188&lt;&gt;""), 'Cost Inputs'!$G$188, "")</f>
        <v/>
      </c>
      <c r="E817" s="94" t="str">
        <f>IF(AND(C816&lt;&gt;"", 'Cost Inputs'!$H$188&lt;&gt;""), 'Cost Inputs'!$H$188, "")</f>
        <v/>
      </c>
      <c r="F817" s="492"/>
      <c r="G817" s="102" t="str">
        <f t="shared" si="482"/>
        <v/>
      </c>
      <c r="H817" s="492"/>
      <c r="I817" s="102" t="str">
        <f>IF($C816&lt;&gt;"", IF(AND($E817&lt;&gt;"", H816&lt;&gt;""), H816/($E816*$E817), 0), "")</f>
        <v/>
      </c>
      <c r="J817" s="492" t="str">
        <f>IF(AND(C817&lt;&gt;"",('Cost Inputs'!$I$86+'Cost Inputs'!$J$86+'Cost Inputs'!$K$86)&gt;0), 'Cost Inputs'!$I$86+'Cost Inputs'!$J$86+'Cost Inputs'!$K$86, "")</f>
        <v/>
      </c>
      <c r="K817" s="102" t="str">
        <f>IF($C816&lt;&gt;"", IF(AND($E817&lt;&gt;"", J816&lt;&gt;""), J816/($E816*$E817), 0), "")</f>
        <v/>
      </c>
      <c r="L817" s="94"/>
      <c r="M817" s="103"/>
      <c r="P817" s="492" t="str">
        <f>IF(ISNUMBER($B$776), IF($C817&lt;&gt;"", IF('Cost Inputs'!$L210="Y", $E817, IF('Cost Inputs'!$L210="N", IF(ISNUMBER('Cost Inputs'!$M210), $E817, ""),"")),""),"")</f>
        <v/>
      </c>
      <c r="Q817" s="492" t="str">
        <f>IF(ISNUMBER($B$776), IF($C817&lt;&gt;"", IF('Cost Inputs'!$L210="Y", $E817, IF('Cost Inputs'!$L210="N", IF(ISNUMBER('Cost Inputs'!$M210), $E817, ""),"")),""),"")</f>
        <v/>
      </c>
      <c r="R817" s="492" t="str">
        <f>IF(ISNUMBER($B$776), IF($C817&lt;&gt;"", IF('Cost Inputs'!$L210="Y", $E817, IF('Cost Inputs'!$L210="N", IF(ISNUMBER('Cost Inputs'!$M210), $E817, ""),"")),""),"")</f>
        <v/>
      </c>
      <c r="S817" s="492" t="str">
        <f>IF(ISNUMBER($B$776), IF($C817&lt;&gt;"", IF('Cost Inputs'!$L210="Y", $E817, IF('Cost Inputs'!$L210="N", IF(ISNUMBER('Cost Inputs'!$M210), $E817, ""),"")),""),"")</f>
        <v/>
      </c>
      <c r="T817" s="492" t="str">
        <f>IF(ISNUMBER($B$776), IF($C817&lt;&gt;"", IF('Cost Inputs'!$L210="Y", $E817, IF('Cost Inputs'!$L210="N", IF(ISNUMBER('Cost Inputs'!$M210), $E817, ""),"")),""),"")</f>
        <v/>
      </c>
      <c r="U817" s="492" t="str">
        <f>IF(ISNUMBER($B$776), IF($C817&lt;&gt;"", IF('Cost Inputs'!$L210="Y", $E817, IF('Cost Inputs'!$L210="N", IF(ISNUMBER('Cost Inputs'!$M210), $E817, ""),"")),""),"")</f>
        <v/>
      </c>
      <c r="V817" s="492" t="str">
        <f>IF(ISNUMBER($B$776), IF($C817&lt;&gt;"", IF('Cost Inputs'!$L210="Y", $E817, IF('Cost Inputs'!$L210="N", IF(ISNUMBER('Cost Inputs'!$M210), $E817, ""),"")),""),"")</f>
        <v/>
      </c>
      <c r="W817" s="492" t="str">
        <f>IF(ISNUMBER($B$776), IF($C817&lt;&gt;"", IF('Cost Inputs'!$L210="Y", $E817, IF('Cost Inputs'!$L210="N", IF(ISNUMBER('Cost Inputs'!$M210), $E817, ""),"")),""),"")</f>
        <v/>
      </c>
      <c r="X817" s="492" t="str">
        <f>IF(ISNUMBER($B$776), IF($C817&lt;&gt;"", IF('Cost Inputs'!$L210="Y", $E817, IF('Cost Inputs'!$L210="N", IF(ISNUMBER('Cost Inputs'!$M210), $E817, ""),"")),""),"")</f>
        <v/>
      </c>
      <c r="Y817" s="492" t="str">
        <f>IF(ISNUMBER($B$776), IF($C817&lt;&gt;"", IF('Cost Inputs'!$L210="Y", $E817, IF('Cost Inputs'!$L210="N", IF(ISNUMBER('Cost Inputs'!$M210), $E817, ""),"")),""),"")</f>
        <v/>
      </c>
    </row>
    <row r="818" spans="1:25" x14ac:dyDescent="0.25">
      <c r="A818" s="518"/>
      <c r="B818" s="504"/>
      <c r="C818" s="104" t="str">
        <f>IF(AND(ISNUMBER(B798), OR('Cost Inputs'!$H$189&lt;&gt;"", 'Cost Inputs'!$I$189&lt;&gt;"", 'Cost Inputs'!$J$189&lt;&gt;"")), _6_3_1, "")</f>
        <v/>
      </c>
      <c r="D818" s="17" t="str">
        <f>IF(AND(C818&lt;&gt;"", 'Cost Inputs'!$G$189&lt;&gt;""), 'Cost Inputs'!$G$189, "")</f>
        <v/>
      </c>
      <c r="E818" s="17" t="str">
        <f>IF(AND(C818&lt;&gt;"", 'Cost Inputs'!$H$189&lt;&gt;""), 'Cost Inputs'!$H$189, "")</f>
        <v/>
      </c>
      <c r="F818" s="17" t="str">
        <f>IF(AND(C818&lt;&gt;"", 'Cost Inputs'!$I$189&lt;&gt;""), 'Cost Inputs'!$I$189, "")</f>
        <v/>
      </c>
      <c r="G818" s="105" t="str">
        <f t="shared" si="482"/>
        <v/>
      </c>
      <c r="H818" s="17" t="str">
        <f>IF(AND(C818&lt;&gt;"", 'Cost Inputs'!$J$189&lt;&gt;""), 'Cost Inputs'!$J$189, "")</f>
        <v/>
      </c>
      <c r="I818" s="17" t="str">
        <f t="shared" ref="I818:I826" si="483">IF($C818&lt;&gt;"", IF(AND($E818&lt;&gt;"", H818&lt;&gt;""), H818/$E818, 0),"")</f>
        <v/>
      </c>
      <c r="J818" s="17" t="str">
        <f>IF(AND(C818&lt;&gt;"",('Cost Inputs'!$I$189+'Cost Inputs'!$J$189+'Cost Inputs'!$K$189)&gt;0), 'Cost Inputs'!$I$189+'Cost Inputs'!$J$189+'Cost Inputs'!$K$189, "")</f>
        <v/>
      </c>
      <c r="K818" s="17" t="str">
        <f t="shared" ref="K818:K826" si="484">IF($C818&lt;&gt;"", IF(AND($E818&lt;&gt;"", J818&lt;&gt;""), J818/$E818, 0),"")</f>
        <v/>
      </c>
      <c r="M818" s="106"/>
      <c r="P818" s="17" t="str">
        <f>IF(ISNUMBER($B798), IF($C818&lt;&gt;"", IF('Cost Inputs'!$L$189="Y", $E818, IF('Cost Inputs'!$L$189="N", IF(ISNUMBER('Cost Inputs'!$M$189), $E818, ""),"")),""),"")</f>
        <v/>
      </c>
      <c r="Q818" s="17" t="str">
        <f>IF(ISNUMBER($B798), IF($C818&lt;&gt;"", IF('Cost Inputs'!$L$189="Y", $E818, IF('Cost Inputs'!$L$189="N", IF(ISNUMBER('Cost Inputs'!$M$189), $E818, ""),"")),""),"")</f>
        <v/>
      </c>
      <c r="R818" s="17" t="str">
        <f>IF(ISNUMBER($B798), IF($C818&lt;&gt;"", IF('Cost Inputs'!$L$189="Y", $E818, IF('Cost Inputs'!$L$189="N", IF(ISNUMBER('Cost Inputs'!$M$189), $E818, ""),"")),""),"")</f>
        <v/>
      </c>
      <c r="S818" s="17" t="str">
        <f>IF(ISNUMBER($B798), IF($C818&lt;&gt;"", IF('Cost Inputs'!$L$189="Y", $E818, IF('Cost Inputs'!$L$189="N", IF(ISNUMBER('Cost Inputs'!$M$189), $E818, ""),"")),""),"")</f>
        <v/>
      </c>
      <c r="T818" s="17" t="str">
        <f>IF(ISNUMBER($B798), IF($C818&lt;&gt;"", IF('Cost Inputs'!$L$189="Y", $E818, IF('Cost Inputs'!$L$189="N", IF(ISNUMBER('Cost Inputs'!$M$189), $E818, ""),"")),""),"")</f>
        <v/>
      </c>
      <c r="U818" s="17" t="str">
        <f>IF(ISNUMBER($B798), IF($C818&lt;&gt;"", IF('Cost Inputs'!$L$189="Y", $E818, IF('Cost Inputs'!$L$189="N", IF(ISNUMBER('Cost Inputs'!$M$189), $E818, ""),"")),""),"")</f>
        <v/>
      </c>
      <c r="V818" s="17" t="str">
        <f>IF(ISNUMBER($B798), IF($C818&lt;&gt;"", IF('Cost Inputs'!$L$189="Y", $E818, IF('Cost Inputs'!$L$189="N", IF(ISNUMBER('Cost Inputs'!$M$189), $E818, ""),"")),""),"")</f>
        <v/>
      </c>
      <c r="W818" s="17" t="str">
        <f>IF(ISNUMBER($B798), IF($C818&lt;&gt;"", IF('Cost Inputs'!$L$189="Y", $E818, IF('Cost Inputs'!$L$189="N", IF(ISNUMBER('Cost Inputs'!$M$189), $E818, ""),"")),""),"")</f>
        <v/>
      </c>
      <c r="X818" s="17" t="str">
        <f>IF(ISNUMBER($B798), IF($C818&lt;&gt;"", IF('Cost Inputs'!$L$189="Y", $E818, IF('Cost Inputs'!$L$189="N", IF(ISNUMBER('Cost Inputs'!$M$189), $E818, ""),"")),""),"")</f>
        <v/>
      </c>
      <c r="Y818" s="17" t="str">
        <f>IF(ISNUMBER($B798), IF($C818&lt;&gt;"", IF('Cost Inputs'!$L$189="Y", $E818, IF('Cost Inputs'!$L$189="N", IF(ISNUMBER('Cost Inputs'!$M$189), $E818, ""),"")),""),"")</f>
        <v/>
      </c>
    </row>
    <row r="819" spans="1:25" x14ac:dyDescent="0.25">
      <c r="A819" s="518"/>
      <c r="B819" s="504"/>
      <c r="C819" s="107" t="str">
        <f>IF(AND(ISNUMBER(B798), OR('Cost Inputs'!$H$190&lt;&gt;"", 'Cost Inputs'!$I$190&lt;&gt;"", 'Cost Inputs'!$J$190&lt;&gt;"")), _6_3_2, "")</f>
        <v/>
      </c>
      <c r="D819" s="93" t="str">
        <f>IF(AND(C819&lt;&gt;"", 'Cost Inputs'!$G$190&lt;&gt;""), 'Cost Inputs'!$G$190, "")</f>
        <v/>
      </c>
      <c r="E819" s="93" t="str">
        <f>IF(AND(C819&lt;&gt;"", 'Cost Inputs'!$H$190&lt;&gt;""), 'Cost Inputs'!$H$190, "")</f>
        <v/>
      </c>
      <c r="F819" s="93" t="str">
        <f>IF(AND(C819&lt;&gt;"", 'Cost Inputs'!$I$190&lt;&gt;""), 'Cost Inputs'!$I$190, "")</f>
        <v/>
      </c>
      <c r="G819" s="108" t="str">
        <f t="shared" si="482"/>
        <v/>
      </c>
      <c r="H819" s="93" t="str">
        <f>IF(AND(C819&lt;&gt;"", 'Cost Inputs'!$J$190&lt;&gt;""), 'Cost Inputs'!$J$190, "")</f>
        <v/>
      </c>
      <c r="I819" s="93" t="str">
        <f t="shared" si="483"/>
        <v/>
      </c>
      <c r="J819" s="93" t="str">
        <f>IF(AND(C819&lt;&gt;"",('Cost Inputs'!$I$190+'Cost Inputs'!$J$190+'Cost Inputs'!$K$190)&gt;0), 'Cost Inputs'!$I$190+'Cost Inputs'!$J$190+'Cost Inputs'!$K$190, "")</f>
        <v/>
      </c>
      <c r="K819" s="93" t="str">
        <f t="shared" si="484"/>
        <v/>
      </c>
      <c r="L819" s="93"/>
      <c r="M819" s="109"/>
      <c r="P819" s="93" t="str">
        <f>IF(ISNUMBER($B798), IF($C819&lt;&gt;"", IF('Cost Inputs'!$L$190="Y", $E819, IF('Cost Inputs'!$L$190="N", IF(ISNUMBER('Cost Inputs'!$M$190), $E819, ""),"")),""),"")</f>
        <v/>
      </c>
      <c r="Q819" s="93" t="str">
        <f>IF(ISNUMBER($B798), IF($C819&lt;&gt;"", IF('Cost Inputs'!$L$190="Y", $E819, IF('Cost Inputs'!$L$190="N", IF(ISNUMBER('Cost Inputs'!$M$190), $E819, ""),"")),""),"")</f>
        <v/>
      </c>
      <c r="R819" s="93" t="str">
        <f>IF(ISNUMBER($B798), IF($C819&lt;&gt;"", IF('Cost Inputs'!$L$190="Y", $E819, IF('Cost Inputs'!$L$190="N", IF(ISNUMBER('Cost Inputs'!$M$190), $E819, ""),"")),""),"")</f>
        <v/>
      </c>
      <c r="S819" s="93" t="str">
        <f>IF(ISNUMBER($B798), IF($C819&lt;&gt;"", IF('Cost Inputs'!$L$190="Y", $E819, IF('Cost Inputs'!$L$190="N", IF(ISNUMBER('Cost Inputs'!$M$190), $E819, ""),"")),""),"")</f>
        <v/>
      </c>
      <c r="T819" s="93" t="str">
        <f>IF(ISNUMBER($B798), IF($C819&lt;&gt;"", IF('Cost Inputs'!$L$190="Y", $E819, IF('Cost Inputs'!$L$190="N", IF(ISNUMBER('Cost Inputs'!$M$190), $E819, ""),"")),""),"")</f>
        <v/>
      </c>
      <c r="U819" s="93" t="str">
        <f>IF(ISNUMBER($B798), IF($C819&lt;&gt;"", IF('Cost Inputs'!$L$190="Y", $E819, IF('Cost Inputs'!$L$190="N", IF(ISNUMBER('Cost Inputs'!$M$190), $E819, ""),"")),""),"")</f>
        <v/>
      </c>
      <c r="V819" s="93" t="str">
        <f>IF(ISNUMBER($B798), IF($C819&lt;&gt;"", IF('Cost Inputs'!$L$190="Y", $E819, IF('Cost Inputs'!$L$190="N", IF(ISNUMBER('Cost Inputs'!$M$190), $E819, ""),"")),""),"")</f>
        <v/>
      </c>
      <c r="W819" s="93" t="str">
        <f>IF(ISNUMBER($B798), IF($C819&lt;&gt;"", IF('Cost Inputs'!$L$190="Y", $E819, IF('Cost Inputs'!$L$190="N", IF(ISNUMBER('Cost Inputs'!$M$190), $E819, ""),"")),""),"")</f>
        <v/>
      </c>
      <c r="X819" s="93" t="str">
        <f>IF(ISNUMBER($B798), IF($C819&lt;&gt;"", IF('Cost Inputs'!$L$190="Y", $E819, IF('Cost Inputs'!$L$190="N", IF(ISNUMBER('Cost Inputs'!$M$190), $E819, ""),"")),""),"")</f>
        <v/>
      </c>
      <c r="Y819" s="93" t="str">
        <f>IF(ISNUMBER($B798), IF($C819&lt;&gt;"", IF('Cost Inputs'!$L$190="Y", $E819, IF('Cost Inputs'!$L$190="N", IF(ISNUMBER('Cost Inputs'!$M$190), $E819, ""),"")),""),"")</f>
        <v/>
      </c>
    </row>
    <row r="820" spans="1:25" x14ac:dyDescent="0.25">
      <c r="A820" s="518"/>
      <c r="B820" s="504"/>
      <c r="C820" s="110" t="str">
        <f>IF(ISNUMBER(B798), _6_4_0, "")</f>
        <v/>
      </c>
      <c r="D820" s="94" t="str">
        <f>IF(AND(C820&lt;&gt;"", 'Cost Inputs'!$G$191&lt;&gt;""), 'Cost Inputs'!$G$191, "")</f>
        <v/>
      </c>
      <c r="E820" s="94" t="str">
        <f>IF(AND(C820&lt;&gt;"", 'Cost Inputs'!$H$191&lt;&gt;""), 'Cost Inputs'!$H$191, "")</f>
        <v/>
      </c>
      <c r="F820" s="94" t="str">
        <f>IF(AND(C820&lt;&gt;"", 'Cost Inputs'!$I$191&lt;&gt;""), 'Cost Inputs'!$I$191, "")</f>
        <v/>
      </c>
      <c r="G820" s="102" t="str">
        <f t="shared" si="482"/>
        <v/>
      </c>
      <c r="H820" s="102" t="str">
        <f>IF(AND(C820&lt;&gt;"", 'Cost Inputs'!$J$191&lt;&gt;""), 'Cost Inputs'!$J$191, "")</f>
        <v/>
      </c>
      <c r="I820" s="102" t="str">
        <f t="shared" si="483"/>
        <v/>
      </c>
      <c r="J820" s="102" t="str">
        <f>IF(AND(C820&lt;&gt;"",('Cost Inputs'!$I$191+'Cost Inputs'!$J$191+'Cost Inputs'!$K$191)&gt;0), 'Cost Inputs'!$I$191+'Cost Inputs'!$J$191+'Cost Inputs'!$K$191, "")</f>
        <v/>
      </c>
      <c r="K820" s="102" t="str">
        <f t="shared" si="484"/>
        <v/>
      </c>
      <c r="L820" s="94"/>
      <c r="M820" s="103"/>
      <c r="P820" s="102" t="str">
        <f>IF(ISNUMBER($B798), IF($C820&lt;&gt;"", IF('Cost Inputs'!$L$191="Y", $E820, IF('Cost Inputs'!$L$191="N", IF(ISNUMBER('Cost Inputs'!$M$191), $E820, ""),"")),""),"")</f>
        <v/>
      </c>
      <c r="Q820" s="102" t="str">
        <f>IF(ISNUMBER($B798), IF($C820&lt;&gt;"", IF('Cost Inputs'!$L$191="Y", $E820, IF('Cost Inputs'!$L$191="N", IF(ISNUMBER('Cost Inputs'!$M$191), $E820, ""),"")),""),"")</f>
        <v/>
      </c>
      <c r="R820" s="102" t="str">
        <f>IF(ISNUMBER($B798), IF($C820&lt;&gt;"", IF('Cost Inputs'!$L$191="Y", $E820, IF('Cost Inputs'!$L$191="N", IF(ISNUMBER('Cost Inputs'!$M$191), $E820, ""),"")),""),"")</f>
        <v/>
      </c>
      <c r="S820" s="102" t="str">
        <f>IF(ISNUMBER($B798), IF($C820&lt;&gt;"", IF('Cost Inputs'!$L$191="Y", $E820, IF('Cost Inputs'!$L$191="N", IF(ISNUMBER('Cost Inputs'!$M$191), $E820, ""),"")),""),"")</f>
        <v/>
      </c>
      <c r="T820" s="102" t="str">
        <f>IF(ISNUMBER($B798), IF($C820&lt;&gt;"", IF('Cost Inputs'!$L$191="Y", $E820, IF('Cost Inputs'!$L$191="N", IF(ISNUMBER('Cost Inputs'!$M$191), $E820, ""),"")),""),"")</f>
        <v/>
      </c>
      <c r="U820" s="102" t="str">
        <f>IF(ISNUMBER($B798), IF($C820&lt;&gt;"", IF('Cost Inputs'!$L$191="Y", $E820, IF('Cost Inputs'!$L$191="N", IF(ISNUMBER('Cost Inputs'!$M$191), $E820, ""),"")),""),"")</f>
        <v/>
      </c>
      <c r="V820" s="102" t="str">
        <f>IF(ISNUMBER($B798), IF($C820&lt;&gt;"", IF('Cost Inputs'!$L$191="Y", $E820, IF('Cost Inputs'!$L$191="N", IF(ISNUMBER('Cost Inputs'!$M$191), $E820, ""),"")),""),"")</f>
        <v/>
      </c>
      <c r="W820" s="102" t="str">
        <f>IF(ISNUMBER($B798), IF($C820&lt;&gt;"", IF('Cost Inputs'!$L$191="Y", $E820, IF('Cost Inputs'!$L$191="N", IF(ISNUMBER('Cost Inputs'!$M$191), $E820, ""),"")),""),"")</f>
        <v/>
      </c>
      <c r="X820" s="102" t="str">
        <f>IF(ISNUMBER($B798), IF($C820&lt;&gt;"", IF('Cost Inputs'!$L$191="Y", $E820, IF('Cost Inputs'!$L$191="N", IF(ISNUMBER('Cost Inputs'!$M$191), $E820, ""),"")),""),"")</f>
        <v/>
      </c>
      <c r="Y820" s="102" t="str">
        <f>IF(ISNUMBER($B798), IF($C820&lt;&gt;"", IF('Cost Inputs'!$L$191="Y", $E820, IF('Cost Inputs'!$L$191="N", IF(ISNUMBER('Cost Inputs'!$M$191), $E820, ""),"")),""),"")</f>
        <v/>
      </c>
    </row>
    <row r="821" spans="1:25" x14ac:dyDescent="0.25">
      <c r="A821" s="518"/>
      <c r="B821" s="504"/>
      <c r="C821" s="104" t="str">
        <f>IF(AND(ISNUMBER(B798), OR('Cost Inputs'!$H$192&lt;&gt;"", 'Cost Inputs'!$I$192&lt;&gt;"", 'Cost Inputs'!$J$192&lt;&gt;"")), _6_4_1, "")</f>
        <v/>
      </c>
      <c r="D821" s="17" t="str">
        <f>IF(AND(C821&lt;&gt;"", 'Cost Inputs'!$G$192&lt;&gt;""), 'Cost Inputs'!$G$192, "")</f>
        <v/>
      </c>
      <c r="E821" s="17" t="str">
        <f>IF(AND(C821&lt;&gt;"", 'Cost Inputs'!$H$192&lt;&gt;""), 'Cost Inputs'!$H$192, "")</f>
        <v/>
      </c>
      <c r="F821" s="17" t="str">
        <f>IF(AND(C821&lt;&gt;"", 'Cost Inputs'!$I$192&lt;&gt;""), 'Cost Inputs'!$I$192, "")</f>
        <v/>
      </c>
      <c r="G821" s="105" t="str">
        <f t="shared" si="482"/>
        <v/>
      </c>
      <c r="H821" s="17" t="str">
        <f>IF(AND(C821&lt;&gt;"", 'Cost Inputs'!$J$192&lt;&gt;""), 'Cost Inputs'!$J$192, "")</f>
        <v/>
      </c>
      <c r="I821" s="17" t="str">
        <f t="shared" si="483"/>
        <v/>
      </c>
      <c r="J821" s="17" t="str">
        <f>IF(AND(C821&lt;&gt;"",('Cost Inputs'!$I$192+'Cost Inputs'!$J$192+'Cost Inputs'!$K$192)&gt;0), 'Cost Inputs'!$I$192+'Cost Inputs'!$J$192+'Cost Inputs'!$K$192, "")</f>
        <v/>
      </c>
      <c r="K821" s="17" t="str">
        <f t="shared" si="484"/>
        <v/>
      </c>
      <c r="M821" s="106"/>
      <c r="P821" s="17" t="str">
        <f>IF(ISNUMBER($B798), IF($C821&lt;&gt;"", IF('Cost Inputs'!$L$192="Y", $E821, IF('Cost Inputs'!$L$192="N", IF(ISNUMBER('Cost Inputs'!$M$192), $E821, ""),"")),""),"")</f>
        <v/>
      </c>
      <c r="Q821" s="17" t="str">
        <f>IF(ISNUMBER($B798), IF($C821&lt;&gt;"", IF('Cost Inputs'!$L$192="Y", $E821, IF('Cost Inputs'!$L$192="N", IF(ISNUMBER('Cost Inputs'!$M$192), $E821, ""),"")),""),"")</f>
        <v/>
      </c>
      <c r="R821" s="17" t="str">
        <f>IF(ISNUMBER($B798), IF($C821&lt;&gt;"", IF('Cost Inputs'!$L$192="Y", $E821, IF('Cost Inputs'!$L$192="N", IF(ISNUMBER('Cost Inputs'!$M$192), $E821, ""),"")),""),"")</f>
        <v/>
      </c>
      <c r="S821" s="17" t="str">
        <f>IF(ISNUMBER($B798), IF($C821&lt;&gt;"", IF('Cost Inputs'!$L$192="Y", $E821, IF('Cost Inputs'!$L$192="N", IF(ISNUMBER('Cost Inputs'!$M$192), $E821, ""),"")),""),"")</f>
        <v/>
      </c>
      <c r="T821" s="17" t="str">
        <f>IF(ISNUMBER($B798), IF($C821&lt;&gt;"", IF('Cost Inputs'!$L$192="Y", $E821, IF('Cost Inputs'!$L$192="N", IF(ISNUMBER('Cost Inputs'!$M$192), $E821, ""),"")),""),"")</f>
        <v/>
      </c>
      <c r="U821" s="17" t="str">
        <f>IF(ISNUMBER($B798), IF($C821&lt;&gt;"", IF('Cost Inputs'!$L$192="Y", $E821, IF('Cost Inputs'!$L$192="N", IF(ISNUMBER('Cost Inputs'!$M$192), $E821, ""),"")),""),"")</f>
        <v/>
      </c>
      <c r="V821" s="17" t="str">
        <f>IF(ISNUMBER($B798), IF($C821&lt;&gt;"", IF('Cost Inputs'!$L$192="Y", $E821, IF('Cost Inputs'!$L$192="N", IF(ISNUMBER('Cost Inputs'!$M$192), $E821, ""),"")),""),"")</f>
        <v/>
      </c>
      <c r="W821" s="17" t="str">
        <f>IF(ISNUMBER($B798), IF($C821&lt;&gt;"", IF('Cost Inputs'!$L$192="Y", $E821, IF('Cost Inputs'!$L$192="N", IF(ISNUMBER('Cost Inputs'!$M$192), $E821, ""),"")),""),"")</f>
        <v/>
      </c>
      <c r="X821" s="17" t="str">
        <f>IF(ISNUMBER($B798), IF($C821&lt;&gt;"", IF('Cost Inputs'!$L$192="Y", $E821, IF('Cost Inputs'!$L$192="N", IF(ISNUMBER('Cost Inputs'!$M$192), $E821, ""),"")),""),"")</f>
        <v/>
      </c>
      <c r="Y821" s="17" t="str">
        <f>IF(ISNUMBER($B798), IF($C821&lt;&gt;"", IF('Cost Inputs'!$L$192="Y", $E821, IF('Cost Inputs'!$L$192="N", IF(ISNUMBER('Cost Inputs'!$M$192), $E821, ""),"")),""),"")</f>
        <v/>
      </c>
    </row>
    <row r="822" spans="1:25" x14ac:dyDescent="0.25">
      <c r="A822" s="518"/>
      <c r="B822" s="504"/>
      <c r="C822" s="107" t="str">
        <f>IF(AND(ISNUMBER(B798), OR('Cost Inputs'!$H$193&lt;&gt;"", 'Cost Inputs'!$I$193&lt;&gt;"", 'Cost Inputs'!$J$193&lt;&gt;"")), _6_4_2, "")</f>
        <v/>
      </c>
      <c r="D822" s="93" t="str">
        <f>IF(AND(C822&lt;&gt;"", 'Cost Inputs'!$G$193&lt;&gt;""), 'Cost Inputs'!$G$193, "")</f>
        <v/>
      </c>
      <c r="E822" s="93" t="str">
        <f>IF(AND(C822&lt;&gt;"", 'Cost Inputs'!$H$193&lt;&gt;""), 'Cost Inputs'!$H$193, "")</f>
        <v/>
      </c>
      <c r="F822" s="93" t="str">
        <f>IF(AND(C822&lt;&gt;"", 'Cost Inputs'!$I$193&lt;&gt;""), 'Cost Inputs'!$I$193, "")</f>
        <v/>
      </c>
      <c r="G822" s="108" t="str">
        <f t="shared" si="482"/>
        <v/>
      </c>
      <c r="H822" s="93" t="str">
        <f>IF(AND(C822&lt;&gt;"", 'Cost Inputs'!$J$193&lt;&gt;""), 'Cost Inputs'!$J$193, "")</f>
        <v/>
      </c>
      <c r="I822" s="93" t="str">
        <f t="shared" si="483"/>
        <v/>
      </c>
      <c r="J822" s="93" t="str">
        <f>IF(AND(C822&lt;&gt;"",('Cost Inputs'!$I$152+'Cost Inputs'!$J$152+'Cost Inputs'!$K$152)&gt;0), 'Cost Inputs'!$I$152+'Cost Inputs'!$J$152+'Cost Inputs'!$K$152, "")</f>
        <v/>
      </c>
      <c r="K822" s="93" t="str">
        <f t="shared" si="484"/>
        <v/>
      </c>
      <c r="L822" s="93"/>
      <c r="M822" s="109"/>
      <c r="P822" s="93" t="str">
        <f>IF(ISNUMBER($B798), IF($C822&lt;&gt;"", IF('Cost Inputs'!$L$193="Y", $E822, IF('Cost Inputs'!$L$193="N", IF(ISNUMBER('Cost Inputs'!$M$193), $E822, ""),"")),""),"")</f>
        <v/>
      </c>
      <c r="Q822" s="93" t="str">
        <f>IF(ISNUMBER($B798), IF($C822&lt;&gt;"", IF('Cost Inputs'!$L$193="Y", $E822, IF('Cost Inputs'!$L$193="N", IF(ISNUMBER('Cost Inputs'!$M$193), $E822, ""),"")),""),"")</f>
        <v/>
      </c>
      <c r="R822" s="93" t="str">
        <f>IF(ISNUMBER($B798), IF($C822&lt;&gt;"", IF('Cost Inputs'!$L$193="Y", $E822, IF('Cost Inputs'!$L$193="N", IF(ISNUMBER('Cost Inputs'!$M$193), $E822, ""),"")),""),"")</f>
        <v/>
      </c>
      <c r="S822" s="93" t="str">
        <f>IF(ISNUMBER($B798), IF($C822&lt;&gt;"", IF('Cost Inputs'!$L$193="Y", $E822, IF('Cost Inputs'!$L$193="N", IF(ISNUMBER('Cost Inputs'!$M$193), $E822, ""),"")),""),"")</f>
        <v/>
      </c>
      <c r="T822" s="93" t="str">
        <f>IF(ISNUMBER($B798), IF($C822&lt;&gt;"", IF('Cost Inputs'!$L$193="Y", $E822, IF('Cost Inputs'!$L$193="N", IF(ISNUMBER('Cost Inputs'!$M$193), $E822, ""),"")),""),"")</f>
        <v/>
      </c>
      <c r="U822" s="93" t="str">
        <f>IF(ISNUMBER($B798), IF($C822&lt;&gt;"", IF('Cost Inputs'!$L$193="Y", $E822, IF('Cost Inputs'!$L$193="N", IF(ISNUMBER('Cost Inputs'!$M$193), $E822, ""),"")),""),"")</f>
        <v/>
      </c>
      <c r="V822" s="93" t="str">
        <f>IF(ISNUMBER($B798), IF($C822&lt;&gt;"", IF('Cost Inputs'!$L$193="Y", $E822, IF('Cost Inputs'!$L$193="N", IF(ISNUMBER('Cost Inputs'!$M$193), $E822, ""),"")),""),"")</f>
        <v/>
      </c>
      <c r="W822" s="93" t="str">
        <f>IF(ISNUMBER($B798), IF($C822&lt;&gt;"", IF('Cost Inputs'!$L$193="Y", $E822, IF('Cost Inputs'!$L$193="N", IF(ISNUMBER('Cost Inputs'!$M$193), $E822, ""),"")),""),"")</f>
        <v/>
      </c>
      <c r="X822" s="93" t="str">
        <f>IF(ISNUMBER($B798), IF($C822&lt;&gt;"", IF('Cost Inputs'!$L$193="Y", $E822, IF('Cost Inputs'!$L$193="N", IF(ISNUMBER('Cost Inputs'!$M$193), $E822, ""),"")),""),"")</f>
        <v/>
      </c>
      <c r="Y822" s="93" t="str">
        <f>IF(ISNUMBER($B798), IF($C822&lt;&gt;"", IF('Cost Inputs'!$L$193="Y", $E822, IF('Cost Inputs'!$L$193="N", IF(ISNUMBER('Cost Inputs'!$M$193), $E822, ""),"")),""),"")</f>
        <v/>
      </c>
    </row>
    <row r="823" spans="1:25" x14ac:dyDescent="0.25">
      <c r="A823" s="518"/>
      <c r="B823" s="504"/>
      <c r="C823" s="104" t="str">
        <f>IF(AND(ISNUMBER(B798), OR('Cost Inputs'!$H$194&lt;&gt;"", 'Cost Inputs'!$I$194&lt;&gt;"", 'Cost Inputs'!$J$194&lt;&gt;"")), _6_4_3, "")</f>
        <v/>
      </c>
      <c r="D823" s="17" t="str">
        <f>IF(AND(C823&lt;&gt;"", 'Cost Inputs'!$G$194&lt;&gt;""), 'Cost Inputs'!$G$194, "")</f>
        <v/>
      </c>
      <c r="E823" s="17" t="str">
        <f>IF(AND(C823&lt;&gt;"", 'Cost Inputs'!$H$194&lt;&gt;""), 'Cost Inputs'!$H$194, "")</f>
        <v/>
      </c>
      <c r="F823" s="17" t="str">
        <f>IF(AND(C823&lt;&gt;"", 'Cost Inputs'!$I$194&lt;&gt;""), 'Cost Inputs'!$I$194, "")</f>
        <v/>
      </c>
      <c r="G823" s="105" t="str">
        <f t="shared" si="482"/>
        <v/>
      </c>
      <c r="H823" s="17" t="str">
        <f>IF(AND(C823&lt;&gt;"", 'Cost Inputs'!$J$194&lt;&gt;""), 'Cost Inputs'!$J$194, "")</f>
        <v/>
      </c>
      <c r="I823" s="17" t="str">
        <f t="shared" si="483"/>
        <v/>
      </c>
      <c r="J823" s="17" t="str">
        <f>IF(AND(C823&lt;&gt;"",('Cost Inputs'!$I$194+'Cost Inputs'!$J$194+'Cost Inputs'!$K$194)&gt;0), 'Cost Inputs'!$I$194+'Cost Inputs'!$J$194+'Cost Inputs'!$K$194, "")</f>
        <v/>
      </c>
      <c r="K823" s="17" t="str">
        <f t="shared" si="484"/>
        <v/>
      </c>
      <c r="M823" s="106"/>
      <c r="P823" s="17" t="str">
        <f>IF(ISNUMBER($B798), IF($C823&lt;&gt;"", IF('Cost Inputs'!$L$194="Y", $E823, IF('Cost Inputs'!$L$194="N", IF(ISNUMBER('Cost Inputs'!$M$194), $E823, ""),"")),""),"")</f>
        <v/>
      </c>
      <c r="Q823" s="17" t="str">
        <f>IF(ISNUMBER($B798), IF($C823&lt;&gt;"", IF('Cost Inputs'!$L$194="Y", $E823, IF('Cost Inputs'!$L$194="N", IF(ISNUMBER('Cost Inputs'!$M$194), $E823, ""),"")),""),"")</f>
        <v/>
      </c>
      <c r="R823" s="17" t="str">
        <f>IF(ISNUMBER($B798), IF($C823&lt;&gt;"", IF('Cost Inputs'!$L$194="Y", $E823, IF('Cost Inputs'!$L$194="N", IF(ISNUMBER('Cost Inputs'!$M$194), $E823, ""),"")),""),"")</f>
        <v/>
      </c>
      <c r="S823" s="17" t="str">
        <f>IF(ISNUMBER($B798), IF($C823&lt;&gt;"", IF('Cost Inputs'!$L$194="Y", $E823, IF('Cost Inputs'!$L$194="N", IF(ISNUMBER('Cost Inputs'!$M$194), $E823, ""),"")),""),"")</f>
        <v/>
      </c>
      <c r="T823" s="17" t="str">
        <f>IF(ISNUMBER($B798), IF($C823&lt;&gt;"", IF('Cost Inputs'!$L$194="Y", $E823, IF('Cost Inputs'!$L$194="N", IF(ISNUMBER('Cost Inputs'!$M$194), $E823, ""),"")),""),"")</f>
        <v/>
      </c>
      <c r="U823" s="17" t="str">
        <f>IF(ISNUMBER($B798), IF($C823&lt;&gt;"", IF('Cost Inputs'!$L$194="Y", $E823, IF('Cost Inputs'!$L$194="N", IF(ISNUMBER('Cost Inputs'!$M$194), $E823, ""),"")),""),"")</f>
        <v/>
      </c>
      <c r="V823" s="17" t="str">
        <f>IF(ISNUMBER($B798), IF($C823&lt;&gt;"", IF('Cost Inputs'!$L$194="Y", $E823, IF('Cost Inputs'!$L$194="N", IF(ISNUMBER('Cost Inputs'!$M$194), $E823, ""),"")),""),"")</f>
        <v/>
      </c>
      <c r="W823" s="17" t="str">
        <f>IF(ISNUMBER($B798), IF($C823&lt;&gt;"", IF('Cost Inputs'!$L$194="Y", $E823, IF('Cost Inputs'!$L$194="N", IF(ISNUMBER('Cost Inputs'!$M$194), $E823, ""),"")),""),"")</f>
        <v/>
      </c>
      <c r="X823" s="17" t="str">
        <f>IF(ISNUMBER($B798), IF($C823&lt;&gt;"", IF('Cost Inputs'!$L$194="Y", $E823, IF('Cost Inputs'!$L$194="N", IF(ISNUMBER('Cost Inputs'!$M$194), $E823, ""),"")),""),"")</f>
        <v/>
      </c>
      <c r="Y823" s="17" t="str">
        <f>IF(ISNUMBER($B798), IF($C823&lt;&gt;"", IF('Cost Inputs'!$L$194="Y", $E823, IF('Cost Inputs'!$L$194="N", IF(ISNUMBER('Cost Inputs'!$M$194), $E823, ""),"")),""),"")</f>
        <v/>
      </c>
    </row>
    <row r="824" spans="1:25" x14ac:dyDescent="0.25">
      <c r="A824" s="518"/>
      <c r="B824" s="504"/>
      <c r="C824" s="107" t="str">
        <f>IF(AND(ISNUMBER(B798), OR('Cost Inputs'!$H$195&lt;&gt;"", 'Cost Inputs'!$I$195&lt;&gt;"", 'Cost Inputs'!$J$195&lt;&gt;"")), _6_4_4, "")</f>
        <v/>
      </c>
      <c r="D824" s="93" t="str">
        <f>IF(AND(C824&lt;&gt;"", 'Cost Inputs'!$G$195&lt;&gt;""), 'Cost Inputs'!$G$195, "")</f>
        <v/>
      </c>
      <c r="E824" s="93" t="str">
        <f>IF(AND(C824&lt;&gt;"", 'Cost Inputs'!$H$195&lt;&gt;""), 'Cost Inputs'!$H$195, "")</f>
        <v/>
      </c>
      <c r="F824" s="93" t="str">
        <f>IF(AND(C824&lt;&gt;"", 'Cost Inputs'!$I$195&lt;&gt;""), 'Cost Inputs'!$I$195, "")</f>
        <v/>
      </c>
      <c r="G824" s="108" t="str">
        <f t="shared" si="482"/>
        <v/>
      </c>
      <c r="H824" s="93" t="str">
        <f>IF(AND(C824&lt;&gt;"", 'Cost Inputs'!$J$195&lt;&gt;""), 'Cost Inputs'!$J$195, "")</f>
        <v/>
      </c>
      <c r="I824" s="93" t="str">
        <f t="shared" si="483"/>
        <v/>
      </c>
      <c r="J824" s="93" t="str">
        <f>IF(AND(C824&lt;&gt;"",('Cost Inputs'!$I$195+'Cost Inputs'!$J$195+'Cost Inputs'!$K$195)&gt;0), 'Cost Inputs'!$I$195+'Cost Inputs'!$J$195+'Cost Inputs'!$K$195, "")</f>
        <v/>
      </c>
      <c r="K824" s="93" t="str">
        <f t="shared" si="484"/>
        <v/>
      </c>
      <c r="L824" s="93"/>
      <c r="M824" s="109"/>
      <c r="P824" s="93" t="str">
        <f>IF(ISNUMBER($B798), IF($C824&lt;&gt;"", IF('Cost Inputs'!$L$195="Y", $E824, IF('Cost Inputs'!$L$195="N", IF(ISNUMBER('Cost Inputs'!$M$195), $E824, ""),"")),""),"")</f>
        <v/>
      </c>
      <c r="Q824" s="93" t="str">
        <f>IF(ISNUMBER($B798), IF($C824&lt;&gt;"", IF('Cost Inputs'!$L$195="Y", $E824, IF('Cost Inputs'!$L$195="N", IF(ISNUMBER('Cost Inputs'!$M$195), $E824, ""),"")),""),"")</f>
        <v/>
      </c>
      <c r="R824" s="93" t="str">
        <f>IF(ISNUMBER($B798), IF($C824&lt;&gt;"", IF('Cost Inputs'!$L$195="Y", $E824, IF('Cost Inputs'!$L$195="N", IF(ISNUMBER('Cost Inputs'!$M$195), $E824, ""),"")),""),"")</f>
        <v/>
      </c>
      <c r="S824" s="93" t="str">
        <f>IF(ISNUMBER($B798), IF($C824&lt;&gt;"", IF('Cost Inputs'!$L$195="Y", $E824, IF('Cost Inputs'!$L$195="N", IF(ISNUMBER('Cost Inputs'!$M$195), $E824, ""),"")),""),"")</f>
        <v/>
      </c>
      <c r="T824" s="93" t="str">
        <f>IF(ISNUMBER($B798), IF($C824&lt;&gt;"", IF('Cost Inputs'!$L$195="Y", $E824, IF('Cost Inputs'!$L$195="N", IF(ISNUMBER('Cost Inputs'!$M$195), $E824, ""),"")),""),"")</f>
        <v/>
      </c>
      <c r="U824" s="93" t="str">
        <f>IF(ISNUMBER($B798), IF($C824&lt;&gt;"", IF('Cost Inputs'!$L$195="Y", $E824, IF('Cost Inputs'!$L$195="N", IF(ISNUMBER('Cost Inputs'!$M$195), $E824, ""),"")),""),"")</f>
        <v/>
      </c>
      <c r="V824" s="93" t="str">
        <f>IF(ISNUMBER($B798), IF($C824&lt;&gt;"", IF('Cost Inputs'!$L$195="Y", $E824, IF('Cost Inputs'!$L$195="N", IF(ISNUMBER('Cost Inputs'!$M$195), $E824, ""),"")),""),"")</f>
        <v/>
      </c>
      <c r="W824" s="93" t="str">
        <f>IF(ISNUMBER($B798), IF($C824&lt;&gt;"", IF('Cost Inputs'!$L$195="Y", $E824, IF('Cost Inputs'!$L$195="N", IF(ISNUMBER('Cost Inputs'!$M$195), $E824, ""),"")),""),"")</f>
        <v/>
      </c>
      <c r="X824" s="93" t="str">
        <f>IF(ISNUMBER($B798), IF($C824&lt;&gt;"", IF('Cost Inputs'!$L$195="Y", $E824, IF('Cost Inputs'!$L$195="N", IF(ISNUMBER('Cost Inputs'!$M$195), $E824, ""),"")),""),"")</f>
        <v/>
      </c>
      <c r="Y824" s="93" t="str">
        <f>IF(ISNUMBER($B798), IF($C824&lt;&gt;"", IF('Cost Inputs'!$L$195="Y", $E824, IF('Cost Inputs'!$L$195="N", IF(ISNUMBER('Cost Inputs'!$M$195), $E824, ""),"")),""),"")</f>
        <v/>
      </c>
    </row>
    <row r="825" spans="1:25" x14ac:dyDescent="0.25">
      <c r="A825" s="518"/>
      <c r="B825" s="504"/>
      <c r="C825" s="104" t="str">
        <f>IF(AND(ISNUMBER(B798), OR('Cost Inputs'!$H$196&lt;&gt;"", 'Cost Inputs'!$I$196&lt;&gt;"", 'Cost Inputs'!$J$196&lt;&gt;"")), _6_4_5, "")</f>
        <v/>
      </c>
      <c r="D825" s="17" t="str">
        <f>IF(AND(C825&lt;&gt;"", 'Cost Inputs'!$G$196&lt;&gt;""), 'Cost Inputs'!$G$196, "")</f>
        <v/>
      </c>
      <c r="E825" s="17" t="str">
        <f>IF(AND(C825&lt;&gt;"", 'Cost Inputs'!$H$196&lt;&gt;""), 'Cost Inputs'!$H$196, "")</f>
        <v/>
      </c>
      <c r="F825" s="17" t="str">
        <f>IF(AND(C825&lt;&gt;"", 'Cost Inputs'!$I$196&lt;&gt;""), 'Cost Inputs'!$I$196, "")</f>
        <v/>
      </c>
      <c r="G825" s="105" t="str">
        <f t="shared" si="482"/>
        <v/>
      </c>
      <c r="H825" s="17" t="str">
        <f>IF(AND(C825&lt;&gt;"", 'Cost Inputs'!$J$196&lt;&gt;""), 'Cost Inputs'!$J$196, "")</f>
        <v/>
      </c>
      <c r="I825" s="17" t="str">
        <f t="shared" si="483"/>
        <v/>
      </c>
      <c r="J825" s="17" t="str">
        <f>IF(AND(C825&lt;&gt;"",('Cost Inputs'!$I$196+'Cost Inputs'!$J$196+'Cost Inputs'!$K$196)&gt;0), 'Cost Inputs'!$I$196+'Cost Inputs'!$J$196+'Cost Inputs'!$K$196, "")</f>
        <v/>
      </c>
      <c r="K825" s="17" t="str">
        <f t="shared" si="484"/>
        <v/>
      </c>
      <c r="M825" s="106"/>
      <c r="P825" s="17" t="str">
        <f>IF(ISNUMBER($B798), IF($C825&lt;&gt;"", IF('Cost Inputs'!$L$196="Y", $E825, IF('Cost Inputs'!$L$196="N", IF(ISNUMBER('Cost Inputs'!$M$196), $E825, ""),"")),""),"")</f>
        <v/>
      </c>
      <c r="Q825" s="17" t="str">
        <f>IF(ISNUMBER($B798), IF($C825&lt;&gt;"", IF('Cost Inputs'!$L$196="Y", $E825, IF('Cost Inputs'!$L$196="N", IF(ISNUMBER('Cost Inputs'!$M$196), $E825, ""),"")),""),"")</f>
        <v/>
      </c>
      <c r="R825" s="17" t="str">
        <f>IF(ISNUMBER($B798), IF($C825&lt;&gt;"", IF('Cost Inputs'!$L$196="Y", $E825, IF('Cost Inputs'!$L$196="N", IF(ISNUMBER('Cost Inputs'!$M$196), $E825, ""),"")),""),"")</f>
        <v/>
      </c>
      <c r="S825" s="17" t="str">
        <f>IF(ISNUMBER($B798), IF($C825&lt;&gt;"", IF('Cost Inputs'!$L$196="Y", $E825, IF('Cost Inputs'!$L$196="N", IF(ISNUMBER('Cost Inputs'!$M$196), $E825, ""),"")),""),"")</f>
        <v/>
      </c>
      <c r="T825" s="17" t="str">
        <f>IF(ISNUMBER($B798), IF($C825&lt;&gt;"", IF('Cost Inputs'!$L$196="Y", $E825, IF('Cost Inputs'!$L$196="N", IF(ISNUMBER('Cost Inputs'!$M$196), $E825, ""),"")),""),"")</f>
        <v/>
      </c>
      <c r="U825" s="17" t="str">
        <f>IF(ISNUMBER($B798), IF($C825&lt;&gt;"", IF('Cost Inputs'!$L$196="Y", $E825, IF('Cost Inputs'!$L$196="N", IF(ISNUMBER('Cost Inputs'!$M$196), $E825, ""),"")),""),"")</f>
        <v/>
      </c>
      <c r="V825" s="17" t="str">
        <f>IF(ISNUMBER($B798), IF($C825&lt;&gt;"", IF('Cost Inputs'!$L$196="Y", $E825, IF('Cost Inputs'!$L$196="N", IF(ISNUMBER('Cost Inputs'!$M$196), $E825, ""),"")),""),"")</f>
        <v/>
      </c>
      <c r="W825" s="17" t="str">
        <f>IF(ISNUMBER($B798), IF($C825&lt;&gt;"", IF('Cost Inputs'!$L$196="Y", $E825, IF('Cost Inputs'!$L$196="N", IF(ISNUMBER('Cost Inputs'!$M$196), $E825, ""),"")),""),"")</f>
        <v/>
      </c>
      <c r="X825" s="17" t="str">
        <f>IF(ISNUMBER($B798), IF($C825&lt;&gt;"", IF('Cost Inputs'!$L$196="Y", $E825, IF('Cost Inputs'!$L$196="N", IF(ISNUMBER('Cost Inputs'!$M$196), $E825, ""),"")),""),"")</f>
        <v/>
      </c>
      <c r="Y825" s="17" t="str">
        <f>IF(ISNUMBER($B798), IF($C825&lt;&gt;"", IF('Cost Inputs'!$L$196="Y", $E825, IF('Cost Inputs'!$L$196="N", IF(ISNUMBER('Cost Inputs'!$M$196), $E825, ""),"")),""),"")</f>
        <v/>
      </c>
    </row>
    <row r="826" spans="1:25" x14ac:dyDescent="0.25">
      <c r="A826" s="518"/>
      <c r="B826" s="504"/>
      <c r="C826" s="107" t="str">
        <f>IF(AND(ISNUMBER(B798), OR('Cost Inputs'!$H$197&lt;&gt;"", 'Cost Inputs'!$I$197&lt;&gt;"", 'Cost Inputs'!$J$197&lt;&gt;"")), _6_4_6, "")</f>
        <v/>
      </c>
      <c r="D826" s="93" t="str">
        <f>IF(AND(C826&lt;&gt;"", 'Cost Inputs'!$G$197&lt;&gt;""), 'Cost Inputs'!$G$197, "")</f>
        <v/>
      </c>
      <c r="E826" s="93" t="str">
        <f>IF(AND(C826&lt;&gt;"", 'Cost Inputs'!$H$197&lt;&gt;""), 'Cost Inputs'!$H$197, "")</f>
        <v/>
      </c>
      <c r="F826" s="93" t="str">
        <f>IF(AND(C826&lt;&gt;"", 'Cost Inputs'!$I$197&lt;&gt;""), 'Cost Inputs'!$I$197, "")</f>
        <v/>
      </c>
      <c r="G826" s="108" t="str">
        <f t="shared" si="482"/>
        <v/>
      </c>
      <c r="H826" s="93" t="str">
        <f>IF(AND(C826&lt;&gt;"", 'Cost Inputs'!$J$197&lt;&gt;""), 'Cost Inputs'!$J$16, "")</f>
        <v/>
      </c>
      <c r="I826" s="93" t="str">
        <f t="shared" si="483"/>
        <v/>
      </c>
      <c r="J826" s="93" t="str">
        <f>IF(AND(C826&lt;&gt;"",('Cost Inputs'!$I$197+'Cost Inputs'!$J$197+'Cost Inputs'!$K$197)&gt;0), 'Cost Inputs'!$I$197+'Cost Inputs'!$J$197+'Cost Inputs'!$K$197, "")</f>
        <v/>
      </c>
      <c r="K826" s="93" t="str">
        <f t="shared" si="484"/>
        <v/>
      </c>
      <c r="L826" s="93"/>
      <c r="M826" s="109"/>
      <c r="P826" s="93" t="str">
        <f>IF(ISNUMBER($B798), IF($C826&lt;&gt;"", IF('Cost Inputs'!$L$197="Y", $E826, IF('Cost Inputs'!$L$197="N", IF(ISNUMBER('Cost Inputs'!$M$197), $E826, ""),"")),""),"")</f>
        <v/>
      </c>
      <c r="Q826" s="93" t="str">
        <f>IF(ISNUMBER($B798), IF($C826&lt;&gt;"", IF('Cost Inputs'!$L$197="Y", $E826, IF('Cost Inputs'!$L$197="N", IF(ISNUMBER('Cost Inputs'!$M$197), $E826, ""),"")),""),"")</f>
        <v/>
      </c>
      <c r="R826" s="93" t="str">
        <f>IF(ISNUMBER($B798), IF($C826&lt;&gt;"", IF('Cost Inputs'!$L$197="Y", $E826, IF('Cost Inputs'!$L$197="N", IF(ISNUMBER('Cost Inputs'!$M$197), $E826, ""),"")),""),"")</f>
        <v/>
      </c>
      <c r="S826" s="93" t="str">
        <f>IF(ISNUMBER($B798), IF($C826&lt;&gt;"", IF('Cost Inputs'!$L$197="Y", $E826, IF('Cost Inputs'!$L$197="N", IF(ISNUMBER('Cost Inputs'!$M$197), $E826, ""),"")),""),"")</f>
        <v/>
      </c>
      <c r="T826" s="93" t="str">
        <f>IF(ISNUMBER($B798), IF($C826&lt;&gt;"", IF('Cost Inputs'!$L$197="Y", $E826, IF('Cost Inputs'!$L$197="N", IF(ISNUMBER('Cost Inputs'!$M$197), $E826, ""),"")),""),"")</f>
        <v/>
      </c>
      <c r="U826" s="93" t="str">
        <f>IF(ISNUMBER($B798), IF($C826&lt;&gt;"", IF('Cost Inputs'!$L$197="Y", $E826, IF('Cost Inputs'!$L$197="N", IF(ISNUMBER('Cost Inputs'!$M$197), $E826, ""),"")),""),"")</f>
        <v/>
      </c>
      <c r="V826" s="93" t="str">
        <f>IF(ISNUMBER($B798), IF($C826&lt;&gt;"", IF('Cost Inputs'!$L$197="Y", $E826, IF('Cost Inputs'!$L$197="N", IF(ISNUMBER('Cost Inputs'!$M$197), $E826, ""),"")),""),"")</f>
        <v/>
      </c>
      <c r="W826" s="93" t="str">
        <f>IF(ISNUMBER($B798), IF($C826&lt;&gt;"", IF('Cost Inputs'!$L$197="Y", $E826, IF('Cost Inputs'!$L$197="N", IF(ISNUMBER('Cost Inputs'!$M$197), $E826, ""),"")),""),"")</f>
        <v/>
      </c>
      <c r="X826" s="93" t="str">
        <f>IF(ISNUMBER($B798), IF($C826&lt;&gt;"", IF('Cost Inputs'!$L$197="Y", $E826, IF('Cost Inputs'!$L$197="N", IF(ISNUMBER('Cost Inputs'!$M$197), $E826, ""),"")),""),"")</f>
        <v/>
      </c>
      <c r="Y826" s="93" t="str">
        <f>IF(ISNUMBER($B798), IF($C826&lt;&gt;"", IF('Cost Inputs'!$L$197="Y", $E826, IF('Cost Inputs'!$L$197="N", IF(ISNUMBER('Cost Inputs'!$M$197), $E826, ""),"")),""),"")</f>
        <v/>
      </c>
    </row>
    <row r="827" spans="1:25" x14ac:dyDescent="0.25">
      <c r="A827" s="518"/>
      <c r="B827" s="504"/>
      <c r="C827" s="521" t="str">
        <f>IF(AND(B816&lt;&gt;"",ISNUMBER(B816),ISNUMBER(Stage4EvaluationBegins)),IF((INDEX(ProgramYearStage4,MATCH(Stage4EvaluationBegins,Years_in_Stage4,0)))=B816,_6_5_0,IF(AND(B816&lt;&gt;"",C805&lt;&gt;""),_6_5_0,IF(AND(B816&lt;&gt;"",ISNUMBER(B816),OR(Stage4EvaluationBegins=0,Stage4EvaluationBegins="")),"",""))),"")</f>
        <v/>
      </c>
      <c r="D827" s="94" t="str">
        <f>IF(AND(C827&lt;&gt;"", 'Cost Inputs'!$G$198&lt;&gt;""), 'Cost Inputs'!$G$198, "")</f>
        <v/>
      </c>
      <c r="E827" s="94" t="str">
        <f>IF(AND(C827&lt;&gt;"", 'Cost Inputs'!$H$198&lt;&gt;""), 'Cost Inputs'!$H$198, "")</f>
        <v/>
      </c>
      <c r="F827" s="492" t="str">
        <f>IF(AND(C827&lt;&gt;"", 'Cost Inputs'!$I$198&lt;&gt;""), 'Cost Inputs'!$I$198, "")</f>
        <v/>
      </c>
      <c r="G827" s="102" t="str">
        <f t="shared" si="482"/>
        <v/>
      </c>
      <c r="H827" s="492" t="str">
        <f>IF(AND(C827&lt;&gt;"", 'Cost Inputs'!$J$198&lt;&gt;""), 'Cost Inputs'!$J$198, "")</f>
        <v/>
      </c>
      <c r="I827" s="102" t="str">
        <f>IF($C827&lt;&gt;"",IF(AND($E827&lt;&gt;"",H827&lt;&gt;""), H827/$E827, 0),"")</f>
        <v/>
      </c>
      <c r="J827" s="492" t="str">
        <f>IF(AND(C827&lt;&gt;"",('Cost Inputs'!$I$198+'Cost Inputs'!$J$198+'Cost Inputs'!$K$198)&gt;0), 'Cost Inputs'!$I$198+'Cost Inputs'!$J$198+'Cost Inputs'!$K$198, "")</f>
        <v/>
      </c>
      <c r="K827" s="102" t="str">
        <f>IF($C827&lt;&gt;"",IF(AND($E827&lt;&gt;"",J827&lt;&gt;""), J827/$E827, 0),"")</f>
        <v/>
      </c>
      <c r="L827" s="94"/>
      <c r="M827" s="103"/>
      <c r="P827" s="492" t="str">
        <f>IF(ISNUMBER($B798), IF($C827&lt;&gt;"", IF('Cost Inputs'!$L$198="Y", $E827, IF('Cost Inputs'!$L$198="N", IF(ISNUMBER('Cost Inputs'!$M$198), $E827, ""),"")),""),"")</f>
        <v/>
      </c>
      <c r="Q827" s="492" t="str">
        <f>IF(ISNUMBER($B798), IF($C827&lt;&gt;"", IF('Cost Inputs'!$L$198="Y", $E827, IF('Cost Inputs'!$L$198="N", IF(ISNUMBER('Cost Inputs'!$M$198), $E827, ""),"")),""),"")</f>
        <v/>
      </c>
      <c r="R827" s="492" t="str">
        <f>IF(ISNUMBER($B798), IF($C827&lt;&gt;"", IF('Cost Inputs'!$L$198="Y", $E827, IF('Cost Inputs'!$L$198="N", IF(ISNUMBER('Cost Inputs'!$M$198), $E827, ""),"")),""),"")</f>
        <v/>
      </c>
      <c r="S827" s="492" t="str">
        <f>IF(ISNUMBER($B798), IF($C827&lt;&gt;"", IF('Cost Inputs'!$L$198="Y", $E827, IF('Cost Inputs'!$L$198="N", IF(ISNUMBER('Cost Inputs'!$M$198), $E827, ""),"")),""),"")</f>
        <v/>
      </c>
      <c r="T827" s="492" t="str">
        <f>IF(ISNUMBER($B798), IF($C827&lt;&gt;"", IF('Cost Inputs'!$L$198="Y", $E827, IF('Cost Inputs'!$L$198="N", IF(ISNUMBER('Cost Inputs'!$M$198), $E827, ""),"")),""),"")</f>
        <v/>
      </c>
      <c r="U827" s="492" t="str">
        <f>IF(ISNUMBER($B798), IF($C827&lt;&gt;"", IF('Cost Inputs'!$L$198="Y", $E827, IF('Cost Inputs'!$L$198="N", IF(ISNUMBER('Cost Inputs'!$M$198), $E827, ""),"")),""),"")</f>
        <v/>
      </c>
      <c r="V827" s="492" t="str">
        <f>IF(ISNUMBER($B798), IF($C827&lt;&gt;"", IF('Cost Inputs'!$L$198="Y", $E827, IF('Cost Inputs'!$L$198="N", IF(ISNUMBER('Cost Inputs'!$M$198), $E827, ""),"")),""),"")</f>
        <v/>
      </c>
      <c r="W827" s="492" t="str">
        <f>IF(ISNUMBER($B798), IF($C827&lt;&gt;"", IF('Cost Inputs'!$L$198="Y", $E827, IF('Cost Inputs'!$L$198="N", IF(ISNUMBER('Cost Inputs'!$M$198), $E827, ""),"")),""),"")</f>
        <v/>
      </c>
      <c r="X827" s="492" t="str">
        <f>IF(ISNUMBER($B798), IF($C827&lt;&gt;"", IF('Cost Inputs'!$L$198="Y", $E827, IF('Cost Inputs'!$L$198="N", IF(ISNUMBER('Cost Inputs'!$M$198), $E827, ""),"")),""),"")</f>
        <v/>
      </c>
      <c r="Y827" s="492" t="str">
        <f>IF(ISNUMBER($B798), IF($C827&lt;&gt;"", IF('Cost Inputs'!$L$198="Y", $E827, IF('Cost Inputs'!$L$198="N", IF(ISNUMBER('Cost Inputs'!$M$198), $E827, ""),"")),""),"")</f>
        <v/>
      </c>
    </row>
    <row r="828" spans="1:25" x14ac:dyDescent="0.25">
      <c r="A828" s="518"/>
      <c r="B828" s="504"/>
      <c r="C828" s="521"/>
      <c r="D828" s="94" t="str">
        <f>IF(AND(C827&lt;&gt;"", 'Cost Inputs'!$G$199&lt;&gt;""), 'Cost Inputs'!$G$199, "")</f>
        <v/>
      </c>
      <c r="E828" s="94" t="str">
        <f>IF(AND(C827&lt;&gt;"", 'Cost Inputs'!$H$199&lt;&gt;""), 'Cost Inputs'!$H$199, "")</f>
        <v/>
      </c>
      <c r="F828" s="492"/>
      <c r="G828" s="102" t="str">
        <f t="shared" si="482"/>
        <v/>
      </c>
      <c r="H828" s="492"/>
      <c r="I828" s="102" t="str">
        <f>IF($C827&lt;&gt;"", IF(AND($E828&lt;&gt;"", H827&lt;&gt;""), H827/($E827*$E828), 0), "")</f>
        <v/>
      </c>
      <c r="J828" s="492" t="str">
        <f>IF(AND(C828&lt;&gt;"",('Cost Inputs'!$I$86+'Cost Inputs'!$J$86+'Cost Inputs'!$K$86)&gt;0), 'Cost Inputs'!$I$86+'Cost Inputs'!$J$86+'Cost Inputs'!$K$86, "")</f>
        <v/>
      </c>
      <c r="K828" s="102" t="str">
        <f>IF($C827&lt;&gt;"", IF(AND($E828&lt;&gt;"", J827&lt;&gt;""), J827/($E827*$E828), 0), "")</f>
        <v/>
      </c>
      <c r="L828" s="94"/>
      <c r="M828" s="103"/>
      <c r="P828" s="492" t="str">
        <f>IF(ISNUMBER($B$776), IF($C828&lt;&gt;"", IF('Cost Inputs'!$L221="Y", $E828, IF('Cost Inputs'!$L221="N", IF(ISNUMBER('Cost Inputs'!$M221), $E828, ""),"")),""),"")</f>
        <v/>
      </c>
      <c r="Q828" s="492" t="str">
        <f>IF(ISNUMBER($B$776), IF($C828&lt;&gt;"", IF('Cost Inputs'!$L221="Y", $E828, IF('Cost Inputs'!$L221="N", IF(ISNUMBER('Cost Inputs'!$M221), $E828, ""),"")),""),"")</f>
        <v/>
      </c>
      <c r="R828" s="492" t="str">
        <f>IF(ISNUMBER($B$776), IF($C828&lt;&gt;"", IF('Cost Inputs'!$L221="Y", $E828, IF('Cost Inputs'!$L221="N", IF(ISNUMBER('Cost Inputs'!$M221), $E828, ""),"")),""),"")</f>
        <v/>
      </c>
      <c r="S828" s="492" t="str">
        <f>IF(ISNUMBER($B$776), IF($C828&lt;&gt;"", IF('Cost Inputs'!$L221="Y", $E828, IF('Cost Inputs'!$L221="N", IF(ISNUMBER('Cost Inputs'!$M221), $E828, ""),"")),""),"")</f>
        <v/>
      </c>
      <c r="T828" s="492" t="str">
        <f>IF(ISNUMBER($B$776), IF($C828&lt;&gt;"", IF('Cost Inputs'!$L221="Y", $E828, IF('Cost Inputs'!$L221="N", IF(ISNUMBER('Cost Inputs'!$M221), $E828, ""),"")),""),"")</f>
        <v/>
      </c>
      <c r="U828" s="492" t="str">
        <f>IF(ISNUMBER($B$776), IF($C828&lt;&gt;"", IF('Cost Inputs'!$L221="Y", $E828, IF('Cost Inputs'!$L221="N", IF(ISNUMBER('Cost Inputs'!$M221), $E828, ""),"")),""),"")</f>
        <v/>
      </c>
      <c r="V828" s="492" t="str">
        <f>IF(ISNUMBER($B$776), IF($C828&lt;&gt;"", IF('Cost Inputs'!$L221="Y", $E828, IF('Cost Inputs'!$L221="N", IF(ISNUMBER('Cost Inputs'!$M221), $E828, ""),"")),""),"")</f>
        <v/>
      </c>
      <c r="W828" s="492" t="str">
        <f>IF(ISNUMBER($B$776), IF($C828&lt;&gt;"", IF('Cost Inputs'!$L221="Y", $E828, IF('Cost Inputs'!$L221="N", IF(ISNUMBER('Cost Inputs'!$M221), $E828, ""),"")),""),"")</f>
        <v/>
      </c>
      <c r="X828" s="492" t="str">
        <f>IF(ISNUMBER($B$776), IF($C828&lt;&gt;"", IF('Cost Inputs'!$L221="Y", $E828, IF('Cost Inputs'!$L221="N", IF(ISNUMBER('Cost Inputs'!$M221), $E828, ""),"")),""),"")</f>
        <v/>
      </c>
      <c r="Y828" s="492" t="str">
        <f>IF(ISNUMBER($B$776), IF($C828&lt;&gt;"", IF('Cost Inputs'!$L221="Y", $E828, IF('Cost Inputs'!$L221="N", IF(ISNUMBER('Cost Inputs'!$M221), $E828, ""),"")),""),"")</f>
        <v/>
      </c>
    </row>
    <row r="829" spans="1:25" x14ac:dyDescent="0.25">
      <c r="A829" s="518"/>
      <c r="B829" s="504"/>
      <c r="C829" s="376" t="str">
        <f>IF(AND(ISNUMBER(B798), C827&lt;&gt;"", OR('Cost Inputs'!$H$200&lt;&gt;"", 'Cost Inputs'!$I$200&lt;&gt;"", 'Cost Inputs'!$J$200&lt;&gt;"")), _6_5_1, "")</f>
        <v/>
      </c>
      <c r="D829" s="17" t="str">
        <f>IF(AND(C829&lt;&gt;"", 'Cost Inputs'!$G$200&lt;&gt;""), 'Cost Inputs'!$G$200, "")</f>
        <v/>
      </c>
      <c r="E829" s="17" t="str">
        <f>IF(AND(C829&lt;&gt;"", 'Cost Inputs'!$H$200&lt;&gt;""), 'Cost Inputs'!$H$200, "")</f>
        <v/>
      </c>
      <c r="F829" s="493" t="str">
        <f>IF(AND(C829&lt;&gt;"", 'Cost Inputs'!$I$200&lt;&gt;""), 'Cost Inputs'!$I$200, "")</f>
        <v/>
      </c>
      <c r="G829" s="105" t="str">
        <f t="shared" si="482"/>
        <v/>
      </c>
      <c r="H829" s="493" t="str">
        <f>IF(AND(C829&lt;&gt;"", 'Cost Inputs'!$J$200&lt;&gt;""), 'Cost Inputs'!$J$200, "")</f>
        <v/>
      </c>
      <c r="I829" s="105" t="str">
        <f>IF($C829&lt;&gt;"",IF(AND($E829&lt;&gt;"",H829&lt;&gt;""), H829/$E829, 0),"")</f>
        <v/>
      </c>
      <c r="J829" s="493" t="str">
        <f>IF(AND(C829&lt;&gt;"",('Cost Inputs'!$I$200+'Cost Inputs'!$J$200+'Cost Inputs'!$K$200)&gt;0), 'Cost Inputs'!$I$200+'Cost Inputs'!$J$200+'Cost Inputs'!$K$200, "")</f>
        <v/>
      </c>
      <c r="K829" s="105" t="str">
        <f>IF($C829&lt;&gt;"",IF(AND($E829&lt;&gt;"",J829&lt;&gt;""), J829/$E829, 0),"")</f>
        <v/>
      </c>
      <c r="M829" s="106"/>
      <c r="P829" s="493" t="str">
        <f>IF(ISNUMBER($B798), IF($C829&lt;&gt;"", IF('Cost Inputs'!$L$200="Y", $E829, IF('Cost Inputs'!$L$200="N", IF(ISNUMBER('Cost Inputs'!$M$200), $E829, ""),"")),""),"")</f>
        <v/>
      </c>
      <c r="Q829" s="493" t="str">
        <f>IF(ISNUMBER($B798), IF($C829&lt;&gt;"", IF('Cost Inputs'!$L$200="Y", $E829, IF('Cost Inputs'!$L$200="N", IF(ISNUMBER('Cost Inputs'!$M$200), $E829, ""),"")),""),"")</f>
        <v/>
      </c>
      <c r="R829" s="493" t="str">
        <f>IF(ISNUMBER($B798), IF($C829&lt;&gt;"", IF('Cost Inputs'!$L$200="Y", $E829, IF('Cost Inputs'!$L$200="N", IF(ISNUMBER('Cost Inputs'!$M$200), $E829, ""),"")),""),"")</f>
        <v/>
      </c>
      <c r="S829" s="493" t="str">
        <f>IF(ISNUMBER($B798), IF($C829&lt;&gt;"", IF('Cost Inputs'!$L$200="Y", $E829, IF('Cost Inputs'!$L$200="N", IF(ISNUMBER('Cost Inputs'!$M$200), $E829, ""),"")),""),"")</f>
        <v/>
      </c>
      <c r="T829" s="493" t="str">
        <f>IF(ISNUMBER($B798), IF($C829&lt;&gt;"", IF('Cost Inputs'!$L$200="Y", $E829, IF('Cost Inputs'!$L$200="N", IF(ISNUMBER('Cost Inputs'!$M$200), $E829, ""),"")),""),"")</f>
        <v/>
      </c>
      <c r="U829" s="493" t="str">
        <f>IF(ISNUMBER($B798), IF($C829&lt;&gt;"", IF('Cost Inputs'!$L$200="Y", $E829, IF('Cost Inputs'!$L$200="N", IF(ISNUMBER('Cost Inputs'!$M$200), $E829, ""),"")),""),"")</f>
        <v/>
      </c>
      <c r="V829" s="493" t="str">
        <f>IF(ISNUMBER($B798), IF($C829&lt;&gt;"", IF('Cost Inputs'!$L$200="Y", $E829, IF('Cost Inputs'!$L$200="N", IF(ISNUMBER('Cost Inputs'!$M$200), $E829, ""),"")),""),"")</f>
        <v/>
      </c>
      <c r="W829" s="493" t="str">
        <f>IF(ISNUMBER($B798), IF($C829&lt;&gt;"", IF('Cost Inputs'!$L$200="Y", $E829, IF('Cost Inputs'!$L$200="N", IF(ISNUMBER('Cost Inputs'!$M$200), $E829, ""),"")),""),"")</f>
        <v/>
      </c>
      <c r="X829" s="493" t="str">
        <f>IF(ISNUMBER($B798), IF($C829&lt;&gt;"", IF('Cost Inputs'!$L$200="Y", $E829, IF('Cost Inputs'!$L$200="N", IF(ISNUMBER('Cost Inputs'!$M$200), $E829, ""),"")),""),"")</f>
        <v/>
      </c>
      <c r="Y829" s="493" t="str">
        <f>IF(ISNUMBER($B798), IF($C829&lt;&gt;"", IF('Cost Inputs'!$L$200="Y", $E829, IF('Cost Inputs'!$L$200="N", IF(ISNUMBER('Cost Inputs'!$M$200), $E829, ""),"")),""),"")</f>
        <v/>
      </c>
    </row>
    <row r="830" spans="1:25" x14ac:dyDescent="0.25">
      <c r="A830" s="518"/>
      <c r="B830" s="504"/>
      <c r="C830" s="376" t="str">
        <f>IF(AND(ISNUMBER(B812), OR('Cost Inputs'!$H$85&lt;&gt;"", 'Cost Inputs'!$I$85&lt;&gt;"", 'Cost Inputs'!$J$85&lt;&gt;"")), _3_5_1, "")</f>
        <v/>
      </c>
      <c r="D830" s="17" t="str">
        <f>IF(AND(C829&lt;&gt;"", 'Cost Inputs'!$G$201&lt;&gt;""), 'Cost Inputs'!$G$201, "")</f>
        <v/>
      </c>
      <c r="E830" s="17" t="str">
        <f>IF(AND(C829&lt;&gt;"", 'Cost Inputs'!$H$201&lt;&gt;""), 'Cost Inputs'!$H$201, "")</f>
        <v/>
      </c>
      <c r="F830" s="493"/>
      <c r="G830" s="105" t="str">
        <f t="shared" si="482"/>
        <v/>
      </c>
      <c r="H830" s="493"/>
      <c r="I830" s="105" t="str">
        <f>IF($C829&lt;&gt;"", IF(AND($E830&lt;&gt;"", H829&lt;&gt;""), H829/($E829*$E830), 0), "")</f>
        <v/>
      </c>
      <c r="J830" s="493" t="str">
        <f>IF(AND(C830&lt;&gt;"",('Cost Inputs'!$I$86+'Cost Inputs'!$J$86+'Cost Inputs'!$K$86)&gt;0), 'Cost Inputs'!$I$86+'Cost Inputs'!$J$86+'Cost Inputs'!$K$86, "")</f>
        <v/>
      </c>
      <c r="K830" s="105" t="str">
        <f>IF($C829&lt;&gt;"", IF(AND($E830&lt;&gt;"", J829&lt;&gt;""), J829/($E829*$E830), 0), "")</f>
        <v/>
      </c>
      <c r="M830" s="106"/>
      <c r="P830" s="493" t="str">
        <f>IF(ISNUMBER($B$776), IF($C830&lt;&gt;"", IF('Cost Inputs'!$L223="Y", $E830, IF('Cost Inputs'!$L223="N", IF(ISNUMBER('Cost Inputs'!$M223), $E830, ""),"")),""),"")</f>
        <v/>
      </c>
      <c r="Q830" s="493" t="str">
        <f>IF(ISNUMBER($B$776), IF($C830&lt;&gt;"", IF('Cost Inputs'!$L223="Y", $E830, IF('Cost Inputs'!$L223="N", IF(ISNUMBER('Cost Inputs'!$M223), $E830, ""),"")),""),"")</f>
        <v/>
      </c>
      <c r="R830" s="493" t="str">
        <f>IF(ISNUMBER($B$776), IF($C830&lt;&gt;"", IF('Cost Inputs'!$L223="Y", $E830, IF('Cost Inputs'!$L223="N", IF(ISNUMBER('Cost Inputs'!$M223), $E830, ""),"")),""),"")</f>
        <v/>
      </c>
      <c r="S830" s="493" t="str">
        <f>IF(ISNUMBER($B$776), IF($C830&lt;&gt;"", IF('Cost Inputs'!$L223="Y", $E830, IF('Cost Inputs'!$L223="N", IF(ISNUMBER('Cost Inputs'!$M223), $E830, ""),"")),""),"")</f>
        <v/>
      </c>
      <c r="T830" s="493" t="str">
        <f>IF(ISNUMBER($B$776), IF($C830&lt;&gt;"", IF('Cost Inputs'!$L223="Y", $E830, IF('Cost Inputs'!$L223="N", IF(ISNUMBER('Cost Inputs'!$M223), $E830, ""),"")),""),"")</f>
        <v/>
      </c>
      <c r="U830" s="493" t="str">
        <f>IF(ISNUMBER($B$776), IF($C830&lt;&gt;"", IF('Cost Inputs'!$L223="Y", $E830, IF('Cost Inputs'!$L223="N", IF(ISNUMBER('Cost Inputs'!$M223), $E830, ""),"")),""),"")</f>
        <v/>
      </c>
      <c r="V830" s="493" t="str">
        <f>IF(ISNUMBER($B$776), IF($C830&lt;&gt;"", IF('Cost Inputs'!$L223="Y", $E830, IF('Cost Inputs'!$L223="N", IF(ISNUMBER('Cost Inputs'!$M223), $E830, ""),"")),""),"")</f>
        <v/>
      </c>
      <c r="W830" s="493" t="str">
        <f>IF(ISNUMBER($B$776), IF($C830&lt;&gt;"", IF('Cost Inputs'!$L223="Y", $E830, IF('Cost Inputs'!$L223="N", IF(ISNUMBER('Cost Inputs'!$M223), $E830, ""),"")),""),"")</f>
        <v/>
      </c>
      <c r="X830" s="493" t="str">
        <f>IF(ISNUMBER($B$776), IF($C830&lt;&gt;"", IF('Cost Inputs'!$L223="Y", $E830, IF('Cost Inputs'!$L223="N", IF(ISNUMBER('Cost Inputs'!$M223), $E830, ""),"")),""),"")</f>
        <v/>
      </c>
      <c r="Y830" s="493" t="str">
        <f>IF(ISNUMBER($B$776), IF($C830&lt;&gt;"", IF('Cost Inputs'!$L223="Y", $E830, IF('Cost Inputs'!$L223="N", IF(ISNUMBER('Cost Inputs'!$M223), $E830, ""),"")),""),"")</f>
        <v/>
      </c>
    </row>
    <row r="831" spans="1:25" x14ac:dyDescent="0.25">
      <c r="A831" s="518"/>
      <c r="B831" s="504"/>
      <c r="C831" s="107" t="str">
        <f>IF(AND(ISNUMBER(B798), C827&lt;&gt;"", OR('Cost Inputs'!$H$202&lt;&gt;"", 'Cost Inputs'!$I$202&lt;&gt;"", 'Cost Inputs'!$J$202&lt;&gt;"")), _6_5_2, "")</f>
        <v/>
      </c>
      <c r="D831" s="93" t="str">
        <f>IF(AND(C831&lt;&gt;"", 'Cost Inputs'!$G$202&lt;&gt;""), 'Cost Inputs'!$G$202, "")</f>
        <v/>
      </c>
      <c r="E831" s="93" t="str">
        <f>IF(AND(C831&lt;&gt;"", 'Cost Inputs'!$H$202&lt;&gt;""), 'Cost Inputs'!$H$202, "")</f>
        <v/>
      </c>
      <c r="F831" s="93" t="str">
        <f>IF(AND(C831&lt;&gt;"", 'Cost Inputs'!$I$202&lt;&gt;""), 'Cost Inputs'!$I$202, "")</f>
        <v/>
      </c>
      <c r="G831" s="108" t="str">
        <f t="shared" si="482"/>
        <v/>
      </c>
      <c r="H831" s="93" t="str">
        <f>IF(AND(C831&lt;&gt;"", 'Cost Inputs'!$J$202&lt;&gt;""), 'Cost Inputs'!$J$202, "")</f>
        <v/>
      </c>
      <c r="I831" s="93" t="str">
        <f>IF($C831&lt;&gt;"", IF(AND($E831&lt;&gt;"", H831&lt;&gt;""), H831/$E831, 0),"")</f>
        <v/>
      </c>
      <c r="J831" s="93" t="str">
        <f>IF(AND(C831&lt;&gt;"",('Cost Inputs'!$I$202+'Cost Inputs'!$J$202+'Cost Inputs'!$K$202)&gt;0), 'Cost Inputs'!$I$202+'Cost Inputs'!$J$202+'Cost Inputs'!$K$202, "")</f>
        <v/>
      </c>
      <c r="K831" s="93" t="str">
        <f>IF($C831&lt;&gt;"", IF(AND($E831&lt;&gt;"", J831&lt;&gt;""), J831/$E831, 0),"")</f>
        <v/>
      </c>
      <c r="L831" s="93"/>
      <c r="M831" s="109"/>
      <c r="P831" s="93" t="str">
        <f>IF(ISNUMBER($B798), IF($C831&lt;&gt;"", IF('Cost Inputs'!$L$202="Y", $E831, IF('Cost Inputs'!$L$202="N", IF(ISNUMBER('Cost Inputs'!$M$202), $E831, ""),"")),""),"")</f>
        <v/>
      </c>
      <c r="Q831" s="93" t="str">
        <f>IF(ISNUMBER($B798), IF($C831&lt;&gt;"", IF('Cost Inputs'!$L$202="Y", $E831, IF('Cost Inputs'!$L$202="N", IF(ISNUMBER('Cost Inputs'!$M$202), $E831, ""),"")),""),"")</f>
        <v/>
      </c>
      <c r="R831" s="93" t="str">
        <f>IF(ISNUMBER($B798), IF($C831&lt;&gt;"", IF('Cost Inputs'!$L$202="Y", $E831, IF('Cost Inputs'!$L$202="N", IF(ISNUMBER('Cost Inputs'!$M$202), $E831, ""),"")),""),"")</f>
        <v/>
      </c>
      <c r="S831" s="93" t="str">
        <f>IF(ISNUMBER($B798), IF($C831&lt;&gt;"", IF('Cost Inputs'!$L$202="Y", $E831, IF('Cost Inputs'!$L$202="N", IF(ISNUMBER('Cost Inputs'!$M$202), $E831, ""),"")),""),"")</f>
        <v/>
      </c>
      <c r="T831" s="93" t="str">
        <f>IF(ISNUMBER($B798), IF($C831&lt;&gt;"", IF('Cost Inputs'!$L$202="Y", $E831, IF('Cost Inputs'!$L$202="N", IF(ISNUMBER('Cost Inputs'!$M$202), $E831, ""),"")),""),"")</f>
        <v/>
      </c>
      <c r="U831" s="93" t="str">
        <f>IF(ISNUMBER($B798), IF($C831&lt;&gt;"", IF('Cost Inputs'!$L$202="Y", $E831, IF('Cost Inputs'!$L$202="N", IF(ISNUMBER('Cost Inputs'!$M$202), $E831, ""),"")),""),"")</f>
        <v/>
      </c>
      <c r="V831" s="93" t="str">
        <f>IF(ISNUMBER($B798), IF($C831&lt;&gt;"", IF('Cost Inputs'!$L$202="Y", $E831, IF('Cost Inputs'!$L$202="N", IF(ISNUMBER('Cost Inputs'!$M$202), $E831, ""),"")),""),"")</f>
        <v/>
      </c>
      <c r="W831" s="93" t="str">
        <f>IF(ISNUMBER($B798), IF($C831&lt;&gt;"", IF('Cost Inputs'!$L$202="Y", $E831, IF('Cost Inputs'!$L$202="N", IF(ISNUMBER('Cost Inputs'!$M$202), $E831, ""),"")),""),"")</f>
        <v/>
      </c>
      <c r="X831" s="93" t="str">
        <f>IF(ISNUMBER($B798), IF($C831&lt;&gt;"", IF('Cost Inputs'!$L$202="Y", $E831, IF('Cost Inputs'!$L$202="N", IF(ISNUMBER('Cost Inputs'!$M$202), $E831, ""),"")),""),"")</f>
        <v/>
      </c>
      <c r="Y831" s="93" t="str">
        <f>IF(ISNUMBER($B798), IF($C831&lt;&gt;"", IF('Cost Inputs'!$L$202="Y", $E831, IF('Cost Inputs'!$L$202="N", IF(ISNUMBER('Cost Inputs'!$M$202), $E831, ""),"")),""),"")</f>
        <v/>
      </c>
    </row>
    <row r="832" spans="1:25" x14ac:dyDescent="0.25">
      <c r="A832" s="518"/>
      <c r="B832" s="504"/>
      <c r="C832" s="104" t="str">
        <f>IF(AND(ISNUMBER(B798), C827&lt;&gt;"", OR('Cost Inputs'!$H$203&lt;&gt;"", 'Cost Inputs'!$I$203&lt;&gt;"", 'Cost Inputs'!$J$203&lt;&gt;"")), _6_5_3, "")</f>
        <v/>
      </c>
      <c r="D832" s="17" t="str">
        <f>IF(AND(C832&lt;&gt;"", 'Cost Inputs'!$G$203&lt;&gt;""), 'Cost Inputs'!$G$203, "")</f>
        <v/>
      </c>
      <c r="E832" s="17" t="str">
        <f>IF(AND(C832&lt;&gt;"", 'Cost Inputs'!$H$203&lt;&gt;""), 'Cost Inputs'!$H$203, "")</f>
        <v/>
      </c>
      <c r="F832" s="17" t="str">
        <f>IF(AND(C832&lt;&gt;"", 'Cost Inputs'!$I$203&lt;&gt;""), 'Cost Inputs'!$I$203, "")</f>
        <v/>
      </c>
      <c r="G832" s="105" t="str">
        <f t="shared" si="482"/>
        <v/>
      </c>
      <c r="H832" s="17" t="str">
        <f>IF(AND(C832&lt;&gt;"", 'Cost Inputs'!$J$203&lt;&gt;""), 'Cost Inputs'!$J$203, "")</f>
        <v/>
      </c>
      <c r="I832" s="17" t="str">
        <f>IF($C832&lt;&gt;"", IF(AND($E832&lt;&gt;"", H832&lt;&gt;""), H832/$E832, 0),"")</f>
        <v/>
      </c>
      <c r="J832" s="17" t="str">
        <f>IF(AND(C832&lt;&gt;"",('Cost Inputs'!$I$203+'Cost Inputs'!$J$203+'Cost Inputs'!$K$203)&gt;0), 'Cost Inputs'!$I$203+'Cost Inputs'!$J$203+'Cost Inputs'!$K$203, "")</f>
        <v/>
      </c>
      <c r="K832" s="17" t="str">
        <f>IF($C832&lt;&gt;"", IF(AND($E832&lt;&gt;"", J832&lt;&gt;""), J832/$E832, 0),"")</f>
        <v/>
      </c>
      <c r="M832" s="106"/>
      <c r="P832" s="17" t="str">
        <f>IF(ISNUMBER($B798), IF($C832&lt;&gt;"", IF('Cost Inputs'!$L$203="Y", $E832, IF('Cost Inputs'!$L$203="N", IF(ISNUMBER('Cost Inputs'!$M$203), $E832, ""),"")),""),"")</f>
        <v/>
      </c>
      <c r="Q832" s="17" t="str">
        <f>IF(ISNUMBER($B798), IF($C832&lt;&gt;"", IF('Cost Inputs'!$L$203="Y", $E832, IF('Cost Inputs'!$L$203="N", IF(ISNUMBER('Cost Inputs'!$M$203), $E832, ""),"")),""),"")</f>
        <v/>
      </c>
      <c r="R832" s="17" t="str">
        <f>IF(ISNUMBER($B798), IF($C832&lt;&gt;"", IF('Cost Inputs'!$L$203="Y", $E832, IF('Cost Inputs'!$L$203="N", IF(ISNUMBER('Cost Inputs'!$M$203), $E832, ""),"")),""),"")</f>
        <v/>
      </c>
      <c r="S832" s="17" t="str">
        <f>IF(ISNUMBER($B798), IF($C832&lt;&gt;"", IF('Cost Inputs'!$L$203="Y", $E832, IF('Cost Inputs'!$L$203="N", IF(ISNUMBER('Cost Inputs'!$M$203), $E832, ""),"")),""),"")</f>
        <v/>
      </c>
      <c r="T832" s="17" t="str">
        <f>IF(ISNUMBER($B798), IF($C832&lt;&gt;"", IF('Cost Inputs'!$L$203="Y", $E832, IF('Cost Inputs'!$L$203="N", IF(ISNUMBER('Cost Inputs'!$M$203), $E832, ""),"")),""),"")</f>
        <v/>
      </c>
      <c r="U832" s="17" t="str">
        <f>IF(ISNUMBER($B798), IF($C832&lt;&gt;"", IF('Cost Inputs'!$L$203="Y", $E832, IF('Cost Inputs'!$L$203="N", IF(ISNUMBER('Cost Inputs'!$M$203), $E832, ""),"")),""),"")</f>
        <v/>
      </c>
      <c r="V832" s="17" t="str">
        <f>IF(ISNUMBER($B798), IF($C832&lt;&gt;"", IF('Cost Inputs'!$L$203="Y", $E832, IF('Cost Inputs'!$L$203="N", IF(ISNUMBER('Cost Inputs'!$M$203), $E832, ""),"")),""),"")</f>
        <v/>
      </c>
      <c r="W832" s="17" t="str">
        <f>IF(ISNUMBER($B798), IF($C832&lt;&gt;"", IF('Cost Inputs'!$L$203="Y", $E832, IF('Cost Inputs'!$L$203="N", IF(ISNUMBER('Cost Inputs'!$M$203), $E832, ""),"")),""),"")</f>
        <v/>
      </c>
      <c r="X832" s="17" t="str">
        <f>IF(ISNUMBER($B798), IF($C832&lt;&gt;"", IF('Cost Inputs'!$L$203="Y", $E832, IF('Cost Inputs'!$L$203="N", IF(ISNUMBER('Cost Inputs'!$M$203), $E832, ""),"")),""),"")</f>
        <v/>
      </c>
      <c r="Y832" s="17" t="str">
        <f>IF(ISNUMBER($B798), IF($C832&lt;&gt;"", IF('Cost Inputs'!$L$203="Y", $E832, IF('Cost Inputs'!$L$203="N", IF(ISNUMBER('Cost Inputs'!$M$203), $E832, ""),"")),""),"")</f>
        <v/>
      </c>
    </row>
    <row r="833" spans="1:26" x14ac:dyDescent="0.25">
      <c r="A833" s="518"/>
      <c r="B833" s="504"/>
      <c r="C833" s="107" t="str">
        <f>IF(AND(ISNUMBER(B798), C827&lt;&gt;"", OR('Cost Inputs'!$H$204&lt;&gt;"", 'Cost Inputs'!$I$204&lt;&gt;"", 'Cost Inputs'!$J$204&lt;&gt;"")), _6_5_4, "")</f>
        <v/>
      </c>
      <c r="D833" s="93" t="str">
        <f>IF(AND(C833&lt;&gt;"", 'Cost Inputs'!$G$204&lt;&gt;""), 'Cost Inputs'!$G$204, "")</f>
        <v/>
      </c>
      <c r="E833" s="93" t="str">
        <f>IF(AND(C833&lt;&gt;"", 'Cost Inputs'!$H$204&lt;&gt;""), 'Cost Inputs'!$H$204, "")</f>
        <v/>
      </c>
      <c r="F833" s="93" t="str">
        <f>IF(AND(C833&lt;&gt;"", 'Cost Inputs'!$I$204&lt;&gt;""), 'Cost Inputs'!$I$204, "")</f>
        <v/>
      </c>
      <c r="G833" s="108" t="str">
        <f t="shared" si="482"/>
        <v/>
      </c>
      <c r="H833" s="93" t="str">
        <f>IF(AND(C833&lt;&gt;"", 'Cost Inputs'!$J$204&lt;&gt;""), 'Cost Inputs'!$J$204, "")</f>
        <v/>
      </c>
      <c r="I833" s="93" t="str">
        <f>IF($C833&lt;&gt;"", IF(AND($E833&lt;&gt;"", H833&lt;&gt;""), H833/$E833, 0),"")</f>
        <v/>
      </c>
      <c r="J833" s="93" t="str">
        <f>IF(AND(C833&lt;&gt;"",('Cost Inputs'!$I$204+'Cost Inputs'!$J$204+'Cost Inputs'!$K$204)&gt;0), 'Cost Inputs'!$I$204+'Cost Inputs'!$J$204+'Cost Inputs'!$K$204, "")</f>
        <v/>
      </c>
      <c r="K833" s="93" t="str">
        <f>IF($C833&lt;&gt;"", IF(AND($E833&lt;&gt;"", J833&lt;&gt;""), J833/$E833, 0),"")</f>
        <v/>
      </c>
      <c r="L833" s="93"/>
      <c r="M833" s="109"/>
      <c r="P833" s="93" t="str">
        <f>IF(ISNUMBER($B798), IF($C833&lt;&gt;"", IF('Cost Inputs'!$L$204="Y", $E833, IF('Cost Inputs'!$L$204="N", IF(ISNUMBER('Cost Inputs'!$M$204), $E833, ""),"")),""),"")</f>
        <v/>
      </c>
      <c r="Q833" s="93" t="str">
        <f>IF(ISNUMBER($B798), IF($C833&lt;&gt;"", IF('Cost Inputs'!$L$204="Y", $E833, IF('Cost Inputs'!$L$204="N", IF(ISNUMBER('Cost Inputs'!$M$204), $E833, ""),"")),""),"")</f>
        <v/>
      </c>
      <c r="R833" s="93" t="str">
        <f>IF(ISNUMBER($B798), IF($C833&lt;&gt;"", IF('Cost Inputs'!$L$204="Y", $E833, IF('Cost Inputs'!$L$204="N", IF(ISNUMBER('Cost Inputs'!$M$204), $E833, ""),"")),""),"")</f>
        <v/>
      </c>
      <c r="S833" s="93" t="str">
        <f>IF(ISNUMBER($B798), IF($C833&lt;&gt;"", IF('Cost Inputs'!$L$204="Y", $E833, IF('Cost Inputs'!$L$204="N", IF(ISNUMBER('Cost Inputs'!$M$204), $E833, ""),"")),""),"")</f>
        <v/>
      </c>
      <c r="T833" s="93" t="str">
        <f>IF(ISNUMBER($B798), IF($C833&lt;&gt;"", IF('Cost Inputs'!$L$204="Y", $E833, IF('Cost Inputs'!$L$204="N", IF(ISNUMBER('Cost Inputs'!$M$204), $E833, ""),"")),""),"")</f>
        <v/>
      </c>
      <c r="U833" s="93" t="str">
        <f>IF(ISNUMBER($B798), IF($C833&lt;&gt;"", IF('Cost Inputs'!$L$204="Y", $E833, IF('Cost Inputs'!$L$204="N", IF(ISNUMBER('Cost Inputs'!$M$204), $E833, ""),"")),""),"")</f>
        <v/>
      </c>
      <c r="V833" s="93" t="str">
        <f>IF(ISNUMBER($B798), IF($C833&lt;&gt;"", IF('Cost Inputs'!$L$204="Y", $E833, IF('Cost Inputs'!$L$204="N", IF(ISNUMBER('Cost Inputs'!$M$204), $E833, ""),"")),""),"")</f>
        <v/>
      </c>
      <c r="W833" s="93" t="str">
        <f>IF(ISNUMBER($B798), IF($C833&lt;&gt;"", IF('Cost Inputs'!$L$204="Y", $E833, IF('Cost Inputs'!$L$204="N", IF(ISNUMBER('Cost Inputs'!$M$204), $E833, ""),"")),""),"")</f>
        <v/>
      </c>
      <c r="X833" s="93" t="str">
        <f>IF(ISNUMBER($B798), IF($C833&lt;&gt;"", IF('Cost Inputs'!$L$204="Y", $E833, IF('Cost Inputs'!$L$204="N", IF(ISNUMBER('Cost Inputs'!$M$204), $E833, ""),"")),""),"")</f>
        <v/>
      </c>
      <c r="Y833" s="93" t="str">
        <f>IF(ISNUMBER($B798), IF($C833&lt;&gt;"", IF('Cost Inputs'!$L$204="Y", $E833, IF('Cost Inputs'!$L$204="N", IF(ISNUMBER('Cost Inputs'!$M$204), $E833, ""),"")),""),"")</f>
        <v/>
      </c>
    </row>
    <row r="834" spans="1:26" x14ac:dyDescent="0.25">
      <c r="A834" s="518"/>
      <c r="B834" s="504"/>
      <c r="C834" s="104" t="str">
        <f>IF(AND(ISNUMBER(B798), C827&lt;&gt;"", OR('Cost Inputs'!$H$205&lt;&gt;"", 'Cost Inputs'!$I$205&lt;&gt;"", 'Cost Inputs'!$J$205&lt;&gt;"")), _6_5_5, "")</f>
        <v/>
      </c>
      <c r="D834" s="17" t="str">
        <f>IF(AND(C834&lt;&gt;"", 'Cost Inputs'!$G$205&lt;&gt;""), 'Cost Inputs'!$G$205, "")</f>
        <v/>
      </c>
      <c r="E834" s="17" t="str">
        <f>IF(AND(C834&lt;&gt;"", 'Cost Inputs'!$H$205&lt;&gt;""), 'Cost Inputs'!$H$205, "")</f>
        <v/>
      </c>
      <c r="F834" s="17" t="str">
        <f>IF(AND(C834&lt;&gt;"", 'Cost Inputs'!$I$205&lt;&gt;""), 'Cost Inputs'!$I$205, "")</f>
        <v/>
      </c>
      <c r="G834" s="105" t="str">
        <f t="shared" si="482"/>
        <v/>
      </c>
      <c r="H834" s="17" t="str">
        <f>IF(AND(C834&lt;&gt;"", 'Cost Inputs'!$J$205&lt;&gt;""), 'Cost Inputs'!$J$205, "")</f>
        <v/>
      </c>
      <c r="I834" s="17" t="str">
        <f>IF($C834&lt;&gt;"", IF(AND($E834&lt;&gt;"", H834&lt;&gt;""), H834/$E834, 0),"")</f>
        <v/>
      </c>
      <c r="J834" s="17" t="str">
        <f>IF(AND(C834&lt;&gt;"",('Cost Inputs'!$I$205+'Cost Inputs'!$J$205+'Cost Inputs'!$K$205)&gt;0), 'Cost Inputs'!$I$205+'Cost Inputs'!$J$205+'Cost Inputs'!$K$205, "")</f>
        <v/>
      </c>
      <c r="K834" s="17" t="str">
        <f>IF($C834&lt;&gt;"", IF(AND($E834&lt;&gt;"", J834&lt;&gt;""), J834/$E834, 0),"")</f>
        <v/>
      </c>
      <c r="M834" s="106"/>
      <c r="P834" s="17" t="str">
        <f>IF(ISNUMBER($B798), IF($C834&lt;&gt;"", IF('Cost Inputs'!$L$205="Y", $E834, IF('Cost Inputs'!$L$205="N", IF(ISNUMBER('Cost Inputs'!$M$205), $E834, ""),"")),""),"")</f>
        <v/>
      </c>
      <c r="Q834" s="17" t="str">
        <f>IF(ISNUMBER($B798), IF($C834&lt;&gt;"", IF('Cost Inputs'!$L$205="Y", $E834, IF('Cost Inputs'!$L$205="N", IF(ISNUMBER('Cost Inputs'!$M$205), $E834, ""),"")),""),"")</f>
        <v/>
      </c>
      <c r="R834" s="17" t="str">
        <f>IF(ISNUMBER($B798), IF($C834&lt;&gt;"", IF('Cost Inputs'!$L$205="Y", $E834, IF('Cost Inputs'!$L$205="N", IF(ISNUMBER('Cost Inputs'!$M$205), $E834, ""),"")),""),"")</f>
        <v/>
      </c>
      <c r="S834" s="17" t="str">
        <f>IF(ISNUMBER($B798), IF($C834&lt;&gt;"", IF('Cost Inputs'!$L$205="Y", $E834, IF('Cost Inputs'!$L$205="N", IF(ISNUMBER('Cost Inputs'!$M$205), $E834, ""),"")),""),"")</f>
        <v/>
      </c>
      <c r="T834" s="17" t="str">
        <f>IF(ISNUMBER($B798), IF($C834&lt;&gt;"", IF('Cost Inputs'!$L$205="Y", $E834, IF('Cost Inputs'!$L$205="N", IF(ISNUMBER('Cost Inputs'!$M$205), $E834, ""),"")),""),"")</f>
        <v/>
      </c>
      <c r="U834" s="17" t="str">
        <f>IF(ISNUMBER($B798), IF($C834&lt;&gt;"", IF('Cost Inputs'!$L$205="Y", $E834, IF('Cost Inputs'!$L$205="N", IF(ISNUMBER('Cost Inputs'!$M$205), $E834, ""),"")),""),"")</f>
        <v/>
      </c>
      <c r="V834" s="17" t="str">
        <f>IF(ISNUMBER($B798), IF($C834&lt;&gt;"", IF('Cost Inputs'!$L$205="Y", $E834, IF('Cost Inputs'!$L$205="N", IF(ISNUMBER('Cost Inputs'!$M$205), $E834, ""),"")),""),"")</f>
        <v/>
      </c>
      <c r="W834" s="17" t="str">
        <f>IF(ISNUMBER($B798), IF($C834&lt;&gt;"", IF('Cost Inputs'!$L$205="Y", $E834, IF('Cost Inputs'!$L$205="N", IF(ISNUMBER('Cost Inputs'!$M$205), $E834, ""),"")),""),"")</f>
        <v/>
      </c>
      <c r="X834" s="17" t="str">
        <f>IF(ISNUMBER($B798), IF($C834&lt;&gt;"", IF('Cost Inputs'!$L$205="Y", $E834, IF('Cost Inputs'!$L$205="N", IF(ISNUMBER('Cost Inputs'!$M$205), $E834, ""),"")),""),"")</f>
        <v/>
      </c>
      <c r="Y834" s="17" t="str">
        <f>IF(ISNUMBER($B798), IF($C834&lt;&gt;"", IF('Cost Inputs'!$L$205="Y", $E834, IF('Cost Inputs'!$L$205="N", IF(ISNUMBER('Cost Inputs'!$M$205), $E834, ""),"")),""),"")</f>
        <v/>
      </c>
    </row>
    <row r="835" spans="1:26" x14ac:dyDescent="0.25">
      <c r="A835" s="518"/>
      <c r="B835" s="504"/>
      <c r="C835" s="110" t="str">
        <f>IF(ISNUMBER(B798), _6_6_0, "")</f>
        <v/>
      </c>
      <c r="D835" s="94" t="str">
        <f>IF(AND(C835&lt;&gt;"", 'Cost Inputs'!$G$206&lt;&gt;""), 'Cost Inputs'!$G$206, "")</f>
        <v/>
      </c>
      <c r="E835" s="94" t="str">
        <f>IF(AND(C835&lt;&gt;"", 'Cost Inputs'!$H$206&lt;&gt;""), 'Cost Inputs'!$H$206, "")</f>
        <v/>
      </c>
      <c r="F835" s="94" t="str">
        <f>IF(AND(C835&lt;&gt;"", 'Cost Inputs'!$I$206&lt;&gt;""), 'Cost Inputs'!$I$206, "")</f>
        <v/>
      </c>
      <c r="G835" s="102" t="str">
        <f t="shared" si="482"/>
        <v/>
      </c>
      <c r="H835" s="94" t="str">
        <f>IF(AND(C835&lt;&gt;"", 'Cost Inputs'!$J$206&lt;&gt;""), 'Cost Inputs'!$J$206, "")</f>
        <v/>
      </c>
      <c r="I835" s="102" t="str">
        <f>IF($C835&lt;&gt;"",IF(AND($E835&lt;&gt;"",H835&lt;&gt;""), H835/$E835, 0),"")</f>
        <v/>
      </c>
      <c r="J835" s="94" t="str">
        <f>IF(AND(C835&lt;&gt;"",('Cost Inputs'!$I$206+'Cost Inputs'!$J$206+'Cost Inputs'!$K$206)&gt;0), 'Cost Inputs'!$I$206+'Cost Inputs'!$J$206+'Cost Inputs'!$K$206, "")</f>
        <v/>
      </c>
      <c r="K835" s="102" t="str">
        <f>IF($C835&lt;&gt;"",IF(AND($E835&lt;&gt;"",J835&lt;&gt;""), J835/$E835, 0),"")</f>
        <v/>
      </c>
      <c r="L835" s="94"/>
      <c r="M835" s="103"/>
      <c r="P835" s="94" t="str">
        <f>IF(ISNUMBER($B798), IF($C835&lt;&gt;"", IF('Cost Inputs'!$L$206="Y", $E835, IF('Cost Inputs'!$L$206="N", IF(ISNUMBER('Cost Inputs'!$M$206), $E835, ""),"")),""),"")</f>
        <v/>
      </c>
      <c r="Q835" s="94" t="str">
        <f>IF(ISNUMBER($B798), IF($C835&lt;&gt;"", IF('Cost Inputs'!$L$206="Y", $E835, IF('Cost Inputs'!$L$206="N", IF(ISNUMBER('Cost Inputs'!$M$206), $E835, ""),"")),""),"")</f>
        <v/>
      </c>
      <c r="R835" s="94" t="str">
        <f>IF(ISNUMBER($B798), IF($C835&lt;&gt;"", IF('Cost Inputs'!$L$206="Y", $E835, IF('Cost Inputs'!$L$206="N", IF(ISNUMBER('Cost Inputs'!$M$206), $E835, ""),"")),""),"")</f>
        <v/>
      </c>
      <c r="S835" s="94" t="str">
        <f>IF(ISNUMBER($B798), IF($C835&lt;&gt;"", IF('Cost Inputs'!$L$206="Y", $E835, IF('Cost Inputs'!$L$206="N", IF(ISNUMBER('Cost Inputs'!$M$206), $E835, ""),"")),""),"")</f>
        <v/>
      </c>
      <c r="T835" s="94" t="str">
        <f>IF(ISNUMBER($B798), IF($C835&lt;&gt;"", IF('Cost Inputs'!$L$206="Y", $E835, IF('Cost Inputs'!$L$206="N", IF(ISNUMBER('Cost Inputs'!$M$206), $E835, ""),"")),""),"")</f>
        <v/>
      </c>
      <c r="U835" s="94" t="str">
        <f>IF(ISNUMBER($B798), IF($C835&lt;&gt;"", IF('Cost Inputs'!$L$206="Y", $E835, IF('Cost Inputs'!$L$206="N", IF(ISNUMBER('Cost Inputs'!$M$206), $E835, ""),"")),""),"")</f>
        <v/>
      </c>
      <c r="V835" s="94" t="str">
        <f>IF(ISNUMBER($B798), IF($C835&lt;&gt;"", IF('Cost Inputs'!$L$206="Y", $E835, IF('Cost Inputs'!$L$206="N", IF(ISNUMBER('Cost Inputs'!$M$206), $E835, ""),"")),""),"")</f>
        <v/>
      </c>
      <c r="W835" s="94" t="str">
        <f>IF(ISNUMBER($B798), IF($C835&lt;&gt;"", IF('Cost Inputs'!$L$206="Y", $E835, IF('Cost Inputs'!$L$206="N", IF(ISNUMBER('Cost Inputs'!$M$206), $E835, ""),"")),""),"")</f>
        <v/>
      </c>
      <c r="X835" s="94" t="str">
        <f>IF(ISNUMBER($B798), IF($C835&lt;&gt;"", IF('Cost Inputs'!$L$206="Y", $E835, IF('Cost Inputs'!$L$206="N", IF(ISNUMBER('Cost Inputs'!$M$206), $E835, ""),"")),""),"")</f>
        <v/>
      </c>
      <c r="Y835" s="94" t="str">
        <f>IF(ISNUMBER($B798), IF($C835&lt;&gt;"", IF('Cost Inputs'!$L$206="Y", $E835, IF('Cost Inputs'!$L$206="N", IF(ISNUMBER('Cost Inputs'!$M$206), $E835, ""),"")),""),"")</f>
        <v/>
      </c>
    </row>
    <row r="836" spans="1:26" x14ac:dyDescent="0.25">
      <c r="A836" s="518"/>
      <c r="B836" s="504"/>
      <c r="C836" s="104" t="str">
        <f>IF(AND(ISNUMBER(B798), OR('Cost Inputs'!$H$207&lt;&gt;"", 'Cost Inputs'!$I$207&lt;&gt;"", 'Cost Inputs'!$J$207&lt;&gt;"")), _6_6_1, "")</f>
        <v/>
      </c>
      <c r="D836" s="17" t="str">
        <f>IF(AND(C836&lt;&gt;"", 'Cost Inputs'!$G$207&lt;&gt;""), 'Cost Inputs'!$G$207, "")</f>
        <v/>
      </c>
      <c r="E836" s="17" t="str">
        <f>IF(AND(C836&lt;&gt;"", 'Cost Inputs'!$H$207&lt;&gt;""), 'Cost Inputs'!$H$207, "")</f>
        <v/>
      </c>
      <c r="F836" s="17" t="str">
        <f>IF(AND(C836&lt;&gt;"", 'Cost Inputs'!$I$207&lt;&gt;""), 'Cost Inputs'!$I$207, "")</f>
        <v/>
      </c>
      <c r="G836" s="105" t="str">
        <f t="shared" si="482"/>
        <v/>
      </c>
      <c r="H836" s="17" t="str">
        <f>IF(AND(C836&lt;&gt;"", 'Cost Inputs'!$J$207&lt;&gt;""), 'Cost Inputs'!$J$207, "")</f>
        <v/>
      </c>
      <c r="I836" s="17" t="str">
        <f>IF($C836&lt;&gt;"", IF(AND($E836&lt;&gt;"", H836&lt;&gt;""), H836/$E836, 0),"")</f>
        <v/>
      </c>
      <c r="J836" s="17" t="str">
        <f>IF(AND(C836&lt;&gt;"",('Cost Inputs'!$I$207+'Cost Inputs'!$J$207+'Cost Inputs'!$K$207)&gt;0), 'Cost Inputs'!$I$207+'Cost Inputs'!$J$207+'Cost Inputs'!$K$207, "")</f>
        <v/>
      </c>
      <c r="K836" s="17" t="str">
        <f>IF($C836&lt;&gt;"", IF(AND($E836&lt;&gt;"", J836&lt;&gt;""), J836/$E836, 0),"")</f>
        <v/>
      </c>
      <c r="M836" s="106"/>
      <c r="P836" s="17" t="str">
        <f>IF(ISNUMBER($B798), IF($C836&lt;&gt;"", IF('Cost Inputs'!$L$207="Y", $E836, IF('Cost Inputs'!$L$207="N", IF(ISNUMBER('Cost Inputs'!$M$207), $E836, ""),"")),""),"")</f>
        <v/>
      </c>
      <c r="Q836" s="17" t="str">
        <f>IF(ISNUMBER($B798), IF($C836&lt;&gt;"", IF('Cost Inputs'!$L$207="Y", $E836, IF('Cost Inputs'!$L$207="N", IF(ISNUMBER('Cost Inputs'!$M$207), $E836, ""),"")),""),"")</f>
        <v/>
      </c>
      <c r="R836" s="17" t="str">
        <f>IF(ISNUMBER($B798), IF($C836&lt;&gt;"", IF('Cost Inputs'!$L$207="Y", $E836, IF('Cost Inputs'!$L$207="N", IF(ISNUMBER('Cost Inputs'!$M$207), $E836, ""),"")),""),"")</f>
        <v/>
      </c>
      <c r="S836" s="17" t="str">
        <f>IF(ISNUMBER($B798), IF($C836&lt;&gt;"", IF('Cost Inputs'!$L$207="Y", $E836, IF('Cost Inputs'!$L$207="N", IF(ISNUMBER('Cost Inputs'!$M$207), $E836, ""),"")),""),"")</f>
        <v/>
      </c>
      <c r="T836" s="17" t="str">
        <f>IF(ISNUMBER($B798), IF($C836&lt;&gt;"", IF('Cost Inputs'!$L$207="Y", $E836, IF('Cost Inputs'!$L$207="N", IF(ISNUMBER('Cost Inputs'!$M$207), $E836, ""),"")),""),"")</f>
        <v/>
      </c>
      <c r="U836" s="17" t="str">
        <f>IF(ISNUMBER($B798), IF($C836&lt;&gt;"", IF('Cost Inputs'!$L$207="Y", $E836, IF('Cost Inputs'!$L$207="N", IF(ISNUMBER('Cost Inputs'!$M$207), $E836, ""),"")),""),"")</f>
        <v/>
      </c>
      <c r="V836" s="17" t="str">
        <f>IF(ISNUMBER($B798), IF($C836&lt;&gt;"", IF('Cost Inputs'!$L$207="Y", $E836, IF('Cost Inputs'!$L$207="N", IF(ISNUMBER('Cost Inputs'!$M$207), $E836, ""),"")),""),"")</f>
        <v/>
      </c>
      <c r="W836" s="17" t="str">
        <f>IF(ISNUMBER($B798), IF($C836&lt;&gt;"", IF('Cost Inputs'!$L$207="Y", $E836, IF('Cost Inputs'!$L$207="N", IF(ISNUMBER('Cost Inputs'!$M$207), $E836, ""),"")),""),"")</f>
        <v/>
      </c>
      <c r="X836" s="17" t="str">
        <f>IF(ISNUMBER($B798), IF($C836&lt;&gt;"", IF('Cost Inputs'!$L$207="Y", $E836, IF('Cost Inputs'!$L$207="N", IF(ISNUMBER('Cost Inputs'!$M$207), $E836, ""),"")),""),"")</f>
        <v/>
      </c>
      <c r="Y836" s="17" t="str">
        <f>IF(ISNUMBER($B798), IF($C836&lt;&gt;"", IF('Cost Inputs'!$L$207="Y", $E836, IF('Cost Inputs'!$L$207="N", IF(ISNUMBER('Cost Inputs'!$M$207), $E836, ""),"")),""),"")</f>
        <v/>
      </c>
    </row>
    <row r="837" spans="1:26" ht="15.75" thickBot="1" x14ac:dyDescent="0.3">
      <c r="A837" s="518"/>
      <c r="B837" s="505"/>
      <c r="C837" s="111" t="str">
        <f>IF(AND(ISNUMBER(B798), OR('Cost Inputs'!$H$208&lt;&gt;"", 'Cost Inputs'!$I$208&lt;&gt;"", 'Cost Inputs'!$J$208&lt;&gt;"")), _6_6_2, "")</f>
        <v/>
      </c>
      <c r="D837" s="95" t="str">
        <f>IF(AND(C837&lt;&gt;"", 'Cost Inputs'!$G$208&lt;&gt;""), 'Cost Inputs'!$G$208, "")</f>
        <v/>
      </c>
      <c r="E837" s="95" t="str">
        <f>IF(AND(C837&lt;&gt;"", 'Cost Inputs'!$H$208&lt;&gt;""), 'Cost Inputs'!$H$208, "")</f>
        <v/>
      </c>
      <c r="F837" s="95" t="str">
        <f>IF(AND(C837&lt;&gt;"", 'Cost Inputs'!$I$208&lt;&gt;""), 'Cost Inputs'!$I$208, "")</f>
        <v/>
      </c>
      <c r="G837" s="112" t="str">
        <f t="shared" si="482"/>
        <v/>
      </c>
      <c r="H837" s="95" t="str">
        <f>IF(AND(C837&lt;&gt;"", 'Cost Inputs'!$J$208&lt;&gt;""), 'Cost Inputs'!$J$208, "")</f>
        <v/>
      </c>
      <c r="I837" s="95" t="str">
        <f>IF($C837&lt;&gt;"", IF(AND($E837&lt;&gt;"", H837&lt;&gt;""), H837/$E837, 0),"")</f>
        <v/>
      </c>
      <c r="J837" s="95" t="str">
        <f>IF(AND(C837&lt;&gt;"",('Cost Inputs'!$I$208+'Cost Inputs'!$J$208+'Cost Inputs'!$K$208)&gt;0), 'Cost Inputs'!$I$208+'Cost Inputs'!$J$208+'Cost Inputs'!$K$208, "")</f>
        <v/>
      </c>
      <c r="K837" s="95" t="str">
        <f>IF($C837&lt;&gt;"", IF(AND($E837&lt;&gt;"", J837&lt;&gt;""), J837/$E837, 0),"")</f>
        <v/>
      </c>
      <c r="L837" s="95"/>
      <c r="M837" s="113"/>
      <c r="P837" s="95" t="str">
        <f>IF(ISNUMBER($B798), IF($C837&lt;&gt;"", IF('Cost Inputs'!$L$208="Y", $E837, IF('Cost Inputs'!$L$208="N", IF(ISNUMBER('Cost Inputs'!$M$208), $E837, ""),"")),""),"")</f>
        <v/>
      </c>
      <c r="Q837" s="95" t="str">
        <f>IF(ISNUMBER($B798), IF($C837&lt;&gt;"", IF('Cost Inputs'!$L$208="Y", $E837, IF('Cost Inputs'!$L$208="N", IF(ISNUMBER('Cost Inputs'!$M$208), $E837, ""),"")),""),"")</f>
        <v/>
      </c>
      <c r="R837" s="95" t="str">
        <f>IF(ISNUMBER($B798), IF($C837&lt;&gt;"", IF('Cost Inputs'!$L$208="Y", $E837, IF('Cost Inputs'!$L$208="N", IF(ISNUMBER('Cost Inputs'!$M$208), $E837, ""),"")),""),"")</f>
        <v/>
      </c>
      <c r="S837" s="95" t="str">
        <f>IF(ISNUMBER($B798), IF($C837&lt;&gt;"", IF('Cost Inputs'!$L$208="Y", $E837, IF('Cost Inputs'!$L$208="N", IF(ISNUMBER('Cost Inputs'!$M$208), $E837, ""),"")),""),"")</f>
        <v/>
      </c>
      <c r="T837" s="95" t="str">
        <f>IF(ISNUMBER($B798), IF($C837&lt;&gt;"", IF('Cost Inputs'!$L$208="Y", $E837, IF('Cost Inputs'!$L$208="N", IF(ISNUMBER('Cost Inputs'!$M$208), $E837, ""),"")),""),"")</f>
        <v/>
      </c>
      <c r="U837" s="95" t="str">
        <f>IF(ISNUMBER($B798), IF($C837&lt;&gt;"", IF('Cost Inputs'!$L$208="Y", $E837, IF('Cost Inputs'!$L$208="N", IF(ISNUMBER('Cost Inputs'!$M$208), $E837, ""),"")),""),"")</f>
        <v/>
      </c>
      <c r="V837" s="95" t="str">
        <f>IF(ISNUMBER($B798), IF($C837&lt;&gt;"", IF('Cost Inputs'!$L$208="Y", $E837, IF('Cost Inputs'!$L$208="N", IF(ISNUMBER('Cost Inputs'!$M$208), $E837, ""),"")),""),"")</f>
        <v/>
      </c>
      <c r="W837" s="95" t="str">
        <f>IF(ISNUMBER($B798), IF($C837&lt;&gt;"", IF('Cost Inputs'!$L$208="Y", $E837, IF('Cost Inputs'!$L$208="N", IF(ISNUMBER('Cost Inputs'!$M$208), $E837, ""),"")),""),"")</f>
        <v/>
      </c>
      <c r="X837" s="95" t="str">
        <f>IF(ISNUMBER($B798), IF($C837&lt;&gt;"", IF('Cost Inputs'!$L$208="Y", $E837, IF('Cost Inputs'!$L$208="N", IF(ISNUMBER('Cost Inputs'!$M$208), $E837, ""),"")),""),"")</f>
        <v/>
      </c>
      <c r="Y837" s="95" t="str">
        <f>IF(ISNUMBER($B798), IF($C837&lt;&gt;"", IF('Cost Inputs'!$L$208="Y", $E837, IF('Cost Inputs'!$L$208="N", IF(ISNUMBER('Cost Inputs'!$M$208), $E837, ""),"")),""),"")</f>
        <v/>
      </c>
    </row>
    <row r="838" spans="1:26" x14ac:dyDescent="0.25">
      <c r="A838" s="518" t="str">
        <f>Sixth_Stage</f>
        <v>Stage 4 Grower Trials</v>
      </c>
      <c r="B838" s="503" t="str">
        <f>'Breeding Inputs'!B115</f>
        <v/>
      </c>
      <c r="C838" s="521" t="str">
        <f>IF(ISNUMBER(B820), _6_3_0, "")</f>
        <v/>
      </c>
      <c r="D838" s="94" t="str">
        <f>IF(AND(C838&lt;&gt;"", 'Cost Inputs'!$G$187&lt;&gt;""), 'Cost Inputs'!$G$187, "")</f>
        <v/>
      </c>
      <c r="E838" s="94" t="str">
        <f>IF(AND(C838&lt;&gt;"", 'Cost Inputs'!$H$187&lt;&gt;""), 'Cost Inputs'!$H$187, "")</f>
        <v/>
      </c>
      <c r="F838" s="492" t="str">
        <f>IF(AND(C838&lt;&gt;"", 'Cost Inputs'!$I$187&lt;&gt;""), 'Cost Inputs'!$I$187, "")</f>
        <v/>
      </c>
      <c r="G838" s="102" t="str">
        <f t="shared" si="482"/>
        <v/>
      </c>
      <c r="H838" s="492" t="str">
        <f>IF(AND(C838&lt;&gt;"", 'Cost Inputs'!$J$187&lt;&gt;""), 'Cost Inputs'!$J$187, "")</f>
        <v/>
      </c>
      <c r="I838" s="102" t="str">
        <f>IF($C838&lt;&gt;"",IF(AND($E838&lt;&gt;"",H838&lt;&gt;""), H838/$E838, 0),"")</f>
        <v/>
      </c>
      <c r="J838" s="492" t="str">
        <f>IF(AND(C838&lt;&gt;"",('Cost Inputs'!$I$187+'Cost Inputs'!$J$187+'Cost Inputs'!$K$187)&gt;0), 'Cost Inputs'!$I$187+'Cost Inputs'!$J$187+'Cost Inputs'!$K$187, "")</f>
        <v/>
      </c>
      <c r="K838" s="102" t="str">
        <f>IF($C838&lt;&gt;"",IF(AND($E838&lt;&gt;"",J838&lt;&gt;""), J838/$E838, 0),"")</f>
        <v/>
      </c>
      <c r="L838" s="94"/>
      <c r="M838" s="103"/>
      <c r="Q838" s="492" t="str">
        <f>IF(ISNUMBER($B820), IF($C838&lt;&gt;"", IF('Cost Inputs'!$L$187="Y", $E838, IF('Cost Inputs'!$L$187="N", IF(ISNUMBER('Cost Inputs'!$M$187), $E838, ""),"")),""),"")</f>
        <v/>
      </c>
      <c r="R838" s="492" t="str">
        <f>IF(ISNUMBER($B820), IF($C838&lt;&gt;"", IF('Cost Inputs'!$L$187="Y", $E838, IF('Cost Inputs'!$L$187="N", IF(ISNUMBER('Cost Inputs'!$M$187), $E838, ""),"")),""),"")</f>
        <v/>
      </c>
      <c r="S838" s="492" t="str">
        <f>IF(ISNUMBER($B820), IF($C838&lt;&gt;"", IF('Cost Inputs'!$L$187="Y", $E838, IF('Cost Inputs'!$L$187="N", IF(ISNUMBER('Cost Inputs'!$M$187), $E838, ""),"")),""),"")</f>
        <v/>
      </c>
      <c r="T838" s="492" t="str">
        <f>IF(ISNUMBER($B820), IF($C838&lt;&gt;"", IF('Cost Inputs'!$L$187="Y", $E838, IF('Cost Inputs'!$L$187="N", IF(ISNUMBER('Cost Inputs'!$M$187), $E838, ""),"")),""),"")</f>
        <v/>
      </c>
      <c r="U838" s="492" t="str">
        <f>IF(ISNUMBER($B820), IF($C838&lt;&gt;"", IF('Cost Inputs'!$L$187="Y", $E838, IF('Cost Inputs'!$L$187="N", IF(ISNUMBER('Cost Inputs'!$M$187), $E838, ""),"")),""),"")</f>
        <v/>
      </c>
      <c r="V838" s="492" t="str">
        <f>IF(ISNUMBER($B820), IF($C838&lt;&gt;"", IF('Cost Inputs'!$L$187="Y", $E838, IF('Cost Inputs'!$L$187="N", IF(ISNUMBER('Cost Inputs'!$M$187), $E838, ""),"")),""),"")</f>
        <v/>
      </c>
      <c r="W838" s="492" t="str">
        <f>IF(ISNUMBER($B820), IF($C838&lt;&gt;"", IF('Cost Inputs'!$L$187="Y", $E838, IF('Cost Inputs'!$L$187="N", IF(ISNUMBER('Cost Inputs'!$M$187), $E838, ""),"")),""),"")</f>
        <v/>
      </c>
      <c r="X838" s="492" t="str">
        <f>IF(ISNUMBER($B820), IF($C838&lt;&gt;"", IF('Cost Inputs'!$L$187="Y", $E838, IF('Cost Inputs'!$L$187="N", IF(ISNUMBER('Cost Inputs'!$M$187), $E838, ""),"")),""),"")</f>
        <v/>
      </c>
      <c r="Y838" s="492" t="str">
        <f>IF(ISNUMBER($B820), IF($C838&lt;&gt;"", IF('Cost Inputs'!$L$187="Y", $E838, IF('Cost Inputs'!$L$187="N", IF(ISNUMBER('Cost Inputs'!$M$187), $E838, ""),"")),""),"")</f>
        <v/>
      </c>
      <c r="Z838" s="492" t="str">
        <f>IF(ISNUMBER($B820), IF($C838&lt;&gt;"", IF('Cost Inputs'!$L$187="Y", $E838, IF('Cost Inputs'!$L$187="N", IF(ISNUMBER('Cost Inputs'!$M$187), $E838, ""),"")),""),"")</f>
        <v/>
      </c>
    </row>
    <row r="839" spans="1:26" x14ac:dyDescent="0.25">
      <c r="A839" s="518"/>
      <c r="B839" s="504"/>
      <c r="C839" s="521"/>
      <c r="D839" s="94" t="str">
        <f>IF(AND(C838&lt;&gt;"", 'Cost Inputs'!$G$188&lt;&gt;""), 'Cost Inputs'!$G$188, "")</f>
        <v/>
      </c>
      <c r="E839" s="94" t="str">
        <f>IF(AND(C838&lt;&gt;"", 'Cost Inputs'!$H$188&lt;&gt;""), 'Cost Inputs'!$H$188, "")</f>
        <v/>
      </c>
      <c r="F839" s="492"/>
      <c r="G839" s="102" t="str">
        <f t="shared" si="482"/>
        <v/>
      </c>
      <c r="H839" s="492"/>
      <c r="I839" s="102" t="str">
        <f>IF($C838&lt;&gt;"", IF(AND($E839&lt;&gt;"", H838&lt;&gt;""), H838/($E838*$E839), 0), "")</f>
        <v/>
      </c>
      <c r="J839" s="492" t="str">
        <f>IF(AND(C839&lt;&gt;"",('Cost Inputs'!$I$86+'Cost Inputs'!$J$86+'Cost Inputs'!$K$86)&gt;0), 'Cost Inputs'!$I$86+'Cost Inputs'!$J$86+'Cost Inputs'!$K$86, "")</f>
        <v/>
      </c>
      <c r="K839" s="102" t="str">
        <f>IF($C838&lt;&gt;"", IF(AND($E839&lt;&gt;"", J838&lt;&gt;""), J838/($E838*$E839), 0), "")</f>
        <v/>
      </c>
      <c r="L839" s="94"/>
      <c r="M839" s="103"/>
      <c r="Q839" s="492" t="str">
        <f>IF(ISNUMBER($B$776), IF($C839&lt;&gt;"", IF('Cost Inputs'!$L232="Y", $E839, IF('Cost Inputs'!$L232="N", IF(ISNUMBER('Cost Inputs'!$M232), $E839, ""),"")),""),"")</f>
        <v/>
      </c>
      <c r="R839" s="492" t="str">
        <f>IF(ISNUMBER($B$776), IF($C839&lt;&gt;"", IF('Cost Inputs'!$L232="Y", $E839, IF('Cost Inputs'!$L232="N", IF(ISNUMBER('Cost Inputs'!$M232), $E839, ""),"")),""),"")</f>
        <v/>
      </c>
      <c r="S839" s="492" t="str">
        <f>IF(ISNUMBER($B$776), IF($C839&lt;&gt;"", IF('Cost Inputs'!$L232="Y", $E839, IF('Cost Inputs'!$L232="N", IF(ISNUMBER('Cost Inputs'!$M232), $E839, ""),"")),""),"")</f>
        <v/>
      </c>
      <c r="T839" s="492" t="str">
        <f>IF(ISNUMBER($B$776), IF($C839&lt;&gt;"", IF('Cost Inputs'!$L232="Y", $E839, IF('Cost Inputs'!$L232="N", IF(ISNUMBER('Cost Inputs'!$M232), $E839, ""),"")),""),"")</f>
        <v/>
      </c>
      <c r="U839" s="492" t="str">
        <f>IF(ISNUMBER($B$776), IF($C839&lt;&gt;"", IF('Cost Inputs'!$L232="Y", $E839, IF('Cost Inputs'!$L232="N", IF(ISNUMBER('Cost Inputs'!$M232), $E839, ""),"")),""),"")</f>
        <v/>
      </c>
      <c r="V839" s="492" t="str">
        <f>IF(ISNUMBER($B$776), IF($C839&lt;&gt;"", IF('Cost Inputs'!$L232="Y", $E839, IF('Cost Inputs'!$L232="N", IF(ISNUMBER('Cost Inputs'!$M232), $E839, ""),"")),""),"")</f>
        <v/>
      </c>
      <c r="W839" s="492" t="str">
        <f>IF(ISNUMBER($B$776), IF($C839&lt;&gt;"", IF('Cost Inputs'!$L232="Y", $E839, IF('Cost Inputs'!$L232="N", IF(ISNUMBER('Cost Inputs'!$M232), $E839, ""),"")),""),"")</f>
        <v/>
      </c>
      <c r="X839" s="492" t="str">
        <f>IF(ISNUMBER($B$776), IF($C839&lt;&gt;"", IF('Cost Inputs'!$L232="Y", $E839, IF('Cost Inputs'!$L232="N", IF(ISNUMBER('Cost Inputs'!$M232), $E839, ""),"")),""),"")</f>
        <v/>
      </c>
      <c r="Y839" s="492" t="str">
        <f>IF(ISNUMBER($B$776), IF($C839&lt;&gt;"", IF('Cost Inputs'!$L232="Y", $E839, IF('Cost Inputs'!$L232="N", IF(ISNUMBER('Cost Inputs'!$M232), $E839, ""),"")),""),"")</f>
        <v/>
      </c>
      <c r="Z839" s="492" t="str">
        <f>IF(ISNUMBER($B$776), IF($C839&lt;&gt;"", IF('Cost Inputs'!$L232="Y", $E839, IF('Cost Inputs'!$L232="N", IF(ISNUMBER('Cost Inputs'!$M232), $E839, ""),"")),""),"")</f>
        <v/>
      </c>
    </row>
    <row r="840" spans="1:26" x14ac:dyDescent="0.25">
      <c r="A840" s="518"/>
      <c r="B840" s="504"/>
      <c r="C840" s="104" t="str">
        <f>IF(AND(ISNUMBER(B820), OR('Cost Inputs'!$H$189&lt;&gt;"", 'Cost Inputs'!$I$189&lt;&gt;"", 'Cost Inputs'!$J$189&lt;&gt;"")), _6_3_1, "")</f>
        <v/>
      </c>
      <c r="D840" s="17" t="str">
        <f>IF(AND(C840&lt;&gt;"", 'Cost Inputs'!$G$189&lt;&gt;""), 'Cost Inputs'!$G$189, "")</f>
        <v/>
      </c>
      <c r="E840" s="17" t="str">
        <f>IF(AND(C840&lt;&gt;"", 'Cost Inputs'!$H$189&lt;&gt;""), 'Cost Inputs'!$H$189, "")</f>
        <v/>
      </c>
      <c r="F840" s="17" t="str">
        <f>IF(AND(C840&lt;&gt;"", 'Cost Inputs'!$I$189&lt;&gt;""), 'Cost Inputs'!$I$189, "")</f>
        <v/>
      </c>
      <c r="G840" s="105" t="str">
        <f t="shared" si="482"/>
        <v/>
      </c>
      <c r="H840" s="17" t="str">
        <f>IF(AND(C840&lt;&gt;"", 'Cost Inputs'!$J$189&lt;&gt;""), 'Cost Inputs'!$J$189, "")</f>
        <v/>
      </c>
      <c r="I840" s="17" t="str">
        <f t="shared" ref="I840:I848" si="485">IF($C840&lt;&gt;"", IF(AND($E840&lt;&gt;"", H840&lt;&gt;""), H840/$E840, 0),"")</f>
        <v/>
      </c>
      <c r="J840" s="17" t="str">
        <f>IF(AND(C840&lt;&gt;"",('Cost Inputs'!$I$189+'Cost Inputs'!$J$189+'Cost Inputs'!$K$189)&gt;0), 'Cost Inputs'!$I$189+'Cost Inputs'!$J$189+'Cost Inputs'!$K$189, "")</f>
        <v/>
      </c>
      <c r="K840" s="17" t="str">
        <f t="shared" ref="K840:K848" si="486">IF($C840&lt;&gt;"", IF(AND($E840&lt;&gt;"", J840&lt;&gt;""), J840/$E840, 0),"")</f>
        <v/>
      </c>
      <c r="M840" s="106"/>
      <c r="Q840" s="17" t="str">
        <f>IF(ISNUMBER($B820), IF($C840&lt;&gt;"", IF('Cost Inputs'!$L$189="Y", $E840, IF('Cost Inputs'!$L$189="N", IF(ISNUMBER('Cost Inputs'!$M$189), $E840, ""),"")),""),"")</f>
        <v/>
      </c>
      <c r="R840" s="17" t="str">
        <f>IF(ISNUMBER($B820), IF($C840&lt;&gt;"", IF('Cost Inputs'!$L$189="Y", $E840, IF('Cost Inputs'!$L$189="N", IF(ISNUMBER('Cost Inputs'!$M$189), $E840, ""),"")),""),"")</f>
        <v/>
      </c>
      <c r="S840" s="17" t="str">
        <f>IF(ISNUMBER($B820), IF($C840&lt;&gt;"", IF('Cost Inputs'!$L$189="Y", $E840, IF('Cost Inputs'!$L$189="N", IF(ISNUMBER('Cost Inputs'!$M$189), $E840, ""),"")),""),"")</f>
        <v/>
      </c>
      <c r="T840" s="17" t="str">
        <f>IF(ISNUMBER($B820), IF($C840&lt;&gt;"", IF('Cost Inputs'!$L$189="Y", $E840, IF('Cost Inputs'!$L$189="N", IF(ISNUMBER('Cost Inputs'!$M$189), $E840, ""),"")),""),"")</f>
        <v/>
      </c>
      <c r="U840" s="17" t="str">
        <f>IF(ISNUMBER($B820), IF($C840&lt;&gt;"", IF('Cost Inputs'!$L$189="Y", $E840, IF('Cost Inputs'!$L$189="N", IF(ISNUMBER('Cost Inputs'!$M$189), $E840, ""),"")),""),"")</f>
        <v/>
      </c>
      <c r="V840" s="17" t="str">
        <f>IF(ISNUMBER($B820), IF($C840&lt;&gt;"", IF('Cost Inputs'!$L$189="Y", $E840, IF('Cost Inputs'!$L$189="N", IF(ISNUMBER('Cost Inputs'!$M$189), $E840, ""),"")),""),"")</f>
        <v/>
      </c>
      <c r="W840" s="17" t="str">
        <f>IF(ISNUMBER($B820), IF($C840&lt;&gt;"", IF('Cost Inputs'!$L$189="Y", $E840, IF('Cost Inputs'!$L$189="N", IF(ISNUMBER('Cost Inputs'!$M$189), $E840, ""),"")),""),"")</f>
        <v/>
      </c>
      <c r="X840" s="17" t="str">
        <f>IF(ISNUMBER($B820), IF($C840&lt;&gt;"", IF('Cost Inputs'!$L$189="Y", $E840, IF('Cost Inputs'!$L$189="N", IF(ISNUMBER('Cost Inputs'!$M$189), $E840, ""),"")),""),"")</f>
        <v/>
      </c>
      <c r="Y840" s="17" t="str">
        <f>IF(ISNUMBER($B820), IF($C840&lt;&gt;"", IF('Cost Inputs'!$L$189="Y", $E840, IF('Cost Inputs'!$L$189="N", IF(ISNUMBER('Cost Inputs'!$M$189), $E840, ""),"")),""),"")</f>
        <v/>
      </c>
      <c r="Z840" s="17" t="str">
        <f>IF(ISNUMBER($B820), IF($C840&lt;&gt;"", IF('Cost Inputs'!$L$189="Y", $E840, IF('Cost Inputs'!$L$189="N", IF(ISNUMBER('Cost Inputs'!$M$189), $E840, ""),"")),""),"")</f>
        <v/>
      </c>
    </row>
    <row r="841" spans="1:26" x14ac:dyDescent="0.25">
      <c r="A841" s="518"/>
      <c r="B841" s="504"/>
      <c r="C841" s="107" t="str">
        <f>IF(AND(ISNUMBER(B820), OR('Cost Inputs'!$H$190&lt;&gt;"", 'Cost Inputs'!$I$190&lt;&gt;"", 'Cost Inputs'!$J$190&lt;&gt;"")), _6_3_2, "")</f>
        <v/>
      </c>
      <c r="D841" s="93" t="str">
        <f>IF(AND(C841&lt;&gt;"", 'Cost Inputs'!$G$190&lt;&gt;""), 'Cost Inputs'!$G$190, "")</f>
        <v/>
      </c>
      <c r="E841" s="93" t="str">
        <f>IF(AND(C841&lt;&gt;"", 'Cost Inputs'!$H$190&lt;&gt;""), 'Cost Inputs'!$H$190, "")</f>
        <v/>
      </c>
      <c r="F841" s="93" t="str">
        <f>IF(AND(C841&lt;&gt;"", 'Cost Inputs'!$I$190&lt;&gt;""), 'Cost Inputs'!$I$190, "")</f>
        <v/>
      </c>
      <c r="G841" s="108" t="str">
        <f t="shared" si="482"/>
        <v/>
      </c>
      <c r="H841" s="93" t="str">
        <f>IF(AND(C841&lt;&gt;"", 'Cost Inputs'!$J$190&lt;&gt;""), 'Cost Inputs'!$J$190, "")</f>
        <v/>
      </c>
      <c r="I841" s="93" t="str">
        <f t="shared" si="485"/>
        <v/>
      </c>
      <c r="J841" s="93" t="str">
        <f>IF(AND(C841&lt;&gt;"",('Cost Inputs'!$I$190+'Cost Inputs'!$J$190+'Cost Inputs'!$K$190)&gt;0), 'Cost Inputs'!$I$190+'Cost Inputs'!$J$190+'Cost Inputs'!$K$190, "")</f>
        <v/>
      </c>
      <c r="K841" s="93" t="str">
        <f t="shared" si="486"/>
        <v/>
      </c>
      <c r="L841" s="93"/>
      <c r="M841" s="109"/>
      <c r="Q841" s="93" t="str">
        <f>IF(ISNUMBER($B820), IF($C841&lt;&gt;"", IF('Cost Inputs'!$L$190="Y", $E841, IF('Cost Inputs'!$L$190="N", IF(ISNUMBER('Cost Inputs'!$M$190), $E841, ""),"")),""),"")</f>
        <v/>
      </c>
      <c r="R841" s="93" t="str">
        <f>IF(ISNUMBER($B820), IF($C841&lt;&gt;"", IF('Cost Inputs'!$L$190="Y", $E841, IF('Cost Inputs'!$L$190="N", IF(ISNUMBER('Cost Inputs'!$M$190), $E841, ""),"")),""),"")</f>
        <v/>
      </c>
      <c r="S841" s="93" t="str">
        <f>IF(ISNUMBER($B820), IF($C841&lt;&gt;"", IF('Cost Inputs'!$L$190="Y", $E841, IF('Cost Inputs'!$L$190="N", IF(ISNUMBER('Cost Inputs'!$M$190), $E841, ""),"")),""),"")</f>
        <v/>
      </c>
      <c r="T841" s="93" t="str">
        <f>IF(ISNUMBER($B820), IF($C841&lt;&gt;"", IF('Cost Inputs'!$L$190="Y", $E841, IF('Cost Inputs'!$L$190="N", IF(ISNUMBER('Cost Inputs'!$M$190), $E841, ""),"")),""),"")</f>
        <v/>
      </c>
      <c r="U841" s="93" t="str">
        <f>IF(ISNUMBER($B820), IF($C841&lt;&gt;"", IF('Cost Inputs'!$L$190="Y", $E841, IF('Cost Inputs'!$L$190="N", IF(ISNUMBER('Cost Inputs'!$M$190), $E841, ""),"")),""),"")</f>
        <v/>
      </c>
      <c r="V841" s="93" t="str">
        <f>IF(ISNUMBER($B820), IF($C841&lt;&gt;"", IF('Cost Inputs'!$L$190="Y", $E841, IF('Cost Inputs'!$L$190="N", IF(ISNUMBER('Cost Inputs'!$M$190), $E841, ""),"")),""),"")</f>
        <v/>
      </c>
      <c r="W841" s="93" t="str">
        <f>IF(ISNUMBER($B820), IF($C841&lt;&gt;"", IF('Cost Inputs'!$L$190="Y", $E841, IF('Cost Inputs'!$L$190="N", IF(ISNUMBER('Cost Inputs'!$M$190), $E841, ""),"")),""),"")</f>
        <v/>
      </c>
      <c r="X841" s="93" t="str">
        <f>IF(ISNUMBER($B820), IF($C841&lt;&gt;"", IF('Cost Inputs'!$L$190="Y", $E841, IF('Cost Inputs'!$L$190="N", IF(ISNUMBER('Cost Inputs'!$M$190), $E841, ""),"")),""),"")</f>
        <v/>
      </c>
      <c r="Y841" s="93" t="str">
        <f>IF(ISNUMBER($B820), IF($C841&lt;&gt;"", IF('Cost Inputs'!$L$190="Y", $E841, IF('Cost Inputs'!$L$190="N", IF(ISNUMBER('Cost Inputs'!$M$190), $E841, ""),"")),""),"")</f>
        <v/>
      </c>
      <c r="Z841" s="93" t="str">
        <f>IF(ISNUMBER($B820), IF($C841&lt;&gt;"", IF('Cost Inputs'!$L$190="Y", $E841, IF('Cost Inputs'!$L$190="N", IF(ISNUMBER('Cost Inputs'!$M$190), $E841, ""),"")),""),"")</f>
        <v/>
      </c>
    </row>
    <row r="842" spans="1:26" x14ac:dyDescent="0.25">
      <c r="A842" s="518"/>
      <c r="B842" s="504"/>
      <c r="C842" s="110" t="str">
        <f>IF(ISNUMBER(B820), _6_4_0, "")</f>
        <v/>
      </c>
      <c r="D842" s="94" t="str">
        <f>IF(AND(C842&lt;&gt;"", 'Cost Inputs'!$G$191&lt;&gt;""), 'Cost Inputs'!$G$191, "")</f>
        <v/>
      </c>
      <c r="E842" s="94" t="str">
        <f>IF(AND(C842&lt;&gt;"", 'Cost Inputs'!$H$191&lt;&gt;""), 'Cost Inputs'!$H$191, "")</f>
        <v/>
      </c>
      <c r="F842" s="94" t="str">
        <f>IF(AND(C842&lt;&gt;"", 'Cost Inputs'!$I$191&lt;&gt;""), 'Cost Inputs'!$I$191, "")</f>
        <v/>
      </c>
      <c r="G842" s="102" t="str">
        <f t="shared" si="482"/>
        <v/>
      </c>
      <c r="H842" s="102" t="str">
        <f>IF(AND(C842&lt;&gt;"", 'Cost Inputs'!$J$191&lt;&gt;""), 'Cost Inputs'!$J$191, "")</f>
        <v/>
      </c>
      <c r="I842" s="102" t="str">
        <f t="shared" si="485"/>
        <v/>
      </c>
      <c r="J842" s="102" t="str">
        <f>IF(AND(C842&lt;&gt;"",('Cost Inputs'!$I$191+'Cost Inputs'!$J$191+'Cost Inputs'!$K$191)&gt;0), 'Cost Inputs'!$I$191+'Cost Inputs'!$J$191+'Cost Inputs'!$K$191, "")</f>
        <v/>
      </c>
      <c r="K842" s="102" t="str">
        <f t="shared" si="486"/>
        <v/>
      </c>
      <c r="L842" s="94"/>
      <c r="M842" s="103"/>
      <c r="Q842" s="102" t="str">
        <f>IF(ISNUMBER($B820), IF($C842&lt;&gt;"", IF('Cost Inputs'!$L$191="Y", $E842, IF('Cost Inputs'!$L$191="N", IF(ISNUMBER('Cost Inputs'!$M$191), $E842, ""),"")),""),"")</f>
        <v/>
      </c>
      <c r="R842" s="102" t="str">
        <f>IF(ISNUMBER($B820), IF($C842&lt;&gt;"", IF('Cost Inputs'!$L$191="Y", $E842, IF('Cost Inputs'!$L$191="N", IF(ISNUMBER('Cost Inputs'!$M$191), $E842, ""),"")),""),"")</f>
        <v/>
      </c>
      <c r="S842" s="102" t="str">
        <f>IF(ISNUMBER($B820), IF($C842&lt;&gt;"", IF('Cost Inputs'!$L$191="Y", $E842, IF('Cost Inputs'!$L$191="N", IF(ISNUMBER('Cost Inputs'!$M$191), $E842, ""),"")),""),"")</f>
        <v/>
      </c>
      <c r="T842" s="102" t="str">
        <f>IF(ISNUMBER($B820), IF($C842&lt;&gt;"", IF('Cost Inputs'!$L$191="Y", $E842, IF('Cost Inputs'!$L$191="N", IF(ISNUMBER('Cost Inputs'!$M$191), $E842, ""),"")),""),"")</f>
        <v/>
      </c>
      <c r="U842" s="102" t="str">
        <f>IF(ISNUMBER($B820), IF($C842&lt;&gt;"", IF('Cost Inputs'!$L$191="Y", $E842, IF('Cost Inputs'!$L$191="N", IF(ISNUMBER('Cost Inputs'!$M$191), $E842, ""),"")),""),"")</f>
        <v/>
      </c>
      <c r="V842" s="102" t="str">
        <f>IF(ISNUMBER($B820), IF($C842&lt;&gt;"", IF('Cost Inputs'!$L$191="Y", $E842, IF('Cost Inputs'!$L$191="N", IF(ISNUMBER('Cost Inputs'!$M$191), $E842, ""),"")),""),"")</f>
        <v/>
      </c>
      <c r="W842" s="102" t="str">
        <f>IF(ISNUMBER($B820), IF($C842&lt;&gt;"", IF('Cost Inputs'!$L$191="Y", $E842, IF('Cost Inputs'!$L$191="N", IF(ISNUMBER('Cost Inputs'!$M$191), $E842, ""),"")),""),"")</f>
        <v/>
      </c>
      <c r="X842" s="102" t="str">
        <f>IF(ISNUMBER($B820), IF($C842&lt;&gt;"", IF('Cost Inputs'!$L$191="Y", $E842, IF('Cost Inputs'!$L$191="N", IF(ISNUMBER('Cost Inputs'!$M$191), $E842, ""),"")),""),"")</f>
        <v/>
      </c>
      <c r="Y842" s="102" t="str">
        <f>IF(ISNUMBER($B820), IF($C842&lt;&gt;"", IF('Cost Inputs'!$L$191="Y", $E842, IF('Cost Inputs'!$L$191="N", IF(ISNUMBER('Cost Inputs'!$M$191), $E842, ""),"")),""),"")</f>
        <v/>
      </c>
      <c r="Z842" s="102" t="str">
        <f>IF(ISNUMBER($B820), IF($C842&lt;&gt;"", IF('Cost Inputs'!$L$191="Y", $E842, IF('Cost Inputs'!$L$191="N", IF(ISNUMBER('Cost Inputs'!$M$191), $E842, ""),"")),""),"")</f>
        <v/>
      </c>
    </row>
    <row r="843" spans="1:26" x14ac:dyDescent="0.25">
      <c r="A843" s="518"/>
      <c r="B843" s="504"/>
      <c r="C843" s="104" t="str">
        <f>IF(AND(ISNUMBER(B820), OR('Cost Inputs'!$H$192&lt;&gt;"", 'Cost Inputs'!$I$192&lt;&gt;"", 'Cost Inputs'!$J$192&lt;&gt;"")), _6_4_1, "")</f>
        <v/>
      </c>
      <c r="D843" s="17" t="str">
        <f>IF(AND(C843&lt;&gt;"", 'Cost Inputs'!$G$192&lt;&gt;""), 'Cost Inputs'!$G$192, "")</f>
        <v/>
      </c>
      <c r="E843" s="17" t="str">
        <f>IF(AND(C843&lt;&gt;"", 'Cost Inputs'!$H$192&lt;&gt;""), 'Cost Inputs'!$H$192, "")</f>
        <v/>
      </c>
      <c r="F843" s="17" t="str">
        <f>IF(AND(C843&lt;&gt;"", 'Cost Inputs'!$I$192&lt;&gt;""), 'Cost Inputs'!$I$192, "")</f>
        <v/>
      </c>
      <c r="G843" s="105" t="str">
        <f t="shared" si="482"/>
        <v/>
      </c>
      <c r="H843" s="17" t="str">
        <f>IF(AND(C843&lt;&gt;"", 'Cost Inputs'!$J$192&lt;&gt;""), 'Cost Inputs'!$J$192, "")</f>
        <v/>
      </c>
      <c r="I843" s="17" t="str">
        <f t="shared" si="485"/>
        <v/>
      </c>
      <c r="J843" s="17" t="str">
        <f>IF(AND(C843&lt;&gt;"",('Cost Inputs'!$I$192+'Cost Inputs'!$J$192+'Cost Inputs'!$K$192)&gt;0), 'Cost Inputs'!$I$192+'Cost Inputs'!$J$192+'Cost Inputs'!$K$192, "")</f>
        <v/>
      </c>
      <c r="K843" s="17" t="str">
        <f t="shared" si="486"/>
        <v/>
      </c>
      <c r="M843" s="106"/>
      <c r="Q843" s="17" t="str">
        <f>IF(ISNUMBER($B820), IF($C843&lt;&gt;"", IF('Cost Inputs'!$L$192="Y", $E843, IF('Cost Inputs'!$L$192="N", IF(ISNUMBER('Cost Inputs'!$M$192), $E843, ""),"")),""),"")</f>
        <v/>
      </c>
      <c r="R843" s="17" t="str">
        <f>IF(ISNUMBER($B820), IF($C843&lt;&gt;"", IF('Cost Inputs'!$L$192="Y", $E843, IF('Cost Inputs'!$L$192="N", IF(ISNUMBER('Cost Inputs'!$M$192), $E843, ""),"")),""),"")</f>
        <v/>
      </c>
      <c r="S843" s="17" t="str">
        <f>IF(ISNUMBER($B820), IF($C843&lt;&gt;"", IF('Cost Inputs'!$L$192="Y", $E843, IF('Cost Inputs'!$L$192="N", IF(ISNUMBER('Cost Inputs'!$M$192), $E843, ""),"")),""),"")</f>
        <v/>
      </c>
      <c r="T843" s="17" t="str">
        <f>IF(ISNUMBER($B820), IF($C843&lt;&gt;"", IF('Cost Inputs'!$L$192="Y", $E843, IF('Cost Inputs'!$L$192="N", IF(ISNUMBER('Cost Inputs'!$M$192), $E843, ""),"")),""),"")</f>
        <v/>
      </c>
      <c r="U843" s="17" t="str">
        <f>IF(ISNUMBER($B820), IF($C843&lt;&gt;"", IF('Cost Inputs'!$L$192="Y", $E843, IF('Cost Inputs'!$L$192="N", IF(ISNUMBER('Cost Inputs'!$M$192), $E843, ""),"")),""),"")</f>
        <v/>
      </c>
      <c r="V843" s="17" t="str">
        <f>IF(ISNUMBER($B820), IF($C843&lt;&gt;"", IF('Cost Inputs'!$L$192="Y", $E843, IF('Cost Inputs'!$L$192="N", IF(ISNUMBER('Cost Inputs'!$M$192), $E843, ""),"")),""),"")</f>
        <v/>
      </c>
      <c r="W843" s="17" t="str">
        <f>IF(ISNUMBER($B820), IF($C843&lt;&gt;"", IF('Cost Inputs'!$L$192="Y", $E843, IF('Cost Inputs'!$L$192="N", IF(ISNUMBER('Cost Inputs'!$M$192), $E843, ""),"")),""),"")</f>
        <v/>
      </c>
      <c r="X843" s="17" t="str">
        <f>IF(ISNUMBER($B820), IF($C843&lt;&gt;"", IF('Cost Inputs'!$L$192="Y", $E843, IF('Cost Inputs'!$L$192="N", IF(ISNUMBER('Cost Inputs'!$M$192), $E843, ""),"")),""),"")</f>
        <v/>
      </c>
      <c r="Y843" s="17" t="str">
        <f>IF(ISNUMBER($B820), IF($C843&lt;&gt;"", IF('Cost Inputs'!$L$192="Y", $E843, IF('Cost Inputs'!$L$192="N", IF(ISNUMBER('Cost Inputs'!$M$192), $E843, ""),"")),""),"")</f>
        <v/>
      </c>
      <c r="Z843" s="17" t="str">
        <f>IF(ISNUMBER($B820), IF($C843&lt;&gt;"", IF('Cost Inputs'!$L$192="Y", $E843, IF('Cost Inputs'!$L$192="N", IF(ISNUMBER('Cost Inputs'!$M$192), $E843, ""),"")),""),"")</f>
        <v/>
      </c>
    </row>
    <row r="844" spans="1:26" x14ac:dyDescent="0.25">
      <c r="A844" s="518"/>
      <c r="B844" s="504"/>
      <c r="C844" s="107" t="str">
        <f>IF(AND(ISNUMBER(B820), OR('Cost Inputs'!$H$193&lt;&gt;"", 'Cost Inputs'!$I$193&lt;&gt;"", 'Cost Inputs'!$J$193&lt;&gt;"")), _6_4_2, "")</f>
        <v/>
      </c>
      <c r="D844" s="93" t="str">
        <f>IF(AND(C844&lt;&gt;"", 'Cost Inputs'!$G$193&lt;&gt;""), 'Cost Inputs'!$G$193, "")</f>
        <v/>
      </c>
      <c r="E844" s="93" t="str">
        <f>IF(AND(C844&lt;&gt;"", 'Cost Inputs'!$H$193&lt;&gt;""), 'Cost Inputs'!$H$193, "")</f>
        <v/>
      </c>
      <c r="F844" s="93" t="str">
        <f>IF(AND(C844&lt;&gt;"", 'Cost Inputs'!$I$193&lt;&gt;""), 'Cost Inputs'!$I$193, "")</f>
        <v/>
      </c>
      <c r="G844" s="108" t="str">
        <f t="shared" si="482"/>
        <v/>
      </c>
      <c r="H844" s="93" t="str">
        <f>IF(AND(C844&lt;&gt;"", 'Cost Inputs'!$J$193&lt;&gt;""), 'Cost Inputs'!$J$193, "")</f>
        <v/>
      </c>
      <c r="I844" s="93" t="str">
        <f t="shared" si="485"/>
        <v/>
      </c>
      <c r="J844" s="93" t="str">
        <f>IF(AND(C844&lt;&gt;"",('Cost Inputs'!$I$152+'Cost Inputs'!$J$152+'Cost Inputs'!$K$152)&gt;0), 'Cost Inputs'!$I$152+'Cost Inputs'!$J$152+'Cost Inputs'!$K$152, "")</f>
        <v/>
      </c>
      <c r="K844" s="93" t="str">
        <f t="shared" si="486"/>
        <v/>
      </c>
      <c r="L844" s="93"/>
      <c r="M844" s="109"/>
      <c r="Q844" s="93" t="str">
        <f>IF(ISNUMBER($B820), IF($C844&lt;&gt;"", IF('Cost Inputs'!$L$193="Y", $E844, IF('Cost Inputs'!$L$193="N", IF(ISNUMBER('Cost Inputs'!$M$193), $E844, ""),"")),""),"")</f>
        <v/>
      </c>
      <c r="R844" s="93" t="str">
        <f>IF(ISNUMBER($B820), IF($C844&lt;&gt;"", IF('Cost Inputs'!$L$193="Y", $E844, IF('Cost Inputs'!$L$193="N", IF(ISNUMBER('Cost Inputs'!$M$193), $E844, ""),"")),""),"")</f>
        <v/>
      </c>
      <c r="S844" s="93" t="str">
        <f>IF(ISNUMBER($B820), IF($C844&lt;&gt;"", IF('Cost Inputs'!$L$193="Y", $E844, IF('Cost Inputs'!$L$193="N", IF(ISNUMBER('Cost Inputs'!$M$193), $E844, ""),"")),""),"")</f>
        <v/>
      </c>
      <c r="T844" s="93" t="str">
        <f>IF(ISNUMBER($B820), IF($C844&lt;&gt;"", IF('Cost Inputs'!$L$193="Y", $E844, IF('Cost Inputs'!$L$193="N", IF(ISNUMBER('Cost Inputs'!$M$193), $E844, ""),"")),""),"")</f>
        <v/>
      </c>
      <c r="U844" s="93" t="str">
        <f>IF(ISNUMBER($B820), IF($C844&lt;&gt;"", IF('Cost Inputs'!$L$193="Y", $E844, IF('Cost Inputs'!$L$193="N", IF(ISNUMBER('Cost Inputs'!$M$193), $E844, ""),"")),""),"")</f>
        <v/>
      </c>
      <c r="V844" s="93" t="str">
        <f>IF(ISNUMBER($B820), IF($C844&lt;&gt;"", IF('Cost Inputs'!$L$193="Y", $E844, IF('Cost Inputs'!$L$193="N", IF(ISNUMBER('Cost Inputs'!$M$193), $E844, ""),"")),""),"")</f>
        <v/>
      </c>
      <c r="W844" s="93" t="str">
        <f>IF(ISNUMBER($B820), IF($C844&lt;&gt;"", IF('Cost Inputs'!$L$193="Y", $E844, IF('Cost Inputs'!$L$193="N", IF(ISNUMBER('Cost Inputs'!$M$193), $E844, ""),"")),""),"")</f>
        <v/>
      </c>
      <c r="X844" s="93" t="str">
        <f>IF(ISNUMBER($B820), IF($C844&lt;&gt;"", IF('Cost Inputs'!$L$193="Y", $E844, IF('Cost Inputs'!$L$193="N", IF(ISNUMBER('Cost Inputs'!$M$193), $E844, ""),"")),""),"")</f>
        <v/>
      </c>
      <c r="Y844" s="93" t="str">
        <f>IF(ISNUMBER($B820), IF($C844&lt;&gt;"", IF('Cost Inputs'!$L$193="Y", $E844, IF('Cost Inputs'!$L$193="N", IF(ISNUMBER('Cost Inputs'!$M$193), $E844, ""),"")),""),"")</f>
        <v/>
      </c>
      <c r="Z844" s="93" t="str">
        <f>IF(ISNUMBER($B820), IF($C844&lt;&gt;"", IF('Cost Inputs'!$L$193="Y", $E844, IF('Cost Inputs'!$L$193="N", IF(ISNUMBER('Cost Inputs'!$M$193), $E844, ""),"")),""),"")</f>
        <v/>
      </c>
    </row>
    <row r="845" spans="1:26" x14ac:dyDescent="0.25">
      <c r="A845" s="518"/>
      <c r="B845" s="504"/>
      <c r="C845" s="104" t="str">
        <f>IF(AND(ISNUMBER(B820), OR('Cost Inputs'!$H$194&lt;&gt;"", 'Cost Inputs'!$I$194&lt;&gt;"", 'Cost Inputs'!$J$194&lt;&gt;"")), _6_4_3, "")</f>
        <v/>
      </c>
      <c r="D845" s="17" t="str">
        <f>IF(AND(C845&lt;&gt;"", 'Cost Inputs'!$G$194&lt;&gt;""), 'Cost Inputs'!$G$194, "")</f>
        <v/>
      </c>
      <c r="E845" s="17" t="str">
        <f>IF(AND(C845&lt;&gt;"", 'Cost Inputs'!$H$194&lt;&gt;""), 'Cost Inputs'!$H$194, "")</f>
        <v/>
      </c>
      <c r="F845" s="17" t="str">
        <f>IF(AND(C845&lt;&gt;"", 'Cost Inputs'!$I$194&lt;&gt;""), 'Cost Inputs'!$I$194, "")</f>
        <v/>
      </c>
      <c r="G845" s="105" t="str">
        <f t="shared" si="482"/>
        <v/>
      </c>
      <c r="H845" s="17" t="str">
        <f>IF(AND(C845&lt;&gt;"", 'Cost Inputs'!$J$194&lt;&gt;""), 'Cost Inputs'!$J$194, "")</f>
        <v/>
      </c>
      <c r="I845" s="17" t="str">
        <f t="shared" si="485"/>
        <v/>
      </c>
      <c r="J845" s="17" t="str">
        <f>IF(AND(C845&lt;&gt;"",('Cost Inputs'!$I$194+'Cost Inputs'!$J$194+'Cost Inputs'!$K$194)&gt;0), 'Cost Inputs'!$I$194+'Cost Inputs'!$J$194+'Cost Inputs'!$K$194, "")</f>
        <v/>
      </c>
      <c r="K845" s="17" t="str">
        <f t="shared" si="486"/>
        <v/>
      </c>
      <c r="M845" s="106"/>
      <c r="Q845" s="17" t="str">
        <f>IF(ISNUMBER($B820), IF($C845&lt;&gt;"", IF('Cost Inputs'!$L$194="Y", $E845, IF('Cost Inputs'!$L$194="N", IF(ISNUMBER('Cost Inputs'!$M$194), $E845, ""),"")),""),"")</f>
        <v/>
      </c>
      <c r="R845" s="17" t="str">
        <f>IF(ISNUMBER($B820), IF($C845&lt;&gt;"", IF('Cost Inputs'!$L$194="Y", $E845, IF('Cost Inputs'!$L$194="N", IF(ISNUMBER('Cost Inputs'!$M$194), $E845, ""),"")),""),"")</f>
        <v/>
      </c>
      <c r="S845" s="17" t="str">
        <f>IF(ISNUMBER($B820), IF($C845&lt;&gt;"", IF('Cost Inputs'!$L$194="Y", $E845, IF('Cost Inputs'!$L$194="N", IF(ISNUMBER('Cost Inputs'!$M$194), $E845, ""),"")),""),"")</f>
        <v/>
      </c>
      <c r="T845" s="17" t="str">
        <f>IF(ISNUMBER($B820), IF($C845&lt;&gt;"", IF('Cost Inputs'!$L$194="Y", $E845, IF('Cost Inputs'!$L$194="N", IF(ISNUMBER('Cost Inputs'!$M$194), $E845, ""),"")),""),"")</f>
        <v/>
      </c>
      <c r="U845" s="17" t="str">
        <f>IF(ISNUMBER($B820), IF($C845&lt;&gt;"", IF('Cost Inputs'!$L$194="Y", $E845, IF('Cost Inputs'!$L$194="N", IF(ISNUMBER('Cost Inputs'!$M$194), $E845, ""),"")),""),"")</f>
        <v/>
      </c>
      <c r="V845" s="17" t="str">
        <f>IF(ISNUMBER($B820), IF($C845&lt;&gt;"", IF('Cost Inputs'!$L$194="Y", $E845, IF('Cost Inputs'!$L$194="N", IF(ISNUMBER('Cost Inputs'!$M$194), $E845, ""),"")),""),"")</f>
        <v/>
      </c>
      <c r="W845" s="17" t="str">
        <f>IF(ISNUMBER($B820), IF($C845&lt;&gt;"", IF('Cost Inputs'!$L$194="Y", $E845, IF('Cost Inputs'!$L$194="N", IF(ISNUMBER('Cost Inputs'!$M$194), $E845, ""),"")),""),"")</f>
        <v/>
      </c>
      <c r="X845" s="17" t="str">
        <f>IF(ISNUMBER($B820), IF($C845&lt;&gt;"", IF('Cost Inputs'!$L$194="Y", $E845, IF('Cost Inputs'!$L$194="N", IF(ISNUMBER('Cost Inputs'!$M$194), $E845, ""),"")),""),"")</f>
        <v/>
      </c>
      <c r="Y845" s="17" t="str">
        <f>IF(ISNUMBER($B820), IF($C845&lt;&gt;"", IF('Cost Inputs'!$L$194="Y", $E845, IF('Cost Inputs'!$L$194="N", IF(ISNUMBER('Cost Inputs'!$M$194), $E845, ""),"")),""),"")</f>
        <v/>
      </c>
      <c r="Z845" s="17" t="str">
        <f>IF(ISNUMBER($B820), IF($C845&lt;&gt;"", IF('Cost Inputs'!$L$194="Y", $E845, IF('Cost Inputs'!$L$194="N", IF(ISNUMBER('Cost Inputs'!$M$194), $E845, ""),"")),""),"")</f>
        <v/>
      </c>
    </row>
    <row r="846" spans="1:26" x14ac:dyDescent="0.25">
      <c r="A846" s="518"/>
      <c r="B846" s="504"/>
      <c r="C846" s="107" t="str">
        <f>IF(AND(ISNUMBER(B820), OR('Cost Inputs'!$H$195&lt;&gt;"", 'Cost Inputs'!$I$195&lt;&gt;"", 'Cost Inputs'!$J$195&lt;&gt;"")), _6_4_4, "")</f>
        <v/>
      </c>
      <c r="D846" s="93" t="str">
        <f>IF(AND(C846&lt;&gt;"", 'Cost Inputs'!$G$195&lt;&gt;""), 'Cost Inputs'!$G$195, "")</f>
        <v/>
      </c>
      <c r="E846" s="93" t="str">
        <f>IF(AND(C846&lt;&gt;"", 'Cost Inputs'!$H$195&lt;&gt;""), 'Cost Inputs'!$H$195, "")</f>
        <v/>
      </c>
      <c r="F846" s="93" t="str">
        <f>IF(AND(C846&lt;&gt;"", 'Cost Inputs'!$I$195&lt;&gt;""), 'Cost Inputs'!$I$195, "")</f>
        <v/>
      </c>
      <c r="G846" s="108" t="str">
        <f t="shared" si="482"/>
        <v/>
      </c>
      <c r="H846" s="93" t="str">
        <f>IF(AND(C846&lt;&gt;"", 'Cost Inputs'!$J$195&lt;&gt;""), 'Cost Inputs'!$J$195, "")</f>
        <v/>
      </c>
      <c r="I846" s="93" t="str">
        <f t="shared" si="485"/>
        <v/>
      </c>
      <c r="J846" s="93" t="str">
        <f>IF(AND(C846&lt;&gt;"",('Cost Inputs'!$I$195+'Cost Inputs'!$J$195+'Cost Inputs'!$K$195)&gt;0), 'Cost Inputs'!$I$195+'Cost Inputs'!$J$195+'Cost Inputs'!$K$195, "")</f>
        <v/>
      </c>
      <c r="K846" s="93" t="str">
        <f t="shared" si="486"/>
        <v/>
      </c>
      <c r="L846" s="93"/>
      <c r="M846" s="109"/>
      <c r="Q846" s="93" t="str">
        <f>IF(ISNUMBER($B820), IF($C846&lt;&gt;"", IF('Cost Inputs'!$L$195="Y", $E846, IF('Cost Inputs'!$L$195="N", IF(ISNUMBER('Cost Inputs'!$M$195), $E846, ""),"")),""),"")</f>
        <v/>
      </c>
      <c r="R846" s="93" t="str">
        <f>IF(ISNUMBER($B820), IF($C846&lt;&gt;"", IF('Cost Inputs'!$L$195="Y", $E846, IF('Cost Inputs'!$L$195="N", IF(ISNUMBER('Cost Inputs'!$M$195), $E846, ""),"")),""),"")</f>
        <v/>
      </c>
      <c r="S846" s="93" t="str">
        <f>IF(ISNUMBER($B820), IF($C846&lt;&gt;"", IF('Cost Inputs'!$L$195="Y", $E846, IF('Cost Inputs'!$L$195="N", IF(ISNUMBER('Cost Inputs'!$M$195), $E846, ""),"")),""),"")</f>
        <v/>
      </c>
      <c r="T846" s="93" t="str">
        <f>IF(ISNUMBER($B820), IF($C846&lt;&gt;"", IF('Cost Inputs'!$L$195="Y", $E846, IF('Cost Inputs'!$L$195="N", IF(ISNUMBER('Cost Inputs'!$M$195), $E846, ""),"")),""),"")</f>
        <v/>
      </c>
      <c r="U846" s="93" t="str">
        <f>IF(ISNUMBER($B820), IF($C846&lt;&gt;"", IF('Cost Inputs'!$L$195="Y", $E846, IF('Cost Inputs'!$L$195="N", IF(ISNUMBER('Cost Inputs'!$M$195), $E846, ""),"")),""),"")</f>
        <v/>
      </c>
      <c r="V846" s="93" t="str">
        <f>IF(ISNUMBER($B820), IF($C846&lt;&gt;"", IF('Cost Inputs'!$L$195="Y", $E846, IF('Cost Inputs'!$L$195="N", IF(ISNUMBER('Cost Inputs'!$M$195), $E846, ""),"")),""),"")</f>
        <v/>
      </c>
      <c r="W846" s="93" t="str">
        <f>IF(ISNUMBER($B820), IF($C846&lt;&gt;"", IF('Cost Inputs'!$L$195="Y", $E846, IF('Cost Inputs'!$L$195="N", IF(ISNUMBER('Cost Inputs'!$M$195), $E846, ""),"")),""),"")</f>
        <v/>
      </c>
      <c r="X846" s="93" t="str">
        <f>IF(ISNUMBER($B820), IF($C846&lt;&gt;"", IF('Cost Inputs'!$L$195="Y", $E846, IF('Cost Inputs'!$L$195="N", IF(ISNUMBER('Cost Inputs'!$M$195), $E846, ""),"")),""),"")</f>
        <v/>
      </c>
      <c r="Y846" s="93" t="str">
        <f>IF(ISNUMBER($B820), IF($C846&lt;&gt;"", IF('Cost Inputs'!$L$195="Y", $E846, IF('Cost Inputs'!$L$195="N", IF(ISNUMBER('Cost Inputs'!$M$195), $E846, ""),"")),""),"")</f>
        <v/>
      </c>
      <c r="Z846" s="93" t="str">
        <f>IF(ISNUMBER($B820), IF($C846&lt;&gt;"", IF('Cost Inputs'!$L$195="Y", $E846, IF('Cost Inputs'!$L$195="N", IF(ISNUMBER('Cost Inputs'!$M$195), $E846, ""),"")),""),"")</f>
        <v/>
      </c>
    </row>
    <row r="847" spans="1:26" x14ac:dyDescent="0.25">
      <c r="A847" s="518"/>
      <c r="B847" s="504"/>
      <c r="C847" s="104" t="str">
        <f>IF(AND(ISNUMBER(B820), OR('Cost Inputs'!$H$196&lt;&gt;"", 'Cost Inputs'!$I$196&lt;&gt;"", 'Cost Inputs'!$J$196&lt;&gt;"")), _6_4_5, "")</f>
        <v/>
      </c>
      <c r="D847" s="17" t="str">
        <f>IF(AND(C847&lt;&gt;"", 'Cost Inputs'!$G$196&lt;&gt;""), 'Cost Inputs'!$G$196, "")</f>
        <v/>
      </c>
      <c r="E847" s="17" t="str">
        <f>IF(AND(C847&lt;&gt;"", 'Cost Inputs'!$H$196&lt;&gt;""), 'Cost Inputs'!$H$196, "")</f>
        <v/>
      </c>
      <c r="F847" s="17" t="str">
        <f>IF(AND(C847&lt;&gt;"", 'Cost Inputs'!$I$196&lt;&gt;""), 'Cost Inputs'!$I$196, "")</f>
        <v/>
      </c>
      <c r="G847" s="105" t="str">
        <f t="shared" si="482"/>
        <v/>
      </c>
      <c r="H847" s="17" t="str">
        <f>IF(AND(C847&lt;&gt;"", 'Cost Inputs'!$J$196&lt;&gt;""), 'Cost Inputs'!$J$196, "")</f>
        <v/>
      </c>
      <c r="I847" s="17" t="str">
        <f t="shared" si="485"/>
        <v/>
      </c>
      <c r="J847" s="17" t="str">
        <f>IF(AND(C847&lt;&gt;"",('Cost Inputs'!$I$196+'Cost Inputs'!$J$196+'Cost Inputs'!$K$196)&gt;0), 'Cost Inputs'!$I$196+'Cost Inputs'!$J$196+'Cost Inputs'!$K$196, "")</f>
        <v/>
      </c>
      <c r="K847" s="17" t="str">
        <f t="shared" si="486"/>
        <v/>
      </c>
      <c r="M847" s="106"/>
      <c r="Q847" s="17" t="str">
        <f>IF(ISNUMBER($B820), IF($C847&lt;&gt;"", IF('Cost Inputs'!$L$196="Y", $E847, IF('Cost Inputs'!$L$196="N", IF(ISNUMBER('Cost Inputs'!$M$196), $E847, ""),"")),""),"")</f>
        <v/>
      </c>
      <c r="R847" s="17" t="str">
        <f>IF(ISNUMBER($B820), IF($C847&lt;&gt;"", IF('Cost Inputs'!$L$196="Y", $E847, IF('Cost Inputs'!$L$196="N", IF(ISNUMBER('Cost Inputs'!$M$196), $E847, ""),"")),""),"")</f>
        <v/>
      </c>
      <c r="S847" s="17" t="str">
        <f>IF(ISNUMBER($B820), IF($C847&lt;&gt;"", IF('Cost Inputs'!$L$196="Y", $E847, IF('Cost Inputs'!$L$196="N", IF(ISNUMBER('Cost Inputs'!$M$196), $E847, ""),"")),""),"")</f>
        <v/>
      </c>
      <c r="T847" s="17" t="str">
        <f>IF(ISNUMBER($B820), IF($C847&lt;&gt;"", IF('Cost Inputs'!$L$196="Y", $E847, IF('Cost Inputs'!$L$196="N", IF(ISNUMBER('Cost Inputs'!$M$196), $E847, ""),"")),""),"")</f>
        <v/>
      </c>
      <c r="U847" s="17" t="str">
        <f>IF(ISNUMBER($B820), IF($C847&lt;&gt;"", IF('Cost Inputs'!$L$196="Y", $E847, IF('Cost Inputs'!$L$196="N", IF(ISNUMBER('Cost Inputs'!$M$196), $E847, ""),"")),""),"")</f>
        <v/>
      </c>
      <c r="V847" s="17" t="str">
        <f>IF(ISNUMBER($B820), IF($C847&lt;&gt;"", IF('Cost Inputs'!$L$196="Y", $E847, IF('Cost Inputs'!$L$196="N", IF(ISNUMBER('Cost Inputs'!$M$196), $E847, ""),"")),""),"")</f>
        <v/>
      </c>
      <c r="W847" s="17" t="str">
        <f>IF(ISNUMBER($B820), IF($C847&lt;&gt;"", IF('Cost Inputs'!$L$196="Y", $E847, IF('Cost Inputs'!$L$196="N", IF(ISNUMBER('Cost Inputs'!$M$196), $E847, ""),"")),""),"")</f>
        <v/>
      </c>
      <c r="X847" s="17" t="str">
        <f>IF(ISNUMBER($B820), IF($C847&lt;&gt;"", IF('Cost Inputs'!$L$196="Y", $E847, IF('Cost Inputs'!$L$196="N", IF(ISNUMBER('Cost Inputs'!$M$196), $E847, ""),"")),""),"")</f>
        <v/>
      </c>
      <c r="Y847" s="17" t="str">
        <f>IF(ISNUMBER($B820), IF($C847&lt;&gt;"", IF('Cost Inputs'!$L$196="Y", $E847, IF('Cost Inputs'!$L$196="N", IF(ISNUMBER('Cost Inputs'!$M$196), $E847, ""),"")),""),"")</f>
        <v/>
      </c>
      <c r="Z847" s="17" t="str">
        <f>IF(ISNUMBER($B820), IF($C847&lt;&gt;"", IF('Cost Inputs'!$L$196="Y", $E847, IF('Cost Inputs'!$L$196="N", IF(ISNUMBER('Cost Inputs'!$M$196), $E847, ""),"")),""),"")</f>
        <v/>
      </c>
    </row>
    <row r="848" spans="1:26" x14ac:dyDescent="0.25">
      <c r="A848" s="518"/>
      <c r="B848" s="504"/>
      <c r="C848" s="107" t="str">
        <f>IF(AND(ISNUMBER(B820), OR('Cost Inputs'!$H$197&lt;&gt;"", 'Cost Inputs'!$I$197&lt;&gt;"", 'Cost Inputs'!$J$197&lt;&gt;"")), _6_4_6, "")</f>
        <v/>
      </c>
      <c r="D848" s="93" t="str">
        <f>IF(AND(C848&lt;&gt;"", 'Cost Inputs'!$G$197&lt;&gt;""), 'Cost Inputs'!$G$197, "")</f>
        <v/>
      </c>
      <c r="E848" s="93" t="str">
        <f>IF(AND(C848&lt;&gt;"", 'Cost Inputs'!$H$197&lt;&gt;""), 'Cost Inputs'!$H$197, "")</f>
        <v/>
      </c>
      <c r="F848" s="93" t="str">
        <f>IF(AND(C848&lt;&gt;"", 'Cost Inputs'!$I$197&lt;&gt;""), 'Cost Inputs'!$I$197, "")</f>
        <v/>
      </c>
      <c r="G848" s="108" t="str">
        <f t="shared" si="482"/>
        <v/>
      </c>
      <c r="H848" s="93" t="str">
        <f>IF(AND(C848&lt;&gt;"", 'Cost Inputs'!$J$197&lt;&gt;""), 'Cost Inputs'!$J$16, "")</f>
        <v/>
      </c>
      <c r="I848" s="93" t="str">
        <f t="shared" si="485"/>
        <v/>
      </c>
      <c r="J848" s="93" t="str">
        <f>IF(AND(C848&lt;&gt;"",('Cost Inputs'!$I$197+'Cost Inputs'!$J$197+'Cost Inputs'!$K$197)&gt;0), 'Cost Inputs'!$I$197+'Cost Inputs'!$J$197+'Cost Inputs'!$K$197, "")</f>
        <v/>
      </c>
      <c r="K848" s="93" t="str">
        <f t="shared" si="486"/>
        <v/>
      </c>
      <c r="L848" s="93"/>
      <c r="M848" s="109"/>
      <c r="Q848" s="93" t="str">
        <f>IF(ISNUMBER($B820), IF($C848&lt;&gt;"", IF('Cost Inputs'!$L$197="Y", $E848, IF('Cost Inputs'!$L$197="N", IF(ISNUMBER('Cost Inputs'!$M$197), $E848, ""),"")),""),"")</f>
        <v/>
      </c>
      <c r="R848" s="93" t="str">
        <f>IF(ISNUMBER($B820), IF($C848&lt;&gt;"", IF('Cost Inputs'!$L$197="Y", $E848, IF('Cost Inputs'!$L$197="N", IF(ISNUMBER('Cost Inputs'!$M$197), $E848, ""),"")),""),"")</f>
        <v/>
      </c>
      <c r="S848" s="93" t="str">
        <f>IF(ISNUMBER($B820), IF($C848&lt;&gt;"", IF('Cost Inputs'!$L$197="Y", $E848, IF('Cost Inputs'!$L$197="N", IF(ISNUMBER('Cost Inputs'!$M$197), $E848, ""),"")),""),"")</f>
        <v/>
      </c>
      <c r="T848" s="93" t="str">
        <f>IF(ISNUMBER($B820), IF($C848&lt;&gt;"", IF('Cost Inputs'!$L$197="Y", $E848, IF('Cost Inputs'!$L$197="N", IF(ISNUMBER('Cost Inputs'!$M$197), $E848, ""),"")),""),"")</f>
        <v/>
      </c>
      <c r="U848" s="93" t="str">
        <f>IF(ISNUMBER($B820), IF($C848&lt;&gt;"", IF('Cost Inputs'!$L$197="Y", $E848, IF('Cost Inputs'!$L$197="N", IF(ISNUMBER('Cost Inputs'!$M$197), $E848, ""),"")),""),"")</f>
        <v/>
      </c>
      <c r="V848" s="93" t="str">
        <f>IF(ISNUMBER($B820), IF($C848&lt;&gt;"", IF('Cost Inputs'!$L$197="Y", $E848, IF('Cost Inputs'!$L$197="N", IF(ISNUMBER('Cost Inputs'!$M$197), $E848, ""),"")),""),"")</f>
        <v/>
      </c>
      <c r="W848" s="93" t="str">
        <f>IF(ISNUMBER($B820), IF($C848&lt;&gt;"", IF('Cost Inputs'!$L$197="Y", $E848, IF('Cost Inputs'!$L$197="N", IF(ISNUMBER('Cost Inputs'!$M$197), $E848, ""),"")),""),"")</f>
        <v/>
      </c>
      <c r="X848" s="93" t="str">
        <f>IF(ISNUMBER($B820), IF($C848&lt;&gt;"", IF('Cost Inputs'!$L$197="Y", $E848, IF('Cost Inputs'!$L$197="N", IF(ISNUMBER('Cost Inputs'!$M$197), $E848, ""),"")),""),"")</f>
        <v/>
      </c>
      <c r="Y848" s="93" t="str">
        <f>IF(ISNUMBER($B820), IF($C848&lt;&gt;"", IF('Cost Inputs'!$L$197="Y", $E848, IF('Cost Inputs'!$L$197="N", IF(ISNUMBER('Cost Inputs'!$M$197), $E848, ""),"")),""),"")</f>
        <v/>
      </c>
      <c r="Z848" s="93" t="str">
        <f>IF(ISNUMBER($B820), IF($C848&lt;&gt;"", IF('Cost Inputs'!$L$197="Y", $E848, IF('Cost Inputs'!$L$197="N", IF(ISNUMBER('Cost Inputs'!$M$197), $E848, ""),"")),""),"")</f>
        <v/>
      </c>
    </row>
    <row r="849" spans="1:27" x14ac:dyDescent="0.25">
      <c r="A849" s="518"/>
      <c r="B849" s="504"/>
      <c r="C849" s="521" t="str">
        <f>IF(AND(B838&lt;&gt;"",ISNUMBER(B838),ISNUMBER(Stage4EvaluationBegins)),IF((INDEX(ProgramYearStage4,MATCH(Stage4EvaluationBegins,Years_in_Stage4,0)))=B838,_6_5_0,IF(AND(B838&lt;&gt;"",C827&lt;&gt;""),_6_5_0,IF(AND(B838&lt;&gt;"",ISNUMBER(B838),OR(Stage4EvaluationBegins=0,Stage4EvaluationBegins="")),"",""))),"")</f>
        <v/>
      </c>
      <c r="D849" s="94" t="str">
        <f>IF(AND(C849&lt;&gt;"", 'Cost Inputs'!$G$198&lt;&gt;""), 'Cost Inputs'!$G$198, "")</f>
        <v/>
      </c>
      <c r="E849" s="94" t="str">
        <f>IF(AND(C849&lt;&gt;"", 'Cost Inputs'!$H$198&lt;&gt;""), 'Cost Inputs'!$H$198, "")</f>
        <v/>
      </c>
      <c r="F849" s="492" t="str">
        <f>IF(AND(C849&lt;&gt;"", 'Cost Inputs'!$I$198&lt;&gt;""), 'Cost Inputs'!$I$198, "")</f>
        <v/>
      </c>
      <c r="G849" s="102" t="str">
        <f t="shared" si="482"/>
        <v/>
      </c>
      <c r="H849" s="492" t="str">
        <f>IF(AND(C849&lt;&gt;"", 'Cost Inputs'!$J$198&lt;&gt;""), 'Cost Inputs'!$J$198, "")</f>
        <v/>
      </c>
      <c r="I849" s="102" t="str">
        <f>IF($C849&lt;&gt;"",IF(AND($E849&lt;&gt;"",H849&lt;&gt;""), H849/$E849, 0),"")</f>
        <v/>
      </c>
      <c r="J849" s="492" t="str">
        <f>IF(AND(C849&lt;&gt;"",('Cost Inputs'!$I$198+'Cost Inputs'!$J$198+'Cost Inputs'!$K$198)&gt;0), 'Cost Inputs'!$I$198+'Cost Inputs'!$J$198+'Cost Inputs'!$K$198, "")</f>
        <v/>
      </c>
      <c r="K849" s="102" t="str">
        <f>IF($C849&lt;&gt;"",IF(AND($E849&lt;&gt;"",J849&lt;&gt;""), J849/$E849, 0),"")</f>
        <v/>
      </c>
      <c r="L849" s="94"/>
      <c r="M849" s="103"/>
      <c r="Q849" s="492" t="str">
        <f>IF(ISNUMBER($B820), IF($C849&lt;&gt;"", IF('Cost Inputs'!$L$198="Y", $E849, IF('Cost Inputs'!$L$198="N", IF(ISNUMBER('Cost Inputs'!$M$198), $E849, ""),"")),""),"")</f>
        <v/>
      </c>
      <c r="R849" s="492" t="str">
        <f>IF(ISNUMBER($B820), IF($C849&lt;&gt;"", IF('Cost Inputs'!$L$198="Y", $E849, IF('Cost Inputs'!$L$198="N", IF(ISNUMBER('Cost Inputs'!$M$198), $E849, ""),"")),""),"")</f>
        <v/>
      </c>
      <c r="S849" s="492" t="str">
        <f>IF(ISNUMBER($B820), IF($C849&lt;&gt;"", IF('Cost Inputs'!$L$198="Y", $E849, IF('Cost Inputs'!$L$198="N", IF(ISNUMBER('Cost Inputs'!$M$198), $E849, ""),"")),""),"")</f>
        <v/>
      </c>
      <c r="T849" s="492" t="str">
        <f>IF(ISNUMBER($B820), IF($C849&lt;&gt;"", IF('Cost Inputs'!$L$198="Y", $E849, IF('Cost Inputs'!$L$198="N", IF(ISNUMBER('Cost Inputs'!$M$198), $E849, ""),"")),""),"")</f>
        <v/>
      </c>
      <c r="U849" s="492" t="str">
        <f>IF(ISNUMBER($B820), IF($C849&lt;&gt;"", IF('Cost Inputs'!$L$198="Y", $E849, IF('Cost Inputs'!$L$198="N", IF(ISNUMBER('Cost Inputs'!$M$198), $E849, ""),"")),""),"")</f>
        <v/>
      </c>
      <c r="V849" s="492" t="str">
        <f>IF(ISNUMBER($B820), IF($C849&lt;&gt;"", IF('Cost Inputs'!$L$198="Y", $E849, IF('Cost Inputs'!$L$198="N", IF(ISNUMBER('Cost Inputs'!$M$198), $E849, ""),"")),""),"")</f>
        <v/>
      </c>
      <c r="W849" s="492" t="str">
        <f>IF(ISNUMBER($B820), IF($C849&lt;&gt;"", IF('Cost Inputs'!$L$198="Y", $E849, IF('Cost Inputs'!$L$198="N", IF(ISNUMBER('Cost Inputs'!$M$198), $E849, ""),"")),""),"")</f>
        <v/>
      </c>
      <c r="X849" s="492" t="str">
        <f>IF(ISNUMBER($B820), IF($C849&lt;&gt;"", IF('Cost Inputs'!$L$198="Y", $E849, IF('Cost Inputs'!$L$198="N", IF(ISNUMBER('Cost Inputs'!$M$198), $E849, ""),"")),""),"")</f>
        <v/>
      </c>
      <c r="Y849" s="492" t="str">
        <f>IF(ISNUMBER($B820), IF($C849&lt;&gt;"", IF('Cost Inputs'!$L$198="Y", $E849, IF('Cost Inputs'!$L$198="N", IF(ISNUMBER('Cost Inputs'!$M$198), $E849, ""),"")),""),"")</f>
        <v/>
      </c>
      <c r="Z849" s="492" t="str">
        <f>IF(ISNUMBER($B820), IF($C849&lt;&gt;"", IF('Cost Inputs'!$L$198="Y", $E849, IF('Cost Inputs'!$L$198="N", IF(ISNUMBER('Cost Inputs'!$M$198), $E849, ""),"")),""),"")</f>
        <v/>
      </c>
    </row>
    <row r="850" spans="1:27" x14ac:dyDescent="0.25">
      <c r="A850" s="518"/>
      <c r="B850" s="504"/>
      <c r="C850" s="521"/>
      <c r="D850" s="94" t="str">
        <f>IF(AND(C849&lt;&gt;"", 'Cost Inputs'!$G$199&lt;&gt;""), 'Cost Inputs'!$G$199, "")</f>
        <v/>
      </c>
      <c r="E850" s="94" t="str">
        <f>IF(AND(C849&lt;&gt;"", 'Cost Inputs'!$H$199&lt;&gt;""), 'Cost Inputs'!$H$199, "")</f>
        <v/>
      </c>
      <c r="F850" s="492"/>
      <c r="G850" s="102" t="str">
        <f t="shared" si="482"/>
        <v/>
      </c>
      <c r="H850" s="492"/>
      <c r="I850" s="102" t="str">
        <f>IF($C849&lt;&gt;"", IF(AND($E850&lt;&gt;"", H849&lt;&gt;""), H849/($E849*$E850), 0), "")</f>
        <v/>
      </c>
      <c r="J850" s="492" t="str">
        <f>IF(AND(C850&lt;&gt;"",('Cost Inputs'!$I$86+'Cost Inputs'!$J$86+'Cost Inputs'!$K$86)&gt;0), 'Cost Inputs'!$I$86+'Cost Inputs'!$J$86+'Cost Inputs'!$K$86, "")</f>
        <v/>
      </c>
      <c r="K850" s="102" t="str">
        <f>IF($C849&lt;&gt;"", IF(AND($E850&lt;&gt;"", J849&lt;&gt;""), J849/($E849*$E850), 0), "")</f>
        <v/>
      </c>
      <c r="L850" s="94"/>
      <c r="M850" s="103"/>
      <c r="Q850" s="492" t="str">
        <f>IF(ISNUMBER($B$776), IF($C850&lt;&gt;"", IF('Cost Inputs'!$L243="Y", $E850, IF('Cost Inputs'!$L243="N", IF(ISNUMBER('Cost Inputs'!$M243), $E850, ""),"")),""),"")</f>
        <v/>
      </c>
      <c r="R850" s="492" t="str">
        <f>IF(ISNUMBER($B$776), IF($C850&lt;&gt;"", IF('Cost Inputs'!$L243="Y", $E850, IF('Cost Inputs'!$L243="N", IF(ISNUMBER('Cost Inputs'!$M243), $E850, ""),"")),""),"")</f>
        <v/>
      </c>
      <c r="S850" s="492" t="str">
        <f>IF(ISNUMBER($B$776), IF($C850&lt;&gt;"", IF('Cost Inputs'!$L243="Y", $E850, IF('Cost Inputs'!$L243="N", IF(ISNUMBER('Cost Inputs'!$M243), $E850, ""),"")),""),"")</f>
        <v/>
      </c>
      <c r="T850" s="492" t="str">
        <f>IF(ISNUMBER($B$776), IF($C850&lt;&gt;"", IF('Cost Inputs'!$L243="Y", $E850, IF('Cost Inputs'!$L243="N", IF(ISNUMBER('Cost Inputs'!$M243), $E850, ""),"")),""),"")</f>
        <v/>
      </c>
      <c r="U850" s="492" t="str">
        <f>IF(ISNUMBER($B$776), IF($C850&lt;&gt;"", IF('Cost Inputs'!$L243="Y", $E850, IF('Cost Inputs'!$L243="N", IF(ISNUMBER('Cost Inputs'!$M243), $E850, ""),"")),""),"")</f>
        <v/>
      </c>
      <c r="V850" s="492" t="str">
        <f>IF(ISNUMBER($B$776), IF($C850&lt;&gt;"", IF('Cost Inputs'!$L243="Y", $E850, IF('Cost Inputs'!$L243="N", IF(ISNUMBER('Cost Inputs'!$M243), $E850, ""),"")),""),"")</f>
        <v/>
      </c>
      <c r="W850" s="492" t="str">
        <f>IF(ISNUMBER($B$776), IF($C850&lt;&gt;"", IF('Cost Inputs'!$L243="Y", $E850, IF('Cost Inputs'!$L243="N", IF(ISNUMBER('Cost Inputs'!$M243), $E850, ""),"")),""),"")</f>
        <v/>
      </c>
      <c r="X850" s="492" t="str">
        <f>IF(ISNUMBER($B$776), IF($C850&lt;&gt;"", IF('Cost Inputs'!$L243="Y", $E850, IF('Cost Inputs'!$L243="N", IF(ISNUMBER('Cost Inputs'!$M243), $E850, ""),"")),""),"")</f>
        <v/>
      </c>
      <c r="Y850" s="492" t="str">
        <f>IF(ISNUMBER($B$776), IF($C850&lt;&gt;"", IF('Cost Inputs'!$L243="Y", $E850, IF('Cost Inputs'!$L243="N", IF(ISNUMBER('Cost Inputs'!$M243), $E850, ""),"")),""),"")</f>
        <v/>
      </c>
      <c r="Z850" s="492" t="str">
        <f>IF(ISNUMBER($B$776), IF($C850&lt;&gt;"", IF('Cost Inputs'!$L243="Y", $E850, IF('Cost Inputs'!$L243="N", IF(ISNUMBER('Cost Inputs'!$M243), $E850, ""),"")),""),"")</f>
        <v/>
      </c>
    </row>
    <row r="851" spans="1:27" x14ac:dyDescent="0.25">
      <c r="A851" s="518"/>
      <c r="B851" s="504"/>
      <c r="C851" s="376" t="str">
        <f>IF(AND(ISNUMBER(B820), C849&lt;&gt;"", OR('Cost Inputs'!$H$200&lt;&gt;"", 'Cost Inputs'!$I$200&lt;&gt;"", 'Cost Inputs'!$J$200&lt;&gt;"")), _6_5_1, "")</f>
        <v/>
      </c>
      <c r="D851" s="17" t="str">
        <f>IF(AND(C851&lt;&gt;"", 'Cost Inputs'!$G$200&lt;&gt;""), 'Cost Inputs'!$G$200, "")</f>
        <v/>
      </c>
      <c r="E851" s="17" t="str">
        <f>IF(AND(C851&lt;&gt;"", 'Cost Inputs'!$H$200&lt;&gt;""), 'Cost Inputs'!$H$200, "")</f>
        <v/>
      </c>
      <c r="F851" s="493" t="str">
        <f>IF(AND(C851&lt;&gt;"", 'Cost Inputs'!$I$200&lt;&gt;""), 'Cost Inputs'!$I$200, "")</f>
        <v/>
      </c>
      <c r="G851" s="105" t="str">
        <f t="shared" si="482"/>
        <v/>
      </c>
      <c r="H851" s="493" t="str">
        <f>IF(AND(C851&lt;&gt;"", 'Cost Inputs'!$J$200&lt;&gt;""), 'Cost Inputs'!$J$200, "")</f>
        <v/>
      </c>
      <c r="I851" s="105" t="str">
        <f>IF($C851&lt;&gt;"",IF(AND($E851&lt;&gt;"",H851&lt;&gt;""), H851/$E851, 0),"")</f>
        <v/>
      </c>
      <c r="J851" s="493" t="str">
        <f>IF(AND(C851&lt;&gt;"",('Cost Inputs'!$I$200+'Cost Inputs'!$J$200+'Cost Inputs'!$K$200)&gt;0), 'Cost Inputs'!$I$200+'Cost Inputs'!$J$200+'Cost Inputs'!$K$200, "")</f>
        <v/>
      </c>
      <c r="K851" s="105" t="str">
        <f>IF($C851&lt;&gt;"",IF(AND($E851&lt;&gt;"",J851&lt;&gt;""), J851/$E851, 0),"")</f>
        <v/>
      </c>
      <c r="M851" s="106"/>
      <c r="Q851" s="493" t="str">
        <f>IF(ISNUMBER($B820), IF($C851&lt;&gt;"", IF('Cost Inputs'!$L$200="Y", $E851, IF('Cost Inputs'!$L$200="N", IF(ISNUMBER('Cost Inputs'!$M$200), $E851, ""),"")),""),"")</f>
        <v/>
      </c>
      <c r="R851" s="493" t="str">
        <f>IF(ISNUMBER($B820), IF($C851&lt;&gt;"", IF('Cost Inputs'!$L$200="Y", $E851, IF('Cost Inputs'!$L$200="N", IF(ISNUMBER('Cost Inputs'!$M$200), $E851, ""),"")),""),"")</f>
        <v/>
      </c>
      <c r="S851" s="493" t="str">
        <f>IF(ISNUMBER($B820), IF($C851&lt;&gt;"", IF('Cost Inputs'!$L$200="Y", $E851, IF('Cost Inputs'!$L$200="N", IF(ISNUMBER('Cost Inputs'!$M$200), $E851, ""),"")),""),"")</f>
        <v/>
      </c>
      <c r="T851" s="493" t="str">
        <f>IF(ISNUMBER($B820), IF($C851&lt;&gt;"", IF('Cost Inputs'!$L$200="Y", $E851, IF('Cost Inputs'!$L$200="N", IF(ISNUMBER('Cost Inputs'!$M$200), $E851, ""),"")),""),"")</f>
        <v/>
      </c>
      <c r="U851" s="493" t="str">
        <f>IF(ISNUMBER($B820), IF($C851&lt;&gt;"", IF('Cost Inputs'!$L$200="Y", $E851, IF('Cost Inputs'!$L$200="N", IF(ISNUMBER('Cost Inputs'!$M$200), $E851, ""),"")),""),"")</f>
        <v/>
      </c>
      <c r="V851" s="493" t="str">
        <f>IF(ISNUMBER($B820), IF($C851&lt;&gt;"", IF('Cost Inputs'!$L$200="Y", $E851, IF('Cost Inputs'!$L$200="N", IF(ISNUMBER('Cost Inputs'!$M$200), $E851, ""),"")),""),"")</f>
        <v/>
      </c>
      <c r="W851" s="493" t="str">
        <f>IF(ISNUMBER($B820), IF($C851&lt;&gt;"", IF('Cost Inputs'!$L$200="Y", $E851, IF('Cost Inputs'!$L$200="N", IF(ISNUMBER('Cost Inputs'!$M$200), $E851, ""),"")),""),"")</f>
        <v/>
      </c>
      <c r="X851" s="493" t="str">
        <f>IF(ISNUMBER($B820), IF($C851&lt;&gt;"", IF('Cost Inputs'!$L$200="Y", $E851, IF('Cost Inputs'!$L$200="N", IF(ISNUMBER('Cost Inputs'!$M$200), $E851, ""),"")),""),"")</f>
        <v/>
      </c>
      <c r="Y851" s="493" t="str">
        <f>IF(ISNUMBER($B820), IF($C851&lt;&gt;"", IF('Cost Inputs'!$L$200="Y", $E851, IF('Cost Inputs'!$L$200="N", IF(ISNUMBER('Cost Inputs'!$M$200), $E851, ""),"")),""),"")</f>
        <v/>
      </c>
      <c r="Z851" s="493" t="str">
        <f>IF(ISNUMBER($B820), IF($C851&lt;&gt;"", IF('Cost Inputs'!$L$200="Y", $E851, IF('Cost Inputs'!$L$200="N", IF(ISNUMBER('Cost Inputs'!$M$200), $E851, ""),"")),""),"")</f>
        <v/>
      </c>
    </row>
    <row r="852" spans="1:27" x14ac:dyDescent="0.25">
      <c r="A852" s="518"/>
      <c r="B852" s="504"/>
      <c r="C852" s="376" t="str">
        <f>IF(AND(ISNUMBER(B834), OR('Cost Inputs'!$H$85&lt;&gt;"", 'Cost Inputs'!$I$85&lt;&gt;"", 'Cost Inputs'!$J$85&lt;&gt;"")), _3_5_1, "")</f>
        <v/>
      </c>
      <c r="D852" s="17" t="str">
        <f>IF(AND(C851&lt;&gt;"", 'Cost Inputs'!$G$201&lt;&gt;""), 'Cost Inputs'!$G$201, "")</f>
        <v/>
      </c>
      <c r="E852" s="17" t="str">
        <f>IF(AND(C851&lt;&gt;"", 'Cost Inputs'!$H$201&lt;&gt;""), 'Cost Inputs'!$H$201, "")</f>
        <v/>
      </c>
      <c r="F852" s="493"/>
      <c r="G852" s="105" t="str">
        <f t="shared" si="482"/>
        <v/>
      </c>
      <c r="H852" s="493"/>
      <c r="I852" s="105" t="str">
        <f>IF($C851&lt;&gt;"", IF(AND($E852&lt;&gt;"", H851&lt;&gt;""), H851/($E851*$E852), 0), "")</f>
        <v/>
      </c>
      <c r="J852" s="493" t="str">
        <f>IF(AND(C852&lt;&gt;"",('Cost Inputs'!$I$86+'Cost Inputs'!$J$86+'Cost Inputs'!$K$86)&gt;0), 'Cost Inputs'!$I$86+'Cost Inputs'!$J$86+'Cost Inputs'!$K$86, "")</f>
        <v/>
      </c>
      <c r="K852" s="105" t="str">
        <f>IF($C851&lt;&gt;"", IF(AND($E852&lt;&gt;"", J851&lt;&gt;""), J851/($E851*$E852), 0), "")</f>
        <v/>
      </c>
      <c r="M852" s="106"/>
      <c r="Q852" s="493" t="str">
        <f>IF(ISNUMBER($B$776), IF($C852&lt;&gt;"", IF('Cost Inputs'!$L245="Y", $E852, IF('Cost Inputs'!$L245="N", IF(ISNUMBER('Cost Inputs'!$M245), $E852, ""),"")),""),"")</f>
        <v/>
      </c>
      <c r="R852" s="493" t="str">
        <f>IF(ISNUMBER($B$776), IF($C852&lt;&gt;"", IF('Cost Inputs'!$L245="Y", $E852, IF('Cost Inputs'!$L245="N", IF(ISNUMBER('Cost Inputs'!$M245), $E852, ""),"")),""),"")</f>
        <v/>
      </c>
      <c r="S852" s="493" t="str">
        <f>IF(ISNUMBER($B$776), IF($C852&lt;&gt;"", IF('Cost Inputs'!$L245="Y", $E852, IF('Cost Inputs'!$L245="N", IF(ISNUMBER('Cost Inputs'!$M245), $E852, ""),"")),""),"")</f>
        <v/>
      </c>
      <c r="T852" s="493" t="str">
        <f>IF(ISNUMBER($B$776), IF($C852&lt;&gt;"", IF('Cost Inputs'!$L245="Y", $E852, IF('Cost Inputs'!$L245="N", IF(ISNUMBER('Cost Inputs'!$M245), $E852, ""),"")),""),"")</f>
        <v/>
      </c>
      <c r="U852" s="493" t="str">
        <f>IF(ISNUMBER($B$776), IF($C852&lt;&gt;"", IF('Cost Inputs'!$L245="Y", $E852, IF('Cost Inputs'!$L245="N", IF(ISNUMBER('Cost Inputs'!$M245), $E852, ""),"")),""),"")</f>
        <v/>
      </c>
      <c r="V852" s="493" t="str">
        <f>IF(ISNUMBER($B$776), IF($C852&lt;&gt;"", IF('Cost Inputs'!$L245="Y", $E852, IF('Cost Inputs'!$L245="N", IF(ISNUMBER('Cost Inputs'!$M245), $E852, ""),"")),""),"")</f>
        <v/>
      </c>
      <c r="W852" s="493" t="str">
        <f>IF(ISNUMBER($B$776), IF($C852&lt;&gt;"", IF('Cost Inputs'!$L245="Y", $E852, IF('Cost Inputs'!$L245="N", IF(ISNUMBER('Cost Inputs'!$M245), $E852, ""),"")),""),"")</f>
        <v/>
      </c>
      <c r="X852" s="493" t="str">
        <f>IF(ISNUMBER($B$776), IF($C852&lt;&gt;"", IF('Cost Inputs'!$L245="Y", $E852, IF('Cost Inputs'!$L245="N", IF(ISNUMBER('Cost Inputs'!$M245), $E852, ""),"")),""),"")</f>
        <v/>
      </c>
      <c r="Y852" s="493" t="str">
        <f>IF(ISNUMBER($B$776), IF($C852&lt;&gt;"", IF('Cost Inputs'!$L245="Y", $E852, IF('Cost Inputs'!$L245="N", IF(ISNUMBER('Cost Inputs'!$M245), $E852, ""),"")),""),"")</f>
        <v/>
      </c>
      <c r="Z852" s="493" t="str">
        <f>IF(ISNUMBER($B$776), IF($C852&lt;&gt;"", IF('Cost Inputs'!$L245="Y", $E852, IF('Cost Inputs'!$L245="N", IF(ISNUMBER('Cost Inputs'!$M245), $E852, ""),"")),""),"")</f>
        <v/>
      </c>
    </row>
    <row r="853" spans="1:27" x14ac:dyDescent="0.25">
      <c r="A853" s="518"/>
      <c r="B853" s="504"/>
      <c r="C853" s="107" t="str">
        <f>IF(AND(ISNUMBER(B820), C849&lt;&gt;"", OR('Cost Inputs'!$H$202&lt;&gt;"", 'Cost Inputs'!$I$202&lt;&gt;"", 'Cost Inputs'!$J$202&lt;&gt;"")), _6_5_2, "")</f>
        <v/>
      </c>
      <c r="D853" s="93" t="str">
        <f>IF(AND(C853&lt;&gt;"", 'Cost Inputs'!$G$202&lt;&gt;""), 'Cost Inputs'!$G$202, "")</f>
        <v/>
      </c>
      <c r="E853" s="93" t="str">
        <f>IF(AND(C853&lt;&gt;"", 'Cost Inputs'!$H$202&lt;&gt;""), 'Cost Inputs'!$H$202, "")</f>
        <v/>
      </c>
      <c r="F853" s="93" t="str">
        <f>IF(AND(C853&lt;&gt;"", 'Cost Inputs'!$I$202&lt;&gt;""), 'Cost Inputs'!$I$202, "")</f>
        <v/>
      </c>
      <c r="G853" s="108" t="str">
        <f t="shared" si="482"/>
        <v/>
      </c>
      <c r="H853" s="93" t="str">
        <f>IF(AND(C853&lt;&gt;"", 'Cost Inputs'!$J$202&lt;&gt;""), 'Cost Inputs'!$J$202, "")</f>
        <v/>
      </c>
      <c r="I853" s="93" t="str">
        <f>IF($C853&lt;&gt;"", IF(AND($E853&lt;&gt;"", H853&lt;&gt;""), H853/$E853, 0),"")</f>
        <v/>
      </c>
      <c r="J853" s="93" t="str">
        <f>IF(AND(C853&lt;&gt;"",('Cost Inputs'!$I$202+'Cost Inputs'!$J$202+'Cost Inputs'!$K$202)&gt;0), 'Cost Inputs'!$I$202+'Cost Inputs'!$J$202+'Cost Inputs'!$K$202, "")</f>
        <v/>
      </c>
      <c r="K853" s="93" t="str">
        <f>IF($C853&lt;&gt;"", IF(AND($E853&lt;&gt;"", J853&lt;&gt;""), J853/$E853, 0),"")</f>
        <v/>
      </c>
      <c r="L853" s="93"/>
      <c r="M853" s="109"/>
      <c r="Q853" s="93" t="str">
        <f>IF(ISNUMBER($B820), IF($C853&lt;&gt;"", IF('Cost Inputs'!$L$202="Y", $E853, IF('Cost Inputs'!$L$202="N", IF(ISNUMBER('Cost Inputs'!$M$202), $E853, ""),"")),""),"")</f>
        <v/>
      </c>
      <c r="R853" s="93" t="str">
        <f>IF(ISNUMBER($B820), IF($C853&lt;&gt;"", IF('Cost Inputs'!$L$202="Y", $E853, IF('Cost Inputs'!$L$202="N", IF(ISNUMBER('Cost Inputs'!$M$202), $E853, ""),"")),""),"")</f>
        <v/>
      </c>
      <c r="S853" s="93" t="str">
        <f>IF(ISNUMBER($B820), IF($C853&lt;&gt;"", IF('Cost Inputs'!$L$202="Y", $E853, IF('Cost Inputs'!$L$202="N", IF(ISNUMBER('Cost Inputs'!$M$202), $E853, ""),"")),""),"")</f>
        <v/>
      </c>
      <c r="T853" s="93" t="str">
        <f>IF(ISNUMBER($B820), IF($C853&lt;&gt;"", IF('Cost Inputs'!$L$202="Y", $E853, IF('Cost Inputs'!$L$202="N", IF(ISNUMBER('Cost Inputs'!$M$202), $E853, ""),"")),""),"")</f>
        <v/>
      </c>
      <c r="U853" s="93" t="str">
        <f>IF(ISNUMBER($B820), IF($C853&lt;&gt;"", IF('Cost Inputs'!$L$202="Y", $E853, IF('Cost Inputs'!$L$202="N", IF(ISNUMBER('Cost Inputs'!$M$202), $E853, ""),"")),""),"")</f>
        <v/>
      </c>
      <c r="V853" s="93" t="str">
        <f>IF(ISNUMBER($B820), IF($C853&lt;&gt;"", IF('Cost Inputs'!$L$202="Y", $E853, IF('Cost Inputs'!$L$202="N", IF(ISNUMBER('Cost Inputs'!$M$202), $E853, ""),"")),""),"")</f>
        <v/>
      </c>
      <c r="W853" s="93" t="str">
        <f>IF(ISNUMBER($B820), IF($C853&lt;&gt;"", IF('Cost Inputs'!$L$202="Y", $E853, IF('Cost Inputs'!$L$202="N", IF(ISNUMBER('Cost Inputs'!$M$202), $E853, ""),"")),""),"")</f>
        <v/>
      </c>
      <c r="X853" s="93" t="str">
        <f>IF(ISNUMBER($B820), IF($C853&lt;&gt;"", IF('Cost Inputs'!$L$202="Y", $E853, IF('Cost Inputs'!$L$202="N", IF(ISNUMBER('Cost Inputs'!$M$202), $E853, ""),"")),""),"")</f>
        <v/>
      </c>
      <c r="Y853" s="93" t="str">
        <f>IF(ISNUMBER($B820), IF($C853&lt;&gt;"", IF('Cost Inputs'!$L$202="Y", $E853, IF('Cost Inputs'!$L$202="N", IF(ISNUMBER('Cost Inputs'!$M$202), $E853, ""),"")),""),"")</f>
        <v/>
      </c>
      <c r="Z853" s="93" t="str">
        <f>IF(ISNUMBER($B820), IF($C853&lt;&gt;"", IF('Cost Inputs'!$L$202="Y", $E853, IF('Cost Inputs'!$L$202="N", IF(ISNUMBER('Cost Inputs'!$M$202), $E853, ""),"")),""),"")</f>
        <v/>
      </c>
    </row>
    <row r="854" spans="1:27" x14ac:dyDescent="0.25">
      <c r="A854" s="518"/>
      <c r="B854" s="504"/>
      <c r="C854" s="104" t="str">
        <f>IF(AND(ISNUMBER(B820), C849&lt;&gt;"", OR('Cost Inputs'!$H$203&lt;&gt;"", 'Cost Inputs'!$I$203&lt;&gt;"", 'Cost Inputs'!$J$203&lt;&gt;"")), _6_5_3, "")</f>
        <v/>
      </c>
      <c r="D854" s="17" t="str">
        <f>IF(AND(C854&lt;&gt;"", 'Cost Inputs'!$G$203&lt;&gt;""), 'Cost Inputs'!$G$203, "")</f>
        <v/>
      </c>
      <c r="E854" s="17" t="str">
        <f>IF(AND(C854&lt;&gt;"", 'Cost Inputs'!$H$203&lt;&gt;""), 'Cost Inputs'!$H$203, "")</f>
        <v/>
      </c>
      <c r="F854" s="17" t="str">
        <f>IF(AND(C854&lt;&gt;"", 'Cost Inputs'!$I$203&lt;&gt;""), 'Cost Inputs'!$I$203, "")</f>
        <v/>
      </c>
      <c r="G854" s="105" t="str">
        <f t="shared" si="482"/>
        <v/>
      </c>
      <c r="H854" s="17" t="str">
        <f>IF(AND(C854&lt;&gt;"", 'Cost Inputs'!$J$203&lt;&gt;""), 'Cost Inputs'!$J$203, "")</f>
        <v/>
      </c>
      <c r="I854" s="17" t="str">
        <f>IF($C854&lt;&gt;"", IF(AND($E854&lt;&gt;"", H854&lt;&gt;""), H854/$E854, 0),"")</f>
        <v/>
      </c>
      <c r="J854" s="17" t="str">
        <f>IF(AND(C854&lt;&gt;"",('Cost Inputs'!$I$203+'Cost Inputs'!$J$203+'Cost Inputs'!$K$203)&gt;0), 'Cost Inputs'!$I$203+'Cost Inputs'!$J$203+'Cost Inputs'!$K$203, "")</f>
        <v/>
      </c>
      <c r="K854" s="17" t="str">
        <f>IF($C854&lt;&gt;"", IF(AND($E854&lt;&gt;"", J854&lt;&gt;""), J854/$E854, 0),"")</f>
        <v/>
      </c>
      <c r="M854" s="106"/>
      <c r="Q854" s="17" t="str">
        <f>IF(ISNUMBER($B820), IF($C854&lt;&gt;"", IF('Cost Inputs'!$L$203="Y", $E854, IF('Cost Inputs'!$L$203="N", IF(ISNUMBER('Cost Inputs'!$M$203), $E854, ""),"")),""),"")</f>
        <v/>
      </c>
      <c r="R854" s="17" t="str">
        <f>IF(ISNUMBER($B820), IF($C854&lt;&gt;"", IF('Cost Inputs'!$L$203="Y", $E854, IF('Cost Inputs'!$L$203="N", IF(ISNUMBER('Cost Inputs'!$M$203), $E854, ""),"")),""),"")</f>
        <v/>
      </c>
      <c r="S854" s="17" t="str">
        <f>IF(ISNUMBER($B820), IF($C854&lt;&gt;"", IF('Cost Inputs'!$L$203="Y", $E854, IF('Cost Inputs'!$L$203="N", IF(ISNUMBER('Cost Inputs'!$M$203), $E854, ""),"")),""),"")</f>
        <v/>
      </c>
      <c r="T854" s="17" t="str">
        <f>IF(ISNUMBER($B820), IF($C854&lt;&gt;"", IF('Cost Inputs'!$L$203="Y", $E854, IF('Cost Inputs'!$L$203="N", IF(ISNUMBER('Cost Inputs'!$M$203), $E854, ""),"")),""),"")</f>
        <v/>
      </c>
      <c r="U854" s="17" t="str">
        <f>IF(ISNUMBER($B820), IF($C854&lt;&gt;"", IF('Cost Inputs'!$L$203="Y", $E854, IF('Cost Inputs'!$L$203="N", IF(ISNUMBER('Cost Inputs'!$M$203), $E854, ""),"")),""),"")</f>
        <v/>
      </c>
      <c r="V854" s="17" t="str">
        <f>IF(ISNUMBER($B820), IF($C854&lt;&gt;"", IF('Cost Inputs'!$L$203="Y", $E854, IF('Cost Inputs'!$L$203="N", IF(ISNUMBER('Cost Inputs'!$M$203), $E854, ""),"")),""),"")</f>
        <v/>
      </c>
      <c r="W854" s="17" t="str">
        <f>IF(ISNUMBER($B820), IF($C854&lt;&gt;"", IF('Cost Inputs'!$L$203="Y", $E854, IF('Cost Inputs'!$L$203="N", IF(ISNUMBER('Cost Inputs'!$M$203), $E854, ""),"")),""),"")</f>
        <v/>
      </c>
      <c r="X854" s="17" t="str">
        <f>IF(ISNUMBER($B820), IF($C854&lt;&gt;"", IF('Cost Inputs'!$L$203="Y", $E854, IF('Cost Inputs'!$L$203="N", IF(ISNUMBER('Cost Inputs'!$M$203), $E854, ""),"")),""),"")</f>
        <v/>
      </c>
      <c r="Y854" s="17" t="str">
        <f>IF(ISNUMBER($B820), IF($C854&lt;&gt;"", IF('Cost Inputs'!$L$203="Y", $E854, IF('Cost Inputs'!$L$203="N", IF(ISNUMBER('Cost Inputs'!$M$203), $E854, ""),"")),""),"")</f>
        <v/>
      </c>
      <c r="Z854" s="17" t="str">
        <f>IF(ISNUMBER($B820), IF($C854&lt;&gt;"", IF('Cost Inputs'!$L$203="Y", $E854, IF('Cost Inputs'!$L$203="N", IF(ISNUMBER('Cost Inputs'!$M$203), $E854, ""),"")),""),"")</f>
        <v/>
      </c>
    </row>
    <row r="855" spans="1:27" x14ac:dyDescent="0.25">
      <c r="A855" s="518"/>
      <c r="B855" s="504"/>
      <c r="C855" s="107" t="str">
        <f>IF(AND(ISNUMBER(B820), C849&lt;&gt;"", OR('Cost Inputs'!$H$204&lt;&gt;"", 'Cost Inputs'!$I$204&lt;&gt;"", 'Cost Inputs'!$J$204&lt;&gt;"")), _6_5_4, "")</f>
        <v/>
      </c>
      <c r="D855" s="93" t="str">
        <f>IF(AND(C855&lt;&gt;"", 'Cost Inputs'!$G$204&lt;&gt;""), 'Cost Inputs'!$G$204, "")</f>
        <v/>
      </c>
      <c r="E855" s="93" t="str">
        <f>IF(AND(C855&lt;&gt;"", 'Cost Inputs'!$H$204&lt;&gt;""), 'Cost Inputs'!$H$204, "")</f>
        <v/>
      </c>
      <c r="F855" s="93" t="str">
        <f>IF(AND(C855&lt;&gt;"", 'Cost Inputs'!$I$204&lt;&gt;""), 'Cost Inputs'!$I$204, "")</f>
        <v/>
      </c>
      <c r="G855" s="108" t="str">
        <f t="shared" si="482"/>
        <v/>
      </c>
      <c r="H855" s="93" t="str">
        <f>IF(AND(C855&lt;&gt;"", 'Cost Inputs'!$J$204&lt;&gt;""), 'Cost Inputs'!$J$204, "")</f>
        <v/>
      </c>
      <c r="I855" s="93" t="str">
        <f>IF($C855&lt;&gt;"", IF(AND($E855&lt;&gt;"", H855&lt;&gt;""), H855/$E855, 0),"")</f>
        <v/>
      </c>
      <c r="J855" s="93" t="str">
        <f>IF(AND(C855&lt;&gt;"",('Cost Inputs'!$I$204+'Cost Inputs'!$J$204+'Cost Inputs'!$K$204)&gt;0), 'Cost Inputs'!$I$204+'Cost Inputs'!$J$204+'Cost Inputs'!$K$204, "")</f>
        <v/>
      </c>
      <c r="K855" s="93" t="str">
        <f>IF($C855&lt;&gt;"", IF(AND($E855&lt;&gt;"", J855&lt;&gt;""), J855/$E855, 0),"")</f>
        <v/>
      </c>
      <c r="L855" s="93"/>
      <c r="M855" s="109"/>
      <c r="Q855" s="93" t="str">
        <f>IF(ISNUMBER($B820), IF($C855&lt;&gt;"", IF('Cost Inputs'!$L$204="Y", $E855, IF('Cost Inputs'!$L$204="N", IF(ISNUMBER('Cost Inputs'!$M$204), $E855, ""),"")),""),"")</f>
        <v/>
      </c>
      <c r="R855" s="93" t="str">
        <f>IF(ISNUMBER($B820), IF($C855&lt;&gt;"", IF('Cost Inputs'!$L$204="Y", $E855, IF('Cost Inputs'!$L$204="N", IF(ISNUMBER('Cost Inputs'!$M$204), $E855, ""),"")),""),"")</f>
        <v/>
      </c>
      <c r="S855" s="93" t="str">
        <f>IF(ISNUMBER($B820), IF($C855&lt;&gt;"", IF('Cost Inputs'!$L$204="Y", $E855, IF('Cost Inputs'!$L$204="N", IF(ISNUMBER('Cost Inputs'!$M$204), $E855, ""),"")),""),"")</f>
        <v/>
      </c>
      <c r="T855" s="93" t="str">
        <f>IF(ISNUMBER($B820), IF($C855&lt;&gt;"", IF('Cost Inputs'!$L$204="Y", $E855, IF('Cost Inputs'!$L$204="N", IF(ISNUMBER('Cost Inputs'!$M$204), $E855, ""),"")),""),"")</f>
        <v/>
      </c>
      <c r="U855" s="93" t="str">
        <f>IF(ISNUMBER($B820), IF($C855&lt;&gt;"", IF('Cost Inputs'!$L$204="Y", $E855, IF('Cost Inputs'!$L$204="N", IF(ISNUMBER('Cost Inputs'!$M$204), $E855, ""),"")),""),"")</f>
        <v/>
      </c>
      <c r="V855" s="93" t="str">
        <f>IF(ISNUMBER($B820), IF($C855&lt;&gt;"", IF('Cost Inputs'!$L$204="Y", $E855, IF('Cost Inputs'!$L$204="N", IF(ISNUMBER('Cost Inputs'!$M$204), $E855, ""),"")),""),"")</f>
        <v/>
      </c>
      <c r="W855" s="93" t="str">
        <f>IF(ISNUMBER($B820), IF($C855&lt;&gt;"", IF('Cost Inputs'!$L$204="Y", $E855, IF('Cost Inputs'!$L$204="N", IF(ISNUMBER('Cost Inputs'!$M$204), $E855, ""),"")),""),"")</f>
        <v/>
      </c>
      <c r="X855" s="93" t="str">
        <f>IF(ISNUMBER($B820), IF($C855&lt;&gt;"", IF('Cost Inputs'!$L$204="Y", $E855, IF('Cost Inputs'!$L$204="N", IF(ISNUMBER('Cost Inputs'!$M$204), $E855, ""),"")),""),"")</f>
        <v/>
      </c>
      <c r="Y855" s="93" t="str">
        <f>IF(ISNUMBER($B820), IF($C855&lt;&gt;"", IF('Cost Inputs'!$L$204="Y", $E855, IF('Cost Inputs'!$L$204="N", IF(ISNUMBER('Cost Inputs'!$M$204), $E855, ""),"")),""),"")</f>
        <v/>
      </c>
      <c r="Z855" s="93" t="str">
        <f>IF(ISNUMBER($B820), IF($C855&lt;&gt;"", IF('Cost Inputs'!$L$204="Y", $E855, IF('Cost Inputs'!$L$204="N", IF(ISNUMBER('Cost Inputs'!$M$204), $E855, ""),"")),""),"")</f>
        <v/>
      </c>
    </row>
    <row r="856" spans="1:27" x14ac:dyDescent="0.25">
      <c r="A856" s="518"/>
      <c r="B856" s="504"/>
      <c r="C856" s="104" t="str">
        <f>IF(AND(ISNUMBER(B820), C849&lt;&gt;"", OR('Cost Inputs'!$H$205&lt;&gt;"", 'Cost Inputs'!$I$205&lt;&gt;"", 'Cost Inputs'!$J$205&lt;&gt;"")), _6_5_5, "")</f>
        <v/>
      </c>
      <c r="D856" s="17" t="str">
        <f>IF(AND(C856&lt;&gt;"", 'Cost Inputs'!$G$205&lt;&gt;""), 'Cost Inputs'!$G$205, "")</f>
        <v/>
      </c>
      <c r="E856" s="17" t="str">
        <f>IF(AND(C856&lt;&gt;"", 'Cost Inputs'!$H$205&lt;&gt;""), 'Cost Inputs'!$H$205, "")</f>
        <v/>
      </c>
      <c r="F856" s="17" t="str">
        <f>IF(AND(C856&lt;&gt;"", 'Cost Inputs'!$I$205&lt;&gt;""), 'Cost Inputs'!$I$205, "")</f>
        <v/>
      </c>
      <c r="G856" s="105" t="str">
        <f t="shared" si="482"/>
        <v/>
      </c>
      <c r="H856" s="17" t="str">
        <f>IF(AND(C856&lt;&gt;"", 'Cost Inputs'!$J$205&lt;&gt;""), 'Cost Inputs'!$J$205, "")</f>
        <v/>
      </c>
      <c r="I856" s="17" t="str">
        <f>IF($C856&lt;&gt;"", IF(AND($E856&lt;&gt;"", H856&lt;&gt;""), H856/$E856, 0),"")</f>
        <v/>
      </c>
      <c r="J856" s="17" t="str">
        <f>IF(AND(C856&lt;&gt;"",('Cost Inputs'!$I$205+'Cost Inputs'!$J$205+'Cost Inputs'!$K$205)&gt;0), 'Cost Inputs'!$I$205+'Cost Inputs'!$J$205+'Cost Inputs'!$K$205, "")</f>
        <v/>
      </c>
      <c r="K856" s="17" t="str">
        <f>IF($C856&lt;&gt;"", IF(AND($E856&lt;&gt;"", J856&lt;&gt;""), J856/$E856, 0),"")</f>
        <v/>
      </c>
      <c r="M856" s="106"/>
      <c r="Q856" s="17" t="str">
        <f>IF(ISNUMBER($B820), IF($C856&lt;&gt;"", IF('Cost Inputs'!$L$205="Y", $E856, IF('Cost Inputs'!$L$205="N", IF(ISNUMBER('Cost Inputs'!$M$205), $E856, ""),"")),""),"")</f>
        <v/>
      </c>
      <c r="R856" s="17" t="str">
        <f>IF(ISNUMBER($B820), IF($C856&lt;&gt;"", IF('Cost Inputs'!$L$205="Y", $E856, IF('Cost Inputs'!$L$205="N", IF(ISNUMBER('Cost Inputs'!$M$205), $E856, ""),"")),""),"")</f>
        <v/>
      </c>
      <c r="S856" s="17" t="str">
        <f>IF(ISNUMBER($B820), IF($C856&lt;&gt;"", IF('Cost Inputs'!$L$205="Y", $E856, IF('Cost Inputs'!$L$205="N", IF(ISNUMBER('Cost Inputs'!$M$205), $E856, ""),"")),""),"")</f>
        <v/>
      </c>
      <c r="T856" s="17" t="str">
        <f>IF(ISNUMBER($B820), IF($C856&lt;&gt;"", IF('Cost Inputs'!$L$205="Y", $E856, IF('Cost Inputs'!$L$205="N", IF(ISNUMBER('Cost Inputs'!$M$205), $E856, ""),"")),""),"")</f>
        <v/>
      </c>
      <c r="U856" s="17" t="str">
        <f>IF(ISNUMBER($B820), IF($C856&lt;&gt;"", IF('Cost Inputs'!$L$205="Y", $E856, IF('Cost Inputs'!$L$205="N", IF(ISNUMBER('Cost Inputs'!$M$205), $E856, ""),"")),""),"")</f>
        <v/>
      </c>
      <c r="V856" s="17" t="str">
        <f>IF(ISNUMBER($B820), IF($C856&lt;&gt;"", IF('Cost Inputs'!$L$205="Y", $E856, IF('Cost Inputs'!$L$205="N", IF(ISNUMBER('Cost Inputs'!$M$205), $E856, ""),"")),""),"")</f>
        <v/>
      </c>
      <c r="W856" s="17" t="str">
        <f>IF(ISNUMBER($B820), IF($C856&lt;&gt;"", IF('Cost Inputs'!$L$205="Y", $E856, IF('Cost Inputs'!$L$205="N", IF(ISNUMBER('Cost Inputs'!$M$205), $E856, ""),"")),""),"")</f>
        <v/>
      </c>
      <c r="X856" s="17" t="str">
        <f>IF(ISNUMBER($B820), IF($C856&lt;&gt;"", IF('Cost Inputs'!$L$205="Y", $E856, IF('Cost Inputs'!$L$205="N", IF(ISNUMBER('Cost Inputs'!$M$205), $E856, ""),"")),""),"")</f>
        <v/>
      </c>
      <c r="Y856" s="17" t="str">
        <f>IF(ISNUMBER($B820), IF($C856&lt;&gt;"", IF('Cost Inputs'!$L$205="Y", $E856, IF('Cost Inputs'!$L$205="N", IF(ISNUMBER('Cost Inputs'!$M$205), $E856, ""),"")),""),"")</f>
        <v/>
      </c>
      <c r="Z856" s="17" t="str">
        <f>IF(ISNUMBER($B820), IF($C856&lt;&gt;"", IF('Cost Inputs'!$L$205="Y", $E856, IF('Cost Inputs'!$L$205="N", IF(ISNUMBER('Cost Inputs'!$M$205), $E856, ""),"")),""),"")</f>
        <v/>
      </c>
    </row>
    <row r="857" spans="1:27" x14ac:dyDescent="0.25">
      <c r="A857" s="518"/>
      <c r="B857" s="504"/>
      <c r="C857" s="110" t="str">
        <f>IF(ISNUMBER(B820), _6_6_0, "")</f>
        <v/>
      </c>
      <c r="D857" s="94" t="str">
        <f>IF(AND(C857&lt;&gt;"", 'Cost Inputs'!$G$206&lt;&gt;""), 'Cost Inputs'!$G$206, "")</f>
        <v/>
      </c>
      <c r="E857" s="94" t="str">
        <f>IF(AND(C857&lt;&gt;"", 'Cost Inputs'!$H$206&lt;&gt;""), 'Cost Inputs'!$H$206, "")</f>
        <v/>
      </c>
      <c r="F857" s="94" t="str">
        <f>IF(AND(C857&lt;&gt;"", 'Cost Inputs'!$I$206&lt;&gt;""), 'Cost Inputs'!$I$206, "")</f>
        <v/>
      </c>
      <c r="G857" s="102" t="str">
        <f t="shared" si="482"/>
        <v/>
      </c>
      <c r="H857" s="94" t="str">
        <f>IF(AND(C857&lt;&gt;"", 'Cost Inputs'!$J$206&lt;&gt;""), 'Cost Inputs'!$J$206, "")</f>
        <v/>
      </c>
      <c r="I857" s="102" t="str">
        <f>IF($C857&lt;&gt;"",IF(AND($E857&lt;&gt;"",H857&lt;&gt;""), H857/$E857, 0),"")</f>
        <v/>
      </c>
      <c r="J857" s="94" t="str">
        <f>IF(AND(C857&lt;&gt;"",('Cost Inputs'!$I$206+'Cost Inputs'!$J$206+'Cost Inputs'!$K$206)&gt;0), 'Cost Inputs'!$I$206+'Cost Inputs'!$J$206+'Cost Inputs'!$K$206, "")</f>
        <v/>
      </c>
      <c r="K857" s="102" t="str">
        <f>IF($C857&lt;&gt;"",IF(AND($E857&lt;&gt;"",J857&lt;&gt;""), J857/$E857, 0),"")</f>
        <v/>
      </c>
      <c r="L857" s="94"/>
      <c r="M857" s="103"/>
      <c r="Q857" s="94" t="str">
        <f>IF(ISNUMBER($B820), IF($C857&lt;&gt;"", IF('Cost Inputs'!$L$206="Y", $E857, IF('Cost Inputs'!$L$206="N", IF(ISNUMBER('Cost Inputs'!$M$206), $E857, ""),"")),""),"")</f>
        <v/>
      </c>
      <c r="R857" s="94" t="str">
        <f>IF(ISNUMBER($B820), IF($C857&lt;&gt;"", IF('Cost Inputs'!$L$206="Y", $E857, IF('Cost Inputs'!$L$206="N", IF(ISNUMBER('Cost Inputs'!$M$206), $E857, ""),"")),""),"")</f>
        <v/>
      </c>
      <c r="S857" s="94" t="str">
        <f>IF(ISNUMBER($B820), IF($C857&lt;&gt;"", IF('Cost Inputs'!$L$206="Y", $E857, IF('Cost Inputs'!$L$206="N", IF(ISNUMBER('Cost Inputs'!$M$206), $E857, ""),"")),""),"")</f>
        <v/>
      </c>
      <c r="T857" s="94" t="str">
        <f>IF(ISNUMBER($B820), IF($C857&lt;&gt;"", IF('Cost Inputs'!$L$206="Y", $E857, IF('Cost Inputs'!$L$206="N", IF(ISNUMBER('Cost Inputs'!$M$206), $E857, ""),"")),""),"")</f>
        <v/>
      </c>
      <c r="U857" s="94" t="str">
        <f>IF(ISNUMBER($B820), IF($C857&lt;&gt;"", IF('Cost Inputs'!$L$206="Y", $E857, IF('Cost Inputs'!$L$206="N", IF(ISNUMBER('Cost Inputs'!$M$206), $E857, ""),"")),""),"")</f>
        <v/>
      </c>
      <c r="V857" s="94" t="str">
        <f>IF(ISNUMBER($B820), IF($C857&lt;&gt;"", IF('Cost Inputs'!$L$206="Y", $E857, IF('Cost Inputs'!$L$206="N", IF(ISNUMBER('Cost Inputs'!$M$206), $E857, ""),"")),""),"")</f>
        <v/>
      </c>
      <c r="W857" s="94" t="str">
        <f>IF(ISNUMBER($B820), IF($C857&lt;&gt;"", IF('Cost Inputs'!$L$206="Y", $E857, IF('Cost Inputs'!$L$206="N", IF(ISNUMBER('Cost Inputs'!$M$206), $E857, ""),"")),""),"")</f>
        <v/>
      </c>
      <c r="X857" s="94" t="str">
        <f>IF(ISNUMBER($B820), IF($C857&lt;&gt;"", IF('Cost Inputs'!$L$206="Y", $E857, IF('Cost Inputs'!$L$206="N", IF(ISNUMBER('Cost Inputs'!$M$206), $E857, ""),"")),""),"")</f>
        <v/>
      </c>
      <c r="Y857" s="94" t="str">
        <f>IF(ISNUMBER($B820), IF($C857&lt;&gt;"", IF('Cost Inputs'!$L$206="Y", $E857, IF('Cost Inputs'!$L$206="N", IF(ISNUMBER('Cost Inputs'!$M$206), $E857, ""),"")),""),"")</f>
        <v/>
      </c>
      <c r="Z857" s="94" t="str">
        <f>IF(ISNUMBER($B820), IF($C857&lt;&gt;"", IF('Cost Inputs'!$L$206="Y", $E857, IF('Cost Inputs'!$L$206="N", IF(ISNUMBER('Cost Inputs'!$M$206), $E857, ""),"")),""),"")</f>
        <v/>
      </c>
    </row>
    <row r="858" spans="1:27" x14ac:dyDescent="0.25">
      <c r="A858" s="518"/>
      <c r="B858" s="504"/>
      <c r="C858" s="104" t="str">
        <f>IF(AND(ISNUMBER(B820), OR('Cost Inputs'!$H$207&lt;&gt;"", 'Cost Inputs'!$I$207&lt;&gt;"", 'Cost Inputs'!$J$207&lt;&gt;"")), _6_6_1, "")</f>
        <v/>
      </c>
      <c r="D858" s="17" t="str">
        <f>IF(AND(C858&lt;&gt;"", 'Cost Inputs'!$G$207&lt;&gt;""), 'Cost Inputs'!$G$207, "")</f>
        <v/>
      </c>
      <c r="E858" s="17" t="str">
        <f>IF(AND(C858&lt;&gt;"", 'Cost Inputs'!$H$207&lt;&gt;""), 'Cost Inputs'!$H$207, "")</f>
        <v/>
      </c>
      <c r="F858" s="17" t="str">
        <f>IF(AND(C858&lt;&gt;"", 'Cost Inputs'!$I$207&lt;&gt;""), 'Cost Inputs'!$I$207, "")</f>
        <v/>
      </c>
      <c r="G858" s="105" t="str">
        <f t="shared" si="482"/>
        <v/>
      </c>
      <c r="H858" s="17" t="str">
        <f>IF(AND(C858&lt;&gt;"", 'Cost Inputs'!$J$207&lt;&gt;""), 'Cost Inputs'!$J$207, "")</f>
        <v/>
      </c>
      <c r="I858" s="17" t="str">
        <f>IF($C858&lt;&gt;"", IF(AND($E858&lt;&gt;"", H858&lt;&gt;""), H858/$E858, 0),"")</f>
        <v/>
      </c>
      <c r="J858" s="17" t="str">
        <f>IF(AND(C858&lt;&gt;"",('Cost Inputs'!$I$207+'Cost Inputs'!$J$207+'Cost Inputs'!$K$207)&gt;0), 'Cost Inputs'!$I$207+'Cost Inputs'!$J$207+'Cost Inputs'!$K$207, "")</f>
        <v/>
      </c>
      <c r="K858" s="17" t="str">
        <f>IF($C858&lt;&gt;"", IF(AND($E858&lt;&gt;"", J858&lt;&gt;""), J858/$E858, 0),"")</f>
        <v/>
      </c>
      <c r="M858" s="106"/>
      <c r="Q858" s="17" t="str">
        <f>IF(ISNUMBER($B820), IF($C858&lt;&gt;"", IF('Cost Inputs'!$L$207="Y", $E858, IF('Cost Inputs'!$L$207="N", IF(ISNUMBER('Cost Inputs'!$M$207), $E858, ""),"")),""),"")</f>
        <v/>
      </c>
      <c r="R858" s="17" t="str">
        <f>IF(ISNUMBER($B820), IF($C858&lt;&gt;"", IF('Cost Inputs'!$L$207="Y", $E858, IF('Cost Inputs'!$L$207="N", IF(ISNUMBER('Cost Inputs'!$M$207), $E858, ""),"")),""),"")</f>
        <v/>
      </c>
      <c r="S858" s="17" t="str">
        <f>IF(ISNUMBER($B820), IF($C858&lt;&gt;"", IF('Cost Inputs'!$L$207="Y", $E858, IF('Cost Inputs'!$L$207="N", IF(ISNUMBER('Cost Inputs'!$M$207), $E858, ""),"")),""),"")</f>
        <v/>
      </c>
      <c r="T858" s="17" t="str">
        <f>IF(ISNUMBER($B820), IF($C858&lt;&gt;"", IF('Cost Inputs'!$L$207="Y", $E858, IF('Cost Inputs'!$L$207="N", IF(ISNUMBER('Cost Inputs'!$M$207), $E858, ""),"")),""),"")</f>
        <v/>
      </c>
      <c r="U858" s="17" t="str">
        <f>IF(ISNUMBER($B820), IF($C858&lt;&gt;"", IF('Cost Inputs'!$L$207="Y", $E858, IF('Cost Inputs'!$L$207="N", IF(ISNUMBER('Cost Inputs'!$M$207), $E858, ""),"")),""),"")</f>
        <v/>
      </c>
      <c r="V858" s="17" t="str">
        <f>IF(ISNUMBER($B820), IF($C858&lt;&gt;"", IF('Cost Inputs'!$L$207="Y", $E858, IF('Cost Inputs'!$L$207="N", IF(ISNUMBER('Cost Inputs'!$M$207), $E858, ""),"")),""),"")</f>
        <v/>
      </c>
      <c r="W858" s="17" t="str">
        <f>IF(ISNUMBER($B820), IF($C858&lt;&gt;"", IF('Cost Inputs'!$L$207="Y", $E858, IF('Cost Inputs'!$L$207="N", IF(ISNUMBER('Cost Inputs'!$M$207), $E858, ""),"")),""),"")</f>
        <v/>
      </c>
      <c r="X858" s="17" t="str">
        <f>IF(ISNUMBER($B820), IF($C858&lt;&gt;"", IF('Cost Inputs'!$L$207="Y", $E858, IF('Cost Inputs'!$L$207="N", IF(ISNUMBER('Cost Inputs'!$M$207), $E858, ""),"")),""),"")</f>
        <v/>
      </c>
      <c r="Y858" s="17" t="str">
        <f>IF(ISNUMBER($B820), IF($C858&lt;&gt;"", IF('Cost Inputs'!$L$207="Y", $E858, IF('Cost Inputs'!$L$207="N", IF(ISNUMBER('Cost Inputs'!$M$207), $E858, ""),"")),""),"")</f>
        <v/>
      </c>
      <c r="Z858" s="17" t="str">
        <f>IF(ISNUMBER($B820), IF($C858&lt;&gt;"", IF('Cost Inputs'!$L$207="Y", $E858, IF('Cost Inputs'!$L$207="N", IF(ISNUMBER('Cost Inputs'!$M$207), $E858, ""),"")),""),"")</f>
        <v/>
      </c>
    </row>
    <row r="859" spans="1:27" ht="15.75" thickBot="1" x14ac:dyDescent="0.3">
      <c r="A859" s="518"/>
      <c r="B859" s="505"/>
      <c r="C859" s="111" t="str">
        <f>IF(AND(ISNUMBER(B820), OR('Cost Inputs'!$H$208&lt;&gt;"", 'Cost Inputs'!$I$208&lt;&gt;"", 'Cost Inputs'!$J$208&lt;&gt;"")), _6_6_2, "")</f>
        <v/>
      </c>
      <c r="D859" s="95" t="str">
        <f>IF(AND(C859&lt;&gt;"", 'Cost Inputs'!$G$208&lt;&gt;""), 'Cost Inputs'!$G$208, "")</f>
        <v/>
      </c>
      <c r="E859" s="95" t="str">
        <f>IF(AND(C859&lt;&gt;"", 'Cost Inputs'!$H$208&lt;&gt;""), 'Cost Inputs'!$H$208, "")</f>
        <v/>
      </c>
      <c r="F859" s="95" t="str">
        <f>IF(AND(C859&lt;&gt;"", 'Cost Inputs'!$I$208&lt;&gt;""), 'Cost Inputs'!$I$208, "")</f>
        <v/>
      </c>
      <c r="G859" s="112" t="str">
        <f t="shared" si="482"/>
        <v/>
      </c>
      <c r="H859" s="95" t="str">
        <f>IF(AND(C859&lt;&gt;"", 'Cost Inputs'!$J$208&lt;&gt;""), 'Cost Inputs'!$J$208, "")</f>
        <v/>
      </c>
      <c r="I859" s="95" t="str">
        <f>IF($C859&lt;&gt;"", IF(AND($E859&lt;&gt;"", H859&lt;&gt;""), H859/$E859, 0),"")</f>
        <v/>
      </c>
      <c r="J859" s="95" t="str">
        <f>IF(AND(C859&lt;&gt;"",('Cost Inputs'!$I$208+'Cost Inputs'!$J$208+'Cost Inputs'!$K$208)&gt;0), 'Cost Inputs'!$I$208+'Cost Inputs'!$J$208+'Cost Inputs'!$K$208, "")</f>
        <v/>
      </c>
      <c r="K859" s="95" t="str">
        <f>IF($C859&lt;&gt;"", IF(AND($E859&lt;&gt;"", J859&lt;&gt;""), J859/$E859, 0),"")</f>
        <v/>
      </c>
      <c r="L859" s="95"/>
      <c r="M859" s="113"/>
      <c r="Q859" s="95" t="str">
        <f>IF(ISNUMBER($B820), IF($C859&lt;&gt;"", IF('Cost Inputs'!$L$208="Y", $E859, IF('Cost Inputs'!$L$208="N", IF(ISNUMBER('Cost Inputs'!$M$208), $E859, ""),"")),""),"")</f>
        <v/>
      </c>
      <c r="R859" s="95" t="str">
        <f>IF(ISNUMBER($B820), IF($C859&lt;&gt;"", IF('Cost Inputs'!$L$208="Y", $E859, IF('Cost Inputs'!$L$208="N", IF(ISNUMBER('Cost Inputs'!$M$208), $E859, ""),"")),""),"")</f>
        <v/>
      </c>
      <c r="S859" s="95" t="str">
        <f>IF(ISNUMBER($B820), IF($C859&lt;&gt;"", IF('Cost Inputs'!$L$208="Y", $E859, IF('Cost Inputs'!$L$208="N", IF(ISNUMBER('Cost Inputs'!$M$208), $E859, ""),"")),""),"")</f>
        <v/>
      </c>
      <c r="T859" s="95" t="str">
        <f>IF(ISNUMBER($B820), IF($C859&lt;&gt;"", IF('Cost Inputs'!$L$208="Y", $E859, IF('Cost Inputs'!$L$208="N", IF(ISNUMBER('Cost Inputs'!$M$208), $E859, ""),"")),""),"")</f>
        <v/>
      </c>
      <c r="U859" s="95" t="str">
        <f>IF(ISNUMBER($B820), IF($C859&lt;&gt;"", IF('Cost Inputs'!$L$208="Y", $E859, IF('Cost Inputs'!$L$208="N", IF(ISNUMBER('Cost Inputs'!$M$208), $E859, ""),"")),""),"")</f>
        <v/>
      </c>
      <c r="V859" s="95" t="str">
        <f>IF(ISNUMBER($B820), IF($C859&lt;&gt;"", IF('Cost Inputs'!$L$208="Y", $E859, IF('Cost Inputs'!$L$208="N", IF(ISNUMBER('Cost Inputs'!$M$208), $E859, ""),"")),""),"")</f>
        <v/>
      </c>
      <c r="W859" s="95" t="str">
        <f>IF(ISNUMBER($B820), IF($C859&lt;&gt;"", IF('Cost Inputs'!$L$208="Y", $E859, IF('Cost Inputs'!$L$208="N", IF(ISNUMBER('Cost Inputs'!$M$208), $E859, ""),"")),""),"")</f>
        <v/>
      </c>
      <c r="X859" s="95" t="str">
        <f>IF(ISNUMBER($B820), IF($C859&lt;&gt;"", IF('Cost Inputs'!$L$208="Y", $E859, IF('Cost Inputs'!$L$208="N", IF(ISNUMBER('Cost Inputs'!$M$208), $E859, ""),"")),""),"")</f>
        <v/>
      </c>
      <c r="Y859" s="95" t="str">
        <f>IF(ISNUMBER($B820), IF($C859&lt;&gt;"", IF('Cost Inputs'!$L$208="Y", $E859, IF('Cost Inputs'!$L$208="N", IF(ISNUMBER('Cost Inputs'!$M$208), $E859, ""),"")),""),"")</f>
        <v/>
      </c>
      <c r="Z859" s="95" t="str">
        <f>IF(ISNUMBER($B820), IF($C859&lt;&gt;"", IF('Cost Inputs'!$L$208="Y", $E859, IF('Cost Inputs'!$L$208="N", IF(ISNUMBER('Cost Inputs'!$M$208), $E859, ""),"")),""),"")</f>
        <v/>
      </c>
    </row>
    <row r="860" spans="1:27" x14ac:dyDescent="0.25">
      <c r="A860" s="518" t="str">
        <f>Sixth_Stage</f>
        <v>Stage 4 Grower Trials</v>
      </c>
      <c r="B860" s="503" t="str">
        <f>'Breeding Inputs'!B116</f>
        <v/>
      </c>
      <c r="C860" s="521" t="str">
        <f>IF(ISNUMBER(B842), _6_3_0, "")</f>
        <v/>
      </c>
      <c r="D860" s="94" t="str">
        <f>IF(AND(C860&lt;&gt;"", 'Cost Inputs'!$G$187&lt;&gt;""), 'Cost Inputs'!$G$187, "")</f>
        <v/>
      </c>
      <c r="E860" s="94" t="str">
        <f>IF(AND(C860&lt;&gt;"", 'Cost Inputs'!$H$187&lt;&gt;""), 'Cost Inputs'!$H$187, "")</f>
        <v/>
      </c>
      <c r="F860" s="492" t="str">
        <f>IF(AND(C860&lt;&gt;"", 'Cost Inputs'!$I$187&lt;&gt;""), 'Cost Inputs'!$I$187, "")</f>
        <v/>
      </c>
      <c r="G860" s="102" t="str">
        <f t="shared" si="482"/>
        <v/>
      </c>
      <c r="H860" s="492" t="str">
        <f>IF(AND(C860&lt;&gt;"", 'Cost Inputs'!$J$187&lt;&gt;""), 'Cost Inputs'!$J$187, "")</f>
        <v/>
      </c>
      <c r="I860" s="102" t="str">
        <f>IF($C860&lt;&gt;"",IF(AND($E860&lt;&gt;"",H860&lt;&gt;""), H860/$E860, 0),"")</f>
        <v/>
      </c>
      <c r="J860" s="492" t="str">
        <f>IF(AND(C860&lt;&gt;"",('Cost Inputs'!$I$187+'Cost Inputs'!$J$187+'Cost Inputs'!$K$187)&gt;0), 'Cost Inputs'!$I$187+'Cost Inputs'!$J$187+'Cost Inputs'!$K$187, "")</f>
        <v/>
      </c>
      <c r="K860" s="102" t="str">
        <f>IF($C860&lt;&gt;"",IF(AND($E860&lt;&gt;"",J860&lt;&gt;""), J860/$E860, 0),"")</f>
        <v/>
      </c>
      <c r="L860" s="94"/>
      <c r="M860" s="103"/>
      <c r="R860" s="492" t="str">
        <f>IF(ISNUMBER($B842), IF($C860&lt;&gt;"", IF('Cost Inputs'!$L$187="Y", $E860, IF('Cost Inputs'!$L$187="N", IF(ISNUMBER('Cost Inputs'!$M$187), $E860, ""),"")),""),"")</f>
        <v/>
      </c>
      <c r="S860" s="492" t="str">
        <f>IF(ISNUMBER($B842), IF($C860&lt;&gt;"", IF('Cost Inputs'!$L$187="Y", $E860, IF('Cost Inputs'!$L$187="N", IF(ISNUMBER('Cost Inputs'!$M$187), $E860, ""),"")),""),"")</f>
        <v/>
      </c>
      <c r="T860" s="492" t="str">
        <f>IF(ISNUMBER($B842), IF($C860&lt;&gt;"", IF('Cost Inputs'!$L$187="Y", $E860, IF('Cost Inputs'!$L$187="N", IF(ISNUMBER('Cost Inputs'!$M$187), $E860, ""),"")),""),"")</f>
        <v/>
      </c>
      <c r="U860" s="492" t="str">
        <f>IF(ISNUMBER($B842), IF($C860&lt;&gt;"", IF('Cost Inputs'!$L$187="Y", $E860, IF('Cost Inputs'!$L$187="N", IF(ISNUMBER('Cost Inputs'!$M$187), $E860, ""),"")),""),"")</f>
        <v/>
      </c>
      <c r="V860" s="492" t="str">
        <f>IF(ISNUMBER($B842), IF($C860&lt;&gt;"", IF('Cost Inputs'!$L$187="Y", $E860, IF('Cost Inputs'!$L$187="N", IF(ISNUMBER('Cost Inputs'!$M$187), $E860, ""),"")),""),"")</f>
        <v/>
      </c>
      <c r="W860" s="492" t="str">
        <f>IF(ISNUMBER($B842), IF($C860&lt;&gt;"", IF('Cost Inputs'!$L$187="Y", $E860, IF('Cost Inputs'!$L$187="N", IF(ISNUMBER('Cost Inputs'!$M$187), $E860, ""),"")),""),"")</f>
        <v/>
      </c>
      <c r="X860" s="492" t="str">
        <f>IF(ISNUMBER($B842), IF($C860&lt;&gt;"", IF('Cost Inputs'!$L$187="Y", $E860, IF('Cost Inputs'!$L$187="N", IF(ISNUMBER('Cost Inputs'!$M$187), $E860, ""),"")),""),"")</f>
        <v/>
      </c>
      <c r="Y860" s="492" t="str">
        <f>IF(ISNUMBER($B842), IF($C860&lt;&gt;"", IF('Cost Inputs'!$L$187="Y", $E860, IF('Cost Inputs'!$L$187="N", IF(ISNUMBER('Cost Inputs'!$M$187), $E860, ""),"")),""),"")</f>
        <v/>
      </c>
      <c r="Z860" s="492" t="str">
        <f>IF(ISNUMBER($B842), IF($C860&lt;&gt;"", IF('Cost Inputs'!$L$187="Y", $E860, IF('Cost Inputs'!$L$187="N", IF(ISNUMBER('Cost Inputs'!$M$187), $E860, ""),"")),""),"")</f>
        <v/>
      </c>
      <c r="AA860" s="492" t="str">
        <f>IF(ISNUMBER($B842), IF($C860&lt;&gt;"", IF('Cost Inputs'!$L$187="Y", $E860, IF('Cost Inputs'!$L$187="N", IF(ISNUMBER('Cost Inputs'!$M$187), $E860, ""),"")),""),"")</f>
        <v/>
      </c>
    </row>
    <row r="861" spans="1:27" x14ac:dyDescent="0.25">
      <c r="A861" s="518"/>
      <c r="B861" s="504"/>
      <c r="C861" s="521"/>
      <c r="D861" s="94" t="str">
        <f>IF(AND(C860&lt;&gt;"", 'Cost Inputs'!$G$188&lt;&gt;""), 'Cost Inputs'!$G$188, "")</f>
        <v/>
      </c>
      <c r="E861" s="94" t="str">
        <f>IF(AND(C860&lt;&gt;"", 'Cost Inputs'!$H$188&lt;&gt;""), 'Cost Inputs'!$H$188, "")</f>
        <v/>
      </c>
      <c r="F861" s="492"/>
      <c r="G861" s="102" t="str">
        <f t="shared" si="482"/>
        <v/>
      </c>
      <c r="H861" s="492"/>
      <c r="I861" s="102" t="str">
        <f>IF($C860&lt;&gt;"", IF(AND($E861&lt;&gt;"", H860&lt;&gt;""), H860/($E860*$E861), 0), "")</f>
        <v/>
      </c>
      <c r="J861" s="492" t="str">
        <f>IF(AND(C861&lt;&gt;"",('Cost Inputs'!$I$86+'Cost Inputs'!$J$86+'Cost Inputs'!$K$86)&gt;0), 'Cost Inputs'!$I$86+'Cost Inputs'!$J$86+'Cost Inputs'!$K$86, "")</f>
        <v/>
      </c>
      <c r="K861" s="102" t="str">
        <f>IF($C860&lt;&gt;"", IF(AND($E861&lt;&gt;"", J860&lt;&gt;""), J860/($E860*$E861), 0), "")</f>
        <v/>
      </c>
      <c r="L861" s="94"/>
      <c r="M861" s="103"/>
      <c r="R861" s="492" t="str">
        <f>IF(ISNUMBER($B$776), IF($C861&lt;&gt;"", IF('Cost Inputs'!$L254="Y", $E861, IF('Cost Inputs'!$L254="N", IF(ISNUMBER('Cost Inputs'!$M254), $E861, ""),"")),""),"")</f>
        <v/>
      </c>
      <c r="S861" s="492" t="str">
        <f>IF(ISNUMBER($B$776), IF($C861&lt;&gt;"", IF('Cost Inputs'!$L254="Y", $E861, IF('Cost Inputs'!$L254="N", IF(ISNUMBER('Cost Inputs'!$M254), $E861, ""),"")),""),"")</f>
        <v/>
      </c>
      <c r="T861" s="492" t="str">
        <f>IF(ISNUMBER($B$776), IF($C861&lt;&gt;"", IF('Cost Inputs'!$L254="Y", $E861, IF('Cost Inputs'!$L254="N", IF(ISNUMBER('Cost Inputs'!$M254), $E861, ""),"")),""),"")</f>
        <v/>
      </c>
      <c r="U861" s="492" t="str">
        <f>IF(ISNUMBER($B$776), IF($C861&lt;&gt;"", IF('Cost Inputs'!$L254="Y", $E861, IF('Cost Inputs'!$L254="N", IF(ISNUMBER('Cost Inputs'!$M254), $E861, ""),"")),""),"")</f>
        <v/>
      </c>
      <c r="V861" s="492" t="str">
        <f>IF(ISNUMBER($B$776), IF($C861&lt;&gt;"", IF('Cost Inputs'!$L254="Y", $E861, IF('Cost Inputs'!$L254="N", IF(ISNUMBER('Cost Inputs'!$M254), $E861, ""),"")),""),"")</f>
        <v/>
      </c>
      <c r="W861" s="492" t="str">
        <f>IF(ISNUMBER($B$776), IF($C861&lt;&gt;"", IF('Cost Inputs'!$L254="Y", $E861, IF('Cost Inputs'!$L254="N", IF(ISNUMBER('Cost Inputs'!$M254), $E861, ""),"")),""),"")</f>
        <v/>
      </c>
      <c r="X861" s="492" t="str">
        <f>IF(ISNUMBER($B$776), IF($C861&lt;&gt;"", IF('Cost Inputs'!$L254="Y", $E861, IF('Cost Inputs'!$L254="N", IF(ISNUMBER('Cost Inputs'!$M254), $E861, ""),"")),""),"")</f>
        <v/>
      </c>
      <c r="Y861" s="492" t="str">
        <f>IF(ISNUMBER($B$776), IF($C861&lt;&gt;"", IF('Cost Inputs'!$L254="Y", $E861, IF('Cost Inputs'!$L254="N", IF(ISNUMBER('Cost Inputs'!$M254), $E861, ""),"")),""),"")</f>
        <v/>
      </c>
      <c r="Z861" s="492" t="str">
        <f>IF(ISNUMBER($B$776), IF($C861&lt;&gt;"", IF('Cost Inputs'!$L254="Y", $E861, IF('Cost Inputs'!$L254="N", IF(ISNUMBER('Cost Inputs'!$M254), $E861, ""),"")),""),"")</f>
        <v/>
      </c>
      <c r="AA861" s="492" t="str">
        <f>IF(ISNUMBER($B$776), IF($C861&lt;&gt;"", IF('Cost Inputs'!$L254="Y", $E861, IF('Cost Inputs'!$L254="N", IF(ISNUMBER('Cost Inputs'!$M254), $E861, ""),"")),""),"")</f>
        <v/>
      </c>
    </row>
    <row r="862" spans="1:27" x14ac:dyDescent="0.25">
      <c r="A862" s="518"/>
      <c r="B862" s="504"/>
      <c r="C862" s="104" t="str">
        <f>IF(AND(ISNUMBER(B842), OR('Cost Inputs'!$H$189&lt;&gt;"", 'Cost Inputs'!$I$189&lt;&gt;"", 'Cost Inputs'!$J$189&lt;&gt;"")), _6_3_1, "")</f>
        <v/>
      </c>
      <c r="D862" s="17" t="str">
        <f>IF(AND(C862&lt;&gt;"", 'Cost Inputs'!$G$189&lt;&gt;""), 'Cost Inputs'!$G$189, "")</f>
        <v/>
      </c>
      <c r="E862" s="17" t="str">
        <f>IF(AND(C862&lt;&gt;"", 'Cost Inputs'!$H$189&lt;&gt;""), 'Cost Inputs'!$H$189, "")</f>
        <v/>
      </c>
      <c r="F862" s="17" t="str">
        <f>IF(AND(C862&lt;&gt;"", 'Cost Inputs'!$I$189&lt;&gt;""), 'Cost Inputs'!$I$189, "")</f>
        <v/>
      </c>
      <c r="G862" s="105" t="str">
        <f t="shared" si="482"/>
        <v/>
      </c>
      <c r="H862" s="17" t="str">
        <f>IF(AND(C862&lt;&gt;"", 'Cost Inputs'!$J$189&lt;&gt;""), 'Cost Inputs'!$J$189, "")</f>
        <v/>
      </c>
      <c r="I862" s="17" t="str">
        <f t="shared" ref="I862:I870" si="487">IF($C862&lt;&gt;"", IF(AND($E862&lt;&gt;"", H862&lt;&gt;""), H862/$E862, 0),"")</f>
        <v/>
      </c>
      <c r="J862" s="17" t="str">
        <f>IF(AND(C862&lt;&gt;"",('Cost Inputs'!$I$189+'Cost Inputs'!$J$189+'Cost Inputs'!$K$189)&gt;0), 'Cost Inputs'!$I$189+'Cost Inputs'!$J$189+'Cost Inputs'!$K$189, "")</f>
        <v/>
      </c>
      <c r="K862" s="17" t="str">
        <f t="shared" ref="K862:K870" si="488">IF($C862&lt;&gt;"", IF(AND($E862&lt;&gt;"", J862&lt;&gt;""), J862/$E862, 0),"")</f>
        <v/>
      </c>
      <c r="M862" s="106"/>
      <c r="R862" s="17" t="str">
        <f>IF(ISNUMBER($B842), IF($C862&lt;&gt;"", IF('Cost Inputs'!$L$189="Y", $E862, IF('Cost Inputs'!$L$189="N", IF(ISNUMBER('Cost Inputs'!$M$189), $E862, ""),"")),""),"")</f>
        <v/>
      </c>
      <c r="S862" s="17" t="str">
        <f>IF(ISNUMBER($B842), IF($C862&lt;&gt;"", IF('Cost Inputs'!$L$189="Y", $E862, IF('Cost Inputs'!$L$189="N", IF(ISNUMBER('Cost Inputs'!$M$189), $E862, ""),"")),""),"")</f>
        <v/>
      </c>
      <c r="T862" s="17" t="str">
        <f>IF(ISNUMBER($B842), IF($C862&lt;&gt;"", IF('Cost Inputs'!$L$189="Y", $E862, IF('Cost Inputs'!$L$189="N", IF(ISNUMBER('Cost Inputs'!$M$189), $E862, ""),"")),""),"")</f>
        <v/>
      </c>
      <c r="U862" s="17" t="str">
        <f>IF(ISNUMBER($B842), IF($C862&lt;&gt;"", IF('Cost Inputs'!$L$189="Y", $E862, IF('Cost Inputs'!$L$189="N", IF(ISNUMBER('Cost Inputs'!$M$189), $E862, ""),"")),""),"")</f>
        <v/>
      </c>
      <c r="V862" s="17" t="str">
        <f>IF(ISNUMBER($B842), IF($C862&lt;&gt;"", IF('Cost Inputs'!$L$189="Y", $E862, IF('Cost Inputs'!$L$189="N", IF(ISNUMBER('Cost Inputs'!$M$189), $E862, ""),"")),""),"")</f>
        <v/>
      </c>
      <c r="W862" s="17" t="str">
        <f>IF(ISNUMBER($B842), IF($C862&lt;&gt;"", IF('Cost Inputs'!$L$189="Y", $E862, IF('Cost Inputs'!$L$189="N", IF(ISNUMBER('Cost Inputs'!$M$189), $E862, ""),"")),""),"")</f>
        <v/>
      </c>
      <c r="X862" s="17" t="str">
        <f>IF(ISNUMBER($B842), IF($C862&lt;&gt;"", IF('Cost Inputs'!$L$189="Y", $E862, IF('Cost Inputs'!$L$189="N", IF(ISNUMBER('Cost Inputs'!$M$189), $E862, ""),"")),""),"")</f>
        <v/>
      </c>
      <c r="Y862" s="17" t="str">
        <f>IF(ISNUMBER($B842), IF($C862&lt;&gt;"", IF('Cost Inputs'!$L$189="Y", $E862, IF('Cost Inputs'!$L$189="N", IF(ISNUMBER('Cost Inputs'!$M$189), $E862, ""),"")),""),"")</f>
        <v/>
      </c>
      <c r="Z862" s="17" t="str">
        <f>IF(ISNUMBER($B842), IF($C862&lt;&gt;"", IF('Cost Inputs'!$L$189="Y", $E862, IF('Cost Inputs'!$L$189="N", IF(ISNUMBER('Cost Inputs'!$M$189), $E862, ""),"")),""),"")</f>
        <v/>
      </c>
      <c r="AA862" s="17" t="str">
        <f>IF(ISNUMBER($B842), IF($C862&lt;&gt;"", IF('Cost Inputs'!$L$189="Y", $E862, IF('Cost Inputs'!$L$189="N", IF(ISNUMBER('Cost Inputs'!$M$189), $E862, ""),"")),""),"")</f>
        <v/>
      </c>
    </row>
    <row r="863" spans="1:27" x14ac:dyDescent="0.25">
      <c r="A863" s="518"/>
      <c r="B863" s="504"/>
      <c r="C863" s="107" t="str">
        <f>IF(AND(ISNUMBER(B842), OR('Cost Inputs'!$H$190&lt;&gt;"", 'Cost Inputs'!$I$190&lt;&gt;"", 'Cost Inputs'!$J$190&lt;&gt;"")), _6_3_2, "")</f>
        <v/>
      </c>
      <c r="D863" s="93" t="str">
        <f>IF(AND(C863&lt;&gt;"", 'Cost Inputs'!$G$190&lt;&gt;""), 'Cost Inputs'!$G$190, "")</f>
        <v/>
      </c>
      <c r="E863" s="93" t="str">
        <f>IF(AND(C863&lt;&gt;"", 'Cost Inputs'!$H$190&lt;&gt;""), 'Cost Inputs'!$H$190, "")</f>
        <v/>
      </c>
      <c r="F863" s="93" t="str">
        <f>IF(AND(C863&lt;&gt;"", 'Cost Inputs'!$I$190&lt;&gt;""), 'Cost Inputs'!$I$190, "")</f>
        <v/>
      </c>
      <c r="G863" s="108" t="str">
        <f t="shared" si="482"/>
        <v/>
      </c>
      <c r="H863" s="93" t="str">
        <f>IF(AND(C863&lt;&gt;"", 'Cost Inputs'!$J$190&lt;&gt;""), 'Cost Inputs'!$J$190, "")</f>
        <v/>
      </c>
      <c r="I863" s="93" t="str">
        <f t="shared" si="487"/>
        <v/>
      </c>
      <c r="J863" s="93" t="str">
        <f>IF(AND(C863&lt;&gt;"",('Cost Inputs'!$I$190+'Cost Inputs'!$J$190+'Cost Inputs'!$K$190)&gt;0), 'Cost Inputs'!$I$190+'Cost Inputs'!$J$190+'Cost Inputs'!$K$190, "")</f>
        <v/>
      </c>
      <c r="K863" s="93" t="str">
        <f t="shared" si="488"/>
        <v/>
      </c>
      <c r="L863" s="93"/>
      <c r="M863" s="109"/>
      <c r="R863" s="93" t="str">
        <f>IF(ISNUMBER($B842), IF($C863&lt;&gt;"", IF('Cost Inputs'!$L$190="Y", $E863, IF('Cost Inputs'!$L$190="N", IF(ISNUMBER('Cost Inputs'!$M$190), $E863, ""),"")),""),"")</f>
        <v/>
      </c>
      <c r="S863" s="93" t="str">
        <f>IF(ISNUMBER($B842), IF($C863&lt;&gt;"", IF('Cost Inputs'!$L$190="Y", $E863, IF('Cost Inputs'!$L$190="N", IF(ISNUMBER('Cost Inputs'!$M$190), $E863, ""),"")),""),"")</f>
        <v/>
      </c>
      <c r="T863" s="93" t="str">
        <f>IF(ISNUMBER($B842), IF($C863&lt;&gt;"", IF('Cost Inputs'!$L$190="Y", $E863, IF('Cost Inputs'!$L$190="N", IF(ISNUMBER('Cost Inputs'!$M$190), $E863, ""),"")),""),"")</f>
        <v/>
      </c>
      <c r="U863" s="93" t="str">
        <f>IF(ISNUMBER($B842), IF($C863&lt;&gt;"", IF('Cost Inputs'!$L$190="Y", $E863, IF('Cost Inputs'!$L$190="N", IF(ISNUMBER('Cost Inputs'!$M$190), $E863, ""),"")),""),"")</f>
        <v/>
      </c>
      <c r="V863" s="93" t="str">
        <f>IF(ISNUMBER($B842), IF($C863&lt;&gt;"", IF('Cost Inputs'!$L$190="Y", $E863, IF('Cost Inputs'!$L$190="N", IF(ISNUMBER('Cost Inputs'!$M$190), $E863, ""),"")),""),"")</f>
        <v/>
      </c>
      <c r="W863" s="93" t="str">
        <f>IF(ISNUMBER($B842), IF($C863&lt;&gt;"", IF('Cost Inputs'!$L$190="Y", $E863, IF('Cost Inputs'!$L$190="N", IF(ISNUMBER('Cost Inputs'!$M$190), $E863, ""),"")),""),"")</f>
        <v/>
      </c>
      <c r="X863" s="93" t="str">
        <f>IF(ISNUMBER($B842), IF($C863&lt;&gt;"", IF('Cost Inputs'!$L$190="Y", $E863, IF('Cost Inputs'!$L$190="N", IF(ISNUMBER('Cost Inputs'!$M$190), $E863, ""),"")),""),"")</f>
        <v/>
      </c>
      <c r="Y863" s="93" t="str">
        <f>IF(ISNUMBER($B842), IF($C863&lt;&gt;"", IF('Cost Inputs'!$L$190="Y", $E863, IF('Cost Inputs'!$L$190="N", IF(ISNUMBER('Cost Inputs'!$M$190), $E863, ""),"")),""),"")</f>
        <v/>
      </c>
      <c r="Z863" s="93" t="str">
        <f>IF(ISNUMBER($B842), IF($C863&lt;&gt;"", IF('Cost Inputs'!$L$190="Y", $E863, IF('Cost Inputs'!$L$190="N", IF(ISNUMBER('Cost Inputs'!$M$190), $E863, ""),"")),""),"")</f>
        <v/>
      </c>
      <c r="AA863" s="93" t="str">
        <f>IF(ISNUMBER($B842), IF($C863&lt;&gt;"", IF('Cost Inputs'!$L$190="Y", $E863, IF('Cost Inputs'!$L$190="N", IF(ISNUMBER('Cost Inputs'!$M$190), $E863, ""),"")),""),"")</f>
        <v/>
      </c>
    </row>
    <row r="864" spans="1:27" x14ac:dyDescent="0.25">
      <c r="A864" s="518"/>
      <c r="B864" s="504"/>
      <c r="C864" s="110" t="str">
        <f>IF(ISNUMBER(B842), _6_4_0, "")</f>
        <v/>
      </c>
      <c r="D864" s="94" t="str">
        <f>IF(AND(C864&lt;&gt;"", 'Cost Inputs'!$G$191&lt;&gt;""), 'Cost Inputs'!$G$191, "")</f>
        <v/>
      </c>
      <c r="E864" s="94" t="str">
        <f>IF(AND(C864&lt;&gt;"", 'Cost Inputs'!$H$191&lt;&gt;""), 'Cost Inputs'!$H$191, "")</f>
        <v/>
      </c>
      <c r="F864" s="94" t="str">
        <f>IF(AND(C864&lt;&gt;"", 'Cost Inputs'!$I$191&lt;&gt;""), 'Cost Inputs'!$I$191, "")</f>
        <v/>
      </c>
      <c r="G864" s="102" t="str">
        <f t="shared" si="482"/>
        <v/>
      </c>
      <c r="H864" s="102" t="str">
        <f>IF(AND(C864&lt;&gt;"", 'Cost Inputs'!$J$191&lt;&gt;""), 'Cost Inputs'!$J$191, "")</f>
        <v/>
      </c>
      <c r="I864" s="102" t="str">
        <f t="shared" si="487"/>
        <v/>
      </c>
      <c r="J864" s="102" t="str">
        <f>IF(AND(C864&lt;&gt;"",('Cost Inputs'!$I$191+'Cost Inputs'!$J$191+'Cost Inputs'!$K$191)&gt;0), 'Cost Inputs'!$I$191+'Cost Inputs'!$J$191+'Cost Inputs'!$K$191, "")</f>
        <v/>
      </c>
      <c r="K864" s="102" t="str">
        <f t="shared" si="488"/>
        <v/>
      </c>
      <c r="L864" s="94"/>
      <c r="M864" s="103"/>
      <c r="R864" s="102" t="str">
        <f>IF(ISNUMBER($B842), IF($C864&lt;&gt;"", IF('Cost Inputs'!$L$191="Y", $E864, IF('Cost Inputs'!$L$191="N", IF(ISNUMBER('Cost Inputs'!$M$191), $E864, ""),"")),""),"")</f>
        <v/>
      </c>
      <c r="S864" s="102" t="str">
        <f>IF(ISNUMBER($B842), IF($C864&lt;&gt;"", IF('Cost Inputs'!$L$191="Y", $E864, IF('Cost Inputs'!$L$191="N", IF(ISNUMBER('Cost Inputs'!$M$191), $E864, ""),"")),""),"")</f>
        <v/>
      </c>
      <c r="T864" s="102" t="str">
        <f>IF(ISNUMBER($B842), IF($C864&lt;&gt;"", IF('Cost Inputs'!$L$191="Y", $E864, IF('Cost Inputs'!$L$191="N", IF(ISNUMBER('Cost Inputs'!$M$191), $E864, ""),"")),""),"")</f>
        <v/>
      </c>
      <c r="U864" s="102" t="str">
        <f>IF(ISNUMBER($B842), IF($C864&lt;&gt;"", IF('Cost Inputs'!$L$191="Y", $E864, IF('Cost Inputs'!$L$191="N", IF(ISNUMBER('Cost Inputs'!$M$191), $E864, ""),"")),""),"")</f>
        <v/>
      </c>
      <c r="V864" s="102" t="str">
        <f>IF(ISNUMBER($B842), IF($C864&lt;&gt;"", IF('Cost Inputs'!$L$191="Y", $E864, IF('Cost Inputs'!$L$191="N", IF(ISNUMBER('Cost Inputs'!$M$191), $E864, ""),"")),""),"")</f>
        <v/>
      </c>
      <c r="W864" s="102" t="str">
        <f>IF(ISNUMBER($B842), IF($C864&lt;&gt;"", IF('Cost Inputs'!$L$191="Y", $E864, IF('Cost Inputs'!$L$191="N", IF(ISNUMBER('Cost Inputs'!$M$191), $E864, ""),"")),""),"")</f>
        <v/>
      </c>
      <c r="X864" s="102" t="str">
        <f>IF(ISNUMBER($B842), IF($C864&lt;&gt;"", IF('Cost Inputs'!$L$191="Y", $E864, IF('Cost Inputs'!$L$191="N", IF(ISNUMBER('Cost Inputs'!$M$191), $E864, ""),"")),""),"")</f>
        <v/>
      </c>
      <c r="Y864" s="102" t="str">
        <f>IF(ISNUMBER($B842), IF($C864&lt;&gt;"", IF('Cost Inputs'!$L$191="Y", $E864, IF('Cost Inputs'!$L$191="N", IF(ISNUMBER('Cost Inputs'!$M$191), $E864, ""),"")),""),"")</f>
        <v/>
      </c>
      <c r="Z864" s="102" t="str">
        <f>IF(ISNUMBER($B842), IF($C864&lt;&gt;"", IF('Cost Inputs'!$L$191="Y", $E864, IF('Cost Inputs'!$L$191="N", IF(ISNUMBER('Cost Inputs'!$M$191), $E864, ""),"")),""),"")</f>
        <v/>
      </c>
      <c r="AA864" s="102" t="str">
        <f>IF(ISNUMBER($B842), IF($C864&lt;&gt;"", IF('Cost Inputs'!$L$191="Y", $E864, IF('Cost Inputs'!$L$191="N", IF(ISNUMBER('Cost Inputs'!$M$191), $E864, ""),"")),""),"")</f>
        <v/>
      </c>
    </row>
    <row r="865" spans="1:27" x14ac:dyDescent="0.25">
      <c r="A865" s="518"/>
      <c r="B865" s="504"/>
      <c r="C865" s="104" t="str">
        <f>IF(AND(ISNUMBER(B842), OR('Cost Inputs'!$H$192&lt;&gt;"", 'Cost Inputs'!$I$192&lt;&gt;"", 'Cost Inputs'!$J$192&lt;&gt;"")), _6_4_1, "")</f>
        <v/>
      </c>
      <c r="D865" s="17" t="str">
        <f>IF(AND(C865&lt;&gt;"", 'Cost Inputs'!$G$192&lt;&gt;""), 'Cost Inputs'!$G$192, "")</f>
        <v/>
      </c>
      <c r="E865" s="17" t="str">
        <f>IF(AND(C865&lt;&gt;"", 'Cost Inputs'!$H$192&lt;&gt;""), 'Cost Inputs'!$H$192, "")</f>
        <v/>
      </c>
      <c r="F865" s="17" t="str">
        <f>IF(AND(C865&lt;&gt;"", 'Cost Inputs'!$I$192&lt;&gt;""), 'Cost Inputs'!$I$192, "")</f>
        <v/>
      </c>
      <c r="G865" s="105" t="str">
        <f t="shared" si="482"/>
        <v/>
      </c>
      <c r="H865" s="17" t="str">
        <f>IF(AND(C865&lt;&gt;"", 'Cost Inputs'!$J$192&lt;&gt;""), 'Cost Inputs'!$J$192, "")</f>
        <v/>
      </c>
      <c r="I865" s="17" t="str">
        <f t="shared" si="487"/>
        <v/>
      </c>
      <c r="J865" s="17" t="str">
        <f>IF(AND(C865&lt;&gt;"",('Cost Inputs'!$I$192+'Cost Inputs'!$J$192+'Cost Inputs'!$K$192)&gt;0), 'Cost Inputs'!$I$192+'Cost Inputs'!$J$192+'Cost Inputs'!$K$192, "")</f>
        <v/>
      </c>
      <c r="K865" s="17" t="str">
        <f t="shared" si="488"/>
        <v/>
      </c>
      <c r="M865" s="106"/>
      <c r="R865" s="17" t="str">
        <f>IF(ISNUMBER($B842), IF($C865&lt;&gt;"", IF('Cost Inputs'!$L$192="Y", $E865, IF('Cost Inputs'!$L$192="N", IF(ISNUMBER('Cost Inputs'!$M$192), $E865, ""),"")),""),"")</f>
        <v/>
      </c>
      <c r="S865" s="17" t="str">
        <f>IF(ISNUMBER($B842), IF($C865&lt;&gt;"", IF('Cost Inputs'!$L$192="Y", $E865, IF('Cost Inputs'!$L$192="N", IF(ISNUMBER('Cost Inputs'!$M$192), $E865, ""),"")),""),"")</f>
        <v/>
      </c>
      <c r="T865" s="17" t="str">
        <f>IF(ISNUMBER($B842), IF($C865&lt;&gt;"", IF('Cost Inputs'!$L$192="Y", $E865, IF('Cost Inputs'!$L$192="N", IF(ISNUMBER('Cost Inputs'!$M$192), $E865, ""),"")),""),"")</f>
        <v/>
      </c>
      <c r="U865" s="17" t="str">
        <f>IF(ISNUMBER($B842), IF($C865&lt;&gt;"", IF('Cost Inputs'!$L$192="Y", $E865, IF('Cost Inputs'!$L$192="N", IF(ISNUMBER('Cost Inputs'!$M$192), $E865, ""),"")),""),"")</f>
        <v/>
      </c>
      <c r="V865" s="17" t="str">
        <f>IF(ISNUMBER($B842), IF($C865&lt;&gt;"", IF('Cost Inputs'!$L$192="Y", $E865, IF('Cost Inputs'!$L$192="N", IF(ISNUMBER('Cost Inputs'!$M$192), $E865, ""),"")),""),"")</f>
        <v/>
      </c>
      <c r="W865" s="17" t="str">
        <f>IF(ISNUMBER($B842), IF($C865&lt;&gt;"", IF('Cost Inputs'!$L$192="Y", $E865, IF('Cost Inputs'!$L$192="N", IF(ISNUMBER('Cost Inputs'!$M$192), $E865, ""),"")),""),"")</f>
        <v/>
      </c>
      <c r="X865" s="17" t="str">
        <f>IF(ISNUMBER($B842), IF($C865&lt;&gt;"", IF('Cost Inputs'!$L$192="Y", $E865, IF('Cost Inputs'!$L$192="N", IF(ISNUMBER('Cost Inputs'!$M$192), $E865, ""),"")),""),"")</f>
        <v/>
      </c>
      <c r="Y865" s="17" t="str">
        <f>IF(ISNUMBER($B842), IF($C865&lt;&gt;"", IF('Cost Inputs'!$L$192="Y", $E865, IF('Cost Inputs'!$L$192="N", IF(ISNUMBER('Cost Inputs'!$M$192), $E865, ""),"")),""),"")</f>
        <v/>
      </c>
      <c r="Z865" s="17" t="str">
        <f>IF(ISNUMBER($B842), IF($C865&lt;&gt;"", IF('Cost Inputs'!$L$192="Y", $E865, IF('Cost Inputs'!$L$192="N", IF(ISNUMBER('Cost Inputs'!$M$192), $E865, ""),"")),""),"")</f>
        <v/>
      </c>
      <c r="AA865" s="17" t="str">
        <f>IF(ISNUMBER($B842), IF($C865&lt;&gt;"", IF('Cost Inputs'!$L$192="Y", $E865, IF('Cost Inputs'!$L$192="N", IF(ISNUMBER('Cost Inputs'!$M$192), $E865, ""),"")),""),"")</f>
        <v/>
      </c>
    </row>
    <row r="866" spans="1:27" x14ac:dyDescent="0.25">
      <c r="A866" s="518"/>
      <c r="B866" s="504"/>
      <c r="C866" s="107" t="str">
        <f>IF(AND(ISNUMBER(B842), OR('Cost Inputs'!$H$193&lt;&gt;"", 'Cost Inputs'!$I$193&lt;&gt;"", 'Cost Inputs'!$J$193&lt;&gt;"")), _6_4_2, "")</f>
        <v/>
      </c>
      <c r="D866" s="93" t="str">
        <f>IF(AND(C866&lt;&gt;"", 'Cost Inputs'!$G$193&lt;&gt;""), 'Cost Inputs'!$G$193, "")</f>
        <v/>
      </c>
      <c r="E866" s="93" t="str">
        <f>IF(AND(C866&lt;&gt;"", 'Cost Inputs'!$H$193&lt;&gt;""), 'Cost Inputs'!$H$193, "")</f>
        <v/>
      </c>
      <c r="F866" s="93" t="str">
        <f>IF(AND(C866&lt;&gt;"", 'Cost Inputs'!$I$193&lt;&gt;""), 'Cost Inputs'!$I$193, "")</f>
        <v/>
      </c>
      <c r="G866" s="108" t="str">
        <f t="shared" si="482"/>
        <v/>
      </c>
      <c r="H866" s="93" t="str">
        <f>IF(AND(C866&lt;&gt;"", 'Cost Inputs'!$J$193&lt;&gt;""), 'Cost Inputs'!$J$193, "")</f>
        <v/>
      </c>
      <c r="I866" s="93" t="str">
        <f t="shared" si="487"/>
        <v/>
      </c>
      <c r="J866" s="93" t="str">
        <f>IF(AND(C866&lt;&gt;"",('Cost Inputs'!$I$152+'Cost Inputs'!$J$152+'Cost Inputs'!$K$152)&gt;0), 'Cost Inputs'!$I$152+'Cost Inputs'!$J$152+'Cost Inputs'!$K$152, "")</f>
        <v/>
      </c>
      <c r="K866" s="93" t="str">
        <f t="shared" si="488"/>
        <v/>
      </c>
      <c r="L866" s="93"/>
      <c r="M866" s="109"/>
      <c r="R866" s="93" t="str">
        <f>IF(ISNUMBER($B842), IF($C866&lt;&gt;"", IF('Cost Inputs'!$L$193="Y", $E866, IF('Cost Inputs'!$L$193="N", IF(ISNUMBER('Cost Inputs'!$M$193), $E866, ""),"")),""),"")</f>
        <v/>
      </c>
      <c r="S866" s="93" t="str">
        <f>IF(ISNUMBER($B842), IF($C866&lt;&gt;"", IF('Cost Inputs'!$L$193="Y", $E866, IF('Cost Inputs'!$L$193="N", IF(ISNUMBER('Cost Inputs'!$M$193), $E866, ""),"")),""),"")</f>
        <v/>
      </c>
      <c r="T866" s="93" t="str">
        <f>IF(ISNUMBER($B842), IF($C866&lt;&gt;"", IF('Cost Inputs'!$L$193="Y", $E866, IF('Cost Inputs'!$L$193="N", IF(ISNUMBER('Cost Inputs'!$M$193), $E866, ""),"")),""),"")</f>
        <v/>
      </c>
      <c r="U866" s="93" t="str">
        <f>IF(ISNUMBER($B842), IF($C866&lt;&gt;"", IF('Cost Inputs'!$L$193="Y", $E866, IF('Cost Inputs'!$L$193="N", IF(ISNUMBER('Cost Inputs'!$M$193), $E866, ""),"")),""),"")</f>
        <v/>
      </c>
      <c r="V866" s="93" t="str">
        <f>IF(ISNUMBER($B842), IF($C866&lt;&gt;"", IF('Cost Inputs'!$L$193="Y", $E866, IF('Cost Inputs'!$L$193="N", IF(ISNUMBER('Cost Inputs'!$M$193), $E866, ""),"")),""),"")</f>
        <v/>
      </c>
      <c r="W866" s="93" t="str">
        <f>IF(ISNUMBER($B842), IF($C866&lt;&gt;"", IF('Cost Inputs'!$L$193="Y", $E866, IF('Cost Inputs'!$L$193="N", IF(ISNUMBER('Cost Inputs'!$M$193), $E866, ""),"")),""),"")</f>
        <v/>
      </c>
      <c r="X866" s="93" t="str">
        <f>IF(ISNUMBER($B842), IF($C866&lt;&gt;"", IF('Cost Inputs'!$L$193="Y", $E866, IF('Cost Inputs'!$L$193="N", IF(ISNUMBER('Cost Inputs'!$M$193), $E866, ""),"")),""),"")</f>
        <v/>
      </c>
      <c r="Y866" s="93" t="str">
        <f>IF(ISNUMBER($B842), IF($C866&lt;&gt;"", IF('Cost Inputs'!$L$193="Y", $E866, IF('Cost Inputs'!$L$193="N", IF(ISNUMBER('Cost Inputs'!$M$193), $E866, ""),"")),""),"")</f>
        <v/>
      </c>
      <c r="Z866" s="93" t="str">
        <f>IF(ISNUMBER($B842), IF($C866&lt;&gt;"", IF('Cost Inputs'!$L$193="Y", $E866, IF('Cost Inputs'!$L$193="N", IF(ISNUMBER('Cost Inputs'!$M$193), $E866, ""),"")),""),"")</f>
        <v/>
      </c>
      <c r="AA866" s="93" t="str">
        <f>IF(ISNUMBER($B842), IF($C866&lt;&gt;"", IF('Cost Inputs'!$L$193="Y", $E866, IF('Cost Inputs'!$L$193="N", IF(ISNUMBER('Cost Inputs'!$M$193), $E866, ""),"")),""),"")</f>
        <v/>
      </c>
    </row>
    <row r="867" spans="1:27" x14ac:dyDescent="0.25">
      <c r="A867" s="518"/>
      <c r="B867" s="504"/>
      <c r="C867" s="104" t="str">
        <f>IF(AND(ISNUMBER(B842), OR('Cost Inputs'!$H$194&lt;&gt;"", 'Cost Inputs'!$I$194&lt;&gt;"", 'Cost Inputs'!$J$194&lt;&gt;"")), _6_4_3, "")</f>
        <v/>
      </c>
      <c r="D867" s="17" t="str">
        <f>IF(AND(C867&lt;&gt;"", 'Cost Inputs'!$G$194&lt;&gt;""), 'Cost Inputs'!$G$194, "")</f>
        <v/>
      </c>
      <c r="E867" s="17" t="str">
        <f>IF(AND(C867&lt;&gt;"", 'Cost Inputs'!$H$194&lt;&gt;""), 'Cost Inputs'!$H$194, "")</f>
        <v/>
      </c>
      <c r="F867" s="17" t="str">
        <f>IF(AND(C867&lt;&gt;"", 'Cost Inputs'!$I$194&lt;&gt;""), 'Cost Inputs'!$I$194, "")</f>
        <v/>
      </c>
      <c r="G867" s="105" t="str">
        <f t="shared" ref="G867:G930" si="489">IF(AND($E867&lt;&gt;"", $E867&gt;0, F867&lt;&gt;""), F867/$E867, "")</f>
        <v/>
      </c>
      <c r="H867" s="17" t="str">
        <f>IF(AND(C867&lt;&gt;"", 'Cost Inputs'!$J$194&lt;&gt;""), 'Cost Inputs'!$J$194, "")</f>
        <v/>
      </c>
      <c r="I867" s="17" t="str">
        <f t="shared" si="487"/>
        <v/>
      </c>
      <c r="J867" s="17" t="str">
        <f>IF(AND(C867&lt;&gt;"",('Cost Inputs'!$I$194+'Cost Inputs'!$J$194+'Cost Inputs'!$K$194)&gt;0), 'Cost Inputs'!$I$194+'Cost Inputs'!$J$194+'Cost Inputs'!$K$194, "")</f>
        <v/>
      </c>
      <c r="K867" s="17" t="str">
        <f t="shared" si="488"/>
        <v/>
      </c>
      <c r="M867" s="106"/>
      <c r="R867" s="17" t="str">
        <f>IF(ISNUMBER($B842), IF($C867&lt;&gt;"", IF('Cost Inputs'!$L$194="Y", $E867, IF('Cost Inputs'!$L$194="N", IF(ISNUMBER('Cost Inputs'!$M$194), $E867, ""),"")),""),"")</f>
        <v/>
      </c>
      <c r="S867" s="17" t="str">
        <f>IF(ISNUMBER($B842), IF($C867&lt;&gt;"", IF('Cost Inputs'!$L$194="Y", $E867, IF('Cost Inputs'!$L$194="N", IF(ISNUMBER('Cost Inputs'!$M$194), $E867, ""),"")),""),"")</f>
        <v/>
      </c>
      <c r="T867" s="17" t="str">
        <f>IF(ISNUMBER($B842), IF($C867&lt;&gt;"", IF('Cost Inputs'!$L$194="Y", $E867, IF('Cost Inputs'!$L$194="N", IF(ISNUMBER('Cost Inputs'!$M$194), $E867, ""),"")),""),"")</f>
        <v/>
      </c>
      <c r="U867" s="17" t="str">
        <f>IF(ISNUMBER($B842), IF($C867&lt;&gt;"", IF('Cost Inputs'!$L$194="Y", $E867, IF('Cost Inputs'!$L$194="N", IF(ISNUMBER('Cost Inputs'!$M$194), $E867, ""),"")),""),"")</f>
        <v/>
      </c>
      <c r="V867" s="17" t="str">
        <f>IF(ISNUMBER($B842), IF($C867&lt;&gt;"", IF('Cost Inputs'!$L$194="Y", $E867, IF('Cost Inputs'!$L$194="N", IF(ISNUMBER('Cost Inputs'!$M$194), $E867, ""),"")),""),"")</f>
        <v/>
      </c>
      <c r="W867" s="17" t="str">
        <f>IF(ISNUMBER($B842), IF($C867&lt;&gt;"", IF('Cost Inputs'!$L$194="Y", $E867, IF('Cost Inputs'!$L$194="N", IF(ISNUMBER('Cost Inputs'!$M$194), $E867, ""),"")),""),"")</f>
        <v/>
      </c>
      <c r="X867" s="17" t="str">
        <f>IF(ISNUMBER($B842), IF($C867&lt;&gt;"", IF('Cost Inputs'!$L$194="Y", $E867, IF('Cost Inputs'!$L$194="N", IF(ISNUMBER('Cost Inputs'!$M$194), $E867, ""),"")),""),"")</f>
        <v/>
      </c>
      <c r="Y867" s="17" t="str">
        <f>IF(ISNUMBER($B842), IF($C867&lt;&gt;"", IF('Cost Inputs'!$L$194="Y", $E867, IF('Cost Inputs'!$L$194="N", IF(ISNUMBER('Cost Inputs'!$M$194), $E867, ""),"")),""),"")</f>
        <v/>
      </c>
      <c r="Z867" s="17" t="str">
        <f>IF(ISNUMBER($B842), IF($C867&lt;&gt;"", IF('Cost Inputs'!$L$194="Y", $E867, IF('Cost Inputs'!$L$194="N", IF(ISNUMBER('Cost Inputs'!$M$194), $E867, ""),"")),""),"")</f>
        <v/>
      </c>
      <c r="AA867" s="17" t="str">
        <f>IF(ISNUMBER($B842), IF($C867&lt;&gt;"", IF('Cost Inputs'!$L$194="Y", $E867, IF('Cost Inputs'!$L$194="N", IF(ISNUMBER('Cost Inputs'!$M$194), $E867, ""),"")),""),"")</f>
        <v/>
      </c>
    </row>
    <row r="868" spans="1:27" x14ac:dyDescent="0.25">
      <c r="A868" s="518"/>
      <c r="B868" s="504"/>
      <c r="C868" s="107" t="str">
        <f>IF(AND(ISNUMBER(B842), OR('Cost Inputs'!$H$195&lt;&gt;"", 'Cost Inputs'!$I$195&lt;&gt;"", 'Cost Inputs'!$J$195&lt;&gt;"")), _6_4_4, "")</f>
        <v/>
      </c>
      <c r="D868" s="93" t="str">
        <f>IF(AND(C868&lt;&gt;"", 'Cost Inputs'!$G$195&lt;&gt;""), 'Cost Inputs'!$G$195, "")</f>
        <v/>
      </c>
      <c r="E868" s="93" t="str">
        <f>IF(AND(C868&lt;&gt;"", 'Cost Inputs'!$H$195&lt;&gt;""), 'Cost Inputs'!$H$195, "")</f>
        <v/>
      </c>
      <c r="F868" s="93" t="str">
        <f>IF(AND(C868&lt;&gt;"", 'Cost Inputs'!$I$195&lt;&gt;""), 'Cost Inputs'!$I$195, "")</f>
        <v/>
      </c>
      <c r="G868" s="108" t="str">
        <f t="shared" si="489"/>
        <v/>
      </c>
      <c r="H868" s="93" t="str">
        <f>IF(AND(C868&lt;&gt;"", 'Cost Inputs'!$J$195&lt;&gt;""), 'Cost Inputs'!$J$195, "")</f>
        <v/>
      </c>
      <c r="I868" s="93" t="str">
        <f t="shared" si="487"/>
        <v/>
      </c>
      <c r="J868" s="93" t="str">
        <f>IF(AND(C868&lt;&gt;"",('Cost Inputs'!$I$195+'Cost Inputs'!$J$195+'Cost Inputs'!$K$195)&gt;0), 'Cost Inputs'!$I$195+'Cost Inputs'!$J$195+'Cost Inputs'!$K$195, "")</f>
        <v/>
      </c>
      <c r="K868" s="93" t="str">
        <f t="shared" si="488"/>
        <v/>
      </c>
      <c r="L868" s="93"/>
      <c r="M868" s="109"/>
      <c r="R868" s="93" t="str">
        <f>IF(ISNUMBER($B842), IF($C868&lt;&gt;"", IF('Cost Inputs'!$L$195="Y", $E868, IF('Cost Inputs'!$L$195="N", IF(ISNUMBER('Cost Inputs'!$M$195), $E868, ""),"")),""),"")</f>
        <v/>
      </c>
      <c r="S868" s="93" t="str">
        <f>IF(ISNUMBER($B842), IF($C868&lt;&gt;"", IF('Cost Inputs'!$L$195="Y", $E868, IF('Cost Inputs'!$L$195="N", IF(ISNUMBER('Cost Inputs'!$M$195), $E868, ""),"")),""),"")</f>
        <v/>
      </c>
      <c r="T868" s="93" t="str">
        <f>IF(ISNUMBER($B842), IF($C868&lt;&gt;"", IF('Cost Inputs'!$L$195="Y", $E868, IF('Cost Inputs'!$L$195="N", IF(ISNUMBER('Cost Inputs'!$M$195), $E868, ""),"")),""),"")</f>
        <v/>
      </c>
      <c r="U868" s="93" t="str">
        <f>IF(ISNUMBER($B842), IF($C868&lt;&gt;"", IF('Cost Inputs'!$L$195="Y", $E868, IF('Cost Inputs'!$L$195="N", IF(ISNUMBER('Cost Inputs'!$M$195), $E868, ""),"")),""),"")</f>
        <v/>
      </c>
      <c r="V868" s="93" t="str">
        <f>IF(ISNUMBER($B842), IF($C868&lt;&gt;"", IF('Cost Inputs'!$L$195="Y", $E868, IF('Cost Inputs'!$L$195="N", IF(ISNUMBER('Cost Inputs'!$M$195), $E868, ""),"")),""),"")</f>
        <v/>
      </c>
      <c r="W868" s="93" t="str">
        <f>IF(ISNUMBER($B842), IF($C868&lt;&gt;"", IF('Cost Inputs'!$L$195="Y", $E868, IF('Cost Inputs'!$L$195="N", IF(ISNUMBER('Cost Inputs'!$M$195), $E868, ""),"")),""),"")</f>
        <v/>
      </c>
      <c r="X868" s="93" t="str">
        <f>IF(ISNUMBER($B842), IF($C868&lt;&gt;"", IF('Cost Inputs'!$L$195="Y", $E868, IF('Cost Inputs'!$L$195="N", IF(ISNUMBER('Cost Inputs'!$M$195), $E868, ""),"")),""),"")</f>
        <v/>
      </c>
      <c r="Y868" s="93" t="str">
        <f>IF(ISNUMBER($B842), IF($C868&lt;&gt;"", IF('Cost Inputs'!$L$195="Y", $E868, IF('Cost Inputs'!$L$195="N", IF(ISNUMBER('Cost Inputs'!$M$195), $E868, ""),"")),""),"")</f>
        <v/>
      </c>
      <c r="Z868" s="93" t="str">
        <f>IF(ISNUMBER($B842), IF($C868&lt;&gt;"", IF('Cost Inputs'!$L$195="Y", $E868, IF('Cost Inputs'!$L$195="N", IF(ISNUMBER('Cost Inputs'!$M$195), $E868, ""),"")),""),"")</f>
        <v/>
      </c>
      <c r="AA868" s="93" t="str">
        <f>IF(ISNUMBER($B842), IF($C868&lt;&gt;"", IF('Cost Inputs'!$L$195="Y", $E868, IF('Cost Inputs'!$L$195="N", IF(ISNUMBER('Cost Inputs'!$M$195), $E868, ""),"")),""),"")</f>
        <v/>
      </c>
    </row>
    <row r="869" spans="1:27" x14ac:dyDescent="0.25">
      <c r="A869" s="518"/>
      <c r="B869" s="504"/>
      <c r="C869" s="104" t="str">
        <f>IF(AND(ISNUMBER(B842), OR('Cost Inputs'!$H$196&lt;&gt;"", 'Cost Inputs'!$I$196&lt;&gt;"", 'Cost Inputs'!$J$196&lt;&gt;"")), _6_4_5, "")</f>
        <v/>
      </c>
      <c r="D869" s="17" t="str">
        <f>IF(AND(C869&lt;&gt;"", 'Cost Inputs'!$G$196&lt;&gt;""), 'Cost Inputs'!$G$196, "")</f>
        <v/>
      </c>
      <c r="E869" s="17" t="str">
        <f>IF(AND(C869&lt;&gt;"", 'Cost Inputs'!$H$196&lt;&gt;""), 'Cost Inputs'!$H$196, "")</f>
        <v/>
      </c>
      <c r="F869" s="17" t="str">
        <f>IF(AND(C869&lt;&gt;"", 'Cost Inputs'!$I$196&lt;&gt;""), 'Cost Inputs'!$I$196, "")</f>
        <v/>
      </c>
      <c r="G869" s="105" t="str">
        <f t="shared" si="489"/>
        <v/>
      </c>
      <c r="H869" s="17" t="str">
        <f>IF(AND(C869&lt;&gt;"", 'Cost Inputs'!$J$196&lt;&gt;""), 'Cost Inputs'!$J$196, "")</f>
        <v/>
      </c>
      <c r="I869" s="17" t="str">
        <f t="shared" si="487"/>
        <v/>
      </c>
      <c r="J869" s="17" t="str">
        <f>IF(AND(C869&lt;&gt;"",('Cost Inputs'!$I$196+'Cost Inputs'!$J$196+'Cost Inputs'!$K$196)&gt;0), 'Cost Inputs'!$I$196+'Cost Inputs'!$J$196+'Cost Inputs'!$K$196, "")</f>
        <v/>
      </c>
      <c r="K869" s="17" t="str">
        <f t="shared" si="488"/>
        <v/>
      </c>
      <c r="M869" s="106"/>
      <c r="R869" s="17" t="str">
        <f>IF(ISNUMBER($B842), IF($C869&lt;&gt;"", IF('Cost Inputs'!$L$196="Y", $E869, IF('Cost Inputs'!$L$196="N", IF(ISNUMBER('Cost Inputs'!$M$196), $E869, ""),"")),""),"")</f>
        <v/>
      </c>
      <c r="S869" s="17" t="str">
        <f>IF(ISNUMBER($B842), IF($C869&lt;&gt;"", IF('Cost Inputs'!$L$196="Y", $E869, IF('Cost Inputs'!$L$196="N", IF(ISNUMBER('Cost Inputs'!$M$196), $E869, ""),"")),""),"")</f>
        <v/>
      </c>
      <c r="T869" s="17" t="str">
        <f>IF(ISNUMBER($B842), IF($C869&lt;&gt;"", IF('Cost Inputs'!$L$196="Y", $E869, IF('Cost Inputs'!$L$196="N", IF(ISNUMBER('Cost Inputs'!$M$196), $E869, ""),"")),""),"")</f>
        <v/>
      </c>
      <c r="U869" s="17" t="str">
        <f>IF(ISNUMBER($B842), IF($C869&lt;&gt;"", IF('Cost Inputs'!$L$196="Y", $E869, IF('Cost Inputs'!$L$196="N", IF(ISNUMBER('Cost Inputs'!$M$196), $E869, ""),"")),""),"")</f>
        <v/>
      </c>
      <c r="V869" s="17" t="str">
        <f>IF(ISNUMBER($B842), IF($C869&lt;&gt;"", IF('Cost Inputs'!$L$196="Y", $E869, IF('Cost Inputs'!$L$196="N", IF(ISNUMBER('Cost Inputs'!$M$196), $E869, ""),"")),""),"")</f>
        <v/>
      </c>
      <c r="W869" s="17" t="str">
        <f>IF(ISNUMBER($B842), IF($C869&lt;&gt;"", IF('Cost Inputs'!$L$196="Y", $E869, IF('Cost Inputs'!$L$196="N", IF(ISNUMBER('Cost Inputs'!$M$196), $E869, ""),"")),""),"")</f>
        <v/>
      </c>
      <c r="X869" s="17" t="str">
        <f>IF(ISNUMBER($B842), IF($C869&lt;&gt;"", IF('Cost Inputs'!$L$196="Y", $E869, IF('Cost Inputs'!$L$196="N", IF(ISNUMBER('Cost Inputs'!$M$196), $E869, ""),"")),""),"")</f>
        <v/>
      </c>
      <c r="Y869" s="17" t="str">
        <f>IF(ISNUMBER($B842), IF($C869&lt;&gt;"", IF('Cost Inputs'!$L$196="Y", $E869, IF('Cost Inputs'!$L$196="N", IF(ISNUMBER('Cost Inputs'!$M$196), $E869, ""),"")),""),"")</f>
        <v/>
      </c>
      <c r="Z869" s="17" t="str">
        <f>IF(ISNUMBER($B842), IF($C869&lt;&gt;"", IF('Cost Inputs'!$L$196="Y", $E869, IF('Cost Inputs'!$L$196="N", IF(ISNUMBER('Cost Inputs'!$M$196), $E869, ""),"")),""),"")</f>
        <v/>
      </c>
      <c r="AA869" s="17" t="str">
        <f>IF(ISNUMBER($B842), IF($C869&lt;&gt;"", IF('Cost Inputs'!$L$196="Y", $E869, IF('Cost Inputs'!$L$196="N", IF(ISNUMBER('Cost Inputs'!$M$196), $E869, ""),"")),""),"")</f>
        <v/>
      </c>
    </row>
    <row r="870" spans="1:27" x14ac:dyDescent="0.25">
      <c r="A870" s="518"/>
      <c r="B870" s="504"/>
      <c r="C870" s="107" t="str">
        <f>IF(AND(ISNUMBER(B842), OR('Cost Inputs'!$H$197&lt;&gt;"", 'Cost Inputs'!$I$197&lt;&gt;"", 'Cost Inputs'!$J$197&lt;&gt;"")), _6_4_6, "")</f>
        <v/>
      </c>
      <c r="D870" s="93" t="str">
        <f>IF(AND(C870&lt;&gt;"", 'Cost Inputs'!$G$197&lt;&gt;""), 'Cost Inputs'!$G$197, "")</f>
        <v/>
      </c>
      <c r="E870" s="93" t="str">
        <f>IF(AND(C870&lt;&gt;"", 'Cost Inputs'!$H$197&lt;&gt;""), 'Cost Inputs'!$H$197, "")</f>
        <v/>
      </c>
      <c r="F870" s="93" t="str">
        <f>IF(AND(C870&lt;&gt;"", 'Cost Inputs'!$I$197&lt;&gt;""), 'Cost Inputs'!$I$197, "")</f>
        <v/>
      </c>
      <c r="G870" s="108" t="str">
        <f t="shared" si="489"/>
        <v/>
      </c>
      <c r="H870" s="93" t="str">
        <f>IF(AND(C870&lt;&gt;"", 'Cost Inputs'!$J$197&lt;&gt;""), 'Cost Inputs'!$J$16, "")</f>
        <v/>
      </c>
      <c r="I870" s="93" t="str">
        <f t="shared" si="487"/>
        <v/>
      </c>
      <c r="J870" s="93" t="str">
        <f>IF(AND(C870&lt;&gt;"",('Cost Inputs'!$I$197+'Cost Inputs'!$J$197+'Cost Inputs'!$K$197)&gt;0), 'Cost Inputs'!$I$197+'Cost Inputs'!$J$197+'Cost Inputs'!$K$197, "")</f>
        <v/>
      </c>
      <c r="K870" s="93" t="str">
        <f t="shared" si="488"/>
        <v/>
      </c>
      <c r="L870" s="93"/>
      <c r="M870" s="109"/>
      <c r="R870" s="93" t="str">
        <f>IF(ISNUMBER($B842), IF($C870&lt;&gt;"", IF('Cost Inputs'!$L$197="Y", $E870, IF('Cost Inputs'!$L$197="N", IF(ISNUMBER('Cost Inputs'!$M$197), $E870, ""),"")),""),"")</f>
        <v/>
      </c>
      <c r="S870" s="93" t="str">
        <f>IF(ISNUMBER($B842), IF($C870&lt;&gt;"", IF('Cost Inputs'!$L$197="Y", $E870, IF('Cost Inputs'!$L$197="N", IF(ISNUMBER('Cost Inputs'!$M$197), $E870, ""),"")),""),"")</f>
        <v/>
      </c>
      <c r="T870" s="93" t="str">
        <f>IF(ISNUMBER($B842), IF($C870&lt;&gt;"", IF('Cost Inputs'!$L$197="Y", $E870, IF('Cost Inputs'!$L$197="N", IF(ISNUMBER('Cost Inputs'!$M$197), $E870, ""),"")),""),"")</f>
        <v/>
      </c>
      <c r="U870" s="93" t="str">
        <f>IF(ISNUMBER($B842), IF($C870&lt;&gt;"", IF('Cost Inputs'!$L$197="Y", $E870, IF('Cost Inputs'!$L$197="N", IF(ISNUMBER('Cost Inputs'!$M$197), $E870, ""),"")),""),"")</f>
        <v/>
      </c>
      <c r="V870" s="93" t="str">
        <f>IF(ISNUMBER($B842), IF($C870&lt;&gt;"", IF('Cost Inputs'!$L$197="Y", $E870, IF('Cost Inputs'!$L$197="N", IF(ISNUMBER('Cost Inputs'!$M$197), $E870, ""),"")),""),"")</f>
        <v/>
      </c>
      <c r="W870" s="93" t="str">
        <f>IF(ISNUMBER($B842), IF($C870&lt;&gt;"", IF('Cost Inputs'!$L$197="Y", $E870, IF('Cost Inputs'!$L$197="N", IF(ISNUMBER('Cost Inputs'!$M$197), $E870, ""),"")),""),"")</f>
        <v/>
      </c>
      <c r="X870" s="93" t="str">
        <f>IF(ISNUMBER($B842), IF($C870&lt;&gt;"", IF('Cost Inputs'!$L$197="Y", $E870, IF('Cost Inputs'!$L$197="N", IF(ISNUMBER('Cost Inputs'!$M$197), $E870, ""),"")),""),"")</f>
        <v/>
      </c>
      <c r="Y870" s="93" t="str">
        <f>IF(ISNUMBER($B842), IF($C870&lt;&gt;"", IF('Cost Inputs'!$L$197="Y", $E870, IF('Cost Inputs'!$L$197="N", IF(ISNUMBER('Cost Inputs'!$M$197), $E870, ""),"")),""),"")</f>
        <v/>
      </c>
      <c r="Z870" s="93" t="str">
        <f>IF(ISNUMBER($B842), IF($C870&lt;&gt;"", IF('Cost Inputs'!$L$197="Y", $E870, IF('Cost Inputs'!$L$197="N", IF(ISNUMBER('Cost Inputs'!$M$197), $E870, ""),"")),""),"")</f>
        <v/>
      </c>
      <c r="AA870" s="93" t="str">
        <f>IF(ISNUMBER($B842), IF($C870&lt;&gt;"", IF('Cost Inputs'!$L$197="Y", $E870, IF('Cost Inputs'!$L$197="N", IF(ISNUMBER('Cost Inputs'!$M$197), $E870, ""),"")),""),"")</f>
        <v/>
      </c>
    </row>
    <row r="871" spans="1:27" x14ac:dyDescent="0.25">
      <c r="A871" s="518"/>
      <c r="B871" s="504"/>
      <c r="C871" s="521" t="str">
        <f>IF(AND(B860&lt;&gt;"",ISNUMBER(B860),ISNUMBER(Stage4EvaluationBegins)),IF((INDEX(ProgramYearStage4,MATCH(Stage4EvaluationBegins,Years_in_Stage4,0)))=B860,_6_5_0,IF(AND(B860&lt;&gt;"",C849&lt;&gt;""),_6_5_0,IF(AND(B860&lt;&gt;"",ISNUMBER(B860),OR(Stage4EvaluationBegins=0,Stage4EvaluationBegins="")),"",""))),"")</f>
        <v/>
      </c>
      <c r="D871" s="94" t="str">
        <f>IF(AND(C871&lt;&gt;"", 'Cost Inputs'!$G$198&lt;&gt;""), 'Cost Inputs'!$G$198, "")</f>
        <v/>
      </c>
      <c r="E871" s="94" t="str">
        <f>IF(AND(C871&lt;&gt;"", 'Cost Inputs'!$H$198&lt;&gt;""), 'Cost Inputs'!$H$198, "")</f>
        <v/>
      </c>
      <c r="F871" s="492" t="str">
        <f>IF(AND(C871&lt;&gt;"", 'Cost Inputs'!$I$198&lt;&gt;""), 'Cost Inputs'!$I$198, "")</f>
        <v/>
      </c>
      <c r="G871" s="102" t="str">
        <f t="shared" si="489"/>
        <v/>
      </c>
      <c r="H871" s="492" t="str">
        <f>IF(AND(C871&lt;&gt;"", 'Cost Inputs'!$J$198&lt;&gt;""), 'Cost Inputs'!$J$198, "")</f>
        <v/>
      </c>
      <c r="I871" s="102" t="str">
        <f>IF($C871&lt;&gt;"",IF(AND($E871&lt;&gt;"",H871&lt;&gt;""), H871/$E871, 0),"")</f>
        <v/>
      </c>
      <c r="J871" s="492" t="str">
        <f>IF(AND(C871&lt;&gt;"",('Cost Inputs'!$I$198+'Cost Inputs'!$J$198+'Cost Inputs'!$K$198)&gt;0), 'Cost Inputs'!$I$198+'Cost Inputs'!$J$198+'Cost Inputs'!$K$198, "")</f>
        <v/>
      </c>
      <c r="K871" s="102" t="str">
        <f>IF($C871&lt;&gt;"",IF(AND($E871&lt;&gt;"",J871&lt;&gt;""), J871/$E871, 0),"")</f>
        <v/>
      </c>
      <c r="L871" s="94"/>
      <c r="M871" s="103"/>
      <c r="R871" s="492" t="str">
        <f>IF(ISNUMBER($B842), IF($C871&lt;&gt;"", IF('Cost Inputs'!$L$198="Y", $E871, IF('Cost Inputs'!$L$198="N", IF(ISNUMBER('Cost Inputs'!$M$198), $E871, ""),"")),""),"")</f>
        <v/>
      </c>
      <c r="S871" s="492" t="str">
        <f>IF(ISNUMBER($B842), IF($C871&lt;&gt;"", IF('Cost Inputs'!$L$198="Y", $E871, IF('Cost Inputs'!$L$198="N", IF(ISNUMBER('Cost Inputs'!$M$198), $E871, ""),"")),""),"")</f>
        <v/>
      </c>
      <c r="T871" s="492" t="str">
        <f>IF(ISNUMBER($B842), IF($C871&lt;&gt;"", IF('Cost Inputs'!$L$198="Y", $E871, IF('Cost Inputs'!$L$198="N", IF(ISNUMBER('Cost Inputs'!$M$198), $E871, ""),"")),""),"")</f>
        <v/>
      </c>
      <c r="U871" s="492" t="str">
        <f>IF(ISNUMBER($B842), IF($C871&lt;&gt;"", IF('Cost Inputs'!$L$198="Y", $E871, IF('Cost Inputs'!$L$198="N", IF(ISNUMBER('Cost Inputs'!$M$198), $E871, ""),"")),""),"")</f>
        <v/>
      </c>
      <c r="V871" s="492" t="str">
        <f>IF(ISNUMBER($B842), IF($C871&lt;&gt;"", IF('Cost Inputs'!$L$198="Y", $E871, IF('Cost Inputs'!$L$198="N", IF(ISNUMBER('Cost Inputs'!$M$198), $E871, ""),"")),""),"")</f>
        <v/>
      </c>
      <c r="W871" s="492" t="str">
        <f>IF(ISNUMBER($B842), IF($C871&lt;&gt;"", IF('Cost Inputs'!$L$198="Y", $E871, IF('Cost Inputs'!$L$198="N", IF(ISNUMBER('Cost Inputs'!$M$198), $E871, ""),"")),""),"")</f>
        <v/>
      </c>
      <c r="X871" s="492" t="str">
        <f>IF(ISNUMBER($B842), IF($C871&lt;&gt;"", IF('Cost Inputs'!$L$198="Y", $E871, IF('Cost Inputs'!$L$198="N", IF(ISNUMBER('Cost Inputs'!$M$198), $E871, ""),"")),""),"")</f>
        <v/>
      </c>
      <c r="Y871" s="492" t="str">
        <f>IF(ISNUMBER($B842), IF($C871&lt;&gt;"", IF('Cost Inputs'!$L$198="Y", $E871, IF('Cost Inputs'!$L$198="N", IF(ISNUMBER('Cost Inputs'!$M$198), $E871, ""),"")),""),"")</f>
        <v/>
      </c>
      <c r="Z871" s="492" t="str">
        <f>IF(ISNUMBER($B842), IF($C871&lt;&gt;"", IF('Cost Inputs'!$L$198="Y", $E871, IF('Cost Inputs'!$L$198="N", IF(ISNUMBER('Cost Inputs'!$M$198), $E871, ""),"")),""),"")</f>
        <v/>
      </c>
      <c r="AA871" s="492" t="str">
        <f>IF(ISNUMBER($B842), IF($C871&lt;&gt;"", IF('Cost Inputs'!$L$198="Y", $E871, IF('Cost Inputs'!$L$198="N", IF(ISNUMBER('Cost Inputs'!$M$198), $E871, ""),"")),""),"")</f>
        <v/>
      </c>
    </row>
    <row r="872" spans="1:27" x14ac:dyDescent="0.25">
      <c r="A872" s="518"/>
      <c r="B872" s="504"/>
      <c r="C872" s="521"/>
      <c r="D872" s="94" t="str">
        <f>IF(AND(C871&lt;&gt;"", 'Cost Inputs'!$G$199&lt;&gt;""), 'Cost Inputs'!$G$199, "")</f>
        <v/>
      </c>
      <c r="E872" s="94" t="str">
        <f>IF(AND(C871&lt;&gt;"", 'Cost Inputs'!$H$199&lt;&gt;""), 'Cost Inputs'!$H$199, "")</f>
        <v/>
      </c>
      <c r="F872" s="492"/>
      <c r="G872" s="102" t="str">
        <f t="shared" si="489"/>
        <v/>
      </c>
      <c r="H872" s="492"/>
      <c r="I872" s="102" t="str">
        <f>IF($C871&lt;&gt;"", IF(AND($E872&lt;&gt;"", H871&lt;&gt;""), H871/($E871*$E872), 0), "")</f>
        <v/>
      </c>
      <c r="J872" s="492" t="str">
        <f>IF(AND(C872&lt;&gt;"",('Cost Inputs'!$I$86+'Cost Inputs'!$J$86+'Cost Inputs'!$K$86)&gt;0), 'Cost Inputs'!$I$86+'Cost Inputs'!$J$86+'Cost Inputs'!$K$86, "")</f>
        <v/>
      </c>
      <c r="K872" s="102" t="str">
        <f>IF($C871&lt;&gt;"", IF(AND($E872&lt;&gt;"", J871&lt;&gt;""), J871/($E871*$E872), 0), "")</f>
        <v/>
      </c>
      <c r="L872" s="94"/>
      <c r="M872" s="103"/>
      <c r="R872" s="492" t="str">
        <f>IF(ISNUMBER($B$776), IF($C872&lt;&gt;"", IF('Cost Inputs'!$L265="Y", $E872, IF('Cost Inputs'!$L265="N", IF(ISNUMBER('Cost Inputs'!$M265), $E872, ""),"")),""),"")</f>
        <v/>
      </c>
      <c r="S872" s="492" t="str">
        <f>IF(ISNUMBER($B$776), IF($C872&lt;&gt;"", IF('Cost Inputs'!$L265="Y", $E872, IF('Cost Inputs'!$L265="N", IF(ISNUMBER('Cost Inputs'!$M265), $E872, ""),"")),""),"")</f>
        <v/>
      </c>
      <c r="T872" s="492" t="str">
        <f>IF(ISNUMBER($B$776), IF($C872&lt;&gt;"", IF('Cost Inputs'!$L265="Y", $E872, IF('Cost Inputs'!$L265="N", IF(ISNUMBER('Cost Inputs'!$M265), $E872, ""),"")),""),"")</f>
        <v/>
      </c>
      <c r="U872" s="492" t="str">
        <f>IF(ISNUMBER($B$776), IF($C872&lt;&gt;"", IF('Cost Inputs'!$L265="Y", $E872, IF('Cost Inputs'!$L265="N", IF(ISNUMBER('Cost Inputs'!$M265), $E872, ""),"")),""),"")</f>
        <v/>
      </c>
      <c r="V872" s="492" t="str">
        <f>IF(ISNUMBER($B$776), IF($C872&lt;&gt;"", IF('Cost Inputs'!$L265="Y", $E872, IF('Cost Inputs'!$L265="N", IF(ISNUMBER('Cost Inputs'!$M265), $E872, ""),"")),""),"")</f>
        <v/>
      </c>
      <c r="W872" s="492" t="str">
        <f>IF(ISNUMBER($B$776), IF($C872&lt;&gt;"", IF('Cost Inputs'!$L265="Y", $E872, IF('Cost Inputs'!$L265="N", IF(ISNUMBER('Cost Inputs'!$M265), $E872, ""),"")),""),"")</f>
        <v/>
      </c>
      <c r="X872" s="492" t="str">
        <f>IF(ISNUMBER($B$776), IF($C872&lt;&gt;"", IF('Cost Inputs'!$L265="Y", $E872, IF('Cost Inputs'!$L265="N", IF(ISNUMBER('Cost Inputs'!$M265), $E872, ""),"")),""),"")</f>
        <v/>
      </c>
      <c r="Y872" s="492" t="str">
        <f>IF(ISNUMBER($B$776), IF($C872&lt;&gt;"", IF('Cost Inputs'!$L265="Y", $E872, IF('Cost Inputs'!$L265="N", IF(ISNUMBER('Cost Inputs'!$M265), $E872, ""),"")),""),"")</f>
        <v/>
      </c>
      <c r="Z872" s="492" t="str">
        <f>IF(ISNUMBER($B$776), IF($C872&lt;&gt;"", IF('Cost Inputs'!$L265="Y", $E872, IF('Cost Inputs'!$L265="N", IF(ISNUMBER('Cost Inputs'!$M265), $E872, ""),"")),""),"")</f>
        <v/>
      </c>
      <c r="AA872" s="492" t="str">
        <f>IF(ISNUMBER($B$776), IF($C872&lt;&gt;"", IF('Cost Inputs'!$L265="Y", $E872, IF('Cost Inputs'!$L265="N", IF(ISNUMBER('Cost Inputs'!$M265), $E872, ""),"")),""),"")</f>
        <v/>
      </c>
    </row>
    <row r="873" spans="1:27" x14ac:dyDescent="0.25">
      <c r="A873" s="518"/>
      <c r="B873" s="504"/>
      <c r="C873" s="376" t="str">
        <f>IF(AND(ISNUMBER(B842), C871&lt;&gt;"", OR('Cost Inputs'!$H$200&lt;&gt;"", 'Cost Inputs'!$I$200&lt;&gt;"", 'Cost Inputs'!$J$200&lt;&gt;"")), _6_5_1, "")</f>
        <v/>
      </c>
      <c r="D873" s="17" t="str">
        <f>IF(AND(C873&lt;&gt;"", 'Cost Inputs'!$G$200&lt;&gt;""), 'Cost Inputs'!$G$200, "")</f>
        <v/>
      </c>
      <c r="E873" s="17" t="str">
        <f>IF(AND(C873&lt;&gt;"", 'Cost Inputs'!$H$200&lt;&gt;""), 'Cost Inputs'!$H$200, "")</f>
        <v/>
      </c>
      <c r="F873" s="493" t="str">
        <f>IF(AND(C873&lt;&gt;"", 'Cost Inputs'!$I$200&lt;&gt;""), 'Cost Inputs'!$I$200, "")</f>
        <v/>
      </c>
      <c r="G873" s="105" t="str">
        <f t="shared" si="489"/>
        <v/>
      </c>
      <c r="H873" s="493" t="str">
        <f>IF(AND(C873&lt;&gt;"", 'Cost Inputs'!$J$200&lt;&gt;""), 'Cost Inputs'!$J$200, "")</f>
        <v/>
      </c>
      <c r="I873" s="105" t="str">
        <f>IF($C873&lt;&gt;"",IF(AND($E873&lt;&gt;"",H873&lt;&gt;""), H873/$E873, 0),"")</f>
        <v/>
      </c>
      <c r="J873" s="493" t="str">
        <f>IF(AND(C873&lt;&gt;"",('Cost Inputs'!$I$200+'Cost Inputs'!$J$200+'Cost Inputs'!$K$200)&gt;0), 'Cost Inputs'!$I$200+'Cost Inputs'!$J$200+'Cost Inputs'!$K$200, "")</f>
        <v/>
      </c>
      <c r="K873" s="105" t="str">
        <f>IF($C873&lt;&gt;"",IF(AND($E873&lt;&gt;"",J873&lt;&gt;""), J873/$E873, 0),"")</f>
        <v/>
      </c>
      <c r="M873" s="106"/>
      <c r="R873" s="493" t="str">
        <f>IF(ISNUMBER($B842), IF($C873&lt;&gt;"", IF('Cost Inputs'!$L$200="Y", $E873, IF('Cost Inputs'!$L$200="N", IF(ISNUMBER('Cost Inputs'!$M$200), $E873, ""),"")),""),"")</f>
        <v/>
      </c>
      <c r="S873" s="493" t="str">
        <f>IF(ISNUMBER($B842), IF($C873&lt;&gt;"", IF('Cost Inputs'!$L$200="Y", $E873, IF('Cost Inputs'!$L$200="N", IF(ISNUMBER('Cost Inputs'!$M$200), $E873, ""),"")),""),"")</f>
        <v/>
      </c>
      <c r="T873" s="493" t="str">
        <f>IF(ISNUMBER($B842), IF($C873&lt;&gt;"", IF('Cost Inputs'!$L$200="Y", $E873, IF('Cost Inputs'!$L$200="N", IF(ISNUMBER('Cost Inputs'!$M$200), $E873, ""),"")),""),"")</f>
        <v/>
      </c>
      <c r="U873" s="493" t="str">
        <f>IF(ISNUMBER($B842), IF($C873&lt;&gt;"", IF('Cost Inputs'!$L$200="Y", $E873, IF('Cost Inputs'!$L$200="N", IF(ISNUMBER('Cost Inputs'!$M$200), $E873, ""),"")),""),"")</f>
        <v/>
      </c>
      <c r="V873" s="493" t="str">
        <f>IF(ISNUMBER($B842), IF($C873&lt;&gt;"", IF('Cost Inputs'!$L$200="Y", $E873, IF('Cost Inputs'!$L$200="N", IF(ISNUMBER('Cost Inputs'!$M$200), $E873, ""),"")),""),"")</f>
        <v/>
      </c>
      <c r="W873" s="493" t="str">
        <f>IF(ISNUMBER($B842), IF($C873&lt;&gt;"", IF('Cost Inputs'!$L$200="Y", $E873, IF('Cost Inputs'!$L$200="N", IF(ISNUMBER('Cost Inputs'!$M$200), $E873, ""),"")),""),"")</f>
        <v/>
      </c>
      <c r="X873" s="493" t="str">
        <f>IF(ISNUMBER($B842), IF($C873&lt;&gt;"", IF('Cost Inputs'!$L$200="Y", $E873, IF('Cost Inputs'!$L$200="N", IF(ISNUMBER('Cost Inputs'!$M$200), $E873, ""),"")),""),"")</f>
        <v/>
      </c>
      <c r="Y873" s="493" t="str">
        <f>IF(ISNUMBER($B842), IF($C873&lt;&gt;"", IF('Cost Inputs'!$L$200="Y", $E873, IF('Cost Inputs'!$L$200="N", IF(ISNUMBER('Cost Inputs'!$M$200), $E873, ""),"")),""),"")</f>
        <v/>
      </c>
      <c r="Z873" s="493" t="str">
        <f>IF(ISNUMBER($B842), IF($C873&lt;&gt;"", IF('Cost Inputs'!$L$200="Y", $E873, IF('Cost Inputs'!$L$200="N", IF(ISNUMBER('Cost Inputs'!$M$200), $E873, ""),"")),""),"")</f>
        <v/>
      </c>
      <c r="AA873" s="493" t="str">
        <f>IF(ISNUMBER($B842), IF($C873&lt;&gt;"", IF('Cost Inputs'!$L$200="Y", $E873, IF('Cost Inputs'!$L$200="N", IF(ISNUMBER('Cost Inputs'!$M$200), $E873, ""),"")),""),"")</f>
        <v/>
      </c>
    </row>
    <row r="874" spans="1:27" x14ac:dyDescent="0.25">
      <c r="A874" s="518"/>
      <c r="B874" s="504"/>
      <c r="C874" s="376" t="str">
        <f>IF(AND(ISNUMBER(B856), OR('Cost Inputs'!$H$85&lt;&gt;"", 'Cost Inputs'!$I$85&lt;&gt;"", 'Cost Inputs'!$J$85&lt;&gt;"")), _3_5_1, "")</f>
        <v/>
      </c>
      <c r="D874" s="17" t="str">
        <f>IF(AND(C873&lt;&gt;"", 'Cost Inputs'!$G$201&lt;&gt;""), 'Cost Inputs'!$G$201, "")</f>
        <v/>
      </c>
      <c r="E874" s="17" t="str">
        <f>IF(AND(C873&lt;&gt;"", 'Cost Inputs'!$H$201&lt;&gt;""), 'Cost Inputs'!$H$201, "")</f>
        <v/>
      </c>
      <c r="F874" s="493"/>
      <c r="G874" s="105" t="str">
        <f t="shared" si="489"/>
        <v/>
      </c>
      <c r="H874" s="493"/>
      <c r="I874" s="105" t="str">
        <f>IF($C873&lt;&gt;"", IF(AND($E874&lt;&gt;"", H873&lt;&gt;""), H873/($E873*$E874), 0), "")</f>
        <v/>
      </c>
      <c r="J874" s="493" t="str">
        <f>IF(AND(C874&lt;&gt;"",('Cost Inputs'!$I$86+'Cost Inputs'!$J$86+'Cost Inputs'!$K$86)&gt;0), 'Cost Inputs'!$I$86+'Cost Inputs'!$J$86+'Cost Inputs'!$K$86, "")</f>
        <v/>
      </c>
      <c r="K874" s="105" t="str">
        <f>IF($C873&lt;&gt;"", IF(AND($E874&lt;&gt;"", J873&lt;&gt;""), J873/($E873*$E874), 0), "")</f>
        <v/>
      </c>
      <c r="M874" s="106"/>
      <c r="R874" s="493" t="str">
        <f>IF(ISNUMBER($B$776), IF($C874&lt;&gt;"", IF('Cost Inputs'!$L267="Y", $E874, IF('Cost Inputs'!$L267="N", IF(ISNUMBER('Cost Inputs'!$M267), $E874, ""),"")),""),"")</f>
        <v/>
      </c>
      <c r="S874" s="493" t="str">
        <f>IF(ISNUMBER($B$776), IF($C874&lt;&gt;"", IF('Cost Inputs'!$L267="Y", $E874, IF('Cost Inputs'!$L267="N", IF(ISNUMBER('Cost Inputs'!$M267), $E874, ""),"")),""),"")</f>
        <v/>
      </c>
      <c r="T874" s="493" t="str">
        <f>IF(ISNUMBER($B$776), IF($C874&lt;&gt;"", IF('Cost Inputs'!$L267="Y", $E874, IF('Cost Inputs'!$L267="N", IF(ISNUMBER('Cost Inputs'!$M267), $E874, ""),"")),""),"")</f>
        <v/>
      </c>
      <c r="U874" s="493" t="str">
        <f>IF(ISNUMBER($B$776), IF($C874&lt;&gt;"", IF('Cost Inputs'!$L267="Y", $E874, IF('Cost Inputs'!$L267="N", IF(ISNUMBER('Cost Inputs'!$M267), $E874, ""),"")),""),"")</f>
        <v/>
      </c>
      <c r="V874" s="493" t="str">
        <f>IF(ISNUMBER($B$776), IF($C874&lt;&gt;"", IF('Cost Inputs'!$L267="Y", $E874, IF('Cost Inputs'!$L267="N", IF(ISNUMBER('Cost Inputs'!$M267), $E874, ""),"")),""),"")</f>
        <v/>
      </c>
      <c r="W874" s="493" t="str">
        <f>IF(ISNUMBER($B$776), IF($C874&lt;&gt;"", IF('Cost Inputs'!$L267="Y", $E874, IF('Cost Inputs'!$L267="N", IF(ISNUMBER('Cost Inputs'!$M267), $E874, ""),"")),""),"")</f>
        <v/>
      </c>
      <c r="X874" s="493" t="str">
        <f>IF(ISNUMBER($B$776), IF($C874&lt;&gt;"", IF('Cost Inputs'!$L267="Y", $E874, IF('Cost Inputs'!$L267="N", IF(ISNUMBER('Cost Inputs'!$M267), $E874, ""),"")),""),"")</f>
        <v/>
      </c>
      <c r="Y874" s="493" t="str">
        <f>IF(ISNUMBER($B$776), IF($C874&lt;&gt;"", IF('Cost Inputs'!$L267="Y", $E874, IF('Cost Inputs'!$L267="N", IF(ISNUMBER('Cost Inputs'!$M267), $E874, ""),"")),""),"")</f>
        <v/>
      </c>
      <c r="Z874" s="493" t="str">
        <f>IF(ISNUMBER($B$776), IF($C874&lt;&gt;"", IF('Cost Inputs'!$L267="Y", $E874, IF('Cost Inputs'!$L267="N", IF(ISNUMBER('Cost Inputs'!$M267), $E874, ""),"")),""),"")</f>
        <v/>
      </c>
      <c r="AA874" s="493" t="str">
        <f>IF(ISNUMBER($B$776), IF($C874&lt;&gt;"", IF('Cost Inputs'!$L267="Y", $E874, IF('Cost Inputs'!$L267="N", IF(ISNUMBER('Cost Inputs'!$M267), $E874, ""),"")),""),"")</f>
        <v/>
      </c>
    </row>
    <row r="875" spans="1:27" x14ac:dyDescent="0.25">
      <c r="A875" s="518"/>
      <c r="B875" s="504"/>
      <c r="C875" s="107" t="str">
        <f>IF(AND(ISNUMBER(B842), C871&lt;&gt;"", OR('Cost Inputs'!$H$202&lt;&gt;"", 'Cost Inputs'!$I$202&lt;&gt;"", 'Cost Inputs'!$J$202&lt;&gt;"")), _6_5_2, "")</f>
        <v/>
      </c>
      <c r="D875" s="93" t="str">
        <f>IF(AND(C875&lt;&gt;"", 'Cost Inputs'!$G$202&lt;&gt;""), 'Cost Inputs'!$G$202, "")</f>
        <v/>
      </c>
      <c r="E875" s="93" t="str">
        <f>IF(AND(C875&lt;&gt;"", 'Cost Inputs'!$H$202&lt;&gt;""), 'Cost Inputs'!$H$202, "")</f>
        <v/>
      </c>
      <c r="F875" s="93" t="str">
        <f>IF(AND(C875&lt;&gt;"", 'Cost Inputs'!$I$202&lt;&gt;""), 'Cost Inputs'!$I$202, "")</f>
        <v/>
      </c>
      <c r="G875" s="108" t="str">
        <f t="shared" si="489"/>
        <v/>
      </c>
      <c r="H875" s="93" t="str">
        <f>IF(AND(C875&lt;&gt;"", 'Cost Inputs'!$J$202&lt;&gt;""), 'Cost Inputs'!$J$202, "")</f>
        <v/>
      </c>
      <c r="I875" s="93" t="str">
        <f>IF($C875&lt;&gt;"", IF(AND($E875&lt;&gt;"", H875&lt;&gt;""), H875/$E875, 0),"")</f>
        <v/>
      </c>
      <c r="J875" s="93" t="str">
        <f>IF(AND(C875&lt;&gt;"",('Cost Inputs'!$I$202+'Cost Inputs'!$J$202+'Cost Inputs'!$K$202)&gt;0), 'Cost Inputs'!$I$202+'Cost Inputs'!$J$202+'Cost Inputs'!$K$202, "")</f>
        <v/>
      </c>
      <c r="K875" s="93" t="str">
        <f>IF($C875&lt;&gt;"", IF(AND($E875&lt;&gt;"", J875&lt;&gt;""), J875/$E875, 0),"")</f>
        <v/>
      </c>
      <c r="L875" s="93"/>
      <c r="M875" s="109"/>
      <c r="R875" s="93" t="str">
        <f>IF(ISNUMBER($B842), IF($C875&lt;&gt;"", IF('Cost Inputs'!$L$202="Y", $E875, IF('Cost Inputs'!$L$202="N", IF(ISNUMBER('Cost Inputs'!$M$202), $E875, ""),"")),""),"")</f>
        <v/>
      </c>
      <c r="S875" s="93" t="str">
        <f>IF(ISNUMBER($B842), IF($C875&lt;&gt;"", IF('Cost Inputs'!$L$202="Y", $E875, IF('Cost Inputs'!$L$202="N", IF(ISNUMBER('Cost Inputs'!$M$202), $E875, ""),"")),""),"")</f>
        <v/>
      </c>
      <c r="T875" s="93" t="str">
        <f>IF(ISNUMBER($B842), IF($C875&lt;&gt;"", IF('Cost Inputs'!$L$202="Y", $E875, IF('Cost Inputs'!$L$202="N", IF(ISNUMBER('Cost Inputs'!$M$202), $E875, ""),"")),""),"")</f>
        <v/>
      </c>
      <c r="U875" s="93" t="str">
        <f>IF(ISNUMBER($B842), IF($C875&lt;&gt;"", IF('Cost Inputs'!$L$202="Y", $E875, IF('Cost Inputs'!$L$202="N", IF(ISNUMBER('Cost Inputs'!$M$202), $E875, ""),"")),""),"")</f>
        <v/>
      </c>
      <c r="V875" s="93" t="str">
        <f>IF(ISNUMBER($B842), IF($C875&lt;&gt;"", IF('Cost Inputs'!$L$202="Y", $E875, IF('Cost Inputs'!$L$202="N", IF(ISNUMBER('Cost Inputs'!$M$202), $E875, ""),"")),""),"")</f>
        <v/>
      </c>
      <c r="W875" s="93" t="str">
        <f>IF(ISNUMBER($B842), IF($C875&lt;&gt;"", IF('Cost Inputs'!$L$202="Y", $E875, IF('Cost Inputs'!$L$202="N", IF(ISNUMBER('Cost Inputs'!$M$202), $E875, ""),"")),""),"")</f>
        <v/>
      </c>
      <c r="X875" s="93" t="str">
        <f>IF(ISNUMBER($B842), IF($C875&lt;&gt;"", IF('Cost Inputs'!$L$202="Y", $E875, IF('Cost Inputs'!$L$202="N", IF(ISNUMBER('Cost Inputs'!$M$202), $E875, ""),"")),""),"")</f>
        <v/>
      </c>
      <c r="Y875" s="93" t="str">
        <f>IF(ISNUMBER($B842), IF($C875&lt;&gt;"", IF('Cost Inputs'!$L$202="Y", $E875, IF('Cost Inputs'!$L$202="N", IF(ISNUMBER('Cost Inputs'!$M$202), $E875, ""),"")),""),"")</f>
        <v/>
      </c>
      <c r="Z875" s="93" t="str">
        <f>IF(ISNUMBER($B842), IF($C875&lt;&gt;"", IF('Cost Inputs'!$L$202="Y", $E875, IF('Cost Inputs'!$L$202="N", IF(ISNUMBER('Cost Inputs'!$M$202), $E875, ""),"")),""),"")</f>
        <v/>
      </c>
      <c r="AA875" s="93" t="str">
        <f>IF(ISNUMBER($B842), IF($C875&lt;&gt;"", IF('Cost Inputs'!$L$202="Y", $E875, IF('Cost Inputs'!$L$202="N", IF(ISNUMBER('Cost Inputs'!$M$202), $E875, ""),"")),""),"")</f>
        <v/>
      </c>
    </row>
    <row r="876" spans="1:27" x14ac:dyDescent="0.25">
      <c r="A876" s="518"/>
      <c r="B876" s="504"/>
      <c r="C876" s="104" t="str">
        <f>IF(AND(ISNUMBER(B842), C871&lt;&gt;"", OR('Cost Inputs'!$H$203&lt;&gt;"", 'Cost Inputs'!$I$203&lt;&gt;"", 'Cost Inputs'!$J$203&lt;&gt;"")), _6_5_3, "")</f>
        <v/>
      </c>
      <c r="D876" s="17" t="str">
        <f>IF(AND(C876&lt;&gt;"", 'Cost Inputs'!$G$203&lt;&gt;""), 'Cost Inputs'!$G$203, "")</f>
        <v/>
      </c>
      <c r="E876" s="17" t="str">
        <f>IF(AND(C876&lt;&gt;"", 'Cost Inputs'!$H$203&lt;&gt;""), 'Cost Inputs'!$H$203, "")</f>
        <v/>
      </c>
      <c r="F876" s="17" t="str">
        <f>IF(AND(C876&lt;&gt;"", 'Cost Inputs'!$I$203&lt;&gt;""), 'Cost Inputs'!$I$203, "")</f>
        <v/>
      </c>
      <c r="G876" s="105" t="str">
        <f t="shared" si="489"/>
        <v/>
      </c>
      <c r="H876" s="17" t="str">
        <f>IF(AND(C876&lt;&gt;"", 'Cost Inputs'!$J$203&lt;&gt;""), 'Cost Inputs'!$J$203, "")</f>
        <v/>
      </c>
      <c r="I876" s="17" t="str">
        <f>IF($C876&lt;&gt;"", IF(AND($E876&lt;&gt;"", H876&lt;&gt;""), H876/$E876, 0),"")</f>
        <v/>
      </c>
      <c r="J876" s="17" t="str">
        <f>IF(AND(C876&lt;&gt;"",('Cost Inputs'!$I$203+'Cost Inputs'!$J$203+'Cost Inputs'!$K$203)&gt;0), 'Cost Inputs'!$I$203+'Cost Inputs'!$J$203+'Cost Inputs'!$K$203, "")</f>
        <v/>
      </c>
      <c r="K876" s="17" t="str">
        <f>IF($C876&lt;&gt;"", IF(AND($E876&lt;&gt;"", J876&lt;&gt;""), J876/$E876, 0),"")</f>
        <v/>
      </c>
      <c r="M876" s="106"/>
      <c r="R876" s="17" t="str">
        <f>IF(ISNUMBER($B842), IF($C876&lt;&gt;"", IF('Cost Inputs'!$L$203="Y", $E876, IF('Cost Inputs'!$L$203="N", IF(ISNUMBER('Cost Inputs'!$M$203), $E876, ""),"")),""),"")</f>
        <v/>
      </c>
      <c r="S876" s="17" t="str">
        <f>IF(ISNUMBER($B842), IF($C876&lt;&gt;"", IF('Cost Inputs'!$L$203="Y", $E876, IF('Cost Inputs'!$L$203="N", IF(ISNUMBER('Cost Inputs'!$M$203), $E876, ""),"")),""),"")</f>
        <v/>
      </c>
      <c r="T876" s="17" t="str">
        <f>IF(ISNUMBER($B842), IF($C876&lt;&gt;"", IF('Cost Inputs'!$L$203="Y", $E876, IF('Cost Inputs'!$L$203="N", IF(ISNUMBER('Cost Inputs'!$M$203), $E876, ""),"")),""),"")</f>
        <v/>
      </c>
      <c r="U876" s="17" t="str">
        <f>IF(ISNUMBER($B842), IF($C876&lt;&gt;"", IF('Cost Inputs'!$L$203="Y", $E876, IF('Cost Inputs'!$L$203="N", IF(ISNUMBER('Cost Inputs'!$M$203), $E876, ""),"")),""),"")</f>
        <v/>
      </c>
      <c r="V876" s="17" t="str">
        <f>IF(ISNUMBER($B842), IF($C876&lt;&gt;"", IF('Cost Inputs'!$L$203="Y", $E876, IF('Cost Inputs'!$L$203="N", IF(ISNUMBER('Cost Inputs'!$M$203), $E876, ""),"")),""),"")</f>
        <v/>
      </c>
      <c r="W876" s="17" t="str">
        <f>IF(ISNUMBER($B842), IF($C876&lt;&gt;"", IF('Cost Inputs'!$L$203="Y", $E876, IF('Cost Inputs'!$L$203="N", IF(ISNUMBER('Cost Inputs'!$M$203), $E876, ""),"")),""),"")</f>
        <v/>
      </c>
      <c r="X876" s="17" t="str">
        <f>IF(ISNUMBER($B842), IF($C876&lt;&gt;"", IF('Cost Inputs'!$L$203="Y", $E876, IF('Cost Inputs'!$L$203="N", IF(ISNUMBER('Cost Inputs'!$M$203), $E876, ""),"")),""),"")</f>
        <v/>
      </c>
      <c r="Y876" s="17" t="str">
        <f>IF(ISNUMBER($B842), IF($C876&lt;&gt;"", IF('Cost Inputs'!$L$203="Y", $E876, IF('Cost Inputs'!$L$203="N", IF(ISNUMBER('Cost Inputs'!$M$203), $E876, ""),"")),""),"")</f>
        <v/>
      </c>
      <c r="Z876" s="17" t="str">
        <f>IF(ISNUMBER($B842), IF($C876&lt;&gt;"", IF('Cost Inputs'!$L$203="Y", $E876, IF('Cost Inputs'!$L$203="N", IF(ISNUMBER('Cost Inputs'!$M$203), $E876, ""),"")),""),"")</f>
        <v/>
      </c>
      <c r="AA876" s="17" t="str">
        <f>IF(ISNUMBER($B842), IF($C876&lt;&gt;"", IF('Cost Inputs'!$L$203="Y", $E876, IF('Cost Inputs'!$L$203="N", IF(ISNUMBER('Cost Inputs'!$M$203), $E876, ""),"")),""),"")</f>
        <v/>
      </c>
    </row>
    <row r="877" spans="1:27" x14ac:dyDescent="0.25">
      <c r="A877" s="518"/>
      <c r="B877" s="504"/>
      <c r="C877" s="107" t="str">
        <f>IF(AND(ISNUMBER(B842), C871&lt;&gt;"", OR('Cost Inputs'!$H$204&lt;&gt;"", 'Cost Inputs'!$I$204&lt;&gt;"", 'Cost Inputs'!$J$204&lt;&gt;"")), _6_5_4, "")</f>
        <v/>
      </c>
      <c r="D877" s="93" t="str">
        <f>IF(AND(C877&lt;&gt;"", 'Cost Inputs'!$G$204&lt;&gt;""), 'Cost Inputs'!$G$204, "")</f>
        <v/>
      </c>
      <c r="E877" s="93" t="str">
        <f>IF(AND(C877&lt;&gt;"", 'Cost Inputs'!$H$204&lt;&gt;""), 'Cost Inputs'!$H$204, "")</f>
        <v/>
      </c>
      <c r="F877" s="93" t="str">
        <f>IF(AND(C877&lt;&gt;"", 'Cost Inputs'!$I$204&lt;&gt;""), 'Cost Inputs'!$I$204, "")</f>
        <v/>
      </c>
      <c r="G877" s="108" t="str">
        <f t="shared" si="489"/>
        <v/>
      </c>
      <c r="H877" s="93" t="str">
        <f>IF(AND(C877&lt;&gt;"", 'Cost Inputs'!$J$204&lt;&gt;""), 'Cost Inputs'!$J$204, "")</f>
        <v/>
      </c>
      <c r="I877" s="93" t="str">
        <f>IF($C877&lt;&gt;"", IF(AND($E877&lt;&gt;"", H877&lt;&gt;""), H877/$E877, 0),"")</f>
        <v/>
      </c>
      <c r="J877" s="93" t="str">
        <f>IF(AND(C877&lt;&gt;"",('Cost Inputs'!$I$204+'Cost Inputs'!$J$204+'Cost Inputs'!$K$204)&gt;0), 'Cost Inputs'!$I$204+'Cost Inputs'!$J$204+'Cost Inputs'!$K$204, "")</f>
        <v/>
      </c>
      <c r="K877" s="93" t="str">
        <f>IF($C877&lt;&gt;"", IF(AND($E877&lt;&gt;"", J877&lt;&gt;""), J877/$E877, 0),"")</f>
        <v/>
      </c>
      <c r="L877" s="93"/>
      <c r="M877" s="109"/>
      <c r="R877" s="93" t="str">
        <f>IF(ISNUMBER($B842), IF($C877&lt;&gt;"", IF('Cost Inputs'!$L$204="Y", $E877, IF('Cost Inputs'!$L$204="N", IF(ISNUMBER('Cost Inputs'!$M$204), $E877, ""),"")),""),"")</f>
        <v/>
      </c>
      <c r="S877" s="93" t="str">
        <f>IF(ISNUMBER($B842), IF($C877&lt;&gt;"", IF('Cost Inputs'!$L$204="Y", $E877, IF('Cost Inputs'!$L$204="N", IF(ISNUMBER('Cost Inputs'!$M$204), $E877, ""),"")),""),"")</f>
        <v/>
      </c>
      <c r="T877" s="93" t="str">
        <f>IF(ISNUMBER($B842), IF($C877&lt;&gt;"", IF('Cost Inputs'!$L$204="Y", $E877, IF('Cost Inputs'!$L$204="N", IF(ISNUMBER('Cost Inputs'!$M$204), $E877, ""),"")),""),"")</f>
        <v/>
      </c>
      <c r="U877" s="93" t="str">
        <f>IF(ISNUMBER($B842), IF($C877&lt;&gt;"", IF('Cost Inputs'!$L$204="Y", $E877, IF('Cost Inputs'!$L$204="N", IF(ISNUMBER('Cost Inputs'!$M$204), $E877, ""),"")),""),"")</f>
        <v/>
      </c>
      <c r="V877" s="93" t="str">
        <f>IF(ISNUMBER($B842), IF($C877&lt;&gt;"", IF('Cost Inputs'!$L$204="Y", $E877, IF('Cost Inputs'!$L$204="N", IF(ISNUMBER('Cost Inputs'!$M$204), $E877, ""),"")),""),"")</f>
        <v/>
      </c>
      <c r="W877" s="93" t="str">
        <f>IF(ISNUMBER($B842), IF($C877&lt;&gt;"", IF('Cost Inputs'!$L$204="Y", $E877, IF('Cost Inputs'!$L$204="N", IF(ISNUMBER('Cost Inputs'!$M$204), $E877, ""),"")),""),"")</f>
        <v/>
      </c>
      <c r="X877" s="93" t="str">
        <f>IF(ISNUMBER($B842), IF($C877&lt;&gt;"", IF('Cost Inputs'!$L$204="Y", $E877, IF('Cost Inputs'!$L$204="N", IF(ISNUMBER('Cost Inputs'!$M$204), $E877, ""),"")),""),"")</f>
        <v/>
      </c>
      <c r="Y877" s="93" t="str">
        <f>IF(ISNUMBER($B842), IF($C877&lt;&gt;"", IF('Cost Inputs'!$L$204="Y", $E877, IF('Cost Inputs'!$L$204="N", IF(ISNUMBER('Cost Inputs'!$M$204), $E877, ""),"")),""),"")</f>
        <v/>
      </c>
      <c r="Z877" s="93" t="str">
        <f>IF(ISNUMBER($B842), IF($C877&lt;&gt;"", IF('Cost Inputs'!$L$204="Y", $E877, IF('Cost Inputs'!$L$204="N", IF(ISNUMBER('Cost Inputs'!$M$204), $E877, ""),"")),""),"")</f>
        <v/>
      </c>
      <c r="AA877" s="93" t="str">
        <f>IF(ISNUMBER($B842), IF($C877&lt;&gt;"", IF('Cost Inputs'!$L$204="Y", $E877, IF('Cost Inputs'!$L$204="N", IF(ISNUMBER('Cost Inputs'!$M$204), $E877, ""),"")),""),"")</f>
        <v/>
      </c>
    </row>
    <row r="878" spans="1:27" x14ac:dyDescent="0.25">
      <c r="A878" s="518"/>
      <c r="B878" s="504"/>
      <c r="C878" s="104" t="str">
        <f>IF(AND(ISNUMBER(B842), C871&lt;&gt;"", OR('Cost Inputs'!$H$205&lt;&gt;"", 'Cost Inputs'!$I$205&lt;&gt;"", 'Cost Inputs'!$J$205&lt;&gt;"")), _6_5_5, "")</f>
        <v/>
      </c>
      <c r="D878" s="17" t="str">
        <f>IF(AND(C878&lt;&gt;"", 'Cost Inputs'!$G$205&lt;&gt;""), 'Cost Inputs'!$G$205, "")</f>
        <v/>
      </c>
      <c r="E878" s="17" t="str">
        <f>IF(AND(C878&lt;&gt;"", 'Cost Inputs'!$H$205&lt;&gt;""), 'Cost Inputs'!$H$205, "")</f>
        <v/>
      </c>
      <c r="F878" s="17" t="str">
        <f>IF(AND(C878&lt;&gt;"", 'Cost Inputs'!$I$205&lt;&gt;""), 'Cost Inputs'!$I$205, "")</f>
        <v/>
      </c>
      <c r="G878" s="105" t="str">
        <f t="shared" si="489"/>
        <v/>
      </c>
      <c r="H878" s="17" t="str">
        <f>IF(AND(C878&lt;&gt;"", 'Cost Inputs'!$J$205&lt;&gt;""), 'Cost Inputs'!$J$205, "")</f>
        <v/>
      </c>
      <c r="I878" s="17" t="str">
        <f>IF($C878&lt;&gt;"", IF(AND($E878&lt;&gt;"", H878&lt;&gt;""), H878/$E878, 0),"")</f>
        <v/>
      </c>
      <c r="J878" s="17" t="str">
        <f>IF(AND(C878&lt;&gt;"",('Cost Inputs'!$I$205+'Cost Inputs'!$J$205+'Cost Inputs'!$K$205)&gt;0), 'Cost Inputs'!$I$205+'Cost Inputs'!$J$205+'Cost Inputs'!$K$205, "")</f>
        <v/>
      </c>
      <c r="K878" s="17" t="str">
        <f>IF($C878&lt;&gt;"", IF(AND($E878&lt;&gt;"", J878&lt;&gt;""), J878/$E878, 0),"")</f>
        <v/>
      </c>
      <c r="M878" s="106"/>
      <c r="R878" s="17" t="str">
        <f>IF(ISNUMBER($B842), IF($C878&lt;&gt;"", IF('Cost Inputs'!$L$205="Y", $E878, IF('Cost Inputs'!$L$205="N", IF(ISNUMBER('Cost Inputs'!$M$205), $E878, ""),"")),""),"")</f>
        <v/>
      </c>
      <c r="S878" s="17" t="str">
        <f>IF(ISNUMBER($B842), IF($C878&lt;&gt;"", IF('Cost Inputs'!$L$205="Y", $E878, IF('Cost Inputs'!$L$205="N", IF(ISNUMBER('Cost Inputs'!$M$205), $E878, ""),"")),""),"")</f>
        <v/>
      </c>
      <c r="T878" s="17" t="str">
        <f>IF(ISNUMBER($B842), IF($C878&lt;&gt;"", IF('Cost Inputs'!$L$205="Y", $E878, IF('Cost Inputs'!$L$205="N", IF(ISNUMBER('Cost Inputs'!$M$205), $E878, ""),"")),""),"")</f>
        <v/>
      </c>
      <c r="U878" s="17" t="str">
        <f>IF(ISNUMBER($B842), IF($C878&lt;&gt;"", IF('Cost Inputs'!$L$205="Y", $E878, IF('Cost Inputs'!$L$205="N", IF(ISNUMBER('Cost Inputs'!$M$205), $E878, ""),"")),""),"")</f>
        <v/>
      </c>
      <c r="V878" s="17" t="str">
        <f>IF(ISNUMBER($B842), IF($C878&lt;&gt;"", IF('Cost Inputs'!$L$205="Y", $E878, IF('Cost Inputs'!$L$205="N", IF(ISNUMBER('Cost Inputs'!$M$205), $E878, ""),"")),""),"")</f>
        <v/>
      </c>
      <c r="W878" s="17" t="str">
        <f>IF(ISNUMBER($B842), IF($C878&lt;&gt;"", IF('Cost Inputs'!$L$205="Y", $E878, IF('Cost Inputs'!$L$205="N", IF(ISNUMBER('Cost Inputs'!$M$205), $E878, ""),"")),""),"")</f>
        <v/>
      </c>
      <c r="X878" s="17" t="str">
        <f>IF(ISNUMBER($B842), IF($C878&lt;&gt;"", IF('Cost Inputs'!$L$205="Y", $E878, IF('Cost Inputs'!$L$205="N", IF(ISNUMBER('Cost Inputs'!$M$205), $E878, ""),"")),""),"")</f>
        <v/>
      </c>
      <c r="Y878" s="17" t="str">
        <f>IF(ISNUMBER($B842), IF($C878&lt;&gt;"", IF('Cost Inputs'!$L$205="Y", $E878, IF('Cost Inputs'!$L$205="N", IF(ISNUMBER('Cost Inputs'!$M$205), $E878, ""),"")),""),"")</f>
        <v/>
      </c>
      <c r="Z878" s="17" t="str">
        <f>IF(ISNUMBER($B842), IF($C878&lt;&gt;"", IF('Cost Inputs'!$L$205="Y", $E878, IF('Cost Inputs'!$L$205="N", IF(ISNUMBER('Cost Inputs'!$M$205), $E878, ""),"")),""),"")</f>
        <v/>
      </c>
      <c r="AA878" s="17" t="str">
        <f>IF(ISNUMBER($B842), IF($C878&lt;&gt;"", IF('Cost Inputs'!$L$205="Y", $E878, IF('Cost Inputs'!$L$205="N", IF(ISNUMBER('Cost Inputs'!$M$205), $E878, ""),"")),""),"")</f>
        <v/>
      </c>
    </row>
    <row r="879" spans="1:27" x14ac:dyDescent="0.25">
      <c r="A879" s="518"/>
      <c r="B879" s="504"/>
      <c r="C879" s="110" t="str">
        <f>IF(ISNUMBER(B842), _6_6_0, "")</f>
        <v/>
      </c>
      <c r="D879" s="94" t="str">
        <f>IF(AND(C879&lt;&gt;"", 'Cost Inputs'!$G$206&lt;&gt;""), 'Cost Inputs'!$G$206, "")</f>
        <v/>
      </c>
      <c r="E879" s="94" t="str">
        <f>IF(AND(C879&lt;&gt;"", 'Cost Inputs'!$H$206&lt;&gt;""), 'Cost Inputs'!$H$206, "")</f>
        <v/>
      </c>
      <c r="F879" s="94" t="str">
        <f>IF(AND(C879&lt;&gt;"", 'Cost Inputs'!$I$206&lt;&gt;""), 'Cost Inputs'!$I$206, "")</f>
        <v/>
      </c>
      <c r="G879" s="102" t="str">
        <f t="shared" si="489"/>
        <v/>
      </c>
      <c r="H879" s="94" t="str">
        <f>IF(AND(C879&lt;&gt;"", 'Cost Inputs'!$J$206&lt;&gt;""), 'Cost Inputs'!$J$206, "")</f>
        <v/>
      </c>
      <c r="I879" s="102" t="str">
        <f>IF($C879&lt;&gt;"",IF(AND($E879&lt;&gt;"",H879&lt;&gt;""), H879/$E879, 0),"")</f>
        <v/>
      </c>
      <c r="J879" s="94" t="str">
        <f>IF(AND(C879&lt;&gt;"",('Cost Inputs'!$I$206+'Cost Inputs'!$J$206+'Cost Inputs'!$K$206)&gt;0), 'Cost Inputs'!$I$206+'Cost Inputs'!$J$206+'Cost Inputs'!$K$206, "")</f>
        <v/>
      </c>
      <c r="K879" s="102" t="str">
        <f>IF($C879&lt;&gt;"",IF(AND($E879&lt;&gt;"",J879&lt;&gt;""), J879/$E879, 0),"")</f>
        <v/>
      </c>
      <c r="L879" s="94"/>
      <c r="M879" s="103"/>
      <c r="R879" s="94" t="str">
        <f>IF(ISNUMBER($B842), IF($C879&lt;&gt;"", IF('Cost Inputs'!$L$206="Y", $E879, IF('Cost Inputs'!$L$206="N", IF(ISNUMBER('Cost Inputs'!$M$206), $E879, ""),"")),""),"")</f>
        <v/>
      </c>
      <c r="S879" s="94" t="str">
        <f>IF(ISNUMBER($B842), IF($C879&lt;&gt;"", IF('Cost Inputs'!$L$206="Y", $E879, IF('Cost Inputs'!$L$206="N", IF(ISNUMBER('Cost Inputs'!$M$206), $E879, ""),"")),""),"")</f>
        <v/>
      </c>
      <c r="T879" s="94" t="str">
        <f>IF(ISNUMBER($B842), IF($C879&lt;&gt;"", IF('Cost Inputs'!$L$206="Y", $E879, IF('Cost Inputs'!$L$206="N", IF(ISNUMBER('Cost Inputs'!$M$206), $E879, ""),"")),""),"")</f>
        <v/>
      </c>
      <c r="U879" s="94" t="str">
        <f>IF(ISNUMBER($B842), IF($C879&lt;&gt;"", IF('Cost Inputs'!$L$206="Y", $E879, IF('Cost Inputs'!$L$206="N", IF(ISNUMBER('Cost Inputs'!$M$206), $E879, ""),"")),""),"")</f>
        <v/>
      </c>
      <c r="V879" s="94" t="str">
        <f>IF(ISNUMBER($B842), IF($C879&lt;&gt;"", IF('Cost Inputs'!$L$206="Y", $E879, IF('Cost Inputs'!$L$206="N", IF(ISNUMBER('Cost Inputs'!$M$206), $E879, ""),"")),""),"")</f>
        <v/>
      </c>
      <c r="W879" s="94" t="str">
        <f>IF(ISNUMBER($B842), IF($C879&lt;&gt;"", IF('Cost Inputs'!$L$206="Y", $E879, IF('Cost Inputs'!$L$206="N", IF(ISNUMBER('Cost Inputs'!$M$206), $E879, ""),"")),""),"")</f>
        <v/>
      </c>
      <c r="X879" s="94" t="str">
        <f>IF(ISNUMBER($B842), IF($C879&lt;&gt;"", IF('Cost Inputs'!$L$206="Y", $E879, IF('Cost Inputs'!$L$206="N", IF(ISNUMBER('Cost Inputs'!$M$206), $E879, ""),"")),""),"")</f>
        <v/>
      </c>
      <c r="Y879" s="94" t="str">
        <f>IF(ISNUMBER($B842), IF($C879&lt;&gt;"", IF('Cost Inputs'!$L$206="Y", $E879, IF('Cost Inputs'!$L$206="N", IF(ISNUMBER('Cost Inputs'!$M$206), $E879, ""),"")),""),"")</f>
        <v/>
      </c>
      <c r="Z879" s="94" t="str">
        <f>IF(ISNUMBER($B842), IF($C879&lt;&gt;"", IF('Cost Inputs'!$L$206="Y", $E879, IF('Cost Inputs'!$L$206="N", IF(ISNUMBER('Cost Inputs'!$M$206), $E879, ""),"")),""),"")</f>
        <v/>
      </c>
      <c r="AA879" s="94" t="str">
        <f>IF(ISNUMBER($B842), IF($C879&lt;&gt;"", IF('Cost Inputs'!$L$206="Y", $E879, IF('Cost Inputs'!$L$206="N", IF(ISNUMBER('Cost Inputs'!$M$206), $E879, ""),"")),""),"")</f>
        <v/>
      </c>
    </row>
    <row r="880" spans="1:27" x14ac:dyDescent="0.25">
      <c r="A880" s="518"/>
      <c r="B880" s="504"/>
      <c r="C880" s="104" t="str">
        <f>IF(AND(ISNUMBER(B842), OR('Cost Inputs'!$H$207&lt;&gt;"", 'Cost Inputs'!$I$207&lt;&gt;"", 'Cost Inputs'!$J$207&lt;&gt;"")), _6_6_1, "")</f>
        <v/>
      </c>
      <c r="D880" s="17" t="str">
        <f>IF(AND(C880&lt;&gt;"", 'Cost Inputs'!$G$207&lt;&gt;""), 'Cost Inputs'!$G$207, "")</f>
        <v/>
      </c>
      <c r="E880" s="17" t="str">
        <f>IF(AND(C880&lt;&gt;"", 'Cost Inputs'!$H$207&lt;&gt;""), 'Cost Inputs'!$H$207, "")</f>
        <v/>
      </c>
      <c r="F880" s="17" t="str">
        <f>IF(AND(C880&lt;&gt;"", 'Cost Inputs'!$I$207&lt;&gt;""), 'Cost Inputs'!$I$207, "")</f>
        <v/>
      </c>
      <c r="G880" s="105" t="str">
        <f t="shared" si="489"/>
        <v/>
      </c>
      <c r="H880" s="17" t="str">
        <f>IF(AND(C880&lt;&gt;"", 'Cost Inputs'!$J$207&lt;&gt;""), 'Cost Inputs'!$J$207, "")</f>
        <v/>
      </c>
      <c r="I880" s="17" t="str">
        <f>IF($C880&lt;&gt;"", IF(AND($E880&lt;&gt;"", H880&lt;&gt;""), H880/$E880, 0),"")</f>
        <v/>
      </c>
      <c r="J880" s="17" t="str">
        <f>IF(AND(C880&lt;&gt;"",('Cost Inputs'!$I$207+'Cost Inputs'!$J$207+'Cost Inputs'!$K$207)&gt;0), 'Cost Inputs'!$I$207+'Cost Inputs'!$J$207+'Cost Inputs'!$K$207, "")</f>
        <v/>
      </c>
      <c r="K880" s="17" t="str">
        <f>IF($C880&lt;&gt;"", IF(AND($E880&lt;&gt;"", J880&lt;&gt;""), J880/$E880, 0),"")</f>
        <v/>
      </c>
      <c r="M880" s="106"/>
      <c r="R880" s="17" t="str">
        <f>IF(ISNUMBER($B842), IF($C880&lt;&gt;"", IF('Cost Inputs'!$L$207="Y", $E880, IF('Cost Inputs'!$L$207="N", IF(ISNUMBER('Cost Inputs'!$M$207), $E880, ""),"")),""),"")</f>
        <v/>
      </c>
      <c r="S880" s="17" t="str">
        <f>IF(ISNUMBER($B842), IF($C880&lt;&gt;"", IF('Cost Inputs'!$L$207="Y", $E880, IF('Cost Inputs'!$L$207="N", IF(ISNUMBER('Cost Inputs'!$M$207), $E880, ""),"")),""),"")</f>
        <v/>
      </c>
      <c r="T880" s="17" t="str">
        <f>IF(ISNUMBER($B842), IF($C880&lt;&gt;"", IF('Cost Inputs'!$L$207="Y", $E880, IF('Cost Inputs'!$L$207="N", IF(ISNUMBER('Cost Inputs'!$M$207), $E880, ""),"")),""),"")</f>
        <v/>
      </c>
      <c r="U880" s="17" t="str">
        <f>IF(ISNUMBER($B842), IF($C880&lt;&gt;"", IF('Cost Inputs'!$L$207="Y", $E880, IF('Cost Inputs'!$L$207="N", IF(ISNUMBER('Cost Inputs'!$M$207), $E880, ""),"")),""),"")</f>
        <v/>
      </c>
      <c r="V880" s="17" t="str">
        <f>IF(ISNUMBER($B842), IF($C880&lt;&gt;"", IF('Cost Inputs'!$L$207="Y", $E880, IF('Cost Inputs'!$L$207="N", IF(ISNUMBER('Cost Inputs'!$M$207), $E880, ""),"")),""),"")</f>
        <v/>
      </c>
      <c r="W880" s="17" t="str">
        <f>IF(ISNUMBER($B842), IF($C880&lt;&gt;"", IF('Cost Inputs'!$L$207="Y", $E880, IF('Cost Inputs'!$L$207="N", IF(ISNUMBER('Cost Inputs'!$M$207), $E880, ""),"")),""),"")</f>
        <v/>
      </c>
      <c r="X880" s="17" t="str">
        <f>IF(ISNUMBER($B842), IF($C880&lt;&gt;"", IF('Cost Inputs'!$L$207="Y", $E880, IF('Cost Inputs'!$L$207="N", IF(ISNUMBER('Cost Inputs'!$M$207), $E880, ""),"")),""),"")</f>
        <v/>
      </c>
      <c r="Y880" s="17" t="str">
        <f>IF(ISNUMBER($B842), IF($C880&lt;&gt;"", IF('Cost Inputs'!$L$207="Y", $E880, IF('Cost Inputs'!$L$207="N", IF(ISNUMBER('Cost Inputs'!$M$207), $E880, ""),"")),""),"")</f>
        <v/>
      </c>
      <c r="Z880" s="17" t="str">
        <f>IF(ISNUMBER($B842), IF($C880&lt;&gt;"", IF('Cost Inputs'!$L$207="Y", $E880, IF('Cost Inputs'!$L$207="N", IF(ISNUMBER('Cost Inputs'!$M$207), $E880, ""),"")),""),"")</f>
        <v/>
      </c>
      <c r="AA880" s="17" t="str">
        <f>IF(ISNUMBER($B842), IF($C880&lt;&gt;"", IF('Cost Inputs'!$L$207="Y", $E880, IF('Cost Inputs'!$L$207="N", IF(ISNUMBER('Cost Inputs'!$M$207), $E880, ""),"")),""),"")</f>
        <v/>
      </c>
    </row>
    <row r="881" spans="1:28" ht="15.75" thickBot="1" x14ac:dyDescent="0.3">
      <c r="A881" s="518"/>
      <c r="B881" s="505"/>
      <c r="C881" s="111" t="str">
        <f>IF(AND(ISNUMBER(B842), OR('Cost Inputs'!$H$208&lt;&gt;"", 'Cost Inputs'!$I$208&lt;&gt;"", 'Cost Inputs'!$J$208&lt;&gt;"")), _6_6_2, "")</f>
        <v/>
      </c>
      <c r="D881" s="95" t="str">
        <f>IF(AND(C881&lt;&gt;"", 'Cost Inputs'!$G$208&lt;&gt;""), 'Cost Inputs'!$G$208, "")</f>
        <v/>
      </c>
      <c r="E881" s="95" t="str">
        <f>IF(AND(C881&lt;&gt;"", 'Cost Inputs'!$H$208&lt;&gt;""), 'Cost Inputs'!$H$208, "")</f>
        <v/>
      </c>
      <c r="F881" s="95" t="str">
        <f>IF(AND(C881&lt;&gt;"", 'Cost Inputs'!$I$208&lt;&gt;""), 'Cost Inputs'!$I$208, "")</f>
        <v/>
      </c>
      <c r="G881" s="112" t="str">
        <f t="shared" si="489"/>
        <v/>
      </c>
      <c r="H881" s="95" t="str">
        <f>IF(AND(C881&lt;&gt;"", 'Cost Inputs'!$J$208&lt;&gt;""), 'Cost Inputs'!$J$208, "")</f>
        <v/>
      </c>
      <c r="I881" s="95" t="str">
        <f>IF($C881&lt;&gt;"", IF(AND($E881&lt;&gt;"", H881&lt;&gt;""), H881/$E881, 0),"")</f>
        <v/>
      </c>
      <c r="J881" s="95" t="str">
        <f>IF(AND(C881&lt;&gt;"",('Cost Inputs'!$I$208+'Cost Inputs'!$J$208+'Cost Inputs'!$K$208)&gt;0), 'Cost Inputs'!$I$208+'Cost Inputs'!$J$208+'Cost Inputs'!$K$208, "")</f>
        <v/>
      </c>
      <c r="K881" s="95" t="str">
        <f>IF($C881&lt;&gt;"", IF(AND($E881&lt;&gt;"", J881&lt;&gt;""), J881/$E881, 0),"")</f>
        <v/>
      </c>
      <c r="L881" s="95"/>
      <c r="M881" s="113"/>
      <c r="R881" s="95" t="str">
        <f>IF(ISNUMBER($B842), IF($C881&lt;&gt;"", IF('Cost Inputs'!$L$208="Y", $E881, IF('Cost Inputs'!$L$208="N", IF(ISNUMBER('Cost Inputs'!$M$208), $E881, ""),"")),""),"")</f>
        <v/>
      </c>
      <c r="S881" s="95" t="str">
        <f>IF(ISNUMBER($B842), IF($C881&lt;&gt;"", IF('Cost Inputs'!$L$208="Y", $E881, IF('Cost Inputs'!$L$208="N", IF(ISNUMBER('Cost Inputs'!$M$208), $E881, ""),"")),""),"")</f>
        <v/>
      </c>
      <c r="T881" s="95" t="str">
        <f>IF(ISNUMBER($B842), IF($C881&lt;&gt;"", IF('Cost Inputs'!$L$208="Y", $E881, IF('Cost Inputs'!$L$208="N", IF(ISNUMBER('Cost Inputs'!$M$208), $E881, ""),"")),""),"")</f>
        <v/>
      </c>
      <c r="U881" s="95" t="str">
        <f>IF(ISNUMBER($B842), IF($C881&lt;&gt;"", IF('Cost Inputs'!$L$208="Y", $E881, IF('Cost Inputs'!$L$208="N", IF(ISNUMBER('Cost Inputs'!$M$208), $E881, ""),"")),""),"")</f>
        <v/>
      </c>
      <c r="V881" s="95" t="str">
        <f>IF(ISNUMBER($B842), IF($C881&lt;&gt;"", IF('Cost Inputs'!$L$208="Y", $E881, IF('Cost Inputs'!$L$208="N", IF(ISNUMBER('Cost Inputs'!$M$208), $E881, ""),"")),""),"")</f>
        <v/>
      </c>
      <c r="W881" s="95" t="str">
        <f>IF(ISNUMBER($B842), IF($C881&lt;&gt;"", IF('Cost Inputs'!$L$208="Y", $E881, IF('Cost Inputs'!$L$208="N", IF(ISNUMBER('Cost Inputs'!$M$208), $E881, ""),"")),""),"")</f>
        <v/>
      </c>
      <c r="X881" s="95" t="str">
        <f>IF(ISNUMBER($B842), IF($C881&lt;&gt;"", IF('Cost Inputs'!$L$208="Y", $E881, IF('Cost Inputs'!$L$208="N", IF(ISNUMBER('Cost Inputs'!$M$208), $E881, ""),"")),""),"")</f>
        <v/>
      </c>
      <c r="Y881" s="95" t="str">
        <f>IF(ISNUMBER($B842), IF($C881&lt;&gt;"", IF('Cost Inputs'!$L$208="Y", $E881, IF('Cost Inputs'!$L$208="N", IF(ISNUMBER('Cost Inputs'!$M$208), $E881, ""),"")),""),"")</f>
        <v/>
      </c>
      <c r="Z881" s="95" t="str">
        <f>IF(ISNUMBER($B842), IF($C881&lt;&gt;"", IF('Cost Inputs'!$L$208="Y", $E881, IF('Cost Inputs'!$L$208="N", IF(ISNUMBER('Cost Inputs'!$M$208), $E881, ""),"")),""),"")</f>
        <v/>
      </c>
      <c r="AA881" s="95" t="str">
        <f>IF(ISNUMBER($B842), IF($C881&lt;&gt;"", IF('Cost Inputs'!$L$208="Y", $E881, IF('Cost Inputs'!$L$208="N", IF(ISNUMBER('Cost Inputs'!$M$208), $E881, ""),"")),""),"")</f>
        <v/>
      </c>
    </row>
    <row r="882" spans="1:28" x14ac:dyDescent="0.25">
      <c r="A882" s="518" t="str">
        <f>Sixth_Stage</f>
        <v>Stage 4 Grower Trials</v>
      </c>
      <c r="B882" s="503" t="str">
        <f>'Breeding Inputs'!B117</f>
        <v/>
      </c>
      <c r="C882" s="521" t="str">
        <f>IF(ISNUMBER(B864), _6_3_0, "")</f>
        <v/>
      </c>
      <c r="D882" s="94" t="str">
        <f>IF(AND(C882&lt;&gt;"", 'Cost Inputs'!$G$187&lt;&gt;""), 'Cost Inputs'!$G$187, "")</f>
        <v/>
      </c>
      <c r="E882" s="94" t="str">
        <f>IF(AND(C882&lt;&gt;"", 'Cost Inputs'!$H$187&lt;&gt;""), 'Cost Inputs'!$H$187, "")</f>
        <v/>
      </c>
      <c r="F882" s="492" t="str">
        <f>IF(AND(C882&lt;&gt;"", 'Cost Inputs'!$I$187&lt;&gt;""), 'Cost Inputs'!$I$187, "")</f>
        <v/>
      </c>
      <c r="G882" s="102" t="str">
        <f t="shared" si="489"/>
        <v/>
      </c>
      <c r="H882" s="492" t="str">
        <f>IF(AND(C882&lt;&gt;"", 'Cost Inputs'!$J$187&lt;&gt;""), 'Cost Inputs'!$J$187, "")</f>
        <v/>
      </c>
      <c r="I882" s="102" t="str">
        <f>IF($C882&lt;&gt;"",IF(AND($E882&lt;&gt;"",H882&lt;&gt;""), H882/$E882, 0),"")</f>
        <v/>
      </c>
      <c r="J882" s="492" t="str">
        <f>IF(AND(C882&lt;&gt;"",('Cost Inputs'!$I$187+'Cost Inputs'!$J$187+'Cost Inputs'!$K$187)&gt;0), 'Cost Inputs'!$I$187+'Cost Inputs'!$J$187+'Cost Inputs'!$K$187, "")</f>
        <v/>
      </c>
      <c r="K882" s="102" t="str">
        <f>IF($C882&lt;&gt;"",IF(AND($E882&lt;&gt;"",J882&lt;&gt;""), J882/$E882, 0),"")</f>
        <v/>
      </c>
      <c r="L882" s="94"/>
      <c r="M882" s="103"/>
      <c r="S882" s="492" t="str">
        <f>IF(ISNUMBER($B864), IF($C882&lt;&gt;"", IF('Cost Inputs'!$L$187="Y", $E882, IF('Cost Inputs'!$L$187="N", IF(ISNUMBER('Cost Inputs'!$M$187), $E882, ""),"")),""),"")</f>
        <v/>
      </c>
      <c r="T882" s="492" t="str">
        <f>IF(ISNUMBER($B864), IF($C882&lt;&gt;"", IF('Cost Inputs'!$L$187="Y", $E882, IF('Cost Inputs'!$L$187="N", IF(ISNUMBER('Cost Inputs'!$M$187), $E882, ""),"")),""),"")</f>
        <v/>
      </c>
      <c r="U882" s="492" t="str">
        <f>IF(ISNUMBER($B864), IF($C882&lt;&gt;"", IF('Cost Inputs'!$L$187="Y", $E882, IF('Cost Inputs'!$L$187="N", IF(ISNUMBER('Cost Inputs'!$M$187), $E882, ""),"")),""),"")</f>
        <v/>
      </c>
      <c r="V882" s="492" t="str">
        <f>IF(ISNUMBER($B864), IF($C882&lt;&gt;"", IF('Cost Inputs'!$L$187="Y", $E882, IF('Cost Inputs'!$L$187="N", IF(ISNUMBER('Cost Inputs'!$M$187), $E882, ""),"")),""),"")</f>
        <v/>
      </c>
      <c r="W882" s="492" t="str">
        <f>IF(ISNUMBER($B864), IF($C882&lt;&gt;"", IF('Cost Inputs'!$L$187="Y", $E882, IF('Cost Inputs'!$L$187="N", IF(ISNUMBER('Cost Inputs'!$M$187), $E882, ""),"")),""),"")</f>
        <v/>
      </c>
      <c r="X882" s="492" t="str">
        <f>IF(ISNUMBER($B864), IF($C882&lt;&gt;"", IF('Cost Inputs'!$L$187="Y", $E882, IF('Cost Inputs'!$L$187="N", IF(ISNUMBER('Cost Inputs'!$M$187), $E882, ""),"")),""),"")</f>
        <v/>
      </c>
      <c r="Y882" s="492" t="str">
        <f>IF(ISNUMBER($B864), IF($C882&lt;&gt;"", IF('Cost Inputs'!$L$187="Y", $E882, IF('Cost Inputs'!$L$187="N", IF(ISNUMBER('Cost Inputs'!$M$187), $E882, ""),"")),""),"")</f>
        <v/>
      </c>
      <c r="Z882" s="492" t="str">
        <f>IF(ISNUMBER($B864), IF($C882&lt;&gt;"", IF('Cost Inputs'!$L$187="Y", $E882, IF('Cost Inputs'!$L$187="N", IF(ISNUMBER('Cost Inputs'!$M$187), $E882, ""),"")),""),"")</f>
        <v/>
      </c>
      <c r="AA882" s="492" t="str">
        <f>IF(ISNUMBER($B864), IF($C882&lt;&gt;"", IF('Cost Inputs'!$L$187="Y", $E882, IF('Cost Inputs'!$L$187="N", IF(ISNUMBER('Cost Inputs'!$M$187), $E882, ""),"")),""),"")</f>
        <v/>
      </c>
      <c r="AB882" s="492" t="str">
        <f>IF(ISNUMBER($B864), IF($C882&lt;&gt;"", IF('Cost Inputs'!$L$187="Y", $E882, IF('Cost Inputs'!$L$187="N", IF(ISNUMBER('Cost Inputs'!$M$187), $E882, ""),"")),""),"")</f>
        <v/>
      </c>
    </row>
    <row r="883" spans="1:28" x14ac:dyDescent="0.25">
      <c r="A883" s="518"/>
      <c r="B883" s="504"/>
      <c r="C883" s="521"/>
      <c r="D883" s="94" t="str">
        <f>IF(AND(C882&lt;&gt;"", 'Cost Inputs'!$G$188&lt;&gt;""), 'Cost Inputs'!$G$188, "")</f>
        <v/>
      </c>
      <c r="E883" s="94" t="str">
        <f>IF(AND(C882&lt;&gt;"", 'Cost Inputs'!$H$188&lt;&gt;""), 'Cost Inputs'!$H$188, "")</f>
        <v/>
      </c>
      <c r="F883" s="492"/>
      <c r="G883" s="102" t="str">
        <f t="shared" si="489"/>
        <v/>
      </c>
      <c r="H883" s="492"/>
      <c r="I883" s="102" t="str">
        <f>IF($C882&lt;&gt;"", IF(AND($E883&lt;&gt;"", H882&lt;&gt;""), H882/($E882*$E883), 0), "")</f>
        <v/>
      </c>
      <c r="J883" s="492" t="str">
        <f>IF(AND(C883&lt;&gt;"",('Cost Inputs'!$I$86+'Cost Inputs'!$J$86+'Cost Inputs'!$K$86)&gt;0), 'Cost Inputs'!$I$86+'Cost Inputs'!$J$86+'Cost Inputs'!$K$86, "")</f>
        <v/>
      </c>
      <c r="K883" s="102" t="str">
        <f>IF($C882&lt;&gt;"", IF(AND($E883&lt;&gt;"", J882&lt;&gt;""), J882/($E882*$E883), 0), "")</f>
        <v/>
      </c>
      <c r="L883" s="94"/>
      <c r="M883" s="103"/>
      <c r="S883" s="492" t="str">
        <f>IF(ISNUMBER($B$776), IF($C883&lt;&gt;"", IF('Cost Inputs'!$L276="Y", $E883, IF('Cost Inputs'!$L276="N", IF(ISNUMBER('Cost Inputs'!$M276), $E883, ""),"")),""),"")</f>
        <v/>
      </c>
      <c r="T883" s="492" t="str">
        <f>IF(ISNUMBER($B$776), IF($C883&lt;&gt;"", IF('Cost Inputs'!$L276="Y", $E883, IF('Cost Inputs'!$L276="N", IF(ISNUMBER('Cost Inputs'!$M276), $E883, ""),"")),""),"")</f>
        <v/>
      </c>
      <c r="U883" s="492" t="str">
        <f>IF(ISNUMBER($B$776), IF($C883&lt;&gt;"", IF('Cost Inputs'!$L276="Y", $E883, IF('Cost Inputs'!$L276="N", IF(ISNUMBER('Cost Inputs'!$M276), $E883, ""),"")),""),"")</f>
        <v/>
      </c>
      <c r="V883" s="492" t="str">
        <f>IF(ISNUMBER($B$776), IF($C883&lt;&gt;"", IF('Cost Inputs'!$L276="Y", $E883, IF('Cost Inputs'!$L276="N", IF(ISNUMBER('Cost Inputs'!$M276), $E883, ""),"")),""),"")</f>
        <v/>
      </c>
      <c r="W883" s="492" t="str">
        <f>IF(ISNUMBER($B$776), IF($C883&lt;&gt;"", IF('Cost Inputs'!$L276="Y", $E883, IF('Cost Inputs'!$L276="N", IF(ISNUMBER('Cost Inputs'!$M276), $E883, ""),"")),""),"")</f>
        <v/>
      </c>
      <c r="X883" s="492" t="str">
        <f>IF(ISNUMBER($B$776), IF($C883&lt;&gt;"", IF('Cost Inputs'!$L276="Y", $E883, IF('Cost Inputs'!$L276="N", IF(ISNUMBER('Cost Inputs'!$M276), $E883, ""),"")),""),"")</f>
        <v/>
      </c>
      <c r="Y883" s="492" t="str">
        <f>IF(ISNUMBER($B$776), IF($C883&lt;&gt;"", IF('Cost Inputs'!$L276="Y", $E883, IF('Cost Inputs'!$L276="N", IF(ISNUMBER('Cost Inputs'!$M276), $E883, ""),"")),""),"")</f>
        <v/>
      </c>
      <c r="Z883" s="492" t="str">
        <f>IF(ISNUMBER($B$776), IF($C883&lt;&gt;"", IF('Cost Inputs'!$L276="Y", $E883, IF('Cost Inputs'!$L276="N", IF(ISNUMBER('Cost Inputs'!$M276), $E883, ""),"")),""),"")</f>
        <v/>
      </c>
      <c r="AA883" s="492" t="str">
        <f>IF(ISNUMBER($B$776), IF($C883&lt;&gt;"", IF('Cost Inputs'!$L276="Y", $E883, IF('Cost Inputs'!$L276="N", IF(ISNUMBER('Cost Inputs'!$M276), $E883, ""),"")),""),"")</f>
        <v/>
      </c>
      <c r="AB883" s="492" t="str">
        <f>IF(ISNUMBER($B$776), IF($C883&lt;&gt;"", IF('Cost Inputs'!$L276="Y", $E883, IF('Cost Inputs'!$L276="N", IF(ISNUMBER('Cost Inputs'!$M276), $E883, ""),"")),""),"")</f>
        <v/>
      </c>
    </row>
    <row r="884" spans="1:28" x14ac:dyDescent="0.25">
      <c r="A884" s="518"/>
      <c r="B884" s="504"/>
      <c r="C884" s="104" t="str">
        <f>IF(AND(ISNUMBER(B864), OR('Cost Inputs'!$H$189&lt;&gt;"", 'Cost Inputs'!$I$189&lt;&gt;"", 'Cost Inputs'!$J$189&lt;&gt;"")), _6_3_1, "")</f>
        <v/>
      </c>
      <c r="D884" s="17" t="str">
        <f>IF(AND(C884&lt;&gt;"", 'Cost Inputs'!$G$189&lt;&gt;""), 'Cost Inputs'!$G$189, "")</f>
        <v/>
      </c>
      <c r="E884" s="17" t="str">
        <f>IF(AND(C884&lt;&gt;"", 'Cost Inputs'!$H$189&lt;&gt;""), 'Cost Inputs'!$H$189, "")</f>
        <v/>
      </c>
      <c r="F884" s="17" t="str">
        <f>IF(AND(C884&lt;&gt;"", 'Cost Inputs'!$I$189&lt;&gt;""), 'Cost Inputs'!$I$189, "")</f>
        <v/>
      </c>
      <c r="G884" s="105" t="str">
        <f t="shared" si="489"/>
        <v/>
      </c>
      <c r="H884" s="17" t="str">
        <f>IF(AND(C884&lt;&gt;"", 'Cost Inputs'!$J$189&lt;&gt;""), 'Cost Inputs'!$J$189, "")</f>
        <v/>
      </c>
      <c r="I884" s="17" t="str">
        <f t="shared" ref="I884:I892" si="490">IF($C884&lt;&gt;"", IF(AND($E884&lt;&gt;"", H884&lt;&gt;""), H884/$E884, 0),"")</f>
        <v/>
      </c>
      <c r="J884" s="17" t="str">
        <f>IF(AND(C884&lt;&gt;"",('Cost Inputs'!$I$189+'Cost Inputs'!$J$189+'Cost Inputs'!$K$189)&gt;0), 'Cost Inputs'!$I$189+'Cost Inputs'!$J$189+'Cost Inputs'!$K$189, "")</f>
        <v/>
      </c>
      <c r="K884" s="17" t="str">
        <f t="shared" ref="K884:K892" si="491">IF($C884&lt;&gt;"", IF(AND($E884&lt;&gt;"", J884&lt;&gt;""), J884/$E884, 0),"")</f>
        <v/>
      </c>
      <c r="M884" s="106"/>
      <c r="S884" s="17" t="str">
        <f>IF(ISNUMBER($B864), IF($C884&lt;&gt;"", IF('Cost Inputs'!$L$189="Y", $E884, IF('Cost Inputs'!$L$189="N", IF(ISNUMBER('Cost Inputs'!$M$189), $E884, ""),"")),""),"")</f>
        <v/>
      </c>
      <c r="T884" s="17" t="str">
        <f>IF(ISNUMBER($B864), IF($C884&lt;&gt;"", IF('Cost Inputs'!$L$189="Y", $E884, IF('Cost Inputs'!$L$189="N", IF(ISNUMBER('Cost Inputs'!$M$189), $E884, ""),"")),""),"")</f>
        <v/>
      </c>
      <c r="U884" s="17" t="str">
        <f>IF(ISNUMBER($B864), IF($C884&lt;&gt;"", IF('Cost Inputs'!$L$189="Y", $E884, IF('Cost Inputs'!$L$189="N", IF(ISNUMBER('Cost Inputs'!$M$189), $E884, ""),"")),""),"")</f>
        <v/>
      </c>
      <c r="V884" s="17" t="str">
        <f>IF(ISNUMBER($B864), IF($C884&lt;&gt;"", IF('Cost Inputs'!$L$189="Y", $E884, IF('Cost Inputs'!$L$189="N", IF(ISNUMBER('Cost Inputs'!$M$189), $E884, ""),"")),""),"")</f>
        <v/>
      </c>
      <c r="W884" s="17" t="str">
        <f>IF(ISNUMBER($B864), IF($C884&lt;&gt;"", IF('Cost Inputs'!$L$189="Y", $E884, IF('Cost Inputs'!$L$189="N", IF(ISNUMBER('Cost Inputs'!$M$189), $E884, ""),"")),""),"")</f>
        <v/>
      </c>
      <c r="X884" s="17" t="str">
        <f>IF(ISNUMBER($B864), IF($C884&lt;&gt;"", IF('Cost Inputs'!$L$189="Y", $E884, IF('Cost Inputs'!$L$189="N", IF(ISNUMBER('Cost Inputs'!$M$189), $E884, ""),"")),""),"")</f>
        <v/>
      </c>
      <c r="Y884" s="17" t="str">
        <f>IF(ISNUMBER($B864), IF($C884&lt;&gt;"", IF('Cost Inputs'!$L$189="Y", $E884, IF('Cost Inputs'!$L$189="N", IF(ISNUMBER('Cost Inputs'!$M$189), $E884, ""),"")),""),"")</f>
        <v/>
      </c>
      <c r="Z884" s="17" t="str">
        <f>IF(ISNUMBER($B864), IF($C884&lt;&gt;"", IF('Cost Inputs'!$L$189="Y", $E884, IF('Cost Inputs'!$L$189="N", IF(ISNUMBER('Cost Inputs'!$M$189), $E884, ""),"")),""),"")</f>
        <v/>
      </c>
      <c r="AA884" s="17" t="str">
        <f>IF(ISNUMBER($B864), IF($C884&lt;&gt;"", IF('Cost Inputs'!$L$189="Y", $E884, IF('Cost Inputs'!$L$189="N", IF(ISNUMBER('Cost Inputs'!$M$189), $E884, ""),"")),""),"")</f>
        <v/>
      </c>
      <c r="AB884" s="17" t="str">
        <f>IF(ISNUMBER($B864), IF($C884&lt;&gt;"", IF('Cost Inputs'!$L$189="Y", $E884, IF('Cost Inputs'!$L$189="N", IF(ISNUMBER('Cost Inputs'!$M$189), $E884, ""),"")),""),"")</f>
        <v/>
      </c>
    </row>
    <row r="885" spans="1:28" x14ac:dyDescent="0.25">
      <c r="A885" s="518"/>
      <c r="B885" s="504"/>
      <c r="C885" s="107" t="str">
        <f>IF(AND(ISNUMBER(B864), OR('Cost Inputs'!$H$190&lt;&gt;"", 'Cost Inputs'!$I$190&lt;&gt;"", 'Cost Inputs'!$J$190&lt;&gt;"")), _6_3_2, "")</f>
        <v/>
      </c>
      <c r="D885" s="93" t="str">
        <f>IF(AND(C885&lt;&gt;"", 'Cost Inputs'!$G$190&lt;&gt;""), 'Cost Inputs'!$G$190, "")</f>
        <v/>
      </c>
      <c r="E885" s="93" t="str">
        <f>IF(AND(C885&lt;&gt;"", 'Cost Inputs'!$H$190&lt;&gt;""), 'Cost Inputs'!$H$190, "")</f>
        <v/>
      </c>
      <c r="F885" s="93" t="str">
        <f>IF(AND(C885&lt;&gt;"", 'Cost Inputs'!$I$190&lt;&gt;""), 'Cost Inputs'!$I$190, "")</f>
        <v/>
      </c>
      <c r="G885" s="108" t="str">
        <f t="shared" si="489"/>
        <v/>
      </c>
      <c r="H885" s="93" t="str">
        <f>IF(AND(C885&lt;&gt;"", 'Cost Inputs'!$J$190&lt;&gt;""), 'Cost Inputs'!$J$190, "")</f>
        <v/>
      </c>
      <c r="I885" s="93" t="str">
        <f t="shared" si="490"/>
        <v/>
      </c>
      <c r="J885" s="93" t="str">
        <f>IF(AND(C885&lt;&gt;"",('Cost Inputs'!$I$190+'Cost Inputs'!$J$190+'Cost Inputs'!$K$190)&gt;0), 'Cost Inputs'!$I$190+'Cost Inputs'!$J$190+'Cost Inputs'!$K$190, "")</f>
        <v/>
      </c>
      <c r="K885" s="93" t="str">
        <f t="shared" si="491"/>
        <v/>
      </c>
      <c r="L885" s="93"/>
      <c r="M885" s="109"/>
      <c r="S885" s="93" t="str">
        <f>IF(ISNUMBER($B864), IF($C885&lt;&gt;"", IF('Cost Inputs'!$L$190="Y", $E885, IF('Cost Inputs'!$L$190="N", IF(ISNUMBER('Cost Inputs'!$M$190), $E885, ""),"")),""),"")</f>
        <v/>
      </c>
      <c r="T885" s="93" t="str">
        <f>IF(ISNUMBER($B864), IF($C885&lt;&gt;"", IF('Cost Inputs'!$L$190="Y", $E885, IF('Cost Inputs'!$L$190="N", IF(ISNUMBER('Cost Inputs'!$M$190), $E885, ""),"")),""),"")</f>
        <v/>
      </c>
      <c r="U885" s="93" t="str">
        <f>IF(ISNUMBER($B864), IF($C885&lt;&gt;"", IF('Cost Inputs'!$L$190="Y", $E885, IF('Cost Inputs'!$L$190="N", IF(ISNUMBER('Cost Inputs'!$M$190), $E885, ""),"")),""),"")</f>
        <v/>
      </c>
      <c r="V885" s="93" t="str">
        <f>IF(ISNUMBER($B864), IF($C885&lt;&gt;"", IF('Cost Inputs'!$L$190="Y", $E885, IF('Cost Inputs'!$L$190="N", IF(ISNUMBER('Cost Inputs'!$M$190), $E885, ""),"")),""),"")</f>
        <v/>
      </c>
      <c r="W885" s="93" t="str">
        <f>IF(ISNUMBER($B864), IF($C885&lt;&gt;"", IF('Cost Inputs'!$L$190="Y", $E885, IF('Cost Inputs'!$L$190="N", IF(ISNUMBER('Cost Inputs'!$M$190), $E885, ""),"")),""),"")</f>
        <v/>
      </c>
      <c r="X885" s="93" t="str">
        <f>IF(ISNUMBER($B864), IF($C885&lt;&gt;"", IF('Cost Inputs'!$L$190="Y", $E885, IF('Cost Inputs'!$L$190="N", IF(ISNUMBER('Cost Inputs'!$M$190), $E885, ""),"")),""),"")</f>
        <v/>
      </c>
      <c r="Y885" s="93" t="str">
        <f>IF(ISNUMBER($B864), IF($C885&lt;&gt;"", IF('Cost Inputs'!$L$190="Y", $E885, IF('Cost Inputs'!$L$190="N", IF(ISNUMBER('Cost Inputs'!$M$190), $E885, ""),"")),""),"")</f>
        <v/>
      </c>
      <c r="Z885" s="93" t="str">
        <f>IF(ISNUMBER($B864), IF($C885&lt;&gt;"", IF('Cost Inputs'!$L$190="Y", $E885, IF('Cost Inputs'!$L$190="N", IF(ISNUMBER('Cost Inputs'!$M$190), $E885, ""),"")),""),"")</f>
        <v/>
      </c>
      <c r="AA885" s="93" t="str">
        <f>IF(ISNUMBER($B864), IF($C885&lt;&gt;"", IF('Cost Inputs'!$L$190="Y", $E885, IF('Cost Inputs'!$L$190="N", IF(ISNUMBER('Cost Inputs'!$M$190), $E885, ""),"")),""),"")</f>
        <v/>
      </c>
      <c r="AB885" s="93" t="str">
        <f>IF(ISNUMBER($B864), IF($C885&lt;&gt;"", IF('Cost Inputs'!$L$190="Y", $E885, IF('Cost Inputs'!$L$190="N", IF(ISNUMBER('Cost Inputs'!$M$190), $E885, ""),"")),""),"")</f>
        <v/>
      </c>
    </row>
    <row r="886" spans="1:28" x14ac:dyDescent="0.25">
      <c r="A886" s="518"/>
      <c r="B886" s="504"/>
      <c r="C886" s="110" t="str">
        <f>IF(ISNUMBER(B864), _6_4_0, "")</f>
        <v/>
      </c>
      <c r="D886" s="94" t="str">
        <f>IF(AND(C886&lt;&gt;"", 'Cost Inputs'!$G$191&lt;&gt;""), 'Cost Inputs'!$G$191, "")</f>
        <v/>
      </c>
      <c r="E886" s="94" t="str">
        <f>IF(AND(C886&lt;&gt;"", 'Cost Inputs'!$H$191&lt;&gt;""), 'Cost Inputs'!$H$191, "")</f>
        <v/>
      </c>
      <c r="F886" s="94" t="str">
        <f>IF(AND(C886&lt;&gt;"", 'Cost Inputs'!$I$191&lt;&gt;""), 'Cost Inputs'!$I$191, "")</f>
        <v/>
      </c>
      <c r="G886" s="102" t="str">
        <f t="shared" si="489"/>
        <v/>
      </c>
      <c r="H886" s="102" t="str">
        <f>IF(AND(C886&lt;&gt;"", 'Cost Inputs'!$J$191&lt;&gt;""), 'Cost Inputs'!$J$191, "")</f>
        <v/>
      </c>
      <c r="I886" s="102" t="str">
        <f t="shared" si="490"/>
        <v/>
      </c>
      <c r="J886" s="102" t="str">
        <f>IF(AND(C886&lt;&gt;"",('Cost Inputs'!$I$191+'Cost Inputs'!$J$191+'Cost Inputs'!$K$191)&gt;0), 'Cost Inputs'!$I$191+'Cost Inputs'!$J$191+'Cost Inputs'!$K$191, "")</f>
        <v/>
      </c>
      <c r="K886" s="102" t="str">
        <f t="shared" si="491"/>
        <v/>
      </c>
      <c r="L886" s="94"/>
      <c r="M886" s="103"/>
      <c r="S886" s="102" t="str">
        <f>IF(ISNUMBER($B864), IF($C886&lt;&gt;"", IF('Cost Inputs'!$L$191="Y", $E886, IF('Cost Inputs'!$L$191="N", IF(ISNUMBER('Cost Inputs'!$M$191), $E886, ""),"")),""),"")</f>
        <v/>
      </c>
      <c r="T886" s="102" t="str">
        <f>IF(ISNUMBER($B864), IF($C886&lt;&gt;"", IF('Cost Inputs'!$L$191="Y", $E886, IF('Cost Inputs'!$L$191="N", IF(ISNUMBER('Cost Inputs'!$M$191), $E886, ""),"")),""),"")</f>
        <v/>
      </c>
      <c r="U886" s="102" t="str">
        <f>IF(ISNUMBER($B864), IF($C886&lt;&gt;"", IF('Cost Inputs'!$L$191="Y", $E886, IF('Cost Inputs'!$L$191="N", IF(ISNUMBER('Cost Inputs'!$M$191), $E886, ""),"")),""),"")</f>
        <v/>
      </c>
      <c r="V886" s="102" t="str">
        <f>IF(ISNUMBER($B864), IF($C886&lt;&gt;"", IF('Cost Inputs'!$L$191="Y", $E886, IF('Cost Inputs'!$L$191="N", IF(ISNUMBER('Cost Inputs'!$M$191), $E886, ""),"")),""),"")</f>
        <v/>
      </c>
      <c r="W886" s="102" t="str">
        <f>IF(ISNUMBER($B864), IF($C886&lt;&gt;"", IF('Cost Inputs'!$L$191="Y", $E886, IF('Cost Inputs'!$L$191="N", IF(ISNUMBER('Cost Inputs'!$M$191), $E886, ""),"")),""),"")</f>
        <v/>
      </c>
      <c r="X886" s="102" t="str">
        <f>IF(ISNUMBER($B864), IF($C886&lt;&gt;"", IF('Cost Inputs'!$L$191="Y", $E886, IF('Cost Inputs'!$L$191="N", IF(ISNUMBER('Cost Inputs'!$M$191), $E886, ""),"")),""),"")</f>
        <v/>
      </c>
      <c r="Y886" s="102" t="str">
        <f>IF(ISNUMBER($B864), IF($C886&lt;&gt;"", IF('Cost Inputs'!$L$191="Y", $E886, IF('Cost Inputs'!$L$191="N", IF(ISNUMBER('Cost Inputs'!$M$191), $E886, ""),"")),""),"")</f>
        <v/>
      </c>
      <c r="Z886" s="102" t="str">
        <f>IF(ISNUMBER($B864), IF($C886&lt;&gt;"", IF('Cost Inputs'!$L$191="Y", $E886, IF('Cost Inputs'!$L$191="N", IF(ISNUMBER('Cost Inputs'!$M$191), $E886, ""),"")),""),"")</f>
        <v/>
      </c>
      <c r="AA886" s="102" t="str">
        <f>IF(ISNUMBER($B864), IF($C886&lt;&gt;"", IF('Cost Inputs'!$L$191="Y", $E886, IF('Cost Inputs'!$L$191="N", IF(ISNUMBER('Cost Inputs'!$M$191), $E886, ""),"")),""),"")</f>
        <v/>
      </c>
      <c r="AB886" s="102" t="str">
        <f>IF(ISNUMBER($B864), IF($C886&lt;&gt;"", IF('Cost Inputs'!$L$191="Y", $E886, IF('Cost Inputs'!$L$191="N", IF(ISNUMBER('Cost Inputs'!$M$191), $E886, ""),"")),""),"")</f>
        <v/>
      </c>
    </row>
    <row r="887" spans="1:28" x14ac:dyDescent="0.25">
      <c r="A887" s="518"/>
      <c r="B887" s="504"/>
      <c r="C887" s="104" t="str">
        <f>IF(AND(ISNUMBER(B864), OR('Cost Inputs'!$H$192&lt;&gt;"", 'Cost Inputs'!$I$192&lt;&gt;"", 'Cost Inputs'!$J$192&lt;&gt;"")), _6_4_1, "")</f>
        <v/>
      </c>
      <c r="D887" s="17" t="str">
        <f>IF(AND(C887&lt;&gt;"", 'Cost Inputs'!$G$192&lt;&gt;""), 'Cost Inputs'!$G$192, "")</f>
        <v/>
      </c>
      <c r="E887" s="17" t="str">
        <f>IF(AND(C887&lt;&gt;"", 'Cost Inputs'!$H$192&lt;&gt;""), 'Cost Inputs'!$H$192, "")</f>
        <v/>
      </c>
      <c r="F887" s="17" t="str">
        <f>IF(AND(C887&lt;&gt;"", 'Cost Inputs'!$I$192&lt;&gt;""), 'Cost Inputs'!$I$192, "")</f>
        <v/>
      </c>
      <c r="G887" s="105" t="str">
        <f t="shared" si="489"/>
        <v/>
      </c>
      <c r="H887" s="17" t="str">
        <f>IF(AND(C887&lt;&gt;"", 'Cost Inputs'!$J$192&lt;&gt;""), 'Cost Inputs'!$J$192, "")</f>
        <v/>
      </c>
      <c r="I887" s="17" t="str">
        <f t="shared" si="490"/>
        <v/>
      </c>
      <c r="J887" s="17" t="str">
        <f>IF(AND(C887&lt;&gt;"",('Cost Inputs'!$I$192+'Cost Inputs'!$J$192+'Cost Inputs'!$K$192)&gt;0), 'Cost Inputs'!$I$192+'Cost Inputs'!$J$192+'Cost Inputs'!$K$192, "")</f>
        <v/>
      </c>
      <c r="K887" s="17" t="str">
        <f t="shared" si="491"/>
        <v/>
      </c>
      <c r="M887" s="106"/>
      <c r="S887" s="17" t="str">
        <f>IF(ISNUMBER($B864), IF($C887&lt;&gt;"", IF('Cost Inputs'!$L$192="Y", $E887, IF('Cost Inputs'!$L$192="N", IF(ISNUMBER('Cost Inputs'!$M$192), $E887, ""),"")),""),"")</f>
        <v/>
      </c>
      <c r="T887" s="17" t="str">
        <f>IF(ISNUMBER($B864), IF($C887&lt;&gt;"", IF('Cost Inputs'!$L$192="Y", $E887, IF('Cost Inputs'!$L$192="N", IF(ISNUMBER('Cost Inputs'!$M$192), $E887, ""),"")),""),"")</f>
        <v/>
      </c>
      <c r="U887" s="17" t="str">
        <f>IF(ISNUMBER($B864), IF($C887&lt;&gt;"", IF('Cost Inputs'!$L$192="Y", $E887, IF('Cost Inputs'!$L$192="N", IF(ISNUMBER('Cost Inputs'!$M$192), $E887, ""),"")),""),"")</f>
        <v/>
      </c>
      <c r="V887" s="17" t="str">
        <f>IF(ISNUMBER($B864), IF($C887&lt;&gt;"", IF('Cost Inputs'!$L$192="Y", $E887, IF('Cost Inputs'!$L$192="N", IF(ISNUMBER('Cost Inputs'!$M$192), $E887, ""),"")),""),"")</f>
        <v/>
      </c>
      <c r="W887" s="17" t="str">
        <f>IF(ISNUMBER($B864), IF($C887&lt;&gt;"", IF('Cost Inputs'!$L$192="Y", $E887, IF('Cost Inputs'!$L$192="N", IF(ISNUMBER('Cost Inputs'!$M$192), $E887, ""),"")),""),"")</f>
        <v/>
      </c>
      <c r="X887" s="17" t="str">
        <f>IF(ISNUMBER($B864), IF($C887&lt;&gt;"", IF('Cost Inputs'!$L$192="Y", $E887, IF('Cost Inputs'!$L$192="N", IF(ISNUMBER('Cost Inputs'!$M$192), $E887, ""),"")),""),"")</f>
        <v/>
      </c>
      <c r="Y887" s="17" t="str">
        <f>IF(ISNUMBER($B864), IF($C887&lt;&gt;"", IF('Cost Inputs'!$L$192="Y", $E887, IF('Cost Inputs'!$L$192="N", IF(ISNUMBER('Cost Inputs'!$M$192), $E887, ""),"")),""),"")</f>
        <v/>
      </c>
      <c r="Z887" s="17" t="str">
        <f>IF(ISNUMBER($B864), IF($C887&lt;&gt;"", IF('Cost Inputs'!$L$192="Y", $E887, IF('Cost Inputs'!$L$192="N", IF(ISNUMBER('Cost Inputs'!$M$192), $E887, ""),"")),""),"")</f>
        <v/>
      </c>
      <c r="AA887" s="17" t="str">
        <f>IF(ISNUMBER($B864), IF($C887&lt;&gt;"", IF('Cost Inputs'!$L$192="Y", $E887, IF('Cost Inputs'!$L$192="N", IF(ISNUMBER('Cost Inputs'!$M$192), $E887, ""),"")),""),"")</f>
        <v/>
      </c>
      <c r="AB887" s="17" t="str">
        <f>IF(ISNUMBER($B864), IF($C887&lt;&gt;"", IF('Cost Inputs'!$L$192="Y", $E887, IF('Cost Inputs'!$L$192="N", IF(ISNUMBER('Cost Inputs'!$M$192), $E887, ""),"")),""),"")</f>
        <v/>
      </c>
    </row>
    <row r="888" spans="1:28" x14ac:dyDescent="0.25">
      <c r="A888" s="518"/>
      <c r="B888" s="504"/>
      <c r="C888" s="107" t="str">
        <f>IF(AND(ISNUMBER(B864), OR('Cost Inputs'!$H$193&lt;&gt;"", 'Cost Inputs'!$I$193&lt;&gt;"", 'Cost Inputs'!$J$193&lt;&gt;"")), _6_4_2, "")</f>
        <v/>
      </c>
      <c r="D888" s="93" t="str">
        <f>IF(AND(C888&lt;&gt;"", 'Cost Inputs'!$G$193&lt;&gt;""), 'Cost Inputs'!$G$193, "")</f>
        <v/>
      </c>
      <c r="E888" s="93" t="str">
        <f>IF(AND(C888&lt;&gt;"", 'Cost Inputs'!$H$193&lt;&gt;""), 'Cost Inputs'!$H$193, "")</f>
        <v/>
      </c>
      <c r="F888" s="93" t="str">
        <f>IF(AND(C888&lt;&gt;"", 'Cost Inputs'!$I$193&lt;&gt;""), 'Cost Inputs'!$I$193, "")</f>
        <v/>
      </c>
      <c r="G888" s="108" t="str">
        <f t="shared" si="489"/>
        <v/>
      </c>
      <c r="H888" s="93" t="str">
        <f>IF(AND(C888&lt;&gt;"", 'Cost Inputs'!$J$193&lt;&gt;""), 'Cost Inputs'!$J$193, "")</f>
        <v/>
      </c>
      <c r="I888" s="93" t="str">
        <f t="shared" si="490"/>
        <v/>
      </c>
      <c r="J888" s="93" t="str">
        <f>IF(AND(C888&lt;&gt;"",('Cost Inputs'!$I$152+'Cost Inputs'!$J$152+'Cost Inputs'!$K$152)&gt;0), 'Cost Inputs'!$I$152+'Cost Inputs'!$J$152+'Cost Inputs'!$K$152, "")</f>
        <v/>
      </c>
      <c r="K888" s="93" t="str">
        <f t="shared" si="491"/>
        <v/>
      </c>
      <c r="L888" s="93"/>
      <c r="M888" s="109"/>
      <c r="S888" s="93" t="str">
        <f>IF(ISNUMBER($B864), IF($C888&lt;&gt;"", IF('Cost Inputs'!$L$193="Y", $E888, IF('Cost Inputs'!$L$193="N", IF(ISNUMBER('Cost Inputs'!$M$193), $E888, ""),"")),""),"")</f>
        <v/>
      </c>
      <c r="T888" s="93" t="str">
        <f>IF(ISNUMBER($B864), IF($C888&lt;&gt;"", IF('Cost Inputs'!$L$193="Y", $E888, IF('Cost Inputs'!$L$193="N", IF(ISNUMBER('Cost Inputs'!$M$193), $E888, ""),"")),""),"")</f>
        <v/>
      </c>
      <c r="U888" s="93" t="str">
        <f>IF(ISNUMBER($B864), IF($C888&lt;&gt;"", IF('Cost Inputs'!$L$193="Y", $E888, IF('Cost Inputs'!$L$193="N", IF(ISNUMBER('Cost Inputs'!$M$193), $E888, ""),"")),""),"")</f>
        <v/>
      </c>
      <c r="V888" s="93" t="str">
        <f>IF(ISNUMBER($B864), IF($C888&lt;&gt;"", IF('Cost Inputs'!$L$193="Y", $E888, IF('Cost Inputs'!$L$193="N", IF(ISNUMBER('Cost Inputs'!$M$193), $E888, ""),"")),""),"")</f>
        <v/>
      </c>
      <c r="W888" s="93" t="str">
        <f>IF(ISNUMBER($B864), IF($C888&lt;&gt;"", IF('Cost Inputs'!$L$193="Y", $E888, IF('Cost Inputs'!$L$193="N", IF(ISNUMBER('Cost Inputs'!$M$193), $E888, ""),"")),""),"")</f>
        <v/>
      </c>
      <c r="X888" s="93" t="str">
        <f>IF(ISNUMBER($B864), IF($C888&lt;&gt;"", IF('Cost Inputs'!$L$193="Y", $E888, IF('Cost Inputs'!$L$193="N", IF(ISNUMBER('Cost Inputs'!$M$193), $E888, ""),"")),""),"")</f>
        <v/>
      </c>
      <c r="Y888" s="93" t="str">
        <f>IF(ISNUMBER($B864), IF($C888&lt;&gt;"", IF('Cost Inputs'!$L$193="Y", $E888, IF('Cost Inputs'!$L$193="N", IF(ISNUMBER('Cost Inputs'!$M$193), $E888, ""),"")),""),"")</f>
        <v/>
      </c>
      <c r="Z888" s="93" t="str">
        <f>IF(ISNUMBER($B864), IF($C888&lt;&gt;"", IF('Cost Inputs'!$L$193="Y", $E888, IF('Cost Inputs'!$L$193="N", IF(ISNUMBER('Cost Inputs'!$M$193), $E888, ""),"")),""),"")</f>
        <v/>
      </c>
      <c r="AA888" s="93" t="str">
        <f>IF(ISNUMBER($B864), IF($C888&lt;&gt;"", IF('Cost Inputs'!$L$193="Y", $E888, IF('Cost Inputs'!$L$193="N", IF(ISNUMBER('Cost Inputs'!$M$193), $E888, ""),"")),""),"")</f>
        <v/>
      </c>
      <c r="AB888" s="93" t="str">
        <f>IF(ISNUMBER($B864), IF($C888&lt;&gt;"", IF('Cost Inputs'!$L$193="Y", $E888, IF('Cost Inputs'!$L$193="N", IF(ISNUMBER('Cost Inputs'!$M$193), $E888, ""),"")),""),"")</f>
        <v/>
      </c>
    </row>
    <row r="889" spans="1:28" x14ac:dyDescent="0.25">
      <c r="A889" s="518"/>
      <c r="B889" s="504"/>
      <c r="C889" s="104" t="str">
        <f>IF(AND(ISNUMBER(B864), OR('Cost Inputs'!$H$194&lt;&gt;"", 'Cost Inputs'!$I$194&lt;&gt;"", 'Cost Inputs'!$J$194&lt;&gt;"")), _6_4_3, "")</f>
        <v/>
      </c>
      <c r="D889" s="17" t="str">
        <f>IF(AND(C889&lt;&gt;"", 'Cost Inputs'!$G$194&lt;&gt;""), 'Cost Inputs'!$G$194, "")</f>
        <v/>
      </c>
      <c r="E889" s="17" t="str">
        <f>IF(AND(C889&lt;&gt;"", 'Cost Inputs'!$H$194&lt;&gt;""), 'Cost Inputs'!$H$194, "")</f>
        <v/>
      </c>
      <c r="F889" s="17" t="str">
        <f>IF(AND(C889&lt;&gt;"", 'Cost Inputs'!$I$194&lt;&gt;""), 'Cost Inputs'!$I$194, "")</f>
        <v/>
      </c>
      <c r="G889" s="105" t="str">
        <f t="shared" si="489"/>
        <v/>
      </c>
      <c r="H889" s="17" t="str">
        <f>IF(AND(C889&lt;&gt;"", 'Cost Inputs'!$J$194&lt;&gt;""), 'Cost Inputs'!$J$194, "")</f>
        <v/>
      </c>
      <c r="I889" s="17" t="str">
        <f t="shared" si="490"/>
        <v/>
      </c>
      <c r="J889" s="17" t="str">
        <f>IF(AND(C889&lt;&gt;"",('Cost Inputs'!$I$194+'Cost Inputs'!$J$194+'Cost Inputs'!$K$194)&gt;0), 'Cost Inputs'!$I$194+'Cost Inputs'!$J$194+'Cost Inputs'!$K$194, "")</f>
        <v/>
      </c>
      <c r="K889" s="17" t="str">
        <f t="shared" si="491"/>
        <v/>
      </c>
      <c r="M889" s="106"/>
      <c r="S889" s="17" t="str">
        <f>IF(ISNUMBER($B864), IF($C889&lt;&gt;"", IF('Cost Inputs'!$L$194="Y", $E889, IF('Cost Inputs'!$L$194="N", IF(ISNUMBER('Cost Inputs'!$M$194), $E889, ""),"")),""),"")</f>
        <v/>
      </c>
      <c r="T889" s="17" t="str">
        <f>IF(ISNUMBER($B864), IF($C889&lt;&gt;"", IF('Cost Inputs'!$L$194="Y", $E889, IF('Cost Inputs'!$L$194="N", IF(ISNUMBER('Cost Inputs'!$M$194), $E889, ""),"")),""),"")</f>
        <v/>
      </c>
      <c r="U889" s="17" t="str">
        <f>IF(ISNUMBER($B864), IF($C889&lt;&gt;"", IF('Cost Inputs'!$L$194="Y", $E889, IF('Cost Inputs'!$L$194="N", IF(ISNUMBER('Cost Inputs'!$M$194), $E889, ""),"")),""),"")</f>
        <v/>
      </c>
      <c r="V889" s="17" t="str">
        <f>IF(ISNUMBER($B864), IF($C889&lt;&gt;"", IF('Cost Inputs'!$L$194="Y", $E889, IF('Cost Inputs'!$L$194="N", IF(ISNUMBER('Cost Inputs'!$M$194), $E889, ""),"")),""),"")</f>
        <v/>
      </c>
      <c r="W889" s="17" t="str">
        <f>IF(ISNUMBER($B864), IF($C889&lt;&gt;"", IF('Cost Inputs'!$L$194="Y", $E889, IF('Cost Inputs'!$L$194="N", IF(ISNUMBER('Cost Inputs'!$M$194), $E889, ""),"")),""),"")</f>
        <v/>
      </c>
      <c r="X889" s="17" t="str">
        <f>IF(ISNUMBER($B864), IF($C889&lt;&gt;"", IF('Cost Inputs'!$L$194="Y", $E889, IF('Cost Inputs'!$L$194="N", IF(ISNUMBER('Cost Inputs'!$M$194), $E889, ""),"")),""),"")</f>
        <v/>
      </c>
      <c r="Y889" s="17" t="str">
        <f>IF(ISNUMBER($B864), IF($C889&lt;&gt;"", IF('Cost Inputs'!$L$194="Y", $E889, IF('Cost Inputs'!$L$194="N", IF(ISNUMBER('Cost Inputs'!$M$194), $E889, ""),"")),""),"")</f>
        <v/>
      </c>
      <c r="Z889" s="17" t="str">
        <f>IF(ISNUMBER($B864), IF($C889&lt;&gt;"", IF('Cost Inputs'!$L$194="Y", $E889, IF('Cost Inputs'!$L$194="N", IF(ISNUMBER('Cost Inputs'!$M$194), $E889, ""),"")),""),"")</f>
        <v/>
      </c>
      <c r="AA889" s="17" t="str">
        <f>IF(ISNUMBER($B864), IF($C889&lt;&gt;"", IF('Cost Inputs'!$L$194="Y", $E889, IF('Cost Inputs'!$L$194="N", IF(ISNUMBER('Cost Inputs'!$M$194), $E889, ""),"")),""),"")</f>
        <v/>
      </c>
      <c r="AB889" s="17" t="str">
        <f>IF(ISNUMBER($B864), IF($C889&lt;&gt;"", IF('Cost Inputs'!$L$194="Y", $E889, IF('Cost Inputs'!$L$194="N", IF(ISNUMBER('Cost Inputs'!$M$194), $E889, ""),"")),""),"")</f>
        <v/>
      </c>
    </row>
    <row r="890" spans="1:28" x14ac:dyDescent="0.25">
      <c r="A890" s="518"/>
      <c r="B890" s="504"/>
      <c r="C890" s="107" t="str">
        <f>IF(AND(ISNUMBER(B864), OR('Cost Inputs'!$H$195&lt;&gt;"", 'Cost Inputs'!$I$195&lt;&gt;"", 'Cost Inputs'!$J$195&lt;&gt;"")), _6_4_4, "")</f>
        <v/>
      </c>
      <c r="D890" s="93" t="str">
        <f>IF(AND(C890&lt;&gt;"", 'Cost Inputs'!$G$195&lt;&gt;""), 'Cost Inputs'!$G$195, "")</f>
        <v/>
      </c>
      <c r="E890" s="93" t="str">
        <f>IF(AND(C890&lt;&gt;"", 'Cost Inputs'!$H$195&lt;&gt;""), 'Cost Inputs'!$H$195, "")</f>
        <v/>
      </c>
      <c r="F890" s="93" t="str">
        <f>IF(AND(C890&lt;&gt;"", 'Cost Inputs'!$I$195&lt;&gt;""), 'Cost Inputs'!$I$195, "")</f>
        <v/>
      </c>
      <c r="G890" s="108" t="str">
        <f t="shared" si="489"/>
        <v/>
      </c>
      <c r="H890" s="93" t="str">
        <f>IF(AND(C890&lt;&gt;"", 'Cost Inputs'!$J$195&lt;&gt;""), 'Cost Inputs'!$J$195, "")</f>
        <v/>
      </c>
      <c r="I890" s="93" t="str">
        <f t="shared" si="490"/>
        <v/>
      </c>
      <c r="J890" s="93" t="str">
        <f>IF(AND(C890&lt;&gt;"",('Cost Inputs'!$I$195+'Cost Inputs'!$J$195+'Cost Inputs'!$K$195)&gt;0), 'Cost Inputs'!$I$195+'Cost Inputs'!$J$195+'Cost Inputs'!$K$195, "")</f>
        <v/>
      </c>
      <c r="K890" s="93" t="str">
        <f t="shared" si="491"/>
        <v/>
      </c>
      <c r="L890" s="93"/>
      <c r="M890" s="109"/>
      <c r="S890" s="93" t="str">
        <f>IF(ISNUMBER($B864), IF($C890&lt;&gt;"", IF('Cost Inputs'!$L$195="Y", $E890, IF('Cost Inputs'!$L$195="N", IF(ISNUMBER('Cost Inputs'!$M$195), $E890, ""),"")),""),"")</f>
        <v/>
      </c>
      <c r="T890" s="93" t="str">
        <f>IF(ISNUMBER($B864), IF($C890&lt;&gt;"", IF('Cost Inputs'!$L$195="Y", $E890, IF('Cost Inputs'!$L$195="N", IF(ISNUMBER('Cost Inputs'!$M$195), $E890, ""),"")),""),"")</f>
        <v/>
      </c>
      <c r="U890" s="93" t="str">
        <f>IF(ISNUMBER($B864), IF($C890&lt;&gt;"", IF('Cost Inputs'!$L$195="Y", $E890, IF('Cost Inputs'!$L$195="N", IF(ISNUMBER('Cost Inputs'!$M$195), $E890, ""),"")),""),"")</f>
        <v/>
      </c>
      <c r="V890" s="93" t="str">
        <f>IF(ISNUMBER($B864), IF($C890&lt;&gt;"", IF('Cost Inputs'!$L$195="Y", $E890, IF('Cost Inputs'!$L$195="N", IF(ISNUMBER('Cost Inputs'!$M$195), $E890, ""),"")),""),"")</f>
        <v/>
      </c>
      <c r="W890" s="93" t="str">
        <f>IF(ISNUMBER($B864), IF($C890&lt;&gt;"", IF('Cost Inputs'!$L$195="Y", $E890, IF('Cost Inputs'!$L$195="N", IF(ISNUMBER('Cost Inputs'!$M$195), $E890, ""),"")),""),"")</f>
        <v/>
      </c>
      <c r="X890" s="93" t="str">
        <f>IF(ISNUMBER($B864), IF($C890&lt;&gt;"", IF('Cost Inputs'!$L$195="Y", $E890, IF('Cost Inputs'!$L$195="N", IF(ISNUMBER('Cost Inputs'!$M$195), $E890, ""),"")),""),"")</f>
        <v/>
      </c>
      <c r="Y890" s="93" t="str">
        <f>IF(ISNUMBER($B864), IF($C890&lt;&gt;"", IF('Cost Inputs'!$L$195="Y", $E890, IF('Cost Inputs'!$L$195="N", IF(ISNUMBER('Cost Inputs'!$M$195), $E890, ""),"")),""),"")</f>
        <v/>
      </c>
      <c r="Z890" s="93" t="str">
        <f>IF(ISNUMBER($B864), IF($C890&lt;&gt;"", IF('Cost Inputs'!$L$195="Y", $E890, IF('Cost Inputs'!$L$195="N", IF(ISNUMBER('Cost Inputs'!$M$195), $E890, ""),"")),""),"")</f>
        <v/>
      </c>
      <c r="AA890" s="93" t="str">
        <f>IF(ISNUMBER($B864), IF($C890&lt;&gt;"", IF('Cost Inputs'!$L$195="Y", $E890, IF('Cost Inputs'!$L$195="N", IF(ISNUMBER('Cost Inputs'!$M$195), $E890, ""),"")),""),"")</f>
        <v/>
      </c>
      <c r="AB890" s="93" t="str">
        <f>IF(ISNUMBER($B864), IF($C890&lt;&gt;"", IF('Cost Inputs'!$L$195="Y", $E890, IF('Cost Inputs'!$L$195="N", IF(ISNUMBER('Cost Inputs'!$M$195), $E890, ""),"")),""),"")</f>
        <v/>
      </c>
    </row>
    <row r="891" spans="1:28" x14ac:dyDescent="0.25">
      <c r="A891" s="518"/>
      <c r="B891" s="504"/>
      <c r="C891" s="104" t="str">
        <f>IF(AND(ISNUMBER(B864), OR('Cost Inputs'!$H$196&lt;&gt;"", 'Cost Inputs'!$I$196&lt;&gt;"", 'Cost Inputs'!$J$196&lt;&gt;"")), _6_4_5, "")</f>
        <v/>
      </c>
      <c r="D891" s="17" t="str">
        <f>IF(AND(C891&lt;&gt;"", 'Cost Inputs'!$G$196&lt;&gt;""), 'Cost Inputs'!$G$196, "")</f>
        <v/>
      </c>
      <c r="E891" s="17" t="str">
        <f>IF(AND(C891&lt;&gt;"", 'Cost Inputs'!$H$196&lt;&gt;""), 'Cost Inputs'!$H$196, "")</f>
        <v/>
      </c>
      <c r="F891" s="17" t="str">
        <f>IF(AND(C891&lt;&gt;"", 'Cost Inputs'!$I$196&lt;&gt;""), 'Cost Inputs'!$I$196, "")</f>
        <v/>
      </c>
      <c r="G891" s="105" t="str">
        <f t="shared" si="489"/>
        <v/>
      </c>
      <c r="H891" s="17" t="str">
        <f>IF(AND(C891&lt;&gt;"", 'Cost Inputs'!$J$196&lt;&gt;""), 'Cost Inputs'!$J$196, "")</f>
        <v/>
      </c>
      <c r="I891" s="17" t="str">
        <f t="shared" si="490"/>
        <v/>
      </c>
      <c r="J891" s="17" t="str">
        <f>IF(AND(C891&lt;&gt;"",('Cost Inputs'!$I$196+'Cost Inputs'!$J$196+'Cost Inputs'!$K$196)&gt;0), 'Cost Inputs'!$I$196+'Cost Inputs'!$J$196+'Cost Inputs'!$K$196, "")</f>
        <v/>
      </c>
      <c r="K891" s="17" t="str">
        <f t="shared" si="491"/>
        <v/>
      </c>
      <c r="M891" s="106"/>
      <c r="S891" s="17" t="str">
        <f>IF(ISNUMBER($B864), IF($C891&lt;&gt;"", IF('Cost Inputs'!$L$196="Y", $E891, IF('Cost Inputs'!$L$196="N", IF(ISNUMBER('Cost Inputs'!$M$196), $E891, ""),"")),""),"")</f>
        <v/>
      </c>
      <c r="T891" s="17" t="str">
        <f>IF(ISNUMBER($B864), IF($C891&lt;&gt;"", IF('Cost Inputs'!$L$196="Y", $E891, IF('Cost Inputs'!$L$196="N", IF(ISNUMBER('Cost Inputs'!$M$196), $E891, ""),"")),""),"")</f>
        <v/>
      </c>
      <c r="U891" s="17" t="str">
        <f>IF(ISNUMBER($B864), IF($C891&lt;&gt;"", IF('Cost Inputs'!$L$196="Y", $E891, IF('Cost Inputs'!$L$196="N", IF(ISNUMBER('Cost Inputs'!$M$196), $E891, ""),"")),""),"")</f>
        <v/>
      </c>
      <c r="V891" s="17" t="str">
        <f>IF(ISNUMBER($B864), IF($C891&lt;&gt;"", IF('Cost Inputs'!$L$196="Y", $E891, IF('Cost Inputs'!$L$196="N", IF(ISNUMBER('Cost Inputs'!$M$196), $E891, ""),"")),""),"")</f>
        <v/>
      </c>
      <c r="W891" s="17" t="str">
        <f>IF(ISNUMBER($B864), IF($C891&lt;&gt;"", IF('Cost Inputs'!$L$196="Y", $E891, IF('Cost Inputs'!$L$196="N", IF(ISNUMBER('Cost Inputs'!$M$196), $E891, ""),"")),""),"")</f>
        <v/>
      </c>
      <c r="X891" s="17" t="str">
        <f>IF(ISNUMBER($B864), IF($C891&lt;&gt;"", IF('Cost Inputs'!$L$196="Y", $E891, IF('Cost Inputs'!$L$196="N", IF(ISNUMBER('Cost Inputs'!$M$196), $E891, ""),"")),""),"")</f>
        <v/>
      </c>
      <c r="Y891" s="17" t="str">
        <f>IF(ISNUMBER($B864), IF($C891&lt;&gt;"", IF('Cost Inputs'!$L$196="Y", $E891, IF('Cost Inputs'!$L$196="N", IF(ISNUMBER('Cost Inputs'!$M$196), $E891, ""),"")),""),"")</f>
        <v/>
      </c>
      <c r="Z891" s="17" t="str">
        <f>IF(ISNUMBER($B864), IF($C891&lt;&gt;"", IF('Cost Inputs'!$L$196="Y", $E891, IF('Cost Inputs'!$L$196="N", IF(ISNUMBER('Cost Inputs'!$M$196), $E891, ""),"")),""),"")</f>
        <v/>
      </c>
      <c r="AA891" s="17" t="str">
        <f>IF(ISNUMBER($B864), IF($C891&lt;&gt;"", IF('Cost Inputs'!$L$196="Y", $E891, IF('Cost Inputs'!$L$196="N", IF(ISNUMBER('Cost Inputs'!$M$196), $E891, ""),"")),""),"")</f>
        <v/>
      </c>
      <c r="AB891" s="17" t="str">
        <f>IF(ISNUMBER($B864), IF($C891&lt;&gt;"", IF('Cost Inputs'!$L$196="Y", $E891, IF('Cost Inputs'!$L$196="N", IF(ISNUMBER('Cost Inputs'!$M$196), $E891, ""),"")),""),"")</f>
        <v/>
      </c>
    </row>
    <row r="892" spans="1:28" x14ac:dyDescent="0.25">
      <c r="A892" s="518"/>
      <c r="B892" s="504"/>
      <c r="C892" s="107" t="str">
        <f>IF(AND(ISNUMBER(B864), OR('Cost Inputs'!$H$197&lt;&gt;"", 'Cost Inputs'!$I$197&lt;&gt;"", 'Cost Inputs'!$J$197&lt;&gt;"")), _6_4_6, "")</f>
        <v/>
      </c>
      <c r="D892" s="93" t="str">
        <f>IF(AND(C892&lt;&gt;"", 'Cost Inputs'!$G$197&lt;&gt;""), 'Cost Inputs'!$G$197, "")</f>
        <v/>
      </c>
      <c r="E892" s="93" t="str">
        <f>IF(AND(C892&lt;&gt;"", 'Cost Inputs'!$H$197&lt;&gt;""), 'Cost Inputs'!$H$197, "")</f>
        <v/>
      </c>
      <c r="F892" s="93" t="str">
        <f>IF(AND(C892&lt;&gt;"", 'Cost Inputs'!$I$197&lt;&gt;""), 'Cost Inputs'!$I$197, "")</f>
        <v/>
      </c>
      <c r="G892" s="108" t="str">
        <f t="shared" si="489"/>
        <v/>
      </c>
      <c r="H892" s="93" t="str">
        <f>IF(AND(C892&lt;&gt;"", 'Cost Inputs'!$J$197&lt;&gt;""), 'Cost Inputs'!$J$16, "")</f>
        <v/>
      </c>
      <c r="I892" s="93" t="str">
        <f t="shared" si="490"/>
        <v/>
      </c>
      <c r="J892" s="93" t="str">
        <f>IF(AND(C892&lt;&gt;"",('Cost Inputs'!$I$197+'Cost Inputs'!$J$197+'Cost Inputs'!$K$197)&gt;0), 'Cost Inputs'!$I$197+'Cost Inputs'!$J$197+'Cost Inputs'!$K$197, "")</f>
        <v/>
      </c>
      <c r="K892" s="93" t="str">
        <f t="shared" si="491"/>
        <v/>
      </c>
      <c r="L892" s="93"/>
      <c r="M892" s="109"/>
      <c r="S892" s="93" t="str">
        <f>IF(ISNUMBER($B864), IF($C892&lt;&gt;"", IF('Cost Inputs'!$L$197="Y", $E892, IF('Cost Inputs'!$L$197="N", IF(ISNUMBER('Cost Inputs'!$M$197), $E892, ""),"")),""),"")</f>
        <v/>
      </c>
      <c r="T892" s="93" t="str">
        <f>IF(ISNUMBER($B864), IF($C892&lt;&gt;"", IF('Cost Inputs'!$L$197="Y", $E892, IF('Cost Inputs'!$L$197="N", IF(ISNUMBER('Cost Inputs'!$M$197), $E892, ""),"")),""),"")</f>
        <v/>
      </c>
      <c r="U892" s="93" t="str">
        <f>IF(ISNUMBER($B864), IF($C892&lt;&gt;"", IF('Cost Inputs'!$L$197="Y", $E892, IF('Cost Inputs'!$L$197="N", IF(ISNUMBER('Cost Inputs'!$M$197), $E892, ""),"")),""),"")</f>
        <v/>
      </c>
      <c r="V892" s="93" t="str">
        <f>IF(ISNUMBER($B864), IF($C892&lt;&gt;"", IF('Cost Inputs'!$L$197="Y", $E892, IF('Cost Inputs'!$L$197="N", IF(ISNUMBER('Cost Inputs'!$M$197), $E892, ""),"")),""),"")</f>
        <v/>
      </c>
      <c r="W892" s="93" t="str">
        <f>IF(ISNUMBER($B864), IF($C892&lt;&gt;"", IF('Cost Inputs'!$L$197="Y", $E892, IF('Cost Inputs'!$L$197="N", IF(ISNUMBER('Cost Inputs'!$M$197), $E892, ""),"")),""),"")</f>
        <v/>
      </c>
      <c r="X892" s="93" t="str">
        <f>IF(ISNUMBER($B864), IF($C892&lt;&gt;"", IF('Cost Inputs'!$L$197="Y", $E892, IF('Cost Inputs'!$L$197="N", IF(ISNUMBER('Cost Inputs'!$M$197), $E892, ""),"")),""),"")</f>
        <v/>
      </c>
      <c r="Y892" s="93" t="str">
        <f>IF(ISNUMBER($B864), IF($C892&lt;&gt;"", IF('Cost Inputs'!$L$197="Y", $E892, IF('Cost Inputs'!$L$197="N", IF(ISNUMBER('Cost Inputs'!$M$197), $E892, ""),"")),""),"")</f>
        <v/>
      </c>
      <c r="Z892" s="93" t="str">
        <f>IF(ISNUMBER($B864), IF($C892&lt;&gt;"", IF('Cost Inputs'!$L$197="Y", $E892, IF('Cost Inputs'!$L$197="N", IF(ISNUMBER('Cost Inputs'!$M$197), $E892, ""),"")),""),"")</f>
        <v/>
      </c>
      <c r="AA892" s="93" t="str">
        <f>IF(ISNUMBER($B864), IF($C892&lt;&gt;"", IF('Cost Inputs'!$L$197="Y", $E892, IF('Cost Inputs'!$L$197="N", IF(ISNUMBER('Cost Inputs'!$M$197), $E892, ""),"")),""),"")</f>
        <v/>
      </c>
      <c r="AB892" s="93" t="str">
        <f>IF(ISNUMBER($B864), IF($C892&lt;&gt;"", IF('Cost Inputs'!$L$197="Y", $E892, IF('Cost Inputs'!$L$197="N", IF(ISNUMBER('Cost Inputs'!$M$197), $E892, ""),"")),""),"")</f>
        <v/>
      </c>
    </row>
    <row r="893" spans="1:28" x14ac:dyDescent="0.25">
      <c r="A893" s="518"/>
      <c r="B893" s="504"/>
      <c r="C893" s="521" t="str">
        <f>IF(AND(B882&lt;&gt;"",ISNUMBER(B882),ISNUMBER(Stage4EvaluationBegins)),IF((INDEX(ProgramYearStage4,MATCH(Stage4EvaluationBegins,Years_in_Stage4,0)))=B882,_6_5_0,IF(AND(B882&lt;&gt;"",C871&lt;&gt;""),_6_5_0,IF(AND(B882&lt;&gt;"",ISNUMBER(B882),OR(Stage4EvaluationBegins=0,Stage4EvaluationBegins="")),"",""))),"")</f>
        <v/>
      </c>
      <c r="D893" s="94" t="str">
        <f>IF(AND(C893&lt;&gt;"", 'Cost Inputs'!$G$198&lt;&gt;""), 'Cost Inputs'!$G$198, "")</f>
        <v/>
      </c>
      <c r="E893" s="94" t="str">
        <f>IF(AND(C893&lt;&gt;"", 'Cost Inputs'!$H$198&lt;&gt;""), 'Cost Inputs'!$H$198, "")</f>
        <v/>
      </c>
      <c r="F893" s="492" t="str">
        <f>IF(AND(C893&lt;&gt;"", 'Cost Inputs'!$I$198&lt;&gt;""), 'Cost Inputs'!$I$198, "")</f>
        <v/>
      </c>
      <c r="G893" s="102" t="str">
        <f t="shared" si="489"/>
        <v/>
      </c>
      <c r="H893" s="492" t="str">
        <f>IF(AND(C893&lt;&gt;"", 'Cost Inputs'!$J$198&lt;&gt;""), 'Cost Inputs'!$J$198, "")</f>
        <v/>
      </c>
      <c r="I893" s="102" t="str">
        <f>IF($C893&lt;&gt;"",IF(AND($E893&lt;&gt;"",H893&lt;&gt;""), H893/$E893, 0),"")</f>
        <v/>
      </c>
      <c r="J893" s="492" t="str">
        <f>IF(AND(C893&lt;&gt;"",('Cost Inputs'!$I$198+'Cost Inputs'!$J$198+'Cost Inputs'!$K$198)&gt;0), 'Cost Inputs'!$I$198+'Cost Inputs'!$J$198+'Cost Inputs'!$K$198, "")</f>
        <v/>
      </c>
      <c r="K893" s="102" t="str">
        <f>IF($C893&lt;&gt;"",IF(AND($E893&lt;&gt;"",J893&lt;&gt;""), J893/$E893, 0),"")</f>
        <v/>
      </c>
      <c r="L893" s="94"/>
      <c r="M893" s="103"/>
      <c r="S893" s="492" t="str">
        <f>IF(ISNUMBER($B864), IF($C893&lt;&gt;"", IF('Cost Inputs'!$L$198="Y", $E893, IF('Cost Inputs'!$L$198="N", IF(ISNUMBER('Cost Inputs'!$M$198), $E893, ""),"")),""),"")</f>
        <v/>
      </c>
      <c r="T893" s="492" t="str">
        <f>IF(ISNUMBER($B864), IF($C893&lt;&gt;"", IF('Cost Inputs'!$L$198="Y", $E893, IF('Cost Inputs'!$L$198="N", IF(ISNUMBER('Cost Inputs'!$M$198), $E893, ""),"")),""),"")</f>
        <v/>
      </c>
      <c r="U893" s="492" t="str">
        <f>IF(ISNUMBER($B864), IF($C893&lt;&gt;"", IF('Cost Inputs'!$L$198="Y", $E893, IF('Cost Inputs'!$L$198="N", IF(ISNUMBER('Cost Inputs'!$M$198), $E893, ""),"")),""),"")</f>
        <v/>
      </c>
      <c r="V893" s="492" t="str">
        <f>IF(ISNUMBER($B864), IF($C893&lt;&gt;"", IF('Cost Inputs'!$L$198="Y", $E893, IF('Cost Inputs'!$L$198="N", IF(ISNUMBER('Cost Inputs'!$M$198), $E893, ""),"")),""),"")</f>
        <v/>
      </c>
      <c r="W893" s="492" t="str">
        <f>IF(ISNUMBER($B864), IF($C893&lt;&gt;"", IF('Cost Inputs'!$L$198="Y", $E893, IF('Cost Inputs'!$L$198="N", IF(ISNUMBER('Cost Inputs'!$M$198), $E893, ""),"")),""),"")</f>
        <v/>
      </c>
      <c r="X893" s="492" t="str">
        <f>IF(ISNUMBER($B864), IF($C893&lt;&gt;"", IF('Cost Inputs'!$L$198="Y", $E893, IF('Cost Inputs'!$L$198="N", IF(ISNUMBER('Cost Inputs'!$M$198), $E893, ""),"")),""),"")</f>
        <v/>
      </c>
      <c r="Y893" s="492" t="str">
        <f>IF(ISNUMBER($B864), IF($C893&lt;&gt;"", IF('Cost Inputs'!$L$198="Y", $E893, IF('Cost Inputs'!$L$198="N", IF(ISNUMBER('Cost Inputs'!$M$198), $E893, ""),"")),""),"")</f>
        <v/>
      </c>
      <c r="Z893" s="492" t="str">
        <f>IF(ISNUMBER($B864), IF($C893&lt;&gt;"", IF('Cost Inputs'!$L$198="Y", $E893, IF('Cost Inputs'!$L$198="N", IF(ISNUMBER('Cost Inputs'!$M$198), $E893, ""),"")),""),"")</f>
        <v/>
      </c>
      <c r="AA893" s="492" t="str">
        <f>IF(ISNUMBER($B864), IF($C893&lt;&gt;"", IF('Cost Inputs'!$L$198="Y", $E893, IF('Cost Inputs'!$L$198="N", IF(ISNUMBER('Cost Inputs'!$M$198), $E893, ""),"")),""),"")</f>
        <v/>
      </c>
      <c r="AB893" s="492" t="str">
        <f>IF(ISNUMBER($B864), IF($C893&lt;&gt;"", IF('Cost Inputs'!$L$198="Y", $E893, IF('Cost Inputs'!$L$198="N", IF(ISNUMBER('Cost Inputs'!$M$198), $E893, ""),"")),""),"")</f>
        <v/>
      </c>
    </row>
    <row r="894" spans="1:28" x14ac:dyDescent="0.25">
      <c r="A894" s="518"/>
      <c r="B894" s="504"/>
      <c r="C894" s="521"/>
      <c r="D894" s="94" t="str">
        <f>IF(AND(C893&lt;&gt;"", 'Cost Inputs'!$G$199&lt;&gt;""), 'Cost Inputs'!$G$199, "")</f>
        <v/>
      </c>
      <c r="E894" s="94" t="str">
        <f>IF(AND(C893&lt;&gt;"", 'Cost Inputs'!$H$199&lt;&gt;""), 'Cost Inputs'!$H$199, "")</f>
        <v/>
      </c>
      <c r="F894" s="492"/>
      <c r="G894" s="102" t="str">
        <f t="shared" si="489"/>
        <v/>
      </c>
      <c r="H894" s="492"/>
      <c r="I894" s="102" t="str">
        <f>IF($C893&lt;&gt;"", IF(AND($E894&lt;&gt;"", H893&lt;&gt;""), H893/($E893*$E894), 0), "")</f>
        <v/>
      </c>
      <c r="J894" s="492" t="str">
        <f>IF(AND(C894&lt;&gt;"",('Cost Inputs'!$I$86+'Cost Inputs'!$J$86+'Cost Inputs'!$K$86)&gt;0), 'Cost Inputs'!$I$86+'Cost Inputs'!$J$86+'Cost Inputs'!$K$86, "")</f>
        <v/>
      </c>
      <c r="K894" s="102" t="str">
        <f>IF($C893&lt;&gt;"", IF(AND($E894&lt;&gt;"", J893&lt;&gt;""), J893/($E893*$E894), 0), "")</f>
        <v/>
      </c>
      <c r="L894" s="94"/>
      <c r="M894" s="103"/>
      <c r="S894" s="492" t="str">
        <f>IF(ISNUMBER($B$776), IF($C894&lt;&gt;"", IF('Cost Inputs'!$L287="Y", $E894, IF('Cost Inputs'!$L287="N", IF(ISNUMBER('Cost Inputs'!$M287), $E894, ""),"")),""),"")</f>
        <v/>
      </c>
      <c r="T894" s="492" t="str">
        <f>IF(ISNUMBER($B$776), IF($C894&lt;&gt;"", IF('Cost Inputs'!$L287="Y", $E894, IF('Cost Inputs'!$L287="N", IF(ISNUMBER('Cost Inputs'!$M287), $E894, ""),"")),""),"")</f>
        <v/>
      </c>
      <c r="U894" s="492" t="str">
        <f>IF(ISNUMBER($B$776), IF($C894&lt;&gt;"", IF('Cost Inputs'!$L287="Y", $E894, IF('Cost Inputs'!$L287="N", IF(ISNUMBER('Cost Inputs'!$M287), $E894, ""),"")),""),"")</f>
        <v/>
      </c>
      <c r="V894" s="492" t="str">
        <f>IF(ISNUMBER($B$776), IF($C894&lt;&gt;"", IF('Cost Inputs'!$L287="Y", $E894, IF('Cost Inputs'!$L287="N", IF(ISNUMBER('Cost Inputs'!$M287), $E894, ""),"")),""),"")</f>
        <v/>
      </c>
      <c r="W894" s="492" t="str">
        <f>IF(ISNUMBER($B$776), IF($C894&lt;&gt;"", IF('Cost Inputs'!$L287="Y", $E894, IF('Cost Inputs'!$L287="N", IF(ISNUMBER('Cost Inputs'!$M287), $E894, ""),"")),""),"")</f>
        <v/>
      </c>
      <c r="X894" s="492" t="str">
        <f>IF(ISNUMBER($B$776), IF($C894&lt;&gt;"", IF('Cost Inputs'!$L287="Y", $E894, IF('Cost Inputs'!$L287="N", IF(ISNUMBER('Cost Inputs'!$M287), $E894, ""),"")),""),"")</f>
        <v/>
      </c>
      <c r="Y894" s="492" t="str">
        <f>IF(ISNUMBER($B$776), IF($C894&lt;&gt;"", IF('Cost Inputs'!$L287="Y", $E894, IF('Cost Inputs'!$L287="N", IF(ISNUMBER('Cost Inputs'!$M287), $E894, ""),"")),""),"")</f>
        <v/>
      </c>
      <c r="Z894" s="492" t="str">
        <f>IF(ISNUMBER($B$776), IF($C894&lt;&gt;"", IF('Cost Inputs'!$L287="Y", $E894, IF('Cost Inputs'!$L287="N", IF(ISNUMBER('Cost Inputs'!$M287), $E894, ""),"")),""),"")</f>
        <v/>
      </c>
      <c r="AA894" s="492" t="str">
        <f>IF(ISNUMBER($B$776), IF($C894&lt;&gt;"", IF('Cost Inputs'!$L287="Y", $E894, IF('Cost Inputs'!$L287="N", IF(ISNUMBER('Cost Inputs'!$M287), $E894, ""),"")),""),"")</f>
        <v/>
      </c>
      <c r="AB894" s="492" t="str">
        <f>IF(ISNUMBER($B$776), IF($C894&lt;&gt;"", IF('Cost Inputs'!$L287="Y", $E894, IF('Cost Inputs'!$L287="N", IF(ISNUMBER('Cost Inputs'!$M287), $E894, ""),"")),""),"")</f>
        <v/>
      </c>
    </row>
    <row r="895" spans="1:28" x14ac:dyDescent="0.25">
      <c r="A895" s="518"/>
      <c r="B895" s="504"/>
      <c r="C895" s="376" t="str">
        <f>IF(AND(ISNUMBER(B864), C893&lt;&gt;"", OR('Cost Inputs'!$H$200&lt;&gt;"", 'Cost Inputs'!$I$200&lt;&gt;"", 'Cost Inputs'!$J$200&lt;&gt;"")), _6_5_1, "")</f>
        <v/>
      </c>
      <c r="D895" s="17" t="str">
        <f>IF(AND(C895&lt;&gt;"", 'Cost Inputs'!$G$200&lt;&gt;""), 'Cost Inputs'!$G$200, "")</f>
        <v/>
      </c>
      <c r="E895" s="17" t="str">
        <f>IF(AND(C895&lt;&gt;"", 'Cost Inputs'!$H$200&lt;&gt;""), 'Cost Inputs'!$H$200, "")</f>
        <v/>
      </c>
      <c r="F895" s="493" t="str">
        <f>IF(AND(C895&lt;&gt;"", 'Cost Inputs'!$I$200&lt;&gt;""), 'Cost Inputs'!$I$200, "")</f>
        <v/>
      </c>
      <c r="G895" s="105" t="str">
        <f t="shared" si="489"/>
        <v/>
      </c>
      <c r="H895" s="493" t="str">
        <f>IF(AND(C895&lt;&gt;"", 'Cost Inputs'!$J$200&lt;&gt;""), 'Cost Inputs'!$J$200, "")</f>
        <v/>
      </c>
      <c r="I895" s="105" t="str">
        <f>IF($C895&lt;&gt;"",IF(AND($E895&lt;&gt;"",H895&lt;&gt;""), H895/$E895, 0),"")</f>
        <v/>
      </c>
      <c r="J895" s="493" t="str">
        <f>IF(AND(C895&lt;&gt;"",('Cost Inputs'!$I$200+'Cost Inputs'!$J$200+'Cost Inputs'!$K$200)&gt;0), 'Cost Inputs'!$I$200+'Cost Inputs'!$J$200+'Cost Inputs'!$K$200, "")</f>
        <v/>
      </c>
      <c r="K895" s="105" t="str">
        <f>IF($C895&lt;&gt;"",IF(AND($E895&lt;&gt;"",J895&lt;&gt;""), J895/$E895, 0),"")</f>
        <v/>
      </c>
      <c r="M895" s="106"/>
      <c r="S895" s="493" t="str">
        <f>IF(ISNUMBER($B864), IF($C895&lt;&gt;"", IF('Cost Inputs'!$L$200="Y", $E895, IF('Cost Inputs'!$L$200="N", IF(ISNUMBER('Cost Inputs'!$M$200), $E895, ""),"")),""),"")</f>
        <v/>
      </c>
      <c r="T895" s="493" t="str">
        <f>IF(ISNUMBER($B864), IF($C895&lt;&gt;"", IF('Cost Inputs'!$L$200="Y", $E895, IF('Cost Inputs'!$L$200="N", IF(ISNUMBER('Cost Inputs'!$M$200), $E895, ""),"")),""),"")</f>
        <v/>
      </c>
      <c r="U895" s="493" t="str">
        <f>IF(ISNUMBER($B864), IF($C895&lt;&gt;"", IF('Cost Inputs'!$L$200="Y", $E895, IF('Cost Inputs'!$L$200="N", IF(ISNUMBER('Cost Inputs'!$M$200), $E895, ""),"")),""),"")</f>
        <v/>
      </c>
      <c r="V895" s="493" t="str">
        <f>IF(ISNUMBER($B864), IF($C895&lt;&gt;"", IF('Cost Inputs'!$L$200="Y", $E895, IF('Cost Inputs'!$L$200="N", IF(ISNUMBER('Cost Inputs'!$M$200), $E895, ""),"")),""),"")</f>
        <v/>
      </c>
      <c r="W895" s="493" t="str">
        <f>IF(ISNUMBER($B864), IF($C895&lt;&gt;"", IF('Cost Inputs'!$L$200="Y", $E895, IF('Cost Inputs'!$L$200="N", IF(ISNUMBER('Cost Inputs'!$M$200), $E895, ""),"")),""),"")</f>
        <v/>
      </c>
      <c r="X895" s="493" t="str">
        <f>IF(ISNUMBER($B864), IF($C895&lt;&gt;"", IF('Cost Inputs'!$L$200="Y", $E895, IF('Cost Inputs'!$L$200="N", IF(ISNUMBER('Cost Inputs'!$M$200), $E895, ""),"")),""),"")</f>
        <v/>
      </c>
      <c r="Y895" s="493" t="str">
        <f>IF(ISNUMBER($B864), IF($C895&lt;&gt;"", IF('Cost Inputs'!$L$200="Y", $E895, IF('Cost Inputs'!$L$200="N", IF(ISNUMBER('Cost Inputs'!$M$200), $E895, ""),"")),""),"")</f>
        <v/>
      </c>
      <c r="Z895" s="493" t="str">
        <f>IF(ISNUMBER($B864), IF($C895&lt;&gt;"", IF('Cost Inputs'!$L$200="Y", $E895, IF('Cost Inputs'!$L$200="N", IF(ISNUMBER('Cost Inputs'!$M$200), $E895, ""),"")),""),"")</f>
        <v/>
      </c>
      <c r="AA895" s="493" t="str">
        <f>IF(ISNUMBER($B864), IF($C895&lt;&gt;"", IF('Cost Inputs'!$L$200="Y", $E895, IF('Cost Inputs'!$L$200="N", IF(ISNUMBER('Cost Inputs'!$M$200), $E895, ""),"")),""),"")</f>
        <v/>
      </c>
      <c r="AB895" s="493" t="str">
        <f>IF(ISNUMBER($B864), IF($C895&lt;&gt;"", IF('Cost Inputs'!$L$200="Y", $E895, IF('Cost Inputs'!$L$200="N", IF(ISNUMBER('Cost Inputs'!$M$200), $E895, ""),"")),""),"")</f>
        <v/>
      </c>
    </row>
    <row r="896" spans="1:28" x14ac:dyDescent="0.25">
      <c r="A896" s="518"/>
      <c r="B896" s="504"/>
      <c r="C896" s="376" t="str">
        <f>IF(AND(ISNUMBER(B878), OR('Cost Inputs'!$H$85&lt;&gt;"", 'Cost Inputs'!$I$85&lt;&gt;"", 'Cost Inputs'!$J$85&lt;&gt;"")), _3_5_1, "")</f>
        <v/>
      </c>
      <c r="D896" s="17" t="str">
        <f>IF(AND(C895&lt;&gt;"", 'Cost Inputs'!$G$201&lt;&gt;""), 'Cost Inputs'!$G$201, "")</f>
        <v/>
      </c>
      <c r="E896" s="17" t="str">
        <f>IF(AND(C895&lt;&gt;"", 'Cost Inputs'!$H$201&lt;&gt;""), 'Cost Inputs'!$H$201, "")</f>
        <v/>
      </c>
      <c r="F896" s="493"/>
      <c r="G896" s="105" t="str">
        <f t="shared" si="489"/>
        <v/>
      </c>
      <c r="H896" s="493"/>
      <c r="I896" s="105" t="str">
        <f>IF($C895&lt;&gt;"", IF(AND($E896&lt;&gt;"", H895&lt;&gt;""), H895/($E895*$E896), 0), "")</f>
        <v/>
      </c>
      <c r="J896" s="493" t="str">
        <f>IF(AND(C896&lt;&gt;"",('Cost Inputs'!$I$86+'Cost Inputs'!$J$86+'Cost Inputs'!$K$86)&gt;0), 'Cost Inputs'!$I$86+'Cost Inputs'!$J$86+'Cost Inputs'!$K$86, "")</f>
        <v/>
      </c>
      <c r="K896" s="105" t="str">
        <f>IF($C895&lt;&gt;"", IF(AND($E896&lt;&gt;"", J895&lt;&gt;""), J895/($E895*$E896), 0), "")</f>
        <v/>
      </c>
      <c r="M896" s="106"/>
      <c r="S896" s="493" t="str">
        <f>IF(ISNUMBER($B$776), IF($C896&lt;&gt;"", IF('Cost Inputs'!$L289="Y", $E896, IF('Cost Inputs'!$L289="N", IF(ISNUMBER('Cost Inputs'!$M289), $E896, ""),"")),""),"")</f>
        <v/>
      </c>
      <c r="T896" s="493" t="str">
        <f>IF(ISNUMBER($B$776), IF($C896&lt;&gt;"", IF('Cost Inputs'!$L289="Y", $E896, IF('Cost Inputs'!$L289="N", IF(ISNUMBER('Cost Inputs'!$M289), $E896, ""),"")),""),"")</f>
        <v/>
      </c>
      <c r="U896" s="493" t="str">
        <f>IF(ISNUMBER($B$776), IF($C896&lt;&gt;"", IF('Cost Inputs'!$L289="Y", $E896, IF('Cost Inputs'!$L289="N", IF(ISNUMBER('Cost Inputs'!$M289), $E896, ""),"")),""),"")</f>
        <v/>
      </c>
      <c r="V896" s="493" t="str">
        <f>IF(ISNUMBER($B$776), IF($C896&lt;&gt;"", IF('Cost Inputs'!$L289="Y", $E896, IF('Cost Inputs'!$L289="N", IF(ISNUMBER('Cost Inputs'!$M289), $E896, ""),"")),""),"")</f>
        <v/>
      </c>
      <c r="W896" s="493" t="str">
        <f>IF(ISNUMBER($B$776), IF($C896&lt;&gt;"", IF('Cost Inputs'!$L289="Y", $E896, IF('Cost Inputs'!$L289="N", IF(ISNUMBER('Cost Inputs'!$M289), $E896, ""),"")),""),"")</f>
        <v/>
      </c>
      <c r="X896" s="493" t="str">
        <f>IF(ISNUMBER($B$776), IF($C896&lt;&gt;"", IF('Cost Inputs'!$L289="Y", $E896, IF('Cost Inputs'!$L289="N", IF(ISNUMBER('Cost Inputs'!$M289), $E896, ""),"")),""),"")</f>
        <v/>
      </c>
      <c r="Y896" s="493" t="str">
        <f>IF(ISNUMBER($B$776), IF($C896&lt;&gt;"", IF('Cost Inputs'!$L289="Y", $E896, IF('Cost Inputs'!$L289="N", IF(ISNUMBER('Cost Inputs'!$M289), $E896, ""),"")),""),"")</f>
        <v/>
      </c>
      <c r="Z896" s="493" t="str">
        <f>IF(ISNUMBER($B$776), IF($C896&lt;&gt;"", IF('Cost Inputs'!$L289="Y", $E896, IF('Cost Inputs'!$L289="N", IF(ISNUMBER('Cost Inputs'!$M289), $E896, ""),"")),""),"")</f>
        <v/>
      </c>
      <c r="AA896" s="493" t="str">
        <f>IF(ISNUMBER($B$776), IF($C896&lt;&gt;"", IF('Cost Inputs'!$L289="Y", $E896, IF('Cost Inputs'!$L289="N", IF(ISNUMBER('Cost Inputs'!$M289), $E896, ""),"")),""),"")</f>
        <v/>
      </c>
      <c r="AB896" s="493" t="str">
        <f>IF(ISNUMBER($B$776), IF($C896&lt;&gt;"", IF('Cost Inputs'!$L289="Y", $E896, IF('Cost Inputs'!$L289="N", IF(ISNUMBER('Cost Inputs'!$M289), $E896, ""),"")),""),"")</f>
        <v/>
      </c>
    </row>
    <row r="897" spans="1:29" x14ac:dyDescent="0.25">
      <c r="A897" s="518"/>
      <c r="B897" s="504"/>
      <c r="C897" s="107" t="str">
        <f>IF(AND(ISNUMBER(B864), C893&lt;&gt;"", OR('Cost Inputs'!$H$202&lt;&gt;"", 'Cost Inputs'!$I$202&lt;&gt;"", 'Cost Inputs'!$J$202&lt;&gt;"")), _6_5_2, "")</f>
        <v/>
      </c>
      <c r="D897" s="93" t="str">
        <f>IF(AND(C897&lt;&gt;"", 'Cost Inputs'!$G$202&lt;&gt;""), 'Cost Inputs'!$G$202, "")</f>
        <v/>
      </c>
      <c r="E897" s="93" t="str">
        <f>IF(AND(C897&lt;&gt;"", 'Cost Inputs'!$H$202&lt;&gt;""), 'Cost Inputs'!$H$202, "")</f>
        <v/>
      </c>
      <c r="F897" s="93" t="str">
        <f>IF(AND(C897&lt;&gt;"", 'Cost Inputs'!$I$202&lt;&gt;""), 'Cost Inputs'!$I$202, "")</f>
        <v/>
      </c>
      <c r="G897" s="108" t="str">
        <f t="shared" si="489"/>
        <v/>
      </c>
      <c r="H897" s="93" t="str">
        <f>IF(AND(C897&lt;&gt;"", 'Cost Inputs'!$J$202&lt;&gt;""), 'Cost Inputs'!$J$202, "")</f>
        <v/>
      </c>
      <c r="I897" s="93" t="str">
        <f>IF($C897&lt;&gt;"", IF(AND($E897&lt;&gt;"", H897&lt;&gt;""), H897/$E897, 0),"")</f>
        <v/>
      </c>
      <c r="J897" s="93" t="str">
        <f>IF(AND(C897&lt;&gt;"",('Cost Inputs'!$I$202+'Cost Inputs'!$J$202+'Cost Inputs'!$K$202)&gt;0), 'Cost Inputs'!$I$202+'Cost Inputs'!$J$202+'Cost Inputs'!$K$202, "")</f>
        <v/>
      </c>
      <c r="K897" s="93" t="str">
        <f>IF($C897&lt;&gt;"", IF(AND($E897&lt;&gt;"", J897&lt;&gt;""), J897/$E897, 0),"")</f>
        <v/>
      </c>
      <c r="L897" s="93"/>
      <c r="M897" s="109"/>
      <c r="S897" s="93" t="str">
        <f>IF(ISNUMBER($B864), IF($C897&lt;&gt;"", IF('Cost Inputs'!$L$202="Y", $E897, IF('Cost Inputs'!$L$202="N", IF(ISNUMBER('Cost Inputs'!$M$202), $E897, ""),"")),""),"")</f>
        <v/>
      </c>
      <c r="T897" s="93" t="str">
        <f>IF(ISNUMBER($B864), IF($C897&lt;&gt;"", IF('Cost Inputs'!$L$202="Y", $E897, IF('Cost Inputs'!$L$202="N", IF(ISNUMBER('Cost Inputs'!$M$202), $E897, ""),"")),""),"")</f>
        <v/>
      </c>
      <c r="U897" s="93" t="str">
        <f>IF(ISNUMBER($B864), IF($C897&lt;&gt;"", IF('Cost Inputs'!$L$202="Y", $E897, IF('Cost Inputs'!$L$202="N", IF(ISNUMBER('Cost Inputs'!$M$202), $E897, ""),"")),""),"")</f>
        <v/>
      </c>
      <c r="V897" s="93" t="str">
        <f>IF(ISNUMBER($B864), IF($C897&lt;&gt;"", IF('Cost Inputs'!$L$202="Y", $E897, IF('Cost Inputs'!$L$202="N", IF(ISNUMBER('Cost Inputs'!$M$202), $E897, ""),"")),""),"")</f>
        <v/>
      </c>
      <c r="W897" s="93" t="str">
        <f>IF(ISNUMBER($B864), IF($C897&lt;&gt;"", IF('Cost Inputs'!$L$202="Y", $E897, IF('Cost Inputs'!$L$202="N", IF(ISNUMBER('Cost Inputs'!$M$202), $E897, ""),"")),""),"")</f>
        <v/>
      </c>
      <c r="X897" s="93" t="str">
        <f>IF(ISNUMBER($B864), IF($C897&lt;&gt;"", IF('Cost Inputs'!$L$202="Y", $E897, IF('Cost Inputs'!$L$202="N", IF(ISNUMBER('Cost Inputs'!$M$202), $E897, ""),"")),""),"")</f>
        <v/>
      </c>
      <c r="Y897" s="93" t="str">
        <f>IF(ISNUMBER($B864), IF($C897&lt;&gt;"", IF('Cost Inputs'!$L$202="Y", $E897, IF('Cost Inputs'!$L$202="N", IF(ISNUMBER('Cost Inputs'!$M$202), $E897, ""),"")),""),"")</f>
        <v/>
      </c>
      <c r="Z897" s="93" t="str">
        <f>IF(ISNUMBER($B864), IF($C897&lt;&gt;"", IF('Cost Inputs'!$L$202="Y", $E897, IF('Cost Inputs'!$L$202="N", IF(ISNUMBER('Cost Inputs'!$M$202), $E897, ""),"")),""),"")</f>
        <v/>
      </c>
      <c r="AA897" s="93" t="str">
        <f>IF(ISNUMBER($B864), IF($C897&lt;&gt;"", IF('Cost Inputs'!$L$202="Y", $E897, IF('Cost Inputs'!$L$202="N", IF(ISNUMBER('Cost Inputs'!$M$202), $E897, ""),"")),""),"")</f>
        <v/>
      </c>
      <c r="AB897" s="93" t="str">
        <f>IF(ISNUMBER($B864), IF($C897&lt;&gt;"", IF('Cost Inputs'!$L$202="Y", $E897, IF('Cost Inputs'!$L$202="N", IF(ISNUMBER('Cost Inputs'!$M$202), $E897, ""),"")),""),"")</f>
        <v/>
      </c>
    </row>
    <row r="898" spans="1:29" x14ac:dyDescent="0.25">
      <c r="A898" s="518"/>
      <c r="B898" s="504"/>
      <c r="C898" s="104" t="str">
        <f>IF(AND(ISNUMBER(B864), C893&lt;&gt;"", OR('Cost Inputs'!$H$203&lt;&gt;"", 'Cost Inputs'!$I$203&lt;&gt;"", 'Cost Inputs'!$J$203&lt;&gt;"")), _6_5_3, "")</f>
        <v/>
      </c>
      <c r="D898" s="17" t="str">
        <f>IF(AND(C898&lt;&gt;"", 'Cost Inputs'!$G$203&lt;&gt;""), 'Cost Inputs'!$G$203, "")</f>
        <v/>
      </c>
      <c r="E898" s="17" t="str">
        <f>IF(AND(C898&lt;&gt;"", 'Cost Inputs'!$H$203&lt;&gt;""), 'Cost Inputs'!$H$203, "")</f>
        <v/>
      </c>
      <c r="F898" s="17" t="str">
        <f>IF(AND(C898&lt;&gt;"", 'Cost Inputs'!$I$203&lt;&gt;""), 'Cost Inputs'!$I$203, "")</f>
        <v/>
      </c>
      <c r="G898" s="105" t="str">
        <f t="shared" si="489"/>
        <v/>
      </c>
      <c r="H898" s="17" t="str">
        <f>IF(AND(C898&lt;&gt;"", 'Cost Inputs'!$J$203&lt;&gt;""), 'Cost Inputs'!$J$203, "")</f>
        <v/>
      </c>
      <c r="I898" s="17" t="str">
        <f>IF($C898&lt;&gt;"", IF(AND($E898&lt;&gt;"", H898&lt;&gt;""), H898/$E898, 0),"")</f>
        <v/>
      </c>
      <c r="J898" s="17" t="str">
        <f>IF(AND(C898&lt;&gt;"",('Cost Inputs'!$I$203+'Cost Inputs'!$J$203+'Cost Inputs'!$K$203)&gt;0), 'Cost Inputs'!$I$203+'Cost Inputs'!$J$203+'Cost Inputs'!$K$203, "")</f>
        <v/>
      </c>
      <c r="K898" s="17" t="str">
        <f>IF($C898&lt;&gt;"", IF(AND($E898&lt;&gt;"", J898&lt;&gt;""), J898/$E898, 0),"")</f>
        <v/>
      </c>
      <c r="M898" s="106"/>
      <c r="S898" s="17" t="str">
        <f>IF(ISNUMBER($B864), IF($C898&lt;&gt;"", IF('Cost Inputs'!$L$203="Y", $E898, IF('Cost Inputs'!$L$203="N", IF(ISNUMBER('Cost Inputs'!$M$203), $E898, ""),"")),""),"")</f>
        <v/>
      </c>
      <c r="T898" s="17" t="str">
        <f>IF(ISNUMBER($B864), IF($C898&lt;&gt;"", IF('Cost Inputs'!$L$203="Y", $E898, IF('Cost Inputs'!$L$203="N", IF(ISNUMBER('Cost Inputs'!$M$203), $E898, ""),"")),""),"")</f>
        <v/>
      </c>
      <c r="U898" s="17" t="str">
        <f>IF(ISNUMBER($B864), IF($C898&lt;&gt;"", IF('Cost Inputs'!$L$203="Y", $E898, IF('Cost Inputs'!$L$203="N", IF(ISNUMBER('Cost Inputs'!$M$203), $E898, ""),"")),""),"")</f>
        <v/>
      </c>
      <c r="V898" s="17" t="str">
        <f>IF(ISNUMBER($B864), IF($C898&lt;&gt;"", IF('Cost Inputs'!$L$203="Y", $E898, IF('Cost Inputs'!$L$203="N", IF(ISNUMBER('Cost Inputs'!$M$203), $E898, ""),"")),""),"")</f>
        <v/>
      </c>
      <c r="W898" s="17" t="str">
        <f>IF(ISNUMBER($B864), IF($C898&lt;&gt;"", IF('Cost Inputs'!$L$203="Y", $E898, IF('Cost Inputs'!$L$203="N", IF(ISNUMBER('Cost Inputs'!$M$203), $E898, ""),"")),""),"")</f>
        <v/>
      </c>
      <c r="X898" s="17" t="str">
        <f>IF(ISNUMBER($B864), IF($C898&lt;&gt;"", IF('Cost Inputs'!$L$203="Y", $E898, IF('Cost Inputs'!$L$203="N", IF(ISNUMBER('Cost Inputs'!$M$203), $E898, ""),"")),""),"")</f>
        <v/>
      </c>
      <c r="Y898" s="17" t="str">
        <f>IF(ISNUMBER($B864), IF($C898&lt;&gt;"", IF('Cost Inputs'!$L$203="Y", $E898, IF('Cost Inputs'!$L$203="N", IF(ISNUMBER('Cost Inputs'!$M$203), $E898, ""),"")),""),"")</f>
        <v/>
      </c>
      <c r="Z898" s="17" t="str">
        <f>IF(ISNUMBER($B864), IF($C898&lt;&gt;"", IF('Cost Inputs'!$L$203="Y", $E898, IF('Cost Inputs'!$L$203="N", IF(ISNUMBER('Cost Inputs'!$M$203), $E898, ""),"")),""),"")</f>
        <v/>
      </c>
      <c r="AA898" s="17" t="str">
        <f>IF(ISNUMBER($B864), IF($C898&lt;&gt;"", IF('Cost Inputs'!$L$203="Y", $E898, IF('Cost Inputs'!$L$203="N", IF(ISNUMBER('Cost Inputs'!$M$203), $E898, ""),"")),""),"")</f>
        <v/>
      </c>
      <c r="AB898" s="17" t="str">
        <f>IF(ISNUMBER($B864), IF($C898&lt;&gt;"", IF('Cost Inputs'!$L$203="Y", $E898, IF('Cost Inputs'!$L$203="N", IF(ISNUMBER('Cost Inputs'!$M$203), $E898, ""),"")),""),"")</f>
        <v/>
      </c>
    </row>
    <row r="899" spans="1:29" x14ac:dyDescent="0.25">
      <c r="A899" s="518"/>
      <c r="B899" s="504"/>
      <c r="C899" s="107" t="str">
        <f>IF(AND(ISNUMBER(B864), C893&lt;&gt;"", OR('Cost Inputs'!$H$204&lt;&gt;"", 'Cost Inputs'!$I$204&lt;&gt;"", 'Cost Inputs'!$J$204&lt;&gt;"")), _6_5_4, "")</f>
        <v/>
      </c>
      <c r="D899" s="93" t="str">
        <f>IF(AND(C899&lt;&gt;"", 'Cost Inputs'!$G$204&lt;&gt;""), 'Cost Inputs'!$G$204, "")</f>
        <v/>
      </c>
      <c r="E899" s="93" t="str">
        <f>IF(AND(C899&lt;&gt;"", 'Cost Inputs'!$H$204&lt;&gt;""), 'Cost Inputs'!$H$204, "")</f>
        <v/>
      </c>
      <c r="F899" s="93" t="str">
        <f>IF(AND(C899&lt;&gt;"", 'Cost Inputs'!$I$204&lt;&gt;""), 'Cost Inputs'!$I$204, "")</f>
        <v/>
      </c>
      <c r="G899" s="108" t="str">
        <f t="shared" si="489"/>
        <v/>
      </c>
      <c r="H899" s="93" t="str">
        <f>IF(AND(C899&lt;&gt;"", 'Cost Inputs'!$J$204&lt;&gt;""), 'Cost Inputs'!$J$204, "")</f>
        <v/>
      </c>
      <c r="I899" s="93" t="str">
        <f>IF($C899&lt;&gt;"", IF(AND($E899&lt;&gt;"", H899&lt;&gt;""), H899/$E899, 0),"")</f>
        <v/>
      </c>
      <c r="J899" s="93" t="str">
        <f>IF(AND(C899&lt;&gt;"",('Cost Inputs'!$I$204+'Cost Inputs'!$J$204+'Cost Inputs'!$K$204)&gt;0), 'Cost Inputs'!$I$204+'Cost Inputs'!$J$204+'Cost Inputs'!$K$204, "")</f>
        <v/>
      </c>
      <c r="K899" s="93" t="str">
        <f>IF($C899&lt;&gt;"", IF(AND($E899&lt;&gt;"", J899&lt;&gt;""), J899/$E899, 0),"")</f>
        <v/>
      </c>
      <c r="L899" s="93"/>
      <c r="M899" s="109"/>
      <c r="S899" s="93" t="str">
        <f>IF(ISNUMBER($B864), IF($C899&lt;&gt;"", IF('Cost Inputs'!$L$204="Y", $E899, IF('Cost Inputs'!$L$204="N", IF(ISNUMBER('Cost Inputs'!$M$204), $E899, ""),"")),""),"")</f>
        <v/>
      </c>
      <c r="T899" s="93" t="str">
        <f>IF(ISNUMBER($B864), IF($C899&lt;&gt;"", IF('Cost Inputs'!$L$204="Y", $E899, IF('Cost Inputs'!$L$204="N", IF(ISNUMBER('Cost Inputs'!$M$204), $E899, ""),"")),""),"")</f>
        <v/>
      </c>
      <c r="U899" s="93" t="str">
        <f>IF(ISNUMBER($B864), IF($C899&lt;&gt;"", IF('Cost Inputs'!$L$204="Y", $E899, IF('Cost Inputs'!$L$204="N", IF(ISNUMBER('Cost Inputs'!$M$204), $E899, ""),"")),""),"")</f>
        <v/>
      </c>
      <c r="V899" s="93" t="str">
        <f>IF(ISNUMBER($B864), IF($C899&lt;&gt;"", IF('Cost Inputs'!$L$204="Y", $E899, IF('Cost Inputs'!$L$204="N", IF(ISNUMBER('Cost Inputs'!$M$204), $E899, ""),"")),""),"")</f>
        <v/>
      </c>
      <c r="W899" s="93" t="str">
        <f>IF(ISNUMBER($B864), IF($C899&lt;&gt;"", IF('Cost Inputs'!$L$204="Y", $E899, IF('Cost Inputs'!$L$204="N", IF(ISNUMBER('Cost Inputs'!$M$204), $E899, ""),"")),""),"")</f>
        <v/>
      </c>
      <c r="X899" s="93" t="str">
        <f>IF(ISNUMBER($B864), IF($C899&lt;&gt;"", IF('Cost Inputs'!$L$204="Y", $E899, IF('Cost Inputs'!$L$204="N", IF(ISNUMBER('Cost Inputs'!$M$204), $E899, ""),"")),""),"")</f>
        <v/>
      </c>
      <c r="Y899" s="93" t="str">
        <f>IF(ISNUMBER($B864), IF($C899&lt;&gt;"", IF('Cost Inputs'!$L$204="Y", $E899, IF('Cost Inputs'!$L$204="N", IF(ISNUMBER('Cost Inputs'!$M$204), $E899, ""),"")),""),"")</f>
        <v/>
      </c>
      <c r="Z899" s="93" t="str">
        <f>IF(ISNUMBER($B864), IF($C899&lt;&gt;"", IF('Cost Inputs'!$L$204="Y", $E899, IF('Cost Inputs'!$L$204="N", IF(ISNUMBER('Cost Inputs'!$M$204), $E899, ""),"")),""),"")</f>
        <v/>
      </c>
      <c r="AA899" s="93" t="str">
        <f>IF(ISNUMBER($B864), IF($C899&lt;&gt;"", IF('Cost Inputs'!$L$204="Y", $E899, IF('Cost Inputs'!$L$204="N", IF(ISNUMBER('Cost Inputs'!$M$204), $E899, ""),"")),""),"")</f>
        <v/>
      </c>
      <c r="AB899" s="93" t="str">
        <f>IF(ISNUMBER($B864), IF($C899&lt;&gt;"", IF('Cost Inputs'!$L$204="Y", $E899, IF('Cost Inputs'!$L$204="N", IF(ISNUMBER('Cost Inputs'!$M$204), $E899, ""),"")),""),"")</f>
        <v/>
      </c>
    </row>
    <row r="900" spans="1:29" x14ac:dyDescent="0.25">
      <c r="A900" s="518"/>
      <c r="B900" s="504"/>
      <c r="C900" s="104" t="str">
        <f>IF(AND(ISNUMBER(B864), C893&lt;&gt;"", OR('Cost Inputs'!$H$205&lt;&gt;"", 'Cost Inputs'!$I$205&lt;&gt;"", 'Cost Inputs'!$J$205&lt;&gt;"")), _6_5_5, "")</f>
        <v/>
      </c>
      <c r="D900" s="17" t="str">
        <f>IF(AND(C900&lt;&gt;"", 'Cost Inputs'!$G$205&lt;&gt;""), 'Cost Inputs'!$G$205, "")</f>
        <v/>
      </c>
      <c r="E900" s="17" t="str">
        <f>IF(AND(C900&lt;&gt;"", 'Cost Inputs'!$H$205&lt;&gt;""), 'Cost Inputs'!$H$205, "")</f>
        <v/>
      </c>
      <c r="F900" s="17" t="str">
        <f>IF(AND(C900&lt;&gt;"", 'Cost Inputs'!$I$205&lt;&gt;""), 'Cost Inputs'!$I$205, "")</f>
        <v/>
      </c>
      <c r="G900" s="105" t="str">
        <f t="shared" si="489"/>
        <v/>
      </c>
      <c r="H900" s="17" t="str">
        <f>IF(AND(C900&lt;&gt;"", 'Cost Inputs'!$J$205&lt;&gt;""), 'Cost Inputs'!$J$205, "")</f>
        <v/>
      </c>
      <c r="I900" s="17" t="str">
        <f>IF($C900&lt;&gt;"", IF(AND($E900&lt;&gt;"", H900&lt;&gt;""), H900/$E900, 0),"")</f>
        <v/>
      </c>
      <c r="J900" s="17" t="str">
        <f>IF(AND(C900&lt;&gt;"",('Cost Inputs'!$I$205+'Cost Inputs'!$J$205+'Cost Inputs'!$K$205)&gt;0), 'Cost Inputs'!$I$205+'Cost Inputs'!$J$205+'Cost Inputs'!$K$205, "")</f>
        <v/>
      </c>
      <c r="K900" s="17" t="str">
        <f>IF($C900&lt;&gt;"", IF(AND($E900&lt;&gt;"", J900&lt;&gt;""), J900/$E900, 0),"")</f>
        <v/>
      </c>
      <c r="M900" s="106"/>
      <c r="S900" s="17" t="str">
        <f>IF(ISNUMBER($B864), IF($C900&lt;&gt;"", IF('Cost Inputs'!$L$205="Y", $E900, IF('Cost Inputs'!$L$205="N", IF(ISNUMBER('Cost Inputs'!$M$205), $E900, ""),"")),""),"")</f>
        <v/>
      </c>
      <c r="T900" s="17" t="str">
        <f>IF(ISNUMBER($B864), IF($C900&lt;&gt;"", IF('Cost Inputs'!$L$205="Y", $E900, IF('Cost Inputs'!$L$205="N", IF(ISNUMBER('Cost Inputs'!$M$205), $E900, ""),"")),""),"")</f>
        <v/>
      </c>
      <c r="U900" s="17" t="str">
        <f>IF(ISNUMBER($B864), IF($C900&lt;&gt;"", IF('Cost Inputs'!$L$205="Y", $E900, IF('Cost Inputs'!$L$205="N", IF(ISNUMBER('Cost Inputs'!$M$205), $E900, ""),"")),""),"")</f>
        <v/>
      </c>
      <c r="V900" s="17" t="str">
        <f>IF(ISNUMBER($B864), IF($C900&lt;&gt;"", IF('Cost Inputs'!$L$205="Y", $E900, IF('Cost Inputs'!$L$205="N", IF(ISNUMBER('Cost Inputs'!$M$205), $E900, ""),"")),""),"")</f>
        <v/>
      </c>
      <c r="W900" s="17" t="str">
        <f>IF(ISNUMBER($B864), IF($C900&lt;&gt;"", IF('Cost Inputs'!$L$205="Y", $E900, IF('Cost Inputs'!$L$205="N", IF(ISNUMBER('Cost Inputs'!$M$205), $E900, ""),"")),""),"")</f>
        <v/>
      </c>
      <c r="X900" s="17" t="str">
        <f>IF(ISNUMBER($B864), IF($C900&lt;&gt;"", IF('Cost Inputs'!$L$205="Y", $E900, IF('Cost Inputs'!$L$205="N", IF(ISNUMBER('Cost Inputs'!$M$205), $E900, ""),"")),""),"")</f>
        <v/>
      </c>
      <c r="Y900" s="17" t="str">
        <f>IF(ISNUMBER($B864), IF($C900&lt;&gt;"", IF('Cost Inputs'!$L$205="Y", $E900, IF('Cost Inputs'!$L$205="N", IF(ISNUMBER('Cost Inputs'!$M$205), $E900, ""),"")),""),"")</f>
        <v/>
      </c>
      <c r="Z900" s="17" t="str">
        <f>IF(ISNUMBER($B864), IF($C900&lt;&gt;"", IF('Cost Inputs'!$L$205="Y", $E900, IF('Cost Inputs'!$L$205="N", IF(ISNUMBER('Cost Inputs'!$M$205), $E900, ""),"")),""),"")</f>
        <v/>
      </c>
      <c r="AA900" s="17" t="str">
        <f>IF(ISNUMBER($B864), IF($C900&lt;&gt;"", IF('Cost Inputs'!$L$205="Y", $E900, IF('Cost Inputs'!$L$205="N", IF(ISNUMBER('Cost Inputs'!$M$205), $E900, ""),"")),""),"")</f>
        <v/>
      </c>
      <c r="AB900" s="17" t="str">
        <f>IF(ISNUMBER($B864), IF($C900&lt;&gt;"", IF('Cost Inputs'!$L$205="Y", $E900, IF('Cost Inputs'!$L$205="N", IF(ISNUMBER('Cost Inputs'!$M$205), $E900, ""),"")),""),"")</f>
        <v/>
      </c>
    </row>
    <row r="901" spans="1:29" x14ac:dyDescent="0.25">
      <c r="A901" s="518"/>
      <c r="B901" s="504"/>
      <c r="C901" s="110" t="str">
        <f>IF(ISNUMBER(B864), _6_6_0, "")</f>
        <v/>
      </c>
      <c r="D901" s="94" t="str">
        <f>IF(AND(C901&lt;&gt;"", 'Cost Inputs'!$G$206&lt;&gt;""), 'Cost Inputs'!$G$206, "")</f>
        <v/>
      </c>
      <c r="E901" s="94" t="str">
        <f>IF(AND(C901&lt;&gt;"", 'Cost Inputs'!$H$206&lt;&gt;""), 'Cost Inputs'!$H$206, "")</f>
        <v/>
      </c>
      <c r="F901" s="94" t="str">
        <f>IF(AND(C901&lt;&gt;"", 'Cost Inputs'!$I$206&lt;&gt;""), 'Cost Inputs'!$I$206, "")</f>
        <v/>
      </c>
      <c r="G901" s="102" t="str">
        <f t="shared" si="489"/>
        <v/>
      </c>
      <c r="H901" s="94" t="str">
        <f>IF(AND(C901&lt;&gt;"", 'Cost Inputs'!$J$206&lt;&gt;""), 'Cost Inputs'!$J$206, "")</f>
        <v/>
      </c>
      <c r="I901" s="102" t="str">
        <f>IF($C901&lt;&gt;"",IF(AND($E901&lt;&gt;"",H901&lt;&gt;""), H901/$E901, 0),"")</f>
        <v/>
      </c>
      <c r="J901" s="94" t="str">
        <f>IF(AND(C901&lt;&gt;"",('Cost Inputs'!$I$206+'Cost Inputs'!$J$206+'Cost Inputs'!$K$206)&gt;0), 'Cost Inputs'!$I$206+'Cost Inputs'!$J$206+'Cost Inputs'!$K$206, "")</f>
        <v/>
      </c>
      <c r="K901" s="102" t="str">
        <f>IF($C901&lt;&gt;"",IF(AND($E901&lt;&gt;"",J901&lt;&gt;""), J901/$E901, 0),"")</f>
        <v/>
      </c>
      <c r="L901" s="94"/>
      <c r="M901" s="103"/>
      <c r="S901" s="94" t="str">
        <f>IF(ISNUMBER($B864), IF($C901&lt;&gt;"", IF('Cost Inputs'!$L$206="Y", $E901, IF('Cost Inputs'!$L$206="N", IF(ISNUMBER('Cost Inputs'!$M$206), $E901, ""),"")),""),"")</f>
        <v/>
      </c>
      <c r="T901" s="94" t="str">
        <f>IF(ISNUMBER($B864), IF($C901&lt;&gt;"", IF('Cost Inputs'!$L$206="Y", $E901, IF('Cost Inputs'!$L$206="N", IF(ISNUMBER('Cost Inputs'!$M$206), $E901, ""),"")),""),"")</f>
        <v/>
      </c>
      <c r="U901" s="94" t="str">
        <f>IF(ISNUMBER($B864), IF($C901&lt;&gt;"", IF('Cost Inputs'!$L$206="Y", $E901, IF('Cost Inputs'!$L$206="N", IF(ISNUMBER('Cost Inputs'!$M$206), $E901, ""),"")),""),"")</f>
        <v/>
      </c>
      <c r="V901" s="94" t="str">
        <f>IF(ISNUMBER($B864), IF($C901&lt;&gt;"", IF('Cost Inputs'!$L$206="Y", $E901, IF('Cost Inputs'!$L$206="N", IF(ISNUMBER('Cost Inputs'!$M$206), $E901, ""),"")),""),"")</f>
        <v/>
      </c>
      <c r="W901" s="94" t="str">
        <f>IF(ISNUMBER($B864), IF($C901&lt;&gt;"", IF('Cost Inputs'!$L$206="Y", $E901, IF('Cost Inputs'!$L$206="N", IF(ISNUMBER('Cost Inputs'!$M$206), $E901, ""),"")),""),"")</f>
        <v/>
      </c>
      <c r="X901" s="94" t="str">
        <f>IF(ISNUMBER($B864), IF($C901&lt;&gt;"", IF('Cost Inputs'!$L$206="Y", $E901, IF('Cost Inputs'!$L$206="N", IF(ISNUMBER('Cost Inputs'!$M$206), $E901, ""),"")),""),"")</f>
        <v/>
      </c>
      <c r="Y901" s="94" t="str">
        <f>IF(ISNUMBER($B864), IF($C901&lt;&gt;"", IF('Cost Inputs'!$L$206="Y", $E901, IF('Cost Inputs'!$L$206="N", IF(ISNUMBER('Cost Inputs'!$M$206), $E901, ""),"")),""),"")</f>
        <v/>
      </c>
      <c r="Z901" s="94" t="str">
        <f>IF(ISNUMBER($B864), IF($C901&lt;&gt;"", IF('Cost Inputs'!$L$206="Y", $E901, IF('Cost Inputs'!$L$206="N", IF(ISNUMBER('Cost Inputs'!$M$206), $E901, ""),"")),""),"")</f>
        <v/>
      </c>
      <c r="AA901" s="94" t="str">
        <f>IF(ISNUMBER($B864), IF($C901&lt;&gt;"", IF('Cost Inputs'!$L$206="Y", $E901, IF('Cost Inputs'!$L$206="N", IF(ISNUMBER('Cost Inputs'!$M$206), $E901, ""),"")),""),"")</f>
        <v/>
      </c>
      <c r="AB901" s="94" t="str">
        <f>IF(ISNUMBER($B864), IF($C901&lt;&gt;"", IF('Cost Inputs'!$L$206="Y", $E901, IF('Cost Inputs'!$L$206="N", IF(ISNUMBER('Cost Inputs'!$M$206), $E901, ""),"")),""),"")</f>
        <v/>
      </c>
    </row>
    <row r="902" spans="1:29" x14ac:dyDescent="0.25">
      <c r="A902" s="518"/>
      <c r="B902" s="504"/>
      <c r="C902" s="104" t="str">
        <f>IF(AND(ISNUMBER(B864), OR('Cost Inputs'!$H$207&lt;&gt;"", 'Cost Inputs'!$I$207&lt;&gt;"", 'Cost Inputs'!$J$207&lt;&gt;"")), _6_6_1, "")</f>
        <v/>
      </c>
      <c r="D902" s="17" t="str">
        <f>IF(AND(C902&lt;&gt;"", 'Cost Inputs'!$G$207&lt;&gt;""), 'Cost Inputs'!$G$207, "")</f>
        <v/>
      </c>
      <c r="E902" s="17" t="str">
        <f>IF(AND(C902&lt;&gt;"", 'Cost Inputs'!$H$207&lt;&gt;""), 'Cost Inputs'!$H$207, "")</f>
        <v/>
      </c>
      <c r="F902" s="17" t="str">
        <f>IF(AND(C902&lt;&gt;"", 'Cost Inputs'!$I$207&lt;&gt;""), 'Cost Inputs'!$I$207, "")</f>
        <v/>
      </c>
      <c r="G902" s="105" t="str">
        <f t="shared" si="489"/>
        <v/>
      </c>
      <c r="H902" s="17" t="str">
        <f>IF(AND(C902&lt;&gt;"", 'Cost Inputs'!$J$207&lt;&gt;""), 'Cost Inputs'!$J$207, "")</f>
        <v/>
      </c>
      <c r="I902" s="17" t="str">
        <f>IF($C902&lt;&gt;"", IF(AND($E902&lt;&gt;"", H902&lt;&gt;""), H902/$E902, 0),"")</f>
        <v/>
      </c>
      <c r="J902" s="17" t="str">
        <f>IF(AND(C902&lt;&gt;"",('Cost Inputs'!$I$207+'Cost Inputs'!$J$207+'Cost Inputs'!$K$207)&gt;0), 'Cost Inputs'!$I$207+'Cost Inputs'!$J$207+'Cost Inputs'!$K$207, "")</f>
        <v/>
      </c>
      <c r="K902" s="17" t="str">
        <f>IF($C902&lt;&gt;"", IF(AND($E902&lt;&gt;"", J902&lt;&gt;""), J902/$E902, 0),"")</f>
        <v/>
      </c>
      <c r="M902" s="106"/>
      <c r="S902" s="17" t="str">
        <f>IF(ISNUMBER($B864), IF($C902&lt;&gt;"", IF('Cost Inputs'!$L$207="Y", $E902, IF('Cost Inputs'!$L$207="N", IF(ISNUMBER('Cost Inputs'!$M$207), $E902, ""),"")),""),"")</f>
        <v/>
      </c>
      <c r="T902" s="17" t="str">
        <f>IF(ISNUMBER($B864), IF($C902&lt;&gt;"", IF('Cost Inputs'!$L$207="Y", $E902, IF('Cost Inputs'!$L$207="N", IF(ISNUMBER('Cost Inputs'!$M$207), $E902, ""),"")),""),"")</f>
        <v/>
      </c>
      <c r="U902" s="17" t="str">
        <f>IF(ISNUMBER($B864), IF($C902&lt;&gt;"", IF('Cost Inputs'!$L$207="Y", $E902, IF('Cost Inputs'!$L$207="N", IF(ISNUMBER('Cost Inputs'!$M$207), $E902, ""),"")),""),"")</f>
        <v/>
      </c>
      <c r="V902" s="17" t="str">
        <f>IF(ISNUMBER($B864), IF($C902&lt;&gt;"", IF('Cost Inputs'!$L$207="Y", $E902, IF('Cost Inputs'!$L$207="N", IF(ISNUMBER('Cost Inputs'!$M$207), $E902, ""),"")),""),"")</f>
        <v/>
      </c>
      <c r="W902" s="17" t="str">
        <f>IF(ISNUMBER($B864), IF($C902&lt;&gt;"", IF('Cost Inputs'!$L$207="Y", $E902, IF('Cost Inputs'!$L$207="N", IF(ISNUMBER('Cost Inputs'!$M$207), $E902, ""),"")),""),"")</f>
        <v/>
      </c>
      <c r="X902" s="17" t="str">
        <f>IF(ISNUMBER($B864), IF($C902&lt;&gt;"", IF('Cost Inputs'!$L$207="Y", $E902, IF('Cost Inputs'!$L$207="N", IF(ISNUMBER('Cost Inputs'!$M$207), $E902, ""),"")),""),"")</f>
        <v/>
      </c>
      <c r="Y902" s="17" t="str">
        <f>IF(ISNUMBER($B864), IF($C902&lt;&gt;"", IF('Cost Inputs'!$L$207="Y", $E902, IF('Cost Inputs'!$L$207="N", IF(ISNUMBER('Cost Inputs'!$M$207), $E902, ""),"")),""),"")</f>
        <v/>
      </c>
      <c r="Z902" s="17" t="str">
        <f>IF(ISNUMBER($B864), IF($C902&lt;&gt;"", IF('Cost Inputs'!$L$207="Y", $E902, IF('Cost Inputs'!$L$207="N", IF(ISNUMBER('Cost Inputs'!$M$207), $E902, ""),"")),""),"")</f>
        <v/>
      </c>
      <c r="AA902" s="17" t="str">
        <f>IF(ISNUMBER($B864), IF($C902&lt;&gt;"", IF('Cost Inputs'!$L$207="Y", $E902, IF('Cost Inputs'!$L$207="N", IF(ISNUMBER('Cost Inputs'!$M$207), $E902, ""),"")),""),"")</f>
        <v/>
      </c>
      <c r="AB902" s="17" t="str">
        <f>IF(ISNUMBER($B864), IF($C902&lt;&gt;"", IF('Cost Inputs'!$L$207="Y", $E902, IF('Cost Inputs'!$L$207="N", IF(ISNUMBER('Cost Inputs'!$M$207), $E902, ""),"")),""),"")</f>
        <v/>
      </c>
    </row>
    <row r="903" spans="1:29" ht="15.75" thickBot="1" x14ac:dyDescent="0.3">
      <c r="A903" s="518"/>
      <c r="B903" s="505"/>
      <c r="C903" s="111" t="str">
        <f>IF(AND(ISNUMBER(B864), OR('Cost Inputs'!$H$208&lt;&gt;"", 'Cost Inputs'!$I$208&lt;&gt;"", 'Cost Inputs'!$J$208&lt;&gt;"")), _6_6_2, "")</f>
        <v/>
      </c>
      <c r="D903" s="95" t="str">
        <f>IF(AND(C903&lt;&gt;"", 'Cost Inputs'!$G$208&lt;&gt;""), 'Cost Inputs'!$G$208, "")</f>
        <v/>
      </c>
      <c r="E903" s="95" t="str">
        <f>IF(AND(C903&lt;&gt;"", 'Cost Inputs'!$H$208&lt;&gt;""), 'Cost Inputs'!$H$208, "")</f>
        <v/>
      </c>
      <c r="F903" s="95" t="str">
        <f>IF(AND(C903&lt;&gt;"", 'Cost Inputs'!$I$208&lt;&gt;""), 'Cost Inputs'!$I$208, "")</f>
        <v/>
      </c>
      <c r="G903" s="112" t="str">
        <f t="shared" si="489"/>
        <v/>
      </c>
      <c r="H903" s="95" t="str">
        <f>IF(AND(C903&lt;&gt;"", 'Cost Inputs'!$J$208&lt;&gt;""), 'Cost Inputs'!$J$208, "")</f>
        <v/>
      </c>
      <c r="I903" s="95" t="str">
        <f>IF($C903&lt;&gt;"", IF(AND($E903&lt;&gt;"", H903&lt;&gt;""), H903/$E903, 0),"")</f>
        <v/>
      </c>
      <c r="J903" s="95" t="str">
        <f>IF(AND(C903&lt;&gt;"",('Cost Inputs'!$I$208+'Cost Inputs'!$J$208+'Cost Inputs'!$K$208)&gt;0), 'Cost Inputs'!$I$208+'Cost Inputs'!$J$208+'Cost Inputs'!$K$208, "")</f>
        <v/>
      </c>
      <c r="K903" s="95" t="str">
        <f>IF($C903&lt;&gt;"", IF(AND($E903&lt;&gt;"", J903&lt;&gt;""), J903/$E903, 0),"")</f>
        <v/>
      </c>
      <c r="L903" s="95"/>
      <c r="M903" s="113"/>
      <c r="S903" s="95" t="str">
        <f>IF(ISNUMBER($B864), IF($C903&lt;&gt;"", IF('Cost Inputs'!$L$208="Y", $E903, IF('Cost Inputs'!$L$208="N", IF(ISNUMBER('Cost Inputs'!$M$208), $E903, ""),"")),""),"")</f>
        <v/>
      </c>
      <c r="T903" s="95" t="str">
        <f>IF(ISNUMBER($B864), IF($C903&lt;&gt;"", IF('Cost Inputs'!$L$208="Y", $E903, IF('Cost Inputs'!$L$208="N", IF(ISNUMBER('Cost Inputs'!$M$208), $E903, ""),"")),""),"")</f>
        <v/>
      </c>
      <c r="U903" s="95" t="str">
        <f>IF(ISNUMBER($B864), IF($C903&lt;&gt;"", IF('Cost Inputs'!$L$208="Y", $E903, IF('Cost Inputs'!$L$208="N", IF(ISNUMBER('Cost Inputs'!$M$208), $E903, ""),"")),""),"")</f>
        <v/>
      </c>
      <c r="V903" s="95" t="str">
        <f>IF(ISNUMBER($B864), IF($C903&lt;&gt;"", IF('Cost Inputs'!$L$208="Y", $E903, IF('Cost Inputs'!$L$208="N", IF(ISNUMBER('Cost Inputs'!$M$208), $E903, ""),"")),""),"")</f>
        <v/>
      </c>
      <c r="W903" s="95" t="str">
        <f>IF(ISNUMBER($B864), IF($C903&lt;&gt;"", IF('Cost Inputs'!$L$208="Y", $E903, IF('Cost Inputs'!$L$208="N", IF(ISNUMBER('Cost Inputs'!$M$208), $E903, ""),"")),""),"")</f>
        <v/>
      </c>
      <c r="X903" s="95" t="str">
        <f>IF(ISNUMBER($B864), IF($C903&lt;&gt;"", IF('Cost Inputs'!$L$208="Y", $E903, IF('Cost Inputs'!$L$208="N", IF(ISNUMBER('Cost Inputs'!$M$208), $E903, ""),"")),""),"")</f>
        <v/>
      </c>
      <c r="Y903" s="95" t="str">
        <f>IF(ISNUMBER($B864), IF($C903&lt;&gt;"", IF('Cost Inputs'!$L$208="Y", $E903, IF('Cost Inputs'!$L$208="N", IF(ISNUMBER('Cost Inputs'!$M$208), $E903, ""),"")),""),"")</f>
        <v/>
      </c>
      <c r="Z903" s="95" t="str">
        <f>IF(ISNUMBER($B864), IF($C903&lt;&gt;"", IF('Cost Inputs'!$L$208="Y", $E903, IF('Cost Inputs'!$L$208="N", IF(ISNUMBER('Cost Inputs'!$M$208), $E903, ""),"")),""),"")</f>
        <v/>
      </c>
      <c r="AA903" s="95" t="str">
        <f>IF(ISNUMBER($B864), IF($C903&lt;&gt;"", IF('Cost Inputs'!$L$208="Y", $E903, IF('Cost Inputs'!$L$208="N", IF(ISNUMBER('Cost Inputs'!$M$208), $E903, ""),"")),""),"")</f>
        <v/>
      </c>
      <c r="AB903" s="95" t="str">
        <f>IF(ISNUMBER($B864), IF($C903&lt;&gt;"", IF('Cost Inputs'!$L$208="Y", $E903, IF('Cost Inputs'!$L$208="N", IF(ISNUMBER('Cost Inputs'!$M$208), $E903, ""),"")),""),"")</f>
        <v/>
      </c>
    </row>
    <row r="904" spans="1:29" x14ac:dyDescent="0.25">
      <c r="A904" s="518" t="str">
        <f>Sixth_Stage</f>
        <v>Stage 4 Grower Trials</v>
      </c>
      <c r="B904" s="503" t="str">
        <f>'Breeding Inputs'!B118</f>
        <v/>
      </c>
      <c r="C904" s="521" t="str">
        <f>IF(ISNUMBER(B886), _6_3_0, "")</f>
        <v/>
      </c>
      <c r="D904" s="94" t="str">
        <f>IF(AND(C904&lt;&gt;"", 'Cost Inputs'!$G$187&lt;&gt;""), 'Cost Inputs'!$G$187, "")</f>
        <v/>
      </c>
      <c r="E904" s="94" t="str">
        <f>IF(AND(C904&lt;&gt;"", 'Cost Inputs'!$H$187&lt;&gt;""), 'Cost Inputs'!$H$187, "")</f>
        <v/>
      </c>
      <c r="F904" s="492" t="str">
        <f>IF(AND(C904&lt;&gt;"", 'Cost Inputs'!$I$187&lt;&gt;""), 'Cost Inputs'!$I$187, "")</f>
        <v/>
      </c>
      <c r="G904" s="102" t="str">
        <f t="shared" si="489"/>
        <v/>
      </c>
      <c r="H904" s="492" t="str">
        <f>IF(AND(C904&lt;&gt;"", 'Cost Inputs'!$J$187&lt;&gt;""), 'Cost Inputs'!$J$187, "")</f>
        <v/>
      </c>
      <c r="I904" s="102" t="str">
        <f>IF($C904&lt;&gt;"",IF(AND($E904&lt;&gt;"",H904&lt;&gt;""), H904/$E904, 0),"")</f>
        <v/>
      </c>
      <c r="J904" s="492" t="str">
        <f>IF(AND(C904&lt;&gt;"",('Cost Inputs'!$I$187+'Cost Inputs'!$J$187+'Cost Inputs'!$K$187)&gt;0), 'Cost Inputs'!$I$187+'Cost Inputs'!$J$187+'Cost Inputs'!$K$187, "")</f>
        <v/>
      </c>
      <c r="K904" s="102" t="str">
        <f>IF($C904&lt;&gt;"",IF(AND($E904&lt;&gt;"",J904&lt;&gt;""), J904/$E904, 0),"")</f>
        <v/>
      </c>
      <c r="L904" s="94"/>
      <c r="M904" s="103"/>
      <c r="T904" s="492" t="str">
        <f>IF(ISNUMBER($B886), IF($C904&lt;&gt;"", IF('Cost Inputs'!$L$187="Y", $E904, IF('Cost Inputs'!$L$187="N", IF(ISNUMBER('Cost Inputs'!$M$187), $E904, ""),"")),""),"")</f>
        <v/>
      </c>
      <c r="U904" s="492" t="str">
        <f>IF(ISNUMBER($B886), IF($C904&lt;&gt;"", IF('Cost Inputs'!$L$187="Y", $E904, IF('Cost Inputs'!$L$187="N", IF(ISNUMBER('Cost Inputs'!$M$187), $E904, ""),"")),""),"")</f>
        <v/>
      </c>
      <c r="V904" s="492" t="str">
        <f>IF(ISNUMBER($B886), IF($C904&lt;&gt;"", IF('Cost Inputs'!$L$187="Y", $E904, IF('Cost Inputs'!$L$187="N", IF(ISNUMBER('Cost Inputs'!$M$187), $E904, ""),"")),""),"")</f>
        <v/>
      </c>
      <c r="W904" s="492" t="str">
        <f>IF(ISNUMBER($B886), IF($C904&lt;&gt;"", IF('Cost Inputs'!$L$187="Y", $E904, IF('Cost Inputs'!$L$187="N", IF(ISNUMBER('Cost Inputs'!$M$187), $E904, ""),"")),""),"")</f>
        <v/>
      </c>
      <c r="X904" s="492" t="str">
        <f>IF(ISNUMBER($B886), IF($C904&lt;&gt;"", IF('Cost Inputs'!$L$187="Y", $E904, IF('Cost Inputs'!$L$187="N", IF(ISNUMBER('Cost Inputs'!$M$187), $E904, ""),"")),""),"")</f>
        <v/>
      </c>
      <c r="Y904" s="492" t="str">
        <f>IF(ISNUMBER($B886), IF($C904&lt;&gt;"", IF('Cost Inputs'!$L$187="Y", $E904, IF('Cost Inputs'!$L$187="N", IF(ISNUMBER('Cost Inputs'!$M$187), $E904, ""),"")),""),"")</f>
        <v/>
      </c>
      <c r="Z904" s="492" t="str">
        <f>IF(ISNUMBER($B886), IF($C904&lt;&gt;"", IF('Cost Inputs'!$L$187="Y", $E904, IF('Cost Inputs'!$L$187="N", IF(ISNUMBER('Cost Inputs'!$M$187), $E904, ""),"")),""),"")</f>
        <v/>
      </c>
      <c r="AA904" s="492" t="str">
        <f>IF(ISNUMBER($B886), IF($C904&lt;&gt;"", IF('Cost Inputs'!$L$187="Y", $E904, IF('Cost Inputs'!$L$187="N", IF(ISNUMBER('Cost Inputs'!$M$187), $E904, ""),"")),""),"")</f>
        <v/>
      </c>
      <c r="AB904" s="492" t="str">
        <f>IF(ISNUMBER($B886), IF($C904&lt;&gt;"", IF('Cost Inputs'!$L$187="Y", $E904, IF('Cost Inputs'!$L$187="N", IF(ISNUMBER('Cost Inputs'!$M$187), $E904, ""),"")),""),"")</f>
        <v/>
      </c>
      <c r="AC904" s="492" t="str">
        <f>IF(ISNUMBER($B886), IF($C904&lt;&gt;"", IF('Cost Inputs'!$L$187="Y", $E904, IF('Cost Inputs'!$L$187="N", IF(ISNUMBER('Cost Inputs'!$M$187), $E904, ""),"")),""),"")</f>
        <v/>
      </c>
    </row>
    <row r="905" spans="1:29" x14ac:dyDescent="0.25">
      <c r="A905" s="518"/>
      <c r="B905" s="504"/>
      <c r="C905" s="521"/>
      <c r="D905" s="94" t="str">
        <f>IF(AND(C904&lt;&gt;"", 'Cost Inputs'!$G$188&lt;&gt;""), 'Cost Inputs'!$G$188, "")</f>
        <v/>
      </c>
      <c r="E905" s="94" t="str">
        <f>IF(AND(C904&lt;&gt;"", 'Cost Inputs'!$H$188&lt;&gt;""), 'Cost Inputs'!$H$188, "")</f>
        <v/>
      </c>
      <c r="F905" s="492"/>
      <c r="G905" s="102" t="str">
        <f t="shared" si="489"/>
        <v/>
      </c>
      <c r="H905" s="492"/>
      <c r="I905" s="102" t="str">
        <f>IF($C904&lt;&gt;"", IF(AND($E905&lt;&gt;"", H904&lt;&gt;""), H904/($E904*$E905), 0), "")</f>
        <v/>
      </c>
      <c r="J905" s="492" t="str">
        <f>IF(AND(C905&lt;&gt;"",('Cost Inputs'!$I$86+'Cost Inputs'!$J$86+'Cost Inputs'!$K$86)&gt;0), 'Cost Inputs'!$I$86+'Cost Inputs'!$J$86+'Cost Inputs'!$K$86, "")</f>
        <v/>
      </c>
      <c r="K905" s="102" t="str">
        <f>IF($C904&lt;&gt;"", IF(AND($E905&lt;&gt;"", J904&lt;&gt;""), J904/($E904*$E905), 0), "")</f>
        <v/>
      </c>
      <c r="L905" s="94"/>
      <c r="M905" s="103"/>
      <c r="T905" s="492" t="str">
        <f>IF(ISNUMBER($B$776), IF($C905&lt;&gt;"", IF('Cost Inputs'!$L298="Y", $E905, IF('Cost Inputs'!$L298="N", IF(ISNUMBER('Cost Inputs'!$M298), $E905, ""),"")),""),"")</f>
        <v/>
      </c>
      <c r="U905" s="492" t="str">
        <f>IF(ISNUMBER($B$776), IF($C905&lt;&gt;"", IF('Cost Inputs'!$L298="Y", $E905, IF('Cost Inputs'!$L298="N", IF(ISNUMBER('Cost Inputs'!$M298), $E905, ""),"")),""),"")</f>
        <v/>
      </c>
      <c r="V905" s="492" t="str">
        <f>IF(ISNUMBER($B$776), IF($C905&lt;&gt;"", IF('Cost Inputs'!$L298="Y", $E905, IF('Cost Inputs'!$L298="N", IF(ISNUMBER('Cost Inputs'!$M298), $E905, ""),"")),""),"")</f>
        <v/>
      </c>
      <c r="W905" s="492" t="str">
        <f>IF(ISNUMBER($B$776), IF($C905&lt;&gt;"", IF('Cost Inputs'!$L298="Y", $E905, IF('Cost Inputs'!$L298="N", IF(ISNUMBER('Cost Inputs'!$M298), $E905, ""),"")),""),"")</f>
        <v/>
      </c>
      <c r="X905" s="492" t="str">
        <f>IF(ISNUMBER($B$776), IF($C905&lt;&gt;"", IF('Cost Inputs'!$L298="Y", $E905, IF('Cost Inputs'!$L298="N", IF(ISNUMBER('Cost Inputs'!$M298), $E905, ""),"")),""),"")</f>
        <v/>
      </c>
      <c r="Y905" s="492" t="str">
        <f>IF(ISNUMBER($B$776), IF($C905&lt;&gt;"", IF('Cost Inputs'!$L298="Y", $E905, IF('Cost Inputs'!$L298="N", IF(ISNUMBER('Cost Inputs'!$M298), $E905, ""),"")),""),"")</f>
        <v/>
      </c>
      <c r="Z905" s="492" t="str">
        <f>IF(ISNUMBER($B$776), IF($C905&lt;&gt;"", IF('Cost Inputs'!$L298="Y", $E905, IF('Cost Inputs'!$L298="N", IF(ISNUMBER('Cost Inputs'!$M298), $E905, ""),"")),""),"")</f>
        <v/>
      </c>
      <c r="AA905" s="492" t="str">
        <f>IF(ISNUMBER($B$776), IF($C905&lt;&gt;"", IF('Cost Inputs'!$L298="Y", $E905, IF('Cost Inputs'!$L298="N", IF(ISNUMBER('Cost Inputs'!$M298), $E905, ""),"")),""),"")</f>
        <v/>
      </c>
      <c r="AB905" s="492" t="str">
        <f>IF(ISNUMBER($B$776), IF($C905&lt;&gt;"", IF('Cost Inputs'!$L298="Y", $E905, IF('Cost Inputs'!$L298="N", IF(ISNUMBER('Cost Inputs'!$M298), $E905, ""),"")),""),"")</f>
        <v/>
      </c>
      <c r="AC905" s="492" t="str">
        <f>IF(ISNUMBER($B$776), IF($C905&lt;&gt;"", IF('Cost Inputs'!$L298="Y", $E905, IF('Cost Inputs'!$L298="N", IF(ISNUMBER('Cost Inputs'!$M298), $E905, ""),"")),""),"")</f>
        <v/>
      </c>
    </row>
    <row r="906" spans="1:29" x14ac:dyDescent="0.25">
      <c r="A906" s="518"/>
      <c r="B906" s="504"/>
      <c r="C906" s="104" t="str">
        <f>IF(AND(ISNUMBER(B886), OR('Cost Inputs'!$H$189&lt;&gt;"", 'Cost Inputs'!$I$189&lt;&gt;"", 'Cost Inputs'!$J$189&lt;&gt;"")), _6_3_1, "")</f>
        <v/>
      </c>
      <c r="D906" s="17" t="str">
        <f>IF(AND(C906&lt;&gt;"", 'Cost Inputs'!$G$189&lt;&gt;""), 'Cost Inputs'!$G$189, "")</f>
        <v/>
      </c>
      <c r="E906" s="17" t="str">
        <f>IF(AND(C906&lt;&gt;"", 'Cost Inputs'!$H$189&lt;&gt;""), 'Cost Inputs'!$H$189, "")</f>
        <v/>
      </c>
      <c r="F906" s="17" t="str">
        <f>IF(AND(C906&lt;&gt;"", 'Cost Inputs'!$I$189&lt;&gt;""), 'Cost Inputs'!$I$189, "")</f>
        <v/>
      </c>
      <c r="G906" s="105" t="str">
        <f t="shared" si="489"/>
        <v/>
      </c>
      <c r="H906" s="17" t="str">
        <f>IF(AND(C906&lt;&gt;"", 'Cost Inputs'!$J$189&lt;&gt;""), 'Cost Inputs'!$J$189, "")</f>
        <v/>
      </c>
      <c r="I906" s="17" t="str">
        <f t="shared" ref="I906:I914" si="492">IF($C906&lt;&gt;"", IF(AND($E906&lt;&gt;"", H906&lt;&gt;""), H906/$E906, 0),"")</f>
        <v/>
      </c>
      <c r="J906" s="17" t="str">
        <f>IF(AND(C906&lt;&gt;"",('Cost Inputs'!$I$189+'Cost Inputs'!$J$189+'Cost Inputs'!$K$189)&gt;0), 'Cost Inputs'!$I$189+'Cost Inputs'!$J$189+'Cost Inputs'!$K$189, "")</f>
        <v/>
      </c>
      <c r="K906" s="17" t="str">
        <f t="shared" ref="K906:K914" si="493">IF($C906&lt;&gt;"", IF(AND($E906&lt;&gt;"", J906&lt;&gt;""), J906/$E906, 0),"")</f>
        <v/>
      </c>
      <c r="M906" s="106"/>
      <c r="T906" s="17" t="str">
        <f>IF(ISNUMBER($B886), IF($C906&lt;&gt;"", IF('Cost Inputs'!$L$189="Y", $E906, IF('Cost Inputs'!$L$189="N", IF(ISNUMBER('Cost Inputs'!$M$189), $E906, ""),"")),""),"")</f>
        <v/>
      </c>
      <c r="U906" s="17" t="str">
        <f>IF(ISNUMBER($B886), IF($C906&lt;&gt;"", IF('Cost Inputs'!$L$189="Y", $E906, IF('Cost Inputs'!$L$189="N", IF(ISNUMBER('Cost Inputs'!$M$189), $E906, ""),"")),""),"")</f>
        <v/>
      </c>
      <c r="V906" s="17" t="str">
        <f>IF(ISNUMBER($B886), IF($C906&lt;&gt;"", IF('Cost Inputs'!$L$189="Y", $E906, IF('Cost Inputs'!$L$189="N", IF(ISNUMBER('Cost Inputs'!$M$189), $E906, ""),"")),""),"")</f>
        <v/>
      </c>
      <c r="W906" s="17" t="str">
        <f>IF(ISNUMBER($B886), IF($C906&lt;&gt;"", IF('Cost Inputs'!$L$189="Y", $E906, IF('Cost Inputs'!$L$189="N", IF(ISNUMBER('Cost Inputs'!$M$189), $E906, ""),"")),""),"")</f>
        <v/>
      </c>
      <c r="X906" s="17" t="str">
        <f>IF(ISNUMBER($B886), IF($C906&lt;&gt;"", IF('Cost Inputs'!$L$189="Y", $E906, IF('Cost Inputs'!$L$189="N", IF(ISNUMBER('Cost Inputs'!$M$189), $E906, ""),"")),""),"")</f>
        <v/>
      </c>
      <c r="Y906" s="17" t="str">
        <f>IF(ISNUMBER($B886), IF($C906&lt;&gt;"", IF('Cost Inputs'!$L$189="Y", $E906, IF('Cost Inputs'!$L$189="N", IF(ISNUMBER('Cost Inputs'!$M$189), $E906, ""),"")),""),"")</f>
        <v/>
      </c>
      <c r="Z906" s="17" t="str">
        <f>IF(ISNUMBER($B886), IF($C906&lt;&gt;"", IF('Cost Inputs'!$L$189="Y", $E906, IF('Cost Inputs'!$L$189="N", IF(ISNUMBER('Cost Inputs'!$M$189), $E906, ""),"")),""),"")</f>
        <v/>
      </c>
      <c r="AA906" s="17" t="str">
        <f>IF(ISNUMBER($B886), IF($C906&lt;&gt;"", IF('Cost Inputs'!$L$189="Y", $E906, IF('Cost Inputs'!$L$189="N", IF(ISNUMBER('Cost Inputs'!$M$189), $E906, ""),"")),""),"")</f>
        <v/>
      </c>
      <c r="AB906" s="17" t="str">
        <f>IF(ISNUMBER($B886), IF($C906&lt;&gt;"", IF('Cost Inputs'!$L$189="Y", $E906, IF('Cost Inputs'!$L$189="N", IF(ISNUMBER('Cost Inputs'!$M$189), $E906, ""),"")),""),"")</f>
        <v/>
      </c>
      <c r="AC906" s="17" t="str">
        <f>IF(ISNUMBER($B886), IF($C906&lt;&gt;"", IF('Cost Inputs'!$L$189="Y", $E906, IF('Cost Inputs'!$L$189="N", IF(ISNUMBER('Cost Inputs'!$M$189), $E906, ""),"")),""),"")</f>
        <v/>
      </c>
    </row>
    <row r="907" spans="1:29" x14ac:dyDescent="0.25">
      <c r="A907" s="518"/>
      <c r="B907" s="504"/>
      <c r="C907" s="107" t="str">
        <f>IF(AND(ISNUMBER(B886), OR('Cost Inputs'!$H$190&lt;&gt;"", 'Cost Inputs'!$I$190&lt;&gt;"", 'Cost Inputs'!$J$190&lt;&gt;"")), _6_3_2, "")</f>
        <v/>
      </c>
      <c r="D907" s="93" t="str">
        <f>IF(AND(C907&lt;&gt;"", 'Cost Inputs'!$G$190&lt;&gt;""), 'Cost Inputs'!$G$190, "")</f>
        <v/>
      </c>
      <c r="E907" s="93" t="str">
        <f>IF(AND(C907&lt;&gt;"", 'Cost Inputs'!$H$190&lt;&gt;""), 'Cost Inputs'!$H$190, "")</f>
        <v/>
      </c>
      <c r="F907" s="93" t="str">
        <f>IF(AND(C907&lt;&gt;"", 'Cost Inputs'!$I$190&lt;&gt;""), 'Cost Inputs'!$I$190, "")</f>
        <v/>
      </c>
      <c r="G907" s="108" t="str">
        <f t="shared" si="489"/>
        <v/>
      </c>
      <c r="H907" s="93" t="str">
        <f>IF(AND(C907&lt;&gt;"", 'Cost Inputs'!$J$190&lt;&gt;""), 'Cost Inputs'!$J$190, "")</f>
        <v/>
      </c>
      <c r="I907" s="93" t="str">
        <f t="shared" si="492"/>
        <v/>
      </c>
      <c r="J907" s="93" t="str">
        <f>IF(AND(C907&lt;&gt;"",('Cost Inputs'!$I$190+'Cost Inputs'!$J$190+'Cost Inputs'!$K$190)&gt;0), 'Cost Inputs'!$I$190+'Cost Inputs'!$J$190+'Cost Inputs'!$K$190, "")</f>
        <v/>
      </c>
      <c r="K907" s="93" t="str">
        <f t="shared" si="493"/>
        <v/>
      </c>
      <c r="L907" s="93"/>
      <c r="M907" s="109"/>
      <c r="T907" s="93" t="str">
        <f>IF(ISNUMBER($B886), IF($C907&lt;&gt;"", IF('Cost Inputs'!$L$190="Y", $E907, IF('Cost Inputs'!$L$190="N", IF(ISNUMBER('Cost Inputs'!$M$190), $E907, ""),"")),""),"")</f>
        <v/>
      </c>
      <c r="U907" s="93" t="str">
        <f>IF(ISNUMBER($B886), IF($C907&lt;&gt;"", IF('Cost Inputs'!$L$190="Y", $E907, IF('Cost Inputs'!$L$190="N", IF(ISNUMBER('Cost Inputs'!$M$190), $E907, ""),"")),""),"")</f>
        <v/>
      </c>
      <c r="V907" s="93" t="str">
        <f>IF(ISNUMBER($B886), IF($C907&lt;&gt;"", IF('Cost Inputs'!$L$190="Y", $E907, IF('Cost Inputs'!$L$190="N", IF(ISNUMBER('Cost Inputs'!$M$190), $E907, ""),"")),""),"")</f>
        <v/>
      </c>
      <c r="W907" s="93" t="str">
        <f>IF(ISNUMBER($B886), IF($C907&lt;&gt;"", IF('Cost Inputs'!$L$190="Y", $E907, IF('Cost Inputs'!$L$190="N", IF(ISNUMBER('Cost Inputs'!$M$190), $E907, ""),"")),""),"")</f>
        <v/>
      </c>
      <c r="X907" s="93" t="str">
        <f>IF(ISNUMBER($B886), IF($C907&lt;&gt;"", IF('Cost Inputs'!$L$190="Y", $E907, IF('Cost Inputs'!$L$190="N", IF(ISNUMBER('Cost Inputs'!$M$190), $E907, ""),"")),""),"")</f>
        <v/>
      </c>
      <c r="Y907" s="93" t="str">
        <f>IF(ISNUMBER($B886), IF($C907&lt;&gt;"", IF('Cost Inputs'!$L$190="Y", $E907, IF('Cost Inputs'!$L$190="N", IF(ISNUMBER('Cost Inputs'!$M$190), $E907, ""),"")),""),"")</f>
        <v/>
      </c>
      <c r="Z907" s="93" t="str">
        <f>IF(ISNUMBER($B886), IF($C907&lt;&gt;"", IF('Cost Inputs'!$L$190="Y", $E907, IF('Cost Inputs'!$L$190="N", IF(ISNUMBER('Cost Inputs'!$M$190), $E907, ""),"")),""),"")</f>
        <v/>
      </c>
      <c r="AA907" s="93" t="str">
        <f>IF(ISNUMBER($B886), IF($C907&lt;&gt;"", IF('Cost Inputs'!$L$190="Y", $E907, IF('Cost Inputs'!$L$190="N", IF(ISNUMBER('Cost Inputs'!$M$190), $E907, ""),"")),""),"")</f>
        <v/>
      </c>
      <c r="AB907" s="93" t="str">
        <f>IF(ISNUMBER($B886), IF($C907&lt;&gt;"", IF('Cost Inputs'!$L$190="Y", $E907, IF('Cost Inputs'!$L$190="N", IF(ISNUMBER('Cost Inputs'!$M$190), $E907, ""),"")),""),"")</f>
        <v/>
      </c>
      <c r="AC907" s="93" t="str">
        <f>IF(ISNUMBER($B886), IF($C907&lt;&gt;"", IF('Cost Inputs'!$L$190="Y", $E907, IF('Cost Inputs'!$L$190="N", IF(ISNUMBER('Cost Inputs'!$M$190), $E907, ""),"")),""),"")</f>
        <v/>
      </c>
    </row>
    <row r="908" spans="1:29" x14ac:dyDescent="0.25">
      <c r="A908" s="518"/>
      <c r="B908" s="504"/>
      <c r="C908" s="110" t="str">
        <f>IF(ISNUMBER(B886), _6_4_0, "")</f>
        <v/>
      </c>
      <c r="D908" s="94" t="str">
        <f>IF(AND(C908&lt;&gt;"", 'Cost Inputs'!$G$191&lt;&gt;""), 'Cost Inputs'!$G$191, "")</f>
        <v/>
      </c>
      <c r="E908" s="94" t="str">
        <f>IF(AND(C908&lt;&gt;"", 'Cost Inputs'!$H$191&lt;&gt;""), 'Cost Inputs'!$H$191, "")</f>
        <v/>
      </c>
      <c r="F908" s="94" t="str">
        <f>IF(AND(C908&lt;&gt;"", 'Cost Inputs'!$I$191&lt;&gt;""), 'Cost Inputs'!$I$191, "")</f>
        <v/>
      </c>
      <c r="G908" s="102" t="str">
        <f t="shared" si="489"/>
        <v/>
      </c>
      <c r="H908" s="102" t="str">
        <f>IF(AND(C908&lt;&gt;"", 'Cost Inputs'!$J$191&lt;&gt;""), 'Cost Inputs'!$J$191, "")</f>
        <v/>
      </c>
      <c r="I908" s="102" t="str">
        <f t="shared" si="492"/>
        <v/>
      </c>
      <c r="J908" s="102" t="str">
        <f>IF(AND(C908&lt;&gt;"",('Cost Inputs'!$I$191+'Cost Inputs'!$J$191+'Cost Inputs'!$K$191)&gt;0), 'Cost Inputs'!$I$191+'Cost Inputs'!$J$191+'Cost Inputs'!$K$191, "")</f>
        <v/>
      </c>
      <c r="K908" s="102" t="str">
        <f t="shared" si="493"/>
        <v/>
      </c>
      <c r="L908" s="94"/>
      <c r="M908" s="103"/>
      <c r="T908" s="102" t="str">
        <f>IF(ISNUMBER($B886), IF($C908&lt;&gt;"", IF('Cost Inputs'!$L$191="Y", $E908, IF('Cost Inputs'!$L$191="N", IF(ISNUMBER('Cost Inputs'!$M$191), $E908, ""),"")),""),"")</f>
        <v/>
      </c>
      <c r="U908" s="102" t="str">
        <f>IF(ISNUMBER($B886), IF($C908&lt;&gt;"", IF('Cost Inputs'!$L$191="Y", $E908, IF('Cost Inputs'!$L$191="N", IF(ISNUMBER('Cost Inputs'!$M$191), $E908, ""),"")),""),"")</f>
        <v/>
      </c>
      <c r="V908" s="102" t="str">
        <f>IF(ISNUMBER($B886), IF($C908&lt;&gt;"", IF('Cost Inputs'!$L$191="Y", $E908, IF('Cost Inputs'!$L$191="N", IF(ISNUMBER('Cost Inputs'!$M$191), $E908, ""),"")),""),"")</f>
        <v/>
      </c>
      <c r="W908" s="102" t="str">
        <f>IF(ISNUMBER($B886), IF($C908&lt;&gt;"", IF('Cost Inputs'!$L$191="Y", $E908, IF('Cost Inputs'!$L$191="N", IF(ISNUMBER('Cost Inputs'!$M$191), $E908, ""),"")),""),"")</f>
        <v/>
      </c>
      <c r="X908" s="102" t="str">
        <f>IF(ISNUMBER($B886), IF($C908&lt;&gt;"", IF('Cost Inputs'!$L$191="Y", $E908, IF('Cost Inputs'!$L$191="N", IF(ISNUMBER('Cost Inputs'!$M$191), $E908, ""),"")),""),"")</f>
        <v/>
      </c>
      <c r="Y908" s="102" t="str">
        <f>IF(ISNUMBER($B886), IF($C908&lt;&gt;"", IF('Cost Inputs'!$L$191="Y", $E908, IF('Cost Inputs'!$L$191="N", IF(ISNUMBER('Cost Inputs'!$M$191), $E908, ""),"")),""),"")</f>
        <v/>
      </c>
      <c r="Z908" s="102" t="str">
        <f>IF(ISNUMBER($B886), IF($C908&lt;&gt;"", IF('Cost Inputs'!$L$191="Y", $E908, IF('Cost Inputs'!$L$191="N", IF(ISNUMBER('Cost Inputs'!$M$191), $E908, ""),"")),""),"")</f>
        <v/>
      </c>
      <c r="AA908" s="102" t="str">
        <f>IF(ISNUMBER($B886), IF($C908&lt;&gt;"", IF('Cost Inputs'!$L$191="Y", $E908, IF('Cost Inputs'!$L$191="N", IF(ISNUMBER('Cost Inputs'!$M$191), $E908, ""),"")),""),"")</f>
        <v/>
      </c>
      <c r="AB908" s="102" t="str">
        <f>IF(ISNUMBER($B886), IF($C908&lt;&gt;"", IF('Cost Inputs'!$L$191="Y", $E908, IF('Cost Inputs'!$L$191="N", IF(ISNUMBER('Cost Inputs'!$M$191), $E908, ""),"")),""),"")</f>
        <v/>
      </c>
      <c r="AC908" s="102" t="str">
        <f>IF(ISNUMBER($B886), IF($C908&lt;&gt;"", IF('Cost Inputs'!$L$191="Y", $E908, IF('Cost Inputs'!$L$191="N", IF(ISNUMBER('Cost Inputs'!$M$191), $E908, ""),"")),""),"")</f>
        <v/>
      </c>
    </row>
    <row r="909" spans="1:29" x14ac:dyDescent="0.25">
      <c r="A909" s="518"/>
      <c r="B909" s="504"/>
      <c r="C909" s="104" t="str">
        <f>IF(AND(ISNUMBER(B886), OR('Cost Inputs'!$H$192&lt;&gt;"", 'Cost Inputs'!$I$192&lt;&gt;"", 'Cost Inputs'!$J$192&lt;&gt;"")), _6_4_1, "")</f>
        <v/>
      </c>
      <c r="D909" s="17" t="str">
        <f>IF(AND(C909&lt;&gt;"", 'Cost Inputs'!$G$192&lt;&gt;""), 'Cost Inputs'!$G$192, "")</f>
        <v/>
      </c>
      <c r="E909" s="17" t="str">
        <f>IF(AND(C909&lt;&gt;"", 'Cost Inputs'!$H$192&lt;&gt;""), 'Cost Inputs'!$H$192, "")</f>
        <v/>
      </c>
      <c r="F909" s="17" t="str">
        <f>IF(AND(C909&lt;&gt;"", 'Cost Inputs'!$I$192&lt;&gt;""), 'Cost Inputs'!$I$192, "")</f>
        <v/>
      </c>
      <c r="G909" s="105" t="str">
        <f t="shared" si="489"/>
        <v/>
      </c>
      <c r="H909" s="17" t="str">
        <f>IF(AND(C909&lt;&gt;"", 'Cost Inputs'!$J$192&lt;&gt;""), 'Cost Inputs'!$J$192, "")</f>
        <v/>
      </c>
      <c r="I909" s="17" t="str">
        <f t="shared" si="492"/>
        <v/>
      </c>
      <c r="J909" s="17" t="str">
        <f>IF(AND(C909&lt;&gt;"",('Cost Inputs'!$I$192+'Cost Inputs'!$J$192+'Cost Inputs'!$K$192)&gt;0), 'Cost Inputs'!$I$192+'Cost Inputs'!$J$192+'Cost Inputs'!$K$192, "")</f>
        <v/>
      </c>
      <c r="K909" s="17" t="str">
        <f t="shared" si="493"/>
        <v/>
      </c>
      <c r="M909" s="106"/>
      <c r="T909" s="17" t="str">
        <f>IF(ISNUMBER($B886), IF($C909&lt;&gt;"", IF('Cost Inputs'!$L$192="Y", $E909, IF('Cost Inputs'!$L$192="N", IF(ISNUMBER('Cost Inputs'!$M$192), $E909, ""),"")),""),"")</f>
        <v/>
      </c>
      <c r="U909" s="17" t="str">
        <f>IF(ISNUMBER($B886), IF($C909&lt;&gt;"", IF('Cost Inputs'!$L$192="Y", $E909, IF('Cost Inputs'!$L$192="N", IF(ISNUMBER('Cost Inputs'!$M$192), $E909, ""),"")),""),"")</f>
        <v/>
      </c>
      <c r="V909" s="17" t="str">
        <f>IF(ISNUMBER($B886), IF($C909&lt;&gt;"", IF('Cost Inputs'!$L$192="Y", $E909, IF('Cost Inputs'!$L$192="N", IF(ISNUMBER('Cost Inputs'!$M$192), $E909, ""),"")),""),"")</f>
        <v/>
      </c>
      <c r="W909" s="17" t="str">
        <f>IF(ISNUMBER($B886), IF($C909&lt;&gt;"", IF('Cost Inputs'!$L$192="Y", $E909, IF('Cost Inputs'!$L$192="N", IF(ISNUMBER('Cost Inputs'!$M$192), $E909, ""),"")),""),"")</f>
        <v/>
      </c>
      <c r="X909" s="17" t="str">
        <f>IF(ISNUMBER($B886), IF($C909&lt;&gt;"", IF('Cost Inputs'!$L$192="Y", $E909, IF('Cost Inputs'!$L$192="N", IF(ISNUMBER('Cost Inputs'!$M$192), $E909, ""),"")),""),"")</f>
        <v/>
      </c>
      <c r="Y909" s="17" t="str">
        <f>IF(ISNUMBER($B886), IF($C909&lt;&gt;"", IF('Cost Inputs'!$L$192="Y", $E909, IF('Cost Inputs'!$L$192="N", IF(ISNUMBER('Cost Inputs'!$M$192), $E909, ""),"")),""),"")</f>
        <v/>
      </c>
      <c r="Z909" s="17" t="str">
        <f>IF(ISNUMBER($B886), IF($C909&lt;&gt;"", IF('Cost Inputs'!$L$192="Y", $E909, IF('Cost Inputs'!$L$192="N", IF(ISNUMBER('Cost Inputs'!$M$192), $E909, ""),"")),""),"")</f>
        <v/>
      </c>
      <c r="AA909" s="17" t="str">
        <f>IF(ISNUMBER($B886), IF($C909&lt;&gt;"", IF('Cost Inputs'!$L$192="Y", $E909, IF('Cost Inputs'!$L$192="N", IF(ISNUMBER('Cost Inputs'!$M$192), $E909, ""),"")),""),"")</f>
        <v/>
      </c>
      <c r="AB909" s="17" t="str">
        <f>IF(ISNUMBER($B886), IF($C909&lt;&gt;"", IF('Cost Inputs'!$L$192="Y", $E909, IF('Cost Inputs'!$L$192="N", IF(ISNUMBER('Cost Inputs'!$M$192), $E909, ""),"")),""),"")</f>
        <v/>
      </c>
      <c r="AC909" s="17" t="str">
        <f>IF(ISNUMBER($B886), IF($C909&lt;&gt;"", IF('Cost Inputs'!$L$192="Y", $E909, IF('Cost Inputs'!$L$192="N", IF(ISNUMBER('Cost Inputs'!$M$192), $E909, ""),"")),""),"")</f>
        <v/>
      </c>
    </row>
    <row r="910" spans="1:29" x14ac:dyDescent="0.25">
      <c r="A910" s="518"/>
      <c r="B910" s="504"/>
      <c r="C910" s="107" t="str">
        <f>IF(AND(ISNUMBER(B886), OR('Cost Inputs'!$H$193&lt;&gt;"", 'Cost Inputs'!$I$193&lt;&gt;"", 'Cost Inputs'!$J$193&lt;&gt;"")), _6_4_2, "")</f>
        <v/>
      </c>
      <c r="D910" s="93" t="str">
        <f>IF(AND(C910&lt;&gt;"", 'Cost Inputs'!$G$193&lt;&gt;""), 'Cost Inputs'!$G$193, "")</f>
        <v/>
      </c>
      <c r="E910" s="93" t="str">
        <f>IF(AND(C910&lt;&gt;"", 'Cost Inputs'!$H$193&lt;&gt;""), 'Cost Inputs'!$H$193, "")</f>
        <v/>
      </c>
      <c r="F910" s="93" t="str">
        <f>IF(AND(C910&lt;&gt;"", 'Cost Inputs'!$I$193&lt;&gt;""), 'Cost Inputs'!$I$193, "")</f>
        <v/>
      </c>
      <c r="G910" s="108" t="str">
        <f t="shared" si="489"/>
        <v/>
      </c>
      <c r="H910" s="93" t="str">
        <f>IF(AND(C910&lt;&gt;"", 'Cost Inputs'!$J$193&lt;&gt;""), 'Cost Inputs'!$J$193, "")</f>
        <v/>
      </c>
      <c r="I910" s="93" t="str">
        <f t="shared" si="492"/>
        <v/>
      </c>
      <c r="J910" s="93" t="str">
        <f>IF(AND(C910&lt;&gt;"",('Cost Inputs'!$I$152+'Cost Inputs'!$J$152+'Cost Inputs'!$K$152)&gt;0), 'Cost Inputs'!$I$152+'Cost Inputs'!$J$152+'Cost Inputs'!$K$152, "")</f>
        <v/>
      </c>
      <c r="K910" s="93" t="str">
        <f t="shared" si="493"/>
        <v/>
      </c>
      <c r="L910" s="93"/>
      <c r="M910" s="109"/>
      <c r="T910" s="93" t="str">
        <f>IF(ISNUMBER($B886), IF($C910&lt;&gt;"", IF('Cost Inputs'!$L$193="Y", $E910, IF('Cost Inputs'!$L$193="N", IF(ISNUMBER('Cost Inputs'!$M$193), $E910, ""),"")),""),"")</f>
        <v/>
      </c>
      <c r="U910" s="93" t="str">
        <f>IF(ISNUMBER($B886), IF($C910&lt;&gt;"", IF('Cost Inputs'!$L$193="Y", $E910, IF('Cost Inputs'!$L$193="N", IF(ISNUMBER('Cost Inputs'!$M$193), $E910, ""),"")),""),"")</f>
        <v/>
      </c>
      <c r="V910" s="93" t="str">
        <f>IF(ISNUMBER($B886), IF($C910&lt;&gt;"", IF('Cost Inputs'!$L$193="Y", $E910, IF('Cost Inputs'!$L$193="N", IF(ISNUMBER('Cost Inputs'!$M$193), $E910, ""),"")),""),"")</f>
        <v/>
      </c>
      <c r="W910" s="93" t="str">
        <f>IF(ISNUMBER($B886), IF($C910&lt;&gt;"", IF('Cost Inputs'!$L$193="Y", $E910, IF('Cost Inputs'!$L$193="N", IF(ISNUMBER('Cost Inputs'!$M$193), $E910, ""),"")),""),"")</f>
        <v/>
      </c>
      <c r="X910" s="93" t="str">
        <f>IF(ISNUMBER($B886), IF($C910&lt;&gt;"", IF('Cost Inputs'!$L$193="Y", $E910, IF('Cost Inputs'!$L$193="N", IF(ISNUMBER('Cost Inputs'!$M$193), $E910, ""),"")),""),"")</f>
        <v/>
      </c>
      <c r="Y910" s="93" t="str">
        <f>IF(ISNUMBER($B886), IF($C910&lt;&gt;"", IF('Cost Inputs'!$L$193="Y", $E910, IF('Cost Inputs'!$L$193="N", IF(ISNUMBER('Cost Inputs'!$M$193), $E910, ""),"")),""),"")</f>
        <v/>
      </c>
      <c r="Z910" s="93" t="str">
        <f>IF(ISNUMBER($B886), IF($C910&lt;&gt;"", IF('Cost Inputs'!$L$193="Y", $E910, IF('Cost Inputs'!$L$193="N", IF(ISNUMBER('Cost Inputs'!$M$193), $E910, ""),"")),""),"")</f>
        <v/>
      </c>
      <c r="AA910" s="93" t="str">
        <f>IF(ISNUMBER($B886), IF($C910&lt;&gt;"", IF('Cost Inputs'!$L$193="Y", $E910, IF('Cost Inputs'!$L$193="N", IF(ISNUMBER('Cost Inputs'!$M$193), $E910, ""),"")),""),"")</f>
        <v/>
      </c>
      <c r="AB910" s="93" t="str">
        <f>IF(ISNUMBER($B886), IF($C910&lt;&gt;"", IF('Cost Inputs'!$L$193="Y", $E910, IF('Cost Inputs'!$L$193="N", IF(ISNUMBER('Cost Inputs'!$M$193), $E910, ""),"")),""),"")</f>
        <v/>
      </c>
      <c r="AC910" s="93" t="str">
        <f>IF(ISNUMBER($B886), IF($C910&lt;&gt;"", IF('Cost Inputs'!$L$193="Y", $E910, IF('Cost Inputs'!$L$193="N", IF(ISNUMBER('Cost Inputs'!$M$193), $E910, ""),"")),""),"")</f>
        <v/>
      </c>
    </row>
    <row r="911" spans="1:29" x14ac:dyDescent="0.25">
      <c r="A911" s="518"/>
      <c r="B911" s="504"/>
      <c r="C911" s="104" t="str">
        <f>IF(AND(ISNUMBER(B886), OR('Cost Inputs'!$H$194&lt;&gt;"", 'Cost Inputs'!$I$194&lt;&gt;"", 'Cost Inputs'!$J$194&lt;&gt;"")), _6_4_3, "")</f>
        <v/>
      </c>
      <c r="D911" s="17" t="str">
        <f>IF(AND(C911&lt;&gt;"", 'Cost Inputs'!$G$194&lt;&gt;""), 'Cost Inputs'!$G$194, "")</f>
        <v/>
      </c>
      <c r="E911" s="17" t="str">
        <f>IF(AND(C911&lt;&gt;"", 'Cost Inputs'!$H$194&lt;&gt;""), 'Cost Inputs'!$H$194, "")</f>
        <v/>
      </c>
      <c r="F911" s="17" t="str">
        <f>IF(AND(C911&lt;&gt;"", 'Cost Inputs'!$I$194&lt;&gt;""), 'Cost Inputs'!$I$194, "")</f>
        <v/>
      </c>
      <c r="G911" s="105" t="str">
        <f t="shared" si="489"/>
        <v/>
      </c>
      <c r="H911" s="17" t="str">
        <f>IF(AND(C911&lt;&gt;"", 'Cost Inputs'!$J$194&lt;&gt;""), 'Cost Inputs'!$J$194, "")</f>
        <v/>
      </c>
      <c r="I911" s="17" t="str">
        <f t="shared" si="492"/>
        <v/>
      </c>
      <c r="J911" s="17" t="str">
        <f>IF(AND(C911&lt;&gt;"",('Cost Inputs'!$I$194+'Cost Inputs'!$J$194+'Cost Inputs'!$K$194)&gt;0), 'Cost Inputs'!$I$194+'Cost Inputs'!$J$194+'Cost Inputs'!$K$194, "")</f>
        <v/>
      </c>
      <c r="K911" s="17" t="str">
        <f t="shared" si="493"/>
        <v/>
      </c>
      <c r="M911" s="106"/>
      <c r="T911" s="17" t="str">
        <f>IF(ISNUMBER($B886), IF($C911&lt;&gt;"", IF('Cost Inputs'!$L$194="Y", $E911, IF('Cost Inputs'!$L$194="N", IF(ISNUMBER('Cost Inputs'!$M$194), $E911, ""),"")),""),"")</f>
        <v/>
      </c>
      <c r="U911" s="17" t="str">
        <f>IF(ISNUMBER($B886), IF($C911&lt;&gt;"", IF('Cost Inputs'!$L$194="Y", $E911, IF('Cost Inputs'!$L$194="N", IF(ISNUMBER('Cost Inputs'!$M$194), $E911, ""),"")),""),"")</f>
        <v/>
      </c>
      <c r="V911" s="17" t="str">
        <f>IF(ISNUMBER($B886), IF($C911&lt;&gt;"", IF('Cost Inputs'!$L$194="Y", $E911, IF('Cost Inputs'!$L$194="N", IF(ISNUMBER('Cost Inputs'!$M$194), $E911, ""),"")),""),"")</f>
        <v/>
      </c>
      <c r="W911" s="17" t="str">
        <f>IF(ISNUMBER($B886), IF($C911&lt;&gt;"", IF('Cost Inputs'!$L$194="Y", $E911, IF('Cost Inputs'!$L$194="N", IF(ISNUMBER('Cost Inputs'!$M$194), $E911, ""),"")),""),"")</f>
        <v/>
      </c>
      <c r="X911" s="17" t="str">
        <f>IF(ISNUMBER($B886), IF($C911&lt;&gt;"", IF('Cost Inputs'!$L$194="Y", $E911, IF('Cost Inputs'!$L$194="N", IF(ISNUMBER('Cost Inputs'!$M$194), $E911, ""),"")),""),"")</f>
        <v/>
      </c>
      <c r="Y911" s="17" t="str">
        <f>IF(ISNUMBER($B886), IF($C911&lt;&gt;"", IF('Cost Inputs'!$L$194="Y", $E911, IF('Cost Inputs'!$L$194="N", IF(ISNUMBER('Cost Inputs'!$M$194), $E911, ""),"")),""),"")</f>
        <v/>
      </c>
      <c r="Z911" s="17" t="str">
        <f>IF(ISNUMBER($B886), IF($C911&lt;&gt;"", IF('Cost Inputs'!$L$194="Y", $E911, IF('Cost Inputs'!$L$194="N", IF(ISNUMBER('Cost Inputs'!$M$194), $E911, ""),"")),""),"")</f>
        <v/>
      </c>
      <c r="AA911" s="17" t="str">
        <f>IF(ISNUMBER($B886), IF($C911&lt;&gt;"", IF('Cost Inputs'!$L$194="Y", $E911, IF('Cost Inputs'!$L$194="N", IF(ISNUMBER('Cost Inputs'!$M$194), $E911, ""),"")),""),"")</f>
        <v/>
      </c>
      <c r="AB911" s="17" t="str">
        <f>IF(ISNUMBER($B886), IF($C911&lt;&gt;"", IF('Cost Inputs'!$L$194="Y", $E911, IF('Cost Inputs'!$L$194="N", IF(ISNUMBER('Cost Inputs'!$M$194), $E911, ""),"")),""),"")</f>
        <v/>
      </c>
      <c r="AC911" s="17" t="str">
        <f>IF(ISNUMBER($B886), IF($C911&lt;&gt;"", IF('Cost Inputs'!$L$194="Y", $E911, IF('Cost Inputs'!$L$194="N", IF(ISNUMBER('Cost Inputs'!$M$194), $E911, ""),"")),""),"")</f>
        <v/>
      </c>
    </row>
    <row r="912" spans="1:29" x14ac:dyDescent="0.25">
      <c r="A912" s="518"/>
      <c r="B912" s="504"/>
      <c r="C912" s="107" t="str">
        <f>IF(AND(ISNUMBER(B886), OR('Cost Inputs'!$H$195&lt;&gt;"", 'Cost Inputs'!$I$195&lt;&gt;"", 'Cost Inputs'!$J$195&lt;&gt;"")), _6_4_4, "")</f>
        <v/>
      </c>
      <c r="D912" s="93" t="str">
        <f>IF(AND(C912&lt;&gt;"", 'Cost Inputs'!$G$195&lt;&gt;""), 'Cost Inputs'!$G$195, "")</f>
        <v/>
      </c>
      <c r="E912" s="93" t="str">
        <f>IF(AND(C912&lt;&gt;"", 'Cost Inputs'!$H$195&lt;&gt;""), 'Cost Inputs'!$H$195, "")</f>
        <v/>
      </c>
      <c r="F912" s="93" t="str">
        <f>IF(AND(C912&lt;&gt;"", 'Cost Inputs'!$I$195&lt;&gt;""), 'Cost Inputs'!$I$195, "")</f>
        <v/>
      </c>
      <c r="G912" s="108" t="str">
        <f t="shared" si="489"/>
        <v/>
      </c>
      <c r="H912" s="93" t="str">
        <f>IF(AND(C912&lt;&gt;"", 'Cost Inputs'!$J$195&lt;&gt;""), 'Cost Inputs'!$J$195, "")</f>
        <v/>
      </c>
      <c r="I912" s="93" t="str">
        <f t="shared" si="492"/>
        <v/>
      </c>
      <c r="J912" s="93" t="str">
        <f>IF(AND(C912&lt;&gt;"",('Cost Inputs'!$I$195+'Cost Inputs'!$J$195+'Cost Inputs'!$K$195)&gt;0), 'Cost Inputs'!$I$195+'Cost Inputs'!$J$195+'Cost Inputs'!$K$195, "")</f>
        <v/>
      </c>
      <c r="K912" s="93" t="str">
        <f t="shared" si="493"/>
        <v/>
      </c>
      <c r="L912" s="93"/>
      <c r="M912" s="109"/>
      <c r="T912" s="93" t="str">
        <f>IF(ISNUMBER($B886), IF($C912&lt;&gt;"", IF('Cost Inputs'!$L$195="Y", $E912, IF('Cost Inputs'!$L$195="N", IF(ISNUMBER('Cost Inputs'!$M$195), $E912, ""),"")),""),"")</f>
        <v/>
      </c>
      <c r="U912" s="93" t="str">
        <f>IF(ISNUMBER($B886), IF($C912&lt;&gt;"", IF('Cost Inputs'!$L$195="Y", $E912, IF('Cost Inputs'!$L$195="N", IF(ISNUMBER('Cost Inputs'!$M$195), $E912, ""),"")),""),"")</f>
        <v/>
      </c>
      <c r="V912" s="93" t="str">
        <f>IF(ISNUMBER($B886), IF($C912&lt;&gt;"", IF('Cost Inputs'!$L$195="Y", $E912, IF('Cost Inputs'!$L$195="N", IF(ISNUMBER('Cost Inputs'!$M$195), $E912, ""),"")),""),"")</f>
        <v/>
      </c>
      <c r="W912" s="93" t="str">
        <f>IF(ISNUMBER($B886), IF($C912&lt;&gt;"", IF('Cost Inputs'!$L$195="Y", $E912, IF('Cost Inputs'!$L$195="N", IF(ISNUMBER('Cost Inputs'!$M$195), $E912, ""),"")),""),"")</f>
        <v/>
      </c>
      <c r="X912" s="93" t="str">
        <f>IF(ISNUMBER($B886), IF($C912&lt;&gt;"", IF('Cost Inputs'!$L$195="Y", $E912, IF('Cost Inputs'!$L$195="N", IF(ISNUMBER('Cost Inputs'!$M$195), $E912, ""),"")),""),"")</f>
        <v/>
      </c>
      <c r="Y912" s="93" t="str">
        <f>IF(ISNUMBER($B886), IF($C912&lt;&gt;"", IF('Cost Inputs'!$L$195="Y", $E912, IF('Cost Inputs'!$L$195="N", IF(ISNUMBER('Cost Inputs'!$M$195), $E912, ""),"")),""),"")</f>
        <v/>
      </c>
      <c r="Z912" s="93" t="str">
        <f>IF(ISNUMBER($B886), IF($C912&lt;&gt;"", IF('Cost Inputs'!$L$195="Y", $E912, IF('Cost Inputs'!$L$195="N", IF(ISNUMBER('Cost Inputs'!$M$195), $E912, ""),"")),""),"")</f>
        <v/>
      </c>
      <c r="AA912" s="93" t="str">
        <f>IF(ISNUMBER($B886), IF($C912&lt;&gt;"", IF('Cost Inputs'!$L$195="Y", $E912, IF('Cost Inputs'!$L$195="N", IF(ISNUMBER('Cost Inputs'!$M$195), $E912, ""),"")),""),"")</f>
        <v/>
      </c>
      <c r="AB912" s="93" t="str">
        <f>IF(ISNUMBER($B886), IF($C912&lt;&gt;"", IF('Cost Inputs'!$L$195="Y", $E912, IF('Cost Inputs'!$L$195="N", IF(ISNUMBER('Cost Inputs'!$M$195), $E912, ""),"")),""),"")</f>
        <v/>
      </c>
      <c r="AC912" s="93" t="str">
        <f>IF(ISNUMBER($B886), IF($C912&lt;&gt;"", IF('Cost Inputs'!$L$195="Y", $E912, IF('Cost Inputs'!$L$195="N", IF(ISNUMBER('Cost Inputs'!$M$195), $E912, ""),"")),""),"")</f>
        <v/>
      </c>
    </row>
    <row r="913" spans="1:30" x14ac:dyDescent="0.25">
      <c r="A913" s="518"/>
      <c r="B913" s="504"/>
      <c r="C913" s="104" t="str">
        <f>IF(AND(ISNUMBER(B886), OR('Cost Inputs'!$H$196&lt;&gt;"", 'Cost Inputs'!$I$196&lt;&gt;"", 'Cost Inputs'!$J$196&lt;&gt;"")), _6_4_5, "")</f>
        <v/>
      </c>
      <c r="D913" s="17" t="str">
        <f>IF(AND(C913&lt;&gt;"", 'Cost Inputs'!$G$196&lt;&gt;""), 'Cost Inputs'!$G$196, "")</f>
        <v/>
      </c>
      <c r="E913" s="17" t="str">
        <f>IF(AND(C913&lt;&gt;"", 'Cost Inputs'!$H$196&lt;&gt;""), 'Cost Inputs'!$H$196, "")</f>
        <v/>
      </c>
      <c r="F913" s="17" t="str">
        <f>IF(AND(C913&lt;&gt;"", 'Cost Inputs'!$I$196&lt;&gt;""), 'Cost Inputs'!$I$196, "")</f>
        <v/>
      </c>
      <c r="G913" s="105" t="str">
        <f t="shared" si="489"/>
        <v/>
      </c>
      <c r="H913" s="17" t="str">
        <f>IF(AND(C913&lt;&gt;"", 'Cost Inputs'!$J$196&lt;&gt;""), 'Cost Inputs'!$J$196, "")</f>
        <v/>
      </c>
      <c r="I913" s="17" t="str">
        <f t="shared" si="492"/>
        <v/>
      </c>
      <c r="J913" s="17" t="str">
        <f>IF(AND(C913&lt;&gt;"",('Cost Inputs'!$I$196+'Cost Inputs'!$J$196+'Cost Inputs'!$K$196)&gt;0), 'Cost Inputs'!$I$196+'Cost Inputs'!$J$196+'Cost Inputs'!$K$196, "")</f>
        <v/>
      </c>
      <c r="K913" s="17" t="str">
        <f t="shared" si="493"/>
        <v/>
      </c>
      <c r="M913" s="106"/>
      <c r="T913" s="17" t="str">
        <f>IF(ISNUMBER($B886), IF($C913&lt;&gt;"", IF('Cost Inputs'!$L$196="Y", $E913, IF('Cost Inputs'!$L$196="N", IF(ISNUMBER('Cost Inputs'!$M$196), $E913, ""),"")),""),"")</f>
        <v/>
      </c>
      <c r="U913" s="17" t="str">
        <f>IF(ISNUMBER($B886), IF($C913&lt;&gt;"", IF('Cost Inputs'!$L$196="Y", $E913, IF('Cost Inputs'!$L$196="N", IF(ISNUMBER('Cost Inputs'!$M$196), $E913, ""),"")),""),"")</f>
        <v/>
      </c>
      <c r="V913" s="17" t="str">
        <f>IF(ISNUMBER($B886), IF($C913&lt;&gt;"", IF('Cost Inputs'!$L$196="Y", $E913, IF('Cost Inputs'!$L$196="N", IF(ISNUMBER('Cost Inputs'!$M$196), $E913, ""),"")),""),"")</f>
        <v/>
      </c>
      <c r="W913" s="17" t="str">
        <f>IF(ISNUMBER($B886), IF($C913&lt;&gt;"", IF('Cost Inputs'!$L$196="Y", $E913, IF('Cost Inputs'!$L$196="N", IF(ISNUMBER('Cost Inputs'!$M$196), $E913, ""),"")),""),"")</f>
        <v/>
      </c>
      <c r="X913" s="17" t="str">
        <f>IF(ISNUMBER($B886), IF($C913&lt;&gt;"", IF('Cost Inputs'!$L$196="Y", $E913, IF('Cost Inputs'!$L$196="N", IF(ISNUMBER('Cost Inputs'!$M$196), $E913, ""),"")),""),"")</f>
        <v/>
      </c>
      <c r="Y913" s="17" t="str">
        <f>IF(ISNUMBER($B886), IF($C913&lt;&gt;"", IF('Cost Inputs'!$L$196="Y", $E913, IF('Cost Inputs'!$L$196="N", IF(ISNUMBER('Cost Inputs'!$M$196), $E913, ""),"")),""),"")</f>
        <v/>
      </c>
      <c r="Z913" s="17" t="str">
        <f>IF(ISNUMBER($B886), IF($C913&lt;&gt;"", IF('Cost Inputs'!$L$196="Y", $E913, IF('Cost Inputs'!$L$196="N", IF(ISNUMBER('Cost Inputs'!$M$196), $E913, ""),"")),""),"")</f>
        <v/>
      </c>
      <c r="AA913" s="17" t="str">
        <f>IF(ISNUMBER($B886), IF($C913&lt;&gt;"", IF('Cost Inputs'!$L$196="Y", $E913, IF('Cost Inputs'!$L$196="N", IF(ISNUMBER('Cost Inputs'!$M$196), $E913, ""),"")),""),"")</f>
        <v/>
      </c>
      <c r="AB913" s="17" t="str">
        <f>IF(ISNUMBER($B886), IF($C913&lt;&gt;"", IF('Cost Inputs'!$L$196="Y", $E913, IF('Cost Inputs'!$L$196="N", IF(ISNUMBER('Cost Inputs'!$M$196), $E913, ""),"")),""),"")</f>
        <v/>
      </c>
      <c r="AC913" s="17" t="str">
        <f>IF(ISNUMBER($B886), IF($C913&lt;&gt;"", IF('Cost Inputs'!$L$196="Y", $E913, IF('Cost Inputs'!$L$196="N", IF(ISNUMBER('Cost Inputs'!$M$196), $E913, ""),"")),""),"")</f>
        <v/>
      </c>
    </row>
    <row r="914" spans="1:30" x14ac:dyDescent="0.25">
      <c r="A914" s="518"/>
      <c r="B914" s="504"/>
      <c r="C914" s="107" t="str">
        <f>IF(AND(ISNUMBER(B886), OR('Cost Inputs'!$H$197&lt;&gt;"", 'Cost Inputs'!$I$197&lt;&gt;"", 'Cost Inputs'!$J$197&lt;&gt;"")), _6_4_6, "")</f>
        <v/>
      </c>
      <c r="D914" s="93" t="str">
        <f>IF(AND(C914&lt;&gt;"", 'Cost Inputs'!$G$197&lt;&gt;""), 'Cost Inputs'!$G$197, "")</f>
        <v/>
      </c>
      <c r="E914" s="93" t="str">
        <f>IF(AND(C914&lt;&gt;"", 'Cost Inputs'!$H$197&lt;&gt;""), 'Cost Inputs'!$H$197, "")</f>
        <v/>
      </c>
      <c r="F914" s="93" t="str">
        <f>IF(AND(C914&lt;&gt;"", 'Cost Inputs'!$I$197&lt;&gt;""), 'Cost Inputs'!$I$197, "")</f>
        <v/>
      </c>
      <c r="G914" s="108" t="str">
        <f t="shared" si="489"/>
        <v/>
      </c>
      <c r="H914" s="93" t="str">
        <f>IF(AND(C914&lt;&gt;"", 'Cost Inputs'!$J$197&lt;&gt;""), 'Cost Inputs'!$J$16, "")</f>
        <v/>
      </c>
      <c r="I914" s="93" t="str">
        <f t="shared" si="492"/>
        <v/>
      </c>
      <c r="J914" s="93" t="str">
        <f>IF(AND(C914&lt;&gt;"",('Cost Inputs'!$I$197+'Cost Inputs'!$J$197+'Cost Inputs'!$K$197)&gt;0), 'Cost Inputs'!$I$197+'Cost Inputs'!$J$197+'Cost Inputs'!$K$197, "")</f>
        <v/>
      </c>
      <c r="K914" s="93" t="str">
        <f t="shared" si="493"/>
        <v/>
      </c>
      <c r="L914" s="93"/>
      <c r="M914" s="109"/>
      <c r="T914" s="93" t="str">
        <f>IF(ISNUMBER($B886), IF($C914&lt;&gt;"", IF('Cost Inputs'!$L$197="Y", $E914, IF('Cost Inputs'!$L$197="N", IF(ISNUMBER('Cost Inputs'!$M$197), $E914, ""),"")),""),"")</f>
        <v/>
      </c>
      <c r="U914" s="93" t="str">
        <f>IF(ISNUMBER($B886), IF($C914&lt;&gt;"", IF('Cost Inputs'!$L$197="Y", $E914, IF('Cost Inputs'!$L$197="N", IF(ISNUMBER('Cost Inputs'!$M$197), $E914, ""),"")),""),"")</f>
        <v/>
      </c>
      <c r="V914" s="93" t="str">
        <f>IF(ISNUMBER($B886), IF($C914&lt;&gt;"", IF('Cost Inputs'!$L$197="Y", $E914, IF('Cost Inputs'!$L$197="N", IF(ISNUMBER('Cost Inputs'!$M$197), $E914, ""),"")),""),"")</f>
        <v/>
      </c>
      <c r="W914" s="93" t="str">
        <f>IF(ISNUMBER($B886), IF($C914&lt;&gt;"", IF('Cost Inputs'!$L$197="Y", $E914, IF('Cost Inputs'!$L$197="N", IF(ISNUMBER('Cost Inputs'!$M$197), $E914, ""),"")),""),"")</f>
        <v/>
      </c>
      <c r="X914" s="93" t="str">
        <f>IF(ISNUMBER($B886), IF($C914&lt;&gt;"", IF('Cost Inputs'!$L$197="Y", $E914, IF('Cost Inputs'!$L$197="N", IF(ISNUMBER('Cost Inputs'!$M$197), $E914, ""),"")),""),"")</f>
        <v/>
      </c>
      <c r="Y914" s="93" t="str">
        <f>IF(ISNUMBER($B886), IF($C914&lt;&gt;"", IF('Cost Inputs'!$L$197="Y", $E914, IF('Cost Inputs'!$L$197="N", IF(ISNUMBER('Cost Inputs'!$M$197), $E914, ""),"")),""),"")</f>
        <v/>
      </c>
      <c r="Z914" s="93" t="str">
        <f>IF(ISNUMBER($B886), IF($C914&lt;&gt;"", IF('Cost Inputs'!$L$197="Y", $E914, IF('Cost Inputs'!$L$197="N", IF(ISNUMBER('Cost Inputs'!$M$197), $E914, ""),"")),""),"")</f>
        <v/>
      </c>
      <c r="AA914" s="93" t="str">
        <f>IF(ISNUMBER($B886), IF($C914&lt;&gt;"", IF('Cost Inputs'!$L$197="Y", $E914, IF('Cost Inputs'!$L$197="N", IF(ISNUMBER('Cost Inputs'!$M$197), $E914, ""),"")),""),"")</f>
        <v/>
      </c>
      <c r="AB914" s="93" t="str">
        <f>IF(ISNUMBER($B886), IF($C914&lt;&gt;"", IF('Cost Inputs'!$L$197="Y", $E914, IF('Cost Inputs'!$L$197="N", IF(ISNUMBER('Cost Inputs'!$M$197), $E914, ""),"")),""),"")</f>
        <v/>
      </c>
      <c r="AC914" s="93" t="str">
        <f>IF(ISNUMBER($B886), IF($C914&lt;&gt;"", IF('Cost Inputs'!$L$197="Y", $E914, IF('Cost Inputs'!$L$197="N", IF(ISNUMBER('Cost Inputs'!$M$197), $E914, ""),"")),""),"")</f>
        <v/>
      </c>
    </row>
    <row r="915" spans="1:30" x14ac:dyDescent="0.25">
      <c r="A915" s="518"/>
      <c r="B915" s="504"/>
      <c r="C915" s="521" t="str">
        <f>IF(AND(B904&lt;&gt;"",ISNUMBER(B904),ISNUMBER(Stage4EvaluationBegins)),IF((INDEX(ProgramYearStage4,MATCH(Stage4EvaluationBegins,Years_in_Stage4,0)))=B904,_6_5_0,IF(AND(B904&lt;&gt;"",C893&lt;&gt;""),_6_5_0,IF(AND(B904&lt;&gt;"",ISNUMBER(B904),OR(Stage4EvaluationBegins=0,Stage4EvaluationBegins="")),"",""))),"")</f>
        <v/>
      </c>
      <c r="D915" s="94" t="str">
        <f>IF(AND(C915&lt;&gt;"", 'Cost Inputs'!$G$198&lt;&gt;""), 'Cost Inputs'!$G$198, "")</f>
        <v/>
      </c>
      <c r="E915" s="94" t="str">
        <f>IF(AND(C915&lt;&gt;"", 'Cost Inputs'!$H$198&lt;&gt;""), 'Cost Inputs'!$H$198, "")</f>
        <v/>
      </c>
      <c r="F915" s="492" t="str">
        <f>IF(AND(C915&lt;&gt;"", 'Cost Inputs'!$I$198&lt;&gt;""), 'Cost Inputs'!$I$198, "")</f>
        <v/>
      </c>
      <c r="G915" s="102" t="str">
        <f t="shared" si="489"/>
        <v/>
      </c>
      <c r="H915" s="492" t="str">
        <f>IF(AND(C915&lt;&gt;"", 'Cost Inputs'!$J$198&lt;&gt;""), 'Cost Inputs'!$J$198, "")</f>
        <v/>
      </c>
      <c r="I915" s="102" t="str">
        <f>IF($C915&lt;&gt;"",IF(AND($E915&lt;&gt;"",H915&lt;&gt;""), H915/$E915, 0),"")</f>
        <v/>
      </c>
      <c r="J915" s="492" t="str">
        <f>IF(AND(C915&lt;&gt;"",('Cost Inputs'!$I$198+'Cost Inputs'!$J$198+'Cost Inputs'!$K$198)&gt;0), 'Cost Inputs'!$I$198+'Cost Inputs'!$J$198+'Cost Inputs'!$K$198, "")</f>
        <v/>
      </c>
      <c r="K915" s="102" t="str">
        <f>IF($C915&lt;&gt;"",IF(AND($E915&lt;&gt;"",J915&lt;&gt;""), J915/$E915, 0),"")</f>
        <v/>
      </c>
      <c r="L915" s="94"/>
      <c r="M915" s="103"/>
      <c r="T915" s="492" t="str">
        <f>IF(ISNUMBER($B886), IF($C915&lt;&gt;"", IF('Cost Inputs'!$L$198="Y", $E915, IF('Cost Inputs'!$L$198="N", IF(ISNUMBER('Cost Inputs'!$M$198), $E915, ""),"")),""),"")</f>
        <v/>
      </c>
      <c r="U915" s="492" t="str">
        <f>IF(ISNUMBER($B886), IF($C915&lt;&gt;"", IF('Cost Inputs'!$L$198="Y", $E915, IF('Cost Inputs'!$L$198="N", IF(ISNUMBER('Cost Inputs'!$M$198), $E915, ""),"")),""),"")</f>
        <v/>
      </c>
      <c r="V915" s="492" t="str">
        <f>IF(ISNUMBER($B886), IF($C915&lt;&gt;"", IF('Cost Inputs'!$L$198="Y", $E915, IF('Cost Inputs'!$L$198="N", IF(ISNUMBER('Cost Inputs'!$M$198), $E915, ""),"")),""),"")</f>
        <v/>
      </c>
      <c r="W915" s="492" t="str">
        <f>IF(ISNUMBER($B886), IF($C915&lt;&gt;"", IF('Cost Inputs'!$L$198="Y", $E915, IF('Cost Inputs'!$L$198="N", IF(ISNUMBER('Cost Inputs'!$M$198), $E915, ""),"")),""),"")</f>
        <v/>
      </c>
      <c r="X915" s="492" t="str">
        <f>IF(ISNUMBER($B886), IF($C915&lt;&gt;"", IF('Cost Inputs'!$L$198="Y", $E915, IF('Cost Inputs'!$L$198="N", IF(ISNUMBER('Cost Inputs'!$M$198), $E915, ""),"")),""),"")</f>
        <v/>
      </c>
      <c r="Y915" s="492" t="str">
        <f>IF(ISNUMBER($B886), IF($C915&lt;&gt;"", IF('Cost Inputs'!$L$198="Y", $E915, IF('Cost Inputs'!$L$198="N", IF(ISNUMBER('Cost Inputs'!$M$198), $E915, ""),"")),""),"")</f>
        <v/>
      </c>
      <c r="Z915" s="492" t="str">
        <f>IF(ISNUMBER($B886), IF($C915&lt;&gt;"", IF('Cost Inputs'!$L$198="Y", $E915, IF('Cost Inputs'!$L$198="N", IF(ISNUMBER('Cost Inputs'!$M$198), $E915, ""),"")),""),"")</f>
        <v/>
      </c>
      <c r="AA915" s="492" t="str">
        <f>IF(ISNUMBER($B886), IF($C915&lt;&gt;"", IF('Cost Inputs'!$L$198="Y", $E915, IF('Cost Inputs'!$L$198="N", IF(ISNUMBER('Cost Inputs'!$M$198), $E915, ""),"")),""),"")</f>
        <v/>
      </c>
      <c r="AB915" s="492" t="str">
        <f>IF(ISNUMBER($B886), IF($C915&lt;&gt;"", IF('Cost Inputs'!$L$198="Y", $E915, IF('Cost Inputs'!$L$198="N", IF(ISNUMBER('Cost Inputs'!$M$198), $E915, ""),"")),""),"")</f>
        <v/>
      </c>
      <c r="AC915" s="492" t="str">
        <f>IF(ISNUMBER($B886), IF($C915&lt;&gt;"", IF('Cost Inputs'!$L$198="Y", $E915, IF('Cost Inputs'!$L$198="N", IF(ISNUMBER('Cost Inputs'!$M$198), $E915, ""),"")),""),"")</f>
        <v/>
      </c>
    </row>
    <row r="916" spans="1:30" x14ac:dyDescent="0.25">
      <c r="A916" s="518"/>
      <c r="B916" s="504"/>
      <c r="C916" s="521"/>
      <c r="D916" s="94" t="str">
        <f>IF(AND(C915&lt;&gt;"", 'Cost Inputs'!$G$199&lt;&gt;""), 'Cost Inputs'!$G$199, "")</f>
        <v/>
      </c>
      <c r="E916" s="94" t="str">
        <f>IF(AND(C915&lt;&gt;"", 'Cost Inputs'!$H$199&lt;&gt;""), 'Cost Inputs'!$H$199, "")</f>
        <v/>
      </c>
      <c r="F916" s="492"/>
      <c r="G916" s="102" t="str">
        <f t="shared" si="489"/>
        <v/>
      </c>
      <c r="H916" s="492"/>
      <c r="I916" s="102" t="str">
        <f>IF($C915&lt;&gt;"", IF(AND($E916&lt;&gt;"", H915&lt;&gt;""), H915/($E915*$E916), 0), "")</f>
        <v/>
      </c>
      <c r="J916" s="492" t="str">
        <f>IF(AND(C916&lt;&gt;"",('Cost Inputs'!$I$86+'Cost Inputs'!$J$86+'Cost Inputs'!$K$86)&gt;0), 'Cost Inputs'!$I$86+'Cost Inputs'!$J$86+'Cost Inputs'!$K$86, "")</f>
        <v/>
      </c>
      <c r="K916" s="102" t="str">
        <f>IF($C915&lt;&gt;"", IF(AND($E916&lt;&gt;"", J915&lt;&gt;""), J915/($E915*$E916), 0), "")</f>
        <v/>
      </c>
      <c r="L916" s="94"/>
      <c r="M916" s="103"/>
      <c r="T916" s="492" t="str">
        <f>IF(ISNUMBER($B$776), IF($C916&lt;&gt;"", IF('Cost Inputs'!$L309="Y", $E916, IF('Cost Inputs'!$L309="N", IF(ISNUMBER('Cost Inputs'!$M309), $E916, ""),"")),""),"")</f>
        <v/>
      </c>
      <c r="U916" s="492" t="str">
        <f>IF(ISNUMBER($B$776), IF($C916&lt;&gt;"", IF('Cost Inputs'!$L309="Y", $E916, IF('Cost Inputs'!$L309="N", IF(ISNUMBER('Cost Inputs'!$M309), $E916, ""),"")),""),"")</f>
        <v/>
      </c>
      <c r="V916" s="492" t="str">
        <f>IF(ISNUMBER($B$776), IF($C916&lt;&gt;"", IF('Cost Inputs'!$L309="Y", $E916, IF('Cost Inputs'!$L309="N", IF(ISNUMBER('Cost Inputs'!$M309), $E916, ""),"")),""),"")</f>
        <v/>
      </c>
      <c r="W916" s="492" t="str">
        <f>IF(ISNUMBER($B$776), IF($C916&lt;&gt;"", IF('Cost Inputs'!$L309="Y", $E916, IF('Cost Inputs'!$L309="N", IF(ISNUMBER('Cost Inputs'!$M309), $E916, ""),"")),""),"")</f>
        <v/>
      </c>
      <c r="X916" s="492" t="str">
        <f>IF(ISNUMBER($B$776), IF($C916&lt;&gt;"", IF('Cost Inputs'!$L309="Y", $E916, IF('Cost Inputs'!$L309="N", IF(ISNUMBER('Cost Inputs'!$M309), $E916, ""),"")),""),"")</f>
        <v/>
      </c>
      <c r="Y916" s="492" t="str">
        <f>IF(ISNUMBER($B$776), IF($C916&lt;&gt;"", IF('Cost Inputs'!$L309="Y", $E916, IF('Cost Inputs'!$L309="N", IF(ISNUMBER('Cost Inputs'!$M309), $E916, ""),"")),""),"")</f>
        <v/>
      </c>
      <c r="Z916" s="492" t="str">
        <f>IF(ISNUMBER($B$776), IF($C916&lt;&gt;"", IF('Cost Inputs'!$L309="Y", $E916, IF('Cost Inputs'!$L309="N", IF(ISNUMBER('Cost Inputs'!$M309), $E916, ""),"")),""),"")</f>
        <v/>
      </c>
      <c r="AA916" s="492" t="str">
        <f>IF(ISNUMBER($B$776), IF($C916&lt;&gt;"", IF('Cost Inputs'!$L309="Y", $E916, IF('Cost Inputs'!$L309="N", IF(ISNUMBER('Cost Inputs'!$M309), $E916, ""),"")),""),"")</f>
        <v/>
      </c>
      <c r="AB916" s="492" t="str">
        <f>IF(ISNUMBER($B$776), IF($C916&lt;&gt;"", IF('Cost Inputs'!$L309="Y", $E916, IF('Cost Inputs'!$L309="N", IF(ISNUMBER('Cost Inputs'!$M309), $E916, ""),"")),""),"")</f>
        <v/>
      </c>
      <c r="AC916" s="492" t="str">
        <f>IF(ISNUMBER($B$776), IF($C916&lt;&gt;"", IF('Cost Inputs'!$L309="Y", $E916, IF('Cost Inputs'!$L309="N", IF(ISNUMBER('Cost Inputs'!$M309), $E916, ""),"")),""),"")</f>
        <v/>
      </c>
    </row>
    <row r="917" spans="1:30" x14ac:dyDescent="0.25">
      <c r="A917" s="518"/>
      <c r="B917" s="504"/>
      <c r="C917" s="376" t="str">
        <f>IF(AND(ISNUMBER(B886), C915&lt;&gt;"", OR('Cost Inputs'!$H$200&lt;&gt;"", 'Cost Inputs'!$I$200&lt;&gt;"", 'Cost Inputs'!$J$200&lt;&gt;"")), _6_5_1, "")</f>
        <v/>
      </c>
      <c r="D917" s="17" t="str">
        <f>IF(AND(C917&lt;&gt;"", 'Cost Inputs'!$G$200&lt;&gt;""), 'Cost Inputs'!$G$200, "")</f>
        <v/>
      </c>
      <c r="E917" s="17" t="str">
        <f>IF(AND(C917&lt;&gt;"", 'Cost Inputs'!$H$200&lt;&gt;""), 'Cost Inputs'!$H$200, "")</f>
        <v/>
      </c>
      <c r="F917" s="493" t="str">
        <f>IF(AND(C917&lt;&gt;"", 'Cost Inputs'!$I$200&lt;&gt;""), 'Cost Inputs'!$I$200, "")</f>
        <v/>
      </c>
      <c r="G917" s="105" t="str">
        <f t="shared" si="489"/>
        <v/>
      </c>
      <c r="H917" s="493" t="str">
        <f>IF(AND(C917&lt;&gt;"", 'Cost Inputs'!$J$200&lt;&gt;""), 'Cost Inputs'!$J$200, "")</f>
        <v/>
      </c>
      <c r="I917" s="105" t="str">
        <f>IF($C917&lt;&gt;"",IF(AND($E917&lt;&gt;"",H917&lt;&gt;""), H917/$E917, 0),"")</f>
        <v/>
      </c>
      <c r="J917" s="493" t="str">
        <f>IF(AND(C917&lt;&gt;"",('Cost Inputs'!$I$200+'Cost Inputs'!$J$200+'Cost Inputs'!$K$200)&gt;0), 'Cost Inputs'!$I$200+'Cost Inputs'!$J$200+'Cost Inputs'!$K$200, "")</f>
        <v/>
      </c>
      <c r="K917" s="105" t="str">
        <f>IF($C917&lt;&gt;"",IF(AND($E917&lt;&gt;"",J917&lt;&gt;""), J917/$E917, 0),"")</f>
        <v/>
      </c>
      <c r="M917" s="106"/>
      <c r="T917" s="493" t="str">
        <f>IF(ISNUMBER($B886), IF($C917&lt;&gt;"", IF('Cost Inputs'!$L$200="Y", $E917, IF('Cost Inputs'!$L$200="N", IF(ISNUMBER('Cost Inputs'!$M$200), $E917, ""),"")),""),"")</f>
        <v/>
      </c>
      <c r="U917" s="493" t="str">
        <f>IF(ISNUMBER($B886), IF($C917&lt;&gt;"", IF('Cost Inputs'!$L$200="Y", $E917, IF('Cost Inputs'!$L$200="N", IF(ISNUMBER('Cost Inputs'!$M$200), $E917, ""),"")),""),"")</f>
        <v/>
      </c>
      <c r="V917" s="493" t="str">
        <f>IF(ISNUMBER($B886), IF($C917&lt;&gt;"", IF('Cost Inputs'!$L$200="Y", $E917, IF('Cost Inputs'!$L$200="N", IF(ISNUMBER('Cost Inputs'!$M$200), $E917, ""),"")),""),"")</f>
        <v/>
      </c>
      <c r="W917" s="493" t="str">
        <f>IF(ISNUMBER($B886), IF($C917&lt;&gt;"", IF('Cost Inputs'!$L$200="Y", $E917, IF('Cost Inputs'!$L$200="N", IF(ISNUMBER('Cost Inputs'!$M$200), $E917, ""),"")),""),"")</f>
        <v/>
      </c>
      <c r="X917" s="493" t="str">
        <f>IF(ISNUMBER($B886), IF($C917&lt;&gt;"", IF('Cost Inputs'!$L$200="Y", $E917, IF('Cost Inputs'!$L$200="N", IF(ISNUMBER('Cost Inputs'!$M$200), $E917, ""),"")),""),"")</f>
        <v/>
      </c>
      <c r="Y917" s="493" t="str">
        <f>IF(ISNUMBER($B886), IF($C917&lt;&gt;"", IF('Cost Inputs'!$L$200="Y", $E917, IF('Cost Inputs'!$L$200="N", IF(ISNUMBER('Cost Inputs'!$M$200), $E917, ""),"")),""),"")</f>
        <v/>
      </c>
      <c r="Z917" s="493" t="str">
        <f>IF(ISNUMBER($B886), IF($C917&lt;&gt;"", IF('Cost Inputs'!$L$200="Y", $E917, IF('Cost Inputs'!$L$200="N", IF(ISNUMBER('Cost Inputs'!$M$200), $E917, ""),"")),""),"")</f>
        <v/>
      </c>
      <c r="AA917" s="493" t="str">
        <f>IF(ISNUMBER($B886), IF($C917&lt;&gt;"", IF('Cost Inputs'!$L$200="Y", $E917, IF('Cost Inputs'!$L$200="N", IF(ISNUMBER('Cost Inputs'!$M$200), $E917, ""),"")),""),"")</f>
        <v/>
      </c>
      <c r="AB917" s="493" t="str">
        <f>IF(ISNUMBER($B886), IF($C917&lt;&gt;"", IF('Cost Inputs'!$L$200="Y", $E917, IF('Cost Inputs'!$L$200="N", IF(ISNUMBER('Cost Inputs'!$M$200), $E917, ""),"")),""),"")</f>
        <v/>
      </c>
      <c r="AC917" s="493" t="str">
        <f>IF(ISNUMBER($B886), IF($C917&lt;&gt;"", IF('Cost Inputs'!$L$200="Y", $E917, IF('Cost Inputs'!$L$200="N", IF(ISNUMBER('Cost Inputs'!$M$200), $E917, ""),"")),""),"")</f>
        <v/>
      </c>
    </row>
    <row r="918" spans="1:30" x14ac:dyDescent="0.25">
      <c r="A918" s="518"/>
      <c r="B918" s="504"/>
      <c r="C918" s="376" t="str">
        <f>IF(AND(ISNUMBER(B900), OR('Cost Inputs'!$H$85&lt;&gt;"", 'Cost Inputs'!$I$85&lt;&gt;"", 'Cost Inputs'!$J$85&lt;&gt;"")), _3_5_1, "")</f>
        <v/>
      </c>
      <c r="D918" s="17" t="str">
        <f>IF(AND(C917&lt;&gt;"", 'Cost Inputs'!$G$201&lt;&gt;""), 'Cost Inputs'!$G$201, "")</f>
        <v/>
      </c>
      <c r="E918" s="17" t="str">
        <f>IF(AND(C917&lt;&gt;"", 'Cost Inputs'!$H$201&lt;&gt;""), 'Cost Inputs'!$H$201, "")</f>
        <v/>
      </c>
      <c r="F918" s="493"/>
      <c r="G918" s="105" t="str">
        <f t="shared" si="489"/>
        <v/>
      </c>
      <c r="H918" s="493"/>
      <c r="I918" s="105" t="str">
        <f>IF($C917&lt;&gt;"", IF(AND($E918&lt;&gt;"", H917&lt;&gt;""), H917/($E917*$E918), 0), "")</f>
        <v/>
      </c>
      <c r="J918" s="493" t="str">
        <f>IF(AND(C918&lt;&gt;"",('Cost Inputs'!$I$86+'Cost Inputs'!$J$86+'Cost Inputs'!$K$86)&gt;0), 'Cost Inputs'!$I$86+'Cost Inputs'!$J$86+'Cost Inputs'!$K$86, "")</f>
        <v/>
      </c>
      <c r="K918" s="105" t="str">
        <f>IF($C917&lt;&gt;"", IF(AND($E918&lt;&gt;"", J917&lt;&gt;""), J917/($E917*$E918), 0), "")</f>
        <v/>
      </c>
      <c r="M918" s="106"/>
      <c r="T918" s="493" t="str">
        <f>IF(ISNUMBER($B$776), IF($C918&lt;&gt;"", IF('Cost Inputs'!$L311="Y", $E918, IF('Cost Inputs'!$L311="N", IF(ISNUMBER('Cost Inputs'!$M311), $E918, ""),"")),""),"")</f>
        <v/>
      </c>
      <c r="U918" s="493" t="str">
        <f>IF(ISNUMBER($B$776), IF($C918&lt;&gt;"", IF('Cost Inputs'!$L311="Y", $E918, IF('Cost Inputs'!$L311="N", IF(ISNUMBER('Cost Inputs'!$M311), $E918, ""),"")),""),"")</f>
        <v/>
      </c>
      <c r="V918" s="493" t="str">
        <f>IF(ISNUMBER($B$776), IF($C918&lt;&gt;"", IF('Cost Inputs'!$L311="Y", $E918, IF('Cost Inputs'!$L311="N", IF(ISNUMBER('Cost Inputs'!$M311), $E918, ""),"")),""),"")</f>
        <v/>
      </c>
      <c r="W918" s="493" t="str">
        <f>IF(ISNUMBER($B$776), IF($C918&lt;&gt;"", IF('Cost Inputs'!$L311="Y", $E918, IF('Cost Inputs'!$L311="N", IF(ISNUMBER('Cost Inputs'!$M311), $E918, ""),"")),""),"")</f>
        <v/>
      </c>
      <c r="X918" s="493" t="str">
        <f>IF(ISNUMBER($B$776), IF($C918&lt;&gt;"", IF('Cost Inputs'!$L311="Y", $E918, IF('Cost Inputs'!$L311="N", IF(ISNUMBER('Cost Inputs'!$M311), $E918, ""),"")),""),"")</f>
        <v/>
      </c>
      <c r="Y918" s="493" t="str">
        <f>IF(ISNUMBER($B$776), IF($C918&lt;&gt;"", IF('Cost Inputs'!$L311="Y", $E918, IF('Cost Inputs'!$L311="N", IF(ISNUMBER('Cost Inputs'!$M311), $E918, ""),"")),""),"")</f>
        <v/>
      </c>
      <c r="Z918" s="493" t="str">
        <f>IF(ISNUMBER($B$776), IF($C918&lt;&gt;"", IF('Cost Inputs'!$L311="Y", $E918, IF('Cost Inputs'!$L311="N", IF(ISNUMBER('Cost Inputs'!$M311), $E918, ""),"")),""),"")</f>
        <v/>
      </c>
      <c r="AA918" s="493" t="str">
        <f>IF(ISNUMBER($B$776), IF($C918&lt;&gt;"", IF('Cost Inputs'!$L311="Y", $E918, IF('Cost Inputs'!$L311="N", IF(ISNUMBER('Cost Inputs'!$M311), $E918, ""),"")),""),"")</f>
        <v/>
      </c>
      <c r="AB918" s="493" t="str">
        <f>IF(ISNUMBER($B$776), IF($C918&lt;&gt;"", IF('Cost Inputs'!$L311="Y", $E918, IF('Cost Inputs'!$L311="N", IF(ISNUMBER('Cost Inputs'!$M311), $E918, ""),"")),""),"")</f>
        <v/>
      </c>
      <c r="AC918" s="493" t="str">
        <f>IF(ISNUMBER($B$776), IF($C918&lt;&gt;"", IF('Cost Inputs'!$L311="Y", $E918, IF('Cost Inputs'!$L311="N", IF(ISNUMBER('Cost Inputs'!$M311), $E918, ""),"")),""),"")</f>
        <v/>
      </c>
    </row>
    <row r="919" spans="1:30" x14ac:dyDescent="0.25">
      <c r="A919" s="518"/>
      <c r="B919" s="504"/>
      <c r="C919" s="107" t="str">
        <f>IF(AND(ISNUMBER(B886), C915&lt;&gt;"", OR('Cost Inputs'!$H$202&lt;&gt;"", 'Cost Inputs'!$I$202&lt;&gt;"", 'Cost Inputs'!$J$202&lt;&gt;"")), _6_5_2, "")</f>
        <v/>
      </c>
      <c r="D919" s="93" t="str">
        <f>IF(AND(C919&lt;&gt;"", 'Cost Inputs'!$G$202&lt;&gt;""), 'Cost Inputs'!$G$202, "")</f>
        <v/>
      </c>
      <c r="E919" s="93" t="str">
        <f>IF(AND(C919&lt;&gt;"", 'Cost Inputs'!$H$202&lt;&gt;""), 'Cost Inputs'!$H$202, "")</f>
        <v/>
      </c>
      <c r="F919" s="93" t="str">
        <f>IF(AND(C919&lt;&gt;"", 'Cost Inputs'!$I$202&lt;&gt;""), 'Cost Inputs'!$I$202, "")</f>
        <v/>
      </c>
      <c r="G919" s="108" t="str">
        <f t="shared" si="489"/>
        <v/>
      </c>
      <c r="H919" s="93" t="str">
        <f>IF(AND(C919&lt;&gt;"", 'Cost Inputs'!$J$202&lt;&gt;""), 'Cost Inputs'!$J$202, "")</f>
        <v/>
      </c>
      <c r="I919" s="93" t="str">
        <f>IF($C919&lt;&gt;"", IF(AND($E919&lt;&gt;"", H919&lt;&gt;""), H919/$E919, 0),"")</f>
        <v/>
      </c>
      <c r="J919" s="93" t="str">
        <f>IF(AND(C919&lt;&gt;"",('Cost Inputs'!$I$202+'Cost Inputs'!$J$202+'Cost Inputs'!$K$202)&gt;0), 'Cost Inputs'!$I$202+'Cost Inputs'!$J$202+'Cost Inputs'!$K$202, "")</f>
        <v/>
      </c>
      <c r="K919" s="93" t="str">
        <f>IF($C919&lt;&gt;"", IF(AND($E919&lt;&gt;"", J919&lt;&gt;""), J919/$E919, 0),"")</f>
        <v/>
      </c>
      <c r="L919" s="93"/>
      <c r="M919" s="109"/>
      <c r="T919" s="93" t="str">
        <f>IF(ISNUMBER($B886), IF($C919&lt;&gt;"", IF('Cost Inputs'!$L$202="Y", $E919, IF('Cost Inputs'!$L$202="N", IF(ISNUMBER('Cost Inputs'!$M$202), $E919, ""),"")),""),"")</f>
        <v/>
      </c>
      <c r="U919" s="93" t="str">
        <f>IF(ISNUMBER($B886), IF($C919&lt;&gt;"", IF('Cost Inputs'!$L$202="Y", $E919, IF('Cost Inputs'!$L$202="N", IF(ISNUMBER('Cost Inputs'!$M$202), $E919, ""),"")),""),"")</f>
        <v/>
      </c>
      <c r="V919" s="93" t="str">
        <f>IF(ISNUMBER($B886), IF($C919&lt;&gt;"", IF('Cost Inputs'!$L$202="Y", $E919, IF('Cost Inputs'!$L$202="N", IF(ISNUMBER('Cost Inputs'!$M$202), $E919, ""),"")),""),"")</f>
        <v/>
      </c>
      <c r="W919" s="93" t="str">
        <f>IF(ISNUMBER($B886), IF($C919&lt;&gt;"", IF('Cost Inputs'!$L$202="Y", $E919, IF('Cost Inputs'!$L$202="N", IF(ISNUMBER('Cost Inputs'!$M$202), $E919, ""),"")),""),"")</f>
        <v/>
      </c>
      <c r="X919" s="93" t="str">
        <f>IF(ISNUMBER($B886), IF($C919&lt;&gt;"", IF('Cost Inputs'!$L$202="Y", $E919, IF('Cost Inputs'!$L$202="N", IF(ISNUMBER('Cost Inputs'!$M$202), $E919, ""),"")),""),"")</f>
        <v/>
      </c>
      <c r="Y919" s="93" t="str">
        <f>IF(ISNUMBER($B886), IF($C919&lt;&gt;"", IF('Cost Inputs'!$L$202="Y", $E919, IF('Cost Inputs'!$L$202="N", IF(ISNUMBER('Cost Inputs'!$M$202), $E919, ""),"")),""),"")</f>
        <v/>
      </c>
      <c r="Z919" s="93" t="str">
        <f>IF(ISNUMBER($B886), IF($C919&lt;&gt;"", IF('Cost Inputs'!$L$202="Y", $E919, IF('Cost Inputs'!$L$202="N", IF(ISNUMBER('Cost Inputs'!$M$202), $E919, ""),"")),""),"")</f>
        <v/>
      </c>
      <c r="AA919" s="93" t="str">
        <f>IF(ISNUMBER($B886), IF($C919&lt;&gt;"", IF('Cost Inputs'!$L$202="Y", $E919, IF('Cost Inputs'!$L$202="N", IF(ISNUMBER('Cost Inputs'!$M$202), $E919, ""),"")),""),"")</f>
        <v/>
      </c>
      <c r="AB919" s="93" t="str">
        <f>IF(ISNUMBER($B886), IF($C919&lt;&gt;"", IF('Cost Inputs'!$L$202="Y", $E919, IF('Cost Inputs'!$L$202="N", IF(ISNUMBER('Cost Inputs'!$M$202), $E919, ""),"")),""),"")</f>
        <v/>
      </c>
      <c r="AC919" s="93" t="str">
        <f>IF(ISNUMBER($B886), IF($C919&lt;&gt;"", IF('Cost Inputs'!$L$202="Y", $E919, IF('Cost Inputs'!$L$202="N", IF(ISNUMBER('Cost Inputs'!$M$202), $E919, ""),"")),""),"")</f>
        <v/>
      </c>
    </row>
    <row r="920" spans="1:30" x14ac:dyDescent="0.25">
      <c r="A920" s="518"/>
      <c r="B920" s="504"/>
      <c r="C920" s="104" t="str">
        <f>IF(AND(ISNUMBER(B886), C915&lt;&gt;"", OR('Cost Inputs'!$H$203&lt;&gt;"", 'Cost Inputs'!$I$203&lt;&gt;"", 'Cost Inputs'!$J$203&lt;&gt;"")), _6_5_3, "")</f>
        <v/>
      </c>
      <c r="D920" s="17" t="str">
        <f>IF(AND(C920&lt;&gt;"", 'Cost Inputs'!$G$203&lt;&gt;""), 'Cost Inputs'!$G$203, "")</f>
        <v/>
      </c>
      <c r="E920" s="17" t="str">
        <f>IF(AND(C920&lt;&gt;"", 'Cost Inputs'!$H$203&lt;&gt;""), 'Cost Inputs'!$H$203, "")</f>
        <v/>
      </c>
      <c r="F920" s="17" t="str">
        <f>IF(AND(C920&lt;&gt;"", 'Cost Inputs'!$I$203&lt;&gt;""), 'Cost Inputs'!$I$203, "")</f>
        <v/>
      </c>
      <c r="G920" s="105" t="str">
        <f t="shared" si="489"/>
        <v/>
      </c>
      <c r="H920" s="17" t="str">
        <f>IF(AND(C920&lt;&gt;"", 'Cost Inputs'!$J$203&lt;&gt;""), 'Cost Inputs'!$J$203, "")</f>
        <v/>
      </c>
      <c r="I920" s="17" t="str">
        <f>IF($C920&lt;&gt;"", IF(AND($E920&lt;&gt;"", H920&lt;&gt;""), H920/$E920, 0),"")</f>
        <v/>
      </c>
      <c r="J920" s="17" t="str">
        <f>IF(AND(C920&lt;&gt;"",('Cost Inputs'!$I$203+'Cost Inputs'!$J$203+'Cost Inputs'!$K$203)&gt;0), 'Cost Inputs'!$I$203+'Cost Inputs'!$J$203+'Cost Inputs'!$K$203, "")</f>
        <v/>
      </c>
      <c r="K920" s="17" t="str">
        <f>IF($C920&lt;&gt;"", IF(AND($E920&lt;&gt;"", J920&lt;&gt;""), J920/$E920, 0),"")</f>
        <v/>
      </c>
      <c r="M920" s="106"/>
      <c r="T920" s="17" t="str">
        <f>IF(ISNUMBER($B886), IF($C920&lt;&gt;"", IF('Cost Inputs'!$L$203="Y", $E920, IF('Cost Inputs'!$L$203="N", IF(ISNUMBER('Cost Inputs'!$M$203), $E920, ""),"")),""),"")</f>
        <v/>
      </c>
      <c r="U920" s="17" t="str">
        <f>IF(ISNUMBER($B886), IF($C920&lt;&gt;"", IF('Cost Inputs'!$L$203="Y", $E920, IF('Cost Inputs'!$L$203="N", IF(ISNUMBER('Cost Inputs'!$M$203), $E920, ""),"")),""),"")</f>
        <v/>
      </c>
      <c r="V920" s="17" t="str">
        <f>IF(ISNUMBER($B886), IF($C920&lt;&gt;"", IF('Cost Inputs'!$L$203="Y", $E920, IF('Cost Inputs'!$L$203="N", IF(ISNUMBER('Cost Inputs'!$M$203), $E920, ""),"")),""),"")</f>
        <v/>
      </c>
      <c r="W920" s="17" t="str">
        <f>IF(ISNUMBER($B886), IF($C920&lt;&gt;"", IF('Cost Inputs'!$L$203="Y", $E920, IF('Cost Inputs'!$L$203="N", IF(ISNUMBER('Cost Inputs'!$M$203), $E920, ""),"")),""),"")</f>
        <v/>
      </c>
      <c r="X920" s="17" t="str">
        <f>IF(ISNUMBER($B886), IF($C920&lt;&gt;"", IF('Cost Inputs'!$L$203="Y", $E920, IF('Cost Inputs'!$L$203="N", IF(ISNUMBER('Cost Inputs'!$M$203), $E920, ""),"")),""),"")</f>
        <v/>
      </c>
      <c r="Y920" s="17" t="str">
        <f>IF(ISNUMBER($B886), IF($C920&lt;&gt;"", IF('Cost Inputs'!$L$203="Y", $E920, IF('Cost Inputs'!$L$203="N", IF(ISNUMBER('Cost Inputs'!$M$203), $E920, ""),"")),""),"")</f>
        <v/>
      </c>
      <c r="Z920" s="17" t="str">
        <f>IF(ISNUMBER($B886), IF($C920&lt;&gt;"", IF('Cost Inputs'!$L$203="Y", $E920, IF('Cost Inputs'!$L$203="N", IF(ISNUMBER('Cost Inputs'!$M$203), $E920, ""),"")),""),"")</f>
        <v/>
      </c>
      <c r="AA920" s="17" t="str">
        <f>IF(ISNUMBER($B886), IF($C920&lt;&gt;"", IF('Cost Inputs'!$L$203="Y", $E920, IF('Cost Inputs'!$L$203="N", IF(ISNUMBER('Cost Inputs'!$M$203), $E920, ""),"")),""),"")</f>
        <v/>
      </c>
      <c r="AB920" s="17" t="str">
        <f>IF(ISNUMBER($B886), IF($C920&lt;&gt;"", IF('Cost Inputs'!$L$203="Y", $E920, IF('Cost Inputs'!$L$203="N", IF(ISNUMBER('Cost Inputs'!$M$203), $E920, ""),"")),""),"")</f>
        <v/>
      </c>
      <c r="AC920" s="17" t="str">
        <f>IF(ISNUMBER($B886), IF($C920&lt;&gt;"", IF('Cost Inputs'!$L$203="Y", $E920, IF('Cost Inputs'!$L$203="N", IF(ISNUMBER('Cost Inputs'!$M$203), $E920, ""),"")),""),"")</f>
        <v/>
      </c>
    </row>
    <row r="921" spans="1:30" x14ac:dyDescent="0.25">
      <c r="A921" s="518"/>
      <c r="B921" s="504"/>
      <c r="C921" s="107" t="str">
        <f>IF(AND(ISNUMBER(B886), C915&lt;&gt;"", OR('Cost Inputs'!$H$204&lt;&gt;"", 'Cost Inputs'!$I$204&lt;&gt;"", 'Cost Inputs'!$J$204&lt;&gt;"")), _6_5_4, "")</f>
        <v/>
      </c>
      <c r="D921" s="93" t="str">
        <f>IF(AND(C921&lt;&gt;"", 'Cost Inputs'!$G$204&lt;&gt;""), 'Cost Inputs'!$G$204, "")</f>
        <v/>
      </c>
      <c r="E921" s="93" t="str">
        <f>IF(AND(C921&lt;&gt;"", 'Cost Inputs'!$H$204&lt;&gt;""), 'Cost Inputs'!$H$204, "")</f>
        <v/>
      </c>
      <c r="F921" s="93" t="str">
        <f>IF(AND(C921&lt;&gt;"", 'Cost Inputs'!$I$204&lt;&gt;""), 'Cost Inputs'!$I$204, "")</f>
        <v/>
      </c>
      <c r="G921" s="108" t="str">
        <f t="shared" si="489"/>
        <v/>
      </c>
      <c r="H921" s="93" t="str">
        <f>IF(AND(C921&lt;&gt;"", 'Cost Inputs'!$J$204&lt;&gt;""), 'Cost Inputs'!$J$204, "")</f>
        <v/>
      </c>
      <c r="I921" s="93" t="str">
        <f>IF($C921&lt;&gt;"", IF(AND($E921&lt;&gt;"", H921&lt;&gt;""), H921/$E921, 0),"")</f>
        <v/>
      </c>
      <c r="J921" s="93" t="str">
        <f>IF(AND(C921&lt;&gt;"",('Cost Inputs'!$I$204+'Cost Inputs'!$J$204+'Cost Inputs'!$K$204)&gt;0), 'Cost Inputs'!$I$204+'Cost Inputs'!$J$204+'Cost Inputs'!$K$204, "")</f>
        <v/>
      </c>
      <c r="K921" s="93" t="str">
        <f>IF($C921&lt;&gt;"", IF(AND($E921&lt;&gt;"", J921&lt;&gt;""), J921/$E921, 0),"")</f>
        <v/>
      </c>
      <c r="L921" s="93"/>
      <c r="M921" s="109"/>
      <c r="T921" s="93" t="str">
        <f>IF(ISNUMBER($B886), IF($C921&lt;&gt;"", IF('Cost Inputs'!$L$204="Y", $E921, IF('Cost Inputs'!$L$204="N", IF(ISNUMBER('Cost Inputs'!$M$204), $E921, ""),"")),""),"")</f>
        <v/>
      </c>
      <c r="U921" s="93" t="str">
        <f>IF(ISNUMBER($B886), IF($C921&lt;&gt;"", IF('Cost Inputs'!$L$204="Y", $E921, IF('Cost Inputs'!$L$204="N", IF(ISNUMBER('Cost Inputs'!$M$204), $E921, ""),"")),""),"")</f>
        <v/>
      </c>
      <c r="V921" s="93" t="str">
        <f>IF(ISNUMBER($B886), IF($C921&lt;&gt;"", IF('Cost Inputs'!$L$204="Y", $E921, IF('Cost Inputs'!$L$204="N", IF(ISNUMBER('Cost Inputs'!$M$204), $E921, ""),"")),""),"")</f>
        <v/>
      </c>
      <c r="W921" s="93" t="str">
        <f>IF(ISNUMBER($B886), IF($C921&lt;&gt;"", IF('Cost Inputs'!$L$204="Y", $E921, IF('Cost Inputs'!$L$204="N", IF(ISNUMBER('Cost Inputs'!$M$204), $E921, ""),"")),""),"")</f>
        <v/>
      </c>
      <c r="X921" s="93" t="str">
        <f>IF(ISNUMBER($B886), IF($C921&lt;&gt;"", IF('Cost Inputs'!$L$204="Y", $E921, IF('Cost Inputs'!$L$204="N", IF(ISNUMBER('Cost Inputs'!$M$204), $E921, ""),"")),""),"")</f>
        <v/>
      </c>
      <c r="Y921" s="93" t="str">
        <f>IF(ISNUMBER($B886), IF($C921&lt;&gt;"", IF('Cost Inputs'!$L$204="Y", $E921, IF('Cost Inputs'!$L$204="N", IF(ISNUMBER('Cost Inputs'!$M$204), $E921, ""),"")),""),"")</f>
        <v/>
      </c>
      <c r="Z921" s="93" t="str">
        <f>IF(ISNUMBER($B886), IF($C921&lt;&gt;"", IF('Cost Inputs'!$L$204="Y", $E921, IF('Cost Inputs'!$L$204="N", IF(ISNUMBER('Cost Inputs'!$M$204), $E921, ""),"")),""),"")</f>
        <v/>
      </c>
      <c r="AA921" s="93" t="str">
        <f>IF(ISNUMBER($B886), IF($C921&lt;&gt;"", IF('Cost Inputs'!$L$204="Y", $E921, IF('Cost Inputs'!$L$204="N", IF(ISNUMBER('Cost Inputs'!$M$204), $E921, ""),"")),""),"")</f>
        <v/>
      </c>
      <c r="AB921" s="93" t="str">
        <f>IF(ISNUMBER($B886), IF($C921&lt;&gt;"", IF('Cost Inputs'!$L$204="Y", $E921, IF('Cost Inputs'!$L$204="N", IF(ISNUMBER('Cost Inputs'!$M$204), $E921, ""),"")),""),"")</f>
        <v/>
      </c>
      <c r="AC921" s="93" t="str">
        <f>IF(ISNUMBER($B886), IF($C921&lt;&gt;"", IF('Cost Inputs'!$L$204="Y", $E921, IF('Cost Inputs'!$L$204="N", IF(ISNUMBER('Cost Inputs'!$M$204), $E921, ""),"")),""),"")</f>
        <v/>
      </c>
    </row>
    <row r="922" spans="1:30" x14ac:dyDescent="0.25">
      <c r="A922" s="518"/>
      <c r="B922" s="504"/>
      <c r="C922" s="104" t="str">
        <f>IF(AND(ISNUMBER(B886), C915&lt;&gt;"", OR('Cost Inputs'!$H$205&lt;&gt;"", 'Cost Inputs'!$I$205&lt;&gt;"", 'Cost Inputs'!$J$205&lt;&gt;"")), _6_5_5, "")</f>
        <v/>
      </c>
      <c r="D922" s="17" t="str">
        <f>IF(AND(C922&lt;&gt;"", 'Cost Inputs'!$G$205&lt;&gt;""), 'Cost Inputs'!$G$205, "")</f>
        <v/>
      </c>
      <c r="E922" s="17" t="str">
        <f>IF(AND(C922&lt;&gt;"", 'Cost Inputs'!$H$205&lt;&gt;""), 'Cost Inputs'!$H$205, "")</f>
        <v/>
      </c>
      <c r="F922" s="17" t="str">
        <f>IF(AND(C922&lt;&gt;"", 'Cost Inputs'!$I$205&lt;&gt;""), 'Cost Inputs'!$I$205, "")</f>
        <v/>
      </c>
      <c r="G922" s="105" t="str">
        <f t="shared" si="489"/>
        <v/>
      </c>
      <c r="H922" s="17" t="str">
        <f>IF(AND(C922&lt;&gt;"", 'Cost Inputs'!$J$205&lt;&gt;""), 'Cost Inputs'!$J$205, "")</f>
        <v/>
      </c>
      <c r="I922" s="17" t="str">
        <f>IF($C922&lt;&gt;"", IF(AND($E922&lt;&gt;"", H922&lt;&gt;""), H922/$E922, 0),"")</f>
        <v/>
      </c>
      <c r="J922" s="17" t="str">
        <f>IF(AND(C922&lt;&gt;"",('Cost Inputs'!$I$205+'Cost Inputs'!$J$205+'Cost Inputs'!$K$205)&gt;0), 'Cost Inputs'!$I$205+'Cost Inputs'!$J$205+'Cost Inputs'!$K$205, "")</f>
        <v/>
      </c>
      <c r="K922" s="17" t="str">
        <f>IF($C922&lt;&gt;"", IF(AND($E922&lt;&gt;"", J922&lt;&gt;""), J922/$E922, 0),"")</f>
        <v/>
      </c>
      <c r="M922" s="106"/>
      <c r="T922" s="17" t="str">
        <f>IF(ISNUMBER($B886), IF($C922&lt;&gt;"", IF('Cost Inputs'!$L$205="Y", $E922, IF('Cost Inputs'!$L$205="N", IF(ISNUMBER('Cost Inputs'!$M$205), $E922, ""),"")),""),"")</f>
        <v/>
      </c>
      <c r="U922" s="17" t="str">
        <f>IF(ISNUMBER($B886), IF($C922&lt;&gt;"", IF('Cost Inputs'!$L$205="Y", $E922, IF('Cost Inputs'!$L$205="N", IF(ISNUMBER('Cost Inputs'!$M$205), $E922, ""),"")),""),"")</f>
        <v/>
      </c>
      <c r="V922" s="17" t="str">
        <f>IF(ISNUMBER($B886), IF($C922&lt;&gt;"", IF('Cost Inputs'!$L$205="Y", $E922, IF('Cost Inputs'!$L$205="N", IF(ISNUMBER('Cost Inputs'!$M$205), $E922, ""),"")),""),"")</f>
        <v/>
      </c>
      <c r="W922" s="17" t="str">
        <f>IF(ISNUMBER($B886), IF($C922&lt;&gt;"", IF('Cost Inputs'!$L$205="Y", $E922, IF('Cost Inputs'!$L$205="N", IF(ISNUMBER('Cost Inputs'!$M$205), $E922, ""),"")),""),"")</f>
        <v/>
      </c>
      <c r="X922" s="17" t="str">
        <f>IF(ISNUMBER($B886), IF($C922&lt;&gt;"", IF('Cost Inputs'!$L$205="Y", $E922, IF('Cost Inputs'!$L$205="N", IF(ISNUMBER('Cost Inputs'!$M$205), $E922, ""),"")),""),"")</f>
        <v/>
      </c>
      <c r="Y922" s="17" t="str">
        <f>IF(ISNUMBER($B886), IF($C922&lt;&gt;"", IF('Cost Inputs'!$L$205="Y", $E922, IF('Cost Inputs'!$L$205="N", IF(ISNUMBER('Cost Inputs'!$M$205), $E922, ""),"")),""),"")</f>
        <v/>
      </c>
      <c r="Z922" s="17" t="str">
        <f>IF(ISNUMBER($B886), IF($C922&lt;&gt;"", IF('Cost Inputs'!$L$205="Y", $E922, IF('Cost Inputs'!$L$205="N", IF(ISNUMBER('Cost Inputs'!$M$205), $E922, ""),"")),""),"")</f>
        <v/>
      </c>
      <c r="AA922" s="17" t="str">
        <f>IF(ISNUMBER($B886), IF($C922&lt;&gt;"", IF('Cost Inputs'!$L$205="Y", $E922, IF('Cost Inputs'!$L$205="N", IF(ISNUMBER('Cost Inputs'!$M$205), $E922, ""),"")),""),"")</f>
        <v/>
      </c>
      <c r="AB922" s="17" t="str">
        <f>IF(ISNUMBER($B886), IF($C922&lt;&gt;"", IF('Cost Inputs'!$L$205="Y", $E922, IF('Cost Inputs'!$L$205="N", IF(ISNUMBER('Cost Inputs'!$M$205), $E922, ""),"")),""),"")</f>
        <v/>
      </c>
      <c r="AC922" s="17" t="str">
        <f>IF(ISNUMBER($B886), IF($C922&lt;&gt;"", IF('Cost Inputs'!$L$205="Y", $E922, IF('Cost Inputs'!$L$205="N", IF(ISNUMBER('Cost Inputs'!$M$205), $E922, ""),"")),""),"")</f>
        <v/>
      </c>
    </row>
    <row r="923" spans="1:30" x14ac:dyDescent="0.25">
      <c r="A923" s="518"/>
      <c r="B923" s="504"/>
      <c r="C923" s="110" t="str">
        <f>IF(ISNUMBER(B886), _6_6_0, "")</f>
        <v/>
      </c>
      <c r="D923" s="94" t="str">
        <f>IF(AND(C923&lt;&gt;"", 'Cost Inputs'!$G$206&lt;&gt;""), 'Cost Inputs'!$G$206, "")</f>
        <v/>
      </c>
      <c r="E923" s="94" t="str">
        <f>IF(AND(C923&lt;&gt;"", 'Cost Inputs'!$H$206&lt;&gt;""), 'Cost Inputs'!$H$206, "")</f>
        <v/>
      </c>
      <c r="F923" s="94" t="str">
        <f>IF(AND(C923&lt;&gt;"", 'Cost Inputs'!$I$206&lt;&gt;""), 'Cost Inputs'!$I$206, "")</f>
        <v/>
      </c>
      <c r="G923" s="102" t="str">
        <f t="shared" si="489"/>
        <v/>
      </c>
      <c r="H923" s="94" t="str">
        <f>IF(AND(C923&lt;&gt;"", 'Cost Inputs'!$J$206&lt;&gt;""), 'Cost Inputs'!$J$206, "")</f>
        <v/>
      </c>
      <c r="I923" s="102" t="str">
        <f>IF($C923&lt;&gt;"",IF(AND($E923&lt;&gt;"",H923&lt;&gt;""), H923/$E923, 0),"")</f>
        <v/>
      </c>
      <c r="J923" s="94" t="str">
        <f>IF(AND(C923&lt;&gt;"",('Cost Inputs'!$I$206+'Cost Inputs'!$J$206+'Cost Inputs'!$K$206)&gt;0), 'Cost Inputs'!$I$206+'Cost Inputs'!$J$206+'Cost Inputs'!$K$206, "")</f>
        <v/>
      </c>
      <c r="K923" s="102" t="str">
        <f>IF($C923&lt;&gt;"",IF(AND($E923&lt;&gt;"",J923&lt;&gt;""), J923/$E923, 0),"")</f>
        <v/>
      </c>
      <c r="L923" s="94"/>
      <c r="M923" s="103"/>
      <c r="T923" s="94" t="str">
        <f>IF(ISNUMBER($B886), IF($C923&lt;&gt;"", IF('Cost Inputs'!$L$206="Y", $E923, IF('Cost Inputs'!$L$206="N", IF(ISNUMBER('Cost Inputs'!$M$206), $E923, ""),"")),""),"")</f>
        <v/>
      </c>
      <c r="U923" s="94" t="str">
        <f>IF(ISNUMBER($B886), IF($C923&lt;&gt;"", IF('Cost Inputs'!$L$206="Y", $E923, IF('Cost Inputs'!$L$206="N", IF(ISNUMBER('Cost Inputs'!$M$206), $E923, ""),"")),""),"")</f>
        <v/>
      </c>
      <c r="V923" s="94" t="str">
        <f>IF(ISNUMBER($B886), IF($C923&lt;&gt;"", IF('Cost Inputs'!$L$206="Y", $E923, IF('Cost Inputs'!$L$206="N", IF(ISNUMBER('Cost Inputs'!$M$206), $E923, ""),"")),""),"")</f>
        <v/>
      </c>
      <c r="W923" s="94" t="str">
        <f>IF(ISNUMBER($B886), IF($C923&lt;&gt;"", IF('Cost Inputs'!$L$206="Y", $E923, IF('Cost Inputs'!$L$206="N", IF(ISNUMBER('Cost Inputs'!$M$206), $E923, ""),"")),""),"")</f>
        <v/>
      </c>
      <c r="X923" s="94" t="str">
        <f>IF(ISNUMBER($B886), IF($C923&lt;&gt;"", IF('Cost Inputs'!$L$206="Y", $E923, IF('Cost Inputs'!$L$206="N", IF(ISNUMBER('Cost Inputs'!$M$206), $E923, ""),"")),""),"")</f>
        <v/>
      </c>
      <c r="Y923" s="94" t="str">
        <f>IF(ISNUMBER($B886), IF($C923&lt;&gt;"", IF('Cost Inputs'!$L$206="Y", $E923, IF('Cost Inputs'!$L$206="N", IF(ISNUMBER('Cost Inputs'!$M$206), $E923, ""),"")),""),"")</f>
        <v/>
      </c>
      <c r="Z923" s="94" t="str">
        <f>IF(ISNUMBER($B886), IF($C923&lt;&gt;"", IF('Cost Inputs'!$L$206="Y", $E923, IF('Cost Inputs'!$L$206="N", IF(ISNUMBER('Cost Inputs'!$M$206), $E923, ""),"")),""),"")</f>
        <v/>
      </c>
      <c r="AA923" s="94" t="str">
        <f>IF(ISNUMBER($B886), IF($C923&lt;&gt;"", IF('Cost Inputs'!$L$206="Y", $E923, IF('Cost Inputs'!$L$206="N", IF(ISNUMBER('Cost Inputs'!$M$206), $E923, ""),"")),""),"")</f>
        <v/>
      </c>
      <c r="AB923" s="94" t="str">
        <f>IF(ISNUMBER($B886), IF($C923&lt;&gt;"", IF('Cost Inputs'!$L$206="Y", $E923, IF('Cost Inputs'!$L$206="N", IF(ISNUMBER('Cost Inputs'!$M$206), $E923, ""),"")),""),"")</f>
        <v/>
      </c>
      <c r="AC923" s="94" t="str">
        <f>IF(ISNUMBER($B886), IF($C923&lt;&gt;"", IF('Cost Inputs'!$L$206="Y", $E923, IF('Cost Inputs'!$L$206="N", IF(ISNUMBER('Cost Inputs'!$M$206), $E923, ""),"")),""),"")</f>
        <v/>
      </c>
    </row>
    <row r="924" spans="1:30" x14ac:dyDescent="0.25">
      <c r="A924" s="518"/>
      <c r="B924" s="504"/>
      <c r="C924" s="104" t="str">
        <f>IF(AND(ISNUMBER(B886), OR('Cost Inputs'!$H$207&lt;&gt;"", 'Cost Inputs'!$I$207&lt;&gt;"", 'Cost Inputs'!$J$207&lt;&gt;"")), _6_6_1, "")</f>
        <v/>
      </c>
      <c r="D924" s="17" t="str">
        <f>IF(AND(C924&lt;&gt;"", 'Cost Inputs'!$G$207&lt;&gt;""), 'Cost Inputs'!$G$207, "")</f>
        <v/>
      </c>
      <c r="E924" s="17" t="str">
        <f>IF(AND(C924&lt;&gt;"", 'Cost Inputs'!$H$207&lt;&gt;""), 'Cost Inputs'!$H$207, "")</f>
        <v/>
      </c>
      <c r="F924" s="17" t="str">
        <f>IF(AND(C924&lt;&gt;"", 'Cost Inputs'!$I$207&lt;&gt;""), 'Cost Inputs'!$I$207, "")</f>
        <v/>
      </c>
      <c r="G924" s="105" t="str">
        <f t="shared" si="489"/>
        <v/>
      </c>
      <c r="H924" s="17" t="str">
        <f>IF(AND(C924&lt;&gt;"", 'Cost Inputs'!$J$207&lt;&gt;""), 'Cost Inputs'!$J$207, "")</f>
        <v/>
      </c>
      <c r="I924" s="17" t="str">
        <f>IF($C924&lt;&gt;"", IF(AND($E924&lt;&gt;"", H924&lt;&gt;""), H924/$E924, 0),"")</f>
        <v/>
      </c>
      <c r="J924" s="17" t="str">
        <f>IF(AND(C924&lt;&gt;"",('Cost Inputs'!$I$207+'Cost Inputs'!$J$207+'Cost Inputs'!$K$207)&gt;0), 'Cost Inputs'!$I$207+'Cost Inputs'!$J$207+'Cost Inputs'!$K$207, "")</f>
        <v/>
      </c>
      <c r="K924" s="17" t="str">
        <f>IF($C924&lt;&gt;"", IF(AND($E924&lt;&gt;"", J924&lt;&gt;""), J924/$E924, 0),"")</f>
        <v/>
      </c>
      <c r="M924" s="106"/>
      <c r="T924" s="17" t="str">
        <f>IF(ISNUMBER($B886), IF($C924&lt;&gt;"", IF('Cost Inputs'!$L$207="Y", $E924, IF('Cost Inputs'!$L$207="N", IF(ISNUMBER('Cost Inputs'!$M$207), $E924, ""),"")),""),"")</f>
        <v/>
      </c>
      <c r="U924" s="17" t="str">
        <f>IF(ISNUMBER($B886), IF($C924&lt;&gt;"", IF('Cost Inputs'!$L$207="Y", $E924, IF('Cost Inputs'!$L$207="N", IF(ISNUMBER('Cost Inputs'!$M$207), $E924, ""),"")),""),"")</f>
        <v/>
      </c>
      <c r="V924" s="17" t="str">
        <f>IF(ISNUMBER($B886), IF($C924&lt;&gt;"", IF('Cost Inputs'!$L$207="Y", $E924, IF('Cost Inputs'!$L$207="N", IF(ISNUMBER('Cost Inputs'!$M$207), $E924, ""),"")),""),"")</f>
        <v/>
      </c>
      <c r="W924" s="17" t="str">
        <f>IF(ISNUMBER($B886), IF($C924&lt;&gt;"", IF('Cost Inputs'!$L$207="Y", $E924, IF('Cost Inputs'!$L$207="N", IF(ISNUMBER('Cost Inputs'!$M$207), $E924, ""),"")),""),"")</f>
        <v/>
      </c>
      <c r="X924" s="17" t="str">
        <f>IF(ISNUMBER($B886), IF($C924&lt;&gt;"", IF('Cost Inputs'!$L$207="Y", $E924, IF('Cost Inputs'!$L$207="N", IF(ISNUMBER('Cost Inputs'!$M$207), $E924, ""),"")),""),"")</f>
        <v/>
      </c>
      <c r="Y924" s="17" t="str">
        <f>IF(ISNUMBER($B886), IF($C924&lt;&gt;"", IF('Cost Inputs'!$L$207="Y", $E924, IF('Cost Inputs'!$L$207="N", IF(ISNUMBER('Cost Inputs'!$M$207), $E924, ""),"")),""),"")</f>
        <v/>
      </c>
      <c r="Z924" s="17" t="str">
        <f>IF(ISNUMBER($B886), IF($C924&lt;&gt;"", IF('Cost Inputs'!$L$207="Y", $E924, IF('Cost Inputs'!$L$207="N", IF(ISNUMBER('Cost Inputs'!$M$207), $E924, ""),"")),""),"")</f>
        <v/>
      </c>
      <c r="AA924" s="17" t="str">
        <f>IF(ISNUMBER($B886), IF($C924&lt;&gt;"", IF('Cost Inputs'!$L$207="Y", $E924, IF('Cost Inputs'!$L$207="N", IF(ISNUMBER('Cost Inputs'!$M$207), $E924, ""),"")),""),"")</f>
        <v/>
      </c>
      <c r="AB924" s="17" t="str">
        <f>IF(ISNUMBER($B886), IF($C924&lt;&gt;"", IF('Cost Inputs'!$L$207="Y", $E924, IF('Cost Inputs'!$L$207="N", IF(ISNUMBER('Cost Inputs'!$M$207), $E924, ""),"")),""),"")</f>
        <v/>
      </c>
      <c r="AC924" s="17" t="str">
        <f>IF(ISNUMBER($B886), IF($C924&lt;&gt;"", IF('Cost Inputs'!$L$207="Y", $E924, IF('Cost Inputs'!$L$207="N", IF(ISNUMBER('Cost Inputs'!$M$207), $E924, ""),"")),""),"")</f>
        <v/>
      </c>
    </row>
    <row r="925" spans="1:30" ht="15.75" thickBot="1" x14ac:dyDescent="0.3">
      <c r="A925" s="518"/>
      <c r="B925" s="505"/>
      <c r="C925" s="111" t="str">
        <f>IF(AND(ISNUMBER(B886), OR('Cost Inputs'!$H$208&lt;&gt;"", 'Cost Inputs'!$I$208&lt;&gt;"", 'Cost Inputs'!$J$208&lt;&gt;"")), _6_6_2, "")</f>
        <v/>
      </c>
      <c r="D925" s="95" t="str">
        <f>IF(AND(C925&lt;&gt;"", 'Cost Inputs'!$G$208&lt;&gt;""), 'Cost Inputs'!$G$208, "")</f>
        <v/>
      </c>
      <c r="E925" s="95" t="str">
        <f>IF(AND(C925&lt;&gt;"", 'Cost Inputs'!$H$208&lt;&gt;""), 'Cost Inputs'!$H$208, "")</f>
        <v/>
      </c>
      <c r="F925" s="95" t="str">
        <f>IF(AND(C925&lt;&gt;"", 'Cost Inputs'!$I$208&lt;&gt;""), 'Cost Inputs'!$I$208, "")</f>
        <v/>
      </c>
      <c r="G925" s="112" t="str">
        <f t="shared" si="489"/>
        <v/>
      </c>
      <c r="H925" s="95" t="str">
        <f>IF(AND(C925&lt;&gt;"", 'Cost Inputs'!$J$208&lt;&gt;""), 'Cost Inputs'!$J$208, "")</f>
        <v/>
      </c>
      <c r="I925" s="95" t="str">
        <f>IF($C925&lt;&gt;"", IF(AND($E925&lt;&gt;"", H925&lt;&gt;""), H925/$E925, 0),"")</f>
        <v/>
      </c>
      <c r="J925" s="95" t="str">
        <f>IF(AND(C925&lt;&gt;"",('Cost Inputs'!$I$208+'Cost Inputs'!$J$208+'Cost Inputs'!$K$208)&gt;0), 'Cost Inputs'!$I$208+'Cost Inputs'!$J$208+'Cost Inputs'!$K$208, "")</f>
        <v/>
      </c>
      <c r="K925" s="95" t="str">
        <f>IF($C925&lt;&gt;"", IF(AND($E925&lt;&gt;"", J925&lt;&gt;""), J925/$E925, 0),"")</f>
        <v/>
      </c>
      <c r="L925" s="95"/>
      <c r="M925" s="113"/>
      <c r="T925" s="95" t="str">
        <f>IF(ISNUMBER($B886), IF($C925&lt;&gt;"", IF('Cost Inputs'!$L$208="Y", $E925, IF('Cost Inputs'!$L$208="N", IF(ISNUMBER('Cost Inputs'!$M$208), $E925, ""),"")),""),"")</f>
        <v/>
      </c>
      <c r="U925" s="95" t="str">
        <f>IF(ISNUMBER($B886), IF($C925&lt;&gt;"", IF('Cost Inputs'!$L$208="Y", $E925, IF('Cost Inputs'!$L$208="N", IF(ISNUMBER('Cost Inputs'!$M$208), $E925, ""),"")),""),"")</f>
        <v/>
      </c>
      <c r="V925" s="95" t="str">
        <f>IF(ISNUMBER($B886), IF($C925&lt;&gt;"", IF('Cost Inputs'!$L$208="Y", $E925, IF('Cost Inputs'!$L$208="N", IF(ISNUMBER('Cost Inputs'!$M$208), $E925, ""),"")),""),"")</f>
        <v/>
      </c>
      <c r="W925" s="95" t="str">
        <f>IF(ISNUMBER($B886), IF($C925&lt;&gt;"", IF('Cost Inputs'!$L$208="Y", $E925, IF('Cost Inputs'!$L$208="N", IF(ISNUMBER('Cost Inputs'!$M$208), $E925, ""),"")),""),"")</f>
        <v/>
      </c>
      <c r="X925" s="95" t="str">
        <f>IF(ISNUMBER($B886), IF($C925&lt;&gt;"", IF('Cost Inputs'!$L$208="Y", $E925, IF('Cost Inputs'!$L$208="N", IF(ISNUMBER('Cost Inputs'!$M$208), $E925, ""),"")),""),"")</f>
        <v/>
      </c>
      <c r="Y925" s="95" t="str">
        <f>IF(ISNUMBER($B886), IF($C925&lt;&gt;"", IF('Cost Inputs'!$L$208="Y", $E925, IF('Cost Inputs'!$L$208="N", IF(ISNUMBER('Cost Inputs'!$M$208), $E925, ""),"")),""),"")</f>
        <v/>
      </c>
      <c r="Z925" s="95" t="str">
        <f>IF(ISNUMBER($B886), IF($C925&lt;&gt;"", IF('Cost Inputs'!$L$208="Y", $E925, IF('Cost Inputs'!$L$208="N", IF(ISNUMBER('Cost Inputs'!$M$208), $E925, ""),"")),""),"")</f>
        <v/>
      </c>
      <c r="AA925" s="95" t="str">
        <f>IF(ISNUMBER($B886), IF($C925&lt;&gt;"", IF('Cost Inputs'!$L$208="Y", $E925, IF('Cost Inputs'!$L$208="N", IF(ISNUMBER('Cost Inputs'!$M$208), $E925, ""),"")),""),"")</f>
        <v/>
      </c>
      <c r="AB925" s="95" t="str">
        <f>IF(ISNUMBER($B886), IF($C925&lt;&gt;"", IF('Cost Inputs'!$L$208="Y", $E925, IF('Cost Inputs'!$L$208="N", IF(ISNUMBER('Cost Inputs'!$M$208), $E925, ""),"")),""),"")</f>
        <v/>
      </c>
      <c r="AC925" s="95" t="str">
        <f>IF(ISNUMBER($B886), IF($C925&lt;&gt;"", IF('Cost Inputs'!$L$208="Y", $E925, IF('Cost Inputs'!$L$208="N", IF(ISNUMBER('Cost Inputs'!$M$208), $E925, ""),"")),""),"")</f>
        <v/>
      </c>
    </row>
    <row r="926" spans="1:30" x14ac:dyDescent="0.25">
      <c r="A926" s="518" t="str">
        <f>Sixth_Stage</f>
        <v>Stage 4 Grower Trials</v>
      </c>
      <c r="B926" s="503" t="str">
        <f>'Breeding Inputs'!B119</f>
        <v/>
      </c>
      <c r="C926" s="521" t="str">
        <f>IF(ISNUMBER(B908), _6_3_0, "")</f>
        <v/>
      </c>
      <c r="D926" s="94" t="str">
        <f>IF(AND(C926&lt;&gt;"", 'Cost Inputs'!$G$187&lt;&gt;""), 'Cost Inputs'!$G$187, "")</f>
        <v/>
      </c>
      <c r="E926" s="94" t="str">
        <f>IF(AND(C926&lt;&gt;"", 'Cost Inputs'!$H$187&lt;&gt;""), 'Cost Inputs'!$H$187, "")</f>
        <v/>
      </c>
      <c r="F926" s="492" t="str">
        <f>IF(AND(C926&lt;&gt;"", 'Cost Inputs'!$I$187&lt;&gt;""), 'Cost Inputs'!$I$187, "")</f>
        <v/>
      </c>
      <c r="G926" s="102" t="str">
        <f t="shared" si="489"/>
        <v/>
      </c>
      <c r="H926" s="492" t="str">
        <f>IF(AND(C926&lt;&gt;"", 'Cost Inputs'!$J$187&lt;&gt;""), 'Cost Inputs'!$J$187, "")</f>
        <v/>
      </c>
      <c r="I926" s="102" t="str">
        <f>IF($C926&lt;&gt;"",IF(AND($E926&lt;&gt;"",H926&lt;&gt;""), H926/$E926, 0),"")</f>
        <v/>
      </c>
      <c r="J926" s="492" t="str">
        <f>IF(AND(C926&lt;&gt;"",('Cost Inputs'!$I$187+'Cost Inputs'!$J$187+'Cost Inputs'!$K$187)&gt;0), 'Cost Inputs'!$I$187+'Cost Inputs'!$J$187+'Cost Inputs'!$K$187, "")</f>
        <v/>
      </c>
      <c r="K926" s="102" t="str">
        <f>IF($C926&lt;&gt;"",IF(AND($E926&lt;&gt;"",J926&lt;&gt;""), J926/$E926, 0),"")</f>
        <v/>
      </c>
      <c r="L926" s="94"/>
      <c r="M926" s="103"/>
      <c r="U926" s="492" t="str">
        <f>IF(ISNUMBER($B908), IF($C926&lt;&gt;"", IF('Cost Inputs'!$L$187="Y", $E926, IF('Cost Inputs'!$L$187="N", IF(ISNUMBER('Cost Inputs'!$M$187), $E926, ""),"")),""),"")</f>
        <v/>
      </c>
      <c r="V926" s="492" t="str">
        <f>IF(ISNUMBER($B908), IF($C926&lt;&gt;"", IF('Cost Inputs'!$L$187="Y", $E926, IF('Cost Inputs'!$L$187="N", IF(ISNUMBER('Cost Inputs'!$M$187), $E926, ""),"")),""),"")</f>
        <v/>
      </c>
      <c r="W926" s="492" t="str">
        <f>IF(ISNUMBER($B908), IF($C926&lt;&gt;"", IF('Cost Inputs'!$L$187="Y", $E926, IF('Cost Inputs'!$L$187="N", IF(ISNUMBER('Cost Inputs'!$M$187), $E926, ""),"")),""),"")</f>
        <v/>
      </c>
      <c r="X926" s="492" t="str">
        <f>IF(ISNUMBER($B908), IF($C926&lt;&gt;"", IF('Cost Inputs'!$L$187="Y", $E926, IF('Cost Inputs'!$L$187="N", IF(ISNUMBER('Cost Inputs'!$M$187), $E926, ""),"")),""),"")</f>
        <v/>
      </c>
      <c r="Y926" s="492" t="str">
        <f>IF(ISNUMBER($B908), IF($C926&lt;&gt;"", IF('Cost Inputs'!$L$187="Y", $E926, IF('Cost Inputs'!$L$187="N", IF(ISNUMBER('Cost Inputs'!$M$187), $E926, ""),"")),""),"")</f>
        <v/>
      </c>
      <c r="Z926" s="492" t="str">
        <f>IF(ISNUMBER($B908), IF($C926&lt;&gt;"", IF('Cost Inputs'!$L$187="Y", $E926, IF('Cost Inputs'!$L$187="N", IF(ISNUMBER('Cost Inputs'!$M$187), $E926, ""),"")),""),"")</f>
        <v/>
      </c>
      <c r="AA926" s="492" t="str">
        <f>IF(ISNUMBER($B908), IF($C926&lt;&gt;"", IF('Cost Inputs'!$L$187="Y", $E926, IF('Cost Inputs'!$L$187="N", IF(ISNUMBER('Cost Inputs'!$M$187), $E926, ""),"")),""),"")</f>
        <v/>
      </c>
      <c r="AB926" s="492" t="str">
        <f>IF(ISNUMBER($B908), IF($C926&lt;&gt;"", IF('Cost Inputs'!$L$187="Y", $E926, IF('Cost Inputs'!$L$187="N", IF(ISNUMBER('Cost Inputs'!$M$187), $E926, ""),"")),""),"")</f>
        <v/>
      </c>
      <c r="AC926" s="492" t="str">
        <f>IF(ISNUMBER($B908), IF($C926&lt;&gt;"", IF('Cost Inputs'!$L$187="Y", $E926, IF('Cost Inputs'!$L$187="N", IF(ISNUMBER('Cost Inputs'!$M$187), $E926, ""),"")),""),"")</f>
        <v/>
      </c>
      <c r="AD926" s="492" t="str">
        <f>IF(ISNUMBER($B908), IF($C926&lt;&gt;"", IF('Cost Inputs'!$L$187="Y", $E926, IF('Cost Inputs'!$L$187="N", IF(ISNUMBER('Cost Inputs'!$M$187), $E926, ""),"")),""),"")</f>
        <v/>
      </c>
    </row>
    <row r="927" spans="1:30" x14ac:dyDescent="0.25">
      <c r="A927" s="518"/>
      <c r="B927" s="504"/>
      <c r="C927" s="521"/>
      <c r="D927" s="94" t="str">
        <f>IF(AND(C926&lt;&gt;"", 'Cost Inputs'!$G$188&lt;&gt;""), 'Cost Inputs'!$G$188, "")</f>
        <v/>
      </c>
      <c r="E927" s="94" t="str">
        <f>IF(AND(C926&lt;&gt;"", 'Cost Inputs'!$H$188&lt;&gt;""), 'Cost Inputs'!$H$188, "")</f>
        <v/>
      </c>
      <c r="F927" s="492"/>
      <c r="G927" s="102" t="str">
        <f t="shared" si="489"/>
        <v/>
      </c>
      <c r="H927" s="492"/>
      <c r="I927" s="102" t="str">
        <f>IF($C926&lt;&gt;"", IF(AND($E927&lt;&gt;"", H926&lt;&gt;""), H926/($E926*$E927), 0), "")</f>
        <v/>
      </c>
      <c r="J927" s="492" t="str">
        <f>IF(AND(C927&lt;&gt;"",('Cost Inputs'!$I$86+'Cost Inputs'!$J$86+'Cost Inputs'!$K$86)&gt;0), 'Cost Inputs'!$I$86+'Cost Inputs'!$J$86+'Cost Inputs'!$K$86, "")</f>
        <v/>
      </c>
      <c r="K927" s="102" t="str">
        <f>IF($C926&lt;&gt;"", IF(AND($E927&lt;&gt;"", J926&lt;&gt;""), J926/($E926*$E927), 0), "")</f>
        <v/>
      </c>
      <c r="L927" s="94"/>
      <c r="M927" s="103"/>
      <c r="U927" s="492" t="str">
        <f>IF(ISNUMBER($B$776), IF($C927&lt;&gt;"", IF('Cost Inputs'!$L320="Y", $E927, IF('Cost Inputs'!$L320="N", IF(ISNUMBER('Cost Inputs'!$M320), $E927, ""),"")),""),"")</f>
        <v/>
      </c>
      <c r="V927" s="492" t="str">
        <f>IF(ISNUMBER($B$776), IF($C927&lt;&gt;"", IF('Cost Inputs'!$L320="Y", $E927, IF('Cost Inputs'!$L320="N", IF(ISNUMBER('Cost Inputs'!$M320), $E927, ""),"")),""),"")</f>
        <v/>
      </c>
      <c r="W927" s="492" t="str">
        <f>IF(ISNUMBER($B$776), IF($C927&lt;&gt;"", IF('Cost Inputs'!$L320="Y", $E927, IF('Cost Inputs'!$L320="N", IF(ISNUMBER('Cost Inputs'!$M320), $E927, ""),"")),""),"")</f>
        <v/>
      </c>
      <c r="X927" s="492" t="str">
        <f>IF(ISNUMBER($B$776), IF($C927&lt;&gt;"", IF('Cost Inputs'!$L320="Y", $E927, IF('Cost Inputs'!$L320="N", IF(ISNUMBER('Cost Inputs'!$M320), $E927, ""),"")),""),"")</f>
        <v/>
      </c>
      <c r="Y927" s="492" t="str">
        <f>IF(ISNUMBER($B$776), IF($C927&lt;&gt;"", IF('Cost Inputs'!$L320="Y", $E927, IF('Cost Inputs'!$L320="N", IF(ISNUMBER('Cost Inputs'!$M320), $E927, ""),"")),""),"")</f>
        <v/>
      </c>
      <c r="Z927" s="492" t="str">
        <f>IF(ISNUMBER($B$776), IF($C927&lt;&gt;"", IF('Cost Inputs'!$L320="Y", $E927, IF('Cost Inputs'!$L320="N", IF(ISNUMBER('Cost Inputs'!$M320), $E927, ""),"")),""),"")</f>
        <v/>
      </c>
      <c r="AA927" s="492" t="str">
        <f>IF(ISNUMBER($B$776), IF($C927&lt;&gt;"", IF('Cost Inputs'!$L320="Y", $E927, IF('Cost Inputs'!$L320="N", IF(ISNUMBER('Cost Inputs'!$M320), $E927, ""),"")),""),"")</f>
        <v/>
      </c>
      <c r="AB927" s="492" t="str">
        <f>IF(ISNUMBER($B$776), IF($C927&lt;&gt;"", IF('Cost Inputs'!$L320="Y", $E927, IF('Cost Inputs'!$L320="N", IF(ISNUMBER('Cost Inputs'!$M320), $E927, ""),"")),""),"")</f>
        <v/>
      </c>
      <c r="AC927" s="492" t="str">
        <f>IF(ISNUMBER($B$776), IF($C927&lt;&gt;"", IF('Cost Inputs'!$L320="Y", $E927, IF('Cost Inputs'!$L320="N", IF(ISNUMBER('Cost Inputs'!$M320), $E927, ""),"")),""),"")</f>
        <v/>
      </c>
      <c r="AD927" s="492" t="str">
        <f>IF(ISNUMBER($B$776), IF($C927&lt;&gt;"", IF('Cost Inputs'!$L320="Y", $E927, IF('Cost Inputs'!$L320="N", IF(ISNUMBER('Cost Inputs'!$M320), $E927, ""),"")),""),"")</f>
        <v/>
      </c>
    </row>
    <row r="928" spans="1:30" x14ac:dyDescent="0.25">
      <c r="A928" s="518"/>
      <c r="B928" s="504"/>
      <c r="C928" s="104" t="str">
        <f>IF(AND(ISNUMBER(B908), OR('Cost Inputs'!$H$189&lt;&gt;"", 'Cost Inputs'!$I$189&lt;&gt;"", 'Cost Inputs'!$J$189&lt;&gt;"")), _6_3_1, "")</f>
        <v/>
      </c>
      <c r="D928" s="17" t="str">
        <f>IF(AND(C928&lt;&gt;"", 'Cost Inputs'!$G$189&lt;&gt;""), 'Cost Inputs'!$G$189, "")</f>
        <v/>
      </c>
      <c r="E928" s="17" t="str">
        <f>IF(AND(C928&lt;&gt;"", 'Cost Inputs'!$H$189&lt;&gt;""), 'Cost Inputs'!$H$189, "")</f>
        <v/>
      </c>
      <c r="F928" s="17" t="str">
        <f>IF(AND(C928&lt;&gt;"", 'Cost Inputs'!$I$189&lt;&gt;""), 'Cost Inputs'!$I$189, "")</f>
        <v/>
      </c>
      <c r="G928" s="105" t="str">
        <f t="shared" si="489"/>
        <v/>
      </c>
      <c r="H928" s="17" t="str">
        <f>IF(AND(C928&lt;&gt;"", 'Cost Inputs'!$J$189&lt;&gt;""), 'Cost Inputs'!$J$189, "")</f>
        <v/>
      </c>
      <c r="I928" s="17" t="str">
        <f t="shared" ref="I928:I936" si="494">IF($C928&lt;&gt;"", IF(AND($E928&lt;&gt;"", H928&lt;&gt;""), H928/$E928, 0),"")</f>
        <v/>
      </c>
      <c r="J928" s="17" t="str">
        <f>IF(AND(C928&lt;&gt;"",('Cost Inputs'!$I$189+'Cost Inputs'!$J$189+'Cost Inputs'!$K$189)&gt;0), 'Cost Inputs'!$I$189+'Cost Inputs'!$J$189+'Cost Inputs'!$K$189, "")</f>
        <v/>
      </c>
      <c r="K928" s="17" t="str">
        <f t="shared" ref="K928:K936" si="495">IF($C928&lt;&gt;"", IF(AND($E928&lt;&gt;"", J928&lt;&gt;""), J928/$E928, 0),"")</f>
        <v/>
      </c>
      <c r="M928" s="106"/>
      <c r="U928" s="17" t="str">
        <f>IF(ISNUMBER($B908), IF($C928&lt;&gt;"", IF('Cost Inputs'!$L$189="Y", $E928, IF('Cost Inputs'!$L$189="N", IF(ISNUMBER('Cost Inputs'!$M$189), $E928, ""),"")),""),"")</f>
        <v/>
      </c>
      <c r="V928" s="17" t="str">
        <f>IF(ISNUMBER($B908), IF($C928&lt;&gt;"", IF('Cost Inputs'!$L$189="Y", $E928, IF('Cost Inputs'!$L$189="N", IF(ISNUMBER('Cost Inputs'!$M$189), $E928, ""),"")),""),"")</f>
        <v/>
      </c>
      <c r="W928" s="17" t="str">
        <f>IF(ISNUMBER($B908), IF($C928&lt;&gt;"", IF('Cost Inputs'!$L$189="Y", $E928, IF('Cost Inputs'!$L$189="N", IF(ISNUMBER('Cost Inputs'!$M$189), $E928, ""),"")),""),"")</f>
        <v/>
      </c>
      <c r="X928" s="17" t="str">
        <f>IF(ISNUMBER($B908), IF($C928&lt;&gt;"", IF('Cost Inputs'!$L$189="Y", $E928, IF('Cost Inputs'!$L$189="N", IF(ISNUMBER('Cost Inputs'!$M$189), $E928, ""),"")),""),"")</f>
        <v/>
      </c>
      <c r="Y928" s="17" t="str">
        <f>IF(ISNUMBER($B908), IF($C928&lt;&gt;"", IF('Cost Inputs'!$L$189="Y", $E928, IF('Cost Inputs'!$L$189="N", IF(ISNUMBER('Cost Inputs'!$M$189), $E928, ""),"")),""),"")</f>
        <v/>
      </c>
      <c r="Z928" s="17" t="str">
        <f>IF(ISNUMBER($B908), IF($C928&lt;&gt;"", IF('Cost Inputs'!$L$189="Y", $E928, IF('Cost Inputs'!$L$189="N", IF(ISNUMBER('Cost Inputs'!$M$189), $E928, ""),"")),""),"")</f>
        <v/>
      </c>
      <c r="AA928" s="17" t="str">
        <f>IF(ISNUMBER($B908), IF($C928&lt;&gt;"", IF('Cost Inputs'!$L$189="Y", $E928, IF('Cost Inputs'!$L$189="N", IF(ISNUMBER('Cost Inputs'!$M$189), $E928, ""),"")),""),"")</f>
        <v/>
      </c>
      <c r="AB928" s="17" t="str">
        <f>IF(ISNUMBER($B908), IF($C928&lt;&gt;"", IF('Cost Inputs'!$L$189="Y", $E928, IF('Cost Inputs'!$L$189="N", IF(ISNUMBER('Cost Inputs'!$M$189), $E928, ""),"")),""),"")</f>
        <v/>
      </c>
      <c r="AC928" s="17" t="str">
        <f>IF(ISNUMBER($B908), IF($C928&lt;&gt;"", IF('Cost Inputs'!$L$189="Y", $E928, IF('Cost Inputs'!$L$189="N", IF(ISNUMBER('Cost Inputs'!$M$189), $E928, ""),"")),""),"")</f>
        <v/>
      </c>
      <c r="AD928" s="17" t="str">
        <f>IF(ISNUMBER($B908), IF($C928&lt;&gt;"", IF('Cost Inputs'!$L$189="Y", $E928, IF('Cost Inputs'!$L$189="N", IF(ISNUMBER('Cost Inputs'!$M$189), $E928, ""),"")),""),"")</f>
        <v/>
      </c>
    </row>
    <row r="929" spans="1:30" x14ac:dyDescent="0.25">
      <c r="A929" s="518"/>
      <c r="B929" s="504"/>
      <c r="C929" s="107" t="str">
        <f>IF(AND(ISNUMBER(B908), OR('Cost Inputs'!$H$190&lt;&gt;"", 'Cost Inputs'!$I$190&lt;&gt;"", 'Cost Inputs'!$J$190&lt;&gt;"")), _6_3_2, "")</f>
        <v/>
      </c>
      <c r="D929" s="93" t="str">
        <f>IF(AND(C929&lt;&gt;"", 'Cost Inputs'!$G$190&lt;&gt;""), 'Cost Inputs'!$G$190, "")</f>
        <v/>
      </c>
      <c r="E929" s="93" t="str">
        <f>IF(AND(C929&lt;&gt;"", 'Cost Inputs'!$H$190&lt;&gt;""), 'Cost Inputs'!$H$190, "")</f>
        <v/>
      </c>
      <c r="F929" s="93" t="str">
        <f>IF(AND(C929&lt;&gt;"", 'Cost Inputs'!$I$190&lt;&gt;""), 'Cost Inputs'!$I$190, "")</f>
        <v/>
      </c>
      <c r="G929" s="108" t="str">
        <f t="shared" si="489"/>
        <v/>
      </c>
      <c r="H929" s="93" t="str">
        <f>IF(AND(C929&lt;&gt;"", 'Cost Inputs'!$J$190&lt;&gt;""), 'Cost Inputs'!$J$190, "")</f>
        <v/>
      </c>
      <c r="I929" s="93" t="str">
        <f t="shared" si="494"/>
        <v/>
      </c>
      <c r="J929" s="93" t="str">
        <f>IF(AND(C929&lt;&gt;"",('Cost Inputs'!$I$190+'Cost Inputs'!$J$190+'Cost Inputs'!$K$190)&gt;0), 'Cost Inputs'!$I$190+'Cost Inputs'!$J$190+'Cost Inputs'!$K$190, "")</f>
        <v/>
      </c>
      <c r="K929" s="93" t="str">
        <f t="shared" si="495"/>
        <v/>
      </c>
      <c r="L929" s="93"/>
      <c r="M929" s="109"/>
      <c r="U929" s="93" t="str">
        <f>IF(ISNUMBER($B908), IF($C929&lt;&gt;"", IF('Cost Inputs'!$L$190="Y", $E929, IF('Cost Inputs'!$L$190="N", IF(ISNUMBER('Cost Inputs'!$M$190), $E929, ""),"")),""),"")</f>
        <v/>
      </c>
      <c r="V929" s="93" t="str">
        <f>IF(ISNUMBER($B908), IF($C929&lt;&gt;"", IF('Cost Inputs'!$L$190="Y", $E929, IF('Cost Inputs'!$L$190="N", IF(ISNUMBER('Cost Inputs'!$M$190), $E929, ""),"")),""),"")</f>
        <v/>
      </c>
      <c r="W929" s="93" t="str">
        <f>IF(ISNUMBER($B908), IF($C929&lt;&gt;"", IF('Cost Inputs'!$L$190="Y", $E929, IF('Cost Inputs'!$L$190="N", IF(ISNUMBER('Cost Inputs'!$M$190), $E929, ""),"")),""),"")</f>
        <v/>
      </c>
      <c r="X929" s="93" t="str">
        <f>IF(ISNUMBER($B908), IF($C929&lt;&gt;"", IF('Cost Inputs'!$L$190="Y", $E929, IF('Cost Inputs'!$L$190="N", IF(ISNUMBER('Cost Inputs'!$M$190), $E929, ""),"")),""),"")</f>
        <v/>
      </c>
      <c r="Y929" s="93" t="str">
        <f>IF(ISNUMBER($B908), IF($C929&lt;&gt;"", IF('Cost Inputs'!$L$190="Y", $E929, IF('Cost Inputs'!$L$190="N", IF(ISNUMBER('Cost Inputs'!$M$190), $E929, ""),"")),""),"")</f>
        <v/>
      </c>
      <c r="Z929" s="93" t="str">
        <f>IF(ISNUMBER($B908), IF($C929&lt;&gt;"", IF('Cost Inputs'!$L$190="Y", $E929, IF('Cost Inputs'!$L$190="N", IF(ISNUMBER('Cost Inputs'!$M$190), $E929, ""),"")),""),"")</f>
        <v/>
      </c>
      <c r="AA929" s="93" t="str">
        <f>IF(ISNUMBER($B908), IF($C929&lt;&gt;"", IF('Cost Inputs'!$L$190="Y", $E929, IF('Cost Inputs'!$L$190="N", IF(ISNUMBER('Cost Inputs'!$M$190), $E929, ""),"")),""),"")</f>
        <v/>
      </c>
      <c r="AB929" s="93" t="str">
        <f>IF(ISNUMBER($B908), IF($C929&lt;&gt;"", IF('Cost Inputs'!$L$190="Y", $E929, IF('Cost Inputs'!$L$190="N", IF(ISNUMBER('Cost Inputs'!$M$190), $E929, ""),"")),""),"")</f>
        <v/>
      </c>
      <c r="AC929" s="93" t="str">
        <f>IF(ISNUMBER($B908), IF($C929&lt;&gt;"", IF('Cost Inputs'!$L$190="Y", $E929, IF('Cost Inputs'!$L$190="N", IF(ISNUMBER('Cost Inputs'!$M$190), $E929, ""),"")),""),"")</f>
        <v/>
      </c>
      <c r="AD929" s="93" t="str">
        <f>IF(ISNUMBER($B908), IF($C929&lt;&gt;"", IF('Cost Inputs'!$L$190="Y", $E929, IF('Cost Inputs'!$L$190="N", IF(ISNUMBER('Cost Inputs'!$M$190), $E929, ""),"")),""),"")</f>
        <v/>
      </c>
    </row>
    <row r="930" spans="1:30" x14ac:dyDescent="0.25">
      <c r="A930" s="518"/>
      <c r="B930" s="504"/>
      <c r="C930" s="110" t="str">
        <f>IF(ISNUMBER(B908), _6_4_0, "")</f>
        <v/>
      </c>
      <c r="D930" s="94" t="str">
        <f>IF(AND(C930&lt;&gt;"", 'Cost Inputs'!$G$191&lt;&gt;""), 'Cost Inputs'!$G$191, "")</f>
        <v/>
      </c>
      <c r="E930" s="94" t="str">
        <f>IF(AND(C930&lt;&gt;"", 'Cost Inputs'!$H$191&lt;&gt;""), 'Cost Inputs'!$H$191, "")</f>
        <v/>
      </c>
      <c r="F930" s="94" t="str">
        <f>IF(AND(C930&lt;&gt;"", 'Cost Inputs'!$I$191&lt;&gt;""), 'Cost Inputs'!$I$191, "")</f>
        <v/>
      </c>
      <c r="G930" s="102" t="str">
        <f t="shared" si="489"/>
        <v/>
      </c>
      <c r="H930" s="102" t="str">
        <f>IF(AND(C930&lt;&gt;"", 'Cost Inputs'!$J$191&lt;&gt;""), 'Cost Inputs'!$J$191, "")</f>
        <v/>
      </c>
      <c r="I930" s="102" t="str">
        <f t="shared" si="494"/>
        <v/>
      </c>
      <c r="J930" s="102" t="str">
        <f>IF(AND(C930&lt;&gt;"",('Cost Inputs'!$I$191+'Cost Inputs'!$J$191+'Cost Inputs'!$K$191)&gt;0), 'Cost Inputs'!$I$191+'Cost Inputs'!$J$191+'Cost Inputs'!$K$191, "")</f>
        <v/>
      </c>
      <c r="K930" s="102" t="str">
        <f t="shared" si="495"/>
        <v/>
      </c>
      <c r="L930" s="94"/>
      <c r="M930" s="103"/>
      <c r="U930" s="102" t="str">
        <f>IF(ISNUMBER($B908), IF($C930&lt;&gt;"", IF('Cost Inputs'!$L$191="Y", $E930, IF('Cost Inputs'!$L$191="N", IF(ISNUMBER('Cost Inputs'!$M$191), $E930, ""),"")),""),"")</f>
        <v/>
      </c>
      <c r="V930" s="102" t="str">
        <f>IF(ISNUMBER($B908), IF($C930&lt;&gt;"", IF('Cost Inputs'!$L$191="Y", $E930, IF('Cost Inputs'!$L$191="N", IF(ISNUMBER('Cost Inputs'!$M$191), $E930, ""),"")),""),"")</f>
        <v/>
      </c>
      <c r="W930" s="102" t="str">
        <f>IF(ISNUMBER($B908), IF($C930&lt;&gt;"", IF('Cost Inputs'!$L$191="Y", $E930, IF('Cost Inputs'!$L$191="N", IF(ISNUMBER('Cost Inputs'!$M$191), $E930, ""),"")),""),"")</f>
        <v/>
      </c>
      <c r="X930" s="102" t="str">
        <f>IF(ISNUMBER($B908), IF($C930&lt;&gt;"", IF('Cost Inputs'!$L$191="Y", $E930, IF('Cost Inputs'!$L$191="N", IF(ISNUMBER('Cost Inputs'!$M$191), $E930, ""),"")),""),"")</f>
        <v/>
      </c>
      <c r="Y930" s="102" t="str">
        <f>IF(ISNUMBER($B908), IF($C930&lt;&gt;"", IF('Cost Inputs'!$L$191="Y", $E930, IF('Cost Inputs'!$L$191="N", IF(ISNUMBER('Cost Inputs'!$M$191), $E930, ""),"")),""),"")</f>
        <v/>
      </c>
      <c r="Z930" s="102" t="str">
        <f>IF(ISNUMBER($B908), IF($C930&lt;&gt;"", IF('Cost Inputs'!$L$191="Y", $E930, IF('Cost Inputs'!$L$191="N", IF(ISNUMBER('Cost Inputs'!$M$191), $E930, ""),"")),""),"")</f>
        <v/>
      </c>
      <c r="AA930" s="102" t="str">
        <f>IF(ISNUMBER($B908), IF($C930&lt;&gt;"", IF('Cost Inputs'!$L$191="Y", $E930, IF('Cost Inputs'!$L$191="N", IF(ISNUMBER('Cost Inputs'!$M$191), $E930, ""),"")),""),"")</f>
        <v/>
      </c>
      <c r="AB930" s="102" t="str">
        <f>IF(ISNUMBER($B908), IF($C930&lt;&gt;"", IF('Cost Inputs'!$L$191="Y", $E930, IF('Cost Inputs'!$L$191="N", IF(ISNUMBER('Cost Inputs'!$M$191), $E930, ""),"")),""),"")</f>
        <v/>
      </c>
      <c r="AC930" s="102" t="str">
        <f>IF(ISNUMBER($B908), IF($C930&lt;&gt;"", IF('Cost Inputs'!$L$191="Y", $E930, IF('Cost Inputs'!$L$191="N", IF(ISNUMBER('Cost Inputs'!$M$191), $E930, ""),"")),""),"")</f>
        <v/>
      </c>
      <c r="AD930" s="102" t="str">
        <f>IF(ISNUMBER($B908), IF($C930&lt;&gt;"", IF('Cost Inputs'!$L$191="Y", $E930, IF('Cost Inputs'!$L$191="N", IF(ISNUMBER('Cost Inputs'!$M$191), $E930, ""),"")),""),"")</f>
        <v/>
      </c>
    </row>
    <row r="931" spans="1:30" x14ac:dyDescent="0.25">
      <c r="A931" s="518"/>
      <c r="B931" s="504"/>
      <c r="C931" s="104" t="str">
        <f>IF(AND(ISNUMBER(B908), OR('Cost Inputs'!$H$192&lt;&gt;"", 'Cost Inputs'!$I$192&lt;&gt;"", 'Cost Inputs'!$J$192&lt;&gt;"")), _6_4_1, "")</f>
        <v/>
      </c>
      <c r="D931" s="17" t="str">
        <f>IF(AND(C931&lt;&gt;"", 'Cost Inputs'!$G$192&lt;&gt;""), 'Cost Inputs'!$G$192, "")</f>
        <v/>
      </c>
      <c r="E931" s="17" t="str">
        <f>IF(AND(C931&lt;&gt;"", 'Cost Inputs'!$H$192&lt;&gt;""), 'Cost Inputs'!$H$192, "")</f>
        <v/>
      </c>
      <c r="F931" s="17" t="str">
        <f>IF(AND(C931&lt;&gt;"", 'Cost Inputs'!$I$192&lt;&gt;""), 'Cost Inputs'!$I$192, "")</f>
        <v/>
      </c>
      <c r="G931" s="105" t="str">
        <f t="shared" ref="G931:G994" si="496">IF(AND($E931&lt;&gt;"", $E931&gt;0, F931&lt;&gt;""), F931/$E931, "")</f>
        <v/>
      </c>
      <c r="H931" s="17" t="str">
        <f>IF(AND(C931&lt;&gt;"", 'Cost Inputs'!$J$192&lt;&gt;""), 'Cost Inputs'!$J$192, "")</f>
        <v/>
      </c>
      <c r="I931" s="17" t="str">
        <f t="shared" si="494"/>
        <v/>
      </c>
      <c r="J931" s="17" t="str">
        <f>IF(AND(C931&lt;&gt;"",('Cost Inputs'!$I$192+'Cost Inputs'!$J$192+'Cost Inputs'!$K$192)&gt;0), 'Cost Inputs'!$I$192+'Cost Inputs'!$J$192+'Cost Inputs'!$K$192, "")</f>
        <v/>
      </c>
      <c r="K931" s="17" t="str">
        <f t="shared" si="495"/>
        <v/>
      </c>
      <c r="M931" s="106"/>
      <c r="U931" s="17" t="str">
        <f>IF(ISNUMBER($B908), IF($C931&lt;&gt;"", IF('Cost Inputs'!$L$192="Y", $E931, IF('Cost Inputs'!$L$192="N", IF(ISNUMBER('Cost Inputs'!$M$192), $E931, ""),"")),""),"")</f>
        <v/>
      </c>
      <c r="V931" s="17" t="str">
        <f>IF(ISNUMBER($B908), IF($C931&lt;&gt;"", IF('Cost Inputs'!$L$192="Y", $E931, IF('Cost Inputs'!$L$192="N", IF(ISNUMBER('Cost Inputs'!$M$192), $E931, ""),"")),""),"")</f>
        <v/>
      </c>
      <c r="W931" s="17" t="str">
        <f>IF(ISNUMBER($B908), IF($C931&lt;&gt;"", IF('Cost Inputs'!$L$192="Y", $E931, IF('Cost Inputs'!$L$192="N", IF(ISNUMBER('Cost Inputs'!$M$192), $E931, ""),"")),""),"")</f>
        <v/>
      </c>
      <c r="X931" s="17" t="str">
        <f>IF(ISNUMBER($B908), IF($C931&lt;&gt;"", IF('Cost Inputs'!$L$192="Y", $E931, IF('Cost Inputs'!$L$192="N", IF(ISNUMBER('Cost Inputs'!$M$192), $E931, ""),"")),""),"")</f>
        <v/>
      </c>
      <c r="Y931" s="17" t="str">
        <f>IF(ISNUMBER($B908), IF($C931&lt;&gt;"", IF('Cost Inputs'!$L$192="Y", $E931, IF('Cost Inputs'!$L$192="N", IF(ISNUMBER('Cost Inputs'!$M$192), $E931, ""),"")),""),"")</f>
        <v/>
      </c>
      <c r="Z931" s="17" t="str">
        <f>IF(ISNUMBER($B908), IF($C931&lt;&gt;"", IF('Cost Inputs'!$L$192="Y", $E931, IF('Cost Inputs'!$L$192="N", IF(ISNUMBER('Cost Inputs'!$M$192), $E931, ""),"")),""),"")</f>
        <v/>
      </c>
      <c r="AA931" s="17" t="str">
        <f>IF(ISNUMBER($B908), IF($C931&lt;&gt;"", IF('Cost Inputs'!$L$192="Y", $E931, IF('Cost Inputs'!$L$192="N", IF(ISNUMBER('Cost Inputs'!$M$192), $E931, ""),"")),""),"")</f>
        <v/>
      </c>
      <c r="AB931" s="17" t="str">
        <f>IF(ISNUMBER($B908), IF($C931&lt;&gt;"", IF('Cost Inputs'!$L$192="Y", $E931, IF('Cost Inputs'!$L$192="N", IF(ISNUMBER('Cost Inputs'!$M$192), $E931, ""),"")),""),"")</f>
        <v/>
      </c>
      <c r="AC931" s="17" t="str">
        <f>IF(ISNUMBER($B908), IF($C931&lt;&gt;"", IF('Cost Inputs'!$L$192="Y", $E931, IF('Cost Inputs'!$L$192="N", IF(ISNUMBER('Cost Inputs'!$M$192), $E931, ""),"")),""),"")</f>
        <v/>
      </c>
      <c r="AD931" s="17" t="str">
        <f>IF(ISNUMBER($B908), IF($C931&lt;&gt;"", IF('Cost Inputs'!$L$192="Y", $E931, IF('Cost Inputs'!$L$192="N", IF(ISNUMBER('Cost Inputs'!$M$192), $E931, ""),"")),""),"")</f>
        <v/>
      </c>
    </row>
    <row r="932" spans="1:30" x14ac:dyDescent="0.25">
      <c r="A932" s="518"/>
      <c r="B932" s="504"/>
      <c r="C932" s="107" t="str">
        <f>IF(AND(ISNUMBER(B908), OR('Cost Inputs'!$H$193&lt;&gt;"", 'Cost Inputs'!$I$193&lt;&gt;"", 'Cost Inputs'!$J$193&lt;&gt;"")), _6_4_2, "")</f>
        <v/>
      </c>
      <c r="D932" s="93" t="str">
        <f>IF(AND(C932&lt;&gt;"", 'Cost Inputs'!$G$193&lt;&gt;""), 'Cost Inputs'!$G$193, "")</f>
        <v/>
      </c>
      <c r="E932" s="93" t="str">
        <f>IF(AND(C932&lt;&gt;"", 'Cost Inputs'!$H$193&lt;&gt;""), 'Cost Inputs'!$H$193, "")</f>
        <v/>
      </c>
      <c r="F932" s="93" t="str">
        <f>IF(AND(C932&lt;&gt;"", 'Cost Inputs'!$I$193&lt;&gt;""), 'Cost Inputs'!$I$193, "")</f>
        <v/>
      </c>
      <c r="G932" s="108" t="str">
        <f t="shared" si="496"/>
        <v/>
      </c>
      <c r="H932" s="93" t="str">
        <f>IF(AND(C932&lt;&gt;"", 'Cost Inputs'!$J$193&lt;&gt;""), 'Cost Inputs'!$J$193, "")</f>
        <v/>
      </c>
      <c r="I932" s="93" t="str">
        <f t="shared" si="494"/>
        <v/>
      </c>
      <c r="J932" s="93" t="str">
        <f>IF(AND(C932&lt;&gt;"",('Cost Inputs'!$I$152+'Cost Inputs'!$J$152+'Cost Inputs'!$K$152)&gt;0), 'Cost Inputs'!$I$152+'Cost Inputs'!$J$152+'Cost Inputs'!$K$152, "")</f>
        <v/>
      </c>
      <c r="K932" s="93" t="str">
        <f t="shared" si="495"/>
        <v/>
      </c>
      <c r="L932" s="93"/>
      <c r="M932" s="109"/>
      <c r="U932" s="93" t="str">
        <f>IF(ISNUMBER($B908), IF($C932&lt;&gt;"", IF('Cost Inputs'!$L$193="Y", $E932, IF('Cost Inputs'!$L$193="N", IF(ISNUMBER('Cost Inputs'!$M$193), $E932, ""),"")),""),"")</f>
        <v/>
      </c>
      <c r="V932" s="93" t="str">
        <f>IF(ISNUMBER($B908), IF($C932&lt;&gt;"", IF('Cost Inputs'!$L$193="Y", $E932, IF('Cost Inputs'!$L$193="N", IF(ISNUMBER('Cost Inputs'!$M$193), $E932, ""),"")),""),"")</f>
        <v/>
      </c>
      <c r="W932" s="93" t="str">
        <f>IF(ISNUMBER($B908), IF($C932&lt;&gt;"", IF('Cost Inputs'!$L$193="Y", $E932, IF('Cost Inputs'!$L$193="N", IF(ISNUMBER('Cost Inputs'!$M$193), $E932, ""),"")),""),"")</f>
        <v/>
      </c>
      <c r="X932" s="93" t="str">
        <f>IF(ISNUMBER($B908), IF($C932&lt;&gt;"", IF('Cost Inputs'!$L$193="Y", $E932, IF('Cost Inputs'!$L$193="N", IF(ISNUMBER('Cost Inputs'!$M$193), $E932, ""),"")),""),"")</f>
        <v/>
      </c>
      <c r="Y932" s="93" t="str">
        <f>IF(ISNUMBER($B908), IF($C932&lt;&gt;"", IF('Cost Inputs'!$L$193="Y", $E932, IF('Cost Inputs'!$L$193="N", IF(ISNUMBER('Cost Inputs'!$M$193), $E932, ""),"")),""),"")</f>
        <v/>
      </c>
      <c r="Z932" s="93" t="str">
        <f>IF(ISNUMBER($B908), IF($C932&lt;&gt;"", IF('Cost Inputs'!$L$193="Y", $E932, IF('Cost Inputs'!$L$193="N", IF(ISNUMBER('Cost Inputs'!$M$193), $E932, ""),"")),""),"")</f>
        <v/>
      </c>
      <c r="AA932" s="93" t="str">
        <f>IF(ISNUMBER($B908), IF($C932&lt;&gt;"", IF('Cost Inputs'!$L$193="Y", $E932, IF('Cost Inputs'!$L$193="N", IF(ISNUMBER('Cost Inputs'!$M$193), $E932, ""),"")),""),"")</f>
        <v/>
      </c>
      <c r="AB932" s="93" t="str">
        <f>IF(ISNUMBER($B908), IF($C932&lt;&gt;"", IF('Cost Inputs'!$L$193="Y", $E932, IF('Cost Inputs'!$L$193="N", IF(ISNUMBER('Cost Inputs'!$M$193), $E932, ""),"")),""),"")</f>
        <v/>
      </c>
      <c r="AC932" s="93" t="str">
        <f>IF(ISNUMBER($B908), IF($C932&lt;&gt;"", IF('Cost Inputs'!$L$193="Y", $E932, IF('Cost Inputs'!$L$193="N", IF(ISNUMBER('Cost Inputs'!$M$193), $E932, ""),"")),""),"")</f>
        <v/>
      </c>
      <c r="AD932" s="93" t="str">
        <f>IF(ISNUMBER($B908), IF($C932&lt;&gt;"", IF('Cost Inputs'!$L$193="Y", $E932, IF('Cost Inputs'!$L$193="N", IF(ISNUMBER('Cost Inputs'!$M$193), $E932, ""),"")),""),"")</f>
        <v/>
      </c>
    </row>
    <row r="933" spans="1:30" x14ac:dyDescent="0.25">
      <c r="A933" s="518"/>
      <c r="B933" s="504"/>
      <c r="C933" s="104" t="str">
        <f>IF(AND(ISNUMBER(B908), OR('Cost Inputs'!$H$194&lt;&gt;"", 'Cost Inputs'!$I$194&lt;&gt;"", 'Cost Inputs'!$J$194&lt;&gt;"")), _6_4_3, "")</f>
        <v/>
      </c>
      <c r="D933" s="17" t="str">
        <f>IF(AND(C933&lt;&gt;"", 'Cost Inputs'!$G$194&lt;&gt;""), 'Cost Inputs'!$G$194, "")</f>
        <v/>
      </c>
      <c r="E933" s="17" t="str">
        <f>IF(AND(C933&lt;&gt;"", 'Cost Inputs'!$H$194&lt;&gt;""), 'Cost Inputs'!$H$194, "")</f>
        <v/>
      </c>
      <c r="F933" s="17" t="str">
        <f>IF(AND(C933&lt;&gt;"", 'Cost Inputs'!$I$194&lt;&gt;""), 'Cost Inputs'!$I$194, "")</f>
        <v/>
      </c>
      <c r="G933" s="105" t="str">
        <f t="shared" si="496"/>
        <v/>
      </c>
      <c r="H933" s="17" t="str">
        <f>IF(AND(C933&lt;&gt;"", 'Cost Inputs'!$J$194&lt;&gt;""), 'Cost Inputs'!$J$194, "")</f>
        <v/>
      </c>
      <c r="I933" s="17" t="str">
        <f t="shared" si="494"/>
        <v/>
      </c>
      <c r="J933" s="17" t="str">
        <f>IF(AND(C933&lt;&gt;"",('Cost Inputs'!$I$194+'Cost Inputs'!$J$194+'Cost Inputs'!$K$194)&gt;0), 'Cost Inputs'!$I$194+'Cost Inputs'!$J$194+'Cost Inputs'!$K$194, "")</f>
        <v/>
      </c>
      <c r="K933" s="17" t="str">
        <f t="shared" si="495"/>
        <v/>
      </c>
      <c r="M933" s="106"/>
      <c r="U933" s="17" t="str">
        <f>IF(ISNUMBER($B908), IF($C933&lt;&gt;"", IF('Cost Inputs'!$L$194="Y", $E933, IF('Cost Inputs'!$L$194="N", IF(ISNUMBER('Cost Inputs'!$M$194), $E933, ""),"")),""),"")</f>
        <v/>
      </c>
      <c r="V933" s="17" t="str">
        <f>IF(ISNUMBER($B908), IF($C933&lt;&gt;"", IF('Cost Inputs'!$L$194="Y", $E933, IF('Cost Inputs'!$L$194="N", IF(ISNUMBER('Cost Inputs'!$M$194), $E933, ""),"")),""),"")</f>
        <v/>
      </c>
      <c r="W933" s="17" t="str">
        <f>IF(ISNUMBER($B908), IF($C933&lt;&gt;"", IF('Cost Inputs'!$L$194="Y", $E933, IF('Cost Inputs'!$L$194="N", IF(ISNUMBER('Cost Inputs'!$M$194), $E933, ""),"")),""),"")</f>
        <v/>
      </c>
      <c r="X933" s="17" t="str">
        <f>IF(ISNUMBER($B908), IF($C933&lt;&gt;"", IF('Cost Inputs'!$L$194="Y", $E933, IF('Cost Inputs'!$L$194="N", IF(ISNUMBER('Cost Inputs'!$M$194), $E933, ""),"")),""),"")</f>
        <v/>
      </c>
      <c r="Y933" s="17" t="str">
        <f>IF(ISNUMBER($B908), IF($C933&lt;&gt;"", IF('Cost Inputs'!$L$194="Y", $E933, IF('Cost Inputs'!$L$194="N", IF(ISNUMBER('Cost Inputs'!$M$194), $E933, ""),"")),""),"")</f>
        <v/>
      </c>
      <c r="Z933" s="17" t="str">
        <f>IF(ISNUMBER($B908), IF($C933&lt;&gt;"", IF('Cost Inputs'!$L$194="Y", $E933, IF('Cost Inputs'!$L$194="N", IF(ISNUMBER('Cost Inputs'!$M$194), $E933, ""),"")),""),"")</f>
        <v/>
      </c>
      <c r="AA933" s="17" t="str">
        <f>IF(ISNUMBER($B908), IF($C933&lt;&gt;"", IF('Cost Inputs'!$L$194="Y", $E933, IF('Cost Inputs'!$L$194="N", IF(ISNUMBER('Cost Inputs'!$M$194), $E933, ""),"")),""),"")</f>
        <v/>
      </c>
      <c r="AB933" s="17" t="str">
        <f>IF(ISNUMBER($B908), IF($C933&lt;&gt;"", IF('Cost Inputs'!$L$194="Y", $E933, IF('Cost Inputs'!$L$194="N", IF(ISNUMBER('Cost Inputs'!$M$194), $E933, ""),"")),""),"")</f>
        <v/>
      </c>
      <c r="AC933" s="17" t="str">
        <f>IF(ISNUMBER($B908), IF($C933&lt;&gt;"", IF('Cost Inputs'!$L$194="Y", $E933, IF('Cost Inputs'!$L$194="N", IF(ISNUMBER('Cost Inputs'!$M$194), $E933, ""),"")),""),"")</f>
        <v/>
      </c>
      <c r="AD933" s="17" t="str">
        <f>IF(ISNUMBER($B908), IF($C933&lt;&gt;"", IF('Cost Inputs'!$L$194="Y", $E933, IF('Cost Inputs'!$L$194="N", IF(ISNUMBER('Cost Inputs'!$M$194), $E933, ""),"")),""),"")</f>
        <v/>
      </c>
    </row>
    <row r="934" spans="1:30" x14ac:dyDescent="0.25">
      <c r="A934" s="518"/>
      <c r="B934" s="504"/>
      <c r="C934" s="107" t="str">
        <f>IF(AND(ISNUMBER(B908), OR('Cost Inputs'!$H$195&lt;&gt;"", 'Cost Inputs'!$I$195&lt;&gt;"", 'Cost Inputs'!$J$195&lt;&gt;"")), _6_4_4, "")</f>
        <v/>
      </c>
      <c r="D934" s="93" t="str">
        <f>IF(AND(C934&lt;&gt;"", 'Cost Inputs'!$G$195&lt;&gt;""), 'Cost Inputs'!$G$195, "")</f>
        <v/>
      </c>
      <c r="E934" s="93" t="str">
        <f>IF(AND(C934&lt;&gt;"", 'Cost Inputs'!$H$195&lt;&gt;""), 'Cost Inputs'!$H$195, "")</f>
        <v/>
      </c>
      <c r="F934" s="93" t="str">
        <f>IF(AND(C934&lt;&gt;"", 'Cost Inputs'!$I$195&lt;&gt;""), 'Cost Inputs'!$I$195, "")</f>
        <v/>
      </c>
      <c r="G934" s="108" t="str">
        <f t="shared" si="496"/>
        <v/>
      </c>
      <c r="H934" s="93" t="str">
        <f>IF(AND(C934&lt;&gt;"", 'Cost Inputs'!$J$195&lt;&gt;""), 'Cost Inputs'!$J$195, "")</f>
        <v/>
      </c>
      <c r="I934" s="93" t="str">
        <f t="shared" si="494"/>
        <v/>
      </c>
      <c r="J934" s="93" t="str">
        <f>IF(AND(C934&lt;&gt;"",('Cost Inputs'!$I$195+'Cost Inputs'!$J$195+'Cost Inputs'!$K$195)&gt;0), 'Cost Inputs'!$I$195+'Cost Inputs'!$J$195+'Cost Inputs'!$K$195, "")</f>
        <v/>
      </c>
      <c r="K934" s="93" t="str">
        <f t="shared" si="495"/>
        <v/>
      </c>
      <c r="L934" s="93"/>
      <c r="M934" s="109"/>
      <c r="U934" s="93" t="str">
        <f>IF(ISNUMBER($B908), IF($C934&lt;&gt;"", IF('Cost Inputs'!$L$195="Y", $E934, IF('Cost Inputs'!$L$195="N", IF(ISNUMBER('Cost Inputs'!$M$195), $E934, ""),"")),""),"")</f>
        <v/>
      </c>
      <c r="V934" s="93" t="str">
        <f>IF(ISNUMBER($B908), IF($C934&lt;&gt;"", IF('Cost Inputs'!$L$195="Y", $E934, IF('Cost Inputs'!$L$195="N", IF(ISNUMBER('Cost Inputs'!$M$195), $E934, ""),"")),""),"")</f>
        <v/>
      </c>
      <c r="W934" s="93" t="str">
        <f>IF(ISNUMBER($B908), IF($C934&lt;&gt;"", IF('Cost Inputs'!$L$195="Y", $E934, IF('Cost Inputs'!$L$195="N", IF(ISNUMBER('Cost Inputs'!$M$195), $E934, ""),"")),""),"")</f>
        <v/>
      </c>
      <c r="X934" s="93" t="str">
        <f>IF(ISNUMBER($B908), IF($C934&lt;&gt;"", IF('Cost Inputs'!$L$195="Y", $E934, IF('Cost Inputs'!$L$195="N", IF(ISNUMBER('Cost Inputs'!$M$195), $E934, ""),"")),""),"")</f>
        <v/>
      </c>
      <c r="Y934" s="93" t="str">
        <f>IF(ISNUMBER($B908), IF($C934&lt;&gt;"", IF('Cost Inputs'!$L$195="Y", $E934, IF('Cost Inputs'!$L$195="N", IF(ISNUMBER('Cost Inputs'!$M$195), $E934, ""),"")),""),"")</f>
        <v/>
      </c>
      <c r="Z934" s="93" t="str">
        <f>IF(ISNUMBER($B908), IF($C934&lt;&gt;"", IF('Cost Inputs'!$L$195="Y", $E934, IF('Cost Inputs'!$L$195="N", IF(ISNUMBER('Cost Inputs'!$M$195), $E934, ""),"")),""),"")</f>
        <v/>
      </c>
      <c r="AA934" s="93" t="str">
        <f>IF(ISNUMBER($B908), IF($C934&lt;&gt;"", IF('Cost Inputs'!$L$195="Y", $E934, IF('Cost Inputs'!$L$195="N", IF(ISNUMBER('Cost Inputs'!$M$195), $E934, ""),"")),""),"")</f>
        <v/>
      </c>
      <c r="AB934" s="93" t="str">
        <f>IF(ISNUMBER($B908), IF($C934&lt;&gt;"", IF('Cost Inputs'!$L$195="Y", $E934, IF('Cost Inputs'!$L$195="N", IF(ISNUMBER('Cost Inputs'!$M$195), $E934, ""),"")),""),"")</f>
        <v/>
      </c>
      <c r="AC934" s="93" t="str">
        <f>IF(ISNUMBER($B908), IF($C934&lt;&gt;"", IF('Cost Inputs'!$L$195="Y", $E934, IF('Cost Inputs'!$L$195="N", IF(ISNUMBER('Cost Inputs'!$M$195), $E934, ""),"")),""),"")</f>
        <v/>
      </c>
      <c r="AD934" s="93" t="str">
        <f>IF(ISNUMBER($B908), IF($C934&lt;&gt;"", IF('Cost Inputs'!$L$195="Y", $E934, IF('Cost Inputs'!$L$195="N", IF(ISNUMBER('Cost Inputs'!$M$195), $E934, ""),"")),""),"")</f>
        <v/>
      </c>
    </row>
    <row r="935" spans="1:30" x14ac:dyDescent="0.25">
      <c r="A935" s="518"/>
      <c r="B935" s="504"/>
      <c r="C935" s="104" t="str">
        <f>IF(AND(ISNUMBER(B908), OR('Cost Inputs'!$H$196&lt;&gt;"", 'Cost Inputs'!$I$196&lt;&gt;"", 'Cost Inputs'!$J$196&lt;&gt;"")), _6_4_5, "")</f>
        <v/>
      </c>
      <c r="D935" s="17" t="str">
        <f>IF(AND(C935&lt;&gt;"", 'Cost Inputs'!$G$196&lt;&gt;""), 'Cost Inputs'!$G$196, "")</f>
        <v/>
      </c>
      <c r="E935" s="17" t="str">
        <f>IF(AND(C935&lt;&gt;"", 'Cost Inputs'!$H$196&lt;&gt;""), 'Cost Inputs'!$H$196, "")</f>
        <v/>
      </c>
      <c r="F935" s="17" t="str">
        <f>IF(AND(C935&lt;&gt;"", 'Cost Inputs'!$I$196&lt;&gt;""), 'Cost Inputs'!$I$196, "")</f>
        <v/>
      </c>
      <c r="G935" s="105" t="str">
        <f t="shared" si="496"/>
        <v/>
      </c>
      <c r="H935" s="17" t="str">
        <f>IF(AND(C935&lt;&gt;"", 'Cost Inputs'!$J$196&lt;&gt;""), 'Cost Inputs'!$J$196, "")</f>
        <v/>
      </c>
      <c r="I935" s="17" t="str">
        <f t="shared" si="494"/>
        <v/>
      </c>
      <c r="J935" s="17" t="str">
        <f>IF(AND(C935&lt;&gt;"",('Cost Inputs'!$I$196+'Cost Inputs'!$J$196+'Cost Inputs'!$K$196)&gt;0), 'Cost Inputs'!$I$196+'Cost Inputs'!$J$196+'Cost Inputs'!$K$196, "")</f>
        <v/>
      </c>
      <c r="K935" s="17" t="str">
        <f t="shared" si="495"/>
        <v/>
      </c>
      <c r="M935" s="106"/>
      <c r="U935" s="17" t="str">
        <f>IF(ISNUMBER($B908), IF($C935&lt;&gt;"", IF('Cost Inputs'!$L$196="Y", $E935, IF('Cost Inputs'!$L$196="N", IF(ISNUMBER('Cost Inputs'!$M$196), $E935, ""),"")),""),"")</f>
        <v/>
      </c>
      <c r="V935" s="17" t="str">
        <f>IF(ISNUMBER($B908), IF($C935&lt;&gt;"", IF('Cost Inputs'!$L$196="Y", $E935, IF('Cost Inputs'!$L$196="N", IF(ISNUMBER('Cost Inputs'!$M$196), $E935, ""),"")),""),"")</f>
        <v/>
      </c>
      <c r="W935" s="17" t="str">
        <f>IF(ISNUMBER($B908), IF($C935&lt;&gt;"", IF('Cost Inputs'!$L$196="Y", $E935, IF('Cost Inputs'!$L$196="N", IF(ISNUMBER('Cost Inputs'!$M$196), $E935, ""),"")),""),"")</f>
        <v/>
      </c>
      <c r="X935" s="17" t="str">
        <f>IF(ISNUMBER($B908), IF($C935&lt;&gt;"", IF('Cost Inputs'!$L$196="Y", $E935, IF('Cost Inputs'!$L$196="N", IF(ISNUMBER('Cost Inputs'!$M$196), $E935, ""),"")),""),"")</f>
        <v/>
      </c>
      <c r="Y935" s="17" t="str">
        <f>IF(ISNUMBER($B908), IF($C935&lt;&gt;"", IF('Cost Inputs'!$L$196="Y", $E935, IF('Cost Inputs'!$L$196="N", IF(ISNUMBER('Cost Inputs'!$M$196), $E935, ""),"")),""),"")</f>
        <v/>
      </c>
      <c r="Z935" s="17" t="str">
        <f>IF(ISNUMBER($B908), IF($C935&lt;&gt;"", IF('Cost Inputs'!$L$196="Y", $E935, IF('Cost Inputs'!$L$196="N", IF(ISNUMBER('Cost Inputs'!$M$196), $E935, ""),"")),""),"")</f>
        <v/>
      </c>
      <c r="AA935" s="17" t="str">
        <f>IF(ISNUMBER($B908), IF($C935&lt;&gt;"", IF('Cost Inputs'!$L$196="Y", $E935, IF('Cost Inputs'!$L$196="N", IF(ISNUMBER('Cost Inputs'!$M$196), $E935, ""),"")),""),"")</f>
        <v/>
      </c>
      <c r="AB935" s="17" t="str">
        <f>IF(ISNUMBER($B908), IF($C935&lt;&gt;"", IF('Cost Inputs'!$L$196="Y", $E935, IF('Cost Inputs'!$L$196="N", IF(ISNUMBER('Cost Inputs'!$M$196), $E935, ""),"")),""),"")</f>
        <v/>
      </c>
      <c r="AC935" s="17" t="str">
        <f>IF(ISNUMBER($B908), IF($C935&lt;&gt;"", IF('Cost Inputs'!$L$196="Y", $E935, IF('Cost Inputs'!$L$196="N", IF(ISNUMBER('Cost Inputs'!$M$196), $E935, ""),"")),""),"")</f>
        <v/>
      </c>
      <c r="AD935" s="17" t="str">
        <f>IF(ISNUMBER($B908), IF($C935&lt;&gt;"", IF('Cost Inputs'!$L$196="Y", $E935, IF('Cost Inputs'!$L$196="N", IF(ISNUMBER('Cost Inputs'!$M$196), $E935, ""),"")),""),"")</f>
        <v/>
      </c>
    </row>
    <row r="936" spans="1:30" x14ac:dyDescent="0.25">
      <c r="A936" s="518"/>
      <c r="B936" s="504"/>
      <c r="C936" s="107" t="str">
        <f>IF(AND(ISNUMBER(B908), OR('Cost Inputs'!$H$197&lt;&gt;"", 'Cost Inputs'!$I$197&lt;&gt;"", 'Cost Inputs'!$J$197&lt;&gt;"")), _6_4_6, "")</f>
        <v/>
      </c>
      <c r="D936" s="93" t="str">
        <f>IF(AND(C936&lt;&gt;"", 'Cost Inputs'!$G$197&lt;&gt;""), 'Cost Inputs'!$G$197, "")</f>
        <v/>
      </c>
      <c r="E936" s="93" t="str">
        <f>IF(AND(C936&lt;&gt;"", 'Cost Inputs'!$H$197&lt;&gt;""), 'Cost Inputs'!$H$197, "")</f>
        <v/>
      </c>
      <c r="F936" s="93" t="str">
        <f>IF(AND(C936&lt;&gt;"", 'Cost Inputs'!$I$197&lt;&gt;""), 'Cost Inputs'!$I$197, "")</f>
        <v/>
      </c>
      <c r="G936" s="108" t="str">
        <f t="shared" si="496"/>
        <v/>
      </c>
      <c r="H936" s="93" t="str">
        <f>IF(AND(C936&lt;&gt;"", 'Cost Inputs'!$J$197&lt;&gt;""), 'Cost Inputs'!$J$16, "")</f>
        <v/>
      </c>
      <c r="I936" s="93" t="str">
        <f t="shared" si="494"/>
        <v/>
      </c>
      <c r="J936" s="93" t="str">
        <f>IF(AND(C936&lt;&gt;"",('Cost Inputs'!$I$197+'Cost Inputs'!$J$197+'Cost Inputs'!$K$197)&gt;0), 'Cost Inputs'!$I$197+'Cost Inputs'!$J$197+'Cost Inputs'!$K$197, "")</f>
        <v/>
      </c>
      <c r="K936" s="93" t="str">
        <f t="shared" si="495"/>
        <v/>
      </c>
      <c r="L936" s="93"/>
      <c r="M936" s="109"/>
      <c r="U936" s="93" t="str">
        <f>IF(ISNUMBER($B908), IF($C936&lt;&gt;"", IF('Cost Inputs'!$L$197="Y", $E936, IF('Cost Inputs'!$L$197="N", IF(ISNUMBER('Cost Inputs'!$M$197), $E936, ""),"")),""),"")</f>
        <v/>
      </c>
      <c r="V936" s="93" t="str">
        <f>IF(ISNUMBER($B908), IF($C936&lt;&gt;"", IF('Cost Inputs'!$L$197="Y", $E936, IF('Cost Inputs'!$L$197="N", IF(ISNUMBER('Cost Inputs'!$M$197), $E936, ""),"")),""),"")</f>
        <v/>
      </c>
      <c r="W936" s="93" t="str">
        <f>IF(ISNUMBER($B908), IF($C936&lt;&gt;"", IF('Cost Inputs'!$L$197="Y", $E936, IF('Cost Inputs'!$L$197="N", IF(ISNUMBER('Cost Inputs'!$M$197), $E936, ""),"")),""),"")</f>
        <v/>
      </c>
      <c r="X936" s="93" t="str">
        <f>IF(ISNUMBER($B908), IF($C936&lt;&gt;"", IF('Cost Inputs'!$L$197="Y", $E936, IF('Cost Inputs'!$L$197="N", IF(ISNUMBER('Cost Inputs'!$M$197), $E936, ""),"")),""),"")</f>
        <v/>
      </c>
      <c r="Y936" s="93" t="str">
        <f>IF(ISNUMBER($B908), IF($C936&lt;&gt;"", IF('Cost Inputs'!$L$197="Y", $E936, IF('Cost Inputs'!$L$197="N", IF(ISNUMBER('Cost Inputs'!$M$197), $E936, ""),"")),""),"")</f>
        <v/>
      </c>
      <c r="Z936" s="93" t="str">
        <f>IF(ISNUMBER($B908), IF($C936&lt;&gt;"", IF('Cost Inputs'!$L$197="Y", $E936, IF('Cost Inputs'!$L$197="N", IF(ISNUMBER('Cost Inputs'!$M$197), $E936, ""),"")),""),"")</f>
        <v/>
      </c>
      <c r="AA936" s="93" t="str">
        <f>IF(ISNUMBER($B908), IF($C936&lt;&gt;"", IF('Cost Inputs'!$L$197="Y", $E936, IF('Cost Inputs'!$L$197="N", IF(ISNUMBER('Cost Inputs'!$M$197), $E936, ""),"")),""),"")</f>
        <v/>
      </c>
      <c r="AB936" s="93" t="str">
        <f>IF(ISNUMBER($B908), IF($C936&lt;&gt;"", IF('Cost Inputs'!$L$197="Y", $E936, IF('Cost Inputs'!$L$197="N", IF(ISNUMBER('Cost Inputs'!$M$197), $E936, ""),"")),""),"")</f>
        <v/>
      </c>
      <c r="AC936" s="93" t="str">
        <f>IF(ISNUMBER($B908), IF($C936&lt;&gt;"", IF('Cost Inputs'!$L$197="Y", $E936, IF('Cost Inputs'!$L$197="N", IF(ISNUMBER('Cost Inputs'!$M$197), $E936, ""),"")),""),"")</f>
        <v/>
      </c>
      <c r="AD936" s="93" t="str">
        <f>IF(ISNUMBER($B908), IF($C936&lt;&gt;"", IF('Cost Inputs'!$L$197="Y", $E936, IF('Cost Inputs'!$L$197="N", IF(ISNUMBER('Cost Inputs'!$M$197), $E936, ""),"")),""),"")</f>
        <v/>
      </c>
    </row>
    <row r="937" spans="1:30" x14ac:dyDescent="0.25">
      <c r="A937" s="518"/>
      <c r="B937" s="504"/>
      <c r="C937" s="521" t="str">
        <f>IF(AND(B926&lt;&gt;"",ISNUMBER(B926),ISNUMBER(Stage4EvaluationBegins)),IF((INDEX(ProgramYearStage4,MATCH(Stage4EvaluationBegins,Years_in_Stage4,0)))=B926,_6_5_0,IF(AND(B926&lt;&gt;"",C915&lt;&gt;""),_6_5_0,IF(AND(B926&lt;&gt;"",ISNUMBER(B926),OR(Stage4EvaluationBegins=0,Stage4EvaluationBegins="")),"",""))),"")</f>
        <v/>
      </c>
      <c r="D937" s="94" t="str">
        <f>IF(AND(C937&lt;&gt;"", 'Cost Inputs'!$G$198&lt;&gt;""), 'Cost Inputs'!$G$198, "")</f>
        <v/>
      </c>
      <c r="E937" s="94" t="str">
        <f>IF(AND(C937&lt;&gt;"", 'Cost Inputs'!$H$198&lt;&gt;""), 'Cost Inputs'!$H$198, "")</f>
        <v/>
      </c>
      <c r="F937" s="492" t="str">
        <f>IF(AND(C937&lt;&gt;"", 'Cost Inputs'!$I$198&lt;&gt;""), 'Cost Inputs'!$I$198, "")</f>
        <v/>
      </c>
      <c r="G937" s="102" t="str">
        <f t="shared" si="496"/>
        <v/>
      </c>
      <c r="H937" s="492" t="str">
        <f>IF(AND(C937&lt;&gt;"", 'Cost Inputs'!$J$198&lt;&gt;""), 'Cost Inputs'!$J$198, "")</f>
        <v/>
      </c>
      <c r="I937" s="102" t="str">
        <f>IF($C937&lt;&gt;"",IF(AND($E937&lt;&gt;"",H937&lt;&gt;""), H937/$E937, 0),"")</f>
        <v/>
      </c>
      <c r="J937" s="492" t="str">
        <f>IF(AND(C937&lt;&gt;"",('Cost Inputs'!$I$198+'Cost Inputs'!$J$198+'Cost Inputs'!$K$198)&gt;0), 'Cost Inputs'!$I$198+'Cost Inputs'!$J$198+'Cost Inputs'!$K$198, "")</f>
        <v/>
      </c>
      <c r="K937" s="102" t="str">
        <f>IF($C937&lt;&gt;"",IF(AND($E937&lt;&gt;"",J937&lt;&gt;""), J937/$E937, 0),"")</f>
        <v/>
      </c>
      <c r="L937" s="94"/>
      <c r="M937" s="103"/>
      <c r="U937" s="492" t="str">
        <f>IF(ISNUMBER($B908), IF($C937&lt;&gt;"", IF('Cost Inputs'!$L$198="Y", $E937, IF('Cost Inputs'!$L$198="N", IF(ISNUMBER('Cost Inputs'!$M$198), $E937, ""),"")),""),"")</f>
        <v/>
      </c>
      <c r="V937" s="492" t="str">
        <f>IF(ISNUMBER($B908), IF($C937&lt;&gt;"", IF('Cost Inputs'!$L$198="Y", $E937, IF('Cost Inputs'!$L$198="N", IF(ISNUMBER('Cost Inputs'!$M$198), $E937, ""),"")),""),"")</f>
        <v/>
      </c>
      <c r="W937" s="492" t="str">
        <f>IF(ISNUMBER($B908), IF($C937&lt;&gt;"", IF('Cost Inputs'!$L$198="Y", $E937, IF('Cost Inputs'!$L$198="N", IF(ISNUMBER('Cost Inputs'!$M$198), $E937, ""),"")),""),"")</f>
        <v/>
      </c>
      <c r="X937" s="492" t="str">
        <f>IF(ISNUMBER($B908), IF($C937&lt;&gt;"", IF('Cost Inputs'!$L$198="Y", $E937, IF('Cost Inputs'!$L$198="N", IF(ISNUMBER('Cost Inputs'!$M$198), $E937, ""),"")),""),"")</f>
        <v/>
      </c>
      <c r="Y937" s="492" t="str">
        <f>IF(ISNUMBER($B908), IF($C937&lt;&gt;"", IF('Cost Inputs'!$L$198="Y", $E937, IF('Cost Inputs'!$L$198="N", IF(ISNUMBER('Cost Inputs'!$M$198), $E937, ""),"")),""),"")</f>
        <v/>
      </c>
      <c r="Z937" s="492" t="str">
        <f>IF(ISNUMBER($B908), IF($C937&lt;&gt;"", IF('Cost Inputs'!$L$198="Y", $E937, IF('Cost Inputs'!$L$198="N", IF(ISNUMBER('Cost Inputs'!$M$198), $E937, ""),"")),""),"")</f>
        <v/>
      </c>
      <c r="AA937" s="492" t="str">
        <f>IF(ISNUMBER($B908), IF($C937&lt;&gt;"", IF('Cost Inputs'!$L$198="Y", $E937, IF('Cost Inputs'!$L$198="N", IF(ISNUMBER('Cost Inputs'!$M$198), $E937, ""),"")),""),"")</f>
        <v/>
      </c>
      <c r="AB937" s="492" t="str">
        <f>IF(ISNUMBER($B908), IF($C937&lt;&gt;"", IF('Cost Inputs'!$L$198="Y", $E937, IF('Cost Inputs'!$L$198="N", IF(ISNUMBER('Cost Inputs'!$M$198), $E937, ""),"")),""),"")</f>
        <v/>
      </c>
      <c r="AC937" s="492" t="str">
        <f>IF(ISNUMBER($B908), IF($C937&lt;&gt;"", IF('Cost Inputs'!$L$198="Y", $E937, IF('Cost Inputs'!$L$198="N", IF(ISNUMBER('Cost Inputs'!$M$198), $E937, ""),"")),""),"")</f>
        <v/>
      </c>
      <c r="AD937" s="492" t="str">
        <f>IF(ISNUMBER($B908), IF($C937&lt;&gt;"", IF('Cost Inputs'!$L$198="Y", $E937, IF('Cost Inputs'!$L$198="N", IF(ISNUMBER('Cost Inputs'!$M$198), $E937, ""),"")),""),"")</f>
        <v/>
      </c>
    </row>
    <row r="938" spans="1:30" x14ac:dyDescent="0.25">
      <c r="A938" s="518"/>
      <c r="B938" s="504"/>
      <c r="C938" s="521"/>
      <c r="D938" s="94" t="str">
        <f>IF(AND(C937&lt;&gt;"", 'Cost Inputs'!$G$199&lt;&gt;""), 'Cost Inputs'!$G$199, "")</f>
        <v/>
      </c>
      <c r="E938" s="94" t="str">
        <f>IF(AND(C937&lt;&gt;"", 'Cost Inputs'!$H$199&lt;&gt;""), 'Cost Inputs'!$H$199, "")</f>
        <v/>
      </c>
      <c r="F938" s="492"/>
      <c r="G938" s="102" t="str">
        <f t="shared" si="496"/>
        <v/>
      </c>
      <c r="H938" s="492"/>
      <c r="I938" s="102" t="str">
        <f>IF($C937&lt;&gt;"", IF(AND($E938&lt;&gt;"", H937&lt;&gt;""), H937/($E937*$E938), 0), "")</f>
        <v/>
      </c>
      <c r="J938" s="492" t="str">
        <f>IF(AND(C938&lt;&gt;"",('Cost Inputs'!$I$86+'Cost Inputs'!$J$86+'Cost Inputs'!$K$86)&gt;0), 'Cost Inputs'!$I$86+'Cost Inputs'!$J$86+'Cost Inputs'!$K$86, "")</f>
        <v/>
      </c>
      <c r="K938" s="102" t="str">
        <f>IF($C937&lt;&gt;"", IF(AND($E938&lt;&gt;"", J937&lt;&gt;""), J937/($E937*$E938), 0), "")</f>
        <v/>
      </c>
      <c r="L938" s="94"/>
      <c r="M938" s="103"/>
      <c r="U938" s="492" t="str">
        <f>IF(ISNUMBER($B$776), IF($C938&lt;&gt;"", IF('Cost Inputs'!$L331="Y", $E938, IF('Cost Inputs'!$L331="N", IF(ISNUMBER('Cost Inputs'!$M331), $E938, ""),"")),""),"")</f>
        <v/>
      </c>
      <c r="V938" s="492" t="str">
        <f>IF(ISNUMBER($B$776), IF($C938&lt;&gt;"", IF('Cost Inputs'!$L331="Y", $E938, IF('Cost Inputs'!$L331="N", IF(ISNUMBER('Cost Inputs'!$M331), $E938, ""),"")),""),"")</f>
        <v/>
      </c>
      <c r="W938" s="492" t="str">
        <f>IF(ISNUMBER($B$776), IF($C938&lt;&gt;"", IF('Cost Inputs'!$L331="Y", $E938, IF('Cost Inputs'!$L331="N", IF(ISNUMBER('Cost Inputs'!$M331), $E938, ""),"")),""),"")</f>
        <v/>
      </c>
      <c r="X938" s="492" t="str">
        <f>IF(ISNUMBER($B$776), IF($C938&lt;&gt;"", IF('Cost Inputs'!$L331="Y", $E938, IF('Cost Inputs'!$L331="N", IF(ISNUMBER('Cost Inputs'!$M331), $E938, ""),"")),""),"")</f>
        <v/>
      </c>
      <c r="Y938" s="492" t="str">
        <f>IF(ISNUMBER($B$776), IF($C938&lt;&gt;"", IF('Cost Inputs'!$L331="Y", $E938, IF('Cost Inputs'!$L331="N", IF(ISNUMBER('Cost Inputs'!$M331), $E938, ""),"")),""),"")</f>
        <v/>
      </c>
      <c r="Z938" s="492" t="str">
        <f>IF(ISNUMBER($B$776), IF($C938&lt;&gt;"", IF('Cost Inputs'!$L331="Y", $E938, IF('Cost Inputs'!$L331="N", IF(ISNUMBER('Cost Inputs'!$M331), $E938, ""),"")),""),"")</f>
        <v/>
      </c>
      <c r="AA938" s="492" t="str">
        <f>IF(ISNUMBER($B$776), IF($C938&lt;&gt;"", IF('Cost Inputs'!$L331="Y", $E938, IF('Cost Inputs'!$L331="N", IF(ISNUMBER('Cost Inputs'!$M331), $E938, ""),"")),""),"")</f>
        <v/>
      </c>
      <c r="AB938" s="492" t="str">
        <f>IF(ISNUMBER($B$776), IF($C938&lt;&gt;"", IF('Cost Inputs'!$L331="Y", $E938, IF('Cost Inputs'!$L331="N", IF(ISNUMBER('Cost Inputs'!$M331), $E938, ""),"")),""),"")</f>
        <v/>
      </c>
      <c r="AC938" s="492" t="str">
        <f>IF(ISNUMBER($B$776), IF($C938&lt;&gt;"", IF('Cost Inputs'!$L331="Y", $E938, IF('Cost Inputs'!$L331="N", IF(ISNUMBER('Cost Inputs'!$M331), $E938, ""),"")),""),"")</f>
        <v/>
      </c>
      <c r="AD938" s="492" t="str">
        <f>IF(ISNUMBER($B$776), IF($C938&lt;&gt;"", IF('Cost Inputs'!$L331="Y", $E938, IF('Cost Inputs'!$L331="N", IF(ISNUMBER('Cost Inputs'!$M331), $E938, ""),"")),""),"")</f>
        <v/>
      </c>
    </row>
    <row r="939" spans="1:30" x14ac:dyDescent="0.25">
      <c r="A939" s="518"/>
      <c r="B939" s="504"/>
      <c r="C939" s="376" t="str">
        <f>IF(AND(ISNUMBER(B908), C937&lt;&gt;"", OR('Cost Inputs'!$H$200&lt;&gt;"", 'Cost Inputs'!$I$200&lt;&gt;"", 'Cost Inputs'!$J$200&lt;&gt;"")), _6_5_1, "")</f>
        <v/>
      </c>
      <c r="D939" s="17" t="str">
        <f>IF(AND(C939&lt;&gt;"", 'Cost Inputs'!$G$200&lt;&gt;""), 'Cost Inputs'!$G$200, "")</f>
        <v/>
      </c>
      <c r="E939" s="17" t="str">
        <f>IF(AND(C939&lt;&gt;"", 'Cost Inputs'!$H$200&lt;&gt;""), 'Cost Inputs'!$H$200, "")</f>
        <v/>
      </c>
      <c r="F939" s="493" t="str">
        <f>IF(AND(C939&lt;&gt;"", 'Cost Inputs'!$I$200&lt;&gt;""), 'Cost Inputs'!$I$200, "")</f>
        <v/>
      </c>
      <c r="G939" s="105" t="str">
        <f t="shared" si="496"/>
        <v/>
      </c>
      <c r="H939" s="493" t="str">
        <f>IF(AND(C939&lt;&gt;"", 'Cost Inputs'!$J$200&lt;&gt;""), 'Cost Inputs'!$J$200, "")</f>
        <v/>
      </c>
      <c r="I939" s="105" t="str">
        <f>IF($C939&lt;&gt;"",IF(AND($E939&lt;&gt;"",H939&lt;&gt;""), H939/$E939, 0),"")</f>
        <v/>
      </c>
      <c r="J939" s="493" t="str">
        <f>IF(AND(C939&lt;&gt;"",('Cost Inputs'!$I$200+'Cost Inputs'!$J$200+'Cost Inputs'!$K$200)&gt;0), 'Cost Inputs'!$I$200+'Cost Inputs'!$J$200+'Cost Inputs'!$K$200, "")</f>
        <v/>
      </c>
      <c r="K939" s="105" t="str">
        <f>IF($C939&lt;&gt;"",IF(AND($E939&lt;&gt;"",J939&lt;&gt;""), J939/$E939, 0),"")</f>
        <v/>
      </c>
      <c r="M939" s="106"/>
      <c r="U939" s="493" t="str">
        <f>IF(ISNUMBER($B908), IF($C939&lt;&gt;"", IF('Cost Inputs'!$L$200="Y", $E939, IF('Cost Inputs'!$L$200="N", IF(ISNUMBER('Cost Inputs'!$M$200), $E939, ""),"")),""),"")</f>
        <v/>
      </c>
      <c r="V939" s="493" t="str">
        <f>IF(ISNUMBER($B908), IF($C939&lt;&gt;"", IF('Cost Inputs'!$L$200="Y", $E939, IF('Cost Inputs'!$L$200="N", IF(ISNUMBER('Cost Inputs'!$M$200), $E939, ""),"")),""),"")</f>
        <v/>
      </c>
      <c r="W939" s="493" t="str">
        <f>IF(ISNUMBER($B908), IF($C939&lt;&gt;"", IF('Cost Inputs'!$L$200="Y", $E939, IF('Cost Inputs'!$L$200="N", IF(ISNUMBER('Cost Inputs'!$M$200), $E939, ""),"")),""),"")</f>
        <v/>
      </c>
      <c r="X939" s="493" t="str">
        <f>IF(ISNUMBER($B908), IF($C939&lt;&gt;"", IF('Cost Inputs'!$L$200="Y", $E939, IF('Cost Inputs'!$L$200="N", IF(ISNUMBER('Cost Inputs'!$M$200), $E939, ""),"")),""),"")</f>
        <v/>
      </c>
      <c r="Y939" s="493" t="str">
        <f>IF(ISNUMBER($B908), IF($C939&lt;&gt;"", IF('Cost Inputs'!$L$200="Y", $E939, IF('Cost Inputs'!$L$200="N", IF(ISNUMBER('Cost Inputs'!$M$200), $E939, ""),"")),""),"")</f>
        <v/>
      </c>
      <c r="Z939" s="493" t="str">
        <f>IF(ISNUMBER($B908), IF($C939&lt;&gt;"", IF('Cost Inputs'!$L$200="Y", $E939, IF('Cost Inputs'!$L$200="N", IF(ISNUMBER('Cost Inputs'!$M$200), $E939, ""),"")),""),"")</f>
        <v/>
      </c>
      <c r="AA939" s="493" t="str">
        <f>IF(ISNUMBER($B908), IF($C939&lt;&gt;"", IF('Cost Inputs'!$L$200="Y", $E939, IF('Cost Inputs'!$L$200="N", IF(ISNUMBER('Cost Inputs'!$M$200), $E939, ""),"")),""),"")</f>
        <v/>
      </c>
      <c r="AB939" s="493" t="str">
        <f>IF(ISNUMBER($B908), IF($C939&lt;&gt;"", IF('Cost Inputs'!$L$200="Y", $E939, IF('Cost Inputs'!$L$200="N", IF(ISNUMBER('Cost Inputs'!$M$200), $E939, ""),"")),""),"")</f>
        <v/>
      </c>
      <c r="AC939" s="493" t="str">
        <f>IF(ISNUMBER($B908), IF($C939&lt;&gt;"", IF('Cost Inputs'!$L$200="Y", $E939, IF('Cost Inputs'!$L$200="N", IF(ISNUMBER('Cost Inputs'!$M$200), $E939, ""),"")),""),"")</f>
        <v/>
      </c>
      <c r="AD939" s="493" t="str">
        <f>IF(ISNUMBER($B908), IF($C939&lt;&gt;"", IF('Cost Inputs'!$L$200="Y", $E939, IF('Cost Inputs'!$L$200="N", IF(ISNUMBER('Cost Inputs'!$M$200), $E939, ""),"")),""),"")</f>
        <v/>
      </c>
    </row>
    <row r="940" spans="1:30" x14ac:dyDescent="0.25">
      <c r="A940" s="518"/>
      <c r="B940" s="504"/>
      <c r="C940" s="376" t="str">
        <f>IF(AND(ISNUMBER(B922), OR('Cost Inputs'!$H$85&lt;&gt;"", 'Cost Inputs'!$I$85&lt;&gt;"", 'Cost Inputs'!$J$85&lt;&gt;"")), _3_5_1, "")</f>
        <v/>
      </c>
      <c r="D940" s="17" t="str">
        <f>IF(AND(C939&lt;&gt;"", 'Cost Inputs'!$G$201&lt;&gt;""), 'Cost Inputs'!$G$201, "")</f>
        <v/>
      </c>
      <c r="E940" s="17" t="str">
        <f>IF(AND(C939&lt;&gt;"", 'Cost Inputs'!$H$201&lt;&gt;""), 'Cost Inputs'!$H$201, "")</f>
        <v/>
      </c>
      <c r="F940" s="493"/>
      <c r="G940" s="105" t="str">
        <f t="shared" si="496"/>
        <v/>
      </c>
      <c r="H940" s="493"/>
      <c r="I940" s="105" t="str">
        <f>IF($C939&lt;&gt;"", IF(AND($E940&lt;&gt;"", H939&lt;&gt;""), H939/($E939*$E940), 0), "")</f>
        <v/>
      </c>
      <c r="J940" s="493" t="str">
        <f>IF(AND(C940&lt;&gt;"",('Cost Inputs'!$I$86+'Cost Inputs'!$J$86+'Cost Inputs'!$K$86)&gt;0), 'Cost Inputs'!$I$86+'Cost Inputs'!$J$86+'Cost Inputs'!$K$86, "")</f>
        <v/>
      </c>
      <c r="K940" s="105" t="str">
        <f>IF($C939&lt;&gt;"", IF(AND($E940&lt;&gt;"", J939&lt;&gt;""), J939/($E939*$E940), 0), "")</f>
        <v/>
      </c>
      <c r="M940" s="106"/>
      <c r="U940" s="493" t="str">
        <f>IF(ISNUMBER($B$776), IF($C940&lt;&gt;"", IF('Cost Inputs'!$L333="Y", $E940, IF('Cost Inputs'!$L333="N", IF(ISNUMBER('Cost Inputs'!$M333), $E940, ""),"")),""),"")</f>
        <v/>
      </c>
      <c r="V940" s="493" t="str">
        <f>IF(ISNUMBER($B$776), IF($C940&lt;&gt;"", IF('Cost Inputs'!$L333="Y", $E940, IF('Cost Inputs'!$L333="N", IF(ISNUMBER('Cost Inputs'!$M333), $E940, ""),"")),""),"")</f>
        <v/>
      </c>
      <c r="W940" s="493" t="str">
        <f>IF(ISNUMBER($B$776), IF($C940&lt;&gt;"", IF('Cost Inputs'!$L333="Y", $E940, IF('Cost Inputs'!$L333="N", IF(ISNUMBER('Cost Inputs'!$M333), $E940, ""),"")),""),"")</f>
        <v/>
      </c>
      <c r="X940" s="493" t="str">
        <f>IF(ISNUMBER($B$776), IF($C940&lt;&gt;"", IF('Cost Inputs'!$L333="Y", $E940, IF('Cost Inputs'!$L333="N", IF(ISNUMBER('Cost Inputs'!$M333), $E940, ""),"")),""),"")</f>
        <v/>
      </c>
      <c r="Y940" s="493" t="str">
        <f>IF(ISNUMBER($B$776), IF($C940&lt;&gt;"", IF('Cost Inputs'!$L333="Y", $E940, IF('Cost Inputs'!$L333="N", IF(ISNUMBER('Cost Inputs'!$M333), $E940, ""),"")),""),"")</f>
        <v/>
      </c>
      <c r="Z940" s="493" t="str">
        <f>IF(ISNUMBER($B$776), IF($C940&lt;&gt;"", IF('Cost Inputs'!$L333="Y", $E940, IF('Cost Inputs'!$L333="N", IF(ISNUMBER('Cost Inputs'!$M333), $E940, ""),"")),""),"")</f>
        <v/>
      </c>
      <c r="AA940" s="493" t="str">
        <f>IF(ISNUMBER($B$776), IF($C940&lt;&gt;"", IF('Cost Inputs'!$L333="Y", $E940, IF('Cost Inputs'!$L333="N", IF(ISNUMBER('Cost Inputs'!$M333), $E940, ""),"")),""),"")</f>
        <v/>
      </c>
      <c r="AB940" s="493" t="str">
        <f>IF(ISNUMBER($B$776), IF($C940&lt;&gt;"", IF('Cost Inputs'!$L333="Y", $E940, IF('Cost Inputs'!$L333="N", IF(ISNUMBER('Cost Inputs'!$M333), $E940, ""),"")),""),"")</f>
        <v/>
      </c>
      <c r="AC940" s="493" t="str">
        <f>IF(ISNUMBER($B$776), IF($C940&lt;&gt;"", IF('Cost Inputs'!$L333="Y", $E940, IF('Cost Inputs'!$L333="N", IF(ISNUMBER('Cost Inputs'!$M333), $E940, ""),"")),""),"")</f>
        <v/>
      </c>
      <c r="AD940" s="493" t="str">
        <f>IF(ISNUMBER($B$776), IF($C940&lt;&gt;"", IF('Cost Inputs'!$L333="Y", $E940, IF('Cost Inputs'!$L333="N", IF(ISNUMBER('Cost Inputs'!$M333), $E940, ""),"")),""),"")</f>
        <v/>
      </c>
    </row>
    <row r="941" spans="1:30" x14ac:dyDescent="0.25">
      <c r="A941" s="518"/>
      <c r="B941" s="504"/>
      <c r="C941" s="107" t="str">
        <f>IF(AND(ISNUMBER(B908), C937&lt;&gt;"", OR('Cost Inputs'!$H$202&lt;&gt;"", 'Cost Inputs'!$I$202&lt;&gt;"", 'Cost Inputs'!$J$202&lt;&gt;"")), _6_5_2, "")</f>
        <v/>
      </c>
      <c r="D941" s="93" t="str">
        <f>IF(AND(C941&lt;&gt;"", 'Cost Inputs'!$G$202&lt;&gt;""), 'Cost Inputs'!$G$202, "")</f>
        <v/>
      </c>
      <c r="E941" s="93" t="str">
        <f>IF(AND(C941&lt;&gt;"", 'Cost Inputs'!$H$202&lt;&gt;""), 'Cost Inputs'!$H$202, "")</f>
        <v/>
      </c>
      <c r="F941" s="93" t="str">
        <f>IF(AND(C941&lt;&gt;"", 'Cost Inputs'!$I$202&lt;&gt;""), 'Cost Inputs'!$I$202, "")</f>
        <v/>
      </c>
      <c r="G941" s="108" t="str">
        <f t="shared" si="496"/>
        <v/>
      </c>
      <c r="H941" s="93" t="str">
        <f>IF(AND(C941&lt;&gt;"", 'Cost Inputs'!$J$202&lt;&gt;""), 'Cost Inputs'!$J$202, "")</f>
        <v/>
      </c>
      <c r="I941" s="93" t="str">
        <f>IF($C941&lt;&gt;"", IF(AND($E941&lt;&gt;"", H941&lt;&gt;""), H941/$E941, 0),"")</f>
        <v/>
      </c>
      <c r="J941" s="93" t="str">
        <f>IF(AND(C941&lt;&gt;"",('Cost Inputs'!$I$202+'Cost Inputs'!$J$202+'Cost Inputs'!$K$202)&gt;0), 'Cost Inputs'!$I$202+'Cost Inputs'!$J$202+'Cost Inputs'!$K$202, "")</f>
        <v/>
      </c>
      <c r="K941" s="93" t="str">
        <f>IF($C941&lt;&gt;"", IF(AND($E941&lt;&gt;"", J941&lt;&gt;""), J941/$E941, 0),"")</f>
        <v/>
      </c>
      <c r="L941" s="93"/>
      <c r="M941" s="109"/>
      <c r="U941" s="93" t="str">
        <f>IF(ISNUMBER($B908), IF($C941&lt;&gt;"", IF('Cost Inputs'!$L$202="Y", $E941, IF('Cost Inputs'!$L$202="N", IF(ISNUMBER('Cost Inputs'!$M$202), $E941, ""),"")),""),"")</f>
        <v/>
      </c>
      <c r="V941" s="93" t="str">
        <f>IF(ISNUMBER($B908), IF($C941&lt;&gt;"", IF('Cost Inputs'!$L$202="Y", $E941, IF('Cost Inputs'!$L$202="N", IF(ISNUMBER('Cost Inputs'!$M$202), $E941, ""),"")),""),"")</f>
        <v/>
      </c>
      <c r="W941" s="93" t="str">
        <f>IF(ISNUMBER($B908), IF($C941&lt;&gt;"", IF('Cost Inputs'!$L$202="Y", $E941, IF('Cost Inputs'!$L$202="N", IF(ISNUMBER('Cost Inputs'!$M$202), $E941, ""),"")),""),"")</f>
        <v/>
      </c>
      <c r="X941" s="93" t="str">
        <f>IF(ISNUMBER($B908), IF($C941&lt;&gt;"", IF('Cost Inputs'!$L$202="Y", $E941, IF('Cost Inputs'!$L$202="N", IF(ISNUMBER('Cost Inputs'!$M$202), $E941, ""),"")),""),"")</f>
        <v/>
      </c>
      <c r="Y941" s="93" t="str">
        <f>IF(ISNUMBER($B908), IF($C941&lt;&gt;"", IF('Cost Inputs'!$L$202="Y", $E941, IF('Cost Inputs'!$L$202="N", IF(ISNUMBER('Cost Inputs'!$M$202), $E941, ""),"")),""),"")</f>
        <v/>
      </c>
      <c r="Z941" s="93" t="str">
        <f>IF(ISNUMBER($B908), IF($C941&lt;&gt;"", IF('Cost Inputs'!$L$202="Y", $E941, IF('Cost Inputs'!$L$202="N", IF(ISNUMBER('Cost Inputs'!$M$202), $E941, ""),"")),""),"")</f>
        <v/>
      </c>
      <c r="AA941" s="93" t="str">
        <f>IF(ISNUMBER($B908), IF($C941&lt;&gt;"", IF('Cost Inputs'!$L$202="Y", $E941, IF('Cost Inputs'!$L$202="N", IF(ISNUMBER('Cost Inputs'!$M$202), $E941, ""),"")),""),"")</f>
        <v/>
      </c>
      <c r="AB941" s="93" t="str">
        <f>IF(ISNUMBER($B908), IF($C941&lt;&gt;"", IF('Cost Inputs'!$L$202="Y", $E941, IF('Cost Inputs'!$L$202="N", IF(ISNUMBER('Cost Inputs'!$M$202), $E941, ""),"")),""),"")</f>
        <v/>
      </c>
      <c r="AC941" s="93" t="str">
        <f>IF(ISNUMBER($B908), IF($C941&lt;&gt;"", IF('Cost Inputs'!$L$202="Y", $E941, IF('Cost Inputs'!$L$202="N", IF(ISNUMBER('Cost Inputs'!$M$202), $E941, ""),"")),""),"")</f>
        <v/>
      </c>
      <c r="AD941" s="93" t="str">
        <f>IF(ISNUMBER($B908), IF($C941&lt;&gt;"", IF('Cost Inputs'!$L$202="Y", $E941, IF('Cost Inputs'!$L$202="N", IF(ISNUMBER('Cost Inputs'!$M$202), $E941, ""),"")),""),"")</f>
        <v/>
      </c>
    </row>
    <row r="942" spans="1:30" x14ac:dyDescent="0.25">
      <c r="A942" s="518"/>
      <c r="B942" s="504"/>
      <c r="C942" s="104" t="str">
        <f>IF(AND(ISNUMBER(B908), C937&lt;&gt;"", OR('Cost Inputs'!$H$203&lt;&gt;"", 'Cost Inputs'!$I$203&lt;&gt;"", 'Cost Inputs'!$J$203&lt;&gt;"")), _6_5_3, "")</f>
        <v/>
      </c>
      <c r="D942" s="17" t="str">
        <f>IF(AND(C942&lt;&gt;"", 'Cost Inputs'!$G$203&lt;&gt;""), 'Cost Inputs'!$G$203, "")</f>
        <v/>
      </c>
      <c r="E942" s="17" t="str">
        <f>IF(AND(C942&lt;&gt;"", 'Cost Inputs'!$H$203&lt;&gt;""), 'Cost Inputs'!$H$203, "")</f>
        <v/>
      </c>
      <c r="F942" s="17" t="str">
        <f>IF(AND(C942&lt;&gt;"", 'Cost Inputs'!$I$203&lt;&gt;""), 'Cost Inputs'!$I$203, "")</f>
        <v/>
      </c>
      <c r="G942" s="105" t="str">
        <f t="shared" si="496"/>
        <v/>
      </c>
      <c r="H942" s="17" t="str">
        <f>IF(AND(C942&lt;&gt;"", 'Cost Inputs'!$J$203&lt;&gt;""), 'Cost Inputs'!$J$203, "")</f>
        <v/>
      </c>
      <c r="I942" s="17" t="str">
        <f>IF($C942&lt;&gt;"", IF(AND($E942&lt;&gt;"", H942&lt;&gt;""), H942/$E942, 0),"")</f>
        <v/>
      </c>
      <c r="J942" s="17" t="str">
        <f>IF(AND(C942&lt;&gt;"",('Cost Inputs'!$I$203+'Cost Inputs'!$J$203+'Cost Inputs'!$K$203)&gt;0), 'Cost Inputs'!$I$203+'Cost Inputs'!$J$203+'Cost Inputs'!$K$203, "")</f>
        <v/>
      </c>
      <c r="K942" s="17" t="str">
        <f>IF($C942&lt;&gt;"", IF(AND($E942&lt;&gt;"", J942&lt;&gt;""), J942/$E942, 0),"")</f>
        <v/>
      </c>
      <c r="M942" s="106"/>
      <c r="U942" s="17" t="str">
        <f>IF(ISNUMBER($B908), IF($C942&lt;&gt;"", IF('Cost Inputs'!$L$203="Y", $E942, IF('Cost Inputs'!$L$203="N", IF(ISNUMBER('Cost Inputs'!$M$203), $E942, ""),"")),""),"")</f>
        <v/>
      </c>
      <c r="V942" s="17" t="str">
        <f>IF(ISNUMBER($B908), IF($C942&lt;&gt;"", IF('Cost Inputs'!$L$203="Y", $E942, IF('Cost Inputs'!$L$203="N", IF(ISNUMBER('Cost Inputs'!$M$203), $E942, ""),"")),""),"")</f>
        <v/>
      </c>
      <c r="W942" s="17" t="str">
        <f>IF(ISNUMBER($B908), IF($C942&lt;&gt;"", IF('Cost Inputs'!$L$203="Y", $E942, IF('Cost Inputs'!$L$203="N", IF(ISNUMBER('Cost Inputs'!$M$203), $E942, ""),"")),""),"")</f>
        <v/>
      </c>
      <c r="X942" s="17" t="str">
        <f>IF(ISNUMBER($B908), IF($C942&lt;&gt;"", IF('Cost Inputs'!$L$203="Y", $E942, IF('Cost Inputs'!$L$203="N", IF(ISNUMBER('Cost Inputs'!$M$203), $E942, ""),"")),""),"")</f>
        <v/>
      </c>
      <c r="Y942" s="17" t="str">
        <f>IF(ISNUMBER($B908), IF($C942&lt;&gt;"", IF('Cost Inputs'!$L$203="Y", $E942, IF('Cost Inputs'!$L$203="N", IF(ISNUMBER('Cost Inputs'!$M$203), $E942, ""),"")),""),"")</f>
        <v/>
      </c>
      <c r="Z942" s="17" t="str">
        <f>IF(ISNUMBER($B908), IF($C942&lt;&gt;"", IF('Cost Inputs'!$L$203="Y", $E942, IF('Cost Inputs'!$L$203="N", IF(ISNUMBER('Cost Inputs'!$M$203), $E942, ""),"")),""),"")</f>
        <v/>
      </c>
      <c r="AA942" s="17" t="str">
        <f>IF(ISNUMBER($B908), IF($C942&lt;&gt;"", IF('Cost Inputs'!$L$203="Y", $E942, IF('Cost Inputs'!$L$203="N", IF(ISNUMBER('Cost Inputs'!$M$203), $E942, ""),"")),""),"")</f>
        <v/>
      </c>
      <c r="AB942" s="17" t="str">
        <f>IF(ISNUMBER($B908), IF($C942&lt;&gt;"", IF('Cost Inputs'!$L$203="Y", $E942, IF('Cost Inputs'!$L$203="N", IF(ISNUMBER('Cost Inputs'!$M$203), $E942, ""),"")),""),"")</f>
        <v/>
      </c>
      <c r="AC942" s="17" t="str">
        <f>IF(ISNUMBER($B908), IF($C942&lt;&gt;"", IF('Cost Inputs'!$L$203="Y", $E942, IF('Cost Inputs'!$L$203="N", IF(ISNUMBER('Cost Inputs'!$M$203), $E942, ""),"")),""),"")</f>
        <v/>
      </c>
      <c r="AD942" s="17" t="str">
        <f>IF(ISNUMBER($B908), IF($C942&lt;&gt;"", IF('Cost Inputs'!$L$203="Y", $E942, IF('Cost Inputs'!$L$203="N", IF(ISNUMBER('Cost Inputs'!$M$203), $E942, ""),"")),""),"")</f>
        <v/>
      </c>
    </row>
    <row r="943" spans="1:30" x14ac:dyDescent="0.25">
      <c r="A943" s="518"/>
      <c r="B943" s="504"/>
      <c r="C943" s="107" t="str">
        <f>IF(AND(ISNUMBER(B908), C937&lt;&gt;"", OR('Cost Inputs'!$H$204&lt;&gt;"", 'Cost Inputs'!$I$204&lt;&gt;"", 'Cost Inputs'!$J$204&lt;&gt;"")), _6_5_4, "")</f>
        <v/>
      </c>
      <c r="D943" s="93" t="str">
        <f>IF(AND(C943&lt;&gt;"", 'Cost Inputs'!$G$204&lt;&gt;""), 'Cost Inputs'!$G$204, "")</f>
        <v/>
      </c>
      <c r="E943" s="93" t="str">
        <f>IF(AND(C943&lt;&gt;"", 'Cost Inputs'!$H$204&lt;&gt;""), 'Cost Inputs'!$H$204, "")</f>
        <v/>
      </c>
      <c r="F943" s="93" t="str">
        <f>IF(AND(C943&lt;&gt;"", 'Cost Inputs'!$I$204&lt;&gt;""), 'Cost Inputs'!$I$204, "")</f>
        <v/>
      </c>
      <c r="G943" s="108" t="str">
        <f t="shared" si="496"/>
        <v/>
      </c>
      <c r="H943" s="93" t="str">
        <f>IF(AND(C943&lt;&gt;"", 'Cost Inputs'!$J$204&lt;&gt;""), 'Cost Inputs'!$J$204, "")</f>
        <v/>
      </c>
      <c r="I943" s="93" t="str">
        <f>IF($C943&lt;&gt;"", IF(AND($E943&lt;&gt;"", H943&lt;&gt;""), H943/$E943, 0),"")</f>
        <v/>
      </c>
      <c r="J943" s="93" t="str">
        <f>IF(AND(C943&lt;&gt;"",('Cost Inputs'!$I$204+'Cost Inputs'!$J$204+'Cost Inputs'!$K$204)&gt;0), 'Cost Inputs'!$I$204+'Cost Inputs'!$J$204+'Cost Inputs'!$K$204, "")</f>
        <v/>
      </c>
      <c r="K943" s="93" t="str">
        <f>IF($C943&lt;&gt;"", IF(AND($E943&lt;&gt;"", J943&lt;&gt;""), J943/$E943, 0),"")</f>
        <v/>
      </c>
      <c r="L943" s="93"/>
      <c r="M943" s="109"/>
      <c r="U943" s="93" t="str">
        <f>IF(ISNUMBER($B908), IF($C943&lt;&gt;"", IF('Cost Inputs'!$L$204="Y", $E943, IF('Cost Inputs'!$L$204="N", IF(ISNUMBER('Cost Inputs'!$M$204), $E943, ""),"")),""),"")</f>
        <v/>
      </c>
      <c r="V943" s="93" t="str">
        <f>IF(ISNUMBER($B908), IF($C943&lt;&gt;"", IF('Cost Inputs'!$L$204="Y", $E943, IF('Cost Inputs'!$L$204="N", IF(ISNUMBER('Cost Inputs'!$M$204), $E943, ""),"")),""),"")</f>
        <v/>
      </c>
      <c r="W943" s="93" t="str">
        <f>IF(ISNUMBER($B908), IF($C943&lt;&gt;"", IF('Cost Inputs'!$L$204="Y", $E943, IF('Cost Inputs'!$L$204="N", IF(ISNUMBER('Cost Inputs'!$M$204), $E943, ""),"")),""),"")</f>
        <v/>
      </c>
      <c r="X943" s="93" t="str">
        <f>IF(ISNUMBER($B908), IF($C943&lt;&gt;"", IF('Cost Inputs'!$L$204="Y", $E943, IF('Cost Inputs'!$L$204="N", IF(ISNUMBER('Cost Inputs'!$M$204), $E943, ""),"")),""),"")</f>
        <v/>
      </c>
      <c r="Y943" s="93" t="str">
        <f>IF(ISNUMBER($B908), IF($C943&lt;&gt;"", IF('Cost Inputs'!$L$204="Y", $E943, IF('Cost Inputs'!$L$204="N", IF(ISNUMBER('Cost Inputs'!$M$204), $E943, ""),"")),""),"")</f>
        <v/>
      </c>
      <c r="Z943" s="93" t="str">
        <f>IF(ISNUMBER($B908), IF($C943&lt;&gt;"", IF('Cost Inputs'!$L$204="Y", $E943, IF('Cost Inputs'!$L$204="N", IF(ISNUMBER('Cost Inputs'!$M$204), $E943, ""),"")),""),"")</f>
        <v/>
      </c>
      <c r="AA943" s="93" t="str">
        <f>IF(ISNUMBER($B908), IF($C943&lt;&gt;"", IF('Cost Inputs'!$L$204="Y", $E943, IF('Cost Inputs'!$L$204="N", IF(ISNUMBER('Cost Inputs'!$M$204), $E943, ""),"")),""),"")</f>
        <v/>
      </c>
      <c r="AB943" s="93" t="str">
        <f>IF(ISNUMBER($B908), IF($C943&lt;&gt;"", IF('Cost Inputs'!$L$204="Y", $E943, IF('Cost Inputs'!$L$204="N", IF(ISNUMBER('Cost Inputs'!$M$204), $E943, ""),"")),""),"")</f>
        <v/>
      </c>
      <c r="AC943" s="93" t="str">
        <f>IF(ISNUMBER($B908), IF($C943&lt;&gt;"", IF('Cost Inputs'!$L$204="Y", $E943, IF('Cost Inputs'!$L$204="N", IF(ISNUMBER('Cost Inputs'!$M$204), $E943, ""),"")),""),"")</f>
        <v/>
      </c>
      <c r="AD943" s="93" t="str">
        <f>IF(ISNUMBER($B908), IF($C943&lt;&gt;"", IF('Cost Inputs'!$L$204="Y", $E943, IF('Cost Inputs'!$L$204="N", IF(ISNUMBER('Cost Inputs'!$M$204), $E943, ""),"")),""),"")</f>
        <v/>
      </c>
    </row>
    <row r="944" spans="1:30" x14ac:dyDescent="0.25">
      <c r="A944" s="518"/>
      <c r="B944" s="504"/>
      <c r="C944" s="104" t="str">
        <f>IF(AND(ISNUMBER(B908), C937&lt;&gt;"", OR('Cost Inputs'!$H$205&lt;&gt;"", 'Cost Inputs'!$I$205&lt;&gt;"", 'Cost Inputs'!$J$205&lt;&gt;"")), _6_5_5, "")</f>
        <v/>
      </c>
      <c r="D944" s="17" t="str">
        <f>IF(AND(C944&lt;&gt;"", 'Cost Inputs'!$G$205&lt;&gt;""), 'Cost Inputs'!$G$205, "")</f>
        <v/>
      </c>
      <c r="E944" s="17" t="str">
        <f>IF(AND(C944&lt;&gt;"", 'Cost Inputs'!$H$205&lt;&gt;""), 'Cost Inputs'!$H$205, "")</f>
        <v/>
      </c>
      <c r="F944" s="17" t="str">
        <f>IF(AND(C944&lt;&gt;"", 'Cost Inputs'!$I$205&lt;&gt;""), 'Cost Inputs'!$I$205, "")</f>
        <v/>
      </c>
      <c r="G944" s="105" t="str">
        <f t="shared" si="496"/>
        <v/>
      </c>
      <c r="H944" s="17" t="str">
        <f>IF(AND(C944&lt;&gt;"", 'Cost Inputs'!$J$205&lt;&gt;""), 'Cost Inputs'!$J$205, "")</f>
        <v/>
      </c>
      <c r="I944" s="17" t="str">
        <f>IF($C944&lt;&gt;"", IF(AND($E944&lt;&gt;"", H944&lt;&gt;""), H944/$E944, 0),"")</f>
        <v/>
      </c>
      <c r="J944" s="17" t="str">
        <f>IF(AND(C944&lt;&gt;"",('Cost Inputs'!$I$205+'Cost Inputs'!$J$205+'Cost Inputs'!$K$205)&gt;0), 'Cost Inputs'!$I$205+'Cost Inputs'!$J$205+'Cost Inputs'!$K$205, "")</f>
        <v/>
      </c>
      <c r="K944" s="17" t="str">
        <f>IF($C944&lt;&gt;"", IF(AND($E944&lt;&gt;"", J944&lt;&gt;""), J944/$E944, 0),"")</f>
        <v/>
      </c>
      <c r="M944" s="106"/>
      <c r="U944" s="17" t="str">
        <f>IF(ISNUMBER($B908), IF($C944&lt;&gt;"", IF('Cost Inputs'!$L$205="Y", $E944, IF('Cost Inputs'!$L$205="N", IF(ISNUMBER('Cost Inputs'!$M$205), $E944, ""),"")),""),"")</f>
        <v/>
      </c>
      <c r="V944" s="17" t="str">
        <f>IF(ISNUMBER($B908), IF($C944&lt;&gt;"", IF('Cost Inputs'!$L$205="Y", $E944, IF('Cost Inputs'!$L$205="N", IF(ISNUMBER('Cost Inputs'!$M$205), $E944, ""),"")),""),"")</f>
        <v/>
      </c>
      <c r="W944" s="17" t="str">
        <f>IF(ISNUMBER($B908), IF($C944&lt;&gt;"", IF('Cost Inputs'!$L$205="Y", $E944, IF('Cost Inputs'!$L$205="N", IF(ISNUMBER('Cost Inputs'!$M$205), $E944, ""),"")),""),"")</f>
        <v/>
      </c>
      <c r="X944" s="17" t="str">
        <f>IF(ISNUMBER($B908), IF($C944&lt;&gt;"", IF('Cost Inputs'!$L$205="Y", $E944, IF('Cost Inputs'!$L$205="N", IF(ISNUMBER('Cost Inputs'!$M$205), $E944, ""),"")),""),"")</f>
        <v/>
      </c>
      <c r="Y944" s="17" t="str">
        <f>IF(ISNUMBER($B908), IF($C944&lt;&gt;"", IF('Cost Inputs'!$L$205="Y", $E944, IF('Cost Inputs'!$L$205="N", IF(ISNUMBER('Cost Inputs'!$M$205), $E944, ""),"")),""),"")</f>
        <v/>
      </c>
      <c r="Z944" s="17" t="str">
        <f>IF(ISNUMBER($B908), IF($C944&lt;&gt;"", IF('Cost Inputs'!$L$205="Y", $E944, IF('Cost Inputs'!$L$205="N", IF(ISNUMBER('Cost Inputs'!$M$205), $E944, ""),"")),""),"")</f>
        <v/>
      </c>
      <c r="AA944" s="17" t="str">
        <f>IF(ISNUMBER($B908), IF($C944&lt;&gt;"", IF('Cost Inputs'!$L$205="Y", $E944, IF('Cost Inputs'!$L$205="N", IF(ISNUMBER('Cost Inputs'!$M$205), $E944, ""),"")),""),"")</f>
        <v/>
      </c>
      <c r="AB944" s="17" t="str">
        <f>IF(ISNUMBER($B908), IF($C944&lt;&gt;"", IF('Cost Inputs'!$L$205="Y", $E944, IF('Cost Inputs'!$L$205="N", IF(ISNUMBER('Cost Inputs'!$M$205), $E944, ""),"")),""),"")</f>
        <v/>
      </c>
      <c r="AC944" s="17" t="str">
        <f>IF(ISNUMBER($B908), IF($C944&lt;&gt;"", IF('Cost Inputs'!$L$205="Y", $E944, IF('Cost Inputs'!$L$205="N", IF(ISNUMBER('Cost Inputs'!$M$205), $E944, ""),"")),""),"")</f>
        <v/>
      </c>
      <c r="AD944" s="17" t="str">
        <f>IF(ISNUMBER($B908), IF($C944&lt;&gt;"", IF('Cost Inputs'!$L$205="Y", $E944, IF('Cost Inputs'!$L$205="N", IF(ISNUMBER('Cost Inputs'!$M$205), $E944, ""),"")),""),"")</f>
        <v/>
      </c>
    </row>
    <row r="945" spans="1:31" x14ac:dyDescent="0.25">
      <c r="A945" s="518"/>
      <c r="B945" s="504"/>
      <c r="C945" s="110" t="str">
        <f>IF(ISNUMBER(B908), _6_6_0, "")</f>
        <v/>
      </c>
      <c r="D945" s="94" t="str">
        <f>IF(AND(C945&lt;&gt;"", 'Cost Inputs'!$G$206&lt;&gt;""), 'Cost Inputs'!$G$206, "")</f>
        <v/>
      </c>
      <c r="E945" s="94" t="str">
        <f>IF(AND(C945&lt;&gt;"", 'Cost Inputs'!$H$206&lt;&gt;""), 'Cost Inputs'!$H$206, "")</f>
        <v/>
      </c>
      <c r="F945" s="94" t="str">
        <f>IF(AND(C945&lt;&gt;"", 'Cost Inputs'!$I$206&lt;&gt;""), 'Cost Inputs'!$I$206, "")</f>
        <v/>
      </c>
      <c r="G945" s="102" t="str">
        <f t="shared" si="496"/>
        <v/>
      </c>
      <c r="H945" s="94" t="str">
        <f>IF(AND(C945&lt;&gt;"", 'Cost Inputs'!$J$206&lt;&gt;""), 'Cost Inputs'!$J$206, "")</f>
        <v/>
      </c>
      <c r="I945" s="102" t="str">
        <f>IF($C945&lt;&gt;"",IF(AND($E945&lt;&gt;"",H945&lt;&gt;""), H945/$E945, 0),"")</f>
        <v/>
      </c>
      <c r="J945" s="94" t="str">
        <f>IF(AND(C945&lt;&gt;"",('Cost Inputs'!$I$206+'Cost Inputs'!$J$206+'Cost Inputs'!$K$206)&gt;0), 'Cost Inputs'!$I$206+'Cost Inputs'!$J$206+'Cost Inputs'!$K$206, "")</f>
        <v/>
      </c>
      <c r="K945" s="102" t="str">
        <f>IF($C945&lt;&gt;"",IF(AND($E945&lt;&gt;"",J945&lt;&gt;""), J945/$E945, 0),"")</f>
        <v/>
      </c>
      <c r="L945" s="94"/>
      <c r="M945" s="103"/>
      <c r="U945" s="94" t="str">
        <f>IF(ISNUMBER($B908), IF($C945&lt;&gt;"", IF('Cost Inputs'!$L$206="Y", $E945, IF('Cost Inputs'!$L$206="N", IF(ISNUMBER('Cost Inputs'!$M$206), $E945, ""),"")),""),"")</f>
        <v/>
      </c>
      <c r="V945" s="94" t="str">
        <f>IF(ISNUMBER($B908), IF($C945&lt;&gt;"", IF('Cost Inputs'!$L$206="Y", $E945, IF('Cost Inputs'!$L$206="N", IF(ISNUMBER('Cost Inputs'!$M$206), $E945, ""),"")),""),"")</f>
        <v/>
      </c>
      <c r="W945" s="94" t="str">
        <f>IF(ISNUMBER($B908), IF($C945&lt;&gt;"", IF('Cost Inputs'!$L$206="Y", $E945, IF('Cost Inputs'!$L$206="N", IF(ISNUMBER('Cost Inputs'!$M$206), $E945, ""),"")),""),"")</f>
        <v/>
      </c>
      <c r="X945" s="94" t="str">
        <f>IF(ISNUMBER($B908), IF($C945&lt;&gt;"", IF('Cost Inputs'!$L$206="Y", $E945, IF('Cost Inputs'!$L$206="N", IF(ISNUMBER('Cost Inputs'!$M$206), $E945, ""),"")),""),"")</f>
        <v/>
      </c>
      <c r="Y945" s="94" t="str">
        <f>IF(ISNUMBER($B908), IF($C945&lt;&gt;"", IF('Cost Inputs'!$L$206="Y", $E945, IF('Cost Inputs'!$L$206="N", IF(ISNUMBER('Cost Inputs'!$M$206), $E945, ""),"")),""),"")</f>
        <v/>
      </c>
      <c r="Z945" s="94" t="str">
        <f>IF(ISNUMBER($B908), IF($C945&lt;&gt;"", IF('Cost Inputs'!$L$206="Y", $E945, IF('Cost Inputs'!$L$206="N", IF(ISNUMBER('Cost Inputs'!$M$206), $E945, ""),"")),""),"")</f>
        <v/>
      </c>
      <c r="AA945" s="94" t="str">
        <f>IF(ISNUMBER($B908), IF($C945&lt;&gt;"", IF('Cost Inputs'!$L$206="Y", $E945, IF('Cost Inputs'!$L$206="N", IF(ISNUMBER('Cost Inputs'!$M$206), $E945, ""),"")),""),"")</f>
        <v/>
      </c>
      <c r="AB945" s="94" t="str">
        <f>IF(ISNUMBER($B908), IF($C945&lt;&gt;"", IF('Cost Inputs'!$L$206="Y", $E945, IF('Cost Inputs'!$L$206="N", IF(ISNUMBER('Cost Inputs'!$M$206), $E945, ""),"")),""),"")</f>
        <v/>
      </c>
      <c r="AC945" s="94" t="str">
        <f>IF(ISNUMBER($B908), IF($C945&lt;&gt;"", IF('Cost Inputs'!$L$206="Y", $E945, IF('Cost Inputs'!$L$206="N", IF(ISNUMBER('Cost Inputs'!$M$206), $E945, ""),"")),""),"")</f>
        <v/>
      </c>
      <c r="AD945" s="94" t="str">
        <f>IF(ISNUMBER($B908), IF($C945&lt;&gt;"", IF('Cost Inputs'!$L$206="Y", $E945, IF('Cost Inputs'!$L$206="N", IF(ISNUMBER('Cost Inputs'!$M$206), $E945, ""),"")),""),"")</f>
        <v/>
      </c>
    </row>
    <row r="946" spans="1:31" x14ac:dyDescent="0.25">
      <c r="A946" s="518"/>
      <c r="B946" s="504"/>
      <c r="C946" s="104" t="str">
        <f>IF(AND(ISNUMBER(B908), OR('Cost Inputs'!$H$207&lt;&gt;"", 'Cost Inputs'!$I$207&lt;&gt;"", 'Cost Inputs'!$J$207&lt;&gt;"")), _6_6_1, "")</f>
        <v/>
      </c>
      <c r="D946" s="17" t="str">
        <f>IF(AND(C946&lt;&gt;"", 'Cost Inputs'!$G$207&lt;&gt;""), 'Cost Inputs'!$G$207, "")</f>
        <v/>
      </c>
      <c r="E946" s="17" t="str">
        <f>IF(AND(C946&lt;&gt;"", 'Cost Inputs'!$H$207&lt;&gt;""), 'Cost Inputs'!$H$207, "")</f>
        <v/>
      </c>
      <c r="F946" s="17" t="str">
        <f>IF(AND(C946&lt;&gt;"", 'Cost Inputs'!$I$207&lt;&gt;""), 'Cost Inputs'!$I$207, "")</f>
        <v/>
      </c>
      <c r="G946" s="105" t="str">
        <f t="shared" si="496"/>
        <v/>
      </c>
      <c r="H946" s="17" t="str">
        <f>IF(AND(C946&lt;&gt;"", 'Cost Inputs'!$J$207&lt;&gt;""), 'Cost Inputs'!$J$207, "")</f>
        <v/>
      </c>
      <c r="I946" s="17" t="str">
        <f>IF($C946&lt;&gt;"", IF(AND($E946&lt;&gt;"", H946&lt;&gt;""), H946/$E946, 0),"")</f>
        <v/>
      </c>
      <c r="J946" s="17" t="str">
        <f>IF(AND(C946&lt;&gt;"",('Cost Inputs'!$I$207+'Cost Inputs'!$J$207+'Cost Inputs'!$K$207)&gt;0), 'Cost Inputs'!$I$207+'Cost Inputs'!$J$207+'Cost Inputs'!$K$207, "")</f>
        <v/>
      </c>
      <c r="K946" s="17" t="str">
        <f>IF($C946&lt;&gt;"", IF(AND($E946&lt;&gt;"", J946&lt;&gt;""), J946/$E946, 0),"")</f>
        <v/>
      </c>
      <c r="M946" s="106"/>
      <c r="U946" s="17" t="str">
        <f>IF(ISNUMBER($B908), IF($C946&lt;&gt;"", IF('Cost Inputs'!$L$207="Y", $E946, IF('Cost Inputs'!$L$207="N", IF(ISNUMBER('Cost Inputs'!$M$207), $E946, ""),"")),""),"")</f>
        <v/>
      </c>
      <c r="V946" s="17" t="str">
        <f>IF(ISNUMBER($B908), IF($C946&lt;&gt;"", IF('Cost Inputs'!$L$207="Y", $E946, IF('Cost Inputs'!$L$207="N", IF(ISNUMBER('Cost Inputs'!$M$207), $E946, ""),"")),""),"")</f>
        <v/>
      </c>
      <c r="W946" s="17" t="str">
        <f>IF(ISNUMBER($B908), IF($C946&lt;&gt;"", IF('Cost Inputs'!$L$207="Y", $E946, IF('Cost Inputs'!$L$207="N", IF(ISNUMBER('Cost Inputs'!$M$207), $E946, ""),"")),""),"")</f>
        <v/>
      </c>
      <c r="X946" s="17" t="str">
        <f>IF(ISNUMBER($B908), IF($C946&lt;&gt;"", IF('Cost Inputs'!$L$207="Y", $E946, IF('Cost Inputs'!$L$207="N", IF(ISNUMBER('Cost Inputs'!$M$207), $E946, ""),"")),""),"")</f>
        <v/>
      </c>
      <c r="Y946" s="17" t="str">
        <f>IF(ISNUMBER($B908), IF($C946&lt;&gt;"", IF('Cost Inputs'!$L$207="Y", $E946, IF('Cost Inputs'!$L$207="N", IF(ISNUMBER('Cost Inputs'!$M$207), $E946, ""),"")),""),"")</f>
        <v/>
      </c>
      <c r="Z946" s="17" t="str">
        <f>IF(ISNUMBER($B908), IF($C946&lt;&gt;"", IF('Cost Inputs'!$L$207="Y", $E946, IF('Cost Inputs'!$L$207="N", IF(ISNUMBER('Cost Inputs'!$M$207), $E946, ""),"")),""),"")</f>
        <v/>
      </c>
      <c r="AA946" s="17" t="str">
        <f>IF(ISNUMBER($B908), IF($C946&lt;&gt;"", IF('Cost Inputs'!$L$207="Y", $E946, IF('Cost Inputs'!$L$207="N", IF(ISNUMBER('Cost Inputs'!$M$207), $E946, ""),"")),""),"")</f>
        <v/>
      </c>
      <c r="AB946" s="17" t="str">
        <f>IF(ISNUMBER($B908), IF($C946&lt;&gt;"", IF('Cost Inputs'!$L$207="Y", $E946, IF('Cost Inputs'!$L$207="N", IF(ISNUMBER('Cost Inputs'!$M$207), $E946, ""),"")),""),"")</f>
        <v/>
      </c>
      <c r="AC946" s="17" t="str">
        <f>IF(ISNUMBER($B908), IF($C946&lt;&gt;"", IF('Cost Inputs'!$L$207="Y", $E946, IF('Cost Inputs'!$L$207="N", IF(ISNUMBER('Cost Inputs'!$M$207), $E946, ""),"")),""),"")</f>
        <v/>
      </c>
      <c r="AD946" s="17" t="str">
        <f>IF(ISNUMBER($B908), IF($C946&lt;&gt;"", IF('Cost Inputs'!$L$207="Y", $E946, IF('Cost Inputs'!$L$207="N", IF(ISNUMBER('Cost Inputs'!$M$207), $E946, ""),"")),""),"")</f>
        <v/>
      </c>
    </row>
    <row r="947" spans="1:31" ht="15.75" thickBot="1" x14ac:dyDescent="0.3">
      <c r="A947" s="518"/>
      <c r="B947" s="505"/>
      <c r="C947" s="111" t="str">
        <f>IF(AND(ISNUMBER(B908), OR('Cost Inputs'!$H$208&lt;&gt;"", 'Cost Inputs'!$I$208&lt;&gt;"", 'Cost Inputs'!$J$208&lt;&gt;"")), _6_6_2, "")</f>
        <v/>
      </c>
      <c r="D947" s="95" t="str">
        <f>IF(AND(C947&lt;&gt;"", 'Cost Inputs'!$G$208&lt;&gt;""), 'Cost Inputs'!$G$208, "")</f>
        <v/>
      </c>
      <c r="E947" s="95" t="str">
        <f>IF(AND(C947&lt;&gt;"", 'Cost Inputs'!$H$208&lt;&gt;""), 'Cost Inputs'!$H$208, "")</f>
        <v/>
      </c>
      <c r="F947" s="95" t="str">
        <f>IF(AND(C947&lt;&gt;"", 'Cost Inputs'!$I$208&lt;&gt;""), 'Cost Inputs'!$I$208, "")</f>
        <v/>
      </c>
      <c r="G947" s="112" t="str">
        <f t="shared" si="496"/>
        <v/>
      </c>
      <c r="H947" s="95" t="str">
        <f>IF(AND(C947&lt;&gt;"", 'Cost Inputs'!$J$208&lt;&gt;""), 'Cost Inputs'!$J$208, "")</f>
        <v/>
      </c>
      <c r="I947" s="95" t="str">
        <f>IF($C947&lt;&gt;"", IF(AND($E947&lt;&gt;"", H947&lt;&gt;""), H947/$E947, 0),"")</f>
        <v/>
      </c>
      <c r="J947" s="95" t="str">
        <f>IF(AND(C947&lt;&gt;"",('Cost Inputs'!$I$208+'Cost Inputs'!$J$208+'Cost Inputs'!$K$208)&gt;0), 'Cost Inputs'!$I$208+'Cost Inputs'!$J$208+'Cost Inputs'!$K$208, "")</f>
        <v/>
      </c>
      <c r="K947" s="95" t="str">
        <f>IF($C947&lt;&gt;"", IF(AND($E947&lt;&gt;"", J947&lt;&gt;""), J947/$E947, 0),"")</f>
        <v/>
      </c>
      <c r="L947" s="95"/>
      <c r="M947" s="113"/>
      <c r="U947" s="95" t="str">
        <f>IF(ISNUMBER($B908), IF($C947&lt;&gt;"", IF('Cost Inputs'!$L$208="Y", $E947, IF('Cost Inputs'!$L$208="N", IF(ISNUMBER('Cost Inputs'!$M$208), $E947, ""),"")),""),"")</f>
        <v/>
      </c>
      <c r="V947" s="95" t="str">
        <f>IF(ISNUMBER($B908), IF($C947&lt;&gt;"", IF('Cost Inputs'!$L$208="Y", $E947, IF('Cost Inputs'!$L$208="N", IF(ISNUMBER('Cost Inputs'!$M$208), $E947, ""),"")),""),"")</f>
        <v/>
      </c>
      <c r="W947" s="95" t="str">
        <f>IF(ISNUMBER($B908), IF($C947&lt;&gt;"", IF('Cost Inputs'!$L$208="Y", $E947, IF('Cost Inputs'!$L$208="N", IF(ISNUMBER('Cost Inputs'!$M$208), $E947, ""),"")),""),"")</f>
        <v/>
      </c>
      <c r="X947" s="95" t="str">
        <f>IF(ISNUMBER($B908), IF($C947&lt;&gt;"", IF('Cost Inputs'!$L$208="Y", $E947, IF('Cost Inputs'!$L$208="N", IF(ISNUMBER('Cost Inputs'!$M$208), $E947, ""),"")),""),"")</f>
        <v/>
      </c>
      <c r="Y947" s="95" t="str">
        <f>IF(ISNUMBER($B908), IF($C947&lt;&gt;"", IF('Cost Inputs'!$L$208="Y", $E947, IF('Cost Inputs'!$L$208="N", IF(ISNUMBER('Cost Inputs'!$M$208), $E947, ""),"")),""),"")</f>
        <v/>
      </c>
      <c r="Z947" s="95" t="str">
        <f>IF(ISNUMBER($B908), IF($C947&lt;&gt;"", IF('Cost Inputs'!$L$208="Y", $E947, IF('Cost Inputs'!$L$208="N", IF(ISNUMBER('Cost Inputs'!$M$208), $E947, ""),"")),""),"")</f>
        <v/>
      </c>
      <c r="AA947" s="95" t="str">
        <f>IF(ISNUMBER($B908), IF($C947&lt;&gt;"", IF('Cost Inputs'!$L$208="Y", $E947, IF('Cost Inputs'!$L$208="N", IF(ISNUMBER('Cost Inputs'!$M$208), $E947, ""),"")),""),"")</f>
        <v/>
      </c>
      <c r="AB947" s="95" t="str">
        <f>IF(ISNUMBER($B908), IF($C947&lt;&gt;"", IF('Cost Inputs'!$L$208="Y", $E947, IF('Cost Inputs'!$L$208="N", IF(ISNUMBER('Cost Inputs'!$M$208), $E947, ""),"")),""),"")</f>
        <v/>
      </c>
      <c r="AC947" s="95" t="str">
        <f>IF(ISNUMBER($B908), IF($C947&lt;&gt;"", IF('Cost Inputs'!$L$208="Y", $E947, IF('Cost Inputs'!$L$208="N", IF(ISNUMBER('Cost Inputs'!$M$208), $E947, ""),"")),""),"")</f>
        <v/>
      </c>
      <c r="AD947" s="95" t="str">
        <f>IF(ISNUMBER($B908), IF($C947&lt;&gt;"", IF('Cost Inputs'!$L$208="Y", $E947, IF('Cost Inputs'!$L$208="N", IF(ISNUMBER('Cost Inputs'!$M$208), $E947, ""),"")),""),"")</f>
        <v/>
      </c>
    </row>
    <row r="948" spans="1:31" x14ac:dyDescent="0.25">
      <c r="A948" s="518" t="str">
        <f>Sixth_Stage</f>
        <v>Stage 4 Grower Trials</v>
      </c>
      <c r="B948" s="503" t="str">
        <f>'Breeding Inputs'!B120</f>
        <v/>
      </c>
      <c r="C948" s="521" t="str">
        <f>IF(ISNUMBER(B930), _6_3_0, "")</f>
        <v/>
      </c>
      <c r="D948" s="94" t="str">
        <f>IF(AND(C948&lt;&gt;"", 'Cost Inputs'!$G$187&lt;&gt;""), 'Cost Inputs'!$G$187, "")</f>
        <v/>
      </c>
      <c r="E948" s="94" t="str">
        <f>IF(AND(C948&lt;&gt;"", 'Cost Inputs'!$H$187&lt;&gt;""), 'Cost Inputs'!$H$187, "")</f>
        <v/>
      </c>
      <c r="F948" s="492" t="str">
        <f>IF(AND(C948&lt;&gt;"", 'Cost Inputs'!$I$187&lt;&gt;""), 'Cost Inputs'!$I$187, "")</f>
        <v/>
      </c>
      <c r="G948" s="102" t="str">
        <f t="shared" si="496"/>
        <v/>
      </c>
      <c r="H948" s="492" t="str">
        <f>IF(AND(C948&lt;&gt;"", 'Cost Inputs'!$J$187&lt;&gt;""), 'Cost Inputs'!$J$187, "")</f>
        <v/>
      </c>
      <c r="I948" s="102" t="str">
        <f>IF($C948&lt;&gt;"",IF(AND($E948&lt;&gt;"",H948&lt;&gt;""), H948/$E948, 0),"")</f>
        <v/>
      </c>
      <c r="J948" s="492" t="str">
        <f>IF(AND(C948&lt;&gt;"",('Cost Inputs'!$I$187+'Cost Inputs'!$J$187+'Cost Inputs'!$K$187)&gt;0), 'Cost Inputs'!$I$187+'Cost Inputs'!$J$187+'Cost Inputs'!$K$187, "")</f>
        <v/>
      </c>
      <c r="K948" s="102" t="str">
        <f>IF($C948&lt;&gt;"",IF(AND($E948&lt;&gt;"",J948&lt;&gt;""), J948/$E948, 0),"")</f>
        <v/>
      </c>
      <c r="L948" s="94"/>
      <c r="M948" s="103"/>
      <c r="V948" s="492" t="str">
        <f>IF(ISNUMBER($B930), IF($C948&lt;&gt;"", IF('Cost Inputs'!$L$187="Y", $E948, IF('Cost Inputs'!$L$187="N", IF(ISNUMBER('Cost Inputs'!$M$187), $E948, ""),"")),""),"")</f>
        <v/>
      </c>
      <c r="W948" s="492" t="str">
        <f>IF(ISNUMBER($B930), IF($C948&lt;&gt;"", IF('Cost Inputs'!$L$187="Y", $E948, IF('Cost Inputs'!$L$187="N", IF(ISNUMBER('Cost Inputs'!$M$187), $E948, ""),"")),""),"")</f>
        <v/>
      </c>
      <c r="X948" s="492" t="str">
        <f>IF(ISNUMBER($B930), IF($C948&lt;&gt;"", IF('Cost Inputs'!$L$187="Y", $E948, IF('Cost Inputs'!$L$187="N", IF(ISNUMBER('Cost Inputs'!$M$187), $E948, ""),"")),""),"")</f>
        <v/>
      </c>
      <c r="Y948" s="492" t="str">
        <f>IF(ISNUMBER($B930), IF($C948&lt;&gt;"", IF('Cost Inputs'!$L$187="Y", $E948, IF('Cost Inputs'!$L$187="N", IF(ISNUMBER('Cost Inputs'!$M$187), $E948, ""),"")),""),"")</f>
        <v/>
      </c>
      <c r="Z948" s="492" t="str">
        <f>IF(ISNUMBER($B930), IF($C948&lt;&gt;"", IF('Cost Inputs'!$L$187="Y", $E948, IF('Cost Inputs'!$L$187="N", IF(ISNUMBER('Cost Inputs'!$M$187), $E948, ""),"")),""),"")</f>
        <v/>
      </c>
      <c r="AA948" s="492" t="str">
        <f>IF(ISNUMBER($B930), IF($C948&lt;&gt;"", IF('Cost Inputs'!$L$187="Y", $E948, IF('Cost Inputs'!$L$187="N", IF(ISNUMBER('Cost Inputs'!$M$187), $E948, ""),"")),""),"")</f>
        <v/>
      </c>
      <c r="AB948" s="492" t="str">
        <f>IF(ISNUMBER($B930), IF($C948&lt;&gt;"", IF('Cost Inputs'!$L$187="Y", $E948, IF('Cost Inputs'!$L$187="N", IF(ISNUMBER('Cost Inputs'!$M$187), $E948, ""),"")),""),"")</f>
        <v/>
      </c>
      <c r="AC948" s="492" t="str">
        <f>IF(ISNUMBER($B930), IF($C948&lt;&gt;"", IF('Cost Inputs'!$L$187="Y", $E948, IF('Cost Inputs'!$L$187="N", IF(ISNUMBER('Cost Inputs'!$M$187), $E948, ""),"")),""),"")</f>
        <v/>
      </c>
      <c r="AD948" s="492" t="str">
        <f>IF(ISNUMBER($B930), IF($C948&lt;&gt;"", IF('Cost Inputs'!$L$187="Y", $E948, IF('Cost Inputs'!$L$187="N", IF(ISNUMBER('Cost Inputs'!$M$187), $E948, ""),"")),""),"")</f>
        <v/>
      </c>
      <c r="AE948" s="492" t="str">
        <f>IF(ISNUMBER($B930), IF($C948&lt;&gt;"", IF('Cost Inputs'!$L$187="Y", $E948, IF('Cost Inputs'!$L$187="N", IF(ISNUMBER('Cost Inputs'!$M$187), $E948, ""),"")),""),"")</f>
        <v/>
      </c>
    </row>
    <row r="949" spans="1:31" x14ac:dyDescent="0.25">
      <c r="A949" s="518"/>
      <c r="B949" s="504"/>
      <c r="C949" s="521"/>
      <c r="D949" s="94" t="str">
        <f>IF(AND(C948&lt;&gt;"", 'Cost Inputs'!$G$188&lt;&gt;""), 'Cost Inputs'!$G$188, "")</f>
        <v/>
      </c>
      <c r="E949" s="94" t="str">
        <f>IF(AND(C948&lt;&gt;"", 'Cost Inputs'!$H$188&lt;&gt;""), 'Cost Inputs'!$H$188, "")</f>
        <v/>
      </c>
      <c r="F949" s="492"/>
      <c r="G949" s="102" t="str">
        <f t="shared" si="496"/>
        <v/>
      </c>
      <c r="H949" s="492"/>
      <c r="I949" s="102" t="str">
        <f>IF($C948&lt;&gt;"", IF(AND($E949&lt;&gt;"", H948&lt;&gt;""), H948/($E948*$E949), 0), "")</f>
        <v/>
      </c>
      <c r="J949" s="492" t="str">
        <f>IF(AND(C949&lt;&gt;"",('Cost Inputs'!$I$86+'Cost Inputs'!$J$86+'Cost Inputs'!$K$86)&gt;0), 'Cost Inputs'!$I$86+'Cost Inputs'!$J$86+'Cost Inputs'!$K$86, "")</f>
        <v/>
      </c>
      <c r="K949" s="102" t="str">
        <f>IF($C948&lt;&gt;"", IF(AND($E949&lt;&gt;"", J948&lt;&gt;""), J948/($E948*$E949), 0), "")</f>
        <v/>
      </c>
      <c r="L949" s="94"/>
      <c r="M949" s="103"/>
      <c r="V949" s="492" t="str">
        <f>IF(ISNUMBER($B$776), IF($C949&lt;&gt;"", IF('Cost Inputs'!$L342="Y", $E949, IF('Cost Inputs'!$L342="N", IF(ISNUMBER('Cost Inputs'!$M342), $E949, ""),"")),""),"")</f>
        <v/>
      </c>
      <c r="W949" s="492" t="str">
        <f>IF(ISNUMBER($B$776), IF($C949&lt;&gt;"", IF('Cost Inputs'!$L342="Y", $E949, IF('Cost Inputs'!$L342="N", IF(ISNUMBER('Cost Inputs'!$M342), $E949, ""),"")),""),"")</f>
        <v/>
      </c>
      <c r="X949" s="492" t="str">
        <f>IF(ISNUMBER($B$776), IF($C949&lt;&gt;"", IF('Cost Inputs'!$L342="Y", $E949, IF('Cost Inputs'!$L342="N", IF(ISNUMBER('Cost Inputs'!$M342), $E949, ""),"")),""),"")</f>
        <v/>
      </c>
      <c r="Y949" s="492" t="str">
        <f>IF(ISNUMBER($B$776), IF($C949&lt;&gt;"", IF('Cost Inputs'!$L342="Y", $E949, IF('Cost Inputs'!$L342="N", IF(ISNUMBER('Cost Inputs'!$M342), $E949, ""),"")),""),"")</f>
        <v/>
      </c>
      <c r="Z949" s="492" t="str">
        <f>IF(ISNUMBER($B$776), IF($C949&lt;&gt;"", IF('Cost Inputs'!$L342="Y", $E949, IF('Cost Inputs'!$L342="N", IF(ISNUMBER('Cost Inputs'!$M342), $E949, ""),"")),""),"")</f>
        <v/>
      </c>
      <c r="AA949" s="492" t="str">
        <f>IF(ISNUMBER($B$776), IF($C949&lt;&gt;"", IF('Cost Inputs'!$L342="Y", $E949, IF('Cost Inputs'!$L342="N", IF(ISNUMBER('Cost Inputs'!$M342), $E949, ""),"")),""),"")</f>
        <v/>
      </c>
      <c r="AB949" s="492" t="str">
        <f>IF(ISNUMBER($B$776), IF($C949&lt;&gt;"", IF('Cost Inputs'!$L342="Y", $E949, IF('Cost Inputs'!$L342="N", IF(ISNUMBER('Cost Inputs'!$M342), $E949, ""),"")),""),"")</f>
        <v/>
      </c>
      <c r="AC949" s="492" t="str">
        <f>IF(ISNUMBER($B$776), IF($C949&lt;&gt;"", IF('Cost Inputs'!$L342="Y", $E949, IF('Cost Inputs'!$L342="N", IF(ISNUMBER('Cost Inputs'!$M342), $E949, ""),"")),""),"")</f>
        <v/>
      </c>
      <c r="AD949" s="492" t="str">
        <f>IF(ISNUMBER($B$776), IF($C949&lt;&gt;"", IF('Cost Inputs'!$L342="Y", $E949, IF('Cost Inputs'!$L342="N", IF(ISNUMBER('Cost Inputs'!$M342), $E949, ""),"")),""),"")</f>
        <v/>
      </c>
      <c r="AE949" s="492" t="str">
        <f>IF(ISNUMBER($B$776), IF($C949&lt;&gt;"", IF('Cost Inputs'!$L342="Y", $E949, IF('Cost Inputs'!$L342="N", IF(ISNUMBER('Cost Inputs'!$M342), $E949, ""),"")),""),"")</f>
        <v/>
      </c>
    </row>
    <row r="950" spans="1:31" x14ac:dyDescent="0.25">
      <c r="A950" s="518"/>
      <c r="B950" s="504"/>
      <c r="C950" s="104" t="str">
        <f>IF(AND(ISNUMBER(B930), OR('Cost Inputs'!$H$189&lt;&gt;"", 'Cost Inputs'!$I$189&lt;&gt;"", 'Cost Inputs'!$J$189&lt;&gt;"")), _6_3_1, "")</f>
        <v/>
      </c>
      <c r="D950" s="17" t="str">
        <f>IF(AND(C950&lt;&gt;"", 'Cost Inputs'!$G$189&lt;&gt;""), 'Cost Inputs'!$G$189, "")</f>
        <v/>
      </c>
      <c r="E950" s="17" t="str">
        <f>IF(AND(C950&lt;&gt;"", 'Cost Inputs'!$H$189&lt;&gt;""), 'Cost Inputs'!$H$189, "")</f>
        <v/>
      </c>
      <c r="F950" s="17" t="str">
        <f>IF(AND(C950&lt;&gt;"", 'Cost Inputs'!$I$189&lt;&gt;""), 'Cost Inputs'!$I$189, "")</f>
        <v/>
      </c>
      <c r="G950" s="105" t="str">
        <f t="shared" si="496"/>
        <v/>
      </c>
      <c r="H950" s="17" t="str">
        <f>IF(AND(C950&lt;&gt;"", 'Cost Inputs'!$J$189&lt;&gt;""), 'Cost Inputs'!$J$189, "")</f>
        <v/>
      </c>
      <c r="I950" s="17" t="str">
        <f t="shared" ref="I950:I958" si="497">IF($C950&lt;&gt;"", IF(AND($E950&lt;&gt;"", H950&lt;&gt;""), H950/$E950, 0),"")</f>
        <v/>
      </c>
      <c r="J950" s="17" t="str">
        <f>IF(AND(C950&lt;&gt;"",('Cost Inputs'!$I$189+'Cost Inputs'!$J$189+'Cost Inputs'!$K$189)&gt;0), 'Cost Inputs'!$I$189+'Cost Inputs'!$J$189+'Cost Inputs'!$K$189, "")</f>
        <v/>
      </c>
      <c r="K950" s="17" t="str">
        <f t="shared" ref="K950:K958" si="498">IF($C950&lt;&gt;"", IF(AND($E950&lt;&gt;"", J950&lt;&gt;""), J950/$E950, 0),"")</f>
        <v/>
      </c>
      <c r="M950" s="106"/>
      <c r="V950" s="17" t="str">
        <f>IF(ISNUMBER($B930), IF($C950&lt;&gt;"", IF('Cost Inputs'!$L$189="Y", $E950, IF('Cost Inputs'!$L$189="N", IF(ISNUMBER('Cost Inputs'!$M$189), $E950, ""),"")),""),"")</f>
        <v/>
      </c>
      <c r="W950" s="17" t="str">
        <f>IF(ISNUMBER($B930), IF($C950&lt;&gt;"", IF('Cost Inputs'!$L$189="Y", $E950, IF('Cost Inputs'!$L$189="N", IF(ISNUMBER('Cost Inputs'!$M$189), $E950, ""),"")),""),"")</f>
        <v/>
      </c>
      <c r="X950" s="17" t="str">
        <f>IF(ISNUMBER($B930), IF($C950&lt;&gt;"", IF('Cost Inputs'!$L$189="Y", $E950, IF('Cost Inputs'!$L$189="N", IF(ISNUMBER('Cost Inputs'!$M$189), $E950, ""),"")),""),"")</f>
        <v/>
      </c>
      <c r="Y950" s="17" t="str">
        <f>IF(ISNUMBER($B930), IF($C950&lt;&gt;"", IF('Cost Inputs'!$L$189="Y", $E950, IF('Cost Inputs'!$L$189="N", IF(ISNUMBER('Cost Inputs'!$M$189), $E950, ""),"")),""),"")</f>
        <v/>
      </c>
      <c r="Z950" s="17" t="str">
        <f>IF(ISNUMBER($B930), IF($C950&lt;&gt;"", IF('Cost Inputs'!$L$189="Y", $E950, IF('Cost Inputs'!$L$189="N", IF(ISNUMBER('Cost Inputs'!$M$189), $E950, ""),"")),""),"")</f>
        <v/>
      </c>
      <c r="AA950" s="17" t="str">
        <f>IF(ISNUMBER($B930), IF($C950&lt;&gt;"", IF('Cost Inputs'!$L$189="Y", $E950, IF('Cost Inputs'!$L$189="N", IF(ISNUMBER('Cost Inputs'!$M$189), $E950, ""),"")),""),"")</f>
        <v/>
      </c>
      <c r="AB950" s="17" t="str">
        <f>IF(ISNUMBER($B930), IF($C950&lt;&gt;"", IF('Cost Inputs'!$L$189="Y", $E950, IF('Cost Inputs'!$L$189="N", IF(ISNUMBER('Cost Inputs'!$M$189), $E950, ""),"")),""),"")</f>
        <v/>
      </c>
      <c r="AC950" s="17" t="str">
        <f>IF(ISNUMBER($B930), IF($C950&lt;&gt;"", IF('Cost Inputs'!$L$189="Y", $E950, IF('Cost Inputs'!$L$189="N", IF(ISNUMBER('Cost Inputs'!$M$189), $E950, ""),"")),""),"")</f>
        <v/>
      </c>
      <c r="AD950" s="17" t="str">
        <f>IF(ISNUMBER($B930), IF($C950&lt;&gt;"", IF('Cost Inputs'!$L$189="Y", $E950, IF('Cost Inputs'!$L$189="N", IF(ISNUMBER('Cost Inputs'!$M$189), $E950, ""),"")),""),"")</f>
        <v/>
      </c>
      <c r="AE950" s="17" t="str">
        <f>IF(ISNUMBER($B930), IF($C950&lt;&gt;"", IF('Cost Inputs'!$L$189="Y", $E950, IF('Cost Inputs'!$L$189="N", IF(ISNUMBER('Cost Inputs'!$M$189), $E950, ""),"")),""),"")</f>
        <v/>
      </c>
    </row>
    <row r="951" spans="1:31" x14ac:dyDescent="0.25">
      <c r="A951" s="518"/>
      <c r="B951" s="504"/>
      <c r="C951" s="107" t="str">
        <f>IF(AND(ISNUMBER(B930), OR('Cost Inputs'!$H$190&lt;&gt;"", 'Cost Inputs'!$I$190&lt;&gt;"", 'Cost Inputs'!$J$190&lt;&gt;"")), _6_3_2, "")</f>
        <v/>
      </c>
      <c r="D951" s="93" t="str">
        <f>IF(AND(C951&lt;&gt;"", 'Cost Inputs'!$G$190&lt;&gt;""), 'Cost Inputs'!$G$190, "")</f>
        <v/>
      </c>
      <c r="E951" s="93" t="str">
        <f>IF(AND(C951&lt;&gt;"", 'Cost Inputs'!$H$190&lt;&gt;""), 'Cost Inputs'!$H$190, "")</f>
        <v/>
      </c>
      <c r="F951" s="93" t="str">
        <f>IF(AND(C951&lt;&gt;"", 'Cost Inputs'!$I$190&lt;&gt;""), 'Cost Inputs'!$I$190, "")</f>
        <v/>
      </c>
      <c r="G951" s="108" t="str">
        <f t="shared" si="496"/>
        <v/>
      </c>
      <c r="H951" s="93" t="str">
        <f>IF(AND(C951&lt;&gt;"", 'Cost Inputs'!$J$190&lt;&gt;""), 'Cost Inputs'!$J$190, "")</f>
        <v/>
      </c>
      <c r="I951" s="93" t="str">
        <f t="shared" si="497"/>
        <v/>
      </c>
      <c r="J951" s="93" t="str">
        <f>IF(AND(C951&lt;&gt;"",('Cost Inputs'!$I$190+'Cost Inputs'!$J$190+'Cost Inputs'!$K$190)&gt;0), 'Cost Inputs'!$I$190+'Cost Inputs'!$J$190+'Cost Inputs'!$K$190, "")</f>
        <v/>
      </c>
      <c r="K951" s="93" t="str">
        <f t="shared" si="498"/>
        <v/>
      </c>
      <c r="L951" s="93"/>
      <c r="M951" s="109"/>
      <c r="V951" s="93" t="str">
        <f>IF(ISNUMBER($B930), IF($C951&lt;&gt;"", IF('Cost Inputs'!$L$190="Y", $E951, IF('Cost Inputs'!$L$190="N", IF(ISNUMBER('Cost Inputs'!$M$190), $E951, ""),"")),""),"")</f>
        <v/>
      </c>
      <c r="W951" s="93" t="str">
        <f>IF(ISNUMBER($B930), IF($C951&lt;&gt;"", IF('Cost Inputs'!$L$190="Y", $E951, IF('Cost Inputs'!$L$190="N", IF(ISNUMBER('Cost Inputs'!$M$190), $E951, ""),"")),""),"")</f>
        <v/>
      </c>
      <c r="X951" s="93" t="str">
        <f>IF(ISNUMBER($B930), IF($C951&lt;&gt;"", IF('Cost Inputs'!$L$190="Y", $E951, IF('Cost Inputs'!$L$190="N", IF(ISNUMBER('Cost Inputs'!$M$190), $E951, ""),"")),""),"")</f>
        <v/>
      </c>
      <c r="Y951" s="93" t="str">
        <f>IF(ISNUMBER($B930), IF($C951&lt;&gt;"", IF('Cost Inputs'!$L$190="Y", $E951, IF('Cost Inputs'!$L$190="N", IF(ISNUMBER('Cost Inputs'!$M$190), $E951, ""),"")),""),"")</f>
        <v/>
      </c>
      <c r="Z951" s="93" t="str">
        <f>IF(ISNUMBER($B930), IF($C951&lt;&gt;"", IF('Cost Inputs'!$L$190="Y", $E951, IF('Cost Inputs'!$L$190="N", IF(ISNUMBER('Cost Inputs'!$M$190), $E951, ""),"")),""),"")</f>
        <v/>
      </c>
      <c r="AA951" s="93" t="str">
        <f>IF(ISNUMBER($B930), IF($C951&lt;&gt;"", IF('Cost Inputs'!$L$190="Y", $E951, IF('Cost Inputs'!$L$190="N", IF(ISNUMBER('Cost Inputs'!$M$190), $E951, ""),"")),""),"")</f>
        <v/>
      </c>
      <c r="AB951" s="93" t="str">
        <f>IF(ISNUMBER($B930), IF($C951&lt;&gt;"", IF('Cost Inputs'!$L$190="Y", $E951, IF('Cost Inputs'!$L$190="N", IF(ISNUMBER('Cost Inputs'!$M$190), $E951, ""),"")),""),"")</f>
        <v/>
      </c>
      <c r="AC951" s="93" t="str">
        <f>IF(ISNUMBER($B930), IF($C951&lt;&gt;"", IF('Cost Inputs'!$L$190="Y", $E951, IF('Cost Inputs'!$L$190="N", IF(ISNUMBER('Cost Inputs'!$M$190), $E951, ""),"")),""),"")</f>
        <v/>
      </c>
      <c r="AD951" s="93" t="str">
        <f>IF(ISNUMBER($B930), IF($C951&lt;&gt;"", IF('Cost Inputs'!$L$190="Y", $E951, IF('Cost Inputs'!$L$190="N", IF(ISNUMBER('Cost Inputs'!$M$190), $E951, ""),"")),""),"")</f>
        <v/>
      </c>
      <c r="AE951" s="93" t="str">
        <f>IF(ISNUMBER($B930), IF($C951&lt;&gt;"", IF('Cost Inputs'!$L$190="Y", $E951, IF('Cost Inputs'!$L$190="N", IF(ISNUMBER('Cost Inputs'!$M$190), $E951, ""),"")),""),"")</f>
        <v/>
      </c>
    </row>
    <row r="952" spans="1:31" x14ac:dyDescent="0.25">
      <c r="A952" s="518"/>
      <c r="B952" s="504"/>
      <c r="C952" s="110" t="str">
        <f>IF(ISNUMBER(B930), _6_4_0, "")</f>
        <v/>
      </c>
      <c r="D952" s="94" t="str">
        <f>IF(AND(C952&lt;&gt;"", 'Cost Inputs'!$G$191&lt;&gt;""), 'Cost Inputs'!$G$191, "")</f>
        <v/>
      </c>
      <c r="E952" s="94" t="str">
        <f>IF(AND(C952&lt;&gt;"", 'Cost Inputs'!$H$191&lt;&gt;""), 'Cost Inputs'!$H$191, "")</f>
        <v/>
      </c>
      <c r="F952" s="94" t="str">
        <f>IF(AND(C952&lt;&gt;"", 'Cost Inputs'!$I$191&lt;&gt;""), 'Cost Inputs'!$I$191, "")</f>
        <v/>
      </c>
      <c r="G952" s="102" t="str">
        <f t="shared" si="496"/>
        <v/>
      </c>
      <c r="H952" s="102" t="str">
        <f>IF(AND(C952&lt;&gt;"", 'Cost Inputs'!$J$191&lt;&gt;""), 'Cost Inputs'!$J$191, "")</f>
        <v/>
      </c>
      <c r="I952" s="102" t="str">
        <f t="shared" si="497"/>
        <v/>
      </c>
      <c r="J952" s="102" t="str">
        <f>IF(AND(C952&lt;&gt;"",('Cost Inputs'!$I$191+'Cost Inputs'!$J$191+'Cost Inputs'!$K$191)&gt;0), 'Cost Inputs'!$I$191+'Cost Inputs'!$J$191+'Cost Inputs'!$K$191, "")</f>
        <v/>
      </c>
      <c r="K952" s="102" t="str">
        <f t="shared" si="498"/>
        <v/>
      </c>
      <c r="L952" s="94"/>
      <c r="M952" s="103"/>
      <c r="V952" s="102" t="str">
        <f>IF(ISNUMBER($B930), IF($C952&lt;&gt;"", IF('Cost Inputs'!$L$191="Y", $E952, IF('Cost Inputs'!$L$191="N", IF(ISNUMBER('Cost Inputs'!$M$191), $E952, ""),"")),""),"")</f>
        <v/>
      </c>
      <c r="W952" s="102" t="str">
        <f>IF(ISNUMBER($B930), IF($C952&lt;&gt;"", IF('Cost Inputs'!$L$191="Y", $E952, IF('Cost Inputs'!$L$191="N", IF(ISNUMBER('Cost Inputs'!$M$191), $E952, ""),"")),""),"")</f>
        <v/>
      </c>
      <c r="X952" s="102" t="str">
        <f>IF(ISNUMBER($B930), IF($C952&lt;&gt;"", IF('Cost Inputs'!$L$191="Y", $E952, IF('Cost Inputs'!$L$191="N", IF(ISNUMBER('Cost Inputs'!$M$191), $E952, ""),"")),""),"")</f>
        <v/>
      </c>
      <c r="Y952" s="102" t="str">
        <f>IF(ISNUMBER($B930), IF($C952&lt;&gt;"", IF('Cost Inputs'!$L$191="Y", $E952, IF('Cost Inputs'!$L$191="N", IF(ISNUMBER('Cost Inputs'!$M$191), $E952, ""),"")),""),"")</f>
        <v/>
      </c>
      <c r="Z952" s="102" t="str">
        <f>IF(ISNUMBER($B930), IF($C952&lt;&gt;"", IF('Cost Inputs'!$L$191="Y", $E952, IF('Cost Inputs'!$L$191="N", IF(ISNUMBER('Cost Inputs'!$M$191), $E952, ""),"")),""),"")</f>
        <v/>
      </c>
      <c r="AA952" s="102" t="str">
        <f>IF(ISNUMBER($B930), IF($C952&lt;&gt;"", IF('Cost Inputs'!$L$191="Y", $E952, IF('Cost Inputs'!$L$191="N", IF(ISNUMBER('Cost Inputs'!$M$191), $E952, ""),"")),""),"")</f>
        <v/>
      </c>
      <c r="AB952" s="102" t="str">
        <f>IF(ISNUMBER($B930), IF($C952&lt;&gt;"", IF('Cost Inputs'!$L$191="Y", $E952, IF('Cost Inputs'!$L$191="N", IF(ISNUMBER('Cost Inputs'!$M$191), $E952, ""),"")),""),"")</f>
        <v/>
      </c>
      <c r="AC952" s="102" t="str">
        <f>IF(ISNUMBER($B930), IF($C952&lt;&gt;"", IF('Cost Inputs'!$L$191="Y", $E952, IF('Cost Inputs'!$L$191="N", IF(ISNUMBER('Cost Inputs'!$M$191), $E952, ""),"")),""),"")</f>
        <v/>
      </c>
      <c r="AD952" s="102" t="str">
        <f>IF(ISNUMBER($B930), IF($C952&lt;&gt;"", IF('Cost Inputs'!$L$191="Y", $E952, IF('Cost Inputs'!$L$191="N", IF(ISNUMBER('Cost Inputs'!$M$191), $E952, ""),"")),""),"")</f>
        <v/>
      </c>
      <c r="AE952" s="102" t="str">
        <f>IF(ISNUMBER($B930), IF($C952&lt;&gt;"", IF('Cost Inputs'!$L$191="Y", $E952, IF('Cost Inputs'!$L$191="N", IF(ISNUMBER('Cost Inputs'!$M$191), $E952, ""),"")),""),"")</f>
        <v/>
      </c>
    </row>
    <row r="953" spans="1:31" x14ac:dyDescent="0.25">
      <c r="A953" s="518"/>
      <c r="B953" s="504"/>
      <c r="C953" s="104" t="str">
        <f>IF(AND(ISNUMBER(B930), OR('Cost Inputs'!$H$192&lt;&gt;"", 'Cost Inputs'!$I$192&lt;&gt;"", 'Cost Inputs'!$J$192&lt;&gt;"")), _6_4_1, "")</f>
        <v/>
      </c>
      <c r="D953" s="17" t="str">
        <f>IF(AND(C953&lt;&gt;"", 'Cost Inputs'!$G$192&lt;&gt;""), 'Cost Inputs'!$G$192, "")</f>
        <v/>
      </c>
      <c r="E953" s="17" t="str">
        <f>IF(AND(C953&lt;&gt;"", 'Cost Inputs'!$H$192&lt;&gt;""), 'Cost Inputs'!$H$192, "")</f>
        <v/>
      </c>
      <c r="F953" s="17" t="str">
        <f>IF(AND(C953&lt;&gt;"", 'Cost Inputs'!$I$192&lt;&gt;""), 'Cost Inputs'!$I$192, "")</f>
        <v/>
      </c>
      <c r="G953" s="105" t="str">
        <f t="shared" si="496"/>
        <v/>
      </c>
      <c r="H953" s="17" t="str">
        <f>IF(AND(C953&lt;&gt;"", 'Cost Inputs'!$J$192&lt;&gt;""), 'Cost Inputs'!$J$192, "")</f>
        <v/>
      </c>
      <c r="I953" s="17" t="str">
        <f t="shared" si="497"/>
        <v/>
      </c>
      <c r="J953" s="17" t="str">
        <f>IF(AND(C953&lt;&gt;"",('Cost Inputs'!$I$192+'Cost Inputs'!$J$192+'Cost Inputs'!$K$192)&gt;0), 'Cost Inputs'!$I$192+'Cost Inputs'!$J$192+'Cost Inputs'!$K$192, "")</f>
        <v/>
      </c>
      <c r="K953" s="17" t="str">
        <f t="shared" si="498"/>
        <v/>
      </c>
      <c r="M953" s="106"/>
      <c r="V953" s="17" t="str">
        <f>IF(ISNUMBER($B930), IF($C953&lt;&gt;"", IF('Cost Inputs'!$L$192="Y", $E953, IF('Cost Inputs'!$L$192="N", IF(ISNUMBER('Cost Inputs'!$M$192), $E953, ""),"")),""),"")</f>
        <v/>
      </c>
      <c r="W953" s="17" t="str">
        <f>IF(ISNUMBER($B930), IF($C953&lt;&gt;"", IF('Cost Inputs'!$L$192="Y", $E953, IF('Cost Inputs'!$L$192="N", IF(ISNUMBER('Cost Inputs'!$M$192), $E953, ""),"")),""),"")</f>
        <v/>
      </c>
      <c r="X953" s="17" t="str">
        <f>IF(ISNUMBER($B930), IF($C953&lt;&gt;"", IF('Cost Inputs'!$L$192="Y", $E953, IF('Cost Inputs'!$L$192="N", IF(ISNUMBER('Cost Inputs'!$M$192), $E953, ""),"")),""),"")</f>
        <v/>
      </c>
      <c r="Y953" s="17" t="str">
        <f>IF(ISNUMBER($B930), IF($C953&lt;&gt;"", IF('Cost Inputs'!$L$192="Y", $E953, IF('Cost Inputs'!$L$192="N", IF(ISNUMBER('Cost Inputs'!$M$192), $E953, ""),"")),""),"")</f>
        <v/>
      </c>
      <c r="Z953" s="17" t="str">
        <f>IF(ISNUMBER($B930), IF($C953&lt;&gt;"", IF('Cost Inputs'!$L$192="Y", $E953, IF('Cost Inputs'!$L$192="N", IF(ISNUMBER('Cost Inputs'!$M$192), $E953, ""),"")),""),"")</f>
        <v/>
      </c>
      <c r="AA953" s="17" t="str">
        <f>IF(ISNUMBER($B930), IF($C953&lt;&gt;"", IF('Cost Inputs'!$L$192="Y", $E953, IF('Cost Inputs'!$L$192="N", IF(ISNUMBER('Cost Inputs'!$M$192), $E953, ""),"")),""),"")</f>
        <v/>
      </c>
      <c r="AB953" s="17" t="str">
        <f>IF(ISNUMBER($B930), IF($C953&lt;&gt;"", IF('Cost Inputs'!$L$192="Y", $E953, IF('Cost Inputs'!$L$192="N", IF(ISNUMBER('Cost Inputs'!$M$192), $E953, ""),"")),""),"")</f>
        <v/>
      </c>
      <c r="AC953" s="17" t="str">
        <f>IF(ISNUMBER($B930), IF($C953&lt;&gt;"", IF('Cost Inputs'!$L$192="Y", $E953, IF('Cost Inputs'!$L$192="N", IF(ISNUMBER('Cost Inputs'!$M$192), $E953, ""),"")),""),"")</f>
        <v/>
      </c>
      <c r="AD953" s="17" t="str">
        <f>IF(ISNUMBER($B930), IF($C953&lt;&gt;"", IF('Cost Inputs'!$L$192="Y", $E953, IF('Cost Inputs'!$L$192="N", IF(ISNUMBER('Cost Inputs'!$M$192), $E953, ""),"")),""),"")</f>
        <v/>
      </c>
      <c r="AE953" s="17" t="str">
        <f>IF(ISNUMBER($B930), IF($C953&lt;&gt;"", IF('Cost Inputs'!$L$192="Y", $E953, IF('Cost Inputs'!$L$192="N", IF(ISNUMBER('Cost Inputs'!$M$192), $E953, ""),"")),""),"")</f>
        <v/>
      </c>
    </row>
    <row r="954" spans="1:31" x14ac:dyDescent="0.25">
      <c r="A954" s="518"/>
      <c r="B954" s="504"/>
      <c r="C954" s="107" t="str">
        <f>IF(AND(ISNUMBER(B930), OR('Cost Inputs'!$H$193&lt;&gt;"", 'Cost Inputs'!$I$193&lt;&gt;"", 'Cost Inputs'!$J$193&lt;&gt;"")), _6_4_2, "")</f>
        <v/>
      </c>
      <c r="D954" s="93" t="str">
        <f>IF(AND(C954&lt;&gt;"", 'Cost Inputs'!$G$193&lt;&gt;""), 'Cost Inputs'!$G$193, "")</f>
        <v/>
      </c>
      <c r="E954" s="93" t="str">
        <f>IF(AND(C954&lt;&gt;"", 'Cost Inputs'!$H$193&lt;&gt;""), 'Cost Inputs'!$H$193, "")</f>
        <v/>
      </c>
      <c r="F954" s="93" t="str">
        <f>IF(AND(C954&lt;&gt;"", 'Cost Inputs'!$I$193&lt;&gt;""), 'Cost Inputs'!$I$193, "")</f>
        <v/>
      </c>
      <c r="G954" s="108" t="str">
        <f t="shared" si="496"/>
        <v/>
      </c>
      <c r="H954" s="93" t="str">
        <f>IF(AND(C954&lt;&gt;"", 'Cost Inputs'!$J$193&lt;&gt;""), 'Cost Inputs'!$J$193, "")</f>
        <v/>
      </c>
      <c r="I954" s="93" t="str">
        <f t="shared" si="497"/>
        <v/>
      </c>
      <c r="J954" s="93" t="str">
        <f>IF(AND(C954&lt;&gt;"",('Cost Inputs'!$I$152+'Cost Inputs'!$J$152+'Cost Inputs'!$K$152)&gt;0), 'Cost Inputs'!$I$152+'Cost Inputs'!$J$152+'Cost Inputs'!$K$152, "")</f>
        <v/>
      </c>
      <c r="K954" s="93" t="str">
        <f t="shared" si="498"/>
        <v/>
      </c>
      <c r="L954" s="93"/>
      <c r="M954" s="109"/>
      <c r="V954" s="93" t="str">
        <f>IF(ISNUMBER($B930), IF($C954&lt;&gt;"", IF('Cost Inputs'!$L$193="Y", $E954, IF('Cost Inputs'!$L$193="N", IF(ISNUMBER('Cost Inputs'!$M$193), $E954, ""),"")),""),"")</f>
        <v/>
      </c>
      <c r="W954" s="93" t="str">
        <f>IF(ISNUMBER($B930), IF($C954&lt;&gt;"", IF('Cost Inputs'!$L$193="Y", $E954, IF('Cost Inputs'!$L$193="N", IF(ISNUMBER('Cost Inputs'!$M$193), $E954, ""),"")),""),"")</f>
        <v/>
      </c>
      <c r="X954" s="93" t="str">
        <f>IF(ISNUMBER($B930), IF($C954&lt;&gt;"", IF('Cost Inputs'!$L$193="Y", $E954, IF('Cost Inputs'!$L$193="N", IF(ISNUMBER('Cost Inputs'!$M$193), $E954, ""),"")),""),"")</f>
        <v/>
      </c>
      <c r="Y954" s="93" t="str">
        <f>IF(ISNUMBER($B930), IF($C954&lt;&gt;"", IF('Cost Inputs'!$L$193="Y", $E954, IF('Cost Inputs'!$L$193="N", IF(ISNUMBER('Cost Inputs'!$M$193), $E954, ""),"")),""),"")</f>
        <v/>
      </c>
      <c r="Z954" s="93" t="str">
        <f>IF(ISNUMBER($B930), IF($C954&lt;&gt;"", IF('Cost Inputs'!$L$193="Y", $E954, IF('Cost Inputs'!$L$193="N", IF(ISNUMBER('Cost Inputs'!$M$193), $E954, ""),"")),""),"")</f>
        <v/>
      </c>
      <c r="AA954" s="93" t="str">
        <f>IF(ISNUMBER($B930), IF($C954&lt;&gt;"", IF('Cost Inputs'!$L$193="Y", $E954, IF('Cost Inputs'!$L$193="N", IF(ISNUMBER('Cost Inputs'!$M$193), $E954, ""),"")),""),"")</f>
        <v/>
      </c>
      <c r="AB954" s="93" t="str">
        <f>IF(ISNUMBER($B930), IF($C954&lt;&gt;"", IF('Cost Inputs'!$L$193="Y", $E954, IF('Cost Inputs'!$L$193="N", IF(ISNUMBER('Cost Inputs'!$M$193), $E954, ""),"")),""),"")</f>
        <v/>
      </c>
      <c r="AC954" s="93" t="str">
        <f>IF(ISNUMBER($B930), IF($C954&lt;&gt;"", IF('Cost Inputs'!$L$193="Y", $E954, IF('Cost Inputs'!$L$193="N", IF(ISNUMBER('Cost Inputs'!$M$193), $E954, ""),"")),""),"")</f>
        <v/>
      </c>
      <c r="AD954" s="93" t="str">
        <f>IF(ISNUMBER($B930), IF($C954&lt;&gt;"", IF('Cost Inputs'!$L$193="Y", $E954, IF('Cost Inputs'!$L$193="N", IF(ISNUMBER('Cost Inputs'!$M$193), $E954, ""),"")),""),"")</f>
        <v/>
      </c>
      <c r="AE954" s="93" t="str">
        <f>IF(ISNUMBER($B930), IF($C954&lt;&gt;"", IF('Cost Inputs'!$L$193="Y", $E954, IF('Cost Inputs'!$L$193="N", IF(ISNUMBER('Cost Inputs'!$M$193), $E954, ""),"")),""),"")</f>
        <v/>
      </c>
    </row>
    <row r="955" spans="1:31" x14ac:dyDescent="0.25">
      <c r="A955" s="518"/>
      <c r="B955" s="504"/>
      <c r="C955" s="104" t="str">
        <f>IF(AND(ISNUMBER(B930), OR('Cost Inputs'!$H$194&lt;&gt;"", 'Cost Inputs'!$I$194&lt;&gt;"", 'Cost Inputs'!$J$194&lt;&gt;"")), _6_4_3, "")</f>
        <v/>
      </c>
      <c r="D955" s="17" t="str">
        <f>IF(AND(C955&lt;&gt;"", 'Cost Inputs'!$G$194&lt;&gt;""), 'Cost Inputs'!$G$194, "")</f>
        <v/>
      </c>
      <c r="E955" s="17" t="str">
        <f>IF(AND(C955&lt;&gt;"", 'Cost Inputs'!$H$194&lt;&gt;""), 'Cost Inputs'!$H$194, "")</f>
        <v/>
      </c>
      <c r="F955" s="17" t="str">
        <f>IF(AND(C955&lt;&gt;"", 'Cost Inputs'!$I$194&lt;&gt;""), 'Cost Inputs'!$I$194, "")</f>
        <v/>
      </c>
      <c r="G955" s="105" t="str">
        <f t="shared" si="496"/>
        <v/>
      </c>
      <c r="H955" s="17" t="str">
        <f>IF(AND(C955&lt;&gt;"", 'Cost Inputs'!$J$194&lt;&gt;""), 'Cost Inputs'!$J$194, "")</f>
        <v/>
      </c>
      <c r="I955" s="17" t="str">
        <f t="shared" si="497"/>
        <v/>
      </c>
      <c r="J955" s="17" t="str">
        <f>IF(AND(C955&lt;&gt;"",('Cost Inputs'!$I$194+'Cost Inputs'!$J$194+'Cost Inputs'!$K$194)&gt;0), 'Cost Inputs'!$I$194+'Cost Inputs'!$J$194+'Cost Inputs'!$K$194, "")</f>
        <v/>
      </c>
      <c r="K955" s="17" t="str">
        <f t="shared" si="498"/>
        <v/>
      </c>
      <c r="M955" s="106"/>
      <c r="V955" s="17" t="str">
        <f>IF(ISNUMBER($B930), IF($C955&lt;&gt;"", IF('Cost Inputs'!$L$194="Y", $E955, IF('Cost Inputs'!$L$194="N", IF(ISNUMBER('Cost Inputs'!$M$194), $E955, ""),"")),""),"")</f>
        <v/>
      </c>
      <c r="W955" s="17" t="str">
        <f>IF(ISNUMBER($B930), IF($C955&lt;&gt;"", IF('Cost Inputs'!$L$194="Y", $E955, IF('Cost Inputs'!$L$194="N", IF(ISNUMBER('Cost Inputs'!$M$194), $E955, ""),"")),""),"")</f>
        <v/>
      </c>
      <c r="X955" s="17" t="str">
        <f>IF(ISNUMBER($B930), IF($C955&lt;&gt;"", IF('Cost Inputs'!$L$194="Y", $E955, IF('Cost Inputs'!$L$194="N", IF(ISNUMBER('Cost Inputs'!$M$194), $E955, ""),"")),""),"")</f>
        <v/>
      </c>
      <c r="Y955" s="17" t="str">
        <f>IF(ISNUMBER($B930), IF($C955&lt;&gt;"", IF('Cost Inputs'!$L$194="Y", $E955, IF('Cost Inputs'!$L$194="N", IF(ISNUMBER('Cost Inputs'!$M$194), $E955, ""),"")),""),"")</f>
        <v/>
      </c>
      <c r="Z955" s="17" t="str">
        <f>IF(ISNUMBER($B930), IF($C955&lt;&gt;"", IF('Cost Inputs'!$L$194="Y", $E955, IF('Cost Inputs'!$L$194="N", IF(ISNUMBER('Cost Inputs'!$M$194), $E955, ""),"")),""),"")</f>
        <v/>
      </c>
      <c r="AA955" s="17" t="str">
        <f>IF(ISNUMBER($B930), IF($C955&lt;&gt;"", IF('Cost Inputs'!$L$194="Y", $E955, IF('Cost Inputs'!$L$194="N", IF(ISNUMBER('Cost Inputs'!$M$194), $E955, ""),"")),""),"")</f>
        <v/>
      </c>
      <c r="AB955" s="17" t="str">
        <f>IF(ISNUMBER($B930), IF($C955&lt;&gt;"", IF('Cost Inputs'!$L$194="Y", $E955, IF('Cost Inputs'!$L$194="N", IF(ISNUMBER('Cost Inputs'!$M$194), $E955, ""),"")),""),"")</f>
        <v/>
      </c>
      <c r="AC955" s="17" t="str">
        <f>IF(ISNUMBER($B930), IF($C955&lt;&gt;"", IF('Cost Inputs'!$L$194="Y", $E955, IF('Cost Inputs'!$L$194="N", IF(ISNUMBER('Cost Inputs'!$M$194), $E955, ""),"")),""),"")</f>
        <v/>
      </c>
      <c r="AD955" s="17" t="str">
        <f>IF(ISNUMBER($B930), IF($C955&lt;&gt;"", IF('Cost Inputs'!$L$194="Y", $E955, IF('Cost Inputs'!$L$194="N", IF(ISNUMBER('Cost Inputs'!$M$194), $E955, ""),"")),""),"")</f>
        <v/>
      </c>
      <c r="AE955" s="17" t="str">
        <f>IF(ISNUMBER($B930), IF($C955&lt;&gt;"", IF('Cost Inputs'!$L$194="Y", $E955, IF('Cost Inputs'!$L$194="N", IF(ISNUMBER('Cost Inputs'!$M$194), $E955, ""),"")),""),"")</f>
        <v/>
      </c>
    </row>
    <row r="956" spans="1:31" x14ac:dyDescent="0.25">
      <c r="A956" s="518"/>
      <c r="B956" s="504"/>
      <c r="C956" s="107" t="str">
        <f>IF(AND(ISNUMBER(B930), OR('Cost Inputs'!$H$195&lt;&gt;"", 'Cost Inputs'!$I$195&lt;&gt;"", 'Cost Inputs'!$J$195&lt;&gt;"")), _6_4_4, "")</f>
        <v/>
      </c>
      <c r="D956" s="93" t="str">
        <f>IF(AND(C956&lt;&gt;"", 'Cost Inputs'!$G$195&lt;&gt;""), 'Cost Inputs'!$G$195, "")</f>
        <v/>
      </c>
      <c r="E956" s="93" t="str">
        <f>IF(AND(C956&lt;&gt;"", 'Cost Inputs'!$H$195&lt;&gt;""), 'Cost Inputs'!$H$195, "")</f>
        <v/>
      </c>
      <c r="F956" s="93" t="str">
        <f>IF(AND(C956&lt;&gt;"", 'Cost Inputs'!$I$195&lt;&gt;""), 'Cost Inputs'!$I$195, "")</f>
        <v/>
      </c>
      <c r="G956" s="108" t="str">
        <f t="shared" si="496"/>
        <v/>
      </c>
      <c r="H956" s="93" t="str">
        <f>IF(AND(C956&lt;&gt;"", 'Cost Inputs'!$J$195&lt;&gt;""), 'Cost Inputs'!$J$195, "")</f>
        <v/>
      </c>
      <c r="I956" s="93" t="str">
        <f t="shared" si="497"/>
        <v/>
      </c>
      <c r="J956" s="93" t="str">
        <f>IF(AND(C956&lt;&gt;"",('Cost Inputs'!$I$195+'Cost Inputs'!$J$195+'Cost Inputs'!$K$195)&gt;0), 'Cost Inputs'!$I$195+'Cost Inputs'!$J$195+'Cost Inputs'!$K$195, "")</f>
        <v/>
      </c>
      <c r="K956" s="93" t="str">
        <f t="shared" si="498"/>
        <v/>
      </c>
      <c r="L956" s="93"/>
      <c r="M956" s="109"/>
      <c r="V956" s="93" t="str">
        <f>IF(ISNUMBER($B930), IF($C956&lt;&gt;"", IF('Cost Inputs'!$L$195="Y", $E956, IF('Cost Inputs'!$L$195="N", IF(ISNUMBER('Cost Inputs'!$M$195), $E956, ""),"")),""),"")</f>
        <v/>
      </c>
      <c r="W956" s="93" t="str">
        <f>IF(ISNUMBER($B930), IF($C956&lt;&gt;"", IF('Cost Inputs'!$L$195="Y", $E956, IF('Cost Inputs'!$L$195="N", IF(ISNUMBER('Cost Inputs'!$M$195), $E956, ""),"")),""),"")</f>
        <v/>
      </c>
      <c r="X956" s="93" t="str">
        <f>IF(ISNUMBER($B930), IF($C956&lt;&gt;"", IF('Cost Inputs'!$L$195="Y", $E956, IF('Cost Inputs'!$L$195="N", IF(ISNUMBER('Cost Inputs'!$M$195), $E956, ""),"")),""),"")</f>
        <v/>
      </c>
      <c r="Y956" s="93" t="str">
        <f>IF(ISNUMBER($B930), IF($C956&lt;&gt;"", IF('Cost Inputs'!$L$195="Y", $E956, IF('Cost Inputs'!$L$195="N", IF(ISNUMBER('Cost Inputs'!$M$195), $E956, ""),"")),""),"")</f>
        <v/>
      </c>
      <c r="Z956" s="93" t="str">
        <f>IF(ISNUMBER($B930), IF($C956&lt;&gt;"", IF('Cost Inputs'!$L$195="Y", $E956, IF('Cost Inputs'!$L$195="N", IF(ISNUMBER('Cost Inputs'!$M$195), $E956, ""),"")),""),"")</f>
        <v/>
      </c>
      <c r="AA956" s="93" t="str">
        <f>IF(ISNUMBER($B930), IF($C956&lt;&gt;"", IF('Cost Inputs'!$L$195="Y", $E956, IF('Cost Inputs'!$L$195="N", IF(ISNUMBER('Cost Inputs'!$M$195), $E956, ""),"")),""),"")</f>
        <v/>
      </c>
      <c r="AB956" s="93" t="str">
        <f>IF(ISNUMBER($B930), IF($C956&lt;&gt;"", IF('Cost Inputs'!$L$195="Y", $E956, IF('Cost Inputs'!$L$195="N", IF(ISNUMBER('Cost Inputs'!$M$195), $E956, ""),"")),""),"")</f>
        <v/>
      </c>
      <c r="AC956" s="93" t="str">
        <f>IF(ISNUMBER($B930), IF($C956&lt;&gt;"", IF('Cost Inputs'!$L$195="Y", $E956, IF('Cost Inputs'!$L$195="N", IF(ISNUMBER('Cost Inputs'!$M$195), $E956, ""),"")),""),"")</f>
        <v/>
      </c>
      <c r="AD956" s="93" t="str">
        <f>IF(ISNUMBER($B930), IF($C956&lt;&gt;"", IF('Cost Inputs'!$L$195="Y", $E956, IF('Cost Inputs'!$L$195="N", IF(ISNUMBER('Cost Inputs'!$M$195), $E956, ""),"")),""),"")</f>
        <v/>
      </c>
      <c r="AE956" s="93" t="str">
        <f>IF(ISNUMBER($B930), IF($C956&lt;&gt;"", IF('Cost Inputs'!$L$195="Y", $E956, IF('Cost Inputs'!$L$195="N", IF(ISNUMBER('Cost Inputs'!$M$195), $E956, ""),"")),""),"")</f>
        <v/>
      </c>
    </row>
    <row r="957" spans="1:31" x14ac:dyDescent="0.25">
      <c r="A957" s="518"/>
      <c r="B957" s="504"/>
      <c r="C957" s="104" t="str">
        <f>IF(AND(ISNUMBER(B930), OR('Cost Inputs'!$H$196&lt;&gt;"", 'Cost Inputs'!$I$196&lt;&gt;"", 'Cost Inputs'!$J$196&lt;&gt;"")), _6_4_5, "")</f>
        <v/>
      </c>
      <c r="D957" s="17" t="str">
        <f>IF(AND(C957&lt;&gt;"", 'Cost Inputs'!$G$196&lt;&gt;""), 'Cost Inputs'!$G$196, "")</f>
        <v/>
      </c>
      <c r="E957" s="17" t="str">
        <f>IF(AND(C957&lt;&gt;"", 'Cost Inputs'!$H$196&lt;&gt;""), 'Cost Inputs'!$H$196, "")</f>
        <v/>
      </c>
      <c r="F957" s="17" t="str">
        <f>IF(AND(C957&lt;&gt;"", 'Cost Inputs'!$I$196&lt;&gt;""), 'Cost Inputs'!$I$196, "")</f>
        <v/>
      </c>
      <c r="G957" s="105" t="str">
        <f t="shared" si="496"/>
        <v/>
      </c>
      <c r="H957" s="17" t="str">
        <f>IF(AND(C957&lt;&gt;"", 'Cost Inputs'!$J$196&lt;&gt;""), 'Cost Inputs'!$J$196, "")</f>
        <v/>
      </c>
      <c r="I957" s="17" t="str">
        <f t="shared" si="497"/>
        <v/>
      </c>
      <c r="J957" s="17" t="str">
        <f>IF(AND(C957&lt;&gt;"",('Cost Inputs'!$I$196+'Cost Inputs'!$J$196+'Cost Inputs'!$K$196)&gt;0), 'Cost Inputs'!$I$196+'Cost Inputs'!$J$196+'Cost Inputs'!$K$196, "")</f>
        <v/>
      </c>
      <c r="K957" s="17" t="str">
        <f t="shared" si="498"/>
        <v/>
      </c>
      <c r="M957" s="106"/>
      <c r="V957" s="17" t="str">
        <f>IF(ISNUMBER($B930), IF($C957&lt;&gt;"", IF('Cost Inputs'!$L$196="Y", $E957, IF('Cost Inputs'!$L$196="N", IF(ISNUMBER('Cost Inputs'!$M$196), $E957, ""),"")),""),"")</f>
        <v/>
      </c>
      <c r="W957" s="17" t="str">
        <f>IF(ISNUMBER($B930), IF($C957&lt;&gt;"", IF('Cost Inputs'!$L$196="Y", $E957, IF('Cost Inputs'!$L$196="N", IF(ISNUMBER('Cost Inputs'!$M$196), $E957, ""),"")),""),"")</f>
        <v/>
      </c>
      <c r="X957" s="17" t="str">
        <f>IF(ISNUMBER($B930), IF($C957&lt;&gt;"", IF('Cost Inputs'!$L$196="Y", $E957, IF('Cost Inputs'!$L$196="N", IF(ISNUMBER('Cost Inputs'!$M$196), $E957, ""),"")),""),"")</f>
        <v/>
      </c>
      <c r="Y957" s="17" t="str">
        <f>IF(ISNUMBER($B930), IF($C957&lt;&gt;"", IF('Cost Inputs'!$L$196="Y", $E957, IF('Cost Inputs'!$L$196="N", IF(ISNUMBER('Cost Inputs'!$M$196), $E957, ""),"")),""),"")</f>
        <v/>
      </c>
      <c r="Z957" s="17" t="str">
        <f>IF(ISNUMBER($B930), IF($C957&lt;&gt;"", IF('Cost Inputs'!$L$196="Y", $E957, IF('Cost Inputs'!$L$196="N", IF(ISNUMBER('Cost Inputs'!$M$196), $E957, ""),"")),""),"")</f>
        <v/>
      </c>
      <c r="AA957" s="17" t="str">
        <f>IF(ISNUMBER($B930), IF($C957&lt;&gt;"", IF('Cost Inputs'!$L$196="Y", $E957, IF('Cost Inputs'!$L$196="N", IF(ISNUMBER('Cost Inputs'!$M$196), $E957, ""),"")),""),"")</f>
        <v/>
      </c>
      <c r="AB957" s="17" t="str">
        <f>IF(ISNUMBER($B930), IF($C957&lt;&gt;"", IF('Cost Inputs'!$L$196="Y", $E957, IF('Cost Inputs'!$L$196="N", IF(ISNUMBER('Cost Inputs'!$M$196), $E957, ""),"")),""),"")</f>
        <v/>
      </c>
      <c r="AC957" s="17" t="str">
        <f>IF(ISNUMBER($B930), IF($C957&lt;&gt;"", IF('Cost Inputs'!$L$196="Y", $E957, IF('Cost Inputs'!$L$196="N", IF(ISNUMBER('Cost Inputs'!$M$196), $E957, ""),"")),""),"")</f>
        <v/>
      </c>
      <c r="AD957" s="17" t="str">
        <f>IF(ISNUMBER($B930), IF($C957&lt;&gt;"", IF('Cost Inputs'!$L$196="Y", $E957, IF('Cost Inputs'!$L$196="N", IF(ISNUMBER('Cost Inputs'!$M$196), $E957, ""),"")),""),"")</f>
        <v/>
      </c>
      <c r="AE957" s="17" t="str">
        <f>IF(ISNUMBER($B930), IF($C957&lt;&gt;"", IF('Cost Inputs'!$L$196="Y", $E957, IF('Cost Inputs'!$L$196="N", IF(ISNUMBER('Cost Inputs'!$M$196), $E957, ""),"")),""),"")</f>
        <v/>
      </c>
    </row>
    <row r="958" spans="1:31" x14ac:dyDescent="0.25">
      <c r="A958" s="518"/>
      <c r="B958" s="504"/>
      <c r="C958" s="107" t="str">
        <f>IF(AND(ISNUMBER(B930), OR('Cost Inputs'!$H$197&lt;&gt;"", 'Cost Inputs'!$I$197&lt;&gt;"", 'Cost Inputs'!$J$197&lt;&gt;"")), _6_4_6, "")</f>
        <v/>
      </c>
      <c r="D958" s="93" t="str">
        <f>IF(AND(C958&lt;&gt;"", 'Cost Inputs'!$G$197&lt;&gt;""), 'Cost Inputs'!$G$197, "")</f>
        <v/>
      </c>
      <c r="E958" s="93" t="str">
        <f>IF(AND(C958&lt;&gt;"", 'Cost Inputs'!$H$197&lt;&gt;""), 'Cost Inputs'!$H$197, "")</f>
        <v/>
      </c>
      <c r="F958" s="93" t="str">
        <f>IF(AND(C958&lt;&gt;"", 'Cost Inputs'!$I$197&lt;&gt;""), 'Cost Inputs'!$I$197, "")</f>
        <v/>
      </c>
      <c r="G958" s="108" t="str">
        <f t="shared" si="496"/>
        <v/>
      </c>
      <c r="H958" s="93" t="str">
        <f>IF(AND(C958&lt;&gt;"", 'Cost Inputs'!$J$197&lt;&gt;""), 'Cost Inputs'!$J$16, "")</f>
        <v/>
      </c>
      <c r="I958" s="93" t="str">
        <f t="shared" si="497"/>
        <v/>
      </c>
      <c r="J958" s="93" t="str">
        <f>IF(AND(C958&lt;&gt;"",('Cost Inputs'!$I$197+'Cost Inputs'!$J$197+'Cost Inputs'!$K$197)&gt;0), 'Cost Inputs'!$I$197+'Cost Inputs'!$J$197+'Cost Inputs'!$K$197, "")</f>
        <v/>
      </c>
      <c r="K958" s="93" t="str">
        <f t="shared" si="498"/>
        <v/>
      </c>
      <c r="L958" s="93"/>
      <c r="M958" s="109"/>
      <c r="V958" s="93" t="str">
        <f>IF(ISNUMBER($B930), IF($C958&lt;&gt;"", IF('Cost Inputs'!$L$197="Y", $E958, IF('Cost Inputs'!$L$197="N", IF(ISNUMBER('Cost Inputs'!$M$197), $E958, ""),"")),""),"")</f>
        <v/>
      </c>
      <c r="W958" s="93" t="str">
        <f>IF(ISNUMBER($B930), IF($C958&lt;&gt;"", IF('Cost Inputs'!$L$197="Y", $E958, IF('Cost Inputs'!$L$197="N", IF(ISNUMBER('Cost Inputs'!$M$197), $E958, ""),"")),""),"")</f>
        <v/>
      </c>
      <c r="X958" s="93" t="str">
        <f>IF(ISNUMBER($B930), IF($C958&lt;&gt;"", IF('Cost Inputs'!$L$197="Y", $E958, IF('Cost Inputs'!$L$197="N", IF(ISNUMBER('Cost Inputs'!$M$197), $E958, ""),"")),""),"")</f>
        <v/>
      </c>
      <c r="Y958" s="93" t="str">
        <f>IF(ISNUMBER($B930), IF($C958&lt;&gt;"", IF('Cost Inputs'!$L$197="Y", $E958, IF('Cost Inputs'!$L$197="N", IF(ISNUMBER('Cost Inputs'!$M$197), $E958, ""),"")),""),"")</f>
        <v/>
      </c>
      <c r="Z958" s="93" t="str">
        <f>IF(ISNUMBER($B930), IF($C958&lt;&gt;"", IF('Cost Inputs'!$L$197="Y", $E958, IF('Cost Inputs'!$L$197="N", IF(ISNUMBER('Cost Inputs'!$M$197), $E958, ""),"")),""),"")</f>
        <v/>
      </c>
      <c r="AA958" s="93" t="str">
        <f>IF(ISNUMBER($B930), IF($C958&lt;&gt;"", IF('Cost Inputs'!$L$197="Y", $E958, IF('Cost Inputs'!$L$197="N", IF(ISNUMBER('Cost Inputs'!$M$197), $E958, ""),"")),""),"")</f>
        <v/>
      </c>
      <c r="AB958" s="93" t="str">
        <f>IF(ISNUMBER($B930), IF($C958&lt;&gt;"", IF('Cost Inputs'!$L$197="Y", $E958, IF('Cost Inputs'!$L$197="N", IF(ISNUMBER('Cost Inputs'!$M$197), $E958, ""),"")),""),"")</f>
        <v/>
      </c>
      <c r="AC958" s="93" t="str">
        <f>IF(ISNUMBER($B930), IF($C958&lt;&gt;"", IF('Cost Inputs'!$L$197="Y", $E958, IF('Cost Inputs'!$L$197="N", IF(ISNUMBER('Cost Inputs'!$M$197), $E958, ""),"")),""),"")</f>
        <v/>
      </c>
      <c r="AD958" s="93" t="str">
        <f>IF(ISNUMBER($B930), IF($C958&lt;&gt;"", IF('Cost Inputs'!$L$197="Y", $E958, IF('Cost Inputs'!$L$197="N", IF(ISNUMBER('Cost Inputs'!$M$197), $E958, ""),"")),""),"")</f>
        <v/>
      </c>
      <c r="AE958" s="93" t="str">
        <f>IF(ISNUMBER($B930), IF($C958&lt;&gt;"", IF('Cost Inputs'!$L$197="Y", $E958, IF('Cost Inputs'!$L$197="N", IF(ISNUMBER('Cost Inputs'!$M$197), $E958, ""),"")),""),"")</f>
        <v/>
      </c>
    </row>
    <row r="959" spans="1:31" x14ac:dyDescent="0.25">
      <c r="A959" s="518"/>
      <c r="B959" s="504"/>
      <c r="C959" s="521" t="str">
        <f>IF(AND(B948&lt;&gt;"",ISNUMBER(B948),ISNUMBER(Stage4EvaluationBegins)),IF((INDEX(ProgramYearStage4,MATCH(Stage4EvaluationBegins,Years_in_Stage4,0)))=B948,_6_5_0,IF(AND(B948&lt;&gt;"",C937&lt;&gt;""),_6_5_0,IF(AND(B948&lt;&gt;"",ISNUMBER(B948),OR(Stage4EvaluationBegins=0,Stage4EvaluationBegins="")),"",""))),"")</f>
        <v/>
      </c>
      <c r="D959" s="94" t="str">
        <f>IF(AND(C959&lt;&gt;"", 'Cost Inputs'!$G$198&lt;&gt;""), 'Cost Inputs'!$G$198, "")</f>
        <v/>
      </c>
      <c r="E959" s="94" t="str">
        <f>IF(AND(C959&lt;&gt;"", 'Cost Inputs'!$H$198&lt;&gt;""), 'Cost Inputs'!$H$198, "")</f>
        <v/>
      </c>
      <c r="F959" s="492" t="str">
        <f>IF(AND(C959&lt;&gt;"", 'Cost Inputs'!$I$198&lt;&gt;""), 'Cost Inputs'!$I$198, "")</f>
        <v/>
      </c>
      <c r="G959" s="102" t="str">
        <f t="shared" si="496"/>
        <v/>
      </c>
      <c r="H959" s="492" t="str">
        <f>IF(AND(C959&lt;&gt;"", 'Cost Inputs'!$J$198&lt;&gt;""), 'Cost Inputs'!$J$198, "")</f>
        <v/>
      </c>
      <c r="I959" s="102" t="str">
        <f>IF($C959&lt;&gt;"",IF(AND($E959&lt;&gt;"",H959&lt;&gt;""), H959/$E959, 0),"")</f>
        <v/>
      </c>
      <c r="J959" s="492" t="str">
        <f>IF(AND(C959&lt;&gt;"",('Cost Inputs'!$I$198+'Cost Inputs'!$J$198+'Cost Inputs'!$K$198)&gt;0), 'Cost Inputs'!$I$198+'Cost Inputs'!$J$198+'Cost Inputs'!$K$198, "")</f>
        <v/>
      </c>
      <c r="K959" s="102" t="str">
        <f>IF($C959&lt;&gt;"",IF(AND($E959&lt;&gt;"",J959&lt;&gt;""), J959/$E959, 0),"")</f>
        <v/>
      </c>
      <c r="L959" s="94"/>
      <c r="M959" s="103"/>
      <c r="V959" s="492" t="str">
        <f>IF(ISNUMBER($B930), IF($C959&lt;&gt;"", IF('Cost Inputs'!$L$198="Y", $E959, IF('Cost Inputs'!$L$198="N", IF(ISNUMBER('Cost Inputs'!$M$198), $E959, ""),"")),""),"")</f>
        <v/>
      </c>
      <c r="W959" s="492" t="str">
        <f>IF(ISNUMBER($B930), IF($C959&lt;&gt;"", IF('Cost Inputs'!$L$198="Y", $E959, IF('Cost Inputs'!$L$198="N", IF(ISNUMBER('Cost Inputs'!$M$198), $E959, ""),"")),""),"")</f>
        <v/>
      </c>
      <c r="X959" s="492" t="str">
        <f>IF(ISNUMBER($B930), IF($C959&lt;&gt;"", IF('Cost Inputs'!$L$198="Y", $E959, IF('Cost Inputs'!$L$198="N", IF(ISNUMBER('Cost Inputs'!$M$198), $E959, ""),"")),""),"")</f>
        <v/>
      </c>
      <c r="Y959" s="492" t="str">
        <f>IF(ISNUMBER($B930), IF($C959&lt;&gt;"", IF('Cost Inputs'!$L$198="Y", $E959, IF('Cost Inputs'!$L$198="N", IF(ISNUMBER('Cost Inputs'!$M$198), $E959, ""),"")),""),"")</f>
        <v/>
      </c>
      <c r="Z959" s="492" t="str">
        <f>IF(ISNUMBER($B930), IF($C959&lt;&gt;"", IF('Cost Inputs'!$L$198="Y", $E959, IF('Cost Inputs'!$L$198="N", IF(ISNUMBER('Cost Inputs'!$M$198), $E959, ""),"")),""),"")</f>
        <v/>
      </c>
      <c r="AA959" s="492" t="str">
        <f>IF(ISNUMBER($B930), IF($C959&lt;&gt;"", IF('Cost Inputs'!$L$198="Y", $E959, IF('Cost Inputs'!$L$198="N", IF(ISNUMBER('Cost Inputs'!$M$198), $E959, ""),"")),""),"")</f>
        <v/>
      </c>
      <c r="AB959" s="492" t="str">
        <f>IF(ISNUMBER($B930), IF($C959&lt;&gt;"", IF('Cost Inputs'!$L$198="Y", $E959, IF('Cost Inputs'!$L$198="N", IF(ISNUMBER('Cost Inputs'!$M$198), $E959, ""),"")),""),"")</f>
        <v/>
      </c>
      <c r="AC959" s="492" t="str">
        <f>IF(ISNUMBER($B930), IF($C959&lt;&gt;"", IF('Cost Inputs'!$L$198="Y", $E959, IF('Cost Inputs'!$L$198="N", IF(ISNUMBER('Cost Inputs'!$M$198), $E959, ""),"")),""),"")</f>
        <v/>
      </c>
      <c r="AD959" s="492" t="str">
        <f>IF(ISNUMBER($B930), IF($C959&lt;&gt;"", IF('Cost Inputs'!$L$198="Y", $E959, IF('Cost Inputs'!$L$198="N", IF(ISNUMBER('Cost Inputs'!$M$198), $E959, ""),"")),""),"")</f>
        <v/>
      </c>
      <c r="AE959" s="492" t="str">
        <f>IF(ISNUMBER($B930), IF($C959&lt;&gt;"", IF('Cost Inputs'!$L$198="Y", $E959, IF('Cost Inputs'!$L$198="N", IF(ISNUMBER('Cost Inputs'!$M$198), $E959, ""),"")),""),"")</f>
        <v/>
      </c>
    </row>
    <row r="960" spans="1:31" x14ac:dyDescent="0.25">
      <c r="A960" s="518"/>
      <c r="B960" s="504"/>
      <c r="C960" s="521"/>
      <c r="D960" s="94" t="str">
        <f>IF(AND(C959&lt;&gt;"", 'Cost Inputs'!$G$199&lt;&gt;""), 'Cost Inputs'!$G$199, "")</f>
        <v/>
      </c>
      <c r="E960" s="94" t="str">
        <f>IF(AND(C959&lt;&gt;"", 'Cost Inputs'!$H$199&lt;&gt;""), 'Cost Inputs'!$H$199, "")</f>
        <v/>
      </c>
      <c r="F960" s="492"/>
      <c r="G960" s="102" t="str">
        <f t="shared" si="496"/>
        <v/>
      </c>
      <c r="H960" s="492"/>
      <c r="I960" s="102" t="str">
        <f>IF($C959&lt;&gt;"", IF(AND($E960&lt;&gt;"", H959&lt;&gt;""), H959/($E959*$E960), 0), "")</f>
        <v/>
      </c>
      <c r="J960" s="492" t="str">
        <f>IF(AND(C960&lt;&gt;"",('Cost Inputs'!$I$86+'Cost Inputs'!$J$86+'Cost Inputs'!$K$86)&gt;0), 'Cost Inputs'!$I$86+'Cost Inputs'!$J$86+'Cost Inputs'!$K$86, "")</f>
        <v/>
      </c>
      <c r="K960" s="102" t="str">
        <f>IF($C959&lt;&gt;"", IF(AND($E960&lt;&gt;"", J959&lt;&gt;""), J959/($E959*$E960), 0), "")</f>
        <v/>
      </c>
      <c r="L960" s="94"/>
      <c r="M960" s="103"/>
      <c r="V960" s="492" t="str">
        <f>IF(ISNUMBER($B$776), IF($C960&lt;&gt;"", IF('Cost Inputs'!$L353="Y", $E960, IF('Cost Inputs'!$L353="N", IF(ISNUMBER('Cost Inputs'!$M353), $E960, ""),"")),""),"")</f>
        <v/>
      </c>
      <c r="W960" s="492" t="str">
        <f>IF(ISNUMBER($B$776), IF($C960&lt;&gt;"", IF('Cost Inputs'!$L353="Y", $E960, IF('Cost Inputs'!$L353="N", IF(ISNUMBER('Cost Inputs'!$M353), $E960, ""),"")),""),"")</f>
        <v/>
      </c>
      <c r="X960" s="492" t="str">
        <f>IF(ISNUMBER($B$776), IF($C960&lt;&gt;"", IF('Cost Inputs'!$L353="Y", $E960, IF('Cost Inputs'!$L353="N", IF(ISNUMBER('Cost Inputs'!$M353), $E960, ""),"")),""),"")</f>
        <v/>
      </c>
      <c r="Y960" s="492" t="str">
        <f>IF(ISNUMBER($B$776), IF($C960&lt;&gt;"", IF('Cost Inputs'!$L353="Y", $E960, IF('Cost Inputs'!$L353="N", IF(ISNUMBER('Cost Inputs'!$M353), $E960, ""),"")),""),"")</f>
        <v/>
      </c>
      <c r="Z960" s="492" t="str">
        <f>IF(ISNUMBER($B$776), IF($C960&lt;&gt;"", IF('Cost Inputs'!$L353="Y", $E960, IF('Cost Inputs'!$L353="N", IF(ISNUMBER('Cost Inputs'!$M353), $E960, ""),"")),""),"")</f>
        <v/>
      </c>
      <c r="AA960" s="492" t="str">
        <f>IF(ISNUMBER($B$776), IF($C960&lt;&gt;"", IF('Cost Inputs'!$L353="Y", $E960, IF('Cost Inputs'!$L353="N", IF(ISNUMBER('Cost Inputs'!$M353), $E960, ""),"")),""),"")</f>
        <v/>
      </c>
      <c r="AB960" s="492" t="str">
        <f>IF(ISNUMBER($B$776), IF($C960&lt;&gt;"", IF('Cost Inputs'!$L353="Y", $E960, IF('Cost Inputs'!$L353="N", IF(ISNUMBER('Cost Inputs'!$M353), $E960, ""),"")),""),"")</f>
        <v/>
      </c>
      <c r="AC960" s="492" t="str">
        <f>IF(ISNUMBER($B$776), IF($C960&lt;&gt;"", IF('Cost Inputs'!$L353="Y", $E960, IF('Cost Inputs'!$L353="N", IF(ISNUMBER('Cost Inputs'!$M353), $E960, ""),"")),""),"")</f>
        <v/>
      </c>
      <c r="AD960" s="492" t="str">
        <f>IF(ISNUMBER($B$776), IF($C960&lt;&gt;"", IF('Cost Inputs'!$L353="Y", $E960, IF('Cost Inputs'!$L353="N", IF(ISNUMBER('Cost Inputs'!$M353), $E960, ""),"")),""),"")</f>
        <v/>
      </c>
      <c r="AE960" s="492" t="str">
        <f>IF(ISNUMBER($B$776), IF($C960&lt;&gt;"", IF('Cost Inputs'!$L353="Y", $E960, IF('Cost Inputs'!$L353="N", IF(ISNUMBER('Cost Inputs'!$M353), $E960, ""),"")),""),"")</f>
        <v/>
      </c>
    </row>
    <row r="961" spans="1:32" x14ac:dyDescent="0.25">
      <c r="A961" s="518"/>
      <c r="B961" s="504"/>
      <c r="C961" s="376" t="str">
        <f>IF(AND(ISNUMBER(B930), C959&lt;&gt;"", OR('Cost Inputs'!$H$200&lt;&gt;"", 'Cost Inputs'!$I$200&lt;&gt;"", 'Cost Inputs'!$J$200&lt;&gt;"")), _6_5_1, "")</f>
        <v/>
      </c>
      <c r="D961" s="17" t="str">
        <f>IF(AND(C961&lt;&gt;"", 'Cost Inputs'!$G$200&lt;&gt;""), 'Cost Inputs'!$G$200, "")</f>
        <v/>
      </c>
      <c r="E961" s="17" t="str">
        <f>IF(AND(C961&lt;&gt;"", 'Cost Inputs'!$H$200&lt;&gt;""), 'Cost Inputs'!$H$200, "")</f>
        <v/>
      </c>
      <c r="F961" s="493" t="str">
        <f>IF(AND(C961&lt;&gt;"", 'Cost Inputs'!$I$200&lt;&gt;""), 'Cost Inputs'!$I$200, "")</f>
        <v/>
      </c>
      <c r="G961" s="105" t="str">
        <f t="shared" si="496"/>
        <v/>
      </c>
      <c r="H961" s="493" t="str">
        <f>IF(AND(C961&lt;&gt;"", 'Cost Inputs'!$J$200&lt;&gt;""), 'Cost Inputs'!$J$200, "")</f>
        <v/>
      </c>
      <c r="I961" s="105" t="str">
        <f>IF($C961&lt;&gt;"",IF(AND($E961&lt;&gt;"",H961&lt;&gt;""), H961/$E961, 0),"")</f>
        <v/>
      </c>
      <c r="J961" s="493" t="str">
        <f>IF(AND(C961&lt;&gt;"",('Cost Inputs'!$I$200+'Cost Inputs'!$J$200+'Cost Inputs'!$K$200)&gt;0), 'Cost Inputs'!$I$200+'Cost Inputs'!$J$200+'Cost Inputs'!$K$200, "")</f>
        <v/>
      </c>
      <c r="K961" s="105" t="str">
        <f>IF($C961&lt;&gt;"",IF(AND($E961&lt;&gt;"",J961&lt;&gt;""), J961/$E961, 0),"")</f>
        <v/>
      </c>
      <c r="M961" s="106"/>
      <c r="V961" s="493" t="str">
        <f>IF(ISNUMBER($B930), IF($C961&lt;&gt;"", IF('Cost Inputs'!$L$200="Y", $E961, IF('Cost Inputs'!$L$200="N", IF(ISNUMBER('Cost Inputs'!$M$200), $E961, ""),"")),""),"")</f>
        <v/>
      </c>
      <c r="W961" s="493" t="str">
        <f>IF(ISNUMBER($B930), IF($C961&lt;&gt;"", IF('Cost Inputs'!$L$200="Y", $E961, IF('Cost Inputs'!$L$200="N", IF(ISNUMBER('Cost Inputs'!$M$200), $E961, ""),"")),""),"")</f>
        <v/>
      </c>
      <c r="X961" s="493" t="str">
        <f>IF(ISNUMBER($B930), IF($C961&lt;&gt;"", IF('Cost Inputs'!$L$200="Y", $E961, IF('Cost Inputs'!$L$200="N", IF(ISNUMBER('Cost Inputs'!$M$200), $E961, ""),"")),""),"")</f>
        <v/>
      </c>
      <c r="Y961" s="493" t="str">
        <f>IF(ISNUMBER($B930), IF($C961&lt;&gt;"", IF('Cost Inputs'!$L$200="Y", $E961, IF('Cost Inputs'!$L$200="N", IF(ISNUMBER('Cost Inputs'!$M$200), $E961, ""),"")),""),"")</f>
        <v/>
      </c>
      <c r="Z961" s="493" t="str">
        <f>IF(ISNUMBER($B930), IF($C961&lt;&gt;"", IF('Cost Inputs'!$L$200="Y", $E961, IF('Cost Inputs'!$L$200="N", IF(ISNUMBER('Cost Inputs'!$M$200), $E961, ""),"")),""),"")</f>
        <v/>
      </c>
      <c r="AA961" s="493" t="str">
        <f>IF(ISNUMBER($B930), IF($C961&lt;&gt;"", IF('Cost Inputs'!$L$200="Y", $E961, IF('Cost Inputs'!$L$200="N", IF(ISNUMBER('Cost Inputs'!$M$200), $E961, ""),"")),""),"")</f>
        <v/>
      </c>
      <c r="AB961" s="493" t="str">
        <f>IF(ISNUMBER($B930), IF($C961&lt;&gt;"", IF('Cost Inputs'!$L$200="Y", $E961, IF('Cost Inputs'!$L$200="N", IF(ISNUMBER('Cost Inputs'!$M$200), $E961, ""),"")),""),"")</f>
        <v/>
      </c>
      <c r="AC961" s="493" t="str">
        <f>IF(ISNUMBER($B930), IF($C961&lt;&gt;"", IF('Cost Inputs'!$L$200="Y", $E961, IF('Cost Inputs'!$L$200="N", IF(ISNUMBER('Cost Inputs'!$M$200), $E961, ""),"")),""),"")</f>
        <v/>
      </c>
      <c r="AD961" s="493" t="str">
        <f>IF(ISNUMBER($B930), IF($C961&lt;&gt;"", IF('Cost Inputs'!$L$200="Y", $E961, IF('Cost Inputs'!$L$200="N", IF(ISNUMBER('Cost Inputs'!$M$200), $E961, ""),"")),""),"")</f>
        <v/>
      </c>
      <c r="AE961" s="493" t="str">
        <f>IF(ISNUMBER($B930), IF($C961&lt;&gt;"", IF('Cost Inputs'!$L$200="Y", $E961, IF('Cost Inputs'!$L$200="N", IF(ISNUMBER('Cost Inputs'!$M$200), $E961, ""),"")),""),"")</f>
        <v/>
      </c>
    </row>
    <row r="962" spans="1:32" x14ac:dyDescent="0.25">
      <c r="A962" s="518"/>
      <c r="B962" s="504"/>
      <c r="C962" s="376" t="str">
        <f>IF(AND(ISNUMBER(B944), OR('Cost Inputs'!$H$85&lt;&gt;"", 'Cost Inputs'!$I$85&lt;&gt;"", 'Cost Inputs'!$J$85&lt;&gt;"")), _3_5_1, "")</f>
        <v/>
      </c>
      <c r="D962" s="17" t="str">
        <f>IF(AND(C961&lt;&gt;"", 'Cost Inputs'!$G$201&lt;&gt;""), 'Cost Inputs'!$G$201, "")</f>
        <v/>
      </c>
      <c r="E962" s="17" t="str">
        <f>IF(AND(C961&lt;&gt;"", 'Cost Inputs'!$H$201&lt;&gt;""), 'Cost Inputs'!$H$201, "")</f>
        <v/>
      </c>
      <c r="F962" s="493"/>
      <c r="G962" s="105" t="str">
        <f t="shared" si="496"/>
        <v/>
      </c>
      <c r="H962" s="493"/>
      <c r="I962" s="105" t="str">
        <f>IF($C961&lt;&gt;"", IF(AND($E962&lt;&gt;"", H961&lt;&gt;""), H961/($E961*$E962), 0), "")</f>
        <v/>
      </c>
      <c r="J962" s="493" t="str">
        <f>IF(AND(C962&lt;&gt;"",('Cost Inputs'!$I$86+'Cost Inputs'!$J$86+'Cost Inputs'!$K$86)&gt;0), 'Cost Inputs'!$I$86+'Cost Inputs'!$J$86+'Cost Inputs'!$K$86, "")</f>
        <v/>
      </c>
      <c r="K962" s="105" t="str">
        <f>IF($C961&lt;&gt;"", IF(AND($E962&lt;&gt;"", J961&lt;&gt;""), J961/($E961*$E962), 0), "")</f>
        <v/>
      </c>
      <c r="M962" s="106"/>
      <c r="V962" s="493" t="str">
        <f>IF(ISNUMBER($B$776), IF($C962&lt;&gt;"", IF('Cost Inputs'!$L355="Y", $E962, IF('Cost Inputs'!$L355="N", IF(ISNUMBER('Cost Inputs'!$M355), $E962, ""),"")),""),"")</f>
        <v/>
      </c>
      <c r="W962" s="493" t="str">
        <f>IF(ISNUMBER($B$776), IF($C962&lt;&gt;"", IF('Cost Inputs'!$L355="Y", $E962, IF('Cost Inputs'!$L355="N", IF(ISNUMBER('Cost Inputs'!$M355), $E962, ""),"")),""),"")</f>
        <v/>
      </c>
      <c r="X962" s="493" t="str">
        <f>IF(ISNUMBER($B$776), IF($C962&lt;&gt;"", IF('Cost Inputs'!$L355="Y", $E962, IF('Cost Inputs'!$L355="N", IF(ISNUMBER('Cost Inputs'!$M355), $E962, ""),"")),""),"")</f>
        <v/>
      </c>
      <c r="Y962" s="493" t="str">
        <f>IF(ISNUMBER($B$776), IF($C962&lt;&gt;"", IF('Cost Inputs'!$L355="Y", $E962, IF('Cost Inputs'!$L355="N", IF(ISNUMBER('Cost Inputs'!$M355), $E962, ""),"")),""),"")</f>
        <v/>
      </c>
      <c r="Z962" s="493" t="str">
        <f>IF(ISNUMBER($B$776), IF($C962&lt;&gt;"", IF('Cost Inputs'!$L355="Y", $E962, IF('Cost Inputs'!$L355="N", IF(ISNUMBER('Cost Inputs'!$M355), $E962, ""),"")),""),"")</f>
        <v/>
      </c>
      <c r="AA962" s="493" t="str">
        <f>IF(ISNUMBER($B$776), IF($C962&lt;&gt;"", IF('Cost Inputs'!$L355="Y", $E962, IF('Cost Inputs'!$L355="N", IF(ISNUMBER('Cost Inputs'!$M355), $E962, ""),"")),""),"")</f>
        <v/>
      </c>
      <c r="AB962" s="493" t="str">
        <f>IF(ISNUMBER($B$776), IF($C962&lt;&gt;"", IF('Cost Inputs'!$L355="Y", $E962, IF('Cost Inputs'!$L355="N", IF(ISNUMBER('Cost Inputs'!$M355), $E962, ""),"")),""),"")</f>
        <v/>
      </c>
      <c r="AC962" s="493" t="str">
        <f>IF(ISNUMBER($B$776), IF($C962&lt;&gt;"", IF('Cost Inputs'!$L355="Y", $E962, IF('Cost Inputs'!$L355="N", IF(ISNUMBER('Cost Inputs'!$M355), $E962, ""),"")),""),"")</f>
        <v/>
      </c>
      <c r="AD962" s="493" t="str">
        <f>IF(ISNUMBER($B$776), IF($C962&lt;&gt;"", IF('Cost Inputs'!$L355="Y", $E962, IF('Cost Inputs'!$L355="N", IF(ISNUMBER('Cost Inputs'!$M355), $E962, ""),"")),""),"")</f>
        <v/>
      </c>
      <c r="AE962" s="493" t="str">
        <f>IF(ISNUMBER($B$776), IF($C962&lt;&gt;"", IF('Cost Inputs'!$L355="Y", $E962, IF('Cost Inputs'!$L355="N", IF(ISNUMBER('Cost Inputs'!$M355), $E962, ""),"")),""),"")</f>
        <v/>
      </c>
    </row>
    <row r="963" spans="1:32" x14ac:dyDescent="0.25">
      <c r="A963" s="518"/>
      <c r="B963" s="504"/>
      <c r="C963" s="107" t="str">
        <f>IF(AND(ISNUMBER(B930), C959&lt;&gt;"", OR('Cost Inputs'!$H$202&lt;&gt;"", 'Cost Inputs'!$I$202&lt;&gt;"", 'Cost Inputs'!$J$202&lt;&gt;"")), _6_5_2, "")</f>
        <v/>
      </c>
      <c r="D963" s="93" t="str">
        <f>IF(AND(C963&lt;&gt;"", 'Cost Inputs'!$G$202&lt;&gt;""), 'Cost Inputs'!$G$202, "")</f>
        <v/>
      </c>
      <c r="E963" s="93" t="str">
        <f>IF(AND(C963&lt;&gt;"", 'Cost Inputs'!$H$202&lt;&gt;""), 'Cost Inputs'!$H$202, "")</f>
        <v/>
      </c>
      <c r="F963" s="93" t="str">
        <f>IF(AND(C963&lt;&gt;"", 'Cost Inputs'!$I$202&lt;&gt;""), 'Cost Inputs'!$I$202, "")</f>
        <v/>
      </c>
      <c r="G963" s="108" t="str">
        <f t="shared" si="496"/>
        <v/>
      </c>
      <c r="H963" s="93" t="str">
        <f>IF(AND(C963&lt;&gt;"", 'Cost Inputs'!$J$202&lt;&gt;""), 'Cost Inputs'!$J$202, "")</f>
        <v/>
      </c>
      <c r="I963" s="93" t="str">
        <f>IF($C963&lt;&gt;"", IF(AND($E963&lt;&gt;"", H963&lt;&gt;""), H963/$E963, 0),"")</f>
        <v/>
      </c>
      <c r="J963" s="93" t="str">
        <f>IF(AND(C963&lt;&gt;"",('Cost Inputs'!$I$202+'Cost Inputs'!$J$202+'Cost Inputs'!$K$202)&gt;0), 'Cost Inputs'!$I$202+'Cost Inputs'!$J$202+'Cost Inputs'!$K$202, "")</f>
        <v/>
      </c>
      <c r="K963" s="93" t="str">
        <f>IF($C963&lt;&gt;"", IF(AND($E963&lt;&gt;"", J963&lt;&gt;""), J963/$E963, 0),"")</f>
        <v/>
      </c>
      <c r="L963" s="93"/>
      <c r="M963" s="109"/>
      <c r="V963" s="93" t="str">
        <f>IF(ISNUMBER($B930), IF($C963&lt;&gt;"", IF('Cost Inputs'!$L$202="Y", $E963, IF('Cost Inputs'!$L$202="N", IF(ISNUMBER('Cost Inputs'!$M$202), $E963, ""),"")),""),"")</f>
        <v/>
      </c>
      <c r="W963" s="93" t="str">
        <f>IF(ISNUMBER($B930), IF($C963&lt;&gt;"", IF('Cost Inputs'!$L$202="Y", $E963, IF('Cost Inputs'!$L$202="N", IF(ISNUMBER('Cost Inputs'!$M$202), $E963, ""),"")),""),"")</f>
        <v/>
      </c>
      <c r="X963" s="93" t="str">
        <f>IF(ISNUMBER($B930), IF($C963&lt;&gt;"", IF('Cost Inputs'!$L$202="Y", $E963, IF('Cost Inputs'!$L$202="N", IF(ISNUMBER('Cost Inputs'!$M$202), $E963, ""),"")),""),"")</f>
        <v/>
      </c>
      <c r="Y963" s="93" t="str">
        <f>IF(ISNUMBER($B930), IF($C963&lt;&gt;"", IF('Cost Inputs'!$L$202="Y", $E963, IF('Cost Inputs'!$L$202="N", IF(ISNUMBER('Cost Inputs'!$M$202), $E963, ""),"")),""),"")</f>
        <v/>
      </c>
      <c r="Z963" s="93" t="str">
        <f>IF(ISNUMBER($B930), IF($C963&lt;&gt;"", IF('Cost Inputs'!$L$202="Y", $E963, IF('Cost Inputs'!$L$202="N", IF(ISNUMBER('Cost Inputs'!$M$202), $E963, ""),"")),""),"")</f>
        <v/>
      </c>
      <c r="AA963" s="93" t="str">
        <f>IF(ISNUMBER($B930), IF($C963&lt;&gt;"", IF('Cost Inputs'!$L$202="Y", $E963, IF('Cost Inputs'!$L$202="N", IF(ISNUMBER('Cost Inputs'!$M$202), $E963, ""),"")),""),"")</f>
        <v/>
      </c>
      <c r="AB963" s="93" t="str">
        <f>IF(ISNUMBER($B930), IF($C963&lt;&gt;"", IF('Cost Inputs'!$L$202="Y", $E963, IF('Cost Inputs'!$L$202="N", IF(ISNUMBER('Cost Inputs'!$M$202), $E963, ""),"")),""),"")</f>
        <v/>
      </c>
      <c r="AC963" s="93" t="str">
        <f>IF(ISNUMBER($B930), IF($C963&lt;&gt;"", IF('Cost Inputs'!$L$202="Y", $E963, IF('Cost Inputs'!$L$202="N", IF(ISNUMBER('Cost Inputs'!$M$202), $E963, ""),"")),""),"")</f>
        <v/>
      </c>
      <c r="AD963" s="93" t="str">
        <f>IF(ISNUMBER($B930), IF($C963&lt;&gt;"", IF('Cost Inputs'!$L$202="Y", $E963, IF('Cost Inputs'!$L$202="N", IF(ISNUMBER('Cost Inputs'!$M$202), $E963, ""),"")),""),"")</f>
        <v/>
      </c>
      <c r="AE963" s="93" t="str">
        <f>IF(ISNUMBER($B930), IF($C963&lt;&gt;"", IF('Cost Inputs'!$L$202="Y", $E963, IF('Cost Inputs'!$L$202="N", IF(ISNUMBER('Cost Inputs'!$M$202), $E963, ""),"")),""),"")</f>
        <v/>
      </c>
    </row>
    <row r="964" spans="1:32" x14ac:dyDescent="0.25">
      <c r="A964" s="518"/>
      <c r="B964" s="504"/>
      <c r="C964" s="104" t="str">
        <f>IF(AND(ISNUMBER(B930), C959&lt;&gt;"", OR('Cost Inputs'!$H$203&lt;&gt;"", 'Cost Inputs'!$I$203&lt;&gt;"", 'Cost Inputs'!$J$203&lt;&gt;"")), _6_5_3, "")</f>
        <v/>
      </c>
      <c r="D964" s="17" t="str">
        <f>IF(AND(C964&lt;&gt;"", 'Cost Inputs'!$G$203&lt;&gt;""), 'Cost Inputs'!$G$203, "")</f>
        <v/>
      </c>
      <c r="E964" s="17" t="str">
        <f>IF(AND(C964&lt;&gt;"", 'Cost Inputs'!$H$203&lt;&gt;""), 'Cost Inputs'!$H$203, "")</f>
        <v/>
      </c>
      <c r="F964" s="17" t="str">
        <f>IF(AND(C964&lt;&gt;"", 'Cost Inputs'!$I$203&lt;&gt;""), 'Cost Inputs'!$I$203, "")</f>
        <v/>
      </c>
      <c r="G964" s="105" t="str">
        <f t="shared" si="496"/>
        <v/>
      </c>
      <c r="H964" s="17" t="str">
        <f>IF(AND(C964&lt;&gt;"", 'Cost Inputs'!$J$203&lt;&gt;""), 'Cost Inputs'!$J$203, "")</f>
        <v/>
      </c>
      <c r="I964" s="17" t="str">
        <f>IF($C964&lt;&gt;"", IF(AND($E964&lt;&gt;"", H964&lt;&gt;""), H964/$E964, 0),"")</f>
        <v/>
      </c>
      <c r="J964" s="17" t="str">
        <f>IF(AND(C964&lt;&gt;"",('Cost Inputs'!$I$203+'Cost Inputs'!$J$203+'Cost Inputs'!$K$203)&gt;0), 'Cost Inputs'!$I$203+'Cost Inputs'!$J$203+'Cost Inputs'!$K$203, "")</f>
        <v/>
      </c>
      <c r="K964" s="17" t="str">
        <f>IF($C964&lt;&gt;"", IF(AND($E964&lt;&gt;"", J964&lt;&gt;""), J964/$E964, 0),"")</f>
        <v/>
      </c>
      <c r="M964" s="106"/>
      <c r="V964" s="17" t="str">
        <f>IF(ISNUMBER($B930), IF($C964&lt;&gt;"", IF('Cost Inputs'!$L$203="Y", $E964, IF('Cost Inputs'!$L$203="N", IF(ISNUMBER('Cost Inputs'!$M$203), $E964, ""),"")),""),"")</f>
        <v/>
      </c>
      <c r="W964" s="17" t="str">
        <f>IF(ISNUMBER($B930), IF($C964&lt;&gt;"", IF('Cost Inputs'!$L$203="Y", $E964, IF('Cost Inputs'!$L$203="N", IF(ISNUMBER('Cost Inputs'!$M$203), $E964, ""),"")),""),"")</f>
        <v/>
      </c>
      <c r="X964" s="17" t="str">
        <f>IF(ISNUMBER($B930), IF($C964&lt;&gt;"", IF('Cost Inputs'!$L$203="Y", $E964, IF('Cost Inputs'!$L$203="N", IF(ISNUMBER('Cost Inputs'!$M$203), $E964, ""),"")),""),"")</f>
        <v/>
      </c>
      <c r="Y964" s="17" t="str">
        <f>IF(ISNUMBER($B930), IF($C964&lt;&gt;"", IF('Cost Inputs'!$L$203="Y", $E964, IF('Cost Inputs'!$L$203="N", IF(ISNUMBER('Cost Inputs'!$M$203), $E964, ""),"")),""),"")</f>
        <v/>
      </c>
      <c r="Z964" s="17" t="str">
        <f>IF(ISNUMBER($B930), IF($C964&lt;&gt;"", IF('Cost Inputs'!$L$203="Y", $E964, IF('Cost Inputs'!$L$203="N", IF(ISNUMBER('Cost Inputs'!$M$203), $E964, ""),"")),""),"")</f>
        <v/>
      </c>
      <c r="AA964" s="17" t="str">
        <f>IF(ISNUMBER($B930), IF($C964&lt;&gt;"", IF('Cost Inputs'!$L$203="Y", $E964, IF('Cost Inputs'!$L$203="N", IF(ISNUMBER('Cost Inputs'!$M$203), $E964, ""),"")),""),"")</f>
        <v/>
      </c>
      <c r="AB964" s="17" t="str">
        <f>IF(ISNUMBER($B930), IF($C964&lt;&gt;"", IF('Cost Inputs'!$L$203="Y", $E964, IF('Cost Inputs'!$L$203="N", IF(ISNUMBER('Cost Inputs'!$M$203), $E964, ""),"")),""),"")</f>
        <v/>
      </c>
      <c r="AC964" s="17" t="str">
        <f>IF(ISNUMBER($B930), IF($C964&lt;&gt;"", IF('Cost Inputs'!$L$203="Y", $E964, IF('Cost Inputs'!$L$203="N", IF(ISNUMBER('Cost Inputs'!$M$203), $E964, ""),"")),""),"")</f>
        <v/>
      </c>
      <c r="AD964" s="17" t="str">
        <f>IF(ISNUMBER($B930), IF($C964&lt;&gt;"", IF('Cost Inputs'!$L$203="Y", $E964, IF('Cost Inputs'!$L$203="N", IF(ISNUMBER('Cost Inputs'!$M$203), $E964, ""),"")),""),"")</f>
        <v/>
      </c>
      <c r="AE964" s="17" t="str">
        <f>IF(ISNUMBER($B930), IF($C964&lt;&gt;"", IF('Cost Inputs'!$L$203="Y", $E964, IF('Cost Inputs'!$L$203="N", IF(ISNUMBER('Cost Inputs'!$M$203), $E964, ""),"")),""),"")</f>
        <v/>
      </c>
    </row>
    <row r="965" spans="1:32" x14ac:dyDescent="0.25">
      <c r="A965" s="518"/>
      <c r="B965" s="504"/>
      <c r="C965" s="107" t="str">
        <f>IF(AND(ISNUMBER(B930), C959&lt;&gt;"", OR('Cost Inputs'!$H$204&lt;&gt;"", 'Cost Inputs'!$I$204&lt;&gt;"", 'Cost Inputs'!$J$204&lt;&gt;"")), _6_5_4, "")</f>
        <v/>
      </c>
      <c r="D965" s="93" t="str">
        <f>IF(AND(C965&lt;&gt;"", 'Cost Inputs'!$G$204&lt;&gt;""), 'Cost Inputs'!$G$204, "")</f>
        <v/>
      </c>
      <c r="E965" s="93" t="str">
        <f>IF(AND(C965&lt;&gt;"", 'Cost Inputs'!$H$204&lt;&gt;""), 'Cost Inputs'!$H$204, "")</f>
        <v/>
      </c>
      <c r="F965" s="93" t="str">
        <f>IF(AND(C965&lt;&gt;"", 'Cost Inputs'!$I$204&lt;&gt;""), 'Cost Inputs'!$I$204, "")</f>
        <v/>
      </c>
      <c r="G965" s="108" t="str">
        <f t="shared" si="496"/>
        <v/>
      </c>
      <c r="H965" s="93" t="str">
        <f>IF(AND(C965&lt;&gt;"", 'Cost Inputs'!$J$204&lt;&gt;""), 'Cost Inputs'!$J$204, "")</f>
        <v/>
      </c>
      <c r="I965" s="93" t="str">
        <f>IF($C965&lt;&gt;"", IF(AND($E965&lt;&gt;"", H965&lt;&gt;""), H965/$E965, 0),"")</f>
        <v/>
      </c>
      <c r="J965" s="93" t="str">
        <f>IF(AND(C965&lt;&gt;"",('Cost Inputs'!$I$204+'Cost Inputs'!$J$204+'Cost Inputs'!$K$204)&gt;0), 'Cost Inputs'!$I$204+'Cost Inputs'!$J$204+'Cost Inputs'!$K$204, "")</f>
        <v/>
      </c>
      <c r="K965" s="93" t="str">
        <f>IF($C965&lt;&gt;"", IF(AND($E965&lt;&gt;"", J965&lt;&gt;""), J965/$E965, 0),"")</f>
        <v/>
      </c>
      <c r="L965" s="93"/>
      <c r="M965" s="109"/>
      <c r="V965" s="93" t="str">
        <f>IF(ISNUMBER($B930), IF($C965&lt;&gt;"", IF('Cost Inputs'!$L$204="Y", $E965, IF('Cost Inputs'!$L$204="N", IF(ISNUMBER('Cost Inputs'!$M$204), $E965, ""),"")),""),"")</f>
        <v/>
      </c>
      <c r="W965" s="93" t="str">
        <f>IF(ISNUMBER($B930), IF($C965&lt;&gt;"", IF('Cost Inputs'!$L$204="Y", $E965, IF('Cost Inputs'!$L$204="N", IF(ISNUMBER('Cost Inputs'!$M$204), $E965, ""),"")),""),"")</f>
        <v/>
      </c>
      <c r="X965" s="93" t="str">
        <f>IF(ISNUMBER($B930), IF($C965&lt;&gt;"", IF('Cost Inputs'!$L$204="Y", $E965, IF('Cost Inputs'!$L$204="N", IF(ISNUMBER('Cost Inputs'!$M$204), $E965, ""),"")),""),"")</f>
        <v/>
      </c>
      <c r="Y965" s="93" t="str">
        <f>IF(ISNUMBER($B930), IF($C965&lt;&gt;"", IF('Cost Inputs'!$L$204="Y", $E965, IF('Cost Inputs'!$L$204="N", IF(ISNUMBER('Cost Inputs'!$M$204), $E965, ""),"")),""),"")</f>
        <v/>
      </c>
      <c r="Z965" s="93" t="str">
        <f>IF(ISNUMBER($B930), IF($C965&lt;&gt;"", IF('Cost Inputs'!$L$204="Y", $E965, IF('Cost Inputs'!$L$204="N", IF(ISNUMBER('Cost Inputs'!$M$204), $E965, ""),"")),""),"")</f>
        <v/>
      </c>
      <c r="AA965" s="93" t="str">
        <f>IF(ISNUMBER($B930), IF($C965&lt;&gt;"", IF('Cost Inputs'!$L$204="Y", $E965, IF('Cost Inputs'!$L$204="N", IF(ISNUMBER('Cost Inputs'!$M$204), $E965, ""),"")),""),"")</f>
        <v/>
      </c>
      <c r="AB965" s="93" t="str">
        <f>IF(ISNUMBER($B930), IF($C965&lt;&gt;"", IF('Cost Inputs'!$L$204="Y", $E965, IF('Cost Inputs'!$L$204="N", IF(ISNUMBER('Cost Inputs'!$M$204), $E965, ""),"")),""),"")</f>
        <v/>
      </c>
      <c r="AC965" s="93" t="str">
        <f>IF(ISNUMBER($B930), IF($C965&lt;&gt;"", IF('Cost Inputs'!$L$204="Y", $E965, IF('Cost Inputs'!$L$204="N", IF(ISNUMBER('Cost Inputs'!$M$204), $E965, ""),"")),""),"")</f>
        <v/>
      </c>
      <c r="AD965" s="93" t="str">
        <f>IF(ISNUMBER($B930), IF($C965&lt;&gt;"", IF('Cost Inputs'!$L$204="Y", $E965, IF('Cost Inputs'!$L$204="N", IF(ISNUMBER('Cost Inputs'!$M$204), $E965, ""),"")),""),"")</f>
        <v/>
      </c>
      <c r="AE965" s="93" t="str">
        <f>IF(ISNUMBER($B930), IF($C965&lt;&gt;"", IF('Cost Inputs'!$L$204="Y", $E965, IF('Cost Inputs'!$L$204="N", IF(ISNUMBER('Cost Inputs'!$M$204), $E965, ""),"")),""),"")</f>
        <v/>
      </c>
    </row>
    <row r="966" spans="1:32" x14ac:dyDescent="0.25">
      <c r="A966" s="518"/>
      <c r="B966" s="504"/>
      <c r="C966" s="104" t="str">
        <f>IF(AND(ISNUMBER(B930), C959&lt;&gt;"", OR('Cost Inputs'!$H$205&lt;&gt;"", 'Cost Inputs'!$I$205&lt;&gt;"", 'Cost Inputs'!$J$205&lt;&gt;"")), _6_5_5, "")</f>
        <v/>
      </c>
      <c r="D966" s="17" t="str">
        <f>IF(AND(C966&lt;&gt;"", 'Cost Inputs'!$G$205&lt;&gt;""), 'Cost Inputs'!$G$205, "")</f>
        <v/>
      </c>
      <c r="E966" s="17" t="str">
        <f>IF(AND(C966&lt;&gt;"", 'Cost Inputs'!$H$205&lt;&gt;""), 'Cost Inputs'!$H$205, "")</f>
        <v/>
      </c>
      <c r="F966" s="17" t="str">
        <f>IF(AND(C966&lt;&gt;"", 'Cost Inputs'!$I$205&lt;&gt;""), 'Cost Inputs'!$I$205, "")</f>
        <v/>
      </c>
      <c r="G966" s="105" t="str">
        <f t="shared" si="496"/>
        <v/>
      </c>
      <c r="H966" s="17" t="str">
        <f>IF(AND(C966&lt;&gt;"", 'Cost Inputs'!$J$205&lt;&gt;""), 'Cost Inputs'!$J$205, "")</f>
        <v/>
      </c>
      <c r="I966" s="17" t="str">
        <f>IF($C966&lt;&gt;"", IF(AND($E966&lt;&gt;"", H966&lt;&gt;""), H966/$E966, 0),"")</f>
        <v/>
      </c>
      <c r="J966" s="17" t="str">
        <f>IF(AND(C966&lt;&gt;"",('Cost Inputs'!$I$205+'Cost Inputs'!$J$205+'Cost Inputs'!$K$205)&gt;0), 'Cost Inputs'!$I$205+'Cost Inputs'!$J$205+'Cost Inputs'!$K$205, "")</f>
        <v/>
      </c>
      <c r="K966" s="17" t="str">
        <f>IF($C966&lt;&gt;"", IF(AND($E966&lt;&gt;"", J966&lt;&gt;""), J966/$E966, 0),"")</f>
        <v/>
      </c>
      <c r="M966" s="106"/>
      <c r="V966" s="17" t="str">
        <f>IF(ISNUMBER($B930), IF($C966&lt;&gt;"", IF('Cost Inputs'!$L$205="Y", $E966, IF('Cost Inputs'!$L$205="N", IF(ISNUMBER('Cost Inputs'!$M$205), $E966, ""),"")),""),"")</f>
        <v/>
      </c>
      <c r="W966" s="17" t="str">
        <f>IF(ISNUMBER($B930), IF($C966&lt;&gt;"", IF('Cost Inputs'!$L$205="Y", $E966, IF('Cost Inputs'!$L$205="N", IF(ISNUMBER('Cost Inputs'!$M$205), $E966, ""),"")),""),"")</f>
        <v/>
      </c>
      <c r="X966" s="17" t="str">
        <f>IF(ISNUMBER($B930), IF($C966&lt;&gt;"", IF('Cost Inputs'!$L$205="Y", $E966, IF('Cost Inputs'!$L$205="N", IF(ISNUMBER('Cost Inputs'!$M$205), $E966, ""),"")),""),"")</f>
        <v/>
      </c>
      <c r="Y966" s="17" t="str">
        <f>IF(ISNUMBER($B930), IF($C966&lt;&gt;"", IF('Cost Inputs'!$L$205="Y", $E966, IF('Cost Inputs'!$L$205="N", IF(ISNUMBER('Cost Inputs'!$M$205), $E966, ""),"")),""),"")</f>
        <v/>
      </c>
      <c r="Z966" s="17" t="str">
        <f>IF(ISNUMBER($B930), IF($C966&lt;&gt;"", IF('Cost Inputs'!$L$205="Y", $E966, IF('Cost Inputs'!$L$205="N", IF(ISNUMBER('Cost Inputs'!$M$205), $E966, ""),"")),""),"")</f>
        <v/>
      </c>
      <c r="AA966" s="17" t="str">
        <f>IF(ISNUMBER($B930), IF($C966&lt;&gt;"", IF('Cost Inputs'!$L$205="Y", $E966, IF('Cost Inputs'!$L$205="N", IF(ISNUMBER('Cost Inputs'!$M$205), $E966, ""),"")),""),"")</f>
        <v/>
      </c>
      <c r="AB966" s="17" t="str">
        <f>IF(ISNUMBER($B930), IF($C966&lt;&gt;"", IF('Cost Inputs'!$L$205="Y", $E966, IF('Cost Inputs'!$L$205="N", IF(ISNUMBER('Cost Inputs'!$M$205), $E966, ""),"")),""),"")</f>
        <v/>
      </c>
      <c r="AC966" s="17" t="str">
        <f>IF(ISNUMBER($B930), IF($C966&lt;&gt;"", IF('Cost Inputs'!$L$205="Y", $E966, IF('Cost Inputs'!$L$205="N", IF(ISNUMBER('Cost Inputs'!$M$205), $E966, ""),"")),""),"")</f>
        <v/>
      </c>
      <c r="AD966" s="17" t="str">
        <f>IF(ISNUMBER($B930), IF($C966&lt;&gt;"", IF('Cost Inputs'!$L$205="Y", $E966, IF('Cost Inputs'!$L$205="N", IF(ISNUMBER('Cost Inputs'!$M$205), $E966, ""),"")),""),"")</f>
        <v/>
      </c>
      <c r="AE966" s="17" t="str">
        <f>IF(ISNUMBER($B930), IF($C966&lt;&gt;"", IF('Cost Inputs'!$L$205="Y", $E966, IF('Cost Inputs'!$L$205="N", IF(ISNUMBER('Cost Inputs'!$M$205), $E966, ""),"")),""),"")</f>
        <v/>
      </c>
    </row>
    <row r="967" spans="1:32" x14ac:dyDescent="0.25">
      <c r="A967" s="518"/>
      <c r="B967" s="504"/>
      <c r="C967" s="110" t="str">
        <f>IF(ISNUMBER(B930), _6_6_0, "")</f>
        <v/>
      </c>
      <c r="D967" s="94" t="str">
        <f>IF(AND(C967&lt;&gt;"", 'Cost Inputs'!$G$206&lt;&gt;""), 'Cost Inputs'!$G$206, "")</f>
        <v/>
      </c>
      <c r="E967" s="94" t="str">
        <f>IF(AND(C967&lt;&gt;"", 'Cost Inputs'!$H$206&lt;&gt;""), 'Cost Inputs'!$H$206, "")</f>
        <v/>
      </c>
      <c r="F967" s="94" t="str">
        <f>IF(AND(C967&lt;&gt;"", 'Cost Inputs'!$I$206&lt;&gt;""), 'Cost Inputs'!$I$206, "")</f>
        <v/>
      </c>
      <c r="G967" s="102" t="str">
        <f t="shared" si="496"/>
        <v/>
      </c>
      <c r="H967" s="94" t="str">
        <f>IF(AND(C967&lt;&gt;"", 'Cost Inputs'!$J$206&lt;&gt;""), 'Cost Inputs'!$J$206, "")</f>
        <v/>
      </c>
      <c r="I967" s="102" t="str">
        <f>IF($C967&lt;&gt;"",IF(AND($E967&lt;&gt;"",H967&lt;&gt;""), H967/$E967, 0),"")</f>
        <v/>
      </c>
      <c r="J967" s="94" t="str">
        <f>IF(AND(C967&lt;&gt;"",('Cost Inputs'!$I$206+'Cost Inputs'!$J$206+'Cost Inputs'!$K$206)&gt;0), 'Cost Inputs'!$I$206+'Cost Inputs'!$J$206+'Cost Inputs'!$K$206, "")</f>
        <v/>
      </c>
      <c r="K967" s="102" t="str">
        <f>IF($C967&lt;&gt;"",IF(AND($E967&lt;&gt;"",J967&lt;&gt;""), J967/$E967, 0),"")</f>
        <v/>
      </c>
      <c r="L967" s="94"/>
      <c r="M967" s="103"/>
      <c r="V967" s="94" t="str">
        <f>IF(ISNUMBER($B930), IF($C967&lt;&gt;"", IF('Cost Inputs'!$L$206="Y", $E967, IF('Cost Inputs'!$L$206="N", IF(ISNUMBER('Cost Inputs'!$M$206), $E967, ""),"")),""),"")</f>
        <v/>
      </c>
      <c r="W967" s="94" t="str">
        <f>IF(ISNUMBER($B930), IF($C967&lt;&gt;"", IF('Cost Inputs'!$L$206="Y", $E967, IF('Cost Inputs'!$L$206="N", IF(ISNUMBER('Cost Inputs'!$M$206), $E967, ""),"")),""),"")</f>
        <v/>
      </c>
      <c r="X967" s="94" t="str">
        <f>IF(ISNUMBER($B930), IF($C967&lt;&gt;"", IF('Cost Inputs'!$L$206="Y", $E967, IF('Cost Inputs'!$L$206="N", IF(ISNUMBER('Cost Inputs'!$M$206), $E967, ""),"")),""),"")</f>
        <v/>
      </c>
      <c r="Y967" s="94" t="str">
        <f>IF(ISNUMBER($B930), IF($C967&lt;&gt;"", IF('Cost Inputs'!$L$206="Y", $E967, IF('Cost Inputs'!$L$206="N", IF(ISNUMBER('Cost Inputs'!$M$206), $E967, ""),"")),""),"")</f>
        <v/>
      </c>
      <c r="Z967" s="94" t="str">
        <f>IF(ISNUMBER($B930), IF($C967&lt;&gt;"", IF('Cost Inputs'!$L$206="Y", $E967, IF('Cost Inputs'!$L$206="N", IF(ISNUMBER('Cost Inputs'!$M$206), $E967, ""),"")),""),"")</f>
        <v/>
      </c>
      <c r="AA967" s="94" t="str">
        <f>IF(ISNUMBER($B930), IF($C967&lt;&gt;"", IF('Cost Inputs'!$L$206="Y", $E967, IF('Cost Inputs'!$L$206="N", IF(ISNUMBER('Cost Inputs'!$M$206), $E967, ""),"")),""),"")</f>
        <v/>
      </c>
      <c r="AB967" s="94" t="str">
        <f>IF(ISNUMBER($B930), IF($C967&lt;&gt;"", IF('Cost Inputs'!$L$206="Y", $E967, IF('Cost Inputs'!$L$206="N", IF(ISNUMBER('Cost Inputs'!$M$206), $E967, ""),"")),""),"")</f>
        <v/>
      </c>
      <c r="AC967" s="94" t="str">
        <f>IF(ISNUMBER($B930), IF($C967&lt;&gt;"", IF('Cost Inputs'!$L$206="Y", $E967, IF('Cost Inputs'!$L$206="N", IF(ISNUMBER('Cost Inputs'!$M$206), $E967, ""),"")),""),"")</f>
        <v/>
      </c>
      <c r="AD967" s="94" t="str">
        <f>IF(ISNUMBER($B930), IF($C967&lt;&gt;"", IF('Cost Inputs'!$L$206="Y", $E967, IF('Cost Inputs'!$L$206="N", IF(ISNUMBER('Cost Inputs'!$M$206), $E967, ""),"")),""),"")</f>
        <v/>
      </c>
      <c r="AE967" s="94" t="str">
        <f>IF(ISNUMBER($B930), IF($C967&lt;&gt;"", IF('Cost Inputs'!$L$206="Y", $E967, IF('Cost Inputs'!$L$206="N", IF(ISNUMBER('Cost Inputs'!$M$206), $E967, ""),"")),""),"")</f>
        <v/>
      </c>
    </row>
    <row r="968" spans="1:32" x14ac:dyDescent="0.25">
      <c r="A968" s="518"/>
      <c r="B968" s="504"/>
      <c r="C968" s="104" t="str">
        <f>IF(AND(ISNUMBER(B930), OR('Cost Inputs'!$H$207&lt;&gt;"", 'Cost Inputs'!$I$207&lt;&gt;"", 'Cost Inputs'!$J$207&lt;&gt;"")), _6_6_1, "")</f>
        <v/>
      </c>
      <c r="D968" s="17" t="str">
        <f>IF(AND(C968&lt;&gt;"", 'Cost Inputs'!$G$207&lt;&gt;""), 'Cost Inputs'!$G$207, "")</f>
        <v/>
      </c>
      <c r="E968" s="17" t="str">
        <f>IF(AND(C968&lt;&gt;"", 'Cost Inputs'!$H$207&lt;&gt;""), 'Cost Inputs'!$H$207, "")</f>
        <v/>
      </c>
      <c r="F968" s="17" t="str">
        <f>IF(AND(C968&lt;&gt;"", 'Cost Inputs'!$I$207&lt;&gt;""), 'Cost Inputs'!$I$207, "")</f>
        <v/>
      </c>
      <c r="G968" s="105" t="str">
        <f t="shared" si="496"/>
        <v/>
      </c>
      <c r="H968" s="17" t="str">
        <f>IF(AND(C968&lt;&gt;"", 'Cost Inputs'!$J$207&lt;&gt;""), 'Cost Inputs'!$J$207, "")</f>
        <v/>
      </c>
      <c r="I968" s="17" t="str">
        <f>IF($C968&lt;&gt;"", IF(AND($E968&lt;&gt;"", H968&lt;&gt;""), H968/$E968, 0),"")</f>
        <v/>
      </c>
      <c r="J968" s="17" t="str">
        <f>IF(AND(C968&lt;&gt;"",('Cost Inputs'!$I$207+'Cost Inputs'!$J$207+'Cost Inputs'!$K$207)&gt;0), 'Cost Inputs'!$I$207+'Cost Inputs'!$J$207+'Cost Inputs'!$K$207, "")</f>
        <v/>
      </c>
      <c r="K968" s="17" t="str">
        <f>IF($C968&lt;&gt;"", IF(AND($E968&lt;&gt;"", J968&lt;&gt;""), J968/$E968, 0),"")</f>
        <v/>
      </c>
      <c r="M968" s="106"/>
      <c r="V968" s="17" t="str">
        <f>IF(ISNUMBER($B930), IF($C968&lt;&gt;"", IF('Cost Inputs'!$L$207="Y", $E968, IF('Cost Inputs'!$L$207="N", IF(ISNUMBER('Cost Inputs'!$M$207), $E968, ""),"")),""),"")</f>
        <v/>
      </c>
      <c r="W968" s="17" t="str">
        <f>IF(ISNUMBER($B930), IF($C968&lt;&gt;"", IF('Cost Inputs'!$L$207="Y", $E968, IF('Cost Inputs'!$L$207="N", IF(ISNUMBER('Cost Inputs'!$M$207), $E968, ""),"")),""),"")</f>
        <v/>
      </c>
      <c r="X968" s="17" t="str">
        <f>IF(ISNUMBER($B930), IF($C968&lt;&gt;"", IF('Cost Inputs'!$L$207="Y", $E968, IF('Cost Inputs'!$L$207="N", IF(ISNUMBER('Cost Inputs'!$M$207), $E968, ""),"")),""),"")</f>
        <v/>
      </c>
      <c r="Y968" s="17" t="str">
        <f>IF(ISNUMBER($B930), IF($C968&lt;&gt;"", IF('Cost Inputs'!$L$207="Y", $E968, IF('Cost Inputs'!$L$207="N", IF(ISNUMBER('Cost Inputs'!$M$207), $E968, ""),"")),""),"")</f>
        <v/>
      </c>
      <c r="Z968" s="17" t="str">
        <f>IF(ISNUMBER($B930), IF($C968&lt;&gt;"", IF('Cost Inputs'!$L$207="Y", $E968, IF('Cost Inputs'!$L$207="N", IF(ISNUMBER('Cost Inputs'!$M$207), $E968, ""),"")),""),"")</f>
        <v/>
      </c>
      <c r="AA968" s="17" t="str">
        <f>IF(ISNUMBER($B930), IF($C968&lt;&gt;"", IF('Cost Inputs'!$L$207="Y", $E968, IF('Cost Inputs'!$L$207="N", IF(ISNUMBER('Cost Inputs'!$M$207), $E968, ""),"")),""),"")</f>
        <v/>
      </c>
      <c r="AB968" s="17" t="str">
        <f>IF(ISNUMBER($B930), IF($C968&lt;&gt;"", IF('Cost Inputs'!$L$207="Y", $E968, IF('Cost Inputs'!$L$207="N", IF(ISNUMBER('Cost Inputs'!$M$207), $E968, ""),"")),""),"")</f>
        <v/>
      </c>
      <c r="AC968" s="17" t="str">
        <f>IF(ISNUMBER($B930), IF($C968&lt;&gt;"", IF('Cost Inputs'!$L$207="Y", $E968, IF('Cost Inputs'!$L$207="N", IF(ISNUMBER('Cost Inputs'!$M$207), $E968, ""),"")),""),"")</f>
        <v/>
      </c>
      <c r="AD968" s="17" t="str">
        <f>IF(ISNUMBER($B930), IF($C968&lt;&gt;"", IF('Cost Inputs'!$L$207="Y", $E968, IF('Cost Inputs'!$L$207="N", IF(ISNUMBER('Cost Inputs'!$M$207), $E968, ""),"")),""),"")</f>
        <v/>
      </c>
      <c r="AE968" s="17" t="str">
        <f>IF(ISNUMBER($B930), IF($C968&lt;&gt;"", IF('Cost Inputs'!$L$207="Y", $E968, IF('Cost Inputs'!$L$207="N", IF(ISNUMBER('Cost Inputs'!$M$207), $E968, ""),"")),""),"")</f>
        <v/>
      </c>
    </row>
    <row r="969" spans="1:32" ht="15.75" thickBot="1" x14ac:dyDescent="0.3">
      <c r="A969" s="518"/>
      <c r="B969" s="505"/>
      <c r="C969" s="111" t="str">
        <f>IF(AND(ISNUMBER(B930), OR('Cost Inputs'!$H$208&lt;&gt;"", 'Cost Inputs'!$I$208&lt;&gt;"", 'Cost Inputs'!$J$208&lt;&gt;"")), _6_6_2, "")</f>
        <v/>
      </c>
      <c r="D969" s="95" t="str">
        <f>IF(AND(C969&lt;&gt;"", 'Cost Inputs'!$G$208&lt;&gt;""), 'Cost Inputs'!$G$208, "")</f>
        <v/>
      </c>
      <c r="E969" s="95" t="str">
        <f>IF(AND(C969&lt;&gt;"", 'Cost Inputs'!$H$208&lt;&gt;""), 'Cost Inputs'!$H$208, "")</f>
        <v/>
      </c>
      <c r="F969" s="95" t="str">
        <f>IF(AND(C969&lt;&gt;"", 'Cost Inputs'!$I$208&lt;&gt;""), 'Cost Inputs'!$I$208, "")</f>
        <v/>
      </c>
      <c r="G969" s="112" t="str">
        <f t="shared" si="496"/>
        <v/>
      </c>
      <c r="H969" s="95" t="str">
        <f>IF(AND(C969&lt;&gt;"", 'Cost Inputs'!$J$208&lt;&gt;""), 'Cost Inputs'!$J$208, "")</f>
        <v/>
      </c>
      <c r="I969" s="95" t="str">
        <f>IF($C969&lt;&gt;"", IF(AND($E969&lt;&gt;"", H969&lt;&gt;""), H969/$E969, 0),"")</f>
        <v/>
      </c>
      <c r="J969" s="95" t="str">
        <f>IF(AND(C969&lt;&gt;"",('Cost Inputs'!$I$208+'Cost Inputs'!$J$208+'Cost Inputs'!$K$208)&gt;0), 'Cost Inputs'!$I$208+'Cost Inputs'!$J$208+'Cost Inputs'!$K$208, "")</f>
        <v/>
      </c>
      <c r="K969" s="95" t="str">
        <f>IF($C969&lt;&gt;"", IF(AND($E969&lt;&gt;"", J969&lt;&gt;""), J969/$E969, 0),"")</f>
        <v/>
      </c>
      <c r="L969" s="95"/>
      <c r="M969" s="113"/>
      <c r="V969" s="95" t="str">
        <f>IF(ISNUMBER($B930), IF($C969&lt;&gt;"", IF('Cost Inputs'!$L$208="Y", $E969, IF('Cost Inputs'!$L$208="N", IF(ISNUMBER('Cost Inputs'!$M$208), $E969, ""),"")),""),"")</f>
        <v/>
      </c>
      <c r="W969" s="95" t="str">
        <f>IF(ISNUMBER($B930), IF($C969&lt;&gt;"", IF('Cost Inputs'!$L$208="Y", $E969, IF('Cost Inputs'!$L$208="N", IF(ISNUMBER('Cost Inputs'!$M$208), $E969, ""),"")),""),"")</f>
        <v/>
      </c>
      <c r="X969" s="95" t="str">
        <f>IF(ISNUMBER($B930), IF($C969&lt;&gt;"", IF('Cost Inputs'!$L$208="Y", $E969, IF('Cost Inputs'!$L$208="N", IF(ISNUMBER('Cost Inputs'!$M$208), $E969, ""),"")),""),"")</f>
        <v/>
      </c>
      <c r="Y969" s="95" t="str">
        <f>IF(ISNUMBER($B930), IF($C969&lt;&gt;"", IF('Cost Inputs'!$L$208="Y", $E969, IF('Cost Inputs'!$L$208="N", IF(ISNUMBER('Cost Inputs'!$M$208), $E969, ""),"")),""),"")</f>
        <v/>
      </c>
      <c r="Z969" s="95" t="str">
        <f>IF(ISNUMBER($B930), IF($C969&lt;&gt;"", IF('Cost Inputs'!$L$208="Y", $E969, IF('Cost Inputs'!$L$208="N", IF(ISNUMBER('Cost Inputs'!$M$208), $E969, ""),"")),""),"")</f>
        <v/>
      </c>
      <c r="AA969" s="95" t="str">
        <f>IF(ISNUMBER($B930), IF($C969&lt;&gt;"", IF('Cost Inputs'!$L$208="Y", $E969, IF('Cost Inputs'!$L$208="N", IF(ISNUMBER('Cost Inputs'!$M$208), $E969, ""),"")),""),"")</f>
        <v/>
      </c>
      <c r="AB969" s="95" t="str">
        <f>IF(ISNUMBER($B930), IF($C969&lt;&gt;"", IF('Cost Inputs'!$L$208="Y", $E969, IF('Cost Inputs'!$L$208="N", IF(ISNUMBER('Cost Inputs'!$M$208), $E969, ""),"")),""),"")</f>
        <v/>
      </c>
      <c r="AC969" s="95" t="str">
        <f>IF(ISNUMBER($B930), IF($C969&lt;&gt;"", IF('Cost Inputs'!$L$208="Y", $E969, IF('Cost Inputs'!$L$208="N", IF(ISNUMBER('Cost Inputs'!$M$208), $E969, ""),"")),""),"")</f>
        <v/>
      </c>
      <c r="AD969" s="95" t="str">
        <f>IF(ISNUMBER($B930), IF($C969&lt;&gt;"", IF('Cost Inputs'!$L$208="Y", $E969, IF('Cost Inputs'!$L$208="N", IF(ISNUMBER('Cost Inputs'!$M$208), $E969, ""),"")),""),"")</f>
        <v/>
      </c>
      <c r="AE969" s="95" t="str">
        <f>IF(ISNUMBER($B930), IF($C969&lt;&gt;"", IF('Cost Inputs'!$L$208="Y", $E969, IF('Cost Inputs'!$L$208="N", IF(ISNUMBER('Cost Inputs'!$M$208), $E969, ""),"")),""),"")</f>
        <v/>
      </c>
    </row>
    <row r="970" spans="1:32" x14ac:dyDescent="0.25">
      <c r="A970" s="518" t="str">
        <f>Sixth_Stage</f>
        <v>Stage 4 Grower Trials</v>
      </c>
      <c r="B970" s="503" t="str">
        <f>'Breeding Inputs'!B121</f>
        <v/>
      </c>
      <c r="C970" s="521" t="str">
        <f>IF(ISNUMBER(B952), _6_3_0, "")</f>
        <v/>
      </c>
      <c r="D970" s="94" t="str">
        <f>IF(AND(C970&lt;&gt;"", 'Cost Inputs'!$G$187&lt;&gt;""), 'Cost Inputs'!$G$187, "")</f>
        <v/>
      </c>
      <c r="E970" s="94" t="str">
        <f>IF(AND(C970&lt;&gt;"", 'Cost Inputs'!$H$187&lt;&gt;""), 'Cost Inputs'!$H$187, "")</f>
        <v/>
      </c>
      <c r="F970" s="492" t="str">
        <f>IF(AND(C970&lt;&gt;"", 'Cost Inputs'!$I$187&lt;&gt;""), 'Cost Inputs'!$I$187, "")</f>
        <v/>
      </c>
      <c r="G970" s="102" t="str">
        <f t="shared" si="496"/>
        <v/>
      </c>
      <c r="H970" s="492" t="str">
        <f>IF(AND(C970&lt;&gt;"", 'Cost Inputs'!$J$187&lt;&gt;""), 'Cost Inputs'!$J$187, "")</f>
        <v/>
      </c>
      <c r="I970" s="102" t="str">
        <f>IF($C970&lt;&gt;"",IF(AND($E970&lt;&gt;"",H970&lt;&gt;""), H970/$E970, 0),"")</f>
        <v/>
      </c>
      <c r="J970" s="492" t="str">
        <f>IF(AND(C970&lt;&gt;"",('Cost Inputs'!$I$187+'Cost Inputs'!$J$187+'Cost Inputs'!$K$187)&gt;0), 'Cost Inputs'!$I$187+'Cost Inputs'!$J$187+'Cost Inputs'!$K$187, "")</f>
        <v/>
      </c>
      <c r="K970" s="102" t="str">
        <f>IF($C970&lt;&gt;"",IF(AND($E970&lt;&gt;"",J970&lt;&gt;""), J970/$E970, 0),"")</f>
        <v/>
      </c>
      <c r="L970" s="94"/>
      <c r="M970" s="103"/>
      <c r="W970" s="492" t="str">
        <f>IF(ISNUMBER($B952), IF($C970&lt;&gt;"", IF('Cost Inputs'!$L$187="Y", $E970, IF('Cost Inputs'!$L$187="N", IF(ISNUMBER('Cost Inputs'!$M$187), $E970, ""),"")),""),"")</f>
        <v/>
      </c>
      <c r="X970" s="492" t="str">
        <f>IF(ISNUMBER($B952), IF($C970&lt;&gt;"", IF('Cost Inputs'!$L$187="Y", $E970, IF('Cost Inputs'!$L$187="N", IF(ISNUMBER('Cost Inputs'!$M$187), $E970, ""),"")),""),"")</f>
        <v/>
      </c>
      <c r="Y970" s="492" t="str">
        <f>IF(ISNUMBER($B952), IF($C970&lt;&gt;"", IF('Cost Inputs'!$L$187="Y", $E970, IF('Cost Inputs'!$L$187="N", IF(ISNUMBER('Cost Inputs'!$M$187), $E970, ""),"")),""),"")</f>
        <v/>
      </c>
      <c r="Z970" s="492" t="str">
        <f>IF(ISNUMBER($B952), IF($C970&lt;&gt;"", IF('Cost Inputs'!$L$187="Y", $E970, IF('Cost Inputs'!$L$187="N", IF(ISNUMBER('Cost Inputs'!$M$187), $E970, ""),"")),""),"")</f>
        <v/>
      </c>
      <c r="AA970" s="492" t="str">
        <f>IF(ISNUMBER($B952), IF($C970&lt;&gt;"", IF('Cost Inputs'!$L$187="Y", $E970, IF('Cost Inputs'!$L$187="N", IF(ISNUMBER('Cost Inputs'!$M$187), $E970, ""),"")),""),"")</f>
        <v/>
      </c>
      <c r="AB970" s="492" t="str">
        <f>IF(ISNUMBER($B952), IF($C970&lt;&gt;"", IF('Cost Inputs'!$L$187="Y", $E970, IF('Cost Inputs'!$L$187="N", IF(ISNUMBER('Cost Inputs'!$M$187), $E970, ""),"")),""),"")</f>
        <v/>
      </c>
      <c r="AC970" s="492" t="str">
        <f>IF(ISNUMBER($B952), IF($C970&lt;&gt;"", IF('Cost Inputs'!$L$187="Y", $E970, IF('Cost Inputs'!$L$187="N", IF(ISNUMBER('Cost Inputs'!$M$187), $E970, ""),"")),""),"")</f>
        <v/>
      </c>
      <c r="AD970" s="492" t="str">
        <f>IF(ISNUMBER($B952), IF($C970&lt;&gt;"", IF('Cost Inputs'!$L$187="Y", $E970, IF('Cost Inputs'!$L$187="N", IF(ISNUMBER('Cost Inputs'!$M$187), $E970, ""),"")),""),"")</f>
        <v/>
      </c>
      <c r="AE970" s="492" t="str">
        <f>IF(ISNUMBER($B952), IF($C970&lt;&gt;"", IF('Cost Inputs'!$L$187="Y", $E970, IF('Cost Inputs'!$L$187="N", IF(ISNUMBER('Cost Inputs'!$M$187), $E970, ""),"")),""),"")</f>
        <v/>
      </c>
      <c r="AF970" s="492" t="str">
        <f>IF(ISNUMBER($B952), IF($C970&lt;&gt;"", IF('Cost Inputs'!$L$187="Y", $E970, IF('Cost Inputs'!$L$187="N", IF(ISNUMBER('Cost Inputs'!$M$187), $E970, ""),"")),""),"")</f>
        <v/>
      </c>
    </row>
    <row r="971" spans="1:32" x14ac:dyDescent="0.25">
      <c r="A971" s="518"/>
      <c r="B971" s="504"/>
      <c r="C971" s="521"/>
      <c r="D971" s="94" t="str">
        <f>IF(AND(C970&lt;&gt;"", 'Cost Inputs'!$G$188&lt;&gt;""), 'Cost Inputs'!$G$188, "")</f>
        <v/>
      </c>
      <c r="E971" s="94" t="str">
        <f>IF(AND(C970&lt;&gt;"", 'Cost Inputs'!$H$188&lt;&gt;""), 'Cost Inputs'!$H$188, "")</f>
        <v/>
      </c>
      <c r="F971" s="492"/>
      <c r="G971" s="102" t="str">
        <f t="shared" si="496"/>
        <v/>
      </c>
      <c r="H971" s="492"/>
      <c r="I971" s="102" t="str">
        <f>IF($C970&lt;&gt;"", IF(AND($E971&lt;&gt;"", H970&lt;&gt;""), H970/($E970*$E971), 0), "")</f>
        <v/>
      </c>
      <c r="J971" s="492" t="str">
        <f>IF(AND(C971&lt;&gt;"",('Cost Inputs'!$I$86+'Cost Inputs'!$J$86+'Cost Inputs'!$K$86)&gt;0), 'Cost Inputs'!$I$86+'Cost Inputs'!$J$86+'Cost Inputs'!$K$86, "")</f>
        <v/>
      </c>
      <c r="K971" s="102" t="str">
        <f>IF($C970&lt;&gt;"", IF(AND($E971&lt;&gt;"", J970&lt;&gt;""), J970/($E970*$E971), 0), "")</f>
        <v/>
      </c>
      <c r="L971" s="94"/>
      <c r="M971" s="103"/>
      <c r="W971" s="492" t="str">
        <f>IF(ISNUMBER($B$776), IF($C971&lt;&gt;"", IF('Cost Inputs'!$L364="Y", $E971, IF('Cost Inputs'!$L364="N", IF(ISNUMBER('Cost Inputs'!$M364), $E971, ""),"")),""),"")</f>
        <v/>
      </c>
      <c r="X971" s="492" t="str">
        <f>IF(ISNUMBER($B$776), IF($C971&lt;&gt;"", IF('Cost Inputs'!$L364="Y", $E971, IF('Cost Inputs'!$L364="N", IF(ISNUMBER('Cost Inputs'!$M364), $E971, ""),"")),""),"")</f>
        <v/>
      </c>
      <c r="Y971" s="492" t="str">
        <f>IF(ISNUMBER($B$776), IF($C971&lt;&gt;"", IF('Cost Inputs'!$L364="Y", $E971, IF('Cost Inputs'!$L364="N", IF(ISNUMBER('Cost Inputs'!$M364), $E971, ""),"")),""),"")</f>
        <v/>
      </c>
      <c r="Z971" s="492" t="str">
        <f>IF(ISNUMBER($B$776), IF($C971&lt;&gt;"", IF('Cost Inputs'!$L364="Y", $E971, IF('Cost Inputs'!$L364="N", IF(ISNUMBER('Cost Inputs'!$M364), $E971, ""),"")),""),"")</f>
        <v/>
      </c>
      <c r="AA971" s="492" t="str">
        <f>IF(ISNUMBER($B$776), IF($C971&lt;&gt;"", IF('Cost Inputs'!$L364="Y", $E971, IF('Cost Inputs'!$L364="N", IF(ISNUMBER('Cost Inputs'!$M364), $E971, ""),"")),""),"")</f>
        <v/>
      </c>
      <c r="AB971" s="492" t="str">
        <f>IF(ISNUMBER($B$776), IF($C971&lt;&gt;"", IF('Cost Inputs'!$L364="Y", $E971, IF('Cost Inputs'!$L364="N", IF(ISNUMBER('Cost Inputs'!$M364), $E971, ""),"")),""),"")</f>
        <v/>
      </c>
      <c r="AC971" s="492" t="str">
        <f>IF(ISNUMBER($B$776), IF($C971&lt;&gt;"", IF('Cost Inputs'!$L364="Y", $E971, IF('Cost Inputs'!$L364="N", IF(ISNUMBER('Cost Inputs'!$M364), $E971, ""),"")),""),"")</f>
        <v/>
      </c>
      <c r="AD971" s="492" t="str">
        <f>IF(ISNUMBER($B$776), IF($C971&lt;&gt;"", IF('Cost Inputs'!$L364="Y", $E971, IF('Cost Inputs'!$L364="N", IF(ISNUMBER('Cost Inputs'!$M364), $E971, ""),"")),""),"")</f>
        <v/>
      </c>
      <c r="AE971" s="492" t="str">
        <f>IF(ISNUMBER($B$776), IF($C971&lt;&gt;"", IF('Cost Inputs'!$L364="Y", $E971, IF('Cost Inputs'!$L364="N", IF(ISNUMBER('Cost Inputs'!$M364), $E971, ""),"")),""),"")</f>
        <v/>
      </c>
      <c r="AF971" s="492" t="str">
        <f>IF(ISNUMBER($B$776), IF($C971&lt;&gt;"", IF('Cost Inputs'!$L364="Y", $E971, IF('Cost Inputs'!$L364="N", IF(ISNUMBER('Cost Inputs'!$M364), $E971, ""),"")),""),"")</f>
        <v/>
      </c>
    </row>
    <row r="972" spans="1:32" x14ac:dyDescent="0.25">
      <c r="A972" s="518"/>
      <c r="B972" s="504"/>
      <c r="C972" s="104" t="str">
        <f>IF(AND(ISNUMBER(B952), OR('Cost Inputs'!$H$189&lt;&gt;"", 'Cost Inputs'!$I$189&lt;&gt;"", 'Cost Inputs'!$J$189&lt;&gt;"")), _6_3_1, "")</f>
        <v/>
      </c>
      <c r="D972" s="17" t="str">
        <f>IF(AND(C972&lt;&gt;"", 'Cost Inputs'!$G$189&lt;&gt;""), 'Cost Inputs'!$G$189, "")</f>
        <v/>
      </c>
      <c r="E972" s="17" t="str">
        <f>IF(AND(C972&lt;&gt;"", 'Cost Inputs'!$H$189&lt;&gt;""), 'Cost Inputs'!$H$189, "")</f>
        <v/>
      </c>
      <c r="F972" s="17" t="str">
        <f>IF(AND(C972&lt;&gt;"", 'Cost Inputs'!$I$189&lt;&gt;""), 'Cost Inputs'!$I$189, "")</f>
        <v/>
      </c>
      <c r="G972" s="105" t="str">
        <f t="shared" si="496"/>
        <v/>
      </c>
      <c r="H972" s="17" t="str">
        <f>IF(AND(C972&lt;&gt;"", 'Cost Inputs'!$J$189&lt;&gt;""), 'Cost Inputs'!$J$189, "")</f>
        <v/>
      </c>
      <c r="I972" s="17" t="str">
        <f t="shared" ref="I972:I980" si="499">IF($C972&lt;&gt;"", IF(AND($E972&lt;&gt;"", H972&lt;&gt;""), H972/$E972, 0),"")</f>
        <v/>
      </c>
      <c r="J972" s="17" t="str">
        <f>IF(AND(C972&lt;&gt;"",('Cost Inputs'!$I$189+'Cost Inputs'!$J$189+'Cost Inputs'!$K$189)&gt;0), 'Cost Inputs'!$I$189+'Cost Inputs'!$J$189+'Cost Inputs'!$K$189, "")</f>
        <v/>
      </c>
      <c r="K972" s="17" t="str">
        <f t="shared" ref="K972:K980" si="500">IF($C972&lt;&gt;"", IF(AND($E972&lt;&gt;"", J972&lt;&gt;""), J972/$E972, 0),"")</f>
        <v/>
      </c>
      <c r="M972" s="106"/>
      <c r="W972" s="17" t="str">
        <f>IF(ISNUMBER($B952), IF($C972&lt;&gt;"", IF('Cost Inputs'!$L$189="Y", $E972, IF('Cost Inputs'!$L$189="N", IF(ISNUMBER('Cost Inputs'!$M$189), $E972, ""),"")),""),"")</f>
        <v/>
      </c>
      <c r="X972" s="17" t="str">
        <f>IF(ISNUMBER($B952), IF($C972&lt;&gt;"", IF('Cost Inputs'!$L$189="Y", $E972, IF('Cost Inputs'!$L$189="N", IF(ISNUMBER('Cost Inputs'!$M$189), $E972, ""),"")),""),"")</f>
        <v/>
      </c>
      <c r="Y972" s="17" t="str">
        <f>IF(ISNUMBER($B952), IF($C972&lt;&gt;"", IF('Cost Inputs'!$L$189="Y", $E972, IF('Cost Inputs'!$L$189="N", IF(ISNUMBER('Cost Inputs'!$M$189), $E972, ""),"")),""),"")</f>
        <v/>
      </c>
      <c r="Z972" s="17" t="str">
        <f>IF(ISNUMBER($B952), IF($C972&lt;&gt;"", IF('Cost Inputs'!$L$189="Y", $E972, IF('Cost Inputs'!$L$189="N", IF(ISNUMBER('Cost Inputs'!$M$189), $E972, ""),"")),""),"")</f>
        <v/>
      </c>
      <c r="AA972" s="17" t="str">
        <f>IF(ISNUMBER($B952), IF($C972&lt;&gt;"", IF('Cost Inputs'!$L$189="Y", $E972, IF('Cost Inputs'!$L$189="N", IF(ISNUMBER('Cost Inputs'!$M$189), $E972, ""),"")),""),"")</f>
        <v/>
      </c>
      <c r="AB972" s="17" t="str">
        <f>IF(ISNUMBER($B952), IF($C972&lt;&gt;"", IF('Cost Inputs'!$L$189="Y", $E972, IF('Cost Inputs'!$L$189="N", IF(ISNUMBER('Cost Inputs'!$M$189), $E972, ""),"")),""),"")</f>
        <v/>
      </c>
      <c r="AC972" s="17" t="str">
        <f>IF(ISNUMBER($B952), IF($C972&lt;&gt;"", IF('Cost Inputs'!$L$189="Y", $E972, IF('Cost Inputs'!$L$189="N", IF(ISNUMBER('Cost Inputs'!$M$189), $E972, ""),"")),""),"")</f>
        <v/>
      </c>
      <c r="AD972" s="17" t="str">
        <f>IF(ISNUMBER($B952), IF($C972&lt;&gt;"", IF('Cost Inputs'!$L$189="Y", $E972, IF('Cost Inputs'!$L$189="N", IF(ISNUMBER('Cost Inputs'!$M$189), $E972, ""),"")),""),"")</f>
        <v/>
      </c>
      <c r="AE972" s="17" t="str">
        <f>IF(ISNUMBER($B952), IF($C972&lt;&gt;"", IF('Cost Inputs'!$L$189="Y", $E972, IF('Cost Inputs'!$L$189="N", IF(ISNUMBER('Cost Inputs'!$M$189), $E972, ""),"")),""),"")</f>
        <v/>
      </c>
      <c r="AF972" s="17" t="str">
        <f>IF(ISNUMBER($B952), IF($C972&lt;&gt;"", IF('Cost Inputs'!$L$189="Y", $E972, IF('Cost Inputs'!$L$189="N", IF(ISNUMBER('Cost Inputs'!$M$189), $E972, ""),"")),""),"")</f>
        <v/>
      </c>
    </row>
    <row r="973" spans="1:32" x14ac:dyDescent="0.25">
      <c r="A973" s="518"/>
      <c r="B973" s="504"/>
      <c r="C973" s="107" t="str">
        <f>IF(AND(ISNUMBER(B952), OR('Cost Inputs'!$H$190&lt;&gt;"", 'Cost Inputs'!$I$190&lt;&gt;"", 'Cost Inputs'!$J$190&lt;&gt;"")), _6_3_2, "")</f>
        <v/>
      </c>
      <c r="D973" s="93" t="str">
        <f>IF(AND(C973&lt;&gt;"", 'Cost Inputs'!$G$190&lt;&gt;""), 'Cost Inputs'!$G$190, "")</f>
        <v/>
      </c>
      <c r="E973" s="93" t="str">
        <f>IF(AND(C973&lt;&gt;"", 'Cost Inputs'!$H$190&lt;&gt;""), 'Cost Inputs'!$H$190, "")</f>
        <v/>
      </c>
      <c r="F973" s="93" t="str">
        <f>IF(AND(C973&lt;&gt;"", 'Cost Inputs'!$I$190&lt;&gt;""), 'Cost Inputs'!$I$190, "")</f>
        <v/>
      </c>
      <c r="G973" s="108" t="str">
        <f t="shared" si="496"/>
        <v/>
      </c>
      <c r="H973" s="93" t="str">
        <f>IF(AND(C973&lt;&gt;"", 'Cost Inputs'!$J$190&lt;&gt;""), 'Cost Inputs'!$J$190, "")</f>
        <v/>
      </c>
      <c r="I973" s="93" t="str">
        <f t="shared" si="499"/>
        <v/>
      </c>
      <c r="J973" s="93" t="str">
        <f>IF(AND(C973&lt;&gt;"",('Cost Inputs'!$I$190+'Cost Inputs'!$J$190+'Cost Inputs'!$K$190)&gt;0), 'Cost Inputs'!$I$190+'Cost Inputs'!$J$190+'Cost Inputs'!$K$190, "")</f>
        <v/>
      </c>
      <c r="K973" s="93" t="str">
        <f t="shared" si="500"/>
        <v/>
      </c>
      <c r="L973" s="93"/>
      <c r="M973" s="109"/>
      <c r="W973" s="93" t="str">
        <f>IF(ISNUMBER($B952), IF($C973&lt;&gt;"", IF('Cost Inputs'!$L$190="Y", $E973, IF('Cost Inputs'!$L$190="N", IF(ISNUMBER('Cost Inputs'!$M$190), $E973, ""),"")),""),"")</f>
        <v/>
      </c>
      <c r="X973" s="93" t="str">
        <f>IF(ISNUMBER($B952), IF($C973&lt;&gt;"", IF('Cost Inputs'!$L$190="Y", $E973, IF('Cost Inputs'!$L$190="N", IF(ISNUMBER('Cost Inputs'!$M$190), $E973, ""),"")),""),"")</f>
        <v/>
      </c>
      <c r="Y973" s="93" t="str">
        <f>IF(ISNUMBER($B952), IF($C973&lt;&gt;"", IF('Cost Inputs'!$L$190="Y", $E973, IF('Cost Inputs'!$L$190="N", IF(ISNUMBER('Cost Inputs'!$M$190), $E973, ""),"")),""),"")</f>
        <v/>
      </c>
      <c r="Z973" s="93" t="str">
        <f>IF(ISNUMBER($B952), IF($C973&lt;&gt;"", IF('Cost Inputs'!$L$190="Y", $E973, IF('Cost Inputs'!$L$190="N", IF(ISNUMBER('Cost Inputs'!$M$190), $E973, ""),"")),""),"")</f>
        <v/>
      </c>
      <c r="AA973" s="93" t="str">
        <f>IF(ISNUMBER($B952), IF($C973&lt;&gt;"", IF('Cost Inputs'!$L$190="Y", $E973, IF('Cost Inputs'!$L$190="N", IF(ISNUMBER('Cost Inputs'!$M$190), $E973, ""),"")),""),"")</f>
        <v/>
      </c>
      <c r="AB973" s="93" t="str">
        <f>IF(ISNUMBER($B952), IF($C973&lt;&gt;"", IF('Cost Inputs'!$L$190="Y", $E973, IF('Cost Inputs'!$L$190="N", IF(ISNUMBER('Cost Inputs'!$M$190), $E973, ""),"")),""),"")</f>
        <v/>
      </c>
      <c r="AC973" s="93" t="str">
        <f>IF(ISNUMBER($B952), IF($C973&lt;&gt;"", IF('Cost Inputs'!$L$190="Y", $E973, IF('Cost Inputs'!$L$190="N", IF(ISNUMBER('Cost Inputs'!$M$190), $E973, ""),"")),""),"")</f>
        <v/>
      </c>
      <c r="AD973" s="93" t="str">
        <f>IF(ISNUMBER($B952), IF($C973&lt;&gt;"", IF('Cost Inputs'!$L$190="Y", $E973, IF('Cost Inputs'!$L$190="N", IF(ISNUMBER('Cost Inputs'!$M$190), $E973, ""),"")),""),"")</f>
        <v/>
      </c>
      <c r="AE973" s="93" t="str">
        <f>IF(ISNUMBER($B952), IF($C973&lt;&gt;"", IF('Cost Inputs'!$L$190="Y", $E973, IF('Cost Inputs'!$L$190="N", IF(ISNUMBER('Cost Inputs'!$M$190), $E973, ""),"")),""),"")</f>
        <v/>
      </c>
      <c r="AF973" s="93" t="str">
        <f>IF(ISNUMBER($B952), IF($C973&lt;&gt;"", IF('Cost Inputs'!$L$190="Y", $E973, IF('Cost Inputs'!$L$190="N", IF(ISNUMBER('Cost Inputs'!$M$190), $E973, ""),"")),""),"")</f>
        <v/>
      </c>
    </row>
    <row r="974" spans="1:32" x14ac:dyDescent="0.25">
      <c r="A974" s="518"/>
      <c r="B974" s="504"/>
      <c r="C974" s="110" t="str">
        <f>IF(ISNUMBER(B952), _6_4_0, "")</f>
        <v/>
      </c>
      <c r="D974" s="94" t="str">
        <f>IF(AND(C974&lt;&gt;"", 'Cost Inputs'!$G$191&lt;&gt;""), 'Cost Inputs'!$G$191, "")</f>
        <v/>
      </c>
      <c r="E974" s="94" t="str">
        <f>IF(AND(C974&lt;&gt;"", 'Cost Inputs'!$H$191&lt;&gt;""), 'Cost Inputs'!$H$191, "")</f>
        <v/>
      </c>
      <c r="F974" s="94" t="str">
        <f>IF(AND(C974&lt;&gt;"", 'Cost Inputs'!$I$191&lt;&gt;""), 'Cost Inputs'!$I$191, "")</f>
        <v/>
      </c>
      <c r="G974" s="102" t="str">
        <f t="shared" si="496"/>
        <v/>
      </c>
      <c r="H974" s="102" t="str">
        <f>IF(AND(C974&lt;&gt;"", 'Cost Inputs'!$J$191&lt;&gt;""), 'Cost Inputs'!$J$191, "")</f>
        <v/>
      </c>
      <c r="I974" s="102" t="str">
        <f t="shared" si="499"/>
        <v/>
      </c>
      <c r="J974" s="102" t="str">
        <f>IF(AND(C974&lt;&gt;"",('Cost Inputs'!$I$191+'Cost Inputs'!$J$191+'Cost Inputs'!$K$191)&gt;0), 'Cost Inputs'!$I$191+'Cost Inputs'!$J$191+'Cost Inputs'!$K$191, "")</f>
        <v/>
      </c>
      <c r="K974" s="102" t="str">
        <f t="shared" si="500"/>
        <v/>
      </c>
      <c r="L974" s="94"/>
      <c r="M974" s="103"/>
      <c r="W974" s="102" t="str">
        <f>IF(ISNUMBER($B952), IF($C974&lt;&gt;"", IF('Cost Inputs'!$L$191="Y", $E974, IF('Cost Inputs'!$L$191="N", IF(ISNUMBER('Cost Inputs'!$M$191), $E974, ""),"")),""),"")</f>
        <v/>
      </c>
      <c r="X974" s="102" t="str">
        <f>IF(ISNUMBER($B952), IF($C974&lt;&gt;"", IF('Cost Inputs'!$L$191="Y", $E974, IF('Cost Inputs'!$L$191="N", IF(ISNUMBER('Cost Inputs'!$M$191), $E974, ""),"")),""),"")</f>
        <v/>
      </c>
      <c r="Y974" s="102" t="str">
        <f>IF(ISNUMBER($B952), IF($C974&lt;&gt;"", IF('Cost Inputs'!$L$191="Y", $E974, IF('Cost Inputs'!$L$191="N", IF(ISNUMBER('Cost Inputs'!$M$191), $E974, ""),"")),""),"")</f>
        <v/>
      </c>
      <c r="Z974" s="102" t="str">
        <f>IF(ISNUMBER($B952), IF($C974&lt;&gt;"", IF('Cost Inputs'!$L$191="Y", $E974, IF('Cost Inputs'!$L$191="N", IF(ISNUMBER('Cost Inputs'!$M$191), $E974, ""),"")),""),"")</f>
        <v/>
      </c>
      <c r="AA974" s="102" t="str">
        <f>IF(ISNUMBER($B952), IF($C974&lt;&gt;"", IF('Cost Inputs'!$L$191="Y", $E974, IF('Cost Inputs'!$L$191="N", IF(ISNUMBER('Cost Inputs'!$M$191), $E974, ""),"")),""),"")</f>
        <v/>
      </c>
      <c r="AB974" s="102" t="str">
        <f>IF(ISNUMBER($B952), IF($C974&lt;&gt;"", IF('Cost Inputs'!$L$191="Y", $E974, IF('Cost Inputs'!$L$191="N", IF(ISNUMBER('Cost Inputs'!$M$191), $E974, ""),"")),""),"")</f>
        <v/>
      </c>
      <c r="AC974" s="102" t="str">
        <f>IF(ISNUMBER($B952), IF($C974&lt;&gt;"", IF('Cost Inputs'!$L$191="Y", $E974, IF('Cost Inputs'!$L$191="N", IF(ISNUMBER('Cost Inputs'!$M$191), $E974, ""),"")),""),"")</f>
        <v/>
      </c>
      <c r="AD974" s="102" t="str">
        <f>IF(ISNUMBER($B952), IF($C974&lt;&gt;"", IF('Cost Inputs'!$L$191="Y", $E974, IF('Cost Inputs'!$L$191="N", IF(ISNUMBER('Cost Inputs'!$M$191), $E974, ""),"")),""),"")</f>
        <v/>
      </c>
      <c r="AE974" s="102" t="str">
        <f>IF(ISNUMBER($B952), IF($C974&lt;&gt;"", IF('Cost Inputs'!$L$191="Y", $E974, IF('Cost Inputs'!$L$191="N", IF(ISNUMBER('Cost Inputs'!$M$191), $E974, ""),"")),""),"")</f>
        <v/>
      </c>
      <c r="AF974" s="102" t="str">
        <f>IF(ISNUMBER($B952), IF($C974&lt;&gt;"", IF('Cost Inputs'!$L$191="Y", $E974, IF('Cost Inputs'!$L$191="N", IF(ISNUMBER('Cost Inputs'!$M$191), $E974, ""),"")),""),"")</f>
        <v/>
      </c>
    </row>
    <row r="975" spans="1:32" x14ac:dyDescent="0.25">
      <c r="A975" s="518"/>
      <c r="B975" s="504"/>
      <c r="C975" s="104" t="str">
        <f>IF(AND(ISNUMBER(B952), OR('Cost Inputs'!$H$192&lt;&gt;"", 'Cost Inputs'!$I$192&lt;&gt;"", 'Cost Inputs'!$J$192&lt;&gt;"")), _6_4_1, "")</f>
        <v/>
      </c>
      <c r="D975" s="17" t="str">
        <f>IF(AND(C975&lt;&gt;"", 'Cost Inputs'!$G$192&lt;&gt;""), 'Cost Inputs'!$G$192, "")</f>
        <v/>
      </c>
      <c r="E975" s="17" t="str">
        <f>IF(AND(C975&lt;&gt;"", 'Cost Inputs'!$H$192&lt;&gt;""), 'Cost Inputs'!$H$192, "")</f>
        <v/>
      </c>
      <c r="F975" s="17" t="str">
        <f>IF(AND(C975&lt;&gt;"", 'Cost Inputs'!$I$192&lt;&gt;""), 'Cost Inputs'!$I$192, "")</f>
        <v/>
      </c>
      <c r="G975" s="105" t="str">
        <f t="shared" si="496"/>
        <v/>
      </c>
      <c r="H975" s="17" t="str">
        <f>IF(AND(C975&lt;&gt;"", 'Cost Inputs'!$J$192&lt;&gt;""), 'Cost Inputs'!$J$192, "")</f>
        <v/>
      </c>
      <c r="I975" s="17" t="str">
        <f t="shared" si="499"/>
        <v/>
      </c>
      <c r="J975" s="17" t="str">
        <f>IF(AND(C975&lt;&gt;"",('Cost Inputs'!$I$192+'Cost Inputs'!$J$192+'Cost Inputs'!$K$192)&gt;0), 'Cost Inputs'!$I$192+'Cost Inputs'!$J$192+'Cost Inputs'!$K$192, "")</f>
        <v/>
      </c>
      <c r="K975" s="17" t="str">
        <f t="shared" si="500"/>
        <v/>
      </c>
      <c r="M975" s="106"/>
      <c r="W975" s="17" t="str">
        <f>IF(ISNUMBER($B952), IF($C975&lt;&gt;"", IF('Cost Inputs'!$L$192="Y", $E975, IF('Cost Inputs'!$L$192="N", IF(ISNUMBER('Cost Inputs'!$M$192), $E975, ""),"")),""),"")</f>
        <v/>
      </c>
      <c r="X975" s="17" t="str">
        <f>IF(ISNUMBER($B952), IF($C975&lt;&gt;"", IF('Cost Inputs'!$L$192="Y", $E975, IF('Cost Inputs'!$L$192="N", IF(ISNUMBER('Cost Inputs'!$M$192), $E975, ""),"")),""),"")</f>
        <v/>
      </c>
      <c r="Y975" s="17" t="str">
        <f>IF(ISNUMBER($B952), IF($C975&lt;&gt;"", IF('Cost Inputs'!$L$192="Y", $E975, IF('Cost Inputs'!$L$192="N", IF(ISNUMBER('Cost Inputs'!$M$192), $E975, ""),"")),""),"")</f>
        <v/>
      </c>
      <c r="Z975" s="17" t="str">
        <f>IF(ISNUMBER($B952), IF($C975&lt;&gt;"", IF('Cost Inputs'!$L$192="Y", $E975, IF('Cost Inputs'!$L$192="N", IF(ISNUMBER('Cost Inputs'!$M$192), $E975, ""),"")),""),"")</f>
        <v/>
      </c>
      <c r="AA975" s="17" t="str">
        <f>IF(ISNUMBER($B952), IF($C975&lt;&gt;"", IF('Cost Inputs'!$L$192="Y", $E975, IF('Cost Inputs'!$L$192="N", IF(ISNUMBER('Cost Inputs'!$M$192), $E975, ""),"")),""),"")</f>
        <v/>
      </c>
      <c r="AB975" s="17" t="str">
        <f>IF(ISNUMBER($B952), IF($C975&lt;&gt;"", IF('Cost Inputs'!$L$192="Y", $E975, IF('Cost Inputs'!$L$192="N", IF(ISNUMBER('Cost Inputs'!$M$192), $E975, ""),"")),""),"")</f>
        <v/>
      </c>
      <c r="AC975" s="17" t="str">
        <f>IF(ISNUMBER($B952), IF($C975&lt;&gt;"", IF('Cost Inputs'!$L$192="Y", $E975, IF('Cost Inputs'!$L$192="N", IF(ISNUMBER('Cost Inputs'!$M$192), $E975, ""),"")),""),"")</f>
        <v/>
      </c>
      <c r="AD975" s="17" t="str">
        <f>IF(ISNUMBER($B952), IF($C975&lt;&gt;"", IF('Cost Inputs'!$L$192="Y", $E975, IF('Cost Inputs'!$L$192="N", IF(ISNUMBER('Cost Inputs'!$M$192), $E975, ""),"")),""),"")</f>
        <v/>
      </c>
      <c r="AE975" s="17" t="str">
        <f>IF(ISNUMBER($B952), IF($C975&lt;&gt;"", IF('Cost Inputs'!$L$192="Y", $E975, IF('Cost Inputs'!$L$192="N", IF(ISNUMBER('Cost Inputs'!$M$192), $E975, ""),"")),""),"")</f>
        <v/>
      </c>
      <c r="AF975" s="17" t="str">
        <f>IF(ISNUMBER($B952), IF($C975&lt;&gt;"", IF('Cost Inputs'!$L$192="Y", $E975, IF('Cost Inputs'!$L$192="N", IF(ISNUMBER('Cost Inputs'!$M$192), $E975, ""),"")),""),"")</f>
        <v/>
      </c>
    </row>
    <row r="976" spans="1:32" x14ac:dyDescent="0.25">
      <c r="A976" s="518"/>
      <c r="B976" s="504"/>
      <c r="C976" s="107" t="str">
        <f>IF(AND(ISNUMBER(B952), OR('Cost Inputs'!$H$193&lt;&gt;"", 'Cost Inputs'!$I$193&lt;&gt;"", 'Cost Inputs'!$J$193&lt;&gt;"")), _6_4_2, "")</f>
        <v/>
      </c>
      <c r="D976" s="93" t="str">
        <f>IF(AND(C976&lt;&gt;"", 'Cost Inputs'!$G$193&lt;&gt;""), 'Cost Inputs'!$G$193, "")</f>
        <v/>
      </c>
      <c r="E976" s="93" t="str">
        <f>IF(AND(C976&lt;&gt;"", 'Cost Inputs'!$H$193&lt;&gt;""), 'Cost Inputs'!$H$193, "")</f>
        <v/>
      </c>
      <c r="F976" s="93" t="str">
        <f>IF(AND(C976&lt;&gt;"", 'Cost Inputs'!$I$193&lt;&gt;""), 'Cost Inputs'!$I$193, "")</f>
        <v/>
      </c>
      <c r="G976" s="108" t="str">
        <f t="shared" si="496"/>
        <v/>
      </c>
      <c r="H976" s="93" t="str">
        <f>IF(AND(C976&lt;&gt;"", 'Cost Inputs'!$J$193&lt;&gt;""), 'Cost Inputs'!$J$193, "")</f>
        <v/>
      </c>
      <c r="I976" s="93" t="str">
        <f t="shared" si="499"/>
        <v/>
      </c>
      <c r="J976" s="93" t="str">
        <f>IF(AND(C976&lt;&gt;"",('Cost Inputs'!$I$152+'Cost Inputs'!$J$152+'Cost Inputs'!$K$152)&gt;0), 'Cost Inputs'!$I$152+'Cost Inputs'!$J$152+'Cost Inputs'!$K$152, "")</f>
        <v/>
      </c>
      <c r="K976" s="93" t="str">
        <f t="shared" si="500"/>
        <v/>
      </c>
      <c r="L976" s="93"/>
      <c r="M976" s="109"/>
      <c r="W976" s="93" t="str">
        <f>IF(ISNUMBER($B952), IF($C976&lt;&gt;"", IF('Cost Inputs'!$L$193="Y", $E976, IF('Cost Inputs'!$L$193="N", IF(ISNUMBER('Cost Inputs'!$M$193), $E976, ""),"")),""),"")</f>
        <v/>
      </c>
      <c r="X976" s="93" t="str">
        <f>IF(ISNUMBER($B952), IF($C976&lt;&gt;"", IF('Cost Inputs'!$L$193="Y", $E976, IF('Cost Inputs'!$L$193="N", IF(ISNUMBER('Cost Inputs'!$M$193), $E976, ""),"")),""),"")</f>
        <v/>
      </c>
      <c r="Y976" s="93" t="str">
        <f>IF(ISNUMBER($B952), IF($C976&lt;&gt;"", IF('Cost Inputs'!$L$193="Y", $E976, IF('Cost Inputs'!$L$193="N", IF(ISNUMBER('Cost Inputs'!$M$193), $E976, ""),"")),""),"")</f>
        <v/>
      </c>
      <c r="Z976" s="93" t="str">
        <f>IF(ISNUMBER($B952), IF($C976&lt;&gt;"", IF('Cost Inputs'!$L$193="Y", $E976, IF('Cost Inputs'!$L$193="N", IF(ISNUMBER('Cost Inputs'!$M$193), $E976, ""),"")),""),"")</f>
        <v/>
      </c>
      <c r="AA976" s="93" t="str">
        <f>IF(ISNUMBER($B952), IF($C976&lt;&gt;"", IF('Cost Inputs'!$L$193="Y", $E976, IF('Cost Inputs'!$L$193="N", IF(ISNUMBER('Cost Inputs'!$M$193), $E976, ""),"")),""),"")</f>
        <v/>
      </c>
      <c r="AB976" s="93" t="str">
        <f>IF(ISNUMBER($B952), IF($C976&lt;&gt;"", IF('Cost Inputs'!$L$193="Y", $E976, IF('Cost Inputs'!$L$193="N", IF(ISNUMBER('Cost Inputs'!$M$193), $E976, ""),"")),""),"")</f>
        <v/>
      </c>
      <c r="AC976" s="93" t="str">
        <f>IF(ISNUMBER($B952), IF($C976&lt;&gt;"", IF('Cost Inputs'!$L$193="Y", $E976, IF('Cost Inputs'!$L$193="N", IF(ISNUMBER('Cost Inputs'!$M$193), $E976, ""),"")),""),"")</f>
        <v/>
      </c>
      <c r="AD976" s="93" t="str">
        <f>IF(ISNUMBER($B952), IF($C976&lt;&gt;"", IF('Cost Inputs'!$L$193="Y", $E976, IF('Cost Inputs'!$L$193="N", IF(ISNUMBER('Cost Inputs'!$M$193), $E976, ""),"")),""),"")</f>
        <v/>
      </c>
      <c r="AE976" s="93" t="str">
        <f>IF(ISNUMBER($B952), IF($C976&lt;&gt;"", IF('Cost Inputs'!$L$193="Y", $E976, IF('Cost Inputs'!$L$193="N", IF(ISNUMBER('Cost Inputs'!$M$193), $E976, ""),"")),""),"")</f>
        <v/>
      </c>
      <c r="AF976" s="93" t="str">
        <f>IF(ISNUMBER($B952), IF($C976&lt;&gt;"", IF('Cost Inputs'!$L$193="Y", $E976, IF('Cost Inputs'!$L$193="N", IF(ISNUMBER('Cost Inputs'!$M$193), $E976, ""),"")),""),"")</f>
        <v/>
      </c>
    </row>
    <row r="977" spans="1:33" x14ac:dyDescent="0.25">
      <c r="A977" s="518"/>
      <c r="B977" s="504"/>
      <c r="C977" s="104" t="str">
        <f>IF(AND(ISNUMBER(B952), OR('Cost Inputs'!$H$194&lt;&gt;"", 'Cost Inputs'!$I$194&lt;&gt;"", 'Cost Inputs'!$J$194&lt;&gt;"")), _6_4_3, "")</f>
        <v/>
      </c>
      <c r="D977" s="17" t="str">
        <f>IF(AND(C977&lt;&gt;"", 'Cost Inputs'!$G$194&lt;&gt;""), 'Cost Inputs'!$G$194, "")</f>
        <v/>
      </c>
      <c r="E977" s="17" t="str">
        <f>IF(AND(C977&lt;&gt;"", 'Cost Inputs'!$H$194&lt;&gt;""), 'Cost Inputs'!$H$194, "")</f>
        <v/>
      </c>
      <c r="F977" s="17" t="str">
        <f>IF(AND(C977&lt;&gt;"", 'Cost Inputs'!$I$194&lt;&gt;""), 'Cost Inputs'!$I$194, "")</f>
        <v/>
      </c>
      <c r="G977" s="105" t="str">
        <f t="shared" si="496"/>
        <v/>
      </c>
      <c r="H977" s="17" t="str">
        <f>IF(AND(C977&lt;&gt;"", 'Cost Inputs'!$J$194&lt;&gt;""), 'Cost Inputs'!$J$194, "")</f>
        <v/>
      </c>
      <c r="I977" s="17" t="str">
        <f t="shared" si="499"/>
        <v/>
      </c>
      <c r="J977" s="17" t="str">
        <f>IF(AND(C977&lt;&gt;"",('Cost Inputs'!$I$194+'Cost Inputs'!$J$194+'Cost Inputs'!$K$194)&gt;0), 'Cost Inputs'!$I$194+'Cost Inputs'!$J$194+'Cost Inputs'!$K$194, "")</f>
        <v/>
      </c>
      <c r="K977" s="17" t="str">
        <f t="shared" si="500"/>
        <v/>
      </c>
      <c r="M977" s="106"/>
      <c r="W977" s="17" t="str">
        <f>IF(ISNUMBER($B952), IF($C977&lt;&gt;"", IF('Cost Inputs'!$L$194="Y", $E977, IF('Cost Inputs'!$L$194="N", IF(ISNUMBER('Cost Inputs'!$M$194), $E977, ""),"")),""),"")</f>
        <v/>
      </c>
      <c r="X977" s="17" t="str">
        <f>IF(ISNUMBER($B952), IF($C977&lt;&gt;"", IF('Cost Inputs'!$L$194="Y", $E977, IF('Cost Inputs'!$L$194="N", IF(ISNUMBER('Cost Inputs'!$M$194), $E977, ""),"")),""),"")</f>
        <v/>
      </c>
      <c r="Y977" s="17" t="str">
        <f>IF(ISNUMBER($B952), IF($C977&lt;&gt;"", IF('Cost Inputs'!$L$194="Y", $E977, IF('Cost Inputs'!$L$194="N", IF(ISNUMBER('Cost Inputs'!$M$194), $E977, ""),"")),""),"")</f>
        <v/>
      </c>
      <c r="Z977" s="17" t="str">
        <f>IF(ISNUMBER($B952), IF($C977&lt;&gt;"", IF('Cost Inputs'!$L$194="Y", $E977, IF('Cost Inputs'!$L$194="N", IF(ISNUMBER('Cost Inputs'!$M$194), $E977, ""),"")),""),"")</f>
        <v/>
      </c>
      <c r="AA977" s="17" t="str">
        <f>IF(ISNUMBER($B952), IF($C977&lt;&gt;"", IF('Cost Inputs'!$L$194="Y", $E977, IF('Cost Inputs'!$L$194="N", IF(ISNUMBER('Cost Inputs'!$M$194), $E977, ""),"")),""),"")</f>
        <v/>
      </c>
      <c r="AB977" s="17" t="str">
        <f>IF(ISNUMBER($B952), IF($C977&lt;&gt;"", IF('Cost Inputs'!$L$194="Y", $E977, IF('Cost Inputs'!$L$194="N", IF(ISNUMBER('Cost Inputs'!$M$194), $E977, ""),"")),""),"")</f>
        <v/>
      </c>
      <c r="AC977" s="17" t="str">
        <f>IF(ISNUMBER($B952), IF($C977&lt;&gt;"", IF('Cost Inputs'!$L$194="Y", $E977, IF('Cost Inputs'!$L$194="N", IF(ISNUMBER('Cost Inputs'!$M$194), $E977, ""),"")),""),"")</f>
        <v/>
      </c>
      <c r="AD977" s="17" t="str">
        <f>IF(ISNUMBER($B952), IF($C977&lt;&gt;"", IF('Cost Inputs'!$L$194="Y", $E977, IF('Cost Inputs'!$L$194="N", IF(ISNUMBER('Cost Inputs'!$M$194), $E977, ""),"")),""),"")</f>
        <v/>
      </c>
      <c r="AE977" s="17" t="str">
        <f>IF(ISNUMBER($B952), IF($C977&lt;&gt;"", IF('Cost Inputs'!$L$194="Y", $E977, IF('Cost Inputs'!$L$194="N", IF(ISNUMBER('Cost Inputs'!$M$194), $E977, ""),"")),""),"")</f>
        <v/>
      </c>
      <c r="AF977" s="17" t="str">
        <f>IF(ISNUMBER($B952), IF($C977&lt;&gt;"", IF('Cost Inputs'!$L$194="Y", $E977, IF('Cost Inputs'!$L$194="N", IF(ISNUMBER('Cost Inputs'!$M$194), $E977, ""),"")),""),"")</f>
        <v/>
      </c>
    </row>
    <row r="978" spans="1:33" x14ac:dyDescent="0.25">
      <c r="A978" s="518"/>
      <c r="B978" s="504"/>
      <c r="C978" s="107" t="str">
        <f>IF(AND(ISNUMBER(B952), OR('Cost Inputs'!$H$195&lt;&gt;"", 'Cost Inputs'!$I$195&lt;&gt;"", 'Cost Inputs'!$J$195&lt;&gt;"")), _6_4_4, "")</f>
        <v/>
      </c>
      <c r="D978" s="93" t="str">
        <f>IF(AND(C978&lt;&gt;"", 'Cost Inputs'!$G$195&lt;&gt;""), 'Cost Inputs'!$G$195, "")</f>
        <v/>
      </c>
      <c r="E978" s="93" t="str">
        <f>IF(AND(C978&lt;&gt;"", 'Cost Inputs'!$H$195&lt;&gt;""), 'Cost Inputs'!$H$195, "")</f>
        <v/>
      </c>
      <c r="F978" s="93" t="str">
        <f>IF(AND(C978&lt;&gt;"", 'Cost Inputs'!$I$195&lt;&gt;""), 'Cost Inputs'!$I$195, "")</f>
        <v/>
      </c>
      <c r="G978" s="108" t="str">
        <f t="shared" si="496"/>
        <v/>
      </c>
      <c r="H978" s="93" t="str">
        <f>IF(AND(C978&lt;&gt;"", 'Cost Inputs'!$J$195&lt;&gt;""), 'Cost Inputs'!$J$195, "")</f>
        <v/>
      </c>
      <c r="I978" s="93" t="str">
        <f t="shared" si="499"/>
        <v/>
      </c>
      <c r="J978" s="93" t="str">
        <f>IF(AND(C978&lt;&gt;"",('Cost Inputs'!$I$195+'Cost Inputs'!$J$195+'Cost Inputs'!$K$195)&gt;0), 'Cost Inputs'!$I$195+'Cost Inputs'!$J$195+'Cost Inputs'!$K$195, "")</f>
        <v/>
      </c>
      <c r="K978" s="93" t="str">
        <f t="shared" si="500"/>
        <v/>
      </c>
      <c r="L978" s="93"/>
      <c r="M978" s="109"/>
      <c r="W978" s="93" t="str">
        <f>IF(ISNUMBER($B952), IF($C978&lt;&gt;"", IF('Cost Inputs'!$L$195="Y", $E978, IF('Cost Inputs'!$L$195="N", IF(ISNUMBER('Cost Inputs'!$M$195), $E978, ""),"")),""),"")</f>
        <v/>
      </c>
      <c r="X978" s="93" t="str">
        <f>IF(ISNUMBER($B952), IF($C978&lt;&gt;"", IF('Cost Inputs'!$L$195="Y", $E978, IF('Cost Inputs'!$L$195="N", IF(ISNUMBER('Cost Inputs'!$M$195), $E978, ""),"")),""),"")</f>
        <v/>
      </c>
      <c r="Y978" s="93" t="str">
        <f>IF(ISNUMBER($B952), IF($C978&lt;&gt;"", IF('Cost Inputs'!$L$195="Y", $E978, IF('Cost Inputs'!$L$195="N", IF(ISNUMBER('Cost Inputs'!$M$195), $E978, ""),"")),""),"")</f>
        <v/>
      </c>
      <c r="Z978" s="93" t="str">
        <f>IF(ISNUMBER($B952), IF($C978&lt;&gt;"", IF('Cost Inputs'!$L$195="Y", $E978, IF('Cost Inputs'!$L$195="N", IF(ISNUMBER('Cost Inputs'!$M$195), $E978, ""),"")),""),"")</f>
        <v/>
      </c>
      <c r="AA978" s="93" t="str">
        <f>IF(ISNUMBER($B952), IF($C978&lt;&gt;"", IF('Cost Inputs'!$L$195="Y", $E978, IF('Cost Inputs'!$L$195="N", IF(ISNUMBER('Cost Inputs'!$M$195), $E978, ""),"")),""),"")</f>
        <v/>
      </c>
      <c r="AB978" s="93" t="str">
        <f>IF(ISNUMBER($B952), IF($C978&lt;&gt;"", IF('Cost Inputs'!$L$195="Y", $E978, IF('Cost Inputs'!$L$195="N", IF(ISNUMBER('Cost Inputs'!$M$195), $E978, ""),"")),""),"")</f>
        <v/>
      </c>
      <c r="AC978" s="93" t="str">
        <f>IF(ISNUMBER($B952), IF($C978&lt;&gt;"", IF('Cost Inputs'!$L$195="Y", $E978, IF('Cost Inputs'!$L$195="N", IF(ISNUMBER('Cost Inputs'!$M$195), $E978, ""),"")),""),"")</f>
        <v/>
      </c>
      <c r="AD978" s="93" t="str">
        <f>IF(ISNUMBER($B952), IF($C978&lt;&gt;"", IF('Cost Inputs'!$L$195="Y", $E978, IF('Cost Inputs'!$L$195="N", IF(ISNUMBER('Cost Inputs'!$M$195), $E978, ""),"")),""),"")</f>
        <v/>
      </c>
      <c r="AE978" s="93" t="str">
        <f>IF(ISNUMBER($B952), IF($C978&lt;&gt;"", IF('Cost Inputs'!$L$195="Y", $E978, IF('Cost Inputs'!$L$195="N", IF(ISNUMBER('Cost Inputs'!$M$195), $E978, ""),"")),""),"")</f>
        <v/>
      </c>
      <c r="AF978" s="93" t="str">
        <f>IF(ISNUMBER($B952), IF($C978&lt;&gt;"", IF('Cost Inputs'!$L$195="Y", $E978, IF('Cost Inputs'!$L$195="N", IF(ISNUMBER('Cost Inputs'!$M$195), $E978, ""),"")),""),"")</f>
        <v/>
      </c>
    </row>
    <row r="979" spans="1:33" x14ac:dyDescent="0.25">
      <c r="A979" s="518"/>
      <c r="B979" s="504"/>
      <c r="C979" s="104" t="str">
        <f>IF(AND(ISNUMBER(B952), OR('Cost Inputs'!$H$196&lt;&gt;"", 'Cost Inputs'!$I$196&lt;&gt;"", 'Cost Inputs'!$J$196&lt;&gt;"")), _6_4_5, "")</f>
        <v/>
      </c>
      <c r="D979" s="17" t="str">
        <f>IF(AND(C979&lt;&gt;"", 'Cost Inputs'!$G$196&lt;&gt;""), 'Cost Inputs'!$G$196, "")</f>
        <v/>
      </c>
      <c r="E979" s="17" t="str">
        <f>IF(AND(C979&lt;&gt;"", 'Cost Inputs'!$H$196&lt;&gt;""), 'Cost Inputs'!$H$196, "")</f>
        <v/>
      </c>
      <c r="F979" s="17" t="str">
        <f>IF(AND(C979&lt;&gt;"", 'Cost Inputs'!$I$196&lt;&gt;""), 'Cost Inputs'!$I$196, "")</f>
        <v/>
      </c>
      <c r="G979" s="105" t="str">
        <f t="shared" si="496"/>
        <v/>
      </c>
      <c r="H979" s="17" t="str">
        <f>IF(AND(C979&lt;&gt;"", 'Cost Inputs'!$J$196&lt;&gt;""), 'Cost Inputs'!$J$196, "")</f>
        <v/>
      </c>
      <c r="I979" s="17" t="str">
        <f t="shared" si="499"/>
        <v/>
      </c>
      <c r="J979" s="17" t="str">
        <f>IF(AND(C979&lt;&gt;"",('Cost Inputs'!$I$196+'Cost Inputs'!$J$196+'Cost Inputs'!$K$196)&gt;0), 'Cost Inputs'!$I$196+'Cost Inputs'!$J$196+'Cost Inputs'!$K$196, "")</f>
        <v/>
      </c>
      <c r="K979" s="17" t="str">
        <f t="shared" si="500"/>
        <v/>
      </c>
      <c r="M979" s="106"/>
      <c r="W979" s="17" t="str">
        <f>IF(ISNUMBER($B952), IF($C979&lt;&gt;"", IF('Cost Inputs'!$L$196="Y", $E979, IF('Cost Inputs'!$L$196="N", IF(ISNUMBER('Cost Inputs'!$M$196), $E979, ""),"")),""),"")</f>
        <v/>
      </c>
      <c r="X979" s="17" t="str">
        <f>IF(ISNUMBER($B952), IF($C979&lt;&gt;"", IF('Cost Inputs'!$L$196="Y", $E979, IF('Cost Inputs'!$L$196="N", IF(ISNUMBER('Cost Inputs'!$M$196), $E979, ""),"")),""),"")</f>
        <v/>
      </c>
      <c r="Y979" s="17" t="str">
        <f>IF(ISNUMBER($B952), IF($C979&lt;&gt;"", IF('Cost Inputs'!$L$196="Y", $E979, IF('Cost Inputs'!$L$196="N", IF(ISNUMBER('Cost Inputs'!$M$196), $E979, ""),"")),""),"")</f>
        <v/>
      </c>
      <c r="Z979" s="17" t="str">
        <f>IF(ISNUMBER($B952), IF($C979&lt;&gt;"", IF('Cost Inputs'!$L$196="Y", $E979, IF('Cost Inputs'!$L$196="N", IF(ISNUMBER('Cost Inputs'!$M$196), $E979, ""),"")),""),"")</f>
        <v/>
      </c>
      <c r="AA979" s="17" t="str">
        <f>IF(ISNUMBER($B952), IF($C979&lt;&gt;"", IF('Cost Inputs'!$L$196="Y", $E979, IF('Cost Inputs'!$L$196="N", IF(ISNUMBER('Cost Inputs'!$M$196), $E979, ""),"")),""),"")</f>
        <v/>
      </c>
      <c r="AB979" s="17" t="str">
        <f>IF(ISNUMBER($B952), IF($C979&lt;&gt;"", IF('Cost Inputs'!$L$196="Y", $E979, IF('Cost Inputs'!$L$196="N", IF(ISNUMBER('Cost Inputs'!$M$196), $E979, ""),"")),""),"")</f>
        <v/>
      </c>
      <c r="AC979" s="17" t="str">
        <f>IF(ISNUMBER($B952), IF($C979&lt;&gt;"", IF('Cost Inputs'!$L$196="Y", $E979, IF('Cost Inputs'!$L$196="N", IF(ISNUMBER('Cost Inputs'!$M$196), $E979, ""),"")),""),"")</f>
        <v/>
      </c>
      <c r="AD979" s="17" t="str">
        <f>IF(ISNUMBER($B952), IF($C979&lt;&gt;"", IF('Cost Inputs'!$L$196="Y", $E979, IF('Cost Inputs'!$L$196="N", IF(ISNUMBER('Cost Inputs'!$M$196), $E979, ""),"")),""),"")</f>
        <v/>
      </c>
      <c r="AE979" s="17" t="str">
        <f>IF(ISNUMBER($B952), IF($C979&lt;&gt;"", IF('Cost Inputs'!$L$196="Y", $E979, IF('Cost Inputs'!$L$196="N", IF(ISNUMBER('Cost Inputs'!$M$196), $E979, ""),"")),""),"")</f>
        <v/>
      </c>
      <c r="AF979" s="17" t="str">
        <f>IF(ISNUMBER($B952), IF($C979&lt;&gt;"", IF('Cost Inputs'!$L$196="Y", $E979, IF('Cost Inputs'!$L$196="N", IF(ISNUMBER('Cost Inputs'!$M$196), $E979, ""),"")),""),"")</f>
        <v/>
      </c>
    </row>
    <row r="980" spans="1:33" x14ac:dyDescent="0.25">
      <c r="A980" s="518"/>
      <c r="B980" s="504"/>
      <c r="C980" s="107" t="str">
        <f>IF(AND(ISNUMBER(B952), OR('Cost Inputs'!$H$197&lt;&gt;"", 'Cost Inputs'!$I$197&lt;&gt;"", 'Cost Inputs'!$J$197&lt;&gt;"")), _6_4_6, "")</f>
        <v/>
      </c>
      <c r="D980" s="93" t="str">
        <f>IF(AND(C980&lt;&gt;"", 'Cost Inputs'!$G$197&lt;&gt;""), 'Cost Inputs'!$G$197, "")</f>
        <v/>
      </c>
      <c r="E980" s="93" t="str">
        <f>IF(AND(C980&lt;&gt;"", 'Cost Inputs'!$H$197&lt;&gt;""), 'Cost Inputs'!$H$197, "")</f>
        <v/>
      </c>
      <c r="F980" s="93" t="str">
        <f>IF(AND(C980&lt;&gt;"", 'Cost Inputs'!$I$197&lt;&gt;""), 'Cost Inputs'!$I$197, "")</f>
        <v/>
      </c>
      <c r="G980" s="108" t="str">
        <f t="shared" si="496"/>
        <v/>
      </c>
      <c r="H980" s="93" t="str">
        <f>IF(AND(C980&lt;&gt;"", 'Cost Inputs'!$J$197&lt;&gt;""), 'Cost Inputs'!$J$16, "")</f>
        <v/>
      </c>
      <c r="I980" s="93" t="str">
        <f t="shared" si="499"/>
        <v/>
      </c>
      <c r="J980" s="93" t="str">
        <f>IF(AND(C980&lt;&gt;"",('Cost Inputs'!$I$197+'Cost Inputs'!$J$197+'Cost Inputs'!$K$197)&gt;0), 'Cost Inputs'!$I$197+'Cost Inputs'!$J$197+'Cost Inputs'!$K$197, "")</f>
        <v/>
      </c>
      <c r="K980" s="93" t="str">
        <f t="shared" si="500"/>
        <v/>
      </c>
      <c r="L980" s="93"/>
      <c r="M980" s="109"/>
      <c r="W980" s="93" t="str">
        <f>IF(ISNUMBER($B952), IF($C980&lt;&gt;"", IF('Cost Inputs'!$L$197="Y", $E980, IF('Cost Inputs'!$L$197="N", IF(ISNUMBER('Cost Inputs'!$M$197), $E980, ""),"")),""),"")</f>
        <v/>
      </c>
      <c r="X980" s="93" t="str">
        <f>IF(ISNUMBER($B952), IF($C980&lt;&gt;"", IF('Cost Inputs'!$L$197="Y", $E980, IF('Cost Inputs'!$L$197="N", IF(ISNUMBER('Cost Inputs'!$M$197), $E980, ""),"")),""),"")</f>
        <v/>
      </c>
      <c r="Y980" s="93" t="str">
        <f>IF(ISNUMBER($B952), IF($C980&lt;&gt;"", IF('Cost Inputs'!$L$197="Y", $E980, IF('Cost Inputs'!$L$197="N", IF(ISNUMBER('Cost Inputs'!$M$197), $E980, ""),"")),""),"")</f>
        <v/>
      </c>
      <c r="Z980" s="93" t="str">
        <f>IF(ISNUMBER($B952), IF($C980&lt;&gt;"", IF('Cost Inputs'!$L$197="Y", $E980, IF('Cost Inputs'!$L$197="N", IF(ISNUMBER('Cost Inputs'!$M$197), $E980, ""),"")),""),"")</f>
        <v/>
      </c>
      <c r="AA980" s="93" t="str">
        <f>IF(ISNUMBER($B952), IF($C980&lt;&gt;"", IF('Cost Inputs'!$L$197="Y", $E980, IF('Cost Inputs'!$L$197="N", IF(ISNUMBER('Cost Inputs'!$M$197), $E980, ""),"")),""),"")</f>
        <v/>
      </c>
      <c r="AB980" s="93" t="str">
        <f>IF(ISNUMBER($B952), IF($C980&lt;&gt;"", IF('Cost Inputs'!$L$197="Y", $E980, IF('Cost Inputs'!$L$197="N", IF(ISNUMBER('Cost Inputs'!$M$197), $E980, ""),"")),""),"")</f>
        <v/>
      </c>
      <c r="AC980" s="93" t="str">
        <f>IF(ISNUMBER($B952), IF($C980&lt;&gt;"", IF('Cost Inputs'!$L$197="Y", $E980, IF('Cost Inputs'!$L$197="N", IF(ISNUMBER('Cost Inputs'!$M$197), $E980, ""),"")),""),"")</f>
        <v/>
      </c>
      <c r="AD980" s="93" t="str">
        <f>IF(ISNUMBER($B952), IF($C980&lt;&gt;"", IF('Cost Inputs'!$L$197="Y", $E980, IF('Cost Inputs'!$L$197="N", IF(ISNUMBER('Cost Inputs'!$M$197), $E980, ""),"")),""),"")</f>
        <v/>
      </c>
      <c r="AE980" s="93" t="str">
        <f>IF(ISNUMBER($B952), IF($C980&lt;&gt;"", IF('Cost Inputs'!$L$197="Y", $E980, IF('Cost Inputs'!$L$197="N", IF(ISNUMBER('Cost Inputs'!$M$197), $E980, ""),"")),""),"")</f>
        <v/>
      </c>
      <c r="AF980" s="93" t="str">
        <f>IF(ISNUMBER($B952), IF($C980&lt;&gt;"", IF('Cost Inputs'!$L$197="Y", $E980, IF('Cost Inputs'!$L$197="N", IF(ISNUMBER('Cost Inputs'!$M$197), $E980, ""),"")),""),"")</f>
        <v/>
      </c>
    </row>
    <row r="981" spans="1:33" x14ac:dyDescent="0.25">
      <c r="A981" s="518"/>
      <c r="B981" s="504"/>
      <c r="C981" s="521" t="str">
        <f>IF(AND(B970&lt;&gt;"",ISNUMBER(B970),ISNUMBER(Stage4EvaluationBegins)),IF((INDEX(ProgramYearStage4,MATCH(Stage4EvaluationBegins,Years_in_Stage4,0)))=B970,_6_5_0,IF(AND(B970&lt;&gt;"",C959&lt;&gt;""),_6_5_0,IF(AND(B970&lt;&gt;"",ISNUMBER(B970),OR(Stage4EvaluationBegins=0,Stage4EvaluationBegins="")),"",""))),"")</f>
        <v/>
      </c>
      <c r="D981" s="94" t="str">
        <f>IF(AND(C981&lt;&gt;"", 'Cost Inputs'!$G$198&lt;&gt;""), 'Cost Inputs'!$G$198, "")</f>
        <v/>
      </c>
      <c r="E981" s="94" t="str">
        <f>IF(AND(C981&lt;&gt;"", 'Cost Inputs'!$H$198&lt;&gt;""), 'Cost Inputs'!$H$198, "")</f>
        <v/>
      </c>
      <c r="F981" s="492" t="str">
        <f>IF(AND(C981&lt;&gt;"", 'Cost Inputs'!$I$198&lt;&gt;""), 'Cost Inputs'!$I$198, "")</f>
        <v/>
      </c>
      <c r="G981" s="102" t="str">
        <f t="shared" si="496"/>
        <v/>
      </c>
      <c r="H981" s="492" t="str">
        <f>IF(AND(C981&lt;&gt;"", 'Cost Inputs'!$J$198&lt;&gt;""), 'Cost Inputs'!$J$198, "")</f>
        <v/>
      </c>
      <c r="I981" s="102" t="str">
        <f>IF($C981&lt;&gt;"",IF(AND($E981&lt;&gt;"",H981&lt;&gt;""), H981/$E981, 0),"")</f>
        <v/>
      </c>
      <c r="J981" s="492" t="str">
        <f>IF(AND(C981&lt;&gt;"",('Cost Inputs'!$I$198+'Cost Inputs'!$J$198+'Cost Inputs'!$K$198)&gt;0), 'Cost Inputs'!$I$198+'Cost Inputs'!$J$198+'Cost Inputs'!$K$198, "")</f>
        <v/>
      </c>
      <c r="K981" s="102" t="str">
        <f>IF($C981&lt;&gt;"",IF(AND($E981&lt;&gt;"",J981&lt;&gt;""), J981/$E981, 0),"")</f>
        <v/>
      </c>
      <c r="L981" s="94"/>
      <c r="M981" s="103"/>
      <c r="W981" s="492" t="str">
        <f>IF(ISNUMBER($B952), IF($C981&lt;&gt;"", IF('Cost Inputs'!$L$198="Y", $E981, IF('Cost Inputs'!$L$198="N", IF(ISNUMBER('Cost Inputs'!$M$198), $E981, ""),"")),""),"")</f>
        <v/>
      </c>
      <c r="X981" s="492" t="str">
        <f>IF(ISNUMBER($B952), IF($C981&lt;&gt;"", IF('Cost Inputs'!$L$198="Y", $E981, IF('Cost Inputs'!$L$198="N", IF(ISNUMBER('Cost Inputs'!$M$198), $E981, ""),"")),""),"")</f>
        <v/>
      </c>
      <c r="Y981" s="492" t="str">
        <f>IF(ISNUMBER($B952), IF($C981&lt;&gt;"", IF('Cost Inputs'!$L$198="Y", $E981, IF('Cost Inputs'!$L$198="N", IF(ISNUMBER('Cost Inputs'!$M$198), $E981, ""),"")),""),"")</f>
        <v/>
      </c>
      <c r="Z981" s="492" t="str">
        <f>IF(ISNUMBER($B952), IF($C981&lt;&gt;"", IF('Cost Inputs'!$L$198="Y", $E981, IF('Cost Inputs'!$L$198="N", IF(ISNUMBER('Cost Inputs'!$M$198), $E981, ""),"")),""),"")</f>
        <v/>
      </c>
      <c r="AA981" s="492" t="str">
        <f>IF(ISNUMBER($B952), IF($C981&lt;&gt;"", IF('Cost Inputs'!$L$198="Y", $E981, IF('Cost Inputs'!$L$198="N", IF(ISNUMBER('Cost Inputs'!$M$198), $E981, ""),"")),""),"")</f>
        <v/>
      </c>
      <c r="AB981" s="492" t="str">
        <f>IF(ISNUMBER($B952), IF($C981&lt;&gt;"", IF('Cost Inputs'!$L$198="Y", $E981, IF('Cost Inputs'!$L$198="N", IF(ISNUMBER('Cost Inputs'!$M$198), $E981, ""),"")),""),"")</f>
        <v/>
      </c>
      <c r="AC981" s="492" t="str">
        <f>IF(ISNUMBER($B952), IF($C981&lt;&gt;"", IF('Cost Inputs'!$L$198="Y", $E981, IF('Cost Inputs'!$L$198="N", IF(ISNUMBER('Cost Inputs'!$M$198), $E981, ""),"")),""),"")</f>
        <v/>
      </c>
      <c r="AD981" s="492" t="str">
        <f>IF(ISNUMBER($B952), IF($C981&lt;&gt;"", IF('Cost Inputs'!$L$198="Y", $E981, IF('Cost Inputs'!$L$198="N", IF(ISNUMBER('Cost Inputs'!$M$198), $E981, ""),"")),""),"")</f>
        <v/>
      </c>
      <c r="AE981" s="492" t="str">
        <f>IF(ISNUMBER($B952), IF($C981&lt;&gt;"", IF('Cost Inputs'!$L$198="Y", $E981, IF('Cost Inputs'!$L$198="N", IF(ISNUMBER('Cost Inputs'!$M$198), $E981, ""),"")),""),"")</f>
        <v/>
      </c>
      <c r="AF981" s="492" t="str">
        <f>IF(ISNUMBER($B952), IF($C981&lt;&gt;"", IF('Cost Inputs'!$L$198="Y", $E981, IF('Cost Inputs'!$L$198="N", IF(ISNUMBER('Cost Inputs'!$M$198), $E981, ""),"")),""),"")</f>
        <v/>
      </c>
    </row>
    <row r="982" spans="1:33" x14ac:dyDescent="0.25">
      <c r="A982" s="518"/>
      <c r="B982" s="504"/>
      <c r="C982" s="521"/>
      <c r="D982" s="94" t="str">
        <f>IF(AND(C981&lt;&gt;"", 'Cost Inputs'!$G$199&lt;&gt;""), 'Cost Inputs'!$G$199, "")</f>
        <v/>
      </c>
      <c r="E982" s="94" t="str">
        <f>IF(AND(C981&lt;&gt;"", 'Cost Inputs'!$H$199&lt;&gt;""), 'Cost Inputs'!$H$199, "")</f>
        <v/>
      </c>
      <c r="F982" s="492"/>
      <c r="G982" s="102" t="str">
        <f t="shared" si="496"/>
        <v/>
      </c>
      <c r="H982" s="492"/>
      <c r="I982" s="102" t="str">
        <f>IF($C981&lt;&gt;"", IF(AND($E982&lt;&gt;"", H981&lt;&gt;""), H981/($E981*$E982), 0), "")</f>
        <v/>
      </c>
      <c r="J982" s="492" t="str">
        <f>IF(AND(C982&lt;&gt;"",('Cost Inputs'!$I$86+'Cost Inputs'!$J$86+'Cost Inputs'!$K$86)&gt;0), 'Cost Inputs'!$I$86+'Cost Inputs'!$J$86+'Cost Inputs'!$K$86, "")</f>
        <v/>
      </c>
      <c r="K982" s="102" t="str">
        <f>IF($C981&lt;&gt;"", IF(AND($E982&lt;&gt;"", J981&lt;&gt;""), J981/($E981*$E982), 0), "")</f>
        <v/>
      </c>
      <c r="L982" s="94"/>
      <c r="M982" s="103"/>
      <c r="W982" s="492" t="str">
        <f>IF(ISNUMBER($B$776), IF($C982&lt;&gt;"", IF('Cost Inputs'!$L375="Y", $E982, IF('Cost Inputs'!$L375="N", IF(ISNUMBER('Cost Inputs'!$M375), $E982, ""),"")),""),"")</f>
        <v/>
      </c>
      <c r="X982" s="492" t="str">
        <f>IF(ISNUMBER($B$776), IF($C982&lt;&gt;"", IF('Cost Inputs'!$L375="Y", $E982, IF('Cost Inputs'!$L375="N", IF(ISNUMBER('Cost Inputs'!$M375), $E982, ""),"")),""),"")</f>
        <v/>
      </c>
      <c r="Y982" s="492" t="str">
        <f>IF(ISNUMBER($B$776), IF($C982&lt;&gt;"", IF('Cost Inputs'!$L375="Y", $E982, IF('Cost Inputs'!$L375="N", IF(ISNUMBER('Cost Inputs'!$M375), $E982, ""),"")),""),"")</f>
        <v/>
      </c>
      <c r="Z982" s="492" t="str">
        <f>IF(ISNUMBER($B$776), IF($C982&lt;&gt;"", IF('Cost Inputs'!$L375="Y", $E982, IF('Cost Inputs'!$L375="N", IF(ISNUMBER('Cost Inputs'!$M375), $E982, ""),"")),""),"")</f>
        <v/>
      </c>
      <c r="AA982" s="492" t="str">
        <f>IF(ISNUMBER($B$776), IF($C982&lt;&gt;"", IF('Cost Inputs'!$L375="Y", $E982, IF('Cost Inputs'!$L375="N", IF(ISNUMBER('Cost Inputs'!$M375), $E982, ""),"")),""),"")</f>
        <v/>
      </c>
      <c r="AB982" s="492" t="str">
        <f>IF(ISNUMBER($B$776), IF($C982&lt;&gt;"", IF('Cost Inputs'!$L375="Y", $E982, IF('Cost Inputs'!$L375="N", IF(ISNUMBER('Cost Inputs'!$M375), $E982, ""),"")),""),"")</f>
        <v/>
      </c>
      <c r="AC982" s="492" t="str">
        <f>IF(ISNUMBER($B$776), IF($C982&lt;&gt;"", IF('Cost Inputs'!$L375="Y", $E982, IF('Cost Inputs'!$L375="N", IF(ISNUMBER('Cost Inputs'!$M375), $E982, ""),"")),""),"")</f>
        <v/>
      </c>
      <c r="AD982" s="492" t="str">
        <f>IF(ISNUMBER($B$776), IF($C982&lt;&gt;"", IF('Cost Inputs'!$L375="Y", $E982, IF('Cost Inputs'!$L375="N", IF(ISNUMBER('Cost Inputs'!$M375), $E982, ""),"")),""),"")</f>
        <v/>
      </c>
      <c r="AE982" s="492" t="str">
        <f>IF(ISNUMBER($B$776), IF($C982&lt;&gt;"", IF('Cost Inputs'!$L375="Y", $E982, IF('Cost Inputs'!$L375="N", IF(ISNUMBER('Cost Inputs'!$M375), $E982, ""),"")),""),"")</f>
        <v/>
      </c>
      <c r="AF982" s="492" t="str">
        <f>IF(ISNUMBER($B$776), IF($C982&lt;&gt;"", IF('Cost Inputs'!$L375="Y", $E982, IF('Cost Inputs'!$L375="N", IF(ISNUMBER('Cost Inputs'!$M375), $E982, ""),"")),""),"")</f>
        <v/>
      </c>
    </row>
    <row r="983" spans="1:33" x14ac:dyDescent="0.25">
      <c r="A983" s="518"/>
      <c r="B983" s="504"/>
      <c r="C983" s="376" t="str">
        <f>IF(AND(ISNUMBER(B952), C981&lt;&gt;"", OR('Cost Inputs'!$H$200&lt;&gt;"", 'Cost Inputs'!$I$200&lt;&gt;"", 'Cost Inputs'!$J$200&lt;&gt;"")), _6_5_1, "")</f>
        <v/>
      </c>
      <c r="D983" s="17" t="str">
        <f>IF(AND(C983&lt;&gt;"", 'Cost Inputs'!$G$200&lt;&gt;""), 'Cost Inputs'!$G$200, "")</f>
        <v/>
      </c>
      <c r="E983" s="17" t="str">
        <f>IF(AND(C983&lt;&gt;"", 'Cost Inputs'!$H$200&lt;&gt;""), 'Cost Inputs'!$H$200, "")</f>
        <v/>
      </c>
      <c r="F983" s="493" t="str">
        <f>IF(AND(C983&lt;&gt;"", 'Cost Inputs'!$I$200&lt;&gt;""), 'Cost Inputs'!$I$200, "")</f>
        <v/>
      </c>
      <c r="G983" s="105" t="str">
        <f t="shared" si="496"/>
        <v/>
      </c>
      <c r="H983" s="493" t="str">
        <f>IF(AND(C983&lt;&gt;"", 'Cost Inputs'!$J$200&lt;&gt;""), 'Cost Inputs'!$J$200, "")</f>
        <v/>
      </c>
      <c r="I983" s="105" t="str">
        <f>IF($C983&lt;&gt;"",IF(AND($E983&lt;&gt;"",H983&lt;&gt;""), H983/$E983, 0),"")</f>
        <v/>
      </c>
      <c r="J983" s="493" t="str">
        <f>IF(AND(C983&lt;&gt;"",('Cost Inputs'!$I$200+'Cost Inputs'!$J$200+'Cost Inputs'!$K$200)&gt;0), 'Cost Inputs'!$I$200+'Cost Inputs'!$J$200+'Cost Inputs'!$K$200, "")</f>
        <v/>
      </c>
      <c r="K983" s="105" t="str">
        <f>IF($C983&lt;&gt;"",IF(AND($E983&lt;&gt;"",J983&lt;&gt;""), J983/$E983, 0),"")</f>
        <v/>
      </c>
      <c r="M983" s="106"/>
      <c r="W983" s="493" t="str">
        <f>IF(ISNUMBER($B952), IF($C983&lt;&gt;"", IF('Cost Inputs'!$L$200="Y", $E983, IF('Cost Inputs'!$L$200="N", IF(ISNUMBER('Cost Inputs'!$M$200), $E983, ""),"")),""),"")</f>
        <v/>
      </c>
      <c r="X983" s="493" t="str">
        <f>IF(ISNUMBER($B952), IF($C983&lt;&gt;"", IF('Cost Inputs'!$L$200="Y", $E983, IF('Cost Inputs'!$L$200="N", IF(ISNUMBER('Cost Inputs'!$M$200), $E983, ""),"")),""),"")</f>
        <v/>
      </c>
      <c r="Y983" s="493" t="str">
        <f>IF(ISNUMBER($B952), IF($C983&lt;&gt;"", IF('Cost Inputs'!$L$200="Y", $E983, IF('Cost Inputs'!$L$200="N", IF(ISNUMBER('Cost Inputs'!$M$200), $E983, ""),"")),""),"")</f>
        <v/>
      </c>
      <c r="Z983" s="493" t="str">
        <f>IF(ISNUMBER($B952), IF($C983&lt;&gt;"", IF('Cost Inputs'!$L$200="Y", $E983, IF('Cost Inputs'!$L$200="N", IF(ISNUMBER('Cost Inputs'!$M$200), $E983, ""),"")),""),"")</f>
        <v/>
      </c>
      <c r="AA983" s="493" t="str">
        <f>IF(ISNUMBER($B952), IF($C983&lt;&gt;"", IF('Cost Inputs'!$L$200="Y", $E983, IF('Cost Inputs'!$L$200="N", IF(ISNUMBER('Cost Inputs'!$M$200), $E983, ""),"")),""),"")</f>
        <v/>
      </c>
      <c r="AB983" s="493" t="str">
        <f>IF(ISNUMBER($B952), IF($C983&lt;&gt;"", IF('Cost Inputs'!$L$200="Y", $E983, IF('Cost Inputs'!$L$200="N", IF(ISNUMBER('Cost Inputs'!$M$200), $E983, ""),"")),""),"")</f>
        <v/>
      </c>
      <c r="AC983" s="493" t="str">
        <f>IF(ISNUMBER($B952), IF($C983&lt;&gt;"", IF('Cost Inputs'!$L$200="Y", $E983, IF('Cost Inputs'!$L$200="N", IF(ISNUMBER('Cost Inputs'!$M$200), $E983, ""),"")),""),"")</f>
        <v/>
      </c>
      <c r="AD983" s="493" t="str">
        <f>IF(ISNUMBER($B952), IF($C983&lt;&gt;"", IF('Cost Inputs'!$L$200="Y", $E983, IF('Cost Inputs'!$L$200="N", IF(ISNUMBER('Cost Inputs'!$M$200), $E983, ""),"")),""),"")</f>
        <v/>
      </c>
      <c r="AE983" s="493" t="str">
        <f>IF(ISNUMBER($B952), IF($C983&lt;&gt;"", IF('Cost Inputs'!$L$200="Y", $E983, IF('Cost Inputs'!$L$200="N", IF(ISNUMBER('Cost Inputs'!$M$200), $E983, ""),"")),""),"")</f>
        <v/>
      </c>
      <c r="AF983" s="493" t="str">
        <f>IF(ISNUMBER($B952), IF($C983&lt;&gt;"", IF('Cost Inputs'!$L$200="Y", $E983, IF('Cost Inputs'!$L$200="N", IF(ISNUMBER('Cost Inputs'!$M$200), $E983, ""),"")),""),"")</f>
        <v/>
      </c>
    </row>
    <row r="984" spans="1:33" x14ac:dyDescent="0.25">
      <c r="A984" s="518"/>
      <c r="B984" s="504"/>
      <c r="C984" s="376" t="str">
        <f>IF(AND(ISNUMBER(B966), OR('Cost Inputs'!$H$85&lt;&gt;"", 'Cost Inputs'!$I$85&lt;&gt;"", 'Cost Inputs'!$J$85&lt;&gt;"")), _3_5_1, "")</f>
        <v/>
      </c>
      <c r="D984" s="17" t="str">
        <f>IF(AND(C983&lt;&gt;"", 'Cost Inputs'!$G$201&lt;&gt;""), 'Cost Inputs'!$G$201, "")</f>
        <v/>
      </c>
      <c r="E984" s="17" t="str">
        <f>IF(AND(C983&lt;&gt;"", 'Cost Inputs'!$H$201&lt;&gt;""), 'Cost Inputs'!$H$201, "")</f>
        <v/>
      </c>
      <c r="F984" s="493"/>
      <c r="G984" s="105" t="str">
        <f t="shared" si="496"/>
        <v/>
      </c>
      <c r="H984" s="493"/>
      <c r="I984" s="105" t="str">
        <f>IF($C983&lt;&gt;"", IF(AND($E984&lt;&gt;"", H983&lt;&gt;""), H983/($E983*$E984), 0), "")</f>
        <v/>
      </c>
      <c r="J984" s="493" t="str">
        <f>IF(AND(C984&lt;&gt;"",('Cost Inputs'!$I$86+'Cost Inputs'!$J$86+'Cost Inputs'!$K$86)&gt;0), 'Cost Inputs'!$I$86+'Cost Inputs'!$J$86+'Cost Inputs'!$K$86, "")</f>
        <v/>
      </c>
      <c r="K984" s="105" t="str">
        <f>IF($C983&lt;&gt;"", IF(AND($E984&lt;&gt;"", J983&lt;&gt;""), J983/($E983*$E984), 0), "")</f>
        <v/>
      </c>
      <c r="M984" s="106"/>
      <c r="W984" s="493" t="str">
        <f>IF(ISNUMBER($B$776), IF($C984&lt;&gt;"", IF('Cost Inputs'!$L377="Y", $E984, IF('Cost Inputs'!$L377="N", IF(ISNUMBER('Cost Inputs'!$M377), $E984, ""),"")),""),"")</f>
        <v/>
      </c>
      <c r="X984" s="493" t="str">
        <f>IF(ISNUMBER($B$776), IF($C984&lt;&gt;"", IF('Cost Inputs'!$L377="Y", $E984, IF('Cost Inputs'!$L377="N", IF(ISNUMBER('Cost Inputs'!$M377), $E984, ""),"")),""),"")</f>
        <v/>
      </c>
      <c r="Y984" s="493" t="str">
        <f>IF(ISNUMBER($B$776), IF($C984&lt;&gt;"", IF('Cost Inputs'!$L377="Y", $E984, IF('Cost Inputs'!$L377="N", IF(ISNUMBER('Cost Inputs'!$M377), $E984, ""),"")),""),"")</f>
        <v/>
      </c>
      <c r="Z984" s="493" t="str">
        <f>IF(ISNUMBER($B$776), IF($C984&lt;&gt;"", IF('Cost Inputs'!$L377="Y", $E984, IF('Cost Inputs'!$L377="N", IF(ISNUMBER('Cost Inputs'!$M377), $E984, ""),"")),""),"")</f>
        <v/>
      </c>
      <c r="AA984" s="493" t="str">
        <f>IF(ISNUMBER($B$776), IF($C984&lt;&gt;"", IF('Cost Inputs'!$L377="Y", $E984, IF('Cost Inputs'!$L377="N", IF(ISNUMBER('Cost Inputs'!$M377), $E984, ""),"")),""),"")</f>
        <v/>
      </c>
      <c r="AB984" s="493" t="str">
        <f>IF(ISNUMBER($B$776), IF($C984&lt;&gt;"", IF('Cost Inputs'!$L377="Y", $E984, IF('Cost Inputs'!$L377="N", IF(ISNUMBER('Cost Inputs'!$M377), $E984, ""),"")),""),"")</f>
        <v/>
      </c>
      <c r="AC984" s="493" t="str">
        <f>IF(ISNUMBER($B$776), IF($C984&lt;&gt;"", IF('Cost Inputs'!$L377="Y", $E984, IF('Cost Inputs'!$L377="N", IF(ISNUMBER('Cost Inputs'!$M377), $E984, ""),"")),""),"")</f>
        <v/>
      </c>
      <c r="AD984" s="493" t="str">
        <f>IF(ISNUMBER($B$776), IF($C984&lt;&gt;"", IF('Cost Inputs'!$L377="Y", $E984, IF('Cost Inputs'!$L377="N", IF(ISNUMBER('Cost Inputs'!$M377), $E984, ""),"")),""),"")</f>
        <v/>
      </c>
      <c r="AE984" s="493" t="str">
        <f>IF(ISNUMBER($B$776), IF($C984&lt;&gt;"", IF('Cost Inputs'!$L377="Y", $E984, IF('Cost Inputs'!$L377="N", IF(ISNUMBER('Cost Inputs'!$M377), $E984, ""),"")),""),"")</f>
        <v/>
      </c>
      <c r="AF984" s="493" t="str">
        <f>IF(ISNUMBER($B$776), IF($C984&lt;&gt;"", IF('Cost Inputs'!$L377="Y", $E984, IF('Cost Inputs'!$L377="N", IF(ISNUMBER('Cost Inputs'!$M377), $E984, ""),"")),""),"")</f>
        <v/>
      </c>
    </row>
    <row r="985" spans="1:33" x14ac:dyDescent="0.25">
      <c r="A985" s="518"/>
      <c r="B985" s="504"/>
      <c r="C985" s="107" t="str">
        <f>IF(AND(ISNUMBER(B952), C981&lt;&gt;"", OR('Cost Inputs'!$H$202&lt;&gt;"", 'Cost Inputs'!$I$202&lt;&gt;"", 'Cost Inputs'!$J$202&lt;&gt;"")), _6_5_2, "")</f>
        <v/>
      </c>
      <c r="D985" s="93" t="str">
        <f>IF(AND(C985&lt;&gt;"", 'Cost Inputs'!$G$202&lt;&gt;""), 'Cost Inputs'!$G$202, "")</f>
        <v/>
      </c>
      <c r="E985" s="93" t="str">
        <f>IF(AND(C985&lt;&gt;"", 'Cost Inputs'!$H$202&lt;&gt;""), 'Cost Inputs'!$H$202, "")</f>
        <v/>
      </c>
      <c r="F985" s="93" t="str">
        <f>IF(AND(C985&lt;&gt;"", 'Cost Inputs'!$I$202&lt;&gt;""), 'Cost Inputs'!$I$202, "")</f>
        <v/>
      </c>
      <c r="G985" s="108" t="str">
        <f t="shared" si="496"/>
        <v/>
      </c>
      <c r="H985" s="93" t="str">
        <f>IF(AND(C985&lt;&gt;"", 'Cost Inputs'!$J$202&lt;&gt;""), 'Cost Inputs'!$J$202, "")</f>
        <v/>
      </c>
      <c r="I985" s="93" t="str">
        <f>IF($C985&lt;&gt;"", IF(AND($E985&lt;&gt;"", H985&lt;&gt;""), H985/$E985, 0),"")</f>
        <v/>
      </c>
      <c r="J985" s="93" t="str">
        <f>IF(AND(C985&lt;&gt;"",('Cost Inputs'!$I$202+'Cost Inputs'!$J$202+'Cost Inputs'!$K$202)&gt;0), 'Cost Inputs'!$I$202+'Cost Inputs'!$J$202+'Cost Inputs'!$K$202, "")</f>
        <v/>
      </c>
      <c r="K985" s="93" t="str">
        <f>IF($C985&lt;&gt;"", IF(AND($E985&lt;&gt;"", J985&lt;&gt;""), J985/$E985, 0),"")</f>
        <v/>
      </c>
      <c r="L985" s="93"/>
      <c r="M985" s="109"/>
      <c r="W985" s="93" t="str">
        <f>IF(ISNUMBER($B952), IF($C985&lt;&gt;"", IF('Cost Inputs'!$L$202="Y", $E985, IF('Cost Inputs'!$L$202="N", IF(ISNUMBER('Cost Inputs'!$M$202), $E985, ""),"")),""),"")</f>
        <v/>
      </c>
      <c r="X985" s="93" t="str">
        <f>IF(ISNUMBER($B952), IF($C985&lt;&gt;"", IF('Cost Inputs'!$L$202="Y", $E985, IF('Cost Inputs'!$L$202="N", IF(ISNUMBER('Cost Inputs'!$M$202), $E985, ""),"")),""),"")</f>
        <v/>
      </c>
      <c r="Y985" s="93" t="str">
        <f>IF(ISNUMBER($B952), IF($C985&lt;&gt;"", IF('Cost Inputs'!$L$202="Y", $E985, IF('Cost Inputs'!$L$202="N", IF(ISNUMBER('Cost Inputs'!$M$202), $E985, ""),"")),""),"")</f>
        <v/>
      </c>
      <c r="Z985" s="93" t="str">
        <f>IF(ISNUMBER($B952), IF($C985&lt;&gt;"", IF('Cost Inputs'!$L$202="Y", $E985, IF('Cost Inputs'!$L$202="N", IF(ISNUMBER('Cost Inputs'!$M$202), $E985, ""),"")),""),"")</f>
        <v/>
      </c>
      <c r="AA985" s="93" t="str">
        <f>IF(ISNUMBER($B952), IF($C985&lt;&gt;"", IF('Cost Inputs'!$L$202="Y", $E985, IF('Cost Inputs'!$L$202="N", IF(ISNUMBER('Cost Inputs'!$M$202), $E985, ""),"")),""),"")</f>
        <v/>
      </c>
      <c r="AB985" s="93" t="str">
        <f>IF(ISNUMBER($B952), IF($C985&lt;&gt;"", IF('Cost Inputs'!$L$202="Y", $E985, IF('Cost Inputs'!$L$202="N", IF(ISNUMBER('Cost Inputs'!$M$202), $E985, ""),"")),""),"")</f>
        <v/>
      </c>
      <c r="AC985" s="93" t="str">
        <f>IF(ISNUMBER($B952), IF($C985&lt;&gt;"", IF('Cost Inputs'!$L$202="Y", $E985, IF('Cost Inputs'!$L$202="N", IF(ISNUMBER('Cost Inputs'!$M$202), $E985, ""),"")),""),"")</f>
        <v/>
      </c>
      <c r="AD985" s="93" t="str">
        <f>IF(ISNUMBER($B952), IF($C985&lt;&gt;"", IF('Cost Inputs'!$L$202="Y", $E985, IF('Cost Inputs'!$L$202="N", IF(ISNUMBER('Cost Inputs'!$M$202), $E985, ""),"")),""),"")</f>
        <v/>
      </c>
      <c r="AE985" s="93" t="str">
        <f>IF(ISNUMBER($B952), IF($C985&lt;&gt;"", IF('Cost Inputs'!$L$202="Y", $E985, IF('Cost Inputs'!$L$202="N", IF(ISNUMBER('Cost Inputs'!$M$202), $E985, ""),"")),""),"")</f>
        <v/>
      </c>
      <c r="AF985" s="93" t="str">
        <f>IF(ISNUMBER($B952), IF($C985&lt;&gt;"", IF('Cost Inputs'!$L$202="Y", $E985, IF('Cost Inputs'!$L$202="N", IF(ISNUMBER('Cost Inputs'!$M$202), $E985, ""),"")),""),"")</f>
        <v/>
      </c>
    </row>
    <row r="986" spans="1:33" x14ac:dyDescent="0.25">
      <c r="A986" s="518"/>
      <c r="B986" s="504"/>
      <c r="C986" s="104" t="str">
        <f>IF(AND(ISNUMBER(B952), C981&lt;&gt;"", OR('Cost Inputs'!$H$203&lt;&gt;"", 'Cost Inputs'!$I$203&lt;&gt;"", 'Cost Inputs'!$J$203&lt;&gt;"")), _6_5_3, "")</f>
        <v/>
      </c>
      <c r="D986" s="17" t="str">
        <f>IF(AND(C986&lt;&gt;"", 'Cost Inputs'!$G$203&lt;&gt;""), 'Cost Inputs'!$G$203, "")</f>
        <v/>
      </c>
      <c r="E986" s="17" t="str">
        <f>IF(AND(C986&lt;&gt;"", 'Cost Inputs'!$H$203&lt;&gt;""), 'Cost Inputs'!$H$203, "")</f>
        <v/>
      </c>
      <c r="F986" s="17" t="str">
        <f>IF(AND(C986&lt;&gt;"", 'Cost Inputs'!$I$203&lt;&gt;""), 'Cost Inputs'!$I$203, "")</f>
        <v/>
      </c>
      <c r="G986" s="105" t="str">
        <f t="shared" si="496"/>
        <v/>
      </c>
      <c r="H986" s="17" t="str">
        <f>IF(AND(C986&lt;&gt;"", 'Cost Inputs'!$J$203&lt;&gt;""), 'Cost Inputs'!$J$203, "")</f>
        <v/>
      </c>
      <c r="I986" s="17" t="str">
        <f>IF($C986&lt;&gt;"", IF(AND($E986&lt;&gt;"", H986&lt;&gt;""), H986/$E986, 0),"")</f>
        <v/>
      </c>
      <c r="J986" s="17" t="str">
        <f>IF(AND(C986&lt;&gt;"",('Cost Inputs'!$I$203+'Cost Inputs'!$J$203+'Cost Inputs'!$K$203)&gt;0), 'Cost Inputs'!$I$203+'Cost Inputs'!$J$203+'Cost Inputs'!$K$203, "")</f>
        <v/>
      </c>
      <c r="K986" s="17" t="str">
        <f>IF($C986&lt;&gt;"", IF(AND($E986&lt;&gt;"", J986&lt;&gt;""), J986/$E986, 0),"")</f>
        <v/>
      </c>
      <c r="M986" s="106"/>
      <c r="W986" s="17" t="str">
        <f>IF(ISNUMBER($B952), IF($C986&lt;&gt;"", IF('Cost Inputs'!$L$203="Y", $E986, IF('Cost Inputs'!$L$203="N", IF(ISNUMBER('Cost Inputs'!$M$203), $E986, ""),"")),""),"")</f>
        <v/>
      </c>
      <c r="X986" s="17" t="str">
        <f>IF(ISNUMBER($B952), IF($C986&lt;&gt;"", IF('Cost Inputs'!$L$203="Y", $E986, IF('Cost Inputs'!$L$203="N", IF(ISNUMBER('Cost Inputs'!$M$203), $E986, ""),"")),""),"")</f>
        <v/>
      </c>
      <c r="Y986" s="17" t="str">
        <f>IF(ISNUMBER($B952), IF($C986&lt;&gt;"", IF('Cost Inputs'!$L$203="Y", $E986, IF('Cost Inputs'!$L$203="N", IF(ISNUMBER('Cost Inputs'!$M$203), $E986, ""),"")),""),"")</f>
        <v/>
      </c>
      <c r="Z986" s="17" t="str">
        <f>IF(ISNUMBER($B952), IF($C986&lt;&gt;"", IF('Cost Inputs'!$L$203="Y", $E986, IF('Cost Inputs'!$L$203="N", IF(ISNUMBER('Cost Inputs'!$M$203), $E986, ""),"")),""),"")</f>
        <v/>
      </c>
      <c r="AA986" s="17" t="str">
        <f>IF(ISNUMBER($B952), IF($C986&lt;&gt;"", IF('Cost Inputs'!$L$203="Y", $E986, IF('Cost Inputs'!$L$203="N", IF(ISNUMBER('Cost Inputs'!$M$203), $E986, ""),"")),""),"")</f>
        <v/>
      </c>
      <c r="AB986" s="17" t="str">
        <f>IF(ISNUMBER($B952), IF($C986&lt;&gt;"", IF('Cost Inputs'!$L$203="Y", $E986, IF('Cost Inputs'!$L$203="N", IF(ISNUMBER('Cost Inputs'!$M$203), $E986, ""),"")),""),"")</f>
        <v/>
      </c>
      <c r="AC986" s="17" t="str">
        <f>IF(ISNUMBER($B952), IF($C986&lt;&gt;"", IF('Cost Inputs'!$L$203="Y", $E986, IF('Cost Inputs'!$L$203="N", IF(ISNUMBER('Cost Inputs'!$M$203), $E986, ""),"")),""),"")</f>
        <v/>
      </c>
      <c r="AD986" s="17" t="str">
        <f>IF(ISNUMBER($B952), IF($C986&lt;&gt;"", IF('Cost Inputs'!$L$203="Y", $E986, IF('Cost Inputs'!$L$203="N", IF(ISNUMBER('Cost Inputs'!$M$203), $E986, ""),"")),""),"")</f>
        <v/>
      </c>
      <c r="AE986" s="17" t="str">
        <f>IF(ISNUMBER($B952), IF($C986&lt;&gt;"", IF('Cost Inputs'!$L$203="Y", $E986, IF('Cost Inputs'!$L$203="N", IF(ISNUMBER('Cost Inputs'!$M$203), $E986, ""),"")),""),"")</f>
        <v/>
      </c>
      <c r="AF986" s="17" t="str">
        <f>IF(ISNUMBER($B952), IF($C986&lt;&gt;"", IF('Cost Inputs'!$L$203="Y", $E986, IF('Cost Inputs'!$L$203="N", IF(ISNUMBER('Cost Inputs'!$M$203), $E986, ""),"")),""),"")</f>
        <v/>
      </c>
    </row>
    <row r="987" spans="1:33" x14ac:dyDescent="0.25">
      <c r="A987" s="518"/>
      <c r="B987" s="504"/>
      <c r="C987" s="107" t="str">
        <f>IF(AND(ISNUMBER(B952), C981&lt;&gt;"", OR('Cost Inputs'!$H$204&lt;&gt;"", 'Cost Inputs'!$I$204&lt;&gt;"", 'Cost Inputs'!$J$204&lt;&gt;"")), _6_5_4, "")</f>
        <v/>
      </c>
      <c r="D987" s="93" t="str">
        <f>IF(AND(C987&lt;&gt;"", 'Cost Inputs'!$G$204&lt;&gt;""), 'Cost Inputs'!$G$204, "")</f>
        <v/>
      </c>
      <c r="E987" s="93" t="str">
        <f>IF(AND(C987&lt;&gt;"", 'Cost Inputs'!$H$204&lt;&gt;""), 'Cost Inputs'!$H$204, "")</f>
        <v/>
      </c>
      <c r="F987" s="93" t="str">
        <f>IF(AND(C987&lt;&gt;"", 'Cost Inputs'!$I$204&lt;&gt;""), 'Cost Inputs'!$I$204, "")</f>
        <v/>
      </c>
      <c r="G987" s="108" t="str">
        <f t="shared" si="496"/>
        <v/>
      </c>
      <c r="H987" s="93" t="str">
        <f>IF(AND(C987&lt;&gt;"", 'Cost Inputs'!$J$204&lt;&gt;""), 'Cost Inputs'!$J$204, "")</f>
        <v/>
      </c>
      <c r="I987" s="93" t="str">
        <f>IF($C987&lt;&gt;"", IF(AND($E987&lt;&gt;"", H987&lt;&gt;""), H987/$E987, 0),"")</f>
        <v/>
      </c>
      <c r="J987" s="93" t="str">
        <f>IF(AND(C987&lt;&gt;"",('Cost Inputs'!$I$204+'Cost Inputs'!$J$204+'Cost Inputs'!$K$204)&gt;0), 'Cost Inputs'!$I$204+'Cost Inputs'!$J$204+'Cost Inputs'!$K$204, "")</f>
        <v/>
      </c>
      <c r="K987" s="93" t="str">
        <f>IF($C987&lt;&gt;"", IF(AND($E987&lt;&gt;"", J987&lt;&gt;""), J987/$E987, 0),"")</f>
        <v/>
      </c>
      <c r="L987" s="93"/>
      <c r="M987" s="109"/>
      <c r="W987" s="93" t="str">
        <f>IF(ISNUMBER($B952), IF($C987&lt;&gt;"", IF('Cost Inputs'!$L$204="Y", $E987, IF('Cost Inputs'!$L$204="N", IF(ISNUMBER('Cost Inputs'!$M$204), $E987, ""),"")),""),"")</f>
        <v/>
      </c>
      <c r="X987" s="93" t="str">
        <f>IF(ISNUMBER($B952), IF($C987&lt;&gt;"", IF('Cost Inputs'!$L$204="Y", $E987, IF('Cost Inputs'!$L$204="N", IF(ISNUMBER('Cost Inputs'!$M$204), $E987, ""),"")),""),"")</f>
        <v/>
      </c>
      <c r="Y987" s="93" t="str">
        <f>IF(ISNUMBER($B952), IF($C987&lt;&gt;"", IF('Cost Inputs'!$L$204="Y", $E987, IF('Cost Inputs'!$L$204="N", IF(ISNUMBER('Cost Inputs'!$M$204), $E987, ""),"")),""),"")</f>
        <v/>
      </c>
      <c r="Z987" s="93" t="str">
        <f>IF(ISNUMBER($B952), IF($C987&lt;&gt;"", IF('Cost Inputs'!$L$204="Y", $E987, IF('Cost Inputs'!$L$204="N", IF(ISNUMBER('Cost Inputs'!$M$204), $E987, ""),"")),""),"")</f>
        <v/>
      </c>
      <c r="AA987" s="93" t="str">
        <f>IF(ISNUMBER($B952), IF($C987&lt;&gt;"", IF('Cost Inputs'!$L$204="Y", $E987, IF('Cost Inputs'!$L$204="N", IF(ISNUMBER('Cost Inputs'!$M$204), $E987, ""),"")),""),"")</f>
        <v/>
      </c>
      <c r="AB987" s="93" t="str">
        <f>IF(ISNUMBER($B952), IF($C987&lt;&gt;"", IF('Cost Inputs'!$L$204="Y", $E987, IF('Cost Inputs'!$L$204="N", IF(ISNUMBER('Cost Inputs'!$M$204), $E987, ""),"")),""),"")</f>
        <v/>
      </c>
      <c r="AC987" s="93" t="str">
        <f>IF(ISNUMBER($B952), IF($C987&lt;&gt;"", IF('Cost Inputs'!$L$204="Y", $E987, IF('Cost Inputs'!$L$204="N", IF(ISNUMBER('Cost Inputs'!$M$204), $E987, ""),"")),""),"")</f>
        <v/>
      </c>
      <c r="AD987" s="93" t="str">
        <f>IF(ISNUMBER($B952), IF($C987&lt;&gt;"", IF('Cost Inputs'!$L$204="Y", $E987, IF('Cost Inputs'!$L$204="N", IF(ISNUMBER('Cost Inputs'!$M$204), $E987, ""),"")),""),"")</f>
        <v/>
      </c>
      <c r="AE987" s="93" t="str">
        <f>IF(ISNUMBER($B952), IF($C987&lt;&gt;"", IF('Cost Inputs'!$L$204="Y", $E987, IF('Cost Inputs'!$L$204="N", IF(ISNUMBER('Cost Inputs'!$M$204), $E987, ""),"")),""),"")</f>
        <v/>
      </c>
      <c r="AF987" s="93" t="str">
        <f>IF(ISNUMBER($B952), IF($C987&lt;&gt;"", IF('Cost Inputs'!$L$204="Y", $E987, IF('Cost Inputs'!$L$204="N", IF(ISNUMBER('Cost Inputs'!$M$204), $E987, ""),"")),""),"")</f>
        <v/>
      </c>
    </row>
    <row r="988" spans="1:33" x14ac:dyDescent="0.25">
      <c r="A988" s="518"/>
      <c r="B988" s="504"/>
      <c r="C988" s="104" t="str">
        <f>IF(AND(ISNUMBER(B952), C981&lt;&gt;"", OR('Cost Inputs'!$H$205&lt;&gt;"", 'Cost Inputs'!$I$205&lt;&gt;"", 'Cost Inputs'!$J$205&lt;&gt;"")), _6_5_5, "")</f>
        <v/>
      </c>
      <c r="D988" s="17" t="str">
        <f>IF(AND(C988&lt;&gt;"", 'Cost Inputs'!$G$205&lt;&gt;""), 'Cost Inputs'!$G$205, "")</f>
        <v/>
      </c>
      <c r="E988" s="17" t="str">
        <f>IF(AND(C988&lt;&gt;"", 'Cost Inputs'!$H$205&lt;&gt;""), 'Cost Inputs'!$H$205, "")</f>
        <v/>
      </c>
      <c r="F988" s="17" t="str">
        <f>IF(AND(C988&lt;&gt;"", 'Cost Inputs'!$I$205&lt;&gt;""), 'Cost Inputs'!$I$205, "")</f>
        <v/>
      </c>
      <c r="G988" s="105" t="str">
        <f t="shared" si="496"/>
        <v/>
      </c>
      <c r="H988" s="17" t="str">
        <f>IF(AND(C988&lt;&gt;"", 'Cost Inputs'!$J$205&lt;&gt;""), 'Cost Inputs'!$J$205, "")</f>
        <v/>
      </c>
      <c r="I988" s="17" t="str">
        <f>IF($C988&lt;&gt;"", IF(AND($E988&lt;&gt;"", H988&lt;&gt;""), H988/$E988, 0),"")</f>
        <v/>
      </c>
      <c r="J988" s="17" t="str">
        <f>IF(AND(C988&lt;&gt;"",('Cost Inputs'!$I$205+'Cost Inputs'!$J$205+'Cost Inputs'!$K$205)&gt;0), 'Cost Inputs'!$I$205+'Cost Inputs'!$J$205+'Cost Inputs'!$K$205, "")</f>
        <v/>
      </c>
      <c r="K988" s="17" t="str">
        <f>IF($C988&lt;&gt;"", IF(AND($E988&lt;&gt;"", J988&lt;&gt;""), J988/$E988, 0),"")</f>
        <v/>
      </c>
      <c r="M988" s="106"/>
      <c r="W988" s="17" t="str">
        <f>IF(ISNUMBER($B952), IF($C988&lt;&gt;"", IF('Cost Inputs'!$L$205="Y", $E988, IF('Cost Inputs'!$L$205="N", IF(ISNUMBER('Cost Inputs'!$M$205), $E988, ""),"")),""),"")</f>
        <v/>
      </c>
      <c r="X988" s="17" t="str">
        <f>IF(ISNUMBER($B952), IF($C988&lt;&gt;"", IF('Cost Inputs'!$L$205="Y", $E988, IF('Cost Inputs'!$L$205="N", IF(ISNUMBER('Cost Inputs'!$M$205), $E988, ""),"")),""),"")</f>
        <v/>
      </c>
      <c r="Y988" s="17" t="str">
        <f>IF(ISNUMBER($B952), IF($C988&lt;&gt;"", IF('Cost Inputs'!$L$205="Y", $E988, IF('Cost Inputs'!$L$205="N", IF(ISNUMBER('Cost Inputs'!$M$205), $E988, ""),"")),""),"")</f>
        <v/>
      </c>
      <c r="Z988" s="17" t="str">
        <f>IF(ISNUMBER($B952), IF($C988&lt;&gt;"", IF('Cost Inputs'!$L$205="Y", $E988, IF('Cost Inputs'!$L$205="N", IF(ISNUMBER('Cost Inputs'!$M$205), $E988, ""),"")),""),"")</f>
        <v/>
      </c>
      <c r="AA988" s="17" t="str">
        <f>IF(ISNUMBER($B952), IF($C988&lt;&gt;"", IF('Cost Inputs'!$L$205="Y", $E988, IF('Cost Inputs'!$L$205="N", IF(ISNUMBER('Cost Inputs'!$M$205), $E988, ""),"")),""),"")</f>
        <v/>
      </c>
      <c r="AB988" s="17" t="str">
        <f>IF(ISNUMBER($B952), IF($C988&lt;&gt;"", IF('Cost Inputs'!$L$205="Y", $E988, IF('Cost Inputs'!$L$205="N", IF(ISNUMBER('Cost Inputs'!$M$205), $E988, ""),"")),""),"")</f>
        <v/>
      </c>
      <c r="AC988" s="17" t="str">
        <f>IF(ISNUMBER($B952), IF($C988&lt;&gt;"", IF('Cost Inputs'!$L$205="Y", $E988, IF('Cost Inputs'!$L$205="N", IF(ISNUMBER('Cost Inputs'!$M$205), $E988, ""),"")),""),"")</f>
        <v/>
      </c>
      <c r="AD988" s="17" t="str">
        <f>IF(ISNUMBER($B952), IF($C988&lt;&gt;"", IF('Cost Inputs'!$L$205="Y", $E988, IF('Cost Inputs'!$L$205="N", IF(ISNUMBER('Cost Inputs'!$M$205), $E988, ""),"")),""),"")</f>
        <v/>
      </c>
      <c r="AE988" s="17" t="str">
        <f>IF(ISNUMBER($B952), IF($C988&lt;&gt;"", IF('Cost Inputs'!$L$205="Y", $E988, IF('Cost Inputs'!$L$205="N", IF(ISNUMBER('Cost Inputs'!$M$205), $E988, ""),"")),""),"")</f>
        <v/>
      </c>
      <c r="AF988" s="17" t="str">
        <f>IF(ISNUMBER($B952), IF($C988&lt;&gt;"", IF('Cost Inputs'!$L$205="Y", $E988, IF('Cost Inputs'!$L$205="N", IF(ISNUMBER('Cost Inputs'!$M$205), $E988, ""),"")),""),"")</f>
        <v/>
      </c>
    </row>
    <row r="989" spans="1:33" x14ac:dyDescent="0.25">
      <c r="A989" s="518"/>
      <c r="B989" s="504"/>
      <c r="C989" s="110" t="str">
        <f>IF(ISNUMBER(B952), _6_6_0, "")</f>
        <v/>
      </c>
      <c r="D989" s="94" t="str">
        <f>IF(AND(C989&lt;&gt;"", 'Cost Inputs'!$G$206&lt;&gt;""), 'Cost Inputs'!$G$206, "")</f>
        <v/>
      </c>
      <c r="E989" s="94" t="str">
        <f>IF(AND(C989&lt;&gt;"", 'Cost Inputs'!$H$206&lt;&gt;""), 'Cost Inputs'!$H$206, "")</f>
        <v/>
      </c>
      <c r="F989" s="94" t="str">
        <f>IF(AND(C989&lt;&gt;"", 'Cost Inputs'!$I$206&lt;&gt;""), 'Cost Inputs'!$I$206, "")</f>
        <v/>
      </c>
      <c r="G989" s="102" t="str">
        <f t="shared" si="496"/>
        <v/>
      </c>
      <c r="H989" s="94" t="str">
        <f>IF(AND(C989&lt;&gt;"", 'Cost Inputs'!$J$206&lt;&gt;""), 'Cost Inputs'!$J$206, "")</f>
        <v/>
      </c>
      <c r="I989" s="102" t="str">
        <f>IF($C989&lt;&gt;"",IF(AND($E989&lt;&gt;"",H989&lt;&gt;""), H989/$E989, 0),"")</f>
        <v/>
      </c>
      <c r="J989" s="94" t="str">
        <f>IF(AND(C989&lt;&gt;"",('Cost Inputs'!$I$206+'Cost Inputs'!$J$206+'Cost Inputs'!$K$206)&gt;0), 'Cost Inputs'!$I$206+'Cost Inputs'!$J$206+'Cost Inputs'!$K$206, "")</f>
        <v/>
      </c>
      <c r="K989" s="102" t="str">
        <f>IF($C989&lt;&gt;"",IF(AND($E989&lt;&gt;"",J989&lt;&gt;""), J989/$E989, 0),"")</f>
        <v/>
      </c>
      <c r="L989" s="94"/>
      <c r="M989" s="103"/>
      <c r="W989" s="94" t="str">
        <f>IF(ISNUMBER($B952), IF($C989&lt;&gt;"", IF('Cost Inputs'!$L$206="Y", $E989, IF('Cost Inputs'!$L$206="N", IF(ISNUMBER('Cost Inputs'!$M$206), $E989, ""),"")),""),"")</f>
        <v/>
      </c>
      <c r="X989" s="94" t="str">
        <f>IF(ISNUMBER($B952), IF($C989&lt;&gt;"", IF('Cost Inputs'!$L$206="Y", $E989, IF('Cost Inputs'!$L$206="N", IF(ISNUMBER('Cost Inputs'!$M$206), $E989, ""),"")),""),"")</f>
        <v/>
      </c>
      <c r="Y989" s="94" t="str">
        <f>IF(ISNUMBER($B952), IF($C989&lt;&gt;"", IF('Cost Inputs'!$L$206="Y", $E989, IF('Cost Inputs'!$L$206="N", IF(ISNUMBER('Cost Inputs'!$M$206), $E989, ""),"")),""),"")</f>
        <v/>
      </c>
      <c r="Z989" s="94" t="str">
        <f>IF(ISNUMBER($B952), IF($C989&lt;&gt;"", IF('Cost Inputs'!$L$206="Y", $E989, IF('Cost Inputs'!$L$206="N", IF(ISNUMBER('Cost Inputs'!$M$206), $E989, ""),"")),""),"")</f>
        <v/>
      </c>
      <c r="AA989" s="94" t="str">
        <f>IF(ISNUMBER($B952), IF($C989&lt;&gt;"", IF('Cost Inputs'!$L$206="Y", $E989, IF('Cost Inputs'!$L$206="N", IF(ISNUMBER('Cost Inputs'!$M$206), $E989, ""),"")),""),"")</f>
        <v/>
      </c>
      <c r="AB989" s="94" t="str">
        <f>IF(ISNUMBER($B952), IF($C989&lt;&gt;"", IF('Cost Inputs'!$L$206="Y", $E989, IF('Cost Inputs'!$L$206="N", IF(ISNUMBER('Cost Inputs'!$M$206), $E989, ""),"")),""),"")</f>
        <v/>
      </c>
      <c r="AC989" s="94" t="str">
        <f>IF(ISNUMBER($B952), IF($C989&lt;&gt;"", IF('Cost Inputs'!$L$206="Y", $E989, IF('Cost Inputs'!$L$206="N", IF(ISNUMBER('Cost Inputs'!$M$206), $E989, ""),"")),""),"")</f>
        <v/>
      </c>
      <c r="AD989" s="94" t="str">
        <f>IF(ISNUMBER($B952), IF($C989&lt;&gt;"", IF('Cost Inputs'!$L$206="Y", $E989, IF('Cost Inputs'!$L$206="N", IF(ISNUMBER('Cost Inputs'!$M$206), $E989, ""),"")),""),"")</f>
        <v/>
      </c>
      <c r="AE989" s="94" t="str">
        <f>IF(ISNUMBER($B952), IF($C989&lt;&gt;"", IF('Cost Inputs'!$L$206="Y", $E989, IF('Cost Inputs'!$L$206="N", IF(ISNUMBER('Cost Inputs'!$M$206), $E989, ""),"")),""),"")</f>
        <v/>
      </c>
      <c r="AF989" s="94" t="str">
        <f>IF(ISNUMBER($B952), IF($C989&lt;&gt;"", IF('Cost Inputs'!$L$206="Y", $E989, IF('Cost Inputs'!$L$206="N", IF(ISNUMBER('Cost Inputs'!$M$206), $E989, ""),"")),""),"")</f>
        <v/>
      </c>
    </row>
    <row r="990" spans="1:33" x14ac:dyDescent="0.25">
      <c r="A990" s="518"/>
      <c r="B990" s="504"/>
      <c r="C990" s="104" t="str">
        <f>IF(AND(ISNUMBER(B952), OR('Cost Inputs'!$H$207&lt;&gt;"", 'Cost Inputs'!$I$207&lt;&gt;"", 'Cost Inputs'!$J$207&lt;&gt;"")), _6_6_1, "")</f>
        <v/>
      </c>
      <c r="D990" s="17" t="str">
        <f>IF(AND(C990&lt;&gt;"", 'Cost Inputs'!$G$207&lt;&gt;""), 'Cost Inputs'!$G$207, "")</f>
        <v/>
      </c>
      <c r="E990" s="17" t="str">
        <f>IF(AND(C990&lt;&gt;"", 'Cost Inputs'!$H$207&lt;&gt;""), 'Cost Inputs'!$H$207, "")</f>
        <v/>
      </c>
      <c r="F990" s="17" t="str">
        <f>IF(AND(C990&lt;&gt;"", 'Cost Inputs'!$I$207&lt;&gt;""), 'Cost Inputs'!$I$207, "")</f>
        <v/>
      </c>
      <c r="G990" s="105" t="str">
        <f t="shared" si="496"/>
        <v/>
      </c>
      <c r="H990" s="17" t="str">
        <f>IF(AND(C990&lt;&gt;"", 'Cost Inputs'!$J$207&lt;&gt;""), 'Cost Inputs'!$J$207, "")</f>
        <v/>
      </c>
      <c r="I990" s="17" t="str">
        <f>IF($C990&lt;&gt;"", IF(AND($E990&lt;&gt;"", H990&lt;&gt;""), H990/$E990, 0),"")</f>
        <v/>
      </c>
      <c r="J990" s="17" t="str">
        <f>IF(AND(C990&lt;&gt;"",('Cost Inputs'!$I$207+'Cost Inputs'!$J$207+'Cost Inputs'!$K$207)&gt;0), 'Cost Inputs'!$I$207+'Cost Inputs'!$J$207+'Cost Inputs'!$K$207, "")</f>
        <v/>
      </c>
      <c r="K990" s="17" t="str">
        <f>IF($C990&lt;&gt;"", IF(AND($E990&lt;&gt;"", J990&lt;&gt;""), J990/$E990, 0),"")</f>
        <v/>
      </c>
      <c r="M990" s="106"/>
      <c r="W990" s="17" t="str">
        <f>IF(ISNUMBER($B952), IF($C990&lt;&gt;"", IF('Cost Inputs'!$L$207="Y", $E990, IF('Cost Inputs'!$L$207="N", IF(ISNUMBER('Cost Inputs'!$M$207), $E990, ""),"")),""),"")</f>
        <v/>
      </c>
      <c r="X990" s="17" t="str">
        <f>IF(ISNUMBER($B952), IF($C990&lt;&gt;"", IF('Cost Inputs'!$L$207="Y", $E990, IF('Cost Inputs'!$L$207="N", IF(ISNUMBER('Cost Inputs'!$M$207), $E990, ""),"")),""),"")</f>
        <v/>
      </c>
      <c r="Y990" s="17" t="str">
        <f>IF(ISNUMBER($B952), IF($C990&lt;&gt;"", IF('Cost Inputs'!$L$207="Y", $E990, IF('Cost Inputs'!$L$207="N", IF(ISNUMBER('Cost Inputs'!$M$207), $E990, ""),"")),""),"")</f>
        <v/>
      </c>
      <c r="Z990" s="17" t="str">
        <f>IF(ISNUMBER($B952), IF($C990&lt;&gt;"", IF('Cost Inputs'!$L$207="Y", $E990, IF('Cost Inputs'!$L$207="N", IF(ISNUMBER('Cost Inputs'!$M$207), $E990, ""),"")),""),"")</f>
        <v/>
      </c>
      <c r="AA990" s="17" t="str">
        <f>IF(ISNUMBER($B952), IF($C990&lt;&gt;"", IF('Cost Inputs'!$L$207="Y", $E990, IF('Cost Inputs'!$L$207="N", IF(ISNUMBER('Cost Inputs'!$M$207), $E990, ""),"")),""),"")</f>
        <v/>
      </c>
      <c r="AB990" s="17" t="str">
        <f>IF(ISNUMBER($B952), IF($C990&lt;&gt;"", IF('Cost Inputs'!$L$207="Y", $E990, IF('Cost Inputs'!$L$207="N", IF(ISNUMBER('Cost Inputs'!$M$207), $E990, ""),"")),""),"")</f>
        <v/>
      </c>
      <c r="AC990" s="17" t="str">
        <f>IF(ISNUMBER($B952), IF($C990&lt;&gt;"", IF('Cost Inputs'!$L$207="Y", $E990, IF('Cost Inputs'!$L$207="N", IF(ISNUMBER('Cost Inputs'!$M$207), $E990, ""),"")),""),"")</f>
        <v/>
      </c>
      <c r="AD990" s="17" t="str">
        <f>IF(ISNUMBER($B952), IF($C990&lt;&gt;"", IF('Cost Inputs'!$L$207="Y", $E990, IF('Cost Inputs'!$L$207="N", IF(ISNUMBER('Cost Inputs'!$M$207), $E990, ""),"")),""),"")</f>
        <v/>
      </c>
      <c r="AE990" s="17" t="str">
        <f>IF(ISNUMBER($B952), IF($C990&lt;&gt;"", IF('Cost Inputs'!$L$207="Y", $E990, IF('Cost Inputs'!$L$207="N", IF(ISNUMBER('Cost Inputs'!$M$207), $E990, ""),"")),""),"")</f>
        <v/>
      </c>
      <c r="AF990" s="17" t="str">
        <f>IF(ISNUMBER($B952), IF($C990&lt;&gt;"", IF('Cost Inputs'!$L$207="Y", $E990, IF('Cost Inputs'!$L$207="N", IF(ISNUMBER('Cost Inputs'!$M$207), $E990, ""),"")),""),"")</f>
        <v/>
      </c>
    </row>
    <row r="991" spans="1:33" ht="15.75" thickBot="1" x14ac:dyDescent="0.3">
      <c r="A991" s="518"/>
      <c r="B991" s="505"/>
      <c r="C991" s="111" t="str">
        <f>IF(AND(ISNUMBER(B952), OR('Cost Inputs'!$H$208&lt;&gt;"", 'Cost Inputs'!$I$208&lt;&gt;"", 'Cost Inputs'!$J$208&lt;&gt;"")), _6_6_2, "")</f>
        <v/>
      </c>
      <c r="D991" s="95" t="str">
        <f>IF(AND(C991&lt;&gt;"", 'Cost Inputs'!$G$208&lt;&gt;""), 'Cost Inputs'!$G$208, "")</f>
        <v/>
      </c>
      <c r="E991" s="95" t="str">
        <f>IF(AND(C991&lt;&gt;"", 'Cost Inputs'!$H$208&lt;&gt;""), 'Cost Inputs'!$H$208, "")</f>
        <v/>
      </c>
      <c r="F991" s="95" t="str">
        <f>IF(AND(C991&lt;&gt;"", 'Cost Inputs'!$I$208&lt;&gt;""), 'Cost Inputs'!$I$208, "")</f>
        <v/>
      </c>
      <c r="G991" s="112" t="str">
        <f t="shared" si="496"/>
        <v/>
      </c>
      <c r="H991" s="95" t="str">
        <f>IF(AND(C991&lt;&gt;"", 'Cost Inputs'!$J$208&lt;&gt;""), 'Cost Inputs'!$J$208, "")</f>
        <v/>
      </c>
      <c r="I991" s="95" t="str">
        <f>IF($C991&lt;&gt;"", IF(AND($E991&lt;&gt;"", H991&lt;&gt;""), H991/$E991, 0),"")</f>
        <v/>
      </c>
      <c r="J991" s="95" t="str">
        <f>IF(AND(C991&lt;&gt;"",('Cost Inputs'!$I$208+'Cost Inputs'!$J$208+'Cost Inputs'!$K$208)&gt;0), 'Cost Inputs'!$I$208+'Cost Inputs'!$J$208+'Cost Inputs'!$K$208, "")</f>
        <v/>
      </c>
      <c r="K991" s="95" t="str">
        <f>IF($C991&lt;&gt;"", IF(AND($E991&lt;&gt;"", J991&lt;&gt;""), J991/$E991, 0),"")</f>
        <v/>
      </c>
      <c r="L991" s="95"/>
      <c r="M991" s="113"/>
      <c r="W991" s="95" t="str">
        <f>IF(ISNUMBER($B952), IF($C991&lt;&gt;"", IF('Cost Inputs'!$L$208="Y", $E991, IF('Cost Inputs'!$L$208="N", IF(ISNUMBER('Cost Inputs'!$M$208), $E991, ""),"")),""),"")</f>
        <v/>
      </c>
      <c r="X991" s="95" t="str">
        <f>IF(ISNUMBER($B952), IF($C991&lt;&gt;"", IF('Cost Inputs'!$L$208="Y", $E991, IF('Cost Inputs'!$L$208="N", IF(ISNUMBER('Cost Inputs'!$M$208), $E991, ""),"")),""),"")</f>
        <v/>
      </c>
      <c r="Y991" s="95" t="str">
        <f>IF(ISNUMBER($B952), IF($C991&lt;&gt;"", IF('Cost Inputs'!$L$208="Y", $E991, IF('Cost Inputs'!$L$208="N", IF(ISNUMBER('Cost Inputs'!$M$208), $E991, ""),"")),""),"")</f>
        <v/>
      </c>
      <c r="Z991" s="95" t="str">
        <f>IF(ISNUMBER($B952), IF($C991&lt;&gt;"", IF('Cost Inputs'!$L$208="Y", $E991, IF('Cost Inputs'!$L$208="N", IF(ISNUMBER('Cost Inputs'!$M$208), $E991, ""),"")),""),"")</f>
        <v/>
      </c>
      <c r="AA991" s="95" t="str">
        <f>IF(ISNUMBER($B952), IF($C991&lt;&gt;"", IF('Cost Inputs'!$L$208="Y", $E991, IF('Cost Inputs'!$L$208="N", IF(ISNUMBER('Cost Inputs'!$M$208), $E991, ""),"")),""),"")</f>
        <v/>
      </c>
      <c r="AB991" s="95" t="str">
        <f>IF(ISNUMBER($B952), IF($C991&lt;&gt;"", IF('Cost Inputs'!$L$208="Y", $E991, IF('Cost Inputs'!$L$208="N", IF(ISNUMBER('Cost Inputs'!$M$208), $E991, ""),"")),""),"")</f>
        <v/>
      </c>
      <c r="AC991" s="95" t="str">
        <f>IF(ISNUMBER($B952), IF($C991&lt;&gt;"", IF('Cost Inputs'!$L$208="Y", $E991, IF('Cost Inputs'!$L$208="N", IF(ISNUMBER('Cost Inputs'!$M$208), $E991, ""),"")),""),"")</f>
        <v/>
      </c>
      <c r="AD991" s="95" t="str">
        <f>IF(ISNUMBER($B952), IF($C991&lt;&gt;"", IF('Cost Inputs'!$L$208="Y", $E991, IF('Cost Inputs'!$L$208="N", IF(ISNUMBER('Cost Inputs'!$M$208), $E991, ""),"")),""),"")</f>
        <v/>
      </c>
      <c r="AE991" s="95" t="str">
        <f>IF(ISNUMBER($B952), IF($C991&lt;&gt;"", IF('Cost Inputs'!$L$208="Y", $E991, IF('Cost Inputs'!$L$208="N", IF(ISNUMBER('Cost Inputs'!$M$208), $E991, ""),"")),""),"")</f>
        <v/>
      </c>
      <c r="AF991" s="95" t="str">
        <f>IF(ISNUMBER($B952), IF($C991&lt;&gt;"", IF('Cost Inputs'!$L$208="Y", $E991, IF('Cost Inputs'!$L$208="N", IF(ISNUMBER('Cost Inputs'!$M$208), $E991, ""),"")),""),"")</f>
        <v/>
      </c>
    </row>
    <row r="992" spans="1:33" x14ac:dyDescent="0.25">
      <c r="A992" s="518" t="str">
        <f>Sixth_Stage</f>
        <v>Stage 4 Grower Trials</v>
      </c>
      <c r="B992" s="503" t="str">
        <f>'Breeding Inputs'!B122</f>
        <v/>
      </c>
      <c r="C992" s="521" t="str">
        <f>IF(ISNUMBER(B974), _6_3_0, "")</f>
        <v/>
      </c>
      <c r="D992" s="94" t="str">
        <f>IF(AND(C992&lt;&gt;"", 'Cost Inputs'!$G$187&lt;&gt;""), 'Cost Inputs'!$G$187, "")</f>
        <v/>
      </c>
      <c r="E992" s="94" t="str">
        <f>IF(AND(C992&lt;&gt;"", 'Cost Inputs'!$H$187&lt;&gt;""), 'Cost Inputs'!$H$187, "")</f>
        <v/>
      </c>
      <c r="F992" s="492" t="str">
        <f>IF(AND(C992&lt;&gt;"", 'Cost Inputs'!$I$187&lt;&gt;""), 'Cost Inputs'!$I$187, "")</f>
        <v/>
      </c>
      <c r="G992" s="102" t="str">
        <f t="shared" si="496"/>
        <v/>
      </c>
      <c r="H992" s="492" t="str">
        <f>IF(AND(C992&lt;&gt;"", 'Cost Inputs'!$J$187&lt;&gt;""), 'Cost Inputs'!$J$187, "")</f>
        <v/>
      </c>
      <c r="I992" s="102" t="str">
        <f>IF($C992&lt;&gt;"",IF(AND($E992&lt;&gt;"",H992&lt;&gt;""), H992/$E992, 0),"")</f>
        <v/>
      </c>
      <c r="J992" s="492" t="str">
        <f>IF(AND(C992&lt;&gt;"",('Cost Inputs'!$I$187+'Cost Inputs'!$J$187+'Cost Inputs'!$K$187)&gt;0), 'Cost Inputs'!$I$187+'Cost Inputs'!$J$187+'Cost Inputs'!$K$187, "")</f>
        <v/>
      </c>
      <c r="K992" s="102" t="str">
        <f>IF($C992&lt;&gt;"",IF(AND($E992&lt;&gt;"",J992&lt;&gt;""), J992/$E992, 0),"")</f>
        <v/>
      </c>
      <c r="L992" s="94"/>
      <c r="M992" s="103"/>
      <c r="X992" s="492" t="str">
        <f>IF(ISNUMBER($B974), IF($C992&lt;&gt;"", IF('Cost Inputs'!$L$187="Y", $E992, IF('Cost Inputs'!$L$187="N", IF(ISNUMBER('Cost Inputs'!$M$187), $E992, ""),"")),""),"")</f>
        <v/>
      </c>
      <c r="Y992" s="492" t="str">
        <f>IF(ISNUMBER($B974), IF($C992&lt;&gt;"", IF('Cost Inputs'!$L$187="Y", $E992, IF('Cost Inputs'!$L$187="N", IF(ISNUMBER('Cost Inputs'!$M$187), $E992, ""),"")),""),"")</f>
        <v/>
      </c>
      <c r="Z992" s="492" t="str">
        <f>IF(ISNUMBER($B974), IF($C992&lt;&gt;"", IF('Cost Inputs'!$L$187="Y", $E992, IF('Cost Inputs'!$L$187="N", IF(ISNUMBER('Cost Inputs'!$M$187), $E992, ""),"")),""),"")</f>
        <v/>
      </c>
      <c r="AA992" s="492" t="str">
        <f>IF(ISNUMBER($B974), IF($C992&lt;&gt;"", IF('Cost Inputs'!$L$187="Y", $E992, IF('Cost Inputs'!$L$187="N", IF(ISNUMBER('Cost Inputs'!$M$187), $E992, ""),"")),""),"")</f>
        <v/>
      </c>
      <c r="AB992" s="492" t="str">
        <f>IF(ISNUMBER($B974), IF($C992&lt;&gt;"", IF('Cost Inputs'!$L$187="Y", $E992, IF('Cost Inputs'!$L$187="N", IF(ISNUMBER('Cost Inputs'!$M$187), $E992, ""),"")),""),"")</f>
        <v/>
      </c>
      <c r="AC992" s="492" t="str">
        <f>IF(ISNUMBER($B974), IF($C992&lt;&gt;"", IF('Cost Inputs'!$L$187="Y", $E992, IF('Cost Inputs'!$L$187="N", IF(ISNUMBER('Cost Inputs'!$M$187), $E992, ""),"")),""),"")</f>
        <v/>
      </c>
      <c r="AD992" s="492" t="str">
        <f>IF(ISNUMBER($B974), IF($C992&lt;&gt;"", IF('Cost Inputs'!$L$187="Y", $E992, IF('Cost Inputs'!$L$187="N", IF(ISNUMBER('Cost Inputs'!$M$187), $E992, ""),"")),""),"")</f>
        <v/>
      </c>
      <c r="AE992" s="492" t="str">
        <f>IF(ISNUMBER($B974), IF($C992&lt;&gt;"", IF('Cost Inputs'!$L$187="Y", $E992, IF('Cost Inputs'!$L$187="N", IF(ISNUMBER('Cost Inputs'!$M$187), $E992, ""),"")),""),"")</f>
        <v/>
      </c>
      <c r="AF992" s="492" t="str">
        <f>IF(ISNUMBER($B974), IF($C992&lt;&gt;"", IF('Cost Inputs'!$L$187="Y", $E992, IF('Cost Inputs'!$L$187="N", IF(ISNUMBER('Cost Inputs'!$M$187), $E992, ""),"")),""),"")</f>
        <v/>
      </c>
      <c r="AG992" s="492" t="str">
        <f>IF(ISNUMBER($B974), IF($C992&lt;&gt;"", IF('Cost Inputs'!$L$187="Y", $E992, IF('Cost Inputs'!$L$187="N", IF(ISNUMBER('Cost Inputs'!$M$187), $E992, ""),"")),""),"")</f>
        <v/>
      </c>
    </row>
    <row r="993" spans="1:33" x14ac:dyDescent="0.25">
      <c r="A993" s="518"/>
      <c r="B993" s="504"/>
      <c r="C993" s="521"/>
      <c r="D993" s="94" t="str">
        <f>IF(AND(C992&lt;&gt;"", 'Cost Inputs'!$G$188&lt;&gt;""), 'Cost Inputs'!$G$188, "")</f>
        <v/>
      </c>
      <c r="E993" s="94" t="str">
        <f>IF(AND(C992&lt;&gt;"", 'Cost Inputs'!$H$188&lt;&gt;""), 'Cost Inputs'!$H$188, "")</f>
        <v/>
      </c>
      <c r="F993" s="492"/>
      <c r="G993" s="102" t="str">
        <f t="shared" si="496"/>
        <v/>
      </c>
      <c r="H993" s="492"/>
      <c r="I993" s="102" t="str">
        <f>IF($C992&lt;&gt;"", IF(AND($E993&lt;&gt;"", H992&lt;&gt;""), H992/($E992*$E993), 0), "")</f>
        <v/>
      </c>
      <c r="J993" s="492" t="str">
        <f>IF(AND(C993&lt;&gt;"",('Cost Inputs'!$I$86+'Cost Inputs'!$J$86+'Cost Inputs'!$K$86)&gt;0), 'Cost Inputs'!$I$86+'Cost Inputs'!$J$86+'Cost Inputs'!$K$86, "")</f>
        <v/>
      </c>
      <c r="K993" s="102" t="str">
        <f>IF($C992&lt;&gt;"", IF(AND($E993&lt;&gt;"", J992&lt;&gt;""), J992/($E992*$E993), 0), "")</f>
        <v/>
      </c>
      <c r="L993" s="94"/>
      <c r="M993" s="103"/>
      <c r="X993" s="492" t="str">
        <f>IF(ISNUMBER($B$776), IF($C993&lt;&gt;"", IF('Cost Inputs'!$L386="Y", $E993, IF('Cost Inputs'!$L386="N", IF(ISNUMBER('Cost Inputs'!$M386), $E993, ""),"")),""),"")</f>
        <v/>
      </c>
      <c r="Y993" s="492" t="str">
        <f>IF(ISNUMBER($B$776), IF($C993&lt;&gt;"", IF('Cost Inputs'!$L386="Y", $E993, IF('Cost Inputs'!$L386="N", IF(ISNUMBER('Cost Inputs'!$M386), $E993, ""),"")),""),"")</f>
        <v/>
      </c>
      <c r="Z993" s="492" t="str">
        <f>IF(ISNUMBER($B$776), IF($C993&lt;&gt;"", IF('Cost Inputs'!$L386="Y", $E993, IF('Cost Inputs'!$L386="N", IF(ISNUMBER('Cost Inputs'!$M386), $E993, ""),"")),""),"")</f>
        <v/>
      </c>
      <c r="AA993" s="492" t="str">
        <f>IF(ISNUMBER($B$776), IF($C993&lt;&gt;"", IF('Cost Inputs'!$L386="Y", $E993, IF('Cost Inputs'!$L386="N", IF(ISNUMBER('Cost Inputs'!$M386), $E993, ""),"")),""),"")</f>
        <v/>
      </c>
      <c r="AB993" s="492" t="str">
        <f>IF(ISNUMBER($B$776), IF($C993&lt;&gt;"", IF('Cost Inputs'!$L386="Y", $E993, IF('Cost Inputs'!$L386="N", IF(ISNUMBER('Cost Inputs'!$M386), $E993, ""),"")),""),"")</f>
        <v/>
      </c>
      <c r="AC993" s="492" t="str">
        <f>IF(ISNUMBER($B$776), IF($C993&lt;&gt;"", IF('Cost Inputs'!$L386="Y", $E993, IF('Cost Inputs'!$L386="N", IF(ISNUMBER('Cost Inputs'!$M386), $E993, ""),"")),""),"")</f>
        <v/>
      </c>
      <c r="AD993" s="492" t="str">
        <f>IF(ISNUMBER($B$776), IF($C993&lt;&gt;"", IF('Cost Inputs'!$L386="Y", $E993, IF('Cost Inputs'!$L386="N", IF(ISNUMBER('Cost Inputs'!$M386), $E993, ""),"")),""),"")</f>
        <v/>
      </c>
      <c r="AE993" s="492" t="str">
        <f>IF(ISNUMBER($B$776), IF($C993&lt;&gt;"", IF('Cost Inputs'!$L386="Y", $E993, IF('Cost Inputs'!$L386="N", IF(ISNUMBER('Cost Inputs'!$M386), $E993, ""),"")),""),"")</f>
        <v/>
      </c>
      <c r="AF993" s="492" t="str">
        <f>IF(ISNUMBER($B$776), IF($C993&lt;&gt;"", IF('Cost Inputs'!$L386="Y", $E993, IF('Cost Inputs'!$L386="N", IF(ISNUMBER('Cost Inputs'!$M386), $E993, ""),"")),""),"")</f>
        <v/>
      </c>
      <c r="AG993" s="492" t="str">
        <f>IF(ISNUMBER($B$776), IF($C993&lt;&gt;"", IF('Cost Inputs'!$L386="Y", $E993, IF('Cost Inputs'!$L386="N", IF(ISNUMBER('Cost Inputs'!$M386), $E993, ""),"")),""),"")</f>
        <v/>
      </c>
    </row>
    <row r="994" spans="1:33" x14ac:dyDescent="0.25">
      <c r="A994" s="518"/>
      <c r="B994" s="504"/>
      <c r="C994" s="104" t="str">
        <f>IF(AND(ISNUMBER(B974), OR('Cost Inputs'!$H$189&lt;&gt;"", 'Cost Inputs'!$I$189&lt;&gt;"", 'Cost Inputs'!$J$189&lt;&gt;"")), _6_3_1, "")</f>
        <v/>
      </c>
      <c r="D994" s="17" t="str">
        <f>IF(AND(C994&lt;&gt;"", 'Cost Inputs'!$G$189&lt;&gt;""), 'Cost Inputs'!$G$189, "")</f>
        <v/>
      </c>
      <c r="E994" s="17" t="str">
        <f>IF(AND(C994&lt;&gt;"", 'Cost Inputs'!$H$189&lt;&gt;""), 'Cost Inputs'!$H$189, "")</f>
        <v/>
      </c>
      <c r="F994" s="17" t="str">
        <f>IF(AND(C994&lt;&gt;"", 'Cost Inputs'!$I$189&lt;&gt;""), 'Cost Inputs'!$I$189, "")</f>
        <v/>
      </c>
      <c r="G994" s="105" t="str">
        <f t="shared" si="496"/>
        <v/>
      </c>
      <c r="H994" s="17" t="str">
        <f>IF(AND(C994&lt;&gt;"", 'Cost Inputs'!$J$189&lt;&gt;""), 'Cost Inputs'!$J$189, "")</f>
        <v/>
      </c>
      <c r="I994" s="17" t="str">
        <f t="shared" ref="I994:I1002" si="501">IF($C994&lt;&gt;"", IF(AND($E994&lt;&gt;"", H994&lt;&gt;""), H994/$E994, 0),"")</f>
        <v/>
      </c>
      <c r="J994" s="17" t="str">
        <f>IF(AND(C994&lt;&gt;"",('Cost Inputs'!$I$189+'Cost Inputs'!$J$189+'Cost Inputs'!$K$189)&gt;0), 'Cost Inputs'!$I$189+'Cost Inputs'!$J$189+'Cost Inputs'!$K$189, "")</f>
        <v/>
      </c>
      <c r="K994" s="17" t="str">
        <f t="shared" ref="K994:K1002" si="502">IF($C994&lt;&gt;"", IF(AND($E994&lt;&gt;"", J994&lt;&gt;""), J994/$E994, 0),"")</f>
        <v/>
      </c>
      <c r="M994" s="106"/>
      <c r="X994" s="17" t="str">
        <f>IF(ISNUMBER($B974), IF($C994&lt;&gt;"", IF('Cost Inputs'!$L$189="Y", $E994, IF('Cost Inputs'!$L$189="N", IF(ISNUMBER('Cost Inputs'!$M$189), $E994, ""),"")),""),"")</f>
        <v/>
      </c>
      <c r="Y994" s="17" t="str">
        <f>IF(ISNUMBER($B974), IF($C994&lt;&gt;"", IF('Cost Inputs'!$L$189="Y", $E994, IF('Cost Inputs'!$L$189="N", IF(ISNUMBER('Cost Inputs'!$M$189), $E994, ""),"")),""),"")</f>
        <v/>
      </c>
      <c r="Z994" s="17" t="str">
        <f>IF(ISNUMBER($B974), IF($C994&lt;&gt;"", IF('Cost Inputs'!$L$189="Y", $E994, IF('Cost Inputs'!$L$189="N", IF(ISNUMBER('Cost Inputs'!$M$189), $E994, ""),"")),""),"")</f>
        <v/>
      </c>
      <c r="AA994" s="17" t="str">
        <f>IF(ISNUMBER($B974), IF($C994&lt;&gt;"", IF('Cost Inputs'!$L$189="Y", $E994, IF('Cost Inputs'!$L$189="N", IF(ISNUMBER('Cost Inputs'!$M$189), $E994, ""),"")),""),"")</f>
        <v/>
      </c>
      <c r="AB994" s="17" t="str">
        <f>IF(ISNUMBER($B974), IF($C994&lt;&gt;"", IF('Cost Inputs'!$L$189="Y", $E994, IF('Cost Inputs'!$L$189="N", IF(ISNUMBER('Cost Inputs'!$M$189), $E994, ""),"")),""),"")</f>
        <v/>
      </c>
      <c r="AC994" s="17" t="str">
        <f>IF(ISNUMBER($B974), IF($C994&lt;&gt;"", IF('Cost Inputs'!$L$189="Y", $E994, IF('Cost Inputs'!$L$189="N", IF(ISNUMBER('Cost Inputs'!$M$189), $E994, ""),"")),""),"")</f>
        <v/>
      </c>
      <c r="AD994" s="17" t="str">
        <f>IF(ISNUMBER($B974), IF($C994&lt;&gt;"", IF('Cost Inputs'!$L$189="Y", $E994, IF('Cost Inputs'!$L$189="N", IF(ISNUMBER('Cost Inputs'!$M$189), $E994, ""),"")),""),"")</f>
        <v/>
      </c>
      <c r="AE994" s="17" t="str">
        <f>IF(ISNUMBER($B974), IF($C994&lt;&gt;"", IF('Cost Inputs'!$L$189="Y", $E994, IF('Cost Inputs'!$L$189="N", IF(ISNUMBER('Cost Inputs'!$M$189), $E994, ""),"")),""),"")</f>
        <v/>
      </c>
      <c r="AF994" s="17" t="str">
        <f>IF(ISNUMBER($B974), IF($C994&lt;&gt;"", IF('Cost Inputs'!$L$189="Y", $E994, IF('Cost Inputs'!$L$189="N", IF(ISNUMBER('Cost Inputs'!$M$189), $E994, ""),"")),""),"")</f>
        <v/>
      </c>
      <c r="AG994" s="17" t="str">
        <f>IF(ISNUMBER($B974), IF($C994&lt;&gt;"", IF('Cost Inputs'!$L$189="Y", $E994, IF('Cost Inputs'!$L$189="N", IF(ISNUMBER('Cost Inputs'!$M$189), $E994, ""),"")),""),"")</f>
        <v/>
      </c>
    </row>
    <row r="995" spans="1:33" x14ac:dyDescent="0.25">
      <c r="A995" s="518"/>
      <c r="B995" s="504"/>
      <c r="C995" s="107" t="str">
        <f>IF(AND(ISNUMBER(B974), OR('Cost Inputs'!$H$190&lt;&gt;"", 'Cost Inputs'!$I$190&lt;&gt;"", 'Cost Inputs'!$J$190&lt;&gt;"")), _6_3_2, "")</f>
        <v/>
      </c>
      <c r="D995" s="93" t="str">
        <f>IF(AND(C995&lt;&gt;"", 'Cost Inputs'!$G$190&lt;&gt;""), 'Cost Inputs'!$G$190, "")</f>
        <v/>
      </c>
      <c r="E995" s="93" t="str">
        <f>IF(AND(C995&lt;&gt;"", 'Cost Inputs'!$H$190&lt;&gt;""), 'Cost Inputs'!$H$190, "")</f>
        <v/>
      </c>
      <c r="F995" s="93" t="str">
        <f>IF(AND(C995&lt;&gt;"", 'Cost Inputs'!$I$190&lt;&gt;""), 'Cost Inputs'!$I$190, "")</f>
        <v/>
      </c>
      <c r="G995" s="108" t="str">
        <f t="shared" ref="G995:G1013" si="503">IF(AND($E995&lt;&gt;"", $E995&gt;0, F995&lt;&gt;""), F995/$E995, "")</f>
        <v/>
      </c>
      <c r="H995" s="93" t="str">
        <f>IF(AND(C995&lt;&gt;"", 'Cost Inputs'!$J$190&lt;&gt;""), 'Cost Inputs'!$J$190, "")</f>
        <v/>
      </c>
      <c r="I995" s="93" t="str">
        <f t="shared" si="501"/>
        <v/>
      </c>
      <c r="J995" s="93" t="str">
        <f>IF(AND(C995&lt;&gt;"",('Cost Inputs'!$I$190+'Cost Inputs'!$J$190+'Cost Inputs'!$K$190)&gt;0), 'Cost Inputs'!$I$190+'Cost Inputs'!$J$190+'Cost Inputs'!$K$190, "")</f>
        <v/>
      </c>
      <c r="K995" s="93" t="str">
        <f t="shared" si="502"/>
        <v/>
      </c>
      <c r="L995" s="93"/>
      <c r="M995" s="109"/>
      <c r="X995" s="93" t="str">
        <f>IF(ISNUMBER($B974), IF($C995&lt;&gt;"", IF('Cost Inputs'!$L$190="Y", $E995, IF('Cost Inputs'!$L$190="N", IF(ISNUMBER('Cost Inputs'!$M$190), $E995, ""),"")),""),"")</f>
        <v/>
      </c>
      <c r="Y995" s="93" t="str">
        <f>IF(ISNUMBER($B974), IF($C995&lt;&gt;"", IF('Cost Inputs'!$L$190="Y", $E995, IF('Cost Inputs'!$L$190="N", IF(ISNUMBER('Cost Inputs'!$M$190), $E995, ""),"")),""),"")</f>
        <v/>
      </c>
      <c r="Z995" s="93" t="str">
        <f>IF(ISNUMBER($B974), IF($C995&lt;&gt;"", IF('Cost Inputs'!$L$190="Y", $E995, IF('Cost Inputs'!$L$190="N", IF(ISNUMBER('Cost Inputs'!$M$190), $E995, ""),"")),""),"")</f>
        <v/>
      </c>
      <c r="AA995" s="93" t="str">
        <f>IF(ISNUMBER($B974), IF($C995&lt;&gt;"", IF('Cost Inputs'!$L$190="Y", $E995, IF('Cost Inputs'!$L$190="N", IF(ISNUMBER('Cost Inputs'!$M$190), $E995, ""),"")),""),"")</f>
        <v/>
      </c>
      <c r="AB995" s="93" t="str">
        <f>IF(ISNUMBER($B974), IF($C995&lt;&gt;"", IF('Cost Inputs'!$L$190="Y", $E995, IF('Cost Inputs'!$L$190="N", IF(ISNUMBER('Cost Inputs'!$M$190), $E995, ""),"")),""),"")</f>
        <v/>
      </c>
      <c r="AC995" s="93" t="str">
        <f>IF(ISNUMBER($B974), IF($C995&lt;&gt;"", IF('Cost Inputs'!$L$190="Y", $E995, IF('Cost Inputs'!$L$190="N", IF(ISNUMBER('Cost Inputs'!$M$190), $E995, ""),"")),""),"")</f>
        <v/>
      </c>
      <c r="AD995" s="93" t="str">
        <f>IF(ISNUMBER($B974), IF($C995&lt;&gt;"", IF('Cost Inputs'!$L$190="Y", $E995, IF('Cost Inputs'!$L$190="N", IF(ISNUMBER('Cost Inputs'!$M$190), $E995, ""),"")),""),"")</f>
        <v/>
      </c>
      <c r="AE995" s="93" t="str">
        <f>IF(ISNUMBER($B974), IF($C995&lt;&gt;"", IF('Cost Inputs'!$L$190="Y", $E995, IF('Cost Inputs'!$L$190="N", IF(ISNUMBER('Cost Inputs'!$M$190), $E995, ""),"")),""),"")</f>
        <v/>
      </c>
      <c r="AF995" s="93" t="str">
        <f>IF(ISNUMBER($B974), IF($C995&lt;&gt;"", IF('Cost Inputs'!$L$190="Y", $E995, IF('Cost Inputs'!$L$190="N", IF(ISNUMBER('Cost Inputs'!$M$190), $E995, ""),"")),""),"")</f>
        <v/>
      </c>
      <c r="AG995" s="93" t="str">
        <f>IF(ISNUMBER($B974), IF($C995&lt;&gt;"", IF('Cost Inputs'!$L$190="Y", $E995, IF('Cost Inputs'!$L$190="N", IF(ISNUMBER('Cost Inputs'!$M$190), $E995, ""),"")),""),"")</f>
        <v/>
      </c>
    </row>
    <row r="996" spans="1:33" x14ac:dyDescent="0.25">
      <c r="A996" s="518"/>
      <c r="B996" s="504"/>
      <c r="C996" s="110" t="str">
        <f>IF(ISNUMBER(B974), _6_4_0, "")</f>
        <v/>
      </c>
      <c r="D996" s="94" t="str">
        <f>IF(AND(C996&lt;&gt;"", 'Cost Inputs'!$G$191&lt;&gt;""), 'Cost Inputs'!$G$191, "")</f>
        <v/>
      </c>
      <c r="E996" s="94" t="str">
        <f>IF(AND(C996&lt;&gt;"", 'Cost Inputs'!$H$191&lt;&gt;""), 'Cost Inputs'!$H$191, "")</f>
        <v/>
      </c>
      <c r="F996" s="94" t="str">
        <f>IF(AND(C996&lt;&gt;"", 'Cost Inputs'!$I$191&lt;&gt;""), 'Cost Inputs'!$I$191, "")</f>
        <v/>
      </c>
      <c r="G996" s="102" t="str">
        <f t="shared" si="503"/>
        <v/>
      </c>
      <c r="H996" s="102" t="str">
        <f>IF(AND(C996&lt;&gt;"", 'Cost Inputs'!$J$191&lt;&gt;""), 'Cost Inputs'!$J$191, "")</f>
        <v/>
      </c>
      <c r="I996" s="102" t="str">
        <f t="shared" si="501"/>
        <v/>
      </c>
      <c r="J996" s="102" t="str">
        <f>IF(AND(C996&lt;&gt;"",('Cost Inputs'!$I$191+'Cost Inputs'!$J$191+'Cost Inputs'!$K$191)&gt;0), 'Cost Inputs'!$I$191+'Cost Inputs'!$J$191+'Cost Inputs'!$K$191, "")</f>
        <v/>
      </c>
      <c r="K996" s="102" t="str">
        <f t="shared" si="502"/>
        <v/>
      </c>
      <c r="L996" s="94"/>
      <c r="M996" s="103"/>
      <c r="X996" s="102" t="str">
        <f>IF(ISNUMBER($B974), IF($C996&lt;&gt;"", IF('Cost Inputs'!$L$191="Y", $E996, IF('Cost Inputs'!$L$191="N", IF(ISNUMBER('Cost Inputs'!$M$191), $E996, ""),"")),""),"")</f>
        <v/>
      </c>
      <c r="Y996" s="102" t="str">
        <f>IF(ISNUMBER($B974), IF($C996&lt;&gt;"", IF('Cost Inputs'!$L$191="Y", $E996, IF('Cost Inputs'!$L$191="N", IF(ISNUMBER('Cost Inputs'!$M$191), $E996, ""),"")),""),"")</f>
        <v/>
      </c>
      <c r="Z996" s="102" t="str">
        <f>IF(ISNUMBER($B974), IF($C996&lt;&gt;"", IF('Cost Inputs'!$L$191="Y", $E996, IF('Cost Inputs'!$L$191="N", IF(ISNUMBER('Cost Inputs'!$M$191), $E996, ""),"")),""),"")</f>
        <v/>
      </c>
      <c r="AA996" s="102" t="str">
        <f>IF(ISNUMBER($B974), IF($C996&lt;&gt;"", IF('Cost Inputs'!$L$191="Y", $E996, IF('Cost Inputs'!$L$191="N", IF(ISNUMBER('Cost Inputs'!$M$191), $E996, ""),"")),""),"")</f>
        <v/>
      </c>
      <c r="AB996" s="102" t="str">
        <f>IF(ISNUMBER($B974), IF($C996&lt;&gt;"", IF('Cost Inputs'!$L$191="Y", $E996, IF('Cost Inputs'!$L$191="N", IF(ISNUMBER('Cost Inputs'!$M$191), $E996, ""),"")),""),"")</f>
        <v/>
      </c>
      <c r="AC996" s="102" t="str">
        <f>IF(ISNUMBER($B974), IF($C996&lt;&gt;"", IF('Cost Inputs'!$L$191="Y", $E996, IF('Cost Inputs'!$L$191="N", IF(ISNUMBER('Cost Inputs'!$M$191), $E996, ""),"")),""),"")</f>
        <v/>
      </c>
      <c r="AD996" s="102" t="str">
        <f>IF(ISNUMBER($B974), IF($C996&lt;&gt;"", IF('Cost Inputs'!$L$191="Y", $E996, IF('Cost Inputs'!$L$191="N", IF(ISNUMBER('Cost Inputs'!$M$191), $E996, ""),"")),""),"")</f>
        <v/>
      </c>
      <c r="AE996" s="102" t="str">
        <f>IF(ISNUMBER($B974), IF($C996&lt;&gt;"", IF('Cost Inputs'!$L$191="Y", $E996, IF('Cost Inputs'!$L$191="N", IF(ISNUMBER('Cost Inputs'!$M$191), $E996, ""),"")),""),"")</f>
        <v/>
      </c>
      <c r="AF996" s="102" t="str">
        <f>IF(ISNUMBER($B974), IF($C996&lt;&gt;"", IF('Cost Inputs'!$L$191="Y", $E996, IF('Cost Inputs'!$L$191="N", IF(ISNUMBER('Cost Inputs'!$M$191), $E996, ""),"")),""),"")</f>
        <v/>
      </c>
      <c r="AG996" s="102" t="str">
        <f>IF(ISNUMBER($B974), IF($C996&lt;&gt;"", IF('Cost Inputs'!$L$191="Y", $E996, IF('Cost Inputs'!$L$191="N", IF(ISNUMBER('Cost Inputs'!$M$191), $E996, ""),"")),""),"")</f>
        <v/>
      </c>
    </row>
    <row r="997" spans="1:33" x14ac:dyDescent="0.25">
      <c r="A997" s="518"/>
      <c r="B997" s="504"/>
      <c r="C997" s="104" t="str">
        <f>IF(AND(ISNUMBER(B974), OR('Cost Inputs'!$H$192&lt;&gt;"", 'Cost Inputs'!$I$192&lt;&gt;"", 'Cost Inputs'!$J$192&lt;&gt;"")), _6_4_1, "")</f>
        <v/>
      </c>
      <c r="D997" s="17" t="str">
        <f>IF(AND(C997&lt;&gt;"", 'Cost Inputs'!$G$192&lt;&gt;""), 'Cost Inputs'!$G$192, "")</f>
        <v/>
      </c>
      <c r="E997" s="17" t="str">
        <f>IF(AND(C997&lt;&gt;"", 'Cost Inputs'!$H$192&lt;&gt;""), 'Cost Inputs'!$H$192, "")</f>
        <v/>
      </c>
      <c r="F997" s="17" t="str">
        <f>IF(AND(C997&lt;&gt;"", 'Cost Inputs'!$I$192&lt;&gt;""), 'Cost Inputs'!$I$192, "")</f>
        <v/>
      </c>
      <c r="G997" s="105" t="str">
        <f t="shared" si="503"/>
        <v/>
      </c>
      <c r="H997" s="17" t="str">
        <f>IF(AND(C997&lt;&gt;"", 'Cost Inputs'!$J$192&lt;&gt;""), 'Cost Inputs'!$J$192, "")</f>
        <v/>
      </c>
      <c r="I997" s="17" t="str">
        <f t="shared" si="501"/>
        <v/>
      </c>
      <c r="J997" s="17" t="str">
        <f>IF(AND(C997&lt;&gt;"",('Cost Inputs'!$I$192+'Cost Inputs'!$J$192+'Cost Inputs'!$K$192)&gt;0), 'Cost Inputs'!$I$192+'Cost Inputs'!$J$192+'Cost Inputs'!$K$192, "")</f>
        <v/>
      </c>
      <c r="K997" s="17" t="str">
        <f t="shared" si="502"/>
        <v/>
      </c>
      <c r="M997" s="106"/>
      <c r="X997" s="17" t="str">
        <f>IF(ISNUMBER($B974), IF($C997&lt;&gt;"", IF('Cost Inputs'!$L$192="Y", $E997, IF('Cost Inputs'!$L$192="N", IF(ISNUMBER('Cost Inputs'!$M$192), $E997, ""),"")),""),"")</f>
        <v/>
      </c>
      <c r="Y997" s="17" t="str">
        <f>IF(ISNUMBER($B974), IF($C997&lt;&gt;"", IF('Cost Inputs'!$L$192="Y", $E997, IF('Cost Inputs'!$L$192="N", IF(ISNUMBER('Cost Inputs'!$M$192), $E997, ""),"")),""),"")</f>
        <v/>
      </c>
      <c r="Z997" s="17" t="str">
        <f>IF(ISNUMBER($B974), IF($C997&lt;&gt;"", IF('Cost Inputs'!$L$192="Y", $E997, IF('Cost Inputs'!$L$192="N", IF(ISNUMBER('Cost Inputs'!$M$192), $E997, ""),"")),""),"")</f>
        <v/>
      </c>
      <c r="AA997" s="17" t="str">
        <f>IF(ISNUMBER($B974), IF($C997&lt;&gt;"", IF('Cost Inputs'!$L$192="Y", $E997, IF('Cost Inputs'!$L$192="N", IF(ISNUMBER('Cost Inputs'!$M$192), $E997, ""),"")),""),"")</f>
        <v/>
      </c>
      <c r="AB997" s="17" t="str">
        <f>IF(ISNUMBER($B974), IF($C997&lt;&gt;"", IF('Cost Inputs'!$L$192="Y", $E997, IF('Cost Inputs'!$L$192="N", IF(ISNUMBER('Cost Inputs'!$M$192), $E997, ""),"")),""),"")</f>
        <v/>
      </c>
      <c r="AC997" s="17" t="str">
        <f>IF(ISNUMBER($B974), IF($C997&lt;&gt;"", IF('Cost Inputs'!$L$192="Y", $E997, IF('Cost Inputs'!$L$192="N", IF(ISNUMBER('Cost Inputs'!$M$192), $E997, ""),"")),""),"")</f>
        <v/>
      </c>
      <c r="AD997" s="17" t="str">
        <f>IF(ISNUMBER($B974), IF($C997&lt;&gt;"", IF('Cost Inputs'!$L$192="Y", $E997, IF('Cost Inputs'!$L$192="N", IF(ISNUMBER('Cost Inputs'!$M$192), $E997, ""),"")),""),"")</f>
        <v/>
      </c>
      <c r="AE997" s="17" t="str">
        <f>IF(ISNUMBER($B974), IF($C997&lt;&gt;"", IF('Cost Inputs'!$L$192="Y", $E997, IF('Cost Inputs'!$L$192="N", IF(ISNUMBER('Cost Inputs'!$M$192), $E997, ""),"")),""),"")</f>
        <v/>
      </c>
      <c r="AF997" s="17" t="str">
        <f>IF(ISNUMBER($B974), IF($C997&lt;&gt;"", IF('Cost Inputs'!$L$192="Y", $E997, IF('Cost Inputs'!$L$192="N", IF(ISNUMBER('Cost Inputs'!$M$192), $E997, ""),"")),""),"")</f>
        <v/>
      </c>
      <c r="AG997" s="17" t="str">
        <f>IF(ISNUMBER($B974), IF($C997&lt;&gt;"", IF('Cost Inputs'!$L$192="Y", $E997, IF('Cost Inputs'!$L$192="N", IF(ISNUMBER('Cost Inputs'!$M$192), $E997, ""),"")),""),"")</f>
        <v/>
      </c>
    </row>
    <row r="998" spans="1:33" x14ac:dyDescent="0.25">
      <c r="A998" s="518"/>
      <c r="B998" s="504"/>
      <c r="C998" s="107" t="str">
        <f>IF(AND(ISNUMBER(B974), OR('Cost Inputs'!$H$193&lt;&gt;"", 'Cost Inputs'!$I$193&lt;&gt;"", 'Cost Inputs'!$J$193&lt;&gt;"")), _6_4_2, "")</f>
        <v/>
      </c>
      <c r="D998" s="93" t="str">
        <f>IF(AND(C998&lt;&gt;"", 'Cost Inputs'!$G$193&lt;&gt;""), 'Cost Inputs'!$G$193, "")</f>
        <v/>
      </c>
      <c r="E998" s="93" t="str">
        <f>IF(AND(C998&lt;&gt;"", 'Cost Inputs'!$H$193&lt;&gt;""), 'Cost Inputs'!$H$193, "")</f>
        <v/>
      </c>
      <c r="F998" s="93" t="str">
        <f>IF(AND(C998&lt;&gt;"", 'Cost Inputs'!$I$193&lt;&gt;""), 'Cost Inputs'!$I$193, "")</f>
        <v/>
      </c>
      <c r="G998" s="108" t="str">
        <f t="shared" si="503"/>
        <v/>
      </c>
      <c r="H998" s="93" t="str">
        <f>IF(AND(C998&lt;&gt;"", 'Cost Inputs'!$J$193&lt;&gt;""), 'Cost Inputs'!$J$193, "")</f>
        <v/>
      </c>
      <c r="I998" s="93" t="str">
        <f t="shared" si="501"/>
        <v/>
      </c>
      <c r="J998" s="93" t="str">
        <f>IF(AND(C998&lt;&gt;"",('Cost Inputs'!$I$152+'Cost Inputs'!$J$152+'Cost Inputs'!$K$152)&gt;0), 'Cost Inputs'!$I$152+'Cost Inputs'!$J$152+'Cost Inputs'!$K$152, "")</f>
        <v/>
      </c>
      <c r="K998" s="93" t="str">
        <f t="shared" si="502"/>
        <v/>
      </c>
      <c r="L998" s="93"/>
      <c r="M998" s="109"/>
      <c r="X998" s="93" t="str">
        <f>IF(ISNUMBER($B974), IF($C998&lt;&gt;"", IF('Cost Inputs'!$L$193="Y", $E998, IF('Cost Inputs'!$L$193="N", IF(ISNUMBER('Cost Inputs'!$M$193), $E998, ""),"")),""),"")</f>
        <v/>
      </c>
      <c r="Y998" s="93" t="str">
        <f>IF(ISNUMBER($B974), IF($C998&lt;&gt;"", IF('Cost Inputs'!$L$193="Y", $E998, IF('Cost Inputs'!$L$193="N", IF(ISNUMBER('Cost Inputs'!$M$193), $E998, ""),"")),""),"")</f>
        <v/>
      </c>
      <c r="Z998" s="93" t="str">
        <f>IF(ISNUMBER($B974), IF($C998&lt;&gt;"", IF('Cost Inputs'!$L$193="Y", $E998, IF('Cost Inputs'!$L$193="N", IF(ISNUMBER('Cost Inputs'!$M$193), $E998, ""),"")),""),"")</f>
        <v/>
      </c>
      <c r="AA998" s="93" t="str">
        <f>IF(ISNUMBER($B974), IF($C998&lt;&gt;"", IF('Cost Inputs'!$L$193="Y", $E998, IF('Cost Inputs'!$L$193="N", IF(ISNUMBER('Cost Inputs'!$M$193), $E998, ""),"")),""),"")</f>
        <v/>
      </c>
      <c r="AB998" s="93" t="str">
        <f>IF(ISNUMBER($B974), IF($C998&lt;&gt;"", IF('Cost Inputs'!$L$193="Y", $E998, IF('Cost Inputs'!$L$193="N", IF(ISNUMBER('Cost Inputs'!$M$193), $E998, ""),"")),""),"")</f>
        <v/>
      </c>
      <c r="AC998" s="93" t="str">
        <f>IF(ISNUMBER($B974), IF($C998&lt;&gt;"", IF('Cost Inputs'!$L$193="Y", $E998, IF('Cost Inputs'!$L$193="N", IF(ISNUMBER('Cost Inputs'!$M$193), $E998, ""),"")),""),"")</f>
        <v/>
      </c>
      <c r="AD998" s="93" t="str">
        <f>IF(ISNUMBER($B974), IF($C998&lt;&gt;"", IF('Cost Inputs'!$L$193="Y", $E998, IF('Cost Inputs'!$L$193="N", IF(ISNUMBER('Cost Inputs'!$M$193), $E998, ""),"")),""),"")</f>
        <v/>
      </c>
      <c r="AE998" s="93" t="str">
        <f>IF(ISNUMBER($B974), IF($C998&lt;&gt;"", IF('Cost Inputs'!$L$193="Y", $E998, IF('Cost Inputs'!$L$193="N", IF(ISNUMBER('Cost Inputs'!$M$193), $E998, ""),"")),""),"")</f>
        <v/>
      </c>
      <c r="AF998" s="93" t="str">
        <f>IF(ISNUMBER($B974), IF($C998&lt;&gt;"", IF('Cost Inputs'!$L$193="Y", $E998, IF('Cost Inputs'!$L$193="N", IF(ISNUMBER('Cost Inputs'!$M$193), $E998, ""),"")),""),"")</f>
        <v/>
      </c>
      <c r="AG998" s="93" t="str">
        <f>IF(ISNUMBER($B974), IF($C998&lt;&gt;"", IF('Cost Inputs'!$L$193="Y", $E998, IF('Cost Inputs'!$L$193="N", IF(ISNUMBER('Cost Inputs'!$M$193), $E998, ""),"")),""),"")</f>
        <v/>
      </c>
    </row>
    <row r="999" spans="1:33" x14ac:dyDescent="0.25">
      <c r="A999" s="518"/>
      <c r="B999" s="504"/>
      <c r="C999" s="104" t="str">
        <f>IF(AND(ISNUMBER(B974), OR('Cost Inputs'!$H$194&lt;&gt;"", 'Cost Inputs'!$I$194&lt;&gt;"", 'Cost Inputs'!$J$194&lt;&gt;"")), _6_4_3, "")</f>
        <v/>
      </c>
      <c r="D999" s="17" t="str">
        <f>IF(AND(C999&lt;&gt;"", 'Cost Inputs'!$G$194&lt;&gt;""), 'Cost Inputs'!$G$194, "")</f>
        <v/>
      </c>
      <c r="E999" s="17" t="str">
        <f>IF(AND(C999&lt;&gt;"", 'Cost Inputs'!$H$194&lt;&gt;""), 'Cost Inputs'!$H$194, "")</f>
        <v/>
      </c>
      <c r="F999" s="17" t="str">
        <f>IF(AND(C999&lt;&gt;"", 'Cost Inputs'!$I$194&lt;&gt;""), 'Cost Inputs'!$I$194, "")</f>
        <v/>
      </c>
      <c r="G999" s="105" t="str">
        <f t="shared" si="503"/>
        <v/>
      </c>
      <c r="H999" s="17" t="str">
        <f>IF(AND(C999&lt;&gt;"", 'Cost Inputs'!$J$194&lt;&gt;""), 'Cost Inputs'!$J$194, "")</f>
        <v/>
      </c>
      <c r="I999" s="17" t="str">
        <f t="shared" si="501"/>
        <v/>
      </c>
      <c r="J999" s="17" t="str">
        <f>IF(AND(C999&lt;&gt;"",('Cost Inputs'!$I$194+'Cost Inputs'!$J$194+'Cost Inputs'!$K$194)&gt;0), 'Cost Inputs'!$I$194+'Cost Inputs'!$J$194+'Cost Inputs'!$K$194, "")</f>
        <v/>
      </c>
      <c r="K999" s="17" t="str">
        <f t="shared" si="502"/>
        <v/>
      </c>
      <c r="M999" s="106"/>
      <c r="X999" s="17" t="str">
        <f>IF(ISNUMBER($B974), IF($C999&lt;&gt;"", IF('Cost Inputs'!$L$194="Y", $E999, IF('Cost Inputs'!$L$194="N", IF(ISNUMBER('Cost Inputs'!$M$194), $E999, ""),"")),""),"")</f>
        <v/>
      </c>
      <c r="Y999" s="17" t="str">
        <f>IF(ISNUMBER($B974), IF($C999&lt;&gt;"", IF('Cost Inputs'!$L$194="Y", $E999, IF('Cost Inputs'!$L$194="N", IF(ISNUMBER('Cost Inputs'!$M$194), $E999, ""),"")),""),"")</f>
        <v/>
      </c>
      <c r="Z999" s="17" t="str">
        <f>IF(ISNUMBER($B974), IF($C999&lt;&gt;"", IF('Cost Inputs'!$L$194="Y", $E999, IF('Cost Inputs'!$L$194="N", IF(ISNUMBER('Cost Inputs'!$M$194), $E999, ""),"")),""),"")</f>
        <v/>
      </c>
      <c r="AA999" s="17" t="str">
        <f>IF(ISNUMBER($B974), IF($C999&lt;&gt;"", IF('Cost Inputs'!$L$194="Y", $E999, IF('Cost Inputs'!$L$194="N", IF(ISNUMBER('Cost Inputs'!$M$194), $E999, ""),"")),""),"")</f>
        <v/>
      </c>
      <c r="AB999" s="17" t="str">
        <f>IF(ISNUMBER($B974), IF($C999&lt;&gt;"", IF('Cost Inputs'!$L$194="Y", $E999, IF('Cost Inputs'!$L$194="N", IF(ISNUMBER('Cost Inputs'!$M$194), $E999, ""),"")),""),"")</f>
        <v/>
      </c>
      <c r="AC999" s="17" t="str">
        <f>IF(ISNUMBER($B974), IF($C999&lt;&gt;"", IF('Cost Inputs'!$L$194="Y", $E999, IF('Cost Inputs'!$L$194="N", IF(ISNUMBER('Cost Inputs'!$M$194), $E999, ""),"")),""),"")</f>
        <v/>
      </c>
      <c r="AD999" s="17" t="str">
        <f>IF(ISNUMBER($B974), IF($C999&lt;&gt;"", IF('Cost Inputs'!$L$194="Y", $E999, IF('Cost Inputs'!$L$194="N", IF(ISNUMBER('Cost Inputs'!$M$194), $E999, ""),"")),""),"")</f>
        <v/>
      </c>
      <c r="AE999" s="17" t="str">
        <f>IF(ISNUMBER($B974), IF($C999&lt;&gt;"", IF('Cost Inputs'!$L$194="Y", $E999, IF('Cost Inputs'!$L$194="N", IF(ISNUMBER('Cost Inputs'!$M$194), $E999, ""),"")),""),"")</f>
        <v/>
      </c>
      <c r="AF999" s="17" t="str">
        <f>IF(ISNUMBER($B974), IF($C999&lt;&gt;"", IF('Cost Inputs'!$L$194="Y", $E999, IF('Cost Inputs'!$L$194="N", IF(ISNUMBER('Cost Inputs'!$M$194), $E999, ""),"")),""),"")</f>
        <v/>
      </c>
      <c r="AG999" s="17" t="str">
        <f>IF(ISNUMBER($B974), IF($C999&lt;&gt;"", IF('Cost Inputs'!$L$194="Y", $E999, IF('Cost Inputs'!$L$194="N", IF(ISNUMBER('Cost Inputs'!$M$194), $E999, ""),"")),""),"")</f>
        <v/>
      </c>
    </row>
    <row r="1000" spans="1:33" x14ac:dyDescent="0.25">
      <c r="A1000" s="518"/>
      <c r="B1000" s="504"/>
      <c r="C1000" s="107" t="str">
        <f>IF(AND(ISNUMBER(B974), OR('Cost Inputs'!$H$195&lt;&gt;"", 'Cost Inputs'!$I$195&lt;&gt;"", 'Cost Inputs'!$J$195&lt;&gt;"")), _6_4_4, "")</f>
        <v/>
      </c>
      <c r="D1000" s="93" t="str">
        <f>IF(AND(C1000&lt;&gt;"", 'Cost Inputs'!$G$195&lt;&gt;""), 'Cost Inputs'!$G$195, "")</f>
        <v/>
      </c>
      <c r="E1000" s="93" t="str">
        <f>IF(AND(C1000&lt;&gt;"", 'Cost Inputs'!$H$195&lt;&gt;""), 'Cost Inputs'!$H$195, "")</f>
        <v/>
      </c>
      <c r="F1000" s="93" t="str">
        <f>IF(AND(C1000&lt;&gt;"", 'Cost Inputs'!$I$195&lt;&gt;""), 'Cost Inputs'!$I$195, "")</f>
        <v/>
      </c>
      <c r="G1000" s="108" t="str">
        <f t="shared" si="503"/>
        <v/>
      </c>
      <c r="H1000" s="93" t="str">
        <f>IF(AND(C1000&lt;&gt;"", 'Cost Inputs'!$J$195&lt;&gt;""), 'Cost Inputs'!$J$195, "")</f>
        <v/>
      </c>
      <c r="I1000" s="93" t="str">
        <f t="shared" si="501"/>
        <v/>
      </c>
      <c r="J1000" s="93" t="str">
        <f>IF(AND(C1000&lt;&gt;"",('Cost Inputs'!$I$195+'Cost Inputs'!$J$195+'Cost Inputs'!$K$195)&gt;0), 'Cost Inputs'!$I$195+'Cost Inputs'!$J$195+'Cost Inputs'!$K$195, "")</f>
        <v/>
      </c>
      <c r="K1000" s="93" t="str">
        <f t="shared" si="502"/>
        <v/>
      </c>
      <c r="L1000" s="93"/>
      <c r="M1000" s="109"/>
      <c r="X1000" s="93" t="str">
        <f>IF(ISNUMBER($B974), IF($C1000&lt;&gt;"", IF('Cost Inputs'!$L$195="Y", $E1000, IF('Cost Inputs'!$L$195="N", IF(ISNUMBER('Cost Inputs'!$M$195), $E1000, ""),"")),""),"")</f>
        <v/>
      </c>
      <c r="Y1000" s="93" t="str">
        <f>IF(ISNUMBER($B974), IF($C1000&lt;&gt;"", IF('Cost Inputs'!$L$195="Y", $E1000, IF('Cost Inputs'!$L$195="N", IF(ISNUMBER('Cost Inputs'!$M$195), $E1000, ""),"")),""),"")</f>
        <v/>
      </c>
      <c r="Z1000" s="93" t="str">
        <f>IF(ISNUMBER($B974), IF($C1000&lt;&gt;"", IF('Cost Inputs'!$L$195="Y", $E1000, IF('Cost Inputs'!$L$195="N", IF(ISNUMBER('Cost Inputs'!$M$195), $E1000, ""),"")),""),"")</f>
        <v/>
      </c>
      <c r="AA1000" s="93" t="str">
        <f>IF(ISNUMBER($B974), IF($C1000&lt;&gt;"", IF('Cost Inputs'!$L$195="Y", $E1000, IF('Cost Inputs'!$L$195="N", IF(ISNUMBER('Cost Inputs'!$M$195), $E1000, ""),"")),""),"")</f>
        <v/>
      </c>
      <c r="AB1000" s="93" t="str">
        <f>IF(ISNUMBER($B974), IF($C1000&lt;&gt;"", IF('Cost Inputs'!$L$195="Y", $E1000, IF('Cost Inputs'!$L$195="N", IF(ISNUMBER('Cost Inputs'!$M$195), $E1000, ""),"")),""),"")</f>
        <v/>
      </c>
      <c r="AC1000" s="93" t="str">
        <f>IF(ISNUMBER($B974), IF($C1000&lt;&gt;"", IF('Cost Inputs'!$L$195="Y", $E1000, IF('Cost Inputs'!$L$195="N", IF(ISNUMBER('Cost Inputs'!$M$195), $E1000, ""),"")),""),"")</f>
        <v/>
      </c>
      <c r="AD1000" s="93" t="str">
        <f>IF(ISNUMBER($B974), IF($C1000&lt;&gt;"", IF('Cost Inputs'!$L$195="Y", $E1000, IF('Cost Inputs'!$L$195="N", IF(ISNUMBER('Cost Inputs'!$M$195), $E1000, ""),"")),""),"")</f>
        <v/>
      </c>
      <c r="AE1000" s="93" t="str">
        <f>IF(ISNUMBER($B974), IF($C1000&lt;&gt;"", IF('Cost Inputs'!$L$195="Y", $E1000, IF('Cost Inputs'!$L$195="N", IF(ISNUMBER('Cost Inputs'!$M$195), $E1000, ""),"")),""),"")</f>
        <v/>
      </c>
      <c r="AF1000" s="93" t="str">
        <f>IF(ISNUMBER($B974), IF($C1000&lt;&gt;"", IF('Cost Inputs'!$L$195="Y", $E1000, IF('Cost Inputs'!$L$195="N", IF(ISNUMBER('Cost Inputs'!$M$195), $E1000, ""),"")),""),"")</f>
        <v/>
      </c>
      <c r="AG1000" s="93" t="str">
        <f>IF(ISNUMBER($B974), IF($C1000&lt;&gt;"", IF('Cost Inputs'!$L$195="Y", $E1000, IF('Cost Inputs'!$L$195="N", IF(ISNUMBER('Cost Inputs'!$M$195), $E1000, ""),"")),""),"")</f>
        <v/>
      </c>
    </row>
    <row r="1001" spans="1:33" x14ac:dyDescent="0.25">
      <c r="A1001" s="518"/>
      <c r="B1001" s="504"/>
      <c r="C1001" s="104" t="str">
        <f>IF(AND(ISNUMBER(B974), OR('Cost Inputs'!$H$196&lt;&gt;"", 'Cost Inputs'!$I$196&lt;&gt;"", 'Cost Inputs'!$J$196&lt;&gt;"")), _6_4_5, "")</f>
        <v/>
      </c>
      <c r="D1001" s="17" t="str">
        <f>IF(AND(C1001&lt;&gt;"", 'Cost Inputs'!$G$196&lt;&gt;""), 'Cost Inputs'!$G$196, "")</f>
        <v/>
      </c>
      <c r="E1001" s="17" t="str">
        <f>IF(AND(C1001&lt;&gt;"", 'Cost Inputs'!$H$196&lt;&gt;""), 'Cost Inputs'!$H$196, "")</f>
        <v/>
      </c>
      <c r="F1001" s="17" t="str">
        <f>IF(AND(C1001&lt;&gt;"", 'Cost Inputs'!$I$196&lt;&gt;""), 'Cost Inputs'!$I$196, "")</f>
        <v/>
      </c>
      <c r="G1001" s="105" t="str">
        <f t="shared" si="503"/>
        <v/>
      </c>
      <c r="H1001" s="17" t="str">
        <f>IF(AND(C1001&lt;&gt;"", 'Cost Inputs'!$J$196&lt;&gt;""), 'Cost Inputs'!$J$196, "")</f>
        <v/>
      </c>
      <c r="I1001" s="17" t="str">
        <f t="shared" si="501"/>
        <v/>
      </c>
      <c r="J1001" s="17" t="str">
        <f>IF(AND(C1001&lt;&gt;"",('Cost Inputs'!$I$196+'Cost Inputs'!$J$196+'Cost Inputs'!$K$196)&gt;0), 'Cost Inputs'!$I$196+'Cost Inputs'!$J$196+'Cost Inputs'!$K$196, "")</f>
        <v/>
      </c>
      <c r="K1001" s="17" t="str">
        <f t="shared" si="502"/>
        <v/>
      </c>
      <c r="M1001" s="106"/>
      <c r="X1001" s="17" t="str">
        <f>IF(ISNUMBER($B974), IF($C1001&lt;&gt;"", IF('Cost Inputs'!$L$196="Y", $E1001, IF('Cost Inputs'!$L$196="N", IF(ISNUMBER('Cost Inputs'!$M$196), $E1001, ""),"")),""),"")</f>
        <v/>
      </c>
      <c r="Y1001" s="17" t="str">
        <f>IF(ISNUMBER($B974), IF($C1001&lt;&gt;"", IF('Cost Inputs'!$L$196="Y", $E1001, IF('Cost Inputs'!$L$196="N", IF(ISNUMBER('Cost Inputs'!$M$196), $E1001, ""),"")),""),"")</f>
        <v/>
      </c>
      <c r="Z1001" s="17" t="str">
        <f>IF(ISNUMBER($B974), IF($C1001&lt;&gt;"", IF('Cost Inputs'!$L$196="Y", $E1001, IF('Cost Inputs'!$L$196="N", IF(ISNUMBER('Cost Inputs'!$M$196), $E1001, ""),"")),""),"")</f>
        <v/>
      </c>
      <c r="AA1001" s="17" t="str">
        <f>IF(ISNUMBER($B974), IF($C1001&lt;&gt;"", IF('Cost Inputs'!$L$196="Y", $E1001, IF('Cost Inputs'!$L$196="N", IF(ISNUMBER('Cost Inputs'!$M$196), $E1001, ""),"")),""),"")</f>
        <v/>
      </c>
      <c r="AB1001" s="17" t="str">
        <f>IF(ISNUMBER($B974), IF($C1001&lt;&gt;"", IF('Cost Inputs'!$L$196="Y", $E1001, IF('Cost Inputs'!$L$196="N", IF(ISNUMBER('Cost Inputs'!$M$196), $E1001, ""),"")),""),"")</f>
        <v/>
      </c>
      <c r="AC1001" s="17" t="str">
        <f>IF(ISNUMBER($B974), IF($C1001&lt;&gt;"", IF('Cost Inputs'!$L$196="Y", $E1001, IF('Cost Inputs'!$L$196="N", IF(ISNUMBER('Cost Inputs'!$M$196), $E1001, ""),"")),""),"")</f>
        <v/>
      </c>
      <c r="AD1001" s="17" t="str">
        <f>IF(ISNUMBER($B974), IF($C1001&lt;&gt;"", IF('Cost Inputs'!$L$196="Y", $E1001, IF('Cost Inputs'!$L$196="N", IF(ISNUMBER('Cost Inputs'!$M$196), $E1001, ""),"")),""),"")</f>
        <v/>
      </c>
      <c r="AE1001" s="17" t="str">
        <f>IF(ISNUMBER($B974), IF($C1001&lt;&gt;"", IF('Cost Inputs'!$L$196="Y", $E1001, IF('Cost Inputs'!$L$196="N", IF(ISNUMBER('Cost Inputs'!$M$196), $E1001, ""),"")),""),"")</f>
        <v/>
      </c>
      <c r="AF1001" s="17" t="str">
        <f>IF(ISNUMBER($B974), IF($C1001&lt;&gt;"", IF('Cost Inputs'!$L$196="Y", $E1001, IF('Cost Inputs'!$L$196="N", IF(ISNUMBER('Cost Inputs'!$M$196), $E1001, ""),"")),""),"")</f>
        <v/>
      </c>
      <c r="AG1001" s="17" t="str">
        <f>IF(ISNUMBER($B974), IF($C1001&lt;&gt;"", IF('Cost Inputs'!$L$196="Y", $E1001, IF('Cost Inputs'!$L$196="N", IF(ISNUMBER('Cost Inputs'!$M$196), $E1001, ""),"")),""),"")</f>
        <v/>
      </c>
    </row>
    <row r="1002" spans="1:33" x14ac:dyDescent="0.25">
      <c r="A1002" s="518"/>
      <c r="B1002" s="504"/>
      <c r="C1002" s="107" t="str">
        <f>IF(AND(ISNUMBER(B974), OR('Cost Inputs'!$H$197&lt;&gt;"", 'Cost Inputs'!$I$197&lt;&gt;"", 'Cost Inputs'!$J$197&lt;&gt;"")), _6_4_6, "")</f>
        <v/>
      </c>
      <c r="D1002" s="93" t="str">
        <f>IF(AND(C1002&lt;&gt;"", 'Cost Inputs'!$G$197&lt;&gt;""), 'Cost Inputs'!$G$197, "")</f>
        <v/>
      </c>
      <c r="E1002" s="93" t="str">
        <f>IF(AND(C1002&lt;&gt;"", 'Cost Inputs'!$H$197&lt;&gt;""), 'Cost Inputs'!$H$197, "")</f>
        <v/>
      </c>
      <c r="F1002" s="93" t="str">
        <f>IF(AND(C1002&lt;&gt;"", 'Cost Inputs'!$I$197&lt;&gt;""), 'Cost Inputs'!$I$197, "")</f>
        <v/>
      </c>
      <c r="G1002" s="108" t="str">
        <f t="shared" si="503"/>
        <v/>
      </c>
      <c r="H1002" s="93" t="str">
        <f>IF(AND(C1002&lt;&gt;"", 'Cost Inputs'!$J$197&lt;&gt;""), 'Cost Inputs'!$J$16, "")</f>
        <v/>
      </c>
      <c r="I1002" s="93" t="str">
        <f t="shared" si="501"/>
        <v/>
      </c>
      <c r="J1002" s="93" t="str">
        <f>IF(AND(C1002&lt;&gt;"",('Cost Inputs'!$I$197+'Cost Inputs'!$J$197+'Cost Inputs'!$K$197)&gt;0), 'Cost Inputs'!$I$197+'Cost Inputs'!$J$197+'Cost Inputs'!$K$197, "")</f>
        <v/>
      </c>
      <c r="K1002" s="93" t="str">
        <f t="shared" si="502"/>
        <v/>
      </c>
      <c r="L1002" s="93"/>
      <c r="M1002" s="109"/>
      <c r="X1002" s="93" t="str">
        <f>IF(ISNUMBER($B974), IF($C1002&lt;&gt;"", IF('Cost Inputs'!$L$197="Y", $E1002, IF('Cost Inputs'!$L$197="N", IF(ISNUMBER('Cost Inputs'!$M$197), $E1002, ""),"")),""),"")</f>
        <v/>
      </c>
      <c r="Y1002" s="93" t="str">
        <f>IF(ISNUMBER($B974), IF($C1002&lt;&gt;"", IF('Cost Inputs'!$L$197="Y", $E1002, IF('Cost Inputs'!$L$197="N", IF(ISNUMBER('Cost Inputs'!$M$197), $E1002, ""),"")),""),"")</f>
        <v/>
      </c>
      <c r="Z1002" s="93" t="str">
        <f>IF(ISNUMBER($B974), IF($C1002&lt;&gt;"", IF('Cost Inputs'!$L$197="Y", $E1002, IF('Cost Inputs'!$L$197="N", IF(ISNUMBER('Cost Inputs'!$M$197), $E1002, ""),"")),""),"")</f>
        <v/>
      </c>
      <c r="AA1002" s="93" t="str">
        <f>IF(ISNUMBER($B974), IF($C1002&lt;&gt;"", IF('Cost Inputs'!$L$197="Y", $E1002, IF('Cost Inputs'!$L$197="N", IF(ISNUMBER('Cost Inputs'!$M$197), $E1002, ""),"")),""),"")</f>
        <v/>
      </c>
      <c r="AB1002" s="93" t="str">
        <f>IF(ISNUMBER($B974), IF($C1002&lt;&gt;"", IF('Cost Inputs'!$L$197="Y", $E1002, IF('Cost Inputs'!$L$197="N", IF(ISNUMBER('Cost Inputs'!$M$197), $E1002, ""),"")),""),"")</f>
        <v/>
      </c>
      <c r="AC1002" s="93" t="str">
        <f>IF(ISNUMBER($B974), IF($C1002&lt;&gt;"", IF('Cost Inputs'!$L$197="Y", $E1002, IF('Cost Inputs'!$L$197="N", IF(ISNUMBER('Cost Inputs'!$M$197), $E1002, ""),"")),""),"")</f>
        <v/>
      </c>
      <c r="AD1002" s="93" t="str">
        <f>IF(ISNUMBER($B974), IF($C1002&lt;&gt;"", IF('Cost Inputs'!$L$197="Y", $E1002, IF('Cost Inputs'!$L$197="N", IF(ISNUMBER('Cost Inputs'!$M$197), $E1002, ""),"")),""),"")</f>
        <v/>
      </c>
      <c r="AE1002" s="93" t="str">
        <f>IF(ISNUMBER($B974), IF($C1002&lt;&gt;"", IF('Cost Inputs'!$L$197="Y", $E1002, IF('Cost Inputs'!$L$197="N", IF(ISNUMBER('Cost Inputs'!$M$197), $E1002, ""),"")),""),"")</f>
        <v/>
      </c>
      <c r="AF1002" s="93" t="str">
        <f>IF(ISNUMBER($B974), IF($C1002&lt;&gt;"", IF('Cost Inputs'!$L$197="Y", $E1002, IF('Cost Inputs'!$L$197="N", IF(ISNUMBER('Cost Inputs'!$M$197), $E1002, ""),"")),""),"")</f>
        <v/>
      </c>
      <c r="AG1002" s="93" t="str">
        <f>IF(ISNUMBER($B974), IF($C1002&lt;&gt;"", IF('Cost Inputs'!$L$197="Y", $E1002, IF('Cost Inputs'!$L$197="N", IF(ISNUMBER('Cost Inputs'!$M$197), $E1002, ""),"")),""),"")</f>
        <v/>
      </c>
    </row>
    <row r="1003" spans="1:33" x14ac:dyDescent="0.25">
      <c r="A1003" s="518"/>
      <c r="B1003" s="504"/>
      <c r="C1003" s="521" t="str">
        <f>IF(AND(B992&lt;&gt;"",ISNUMBER(B992),ISNUMBER(Stage4EvaluationBegins)),IF((INDEX(ProgramYearStage4,MATCH(Stage4EvaluationBegins,Years_in_Stage4,0)))=B992,_6_5_0,IF(AND(B992&lt;&gt;"",C981&lt;&gt;""),_6_5_0,IF(AND(B992&lt;&gt;"",ISNUMBER(B992),OR(Stage4EvaluationBegins=0,Stage4EvaluationBegins="")),"",""))),"")</f>
        <v/>
      </c>
      <c r="D1003" s="94" t="str">
        <f>IF(AND(C1003&lt;&gt;"", 'Cost Inputs'!$G$198&lt;&gt;""), 'Cost Inputs'!$G$198, "")</f>
        <v/>
      </c>
      <c r="E1003" s="94" t="str">
        <f>IF(AND(C1003&lt;&gt;"", 'Cost Inputs'!$H$198&lt;&gt;""), 'Cost Inputs'!$H$198, "")</f>
        <v/>
      </c>
      <c r="F1003" s="492" t="str">
        <f>IF(AND(C1003&lt;&gt;"", 'Cost Inputs'!$I$198&lt;&gt;""), 'Cost Inputs'!$I$198, "")</f>
        <v/>
      </c>
      <c r="G1003" s="102" t="str">
        <f t="shared" si="503"/>
        <v/>
      </c>
      <c r="H1003" s="492" t="str">
        <f>IF(AND(C1003&lt;&gt;"", 'Cost Inputs'!$J$198&lt;&gt;""), 'Cost Inputs'!$J$198, "")</f>
        <v/>
      </c>
      <c r="I1003" s="102" t="str">
        <f>IF($C1003&lt;&gt;"",IF(AND($E1003&lt;&gt;"",H1003&lt;&gt;""), H1003/$E1003, 0),"")</f>
        <v/>
      </c>
      <c r="J1003" s="492" t="str">
        <f>IF(AND(C1003&lt;&gt;"",('Cost Inputs'!$I$198+'Cost Inputs'!$J$198+'Cost Inputs'!$K$198)&gt;0), 'Cost Inputs'!$I$198+'Cost Inputs'!$J$198+'Cost Inputs'!$K$198, "")</f>
        <v/>
      </c>
      <c r="K1003" s="102" t="str">
        <f>IF($C1003&lt;&gt;"",IF(AND($E1003&lt;&gt;"",J1003&lt;&gt;""), J1003/$E1003, 0),"")</f>
        <v/>
      </c>
      <c r="L1003" s="94"/>
      <c r="M1003" s="103"/>
      <c r="X1003" s="492" t="str">
        <f>IF(ISNUMBER($B974), IF($C1003&lt;&gt;"", IF('Cost Inputs'!$L$198="Y", $E1003, IF('Cost Inputs'!$L$198="N", IF(ISNUMBER('Cost Inputs'!$M$198), $E1003, ""),"")),""),"")</f>
        <v/>
      </c>
      <c r="Y1003" s="492" t="str">
        <f>IF(ISNUMBER($B974), IF($C1003&lt;&gt;"", IF('Cost Inputs'!$L$198="Y", $E1003, IF('Cost Inputs'!$L$198="N", IF(ISNUMBER('Cost Inputs'!$M$198), $E1003, ""),"")),""),"")</f>
        <v/>
      </c>
      <c r="Z1003" s="492" t="str">
        <f>IF(ISNUMBER($B974), IF($C1003&lt;&gt;"", IF('Cost Inputs'!$L$198="Y", $E1003, IF('Cost Inputs'!$L$198="N", IF(ISNUMBER('Cost Inputs'!$M$198), $E1003, ""),"")),""),"")</f>
        <v/>
      </c>
      <c r="AA1003" s="492" t="str">
        <f>IF(ISNUMBER($B974), IF($C1003&lt;&gt;"", IF('Cost Inputs'!$L$198="Y", $E1003, IF('Cost Inputs'!$L$198="N", IF(ISNUMBER('Cost Inputs'!$M$198), $E1003, ""),"")),""),"")</f>
        <v/>
      </c>
      <c r="AB1003" s="492" t="str">
        <f>IF(ISNUMBER($B974), IF($C1003&lt;&gt;"", IF('Cost Inputs'!$L$198="Y", $E1003, IF('Cost Inputs'!$L$198="N", IF(ISNUMBER('Cost Inputs'!$M$198), $E1003, ""),"")),""),"")</f>
        <v/>
      </c>
      <c r="AC1003" s="492" t="str">
        <f>IF(ISNUMBER($B974), IF($C1003&lt;&gt;"", IF('Cost Inputs'!$L$198="Y", $E1003, IF('Cost Inputs'!$L$198="N", IF(ISNUMBER('Cost Inputs'!$M$198), $E1003, ""),"")),""),"")</f>
        <v/>
      </c>
      <c r="AD1003" s="492" t="str">
        <f>IF(ISNUMBER($B974), IF($C1003&lt;&gt;"", IF('Cost Inputs'!$L$198="Y", $E1003, IF('Cost Inputs'!$L$198="N", IF(ISNUMBER('Cost Inputs'!$M$198), $E1003, ""),"")),""),"")</f>
        <v/>
      </c>
      <c r="AE1003" s="492" t="str">
        <f>IF(ISNUMBER($B974), IF($C1003&lt;&gt;"", IF('Cost Inputs'!$L$198="Y", $E1003, IF('Cost Inputs'!$L$198="N", IF(ISNUMBER('Cost Inputs'!$M$198), $E1003, ""),"")),""),"")</f>
        <v/>
      </c>
      <c r="AF1003" s="492" t="str">
        <f>IF(ISNUMBER($B974), IF($C1003&lt;&gt;"", IF('Cost Inputs'!$L$198="Y", $E1003, IF('Cost Inputs'!$L$198="N", IF(ISNUMBER('Cost Inputs'!$M$198), $E1003, ""),"")),""),"")</f>
        <v/>
      </c>
      <c r="AG1003" s="492" t="str">
        <f>IF(ISNUMBER($B974), IF($C1003&lt;&gt;"", IF('Cost Inputs'!$L$198="Y", $E1003, IF('Cost Inputs'!$L$198="N", IF(ISNUMBER('Cost Inputs'!$M$198), $E1003, ""),"")),""),"")</f>
        <v/>
      </c>
    </row>
    <row r="1004" spans="1:33" x14ac:dyDescent="0.25">
      <c r="A1004" s="518"/>
      <c r="B1004" s="504"/>
      <c r="C1004" s="521"/>
      <c r="D1004" s="94" t="str">
        <f>IF(AND(C1003&lt;&gt;"", 'Cost Inputs'!$G$199&lt;&gt;""), 'Cost Inputs'!$G$199, "")</f>
        <v/>
      </c>
      <c r="E1004" s="94" t="str">
        <f>IF(AND(C1003&lt;&gt;"", 'Cost Inputs'!$H$199&lt;&gt;""), 'Cost Inputs'!$H$199, "")</f>
        <v/>
      </c>
      <c r="F1004" s="492"/>
      <c r="G1004" s="102" t="str">
        <f t="shared" si="503"/>
        <v/>
      </c>
      <c r="H1004" s="492"/>
      <c r="I1004" s="102" t="str">
        <f>IF($C1003&lt;&gt;"", IF(AND($E1004&lt;&gt;"", H1003&lt;&gt;""), H1003/($E1003*$E1004), 0), "")</f>
        <v/>
      </c>
      <c r="J1004" s="492" t="str">
        <f>IF(AND(C1004&lt;&gt;"",('Cost Inputs'!$I$86+'Cost Inputs'!$J$86+'Cost Inputs'!$K$86)&gt;0), 'Cost Inputs'!$I$86+'Cost Inputs'!$J$86+'Cost Inputs'!$K$86, "")</f>
        <v/>
      </c>
      <c r="K1004" s="102" t="str">
        <f>IF($C1003&lt;&gt;"", IF(AND($E1004&lt;&gt;"", J1003&lt;&gt;""), J1003/($E1003*$E1004), 0), "")</f>
        <v/>
      </c>
      <c r="L1004" s="94"/>
      <c r="M1004" s="103"/>
      <c r="X1004" s="492" t="str">
        <f>IF(ISNUMBER($B$776), IF($C1004&lt;&gt;"", IF('Cost Inputs'!$L397="Y", $E1004, IF('Cost Inputs'!$L397="N", IF(ISNUMBER('Cost Inputs'!$M397), $E1004, ""),"")),""),"")</f>
        <v/>
      </c>
      <c r="Y1004" s="492" t="str">
        <f>IF(ISNUMBER($B$776), IF($C1004&lt;&gt;"", IF('Cost Inputs'!$L397="Y", $E1004, IF('Cost Inputs'!$L397="N", IF(ISNUMBER('Cost Inputs'!$M397), $E1004, ""),"")),""),"")</f>
        <v/>
      </c>
      <c r="Z1004" s="492" t="str">
        <f>IF(ISNUMBER($B$776), IF($C1004&lt;&gt;"", IF('Cost Inputs'!$L397="Y", $E1004, IF('Cost Inputs'!$L397="N", IF(ISNUMBER('Cost Inputs'!$M397), $E1004, ""),"")),""),"")</f>
        <v/>
      </c>
      <c r="AA1004" s="492" t="str">
        <f>IF(ISNUMBER($B$776), IF($C1004&lt;&gt;"", IF('Cost Inputs'!$L397="Y", $E1004, IF('Cost Inputs'!$L397="N", IF(ISNUMBER('Cost Inputs'!$M397), $E1004, ""),"")),""),"")</f>
        <v/>
      </c>
      <c r="AB1004" s="492" t="str">
        <f>IF(ISNUMBER($B$776), IF($C1004&lt;&gt;"", IF('Cost Inputs'!$L397="Y", $E1004, IF('Cost Inputs'!$L397="N", IF(ISNUMBER('Cost Inputs'!$M397), $E1004, ""),"")),""),"")</f>
        <v/>
      </c>
      <c r="AC1004" s="492" t="str">
        <f>IF(ISNUMBER($B$776), IF($C1004&lt;&gt;"", IF('Cost Inputs'!$L397="Y", $E1004, IF('Cost Inputs'!$L397="N", IF(ISNUMBER('Cost Inputs'!$M397), $E1004, ""),"")),""),"")</f>
        <v/>
      </c>
      <c r="AD1004" s="492" t="str">
        <f>IF(ISNUMBER($B$776), IF($C1004&lt;&gt;"", IF('Cost Inputs'!$L397="Y", $E1004, IF('Cost Inputs'!$L397="N", IF(ISNUMBER('Cost Inputs'!$M397), $E1004, ""),"")),""),"")</f>
        <v/>
      </c>
      <c r="AE1004" s="492" t="str">
        <f>IF(ISNUMBER($B$776), IF($C1004&lt;&gt;"", IF('Cost Inputs'!$L397="Y", $E1004, IF('Cost Inputs'!$L397="N", IF(ISNUMBER('Cost Inputs'!$M397), $E1004, ""),"")),""),"")</f>
        <v/>
      </c>
      <c r="AF1004" s="492" t="str">
        <f>IF(ISNUMBER($B$776), IF($C1004&lt;&gt;"", IF('Cost Inputs'!$L397="Y", $E1004, IF('Cost Inputs'!$L397="N", IF(ISNUMBER('Cost Inputs'!$M397), $E1004, ""),"")),""),"")</f>
        <v/>
      </c>
      <c r="AG1004" s="492" t="str">
        <f>IF(ISNUMBER($B$776), IF($C1004&lt;&gt;"", IF('Cost Inputs'!$L397="Y", $E1004, IF('Cost Inputs'!$L397="N", IF(ISNUMBER('Cost Inputs'!$M397), $E1004, ""),"")),""),"")</f>
        <v/>
      </c>
    </row>
    <row r="1005" spans="1:33" x14ac:dyDescent="0.25">
      <c r="A1005" s="518"/>
      <c r="B1005" s="504"/>
      <c r="C1005" s="376" t="str">
        <f>IF(AND(ISNUMBER(B974), C1003&lt;&gt;"", OR('Cost Inputs'!$H$200&lt;&gt;"", 'Cost Inputs'!$I$200&lt;&gt;"", 'Cost Inputs'!$J$200&lt;&gt;"")), _6_5_1, "")</f>
        <v/>
      </c>
      <c r="D1005" s="17" t="str">
        <f>IF(AND(C1005&lt;&gt;"", 'Cost Inputs'!$G$200&lt;&gt;""), 'Cost Inputs'!$G$200, "")</f>
        <v/>
      </c>
      <c r="E1005" s="17" t="str">
        <f>IF(AND(C1005&lt;&gt;"", 'Cost Inputs'!$H$200&lt;&gt;""), 'Cost Inputs'!$H$200, "")</f>
        <v/>
      </c>
      <c r="F1005" s="493" t="str">
        <f>IF(AND(C1005&lt;&gt;"", 'Cost Inputs'!$I$200&lt;&gt;""), 'Cost Inputs'!$I$200, "")</f>
        <v/>
      </c>
      <c r="G1005" s="105" t="str">
        <f t="shared" si="503"/>
        <v/>
      </c>
      <c r="H1005" s="493" t="str">
        <f>IF(AND(C1005&lt;&gt;"", 'Cost Inputs'!$J$200&lt;&gt;""), 'Cost Inputs'!$J$200, "")</f>
        <v/>
      </c>
      <c r="I1005" s="105" t="str">
        <f>IF($C1005&lt;&gt;"",IF(AND($E1005&lt;&gt;"",H1005&lt;&gt;""), H1005/$E1005, 0),"")</f>
        <v/>
      </c>
      <c r="J1005" s="493" t="str">
        <f>IF(AND(C1005&lt;&gt;"",('Cost Inputs'!$I$200+'Cost Inputs'!$J$200+'Cost Inputs'!$K$200)&gt;0), 'Cost Inputs'!$I$200+'Cost Inputs'!$J$200+'Cost Inputs'!$K$200, "")</f>
        <v/>
      </c>
      <c r="K1005" s="105" t="str">
        <f>IF($C1005&lt;&gt;"",IF(AND($E1005&lt;&gt;"",J1005&lt;&gt;""), J1005/$E1005, 0),"")</f>
        <v/>
      </c>
      <c r="M1005" s="106"/>
      <c r="X1005" s="493" t="str">
        <f>IF(ISNUMBER($B974), IF($C1005&lt;&gt;"", IF('Cost Inputs'!$L$200="Y", $E1005, IF('Cost Inputs'!$L$200="N", IF(ISNUMBER('Cost Inputs'!$M$200), $E1005, ""),"")),""),"")</f>
        <v/>
      </c>
      <c r="Y1005" s="493" t="str">
        <f>IF(ISNUMBER($B974), IF($C1005&lt;&gt;"", IF('Cost Inputs'!$L$200="Y", $E1005, IF('Cost Inputs'!$L$200="N", IF(ISNUMBER('Cost Inputs'!$M$200), $E1005, ""),"")),""),"")</f>
        <v/>
      </c>
      <c r="Z1005" s="493" t="str">
        <f>IF(ISNUMBER($B974), IF($C1005&lt;&gt;"", IF('Cost Inputs'!$L$200="Y", $E1005, IF('Cost Inputs'!$L$200="N", IF(ISNUMBER('Cost Inputs'!$M$200), $E1005, ""),"")),""),"")</f>
        <v/>
      </c>
      <c r="AA1005" s="493" t="str">
        <f>IF(ISNUMBER($B974), IF($C1005&lt;&gt;"", IF('Cost Inputs'!$L$200="Y", $E1005, IF('Cost Inputs'!$L$200="N", IF(ISNUMBER('Cost Inputs'!$M$200), $E1005, ""),"")),""),"")</f>
        <v/>
      </c>
      <c r="AB1005" s="493" t="str">
        <f>IF(ISNUMBER($B974), IF($C1005&lt;&gt;"", IF('Cost Inputs'!$L$200="Y", $E1005, IF('Cost Inputs'!$L$200="N", IF(ISNUMBER('Cost Inputs'!$M$200), $E1005, ""),"")),""),"")</f>
        <v/>
      </c>
      <c r="AC1005" s="493" t="str">
        <f>IF(ISNUMBER($B974), IF($C1005&lt;&gt;"", IF('Cost Inputs'!$L$200="Y", $E1005, IF('Cost Inputs'!$L$200="N", IF(ISNUMBER('Cost Inputs'!$M$200), $E1005, ""),"")),""),"")</f>
        <v/>
      </c>
      <c r="AD1005" s="493" t="str">
        <f>IF(ISNUMBER($B974), IF($C1005&lt;&gt;"", IF('Cost Inputs'!$L$200="Y", $E1005, IF('Cost Inputs'!$L$200="N", IF(ISNUMBER('Cost Inputs'!$M$200), $E1005, ""),"")),""),"")</f>
        <v/>
      </c>
      <c r="AE1005" s="493" t="str">
        <f>IF(ISNUMBER($B974), IF($C1005&lt;&gt;"", IF('Cost Inputs'!$L$200="Y", $E1005, IF('Cost Inputs'!$L$200="N", IF(ISNUMBER('Cost Inputs'!$M$200), $E1005, ""),"")),""),"")</f>
        <v/>
      </c>
      <c r="AF1005" s="493" t="str">
        <f>IF(ISNUMBER($B974), IF($C1005&lt;&gt;"", IF('Cost Inputs'!$L$200="Y", $E1005, IF('Cost Inputs'!$L$200="N", IF(ISNUMBER('Cost Inputs'!$M$200), $E1005, ""),"")),""),"")</f>
        <v/>
      </c>
      <c r="AG1005" s="493" t="str">
        <f>IF(ISNUMBER($B974), IF($C1005&lt;&gt;"", IF('Cost Inputs'!$L$200="Y", $E1005, IF('Cost Inputs'!$L$200="N", IF(ISNUMBER('Cost Inputs'!$M$200), $E1005, ""),"")),""),"")</f>
        <v/>
      </c>
    </row>
    <row r="1006" spans="1:33" x14ac:dyDescent="0.25">
      <c r="A1006" s="518"/>
      <c r="B1006" s="504"/>
      <c r="C1006" s="376" t="str">
        <f>IF(AND(ISNUMBER(B988), OR('Cost Inputs'!$H$85&lt;&gt;"", 'Cost Inputs'!$I$85&lt;&gt;"", 'Cost Inputs'!$J$85&lt;&gt;"")), _3_5_1, "")</f>
        <v/>
      </c>
      <c r="D1006" s="17" t="str">
        <f>IF(AND(C1005&lt;&gt;"", 'Cost Inputs'!$G$201&lt;&gt;""), 'Cost Inputs'!$G$201, "")</f>
        <v/>
      </c>
      <c r="E1006" s="17" t="str">
        <f>IF(AND(C1005&lt;&gt;"", 'Cost Inputs'!$H$201&lt;&gt;""), 'Cost Inputs'!$H$201, "")</f>
        <v/>
      </c>
      <c r="F1006" s="493"/>
      <c r="G1006" s="105" t="str">
        <f t="shared" si="503"/>
        <v/>
      </c>
      <c r="H1006" s="493"/>
      <c r="I1006" s="105" t="str">
        <f>IF($C1005&lt;&gt;"", IF(AND($E1006&lt;&gt;"", H1005&lt;&gt;""), H1005/($E1005*$E1006), 0), "")</f>
        <v/>
      </c>
      <c r="J1006" s="493" t="str">
        <f>IF(AND(C1006&lt;&gt;"",('Cost Inputs'!$I$86+'Cost Inputs'!$J$86+'Cost Inputs'!$K$86)&gt;0), 'Cost Inputs'!$I$86+'Cost Inputs'!$J$86+'Cost Inputs'!$K$86, "")</f>
        <v/>
      </c>
      <c r="K1006" s="105" t="str">
        <f>IF($C1005&lt;&gt;"", IF(AND($E1006&lt;&gt;"", J1005&lt;&gt;""), J1005/($E1005*$E1006), 0), "")</f>
        <v/>
      </c>
      <c r="M1006" s="106"/>
      <c r="X1006" s="493" t="str">
        <f>IF(ISNUMBER($B$776), IF($C1006&lt;&gt;"", IF('Cost Inputs'!$L399="Y", $E1006, IF('Cost Inputs'!$L399="N", IF(ISNUMBER('Cost Inputs'!$M399), $E1006, ""),"")),""),"")</f>
        <v/>
      </c>
      <c r="Y1006" s="493" t="str">
        <f>IF(ISNUMBER($B$776), IF($C1006&lt;&gt;"", IF('Cost Inputs'!$L399="Y", $E1006, IF('Cost Inputs'!$L399="N", IF(ISNUMBER('Cost Inputs'!$M399), $E1006, ""),"")),""),"")</f>
        <v/>
      </c>
      <c r="Z1006" s="493" t="str">
        <f>IF(ISNUMBER($B$776), IF($C1006&lt;&gt;"", IF('Cost Inputs'!$L399="Y", $E1006, IF('Cost Inputs'!$L399="N", IF(ISNUMBER('Cost Inputs'!$M399), $E1006, ""),"")),""),"")</f>
        <v/>
      </c>
      <c r="AA1006" s="493" t="str">
        <f>IF(ISNUMBER($B$776), IF($C1006&lt;&gt;"", IF('Cost Inputs'!$L399="Y", $E1006, IF('Cost Inputs'!$L399="N", IF(ISNUMBER('Cost Inputs'!$M399), $E1006, ""),"")),""),"")</f>
        <v/>
      </c>
      <c r="AB1006" s="493" t="str">
        <f>IF(ISNUMBER($B$776), IF($C1006&lt;&gt;"", IF('Cost Inputs'!$L399="Y", $E1006, IF('Cost Inputs'!$L399="N", IF(ISNUMBER('Cost Inputs'!$M399), $E1006, ""),"")),""),"")</f>
        <v/>
      </c>
      <c r="AC1006" s="493" t="str">
        <f>IF(ISNUMBER($B$776), IF($C1006&lt;&gt;"", IF('Cost Inputs'!$L399="Y", $E1006, IF('Cost Inputs'!$L399="N", IF(ISNUMBER('Cost Inputs'!$M399), $E1006, ""),"")),""),"")</f>
        <v/>
      </c>
      <c r="AD1006" s="493" t="str">
        <f>IF(ISNUMBER($B$776), IF($C1006&lt;&gt;"", IF('Cost Inputs'!$L399="Y", $E1006, IF('Cost Inputs'!$L399="N", IF(ISNUMBER('Cost Inputs'!$M399), $E1006, ""),"")),""),"")</f>
        <v/>
      </c>
      <c r="AE1006" s="493" t="str">
        <f>IF(ISNUMBER($B$776), IF($C1006&lt;&gt;"", IF('Cost Inputs'!$L399="Y", $E1006, IF('Cost Inputs'!$L399="N", IF(ISNUMBER('Cost Inputs'!$M399), $E1006, ""),"")),""),"")</f>
        <v/>
      </c>
      <c r="AF1006" s="493" t="str">
        <f>IF(ISNUMBER($B$776), IF($C1006&lt;&gt;"", IF('Cost Inputs'!$L399="Y", $E1006, IF('Cost Inputs'!$L399="N", IF(ISNUMBER('Cost Inputs'!$M399), $E1006, ""),"")),""),"")</f>
        <v/>
      </c>
      <c r="AG1006" s="493" t="str">
        <f>IF(ISNUMBER($B$776), IF($C1006&lt;&gt;"", IF('Cost Inputs'!$L399="Y", $E1006, IF('Cost Inputs'!$L399="N", IF(ISNUMBER('Cost Inputs'!$M399), $E1006, ""),"")),""),"")</f>
        <v/>
      </c>
    </row>
    <row r="1007" spans="1:33" x14ac:dyDescent="0.25">
      <c r="A1007" s="518"/>
      <c r="B1007" s="504"/>
      <c r="C1007" s="107" t="str">
        <f>IF(AND(ISNUMBER(B974), C1003&lt;&gt;"", OR('Cost Inputs'!$H$202&lt;&gt;"", 'Cost Inputs'!$I$202&lt;&gt;"", 'Cost Inputs'!$J$202&lt;&gt;"")), _6_5_2, "")</f>
        <v/>
      </c>
      <c r="D1007" s="93" t="str">
        <f>IF(AND(C1007&lt;&gt;"", 'Cost Inputs'!$G$202&lt;&gt;""), 'Cost Inputs'!$G$202, "")</f>
        <v/>
      </c>
      <c r="E1007" s="93" t="str">
        <f>IF(AND(C1007&lt;&gt;"", 'Cost Inputs'!$H$202&lt;&gt;""), 'Cost Inputs'!$H$202, "")</f>
        <v/>
      </c>
      <c r="F1007" s="93" t="str">
        <f>IF(AND(C1007&lt;&gt;"", 'Cost Inputs'!$I$202&lt;&gt;""), 'Cost Inputs'!$I$202, "")</f>
        <v/>
      </c>
      <c r="G1007" s="108" t="str">
        <f t="shared" si="503"/>
        <v/>
      </c>
      <c r="H1007" s="93" t="str">
        <f>IF(AND(C1007&lt;&gt;"", 'Cost Inputs'!$J$202&lt;&gt;""), 'Cost Inputs'!$J$202, "")</f>
        <v/>
      </c>
      <c r="I1007" s="93" t="str">
        <f>IF($C1007&lt;&gt;"", IF(AND($E1007&lt;&gt;"", H1007&lt;&gt;""), H1007/$E1007, 0),"")</f>
        <v/>
      </c>
      <c r="J1007" s="93" t="str">
        <f>IF(AND(C1007&lt;&gt;"",('Cost Inputs'!$I$202+'Cost Inputs'!$J$202+'Cost Inputs'!$K$202)&gt;0), 'Cost Inputs'!$I$202+'Cost Inputs'!$J$202+'Cost Inputs'!$K$202, "")</f>
        <v/>
      </c>
      <c r="K1007" s="93" t="str">
        <f>IF($C1007&lt;&gt;"", IF(AND($E1007&lt;&gt;"", J1007&lt;&gt;""), J1007/$E1007, 0),"")</f>
        <v/>
      </c>
      <c r="L1007" s="93"/>
      <c r="M1007" s="109"/>
      <c r="X1007" s="93" t="str">
        <f>IF(ISNUMBER($B974), IF($C1007&lt;&gt;"", IF('Cost Inputs'!$L$202="Y", $E1007, IF('Cost Inputs'!$L$202="N", IF(ISNUMBER('Cost Inputs'!$M$202), $E1007, ""),"")),""),"")</f>
        <v/>
      </c>
      <c r="Y1007" s="93" t="str">
        <f>IF(ISNUMBER($B974), IF($C1007&lt;&gt;"", IF('Cost Inputs'!$L$202="Y", $E1007, IF('Cost Inputs'!$L$202="N", IF(ISNUMBER('Cost Inputs'!$M$202), $E1007, ""),"")),""),"")</f>
        <v/>
      </c>
      <c r="Z1007" s="93" t="str">
        <f>IF(ISNUMBER($B974), IF($C1007&lt;&gt;"", IF('Cost Inputs'!$L$202="Y", $E1007, IF('Cost Inputs'!$L$202="N", IF(ISNUMBER('Cost Inputs'!$M$202), $E1007, ""),"")),""),"")</f>
        <v/>
      </c>
      <c r="AA1007" s="93" t="str">
        <f>IF(ISNUMBER($B974), IF($C1007&lt;&gt;"", IF('Cost Inputs'!$L$202="Y", $E1007, IF('Cost Inputs'!$L$202="N", IF(ISNUMBER('Cost Inputs'!$M$202), $E1007, ""),"")),""),"")</f>
        <v/>
      </c>
      <c r="AB1007" s="93" t="str">
        <f>IF(ISNUMBER($B974), IF($C1007&lt;&gt;"", IF('Cost Inputs'!$L$202="Y", $E1007, IF('Cost Inputs'!$L$202="N", IF(ISNUMBER('Cost Inputs'!$M$202), $E1007, ""),"")),""),"")</f>
        <v/>
      </c>
      <c r="AC1007" s="93" t="str">
        <f>IF(ISNUMBER($B974), IF($C1007&lt;&gt;"", IF('Cost Inputs'!$L$202="Y", $E1007, IF('Cost Inputs'!$L$202="N", IF(ISNUMBER('Cost Inputs'!$M$202), $E1007, ""),"")),""),"")</f>
        <v/>
      </c>
      <c r="AD1007" s="93" t="str">
        <f>IF(ISNUMBER($B974), IF($C1007&lt;&gt;"", IF('Cost Inputs'!$L$202="Y", $E1007, IF('Cost Inputs'!$L$202="N", IF(ISNUMBER('Cost Inputs'!$M$202), $E1007, ""),"")),""),"")</f>
        <v/>
      </c>
      <c r="AE1007" s="93" t="str">
        <f>IF(ISNUMBER($B974), IF($C1007&lt;&gt;"", IF('Cost Inputs'!$L$202="Y", $E1007, IF('Cost Inputs'!$L$202="N", IF(ISNUMBER('Cost Inputs'!$M$202), $E1007, ""),"")),""),"")</f>
        <v/>
      </c>
      <c r="AF1007" s="93" t="str">
        <f>IF(ISNUMBER($B974), IF($C1007&lt;&gt;"", IF('Cost Inputs'!$L$202="Y", $E1007, IF('Cost Inputs'!$L$202="N", IF(ISNUMBER('Cost Inputs'!$M$202), $E1007, ""),"")),""),"")</f>
        <v/>
      </c>
      <c r="AG1007" s="93" t="str">
        <f>IF(ISNUMBER($B974), IF($C1007&lt;&gt;"", IF('Cost Inputs'!$L$202="Y", $E1007, IF('Cost Inputs'!$L$202="N", IF(ISNUMBER('Cost Inputs'!$M$202), $E1007, ""),"")),""),"")</f>
        <v/>
      </c>
    </row>
    <row r="1008" spans="1:33" x14ac:dyDescent="0.25">
      <c r="A1008" s="518"/>
      <c r="B1008" s="504"/>
      <c r="C1008" s="104" t="str">
        <f>IF(AND(ISNUMBER(B974), C1003&lt;&gt;"", OR('Cost Inputs'!$H$203&lt;&gt;"", 'Cost Inputs'!$I$203&lt;&gt;"", 'Cost Inputs'!$J$203&lt;&gt;"")), _6_5_3, "")</f>
        <v/>
      </c>
      <c r="D1008" s="17" t="str">
        <f>IF(AND(C1008&lt;&gt;"", 'Cost Inputs'!$G$203&lt;&gt;""), 'Cost Inputs'!$G$203, "")</f>
        <v/>
      </c>
      <c r="E1008" s="17" t="str">
        <f>IF(AND(C1008&lt;&gt;"", 'Cost Inputs'!$H$203&lt;&gt;""), 'Cost Inputs'!$H$203, "")</f>
        <v/>
      </c>
      <c r="F1008" s="17" t="str">
        <f>IF(AND(C1008&lt;&gt;"", 'Cost Inputs'!$I$203&lt;&gt;""), 'Cost Inputs'!$I$203, "")</f>
        <v/>
      </c>
      <c r="G1008" s="105" t="str">
        <f t="shared" si="503"/>
        <v/>
      </c>
      <c r="H1008" s="17" t="str">
        <f>IF(AND(C1008&lt;&gt;"", 'Cost Inputs'!$J$203&lt;&gt;""), 'Cost Inputs'!$J$203, "")</f>
        <v/>
      </c>
      <c r="I1008" s="17" t="str">
        <f>IF($C1008&lt;&gt;"", IF(AND($E1008&lt;&gt;"", H1008&lt;&gt;""), H1008/$E1008, 0),"")</f>
        <v/>
      </c>
      <c r="J1008" s="17" t="str">
        <f>IF(AND(C1008&lt;&gt;"",('Cost Inputs'!$I$203+'Cost Inputs'!$J$203+'Cost Inputs'!$K$203)&gt;0), 'Cost Inputs'!$I$203+'Cost Inputs'!$J$203+'Cost Inputs'!$K$203, "")</f>
        <v/>
      </c>
      <c r="K1008" s="17" t="str">
        <f>IF($C1008&lt;&gt;"", IF(AND($E1008&lt;&gt;"", J1008&lt;&gt;""), J1008/$E1008, 0),"")</f>
        <v/>
      </c>
      <c r="M1008" s="106"/>
      <c r="X1008" s="17" t="str">
        <f>IF(ISNUMBER($B974), IF($C1008&lt;&gt;"", IF('Cost Inputs'!$L$203="Y", $E1008, IF('Cost Inputs'!$L$203="N", IF(ISNUMBER('Cost Inputs'!$M$203), $E1008, ""),"")),""),"")</f>
        <v/>
      </c>
      <c r="Y1008" s="17" t="str">
        <f>IF(ISNUMBER($B974), IF($C1008&lt;&gt;"", IF('Cost Inputs'!$L$203="Y", $E1008, IF('Cost Inputs'!$L$203="N", IF(ISNUMBER('Cost Inputs'!$M$203), $E1008, ""),"")),""),"")</f>
        <v/>
      </c>
      <c r="Z1008" s="17" t="str">
        <f>IF(ISNUMBER($B974), IF($C1008&lt;&gt;"", IF('Cost Inputs'!$L$203="Y", $E1008, IF('Cost Inputs'!$L$203="N", IF(ISNUMBER('Cost Inputs'!$M$203), $E1008, ""),"")),""),"")</f>
        <v/>
      </c>
      <c r="AA1008" s="17" t="str">
        <f>IF(ISNUMBER($B974), IF($C1008&lt;&gt;"", IF('Cost Inputs'!$L$203="Y", $E1008, IF('Cost Inputs'!$L$203="N", IF(ISNUMBER('Cost Inputs'!$M$203), $E1008, ""),"")),""),"")</f>
        <v/>
      </c>
      <c r="AB1008" s="17" t="str">
        <f>IF(ISNUMBER($B974), IF($C1008&lt;&gt;"", IF('Cost Inputs'!$L$203="Y", $E1008, IF('Cost Inputs'!$L$203="N", IF(ISNUMBER('Cost Inputs'!$M$203), $E1008, ""),"")),""),"")</f>
        <v/>
      </c>
      <c r="AC1008" s="17" t="str">
        <f>IF(ISNUMBER($B974), IF($C1008&lt;&gt;"", IF('Cost Inputs'!$L$203="Y", $E1008, IF('Cost Inputs'!$L$203="N", IF(ISNUMBER('Cost Inputs'!$M$203), $E1008, ""),"")),""),"")</f>
        <v/>
      </c>
      <c r="AD1008" s="17" t="str">
        <f>IF(ISNUMBER($B974), IF($C1008&lt;&gt;"", IF('Cost Inputs'!$L$203="Y", $E1008, IF('Cost Inputs'!$L$203="N", IF(ISNUMBER('Cost Inputs'!$M$203), $E1008, ""),"")),""),"")</f>
        <v/>
      </c>
      <c r="AE1008" s="17" t="str">
        <f>IF(ISNUMBER($B974), IF($C1008&lt;&gt;"", IF('Cost Inputs'!$L$203="Y", $E1008, IF('Cost Inputs'!$L$203="N", IF(ISNUMBER('Cost Inputs'!$M$203), $E1008, ""),"")),""),"")</f>
        <v/>
      </c>
      <c r="AF1008" s="17" t="str">
        <f>IF(ISNUMBER($B974), IF($C1008&lt;&gt;"", IF('Cost Inputs'!$L$203="Y", $E1008, IF('Cost Inputs'!$L$203="N", IF(ISNUMBER('Cost Inputs'!$M$203), $E1008, ""),"")),""),"")</f>
        <v/>
      </c>
      <c r="AG1008" s="17" t="str">
        <f>IF(ISNUMBER($B974), IF($C1008&lt;&gt;"", IF('Cost Inputs'!$L$203="Y", $E1008, IF('Cost Inputs'!$L$203="N", IF(ISNUMBER('Cost Inputs'!$M$203), $E1008, ""),"")),""),"")</f>
        <v/>
      </c>
    </row>
    <row r="1009" spans="1:44" x14ac:dyDescent="0.25">
      <c r="A1009" s="518"/>
      <c r="B1009" s="504"/>
      <c r="C1009" s="107" t="str">
        <f>IF(AND(ISNUMBER(B974), C1003&lt;&gt;"", OR('Cost Inputs'!$H$204&lt;&gt;"", 'Cost Inputs'!$I$204&lt;&gt;"", 'Cost Inputs'!$J$204&lt;&gt;"")), _6_5_4, "")</f>
        <v/>
      </c>
      <c r="D1009" s="93" t="str">
        <f>IF(AND(C1009&lt;&gt;"", 'Cost Inputs'!$G$204&lt;&gt;""), 'Cost Inputs'!$G$204, "")</f>
        <v/>
      </c>
      <c r="E1009" s="93" t="str">
        <f>IF(AND(C1009&lt;&gt;"", 'Cost Inputs'!$H$204&lt;&gt;""), 'Cost Inputs'!$H$204, "")</f>
        <v/>
      </c>
      <c r="F1009" s="93" t="str">
        <f>IF(AND(C1009&lt;&gt;"", 'Cost Inputs'!$I$204&lt;&gt;""), 'Cost Inputs'!$I$204, "")</f>
        <v/>
      </c>
      <c r="G1009" s="108" t="str">
        <f t="shared" si="503"/>
        <v/>
      </c>
      <c r="H1009" s="93" t="str">
        <f>IF(AND(C1009&lt;&gt;"", 'Cost Inputs'!$J$204&lt;&gt;""), 'Cost Inputs'!$J$204, "")</f>
        <v/>
      </c>
      <c r="I1009" s="93" t="str">
        <f>IF($C1009&lt;&gt;"", IF(AND($E1009&lt;&gt;"", H1009&lt;&gt;""), H1009/$E1009, 0),"")</f>
        <v/>
      </c>
      <c r="J1009" s="93" t="str">
        <f>IF(AND(C1009&lt;&gt;"",('Cost Inputs'!$I$204+'Cost Inputs'!$J$204+'Cost Inputs'!$K$204)&gt;0), 'Cost Inputs'!$I$204+'Cost Inputs'!$J$204+'Cost Inputs'!$K$204, "")</f>
        <v/>
      </c>
      <c r="K1009" s="93" t="str">
        <f>IF($C1009&lt;&gt;"", IF(AND($E1009&lt;&gt;"", J1009&lt;&gt;""), J1009/$E1009, 0),"")</f>
        <v/>
      </c>
      <c r="L1009" s="93"/>
      <c r="M1009" s="109"/>
      <c r="X1009" s="93" t="str">
        <f>IF(ISNUMBER($B974), IF($C1009&lt;&gt;"", IF('Cost Inputs'!$L$204="Y", $E1009, IF('Cost Inputs'!$L$204="N", IF(ISNUMBER('Cost Inputs'!$M$204), $E1009, ""),"")),""),"")</f>
        <v/>
      </c>
      <c r="Y1009" s="93" t="str">
        <f>IF(ISNUMBER($B974), IF($C1009&lt;&gt;"", IF('Cost Inputs'!$L$204="Y", $E1009, IF('Cost Inputs'!$L$204="N", IF(ISNUMBER('Cost Inputs'!$M$204), $E1009, ""),"")),""),"")</f>
        <v/>
      </c>
      <c r="Z1009" s="93" t="str">
        <f>IF(ISNUMBER($B974), IF($C1009&lt;&gt;"", IF('Cost Inputs'!$L$204="Y", $E1009, IF('Cost Inputs'!$L$204="N", IF(ISNUMBER('Cost Inputs'!$M$204), $E1009, ""),"")),""),"")</f>
        <v/>
      </c>
      <c r="AA1009" s="93" t="str">
        <f>IF(ISNUMBER($B974), IF($C1009&lt;&gt;"", IF('Cost Inputs'!$L$204="Y", $E1009, IF('Cost Inputs'!$L$204="N", IF(ISNUMBER('Cost Inputs'!$M$204), $E1009, ""),"")),""),"")</f>
        <v/>
      </c>
      <c r="AB1009" s="93" t="str">
        <f>IF(ISNUMBER($B974), IF($C1009&lt;&gt;"", IF('Cost Inputs'!$L$204="Y", $E1009, IF('Cost Inputs'!$L$204="N", IF(ISNUMBER('Cost Inputs'!$M$204), $E1009, ""),"")),""),"")</f>
        <v/>
      </c>
      <c r="AC1009" s="93" t="str">
        <f>IF(ISNUMBER($B974), IF($C1009&lt;&gt;"", IF('Cost Inputs'!$L$204="Y", $E1009, IF('Cost Inputs'!$L$204="N", IF(ISNUMBER('Cost Inputs'!$M$204), $E1009, ""),"")),""),"")</f>
        <v/>
      </c>
      <c r="AD1009" s="93" t="str">
        <f>IF(ISNUMBER($B974), IF($C1009&lt;&gt;"", IF('Cost Inputs'!$L$204="Y", $E1009, IF('Cost Inputs'!$L$204="N", IF(ISNUMBER('Cost Inputs'!$M$204), $E1009, ""),"")),""),"")</f>
        <v/>
      </c>
      <c r="AE1009" s="93" t="str">
        <f>IF(ISNUMBER($B974), IF($C1009&lt;&gt;"", IF('Cost Inputs'!$L$204="Y", $E1009, IF('Cost Inputs'!$L$204="N", IF(ISNUMBER('Cost Inputs'!$M$204), $E1009, ""),"")),""),"")</f>
        <v/>
      </c>
      <c r="AF1009" s="93" t="str">
        <f>IF(ISNUMBER($B974), IF($C1009&lt;&gt;"", IF('Cost Inputs'!$L$204="Y", $E1009, IF('Cost Inputs'!$L$204="N", IF(ISNUMBER('Cost Inputs'!$M$204), $E1009, ""),"")),""),"")</f>
        <v/>
      </c>
      <c r="AG1009" s="93" t="str">
        <f>IF(ISNUMBER($B974), IF($C1009&lt;&gt;"", IF('Cost Inputs'!$L$204="Y", $E1009, IF('Cost Inputs'!$L$204="N", IF(ISNUMBER('Cost Inputs'!$M$204), $E1009, ""),"")),""),"")</f>
        <v/>
      </c>
    </row>
    <row r="1010" spans="1:44" x14ac:dyDescent="0.25">
      <c r="A1010" s="518"/>
      <c r="B1010" s="504"/>
      <c r="C1010" s="104" t="str">
        <f>IF(AND(ISNUMBER(B974), C1003&lt;&gt;"", OR('Cost Inputs'!$H$205&lt;&gt;"", 'Cost Inputs'!$I$205&lt;&gt;"", 'Cost Inputs'!$J$205&lt;&gt;"")), _6_5_5, "")</f>
        <v/>
      </c>
      <c r="D1010" s="17" t="str">
        <f>IF(AND(C1010&lt;&gt;"", 'Cost Inputs'!$G$205&lt;&gt;""), 'Cost Inputs'!$G$205, "")</f>
        <v/>
      </c>
      <c r="E1010" s="17" t="str">
        <f>IF(AND(C1010&lt;&gt;"", 'Cost Inputs'!$H$205&lt;&gt;""), 'Cost Inputs'!$H$205, "")</f>
        <v/>
      </c>
      <c r="F1010" s="17" t="str">
        <f>IF(AND(C1010&lt;&gt;"", 'Cost Inputs'!$I$205&lt;&gt;""), 'Cost Inputs'!$I$205, "")</f>
        <v/>
      </c>
      <c r="G1010" s="105" t="str">
        <f t="shared" si="503"/>
        <v/>
      </c>
      <c r="H1010" s="17" t="str">
        <f>IF(AND(C1010&lt;&gt;"", 'Cost Inputs'!$J$205&lt;&gt;""), 'Cost Inputs'!$J$205, "")</f>
        <v/>
      </c>
      <c r="I1010" s="17" t="str">
        <f>IF($C1010&lt;&gt;"", IF(AND($E1010&lt;&gt;"", H1010&lt;&gt;""), H1010/$E1010, 0),"")</f>
        <v/>
      </c>
      <c r="J1010" s="17" t="str">
        <f>IF(AND(C1010&lt;&gt;"",('Cost Inputs'!$I$205+'Cost Inputs'!$J$205+'Cost Inputs'!$K$205)&gt;0), 'Cost Inputs'!$I$205+'Cost Inputs'!$J$205+'Cost Inputs'!$K$205, "")</f>
        <v/>
      </c>
      <c r="K1010" s="17" t="str">
        <f>IF($C1010&lt;&gt;"", IF(AND($E1010&lt;&gt;"", J1010&lt;&gt;""), J1010/$E1010, 0),"")</f>
        <v/>
      </c>
      <c r="M1010" s="106"/>
      <c r="X1010" s="17" t="str">
        <f>IF(ISNUMBER($B974), IF($C1010&lt;&gt;"", IF('Cost Inputs'!$L$205="Y", $E1010, IF('Cost Inputs'!$L$205="N", IF(ISNUMBER('Cost Inputs'!$M$205), $E1010, ""),"")),""),"")</f>
        <v/>
      </c>
      <c r="Y1010" s="17" t="str">
        <f>IF(ISNUMBER($B974), IF($C1010&lt;&gt;"", IF('Cost Inputs'!$L$205="Y", $E1010, IF('Cost Inputs'!$L$205="N", IF(ISNUMBER('Cost Inputs'!$M$205), $E1010, ""),"")),""),"")</f>
        <v/>
      </c>
      <c r="Z1010" s="17" t="str">
        <f>IF(ISNUMBER($B974), IF($C1010&lt;&gt;"", IF('Cost Inputs'!$L$205="Y", $E1010, IF('Cost Inputs'!$L$205="N", IF(ISNUMBER('Cost Inputs'!$M$205), $E1010, ""),"")),""),"")</f>
        <v/>
      </c>
      <c r="AA1010" s="17" t="str">
        <f>IF(ISNUMBER($B974), IF($C1010&lt;&gt;"", IF('Cost Inputs'!$L$205="Y", $E1010, IF('Cost Inputs'!$L$205="N", IF(ISNUMBER('Cost Inputs'!$M$205), $E1010, ""),"")),""),"")</f>
        <v/>
      </c>
      <c r="AB1010" s="17" t="str">
        <f>IF(ISNUMBER($B974), IF($C1010&lt;&gt;"", IF('Cost Inputs'!$L$205="Y", $E1010, IF('Cost Inputs'!$L$205="N", IF(ISNUMBER('Cost Inputs'!$M$205), $E1010, ""),"")),""),"")</f>
        <v/>
      </c>
      <c r="AC1010" s="17" t="str">
        <f>IF(ISNUMBER($B974), IF($C1010&lt;&gt;"", IF('Cost Inputs'!$L$205="Y", $E1010, IF('Cost Inputs'!$L$205="N", IF(ISNUMBER('Cost Inputs'!$M$205), $E1010, ""),"")),""),"")</f>
        <v/>
      </c>
      <c r="AD1010" s="17" t="str">
        <f>IF(ISNUMBER($B974), IF($C1010&lt;&gt;"", IF('Cost Inputs'!$L$205="Y", $E1010, IF('Cost Inputs'!$L$205="N", IF(ISNUMBER('Cost Inputs'!$M$205), $E1010, ""),"")),""),"")</f>
        <v/>
      </c>
      <c r="AE1010" s="17" t="str">
        <f>IF(ISNUMBER($B974), IF($C1010&lt;&gt;"", IF('Cost Inputs'!$L$205="Y", $E1010, IF('Cost Inputs'!$L$205="N", IF(ISNUMBER('Cost Inputs'!$M$205), $E1010, ""),"")),""),"")</f>
        <v/>
      </c>
      <c r="AF1010" s="17" t="str">
        <f>IF(ISNUMBER($B974), IF($C1010&lt;&gt;"", IF('Cost Inputs'!$L$205="Y", $E1010, IF('Cost Inputs'!$L$205="N", IF(ISNUMBER('Cost Inputs'!$M$205), $E1010, ""),"")),""),"")</f>
        <v/>
      </c>
      <c r="AG1010" s="17" t="str">
        <f>IF(ISNUMBER($B974), IF($C1010&lt;&gt;"", IF('Cost Inputs'!$L$205="Y", $E1010, IF('Cost Inputs'!$L$205="N", IF(ISNUMBER('Cost Inputs'!$M$205), $E1010, ""),"")),""),"")</f>
        <v/>
      </c>
    </row>
    <row r="1011" spans="1:44" x14ac:dyDescent="0.25">
      <c r="A1011" s="518"/>
      <c r="B1011" s="504"/>
      <c r="C1011" s="110" t="str">
        <f>IF(ISNUMBER(B974), _6_6_0, "")</f>
        <v/>
      </c>
      <c r="D1011" s="94" t="str">
        <f>IF(AND(C1011&lt;&gt;"", 'Cost Inputs'!$G$206&lt;&gt;""), 'Cost Inputs'!$G$206, "")</f>
        <v/>
      </c>
      <c r="E1011" s="94" t="str">
        <f>IF(AND(C1011&lt;&gt;"", 'Cost Inputs'!$H$206&lt;&gt;""), 'Cost Inputs'!$H$206, "")</f>
        <v/>
      </c>
      <c r="F1011" s="94" t="str">
        <f>IF(AND(C1011&lt;&gt;"", 'Cost Inputs'!$I$206&lt;&gt;""), 'Cost Inputs'!$I$206, "")</f>
        <v/>
      </c>
      <c r="G1011" s="102" t="str">
        <f t="shared" si="503"/>
        <v/>
      </c>
      <c r="H1011" s="94" t="str">
        <f>IF(AND(C1011&lt;&gt;"", 'Cost Inputs'!$J$206&lt;&gt;""), 'Cost Inputs'!$J$206, "")</f>
        <v/>
      </c>
      <c r="I1011" s="102" t="str">
        <f>IF($C1011&lt;&gt;"",IF(AND($E1011&lt;&gt;"",H1011&lt;&gt;""), H1011/$E1011, 0),"")</f>
        <v/>
      </c>
      <c r="J1011" s="94" t="str">
        <f>IF(AND(C1011&lt;&gt;"",('Cost Inputs'!$I$206+'Cost Inputs'!$J$206+'Cost Inputs'!$K$206)&gt;0), 'Cost Inputs'!$I$206+'Cost Inputs'!$J$206+'Cost Inputs'!$K$206, "")</f>
        <v/>
      </c>
      <c r="K1011" s="102" t="str">
        <f>IF($C1011&lt;&gt;"",IF(AND($E1011&lt;&gt;"",J1011&lt;&gt;""), J1011/$E1011, 0),"")</f>
        <v/>
      </c>
      <c r="L1011" s="94"/>
      <c r="M1011" s="103"/>
      <c r="X1011" s="94" t="str">
        <f>IF(ISNUMBER($B974), IF($C1011&lt;&gt;"", IF('Cost Inputs'!$L$206="Y", $E1011, IF('Cost Inputs'!$L$206="N", IF(ISNUMBER('Cost Inputs'!$M$206), $E1011, ""),"")),""),"")</f>
        <v/>
      </c>
      <c r="Y1011" s="94" t="str">
        <f>IF(ISNUMBER($B974), IF($C1011&lt;&gt;"", IF('Cost Inputs'!$L$206="Y", $E1011, IF('Cost Inputs'!$L$206="N", IF(ISNUMBER('Cost Inputs'!$M$206), $E1011, ""),"")),""),"")</f>
        <v/>
      </c>
      <c r="Z1011" s="94" t="str">
        <f>IF(ISNUMBER($B974), IF($C1011&lt;&gt;"", IF('Cost Inputs'!$L$206="Y", $E1011, IF('Cost Inputs'!$L$206="N", IF(ISNUMBER('Cost Inputs'!$M$206), $E1011, ""),"")),""),"")</f>
        <v/>
      </c>
      <c r="AA1011" s="94" t="str">
        <f>IF(ISNUMBER($B974), IF($C1011&lt;&gt;"", IF('Cost Inputs'!$L$206="Y", $E1011, IF('Cost Inputs'!$L$206="N", IF(ISNUMBER('Cost Inputs'!$M$206), $E1011, ""),"")),""),"")</f>
        <v/>
      </c>
      <c r="AB1011" s="94" t="str">
        <f>IF(ISNUMBER($B974), IF($C1011&lt;&gt;"", IF('Cost Inputs'!$L$206="Y", $E1011, IF('Cost Inputs'!$L$206="N", IF(ISNUMBER('Cost Inputs'!$M$206), $E1011, ""),"")),""),"")</f>
        <v/>
      </c>
      <c r="AC1011" s="94" t="str">
        <f>IF(ISNUMBER($B974), IF($C1011&lt;&gt;"", IF('Cost Inputs'!$L$206="Y", $E1011, IF('Cost Inputs'!$L$206="N", IF(ISNUMBER('Cost Inputs'!$M$206), $E1011, ""),"")),""),"")</f>
        <v/>
      </c>
      <c r="AD1011" s="94" t="str">
        <f>IF(ISNUMBER($B974), IF($C1011&lt;&gt;"", IF('Cost Inputs'!$L$206="Y", $E1011, IF('Cost Inputs'!$L$206="N", IF(ISNUMBER('Cost Inputs'!$M$206), $E1011, ""),"")),""),"")</f>
        <v/>
      </c>
      <c r="AE1011" s="94" t="str">
        <f>IF(ISNUMBER($B974), IF($C1011&lt;&gt;"", IF('Cost Inputs'!$L$206="Y", $E1011, IF('Cost Inputs'!$L$206="N", IF(ISNUMBER('Cost Inputs'!$M$206), $E1011, ""),"")),""),"")</f>
        <v/>
      </c>
      <c r="AF1011" s="94" t="str">
        <f>IF(ISNUMBER($B974), IF($C1011&lt;&gt;"", IF('Cost Inputs'!$L$206="Y", $E1011, IF('Cost Inputs'!$L$206="N", IF(ISNUMBER('Cost Inputs'!$M$206), $E1011, ""),"")),""),"")</f>
        <v/>
      </c>
      <c r="AG1011" s="94" t="str">
        <f>IF(ISNUMBER($B974), IF($C1011&lt;&gt;"", IF('Cost Inputs'!$L$206="Y", $E1011, IF('Cost Inputs'!$L$206="N", IF(ISNUMBER('Cost Inputs'!$M$206), $E1011, ""),"")),""),"")</f>
        <v/>
      </c>
    </row>
    <row r="1012" spans="1:44" x14ac:dyDescent="0.25">
      <c r="A1012" s="518"/>
      <c r="B1012" s="504"/>
      <c r="C1012" s="104" t="str">
        <f>IF(AND(ISNUMBER(B974), OR('Cost Inputs'!$H$207&lt;&gt;"", 'Cost Inputs'!$I$207&lt;&gt;"", 'Cost Inputs'!$J$207&lt;&gt;"")), _6_6_1, "")</f>
        <v/>
      </c>
      <c r="D1012" s="17" t="str">
        <f>IF(AND(C1012&lt;&gt;"", 'Cost Inputs'!$G$207&lt;&gt;""), 'Cost Inputs'!$G$207, "")</f>
        <v/>
      </c>
      <c r="E1012" s="17" t="str">
        <f>IF(AND(C1012&lt;&gt;"", 'Cost Inputs'!$H$207&lt;&gt;""), 'Cost Inputs'!$H$207, "")</f>
        <v/>
      </c>
      <c r="F1012" s="17" t="str">
        <f>IF(AND(C1012&lt;&gt;"", 'Cost Inputs'!$I$207&lt;&gt;""), 'Cost Inputs'!$I$207, "")</f>
        <v/>
      </c>
      <c r="G1012" s="105" t="str">
        <f t="shared" si="503"/>
        <v/>
      </c>
      <c r="H1012" s="17" t="str">
        <f>IF(AND(C1012&lt;&gt;"", 'Cost Inputs'!$J$207&lt;&gt;""), 'Cost Inputs'!$J$207, "")</f>
        <v/>
      </c>
      <c r="I1012" s="17" t="str">
        <f>IF($C1012&lt;&gt;"", IF(AND($E1012&lt;&gt;"", H1012&lt;&gt;""), H1012/$E1012, 0),"")</f>
        <v/>
      </c>
      <c r="J1012" s="17" t="str">
        <f>IF(AND(C1012&lt;&gt;"",('Cost Inputs'!$I$207+'Cost Inputs'!$J$207+'Cost Inputs'!$K$207)&gt;0), 'Cost Inputs'!$I$207+'Cost Inputs'!$J$207+'Cost Inputs'!$K$207, "")</f>
        <v/>
      </c>
      <c r="K1012" s="17" t="str">
        <f>IF($C1012&lt;&gt;"", IF(AND($E1012&lt;&gt;"", J1012&lt;&gt;""), J1012/$E1012, 0),"")</f>
        <v/>
      </c>
      <c r="M1012" s="106"/>
      <c r="X1012" s="17" t="str">
        <f>IF(ISNUMBER($B974), IF($C1012&lt;&gt;"", IF('Cost Inputs'!$L$207="Y", $E1012, IF('Cost Inputs'!$L$207="N", IF(ISNUMBER('Cost Inputs'!$M$207), $E1012, ""),"")),""),"")</f>
        <v/>
      </c>
      <c r="Y1012" s="17" t="str">
        <f>IF(ISNUMBER($B974), IF($C1012&lt;&gt;"", IF('Cost Inputs'!$L$207="Y", $E1012, IF('Cost Inputs'!$L$207="N", IF(ISNUMBER('Cost Inputs'!$M$207), $E1012, ""),"")),""),"")</f>
        <v/>
      </c>
      <c r="Z1012" s="17" t="str">
        <f>IF(ISNUMBER($B974), IF($C1012&lt;&gt;"", IF('Cost Inputs'!$L$207="Y", $E1012, IF('Cost Inputs'!$L$207="N", IF(ISNUMBER('Cost Inputs'!$M$207), $E1012, ""),"")),""),"")</f>
        <v/>
      </c>
      <c r="AA1012" s="17" t="str">
        <f>IF(ISNUMBER($B974), IF($C1012&lt;&gt;"", IF('Cost Inputs'!$L$207="Y", $E1012, IF('Cost Inputs'!$L$207="N", IF(ISNUMBER('Cost Inputs'!$M$207), $E1012, ""),"")),""),"")</f>
        <v/>
      </c>
      <c r="AB1012" s="17" t="str">
        <f>IF(ISNUMBER($B974), IF($C1012&lt;&gt;"", IF('Cost Inputs'!$L$207="Y", $E1012, IF('Cost Inputs'!$L$207="N", IF(ISNUMBER('Cost Inputs'!$M$207), $E1012, ""),"")),""),"")</f>
        <v/>
      </c>
      <c r="AC1012" s="17" t="str">
        <f>IF(ISNUMBER($B974), IF($C1012&lt;&gt;"", IF('Cost Inputs'!$L$207="Y", $E1012, IF('Cost Inputs'!$L$207="N", IF(ISNUMBER('Cost Inputs'!$M$207), $E1012, ""),"")),""),"")</f>
        <v/>
      </c>
      <c r="AD1012" s="17" t="str">
        <f>IF(ISNUMBER($B974), IF($C1012&lt;&gt;"", IF('Cost Inputs'!$L$207="Y", $E1012, IF('Cost Inputs'!$L$207="N", IF(ISNUMBER('Cost Inputs'!$M$207), $E1012, ""),"")),""),"")</f>
        <v/>
      </c>
      <c r="AE1012" s="17" t="str">
        <f>IF(ISNUMBER($B974), IF($C1012&lt;&gt;"", IF('Cost Inputs'!$L$207="Y", $E1012, IF('Cost Inputs'!$L$207="N", IF(ISNUMBER('Cost Inputs'!$M$207), $E1012, ""),"")),""),"")</f>
        <v/>
      </c>
      <c r="AF1012" s="17" t="str">
        <f>IF(ISNUMBER($B974), IF($C1012&lt;&gt;"", IF('Cost Inputs'!$L$207="Y", $E1012, IF('Cost Inputs'!$L$207="N", IF(ISNUMBER('Cost Inputs'!$M$207), $E1012, ""),"")),""),"")</f>
        <v/>
      </c>
      <c r="AG1012" s="17" t="str">
        <f>IF(ISNUMBER($B974), IF($C1012&lt;&gt;"", IF('Cost Inputs'!$L$207="Y", $E1012, IF('Cost Inputs'!$L$207="N", IF(ISNUMBER('Cost Inputs'!$M$207), $E1012, ""),"")),""),"")</f>
        <v/>
      </c>
    </row>
    <row r="1013" spans="1:44" ht="15.75" thickBot="1" x14ac:dyDescent="0.3">
      <c r="A1013" s="518"/>
      <c r="B1013" s="504"/>
      <c r="C1013" s="107" t="str">
        <f>IF(AND(ISNUMBER(B974), OR('Cost Inputs'!$H$208&lt;&gt;"", 'Cost Inputs'!$I$208&lt;&gt;"", 'Cost Inputs'!$J$208&lt;&gt;"")), _6_6_2, "")</f>
        <v/>
      </c>
      <c r="D1013" s="93" t="str">
        <f>IF(AND(C1013&lt;&gt;"", 'Cost Inputs'!$G$208&lt;&gt;""), 'Cost Inputs'!$G$208, "")</f>
        <v/>
      </c>
      <c r="E1013" s="93" t="str">
        <f>IF(AND(C1013&lt;&gt;"", 'Cost Inputs'!$H$208&lt;&gt;""), 'Cost Inputs'!$H$208, "")</f>
        <v/>
      </c>
      <c r="F1013" s="93" t="str">
        <f>IF(AND(C1013&lt;&gt;"", 'Cost Inputs'!$I$208&lt;&gt;""), 'Cost Inputs'!$I$208, "")</f>
        <v/>
      </c>
      <c r="G1013" s="108" t="str">
        <f t="shared" si="503"/>
        <v/>
      </c>
      <c r="H1013" s="93" t="str">
        <f>IF(AND(C1013&lt;&gt;"", 'Cost Inputs'!$J$208&lt;&gt;""), 'Cost Inputs'!$J$208, "")</f>
        <v/>
      </c>
      <c r="I1013" s="93" t="str">
        <f>IF($C1013&lt;&gt;"", IF(AND($E1013&lt;&gt;"", H1013&lt;&gt;""), H1013/$E1013, 0),"")</f>
        <v/>
      </c>
      <c r="J1013" s="93" t="str">
        <f>IF(AND(C1013&lt;&gt;"",('Cost Inputs'!$I$208+'Cost Inputs'!$J$208+'Cost Inputs'!$K$208)&gt;0), 'Cost Inputs'!$I$208+'Cost Inputs'!$J$208+'Cost Inputs'!$K$208, "")</f>
        <v/>
      </c>
      <c r="K1013" s="93" t="str">
        <f>IF($C1013&lt;&gt;"", IF(AND($E1013&lt;&gt;"", J1013&lt;&gt;""), J1013/$E1013, 0),"")</f>
        <v/>
      </c>
      <c r="L1013" s="93"/>
      <c r="M1013" s="109"/>
      <c r="X1013" s="93" t="str">
        <f>IF(ISNUMBER($B974), IF($C1013&lt;&gt;"", IF('Cost Inputs'!$L$208="Y", $E1013, IF('Cost Inputs'!$L$208="N", IF(ISNUMBER('Cost Inputs'!$M$208), $E1013, ""),"")),""),"")</f>
        <v/>
      </c>
      <c r="Y1013" s="93" t="str">
        <f>IF(ISNUMBER($B974), IF($C1013&lt;&gt;"", IF('Cost Inputs'!$L$208="Y", $E1013, IF('Cost Inputs'!$L$208="N", IF(ISNUMBER('Cost Inputs'!$M$208), $E1013, ""),"")),""),"")</f>
        <v/>
      </c>
      <c r="Z1013" s="93" t="str">
        <f>IF(ISNUMBER($B974), IF($C1013&lt;&gt;"", IF('Cost Inputs'!$L$208="Y", $E1013, IF('Cost Inputs'!$L$208="N", IF(ISNUMBER('Cost Inputs'!$M$208), $E1013, ""),"")),""),"")</f>
        <v/>
      </c>
      <c r="AA1013" s="93" t="str">
        <f>IF(ISNUMBER($B974), IF($C1013&lt;&gt;"", IF('Cost Inputs'!$L$208="Y", $E1013, IF('Cost Inputs'!$L$208="N", IF(ISNUMBER('Cost Inputs'!$M$208), $E1013, ""),"")),""),"")</f>
        <v/>
      </c>
      <c r="AB1013" s="93" t="str">
        <f>IF(ISNUMBER($B974), IF($C1013&lt;&gt;"", IF('Cost Inputs'!$L$208="Y", $E1013, IF('Cost Inputs'!$L$208="N", IF(ISNUMBER('Cost Inputs'!$M$208), $E1013, ""),"")),""),"")</f>
        <v/>
      </c>
      <c r="AC1013" s="93" t="str">
        <f>IF(ISNUMBER($B974), IF($C1013&lt;&gt;"", IF('Cost Inputs'!$L$208="Y", $E1013, IF('Cost Inputs'!$L$208="N", IF(ISNUMBER('Cost Inputs'!$M$208), $E1013, ""),"")),""),"")</f>
        <v/>
      </c>
      <c r="AD1013" s="93" t="str">
        <f>IF(ISNUMBER($B974), IF($C1013&lt;&gt;"", IF('Cost Inputs'!$L$208="Y", $E1013, IF('Cost Inputs'!$L$208="N", IF(ISNUMBER('Cost Inputs'!$M$208), $E1013, ""),"")),""),"")</f>
        <v/>
      </c>
      <c r="AE1013" s="93" t="str">
        <f>IF(ISNUMBER($B974), IF($C1013&lt;&gt;"", IF('Cost Inputs'!$L$208="Y", $E1013, IF('Cost Inputs'!$L$208="N", IF(ISNUMBER('Cost Inputs'!$M$208), $E1013, ""),"")),""),"")</f>
        <v/>
      </c>
      <c r="AF1013" s="93" t="str">
        <f>IF(ISNUMBER($B974), IF($C1013&lt;&gt;"", IF('Cost Inputs'!$L$208="Y", $E1013, IF('Cost Inputs'!$L$208="N", IF(ISNUMBER('Cost Inputs'!$M$208), $E1013, ""),"")),""),"")</f>
        <v/>
      </c>
      <c r="AG1013" s="93" t="str">
        <f>IF(ISNUMBER($B974), IF($C1013&lt;&gt;"", IF('Cost Inputs'!$L$208="Y", $E1013, IF('Cost Inputs'!$L$208="N", IF(ISNUMBER('Cost Inputs'!$M$208), $E1013, ""),"")),""),"")</f>
        <v/>
      </c>
    </row>
    <row r="1014" spans="1:44" ht="15.75" thickBot="1" x14ac:dyDescent="0.3">
      <c r="A1014" s="98"/>
      <c r="B1014" s="99"/>
      <c r="C1014" s="114"/>
      <c r="D1014" s="114"/>
      <c r="E1014" s="114"/>
      <c r="F1014" s="114"/>
      <c r="G1014" s="114"/>
      <c r="H1014" s="114"/>
      <c r="I1014" s="114"/>
      <c r="J1014" s="114"/>
      <c r="K1014" s="114"/>
      <c r="L1014" s="114"/>
      <c r="M1014" s="115"/>
      <c r="N1014" s="99"/>
      <c r="O1014" s="99"/>
      <c r="P1014" s="99"/>
      <c r="Q1014" s="99"/>
      <c r="R1014" s="99"/>
      <c r="S1014" s="99"/>
      <c r="T1014" s="99"/>
      <c r="U1014" s="99"/>
      <c r="V1014" s="99"/>
      <c r="W1014" s="99"/>
      <c r="X1014" s="99"/>
      <c r="Y1014" s="99"/>
      <c r="Z1014" s="99"/>
      <c r="AA1014" s="99"/>
      <c r="AB1014" s="99"/>
      <c r="AC1014" s="99"/>
      <c r="AD1014" s="99"/>
      <c r="AE1014" s="99"/>
      <c r="AF1014" s="99"/>
      <c r="AG1014" s="290"/>
      <c r="AH1014" s="99"/>
      <c r="AI1014" s="99"/>
      <c r="AJ1014" s="99"/>
      <c r="AK1014" s="99"/>
      <c r="AL1014" s="99"/>
      <c r="AM1014" s="99"/>
      <c r="AN1014" s="99"/>
      <c r="AO1014" s="99"/>
      <c r="AP1014" s="99"/>
      <c r="AQ1014" s="99"/>
      <c r="AR1014" s="286"/>
    </row>
  </sheetData>
  <mergeCells count="2577">
    <mergeCell ref="AP393:AP394"/>
    <mergeCell ref="AQ393:AQ394"/>
    <mergeCell ref="AR393:AR394"/>
    <mergeCell ref="AS393:AS394"/>
    <mergeCell ref="AJ393:AJ394"/>
    <mergeCell ref="AK393:AK394"/>
    <mergeCell ref="AL393:AL394"/>
    <mergeCell ref="AM393:AM394"/>
    <mergeCell ref="AN393:AN394"/>
    <mergeCell ref="AO393:AO394"/>
    <mergeCell ref="AQ383:AQ384"/>
    <mergeCell ref="AR383:AR384"/>
    <mergeCell ref="AS383:AS384"/>
    <mergeCell ref="AC393:AC394"/>
    <mergeCell ref="AD393:AD394"/>
    <mergeCell ref="AE393:AE394"/>
    <mergeCell ref="AF393:AF394"/>
    <mergeCell ref="AG393:AG394"/>
    <mergeCell ref="AH393:AH394"/>
    <mergeCell ref="AI393:AI394"/>
    <mergeCell ref="AK383:AK384"/>
    <mergeCell ref="AL383:AL384"/>
    <mergeCell ref="AM383:AM384"/>
    <mergeCell ref="AN383:AN384"/>
    <mergeCell ref="AO383:AO384"/>
    <mergeCell ref="AP383:AP384"/>
    <mergeCell ref="AB383:AB384"/>
    <mergeCell ref="AC383:AC384"/>
    <mergeCell ref="AD383:AD384"/>
    <mergeCell ref="AE383:AE384"/>
    <mergeCell ref="AF383:AF384"/>
    <mergeCell ref="AG383:AG384"/>
    <mergeCell ref="AH383:AH384"/>
    <mergeCell ref="AI383:AI384"/>
    <mergeCell ref="AJ383:AJ384"/>
    <mergeCell ref="AM381:AM382"/>
    <mergeCell ref="AN381:AN382"/>
    <mergeCell ref="AO381:AO382"/>
    <mergeCell ref="AP381:AP382"/>
    <mergeCell ref="AQ381:AQ382"/>
    <mergeCell ref="AR381:AR382"/>
    <mergeCell ref="AG381:AG382"/>
    <mergeCell ref="AH381:AH382"/>
    <mergeCell ref="AI381:AI382"/>
    <mergeCell ref="AJ381:AJ382"/>
    <mergeCell ref="AK381:AK382"/>
    <mergeCell ref="AL381:AL382"/>
    <mergeCell ref="AO369:AO370"/>
    <mergeCell ref="AP369:AP370"/>
    <mergeCell ref="AQ369:AQ370"/>
    <mergeCell ref="AR369:AR370"/>
    <mergeCell ref="AS369:AS370"/>
    <mergeCell ref="AB381:AB382"/>
    <mergeCell ref="AC381:AC382"/>
    <mergeCell ref="AD381:AD382"/>
    <mergeCell ref="AE381:AE382"/>
    <mergeCell ref="AF381:AF382"/>
    <mergeCell ref="AI369:AI370"/>
    <mergeCell ref="AJ369:AJ370"/>
    <mergeCell ref="AK369:AK370"/>
    <mergeCell ref="AL369:AL370"/>
    <mergeCell ref="AM369:AM370"/>
    <mergeCell ref="AN369:AN370"/>
    <mergeCell ref="AC369:AC370"/>
    <mergeCell ref="AD369:AD370"/>
    <mergeCell ref="AE369:AE370"/>
    <mergeCell ref="AF369:AF370"/>
    <mergeCell ref="AG369:AG370"/>
    <mergeCell ref="AH369:AH370"/>
    <mergeCell ref="AS381:AS382"/>
    <mergeCell ref="AN359:AN360"/>
    <mergeCell ref="AO359:AO360"/>
    <mergeCell ref="AP359:AP360"/>
    <mergeCell ref="AQ359:AQ360"/>
    <mergeCell ref="AR359:AR360"/>
    <mergeCell ref="AS359:AS360"/>
    <mergeCell ref="AH359:AH360"/>
    <mergeCell ref="AI359:AI360"/>
    <mergeCell ref="AJ359:AJ360"/>
    <mergeCell ref="AK359:AK360"/>
    <mergeCell ref="AL359:AL360"/>
    <mergeCell ref="AM359:AM360"/>
    <mergeCell ref="AP357:AP358"/>
    <mergeCell ref="AQ357:AQ358"/>
    <mergeCell ref="AR357:AR358"/>
    <mergeCell ref="AA359:AA360"/>
    <mergeCell ref="AB359:AB360"/>
    <mergeCell ref="AC359:AC360"/>
    <mergeCell ref="AD359:AD360"/>
    <mergeCell ref="AE359:AE360"/>
    <mergeCell ref="AF359:AF360"/>
    <mergeCell ref="AG359:AG360"/>
    <mergeCell ref="AJ357:AJ358"/>
    <mergeCell ref="AK357:AK358"/>
    <mergeCell ref="AL357:AL358"/>
    <mergeCell ref="AM357:AM358"/>
    <mergeCell ref="AN357:AN358"/>
    <mergeCell ref="AO357:AO358"/>
    <mergeCell ref="AD357:AD358"/>
    <mergeCell ref="AE357:AE358"/>
    <mergeCell ref="AF357:AF358"/>
    <mergeCell ref="AG357:AG358"/>
    <mergeCell ref="AO345:AO346"/>
    <mergeCell ref="AP345:AP346"/>
    <mergeCell ref="AQ345:AQ346"/>
    <mergeCell ref="AR345:AR346"/>
    <mergeCell ref="AS345:AS346"/>
    <mergeCell ref="AI345:AI346"/>
    <mergeCell ref="AJ345:AJ346"/>
    <mergeCell ref="AK345:AK346"/>
    <mergeCell ref="AL345:AL346"/>
    <mergeCell ref="AM345:AM346"/>
    <mergeCell ref="AN345:AN346"/>
    <mergeCell ref="AQ335:AQ336"/>
    <mergeCell ref="AR335:AR336"/>
    <mergeCell ref="AA345:AA346"/>
    <mergeCell ref="AB345:AB346"/>
    <mergeCell ref="AC345:AC346"/>
    <mergeCell ref="AD345:AD346"/>
    <mergeCell ref="AE345:AE346"/>
    <mergeCell ref="AF345:AF346"/>
    <mergeCell ref="AG345:AG346"/>
    <mergeCell ref="AH345:AH346"/>
    <mergeCell ref="AK335:AK336"/>
    <mergeCell ref="AL335:AL336"/>
    <mergeCell ref="AM335:AM336"/>
    <mergeCell ref="AN335:AN336"/>
    <mergeCell ref="AO335:AO336"/>
    <mergeCell ref="AP335:AP336"/>
    <mergeCell ref="AE335:AE336"/>
    <mergeCell ref="AF335:AF336"/>
    <mergeCell ref="AG335:AG336"/>
    <mergeCell ref="AR321:AR322"/>
    <mergeCell ref="Z333:Z334"/>
    <mergeCell ref="AA333:AA334"/>
    <mergeCell ref="AB333:AB334"/>
    <mergeCell ref="AC333:AC334"/>
    <mergeCell ref="AD333:AD334"/>
    <mergeCell ref="AE333:AE334"/>
    <mergeCell ref="AF333:AF334"/>
    <mergeCell ref="AG333:AG334"/>
    <mergeCell ref="AK321:AK322"/>
    <mergeCell ref="AL321:AL322"/>
    <mergeCell ref="AM321:AM322"/>
    <mergeCell ref="AN321:AN322"/>
    <mergeCell ref="AO321:AO322"/>
    <mergeCell ref="AP321:AP322"/>
    <mergeCell ref="AE321:AE322"/>
    <mergeCell ref="AF321:AF322"/>
    <mergeCell ref="AG321:AG322"/>
    <mergeCell ref="AH321:AH322"/>
    <mergeCell ref="AI321:AI322"/>
    <mergeCell ref="AJ321:AJ322"/>
    <mergeCell ref="AN333:AN334"/>
    <mergeCell ref="AO333:AO334"/>
    <mergeCell ref="AP333:AP334"/>
    <mergeCell ref="AQ333:AQ334"/>
    <mergeCell ref="AR333:AR334"/>
    <mergeCell ref="AH333:AH334"/>
    <mergeCell ref="AI333:AI334"/>
    <mergeCell ref="AJ333:AJ334"/>
    <mergeCell ref="AK333:AK334"/>
    <mergeCell ref="AL333:AL334"/>
    <mergeCell ref="AM333:AM334"/>
    <mergeCell ref="M441:M463"/>
    <mergeCell ref="L465:L487"/>
    <mergeCell ref="M465:M487"/>
    <mergeCell ref="L489:L511"/>
    <mergeCell ref="M489:M511"/>
    <mergeCell ref="AQ311:AQ312"/>
    <mergeCell ref="AC525:AC526"/>
    <mergeCell ref="AD525:AD526"/>
    <mergeCell ref="AE525:AE526"/>
    <mergeCell ref="AF525:AF526"/>
    <mergeCell ref="AG525:AG526"/>
    <mergeCell ref="AG513:AG514"/>
    <mergeCell ref="AD501:AD502"/>
    <mergeCell ref="AE501:AE502"/>
    <mergeCell ref="AF501:AF502"/>
    <mergeCell ref="AE477:AE478"/>
    <mergeCell ref="Y477:Y478"/>
    <mergeCell ref="Z477:Z478"/>
    <mergeCell ref="AA477:AA478"/>
    <mergeCell ref="AB477:AB478"/>
    <mergeCell ref="AC477:AC478"/>
    <mergeCell ref="AQ321:AQ322"/>
    <mergeCell ref="AH335:AH336"/>
    <mergeCell ref="AI335:AI336"/>
    <mergeCell ref="AJ335:AJ336"/>
    <mergeCell ref="Z335:Z336"/>
    <mergeCell ref="AA335:AA336"/>
    <mergeCell ref="AB335:AB336"/>
    <mergeCell ref="AC335:AC336"/>
    <mergeCell ref="AD335:AD336"/>
    <mergeCell ref="AH357:AH358"/>
    <mergeCell ref="AI357:AI358"/>
    <mergeCell ref="AD321:AD322"/>
    <mergeCell ref="AK311:AK312"/>
    <mergeCell ref="AL311:AL312"/>
    <mergeCell ref="AM311:AM312"/>
    <mergeCell ref="AN311:AN312"/>
    <mergeCell ref="AO311:AO312"/>
    <mergeCell ref="AP311:AP312"/>
    <mergeCell ref="AE311:AE312"/>
    <mergeCell ref="AF311:AF312"/>
    <mergeCell ref="AG311:AG312"/>
    <mergeCell ref="AH311:AH312"/>
    <mergeCell ref="AI311:AI312"/>
    <mergeCell ref="AJ311:AJ312"/>
    <mergeCell ref="AA429:AA430"/>
    <mergeCell ref="AB429:AB430"/>
    <mergeCell ref="AC429:AC430"/>
    <mergeCell ref="X407:X408"/>
    <mergeCell ref="Y407:Y408"/>
    <mergeCell ref="Z407:Z408"/>
    <mergeCell ref="AA407:AA408"/>
    <mergeCell ref="AB407:AB408"/>
    <mergeCell ref="Z393:Z394"/>
    <mergeCell ref="AA393:AA394"/>
    <mergeCell ref="AB393:AB394"/>
    <mergeCell ref="Z321:Z322"/>
    <mergeCell ref="AA321:AA322"/>
    <mergeCell ref="AB321:AB322"/>
    <mergeCell ref="AC321:AC322"/>
    <mergeCell ref="AA357:AA358"/>
    <mergeCell ref="AB357:AB358"/>
    <mergeCell ref="AC357:AC358"/>
    <mergeCell ref="AB369:AB370"/>
    <mergeCell ref="AP309:AP310"/>
    <mergeCell ref="AQ309:AQ310"/>
    <mergeCell ref="AR309:AR310"/>
    <mergeCell ref="AS309:AS310"/>
    <mergeCell ref="Y311:Y312"/>
    <mergeCell ref="Z311:Z312"/>
    <mergeCell ref="AA311:AA312"/>
    <mergeCell ref="AB311:AB312"/>
    <mergeCell ref="AC311:AC312"/>
    <mergeCell ref="AD311:AD312"/>
    <mergeCell ref="AJ309:AJ310"/>
    <mergeCell ref="AK309:AK310"/>
    <mergeCell ref="AL309:AL310"/>
    <mergeCell ref="AM309:AM310"/>
    <mergeCell ref="AN309:AN310"/>
    <mergeCell ref="AO309:AO310"/>
    <mergeCell ref="AD309:AD310"/>
    <mergeCell ref="AE309:AE310"/>
    <mergeCell ref="AF309:AF310"/>
    <mergeCell ref="AG309:AG310"/>
    <mergeCell ref="AH309:AH310"/>
    <mergeCell ref="AI309:AI310"/>
    <mergeCell ref="AR311:AR312"/>
    <mergeCell ref="AN297:AN298"/>
    <mergeCell ref="AO297:AO298"/>
    <mergeCell ref="AP297:AP298"/>
    <mergeCell ref="AQ297:AQ298"/>
    <mergeCell ref="AR297:AR298"/>
    <mergeCell ref="Y309:Y310"/>
    <mergeCell ref="Z309:Z310"/>
    <mergeCell ref="AA309:AA310"/>
    <mergeCell ref="AB309:AB310"/>
    <mergeCell ref="AC309:AC310"/>
    <mergeCell ref="AH297:AH298"/>
    <mergeCell ref="AI297:AI298"/>
    <mergeCell ref="AJ297:AJ298"/>
    <mergeCell ref="AK297:AK298"/>
    <mergeCell ref="AL297:AL298"/>
    <mergeCell ref="AM297:AM298"/>
    <mergeCell ref="AR293:AR294"/>
    <mergeCell ref="Y297:Y298"/>
    <mergeCell ref="Z297:Z298"/>
    <mergeCell ref="AA297:AA298"/>
    <mergeCell ref="AB297:AB298"/>
    <mergeCell ref="AC297:AC298"/>
    <mergeCell ref="AD297:AD298"/>
    <mergeCell ref="AE297:AE298"/>
    <mergeCell ref="AF297:AF298"/>
    <mergeCell ref="AG297:AG298"/>
    <mergeCell ref="AL293:AL294"/>
    <mergeCell ref="AM293:AM294"/>
    <mergeCell ref="AN293:AN294"/>
    <mergeCell ref="AO293:AO294"/>
    <mergeCell ref="AP293:AP294"/>
    <mergeCell ref="AQ293:AQ294"/>
    <mergeCell ref="AF293:AF294"/>
    <mergeCell ref="AG293:AG294"/>
    <mergeCell ref="AH293:AH294"/>
    <mergeCell ref="AI293:AI294"/>
    <mergeCell ref="AJ293:AJ294"/>
    <mergeCell ref="AK293:AK294"/>
    <mergeCell ref="AQ291:AQ292"/>
    <mergeCell ref="AR291:AR292"/>
    <mergeCell ref="AS291:AS292"/>
    <mergeCell ref="Y293:Y294"/>
    <mergeCell ref="Z293:Z294"/>
    <mergeCell ref="AA293:AA294"/>
    <mergeCell ref="AB293:AB294"/>
    <mergeCell ref="AC293:AC294"/>
    <mergeCell ref="AD293:AD294"/>
    <mergeCell ref="AE293:AE294"/>
    <mergeCell ref="AK291:AK292"/>
    <mergeCell ref="AL291:AL292"/>
    <mergeCell ref="AM291:AM292"/>
    <mergeCell ref="AN291:AN292"/>
    <mergeCell ref="AO291:AO292"/>
    <mergeCell ref="AP291:AP292"/>
    <mergeCell ref="AE291:AE292"/>
    <mergeCell ref="AF291:AF292"/>
    <mergeCell ref="AG291:AG292"/>
    <mergeCell ref="AH291:AH292"/>
    <mergeCell ref="AI291:AI292"/>
    <mergeCell ref="AJ291:AJ292"/>
    <mergeCell ref="Y291:Y292"/>
    <mergeCell ref="Z291:Z292"/>
    <mergeCell ref="AA291:AA292"/>
    <mergeCell ref="AB291:AB292"/>
    <mergeCell ref="AC291:AC292"/>
    <mergeCell ref="AD291:AD292"/>
    <mergeCell ref="AN289:AN290"/>
    <mergeCell ref="AO289:AO290"/>
    <mergeCell ref="AP289:AP290"/>
    <mergeCell ref="AQ289:AQ290"/>
    <mergeCell ref="AR289:AR290"/>
    <mergeCell ref="AS289:AS290"/>
    <mergeCell ref="AH289:AH290"/>
    <mergeCell ref="AI289:AI290"/>
    <mergeCell ref="AJ289:AJ290"/>
    <mergeCell ref="AK289:AK290"/>
    <mergeCell ref="AL289:AL290"/>
    <mergeCell ref="AM289:AM290"/>
    <mergeCell ref="AR286:AR287"/>
    <mergeCell ref="Y289:Y290"/>
    <mergeCell ref="Z289:Z290"/>
    <mergeCell ref="AA289:AA290"/>
    <mergeCell ref="AB289:AB290"/>
    <mergeCell ref="AC289:AC290"/>
    <mergeCell ref="AD289:AD290"/>
    <mergeCell ref="AE289:AE290"/>
    <mergeCell ref="AF289:AF290"/>
    <mergeCell ref="AG289:AG290"/>
    <mergeCell ref="AL286:AL287"/>
    <mergeCell ref="AM286:AM287"/>
    <mergeCell ref="AN286:AN287"/>
    <mergeCell ref="AO286:AO287"/>
    <mergeCell ref="AP286:AP287"/>
    <mergeCell ref="AQ286:AQ287"/>
    <mergeCell ref="AF286:AF287"/>
    <mergeCell ref="AG286:AG287"/>
    <mergeCell ref="AH286:AH287"/>
    <mergeCell ref="AI286:AI287"/>
    <mergeCell ref="AJ286:AJ287"/>
    <mergeCell ref="AK286:AK287"/>
    <mergeCell ref="Z286:Z287"/>
    <mergeCell ref="AA286:AA287"/>
    <mergeCell ref="AB286:AB287"/>
    <mergeCell ref="AC286:AC287"/>
    <mergeCell ref="AD286:AD287"/>
    <mergeCell ref="AE286:AE287"/>
    <mergeCell ref="AM284:AM285"/>
    <mergeCell ref="AN284:AN285"/>
    <mergeCell ref="AO284:AO285"/>
    <mergeCell ref="AP284:AP285"/>
    <mergeCell ref="AQ284:AQ285"/>
    <mergeCell ref="AR284:AR285"/>
    <mergeCell ref="AG284:AG285"/>
    <mergeCell ref="AH284:AH285"/>
    <mergeCell ref="AI284:AI285"/>
    <mergeCell ref="AJ284:AJ285"/>
    <mergeCell ref="AK284:AK285"/>
    <mergeCell ref="AL284:AL285"/>
    <mergeCell ref="AA284:AA285"/>
    <mergeCell ref="AB284:AB285"/>
    <mergeCell ref="AC284:AC285"/>
    <mergeCell ref="AD284:AD285"/>
    <mergeCell ref="AE284:AE285"/>
    <mergeCell ref="AF284:AF285"/>
    <mergeCell ref="AM282:AM283"/>
    <mergeCell ref="AN282:AN283"/>
    <mergeCell ref="AO282:AO283"/>
    <mergeCell ref="AP282:AP283"/>
    <mergeCell ref="AQ282:AQ283"/>
    <mergeCell ref="AR282:AR283"/>
    <mergeCell ref="AG282:AG283"/>
    <mergeCell ref="AH282:AH283"/>
    <mergeCell ref="AI282:AI283"/>
    <mergeCell ref="AJ282:AJ283"/>
    <mergeCell ref="AK282:AK283"/>
    <mergeCell ref="AL282:AL283"/>
    <mergeCell ref="AA282:AA283"/>
    <mergeCell ref="AB282:AB283"/>
    <mergeCell ref="AC282:AC283"/>
    <mergeCell ref="AD282:AD283"/>
    <mergeCell ref="AE282:AE283"/>
    <mergeCell ref="AF282:AF283"/>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C1005:C1006"/>
    <mergeCell ref="F1005:F1006"/>
    <mergeCell ref="H1005:H1006"/>
    <mergeCell ref="J1005:J1006"/>
    <mergeCell ref="Y280:Y281"/>
    <mergeCell ref="Z280:Z281"/>
    <mergeCell ref="Y282:Y283"/>
    <mergeCell ref="Z282:Z283"/>
    <mergeCell ref="Y284:Y285"/>
    <mergeCell ref="Z284:Z285"/>
    <mergeCell ref="A992:A1013"/>
    <mergeCell ref="B992:B1013"/>
    <mergeCell ref="C992:C993"/>
    <mergeCell ref="F992:F993"/>
    <mergeCell ref="H992:H993"/>
    <mergeCell ref="J992:J993"/>
    <mergeCell ref="C1003:C1004"/>
    <mergeCell ref="F1003:F1004"/>
    <mergeCell ref="H1003:H1004"/>
    <mergeCell ref="J1003:J1004"/>
    <mergeCell ref="C981:C982"/>
    <mergeCell ref="F981:F982"/>
    <mergeCell ref="H981:H982"/>
    <mergeCell ref="J981:J982"/>
    <mergeCell ref="C983:C984"/>
    <mergeCell ref="F983:F984"/>
    <mergeCell ref="H983:H984"/>
    <mergeCell ref="J983:J984"/>
    <mergeCell ref="C961:C962"/>
    <mergeCell ref="F961:F962"/>
    <mergeCell ref="H961:H962"/>
    <mergeCell ref="J961:J962"/>
    <mergeCell ref="A970:A991"/>
    <mergeCell ref="B970:B991"/>
    <mergeCell ref="C970:C971"/>
    <mergeCell ref="F970:F971"/>
    <mergeCell ref="H970:H971"/>
    <mergeCell ref="J970:J971"/>
    <mergeCell ref="A948:A969"/>
    <mergeCell ref="B948:B969"/>
    <mergeCell ref="C948:C949"/>
    <mergeCell ref="F948:F949"/>
    <mergeCell ref="H948:H949"/>
    <mergeCell ref="J948:J949"/>
    <mergeCell ref="C959:C960"/>
    <mergeCell ref="F959:F960"/>
    <mergeCell ref="H959:H960"/>
    <mergeCell ref="J959:J960"/>
    <mergeCell ref="C937:C938"/>
    <mergeCell ref="F937:F938"/>
    <mergeCell ref="H937:H938"/>
    <mergeCell ref="J937:J938"/>
    <mergeCell ref="C939:C940"/>
    <mergeCell ref="F939:F940"/>
    <mergeCell ref="H939:H940"/>
    <mergeCell ref="J939:J940"/>
    <mergeCell ref="C917:C918"/>
    <mergeCell ref="F917:F918"/>
    <mergeCell ref="H917:H918"/>
    <mergeCell ref="J917:J918"/>
    <mergeCell ref="A926:A947"/>
    <mergeCell ref="B926:B947"/>
    <mergeCell ref="C926:C927"/>
    <mergeCell ref="F926:F927"/>
    <mergeCell ref="H926:H927"/>
    <mergeCell ref="J926:J927"/>
    <mergeCell ref="A904:A925"/>
    <mergeCell ref="B904:B925"/>
    <mergeCell ref="C904:C905"/>
    <mergeCell ref="F904:F905"/>
    <mergeCell ref="H904:H905"/>
    <mergeCell ref="J904:J905"/>
    <mergeCell ref="C915:C916"/>
    <mergeCell ref="F915:F916"/>
    <mergeCell ref="H915:H916"/>
    <mergeCell ref="J915:J916"/>
    <mergeCell ref="C895:C896"/>
    <mergeCell ref="F895:F896"/>
    <mergeCell ref="H895:H896"/>
    <mergeCell ref="J895:J896"/>
    <mergeCell ref="C873:C874"/>
    <mergeCell ref="F873:F874"/>
    <mergeCell ref="H873:H874"/>
    <mergeCell ref="J873:J874"/>
    <mergeCell ref="A882:A903"/>
    <mergeCell ref="B882:B903"/>
    <mergeCell ref="C882:C883"/>
    <mergeCell ref="F882:F883"/>
    <mergeCell ref="H882:H883"/>
    <mergeCell ref="J882:J883"/>
    <mergeCell ref="A860:A881"/>
    <mergeCell ref="B860:B881"/>
    <mergeCell ref="C860:C861"/>
    <mergeCell ref="F860:F861"/>
    <mergeCell ref="H860:H861"/>
    <mergeCell ref="J860:J861"/>
    <mergeCell ref="C871:C872"/>
    <mergeCell ref="F871:F872"/>
    <mergeCell ref="H871:H872"/>
    <mergeCell ref="J871:J872"/>
    <mergeCell ref="A838:A859"/>
    <mergeCell ref="B838:B859"/>
    <mergeCell ref="C838:C839"/>
    <mergeCell ref="F838:F839"/>
    <mergeCell ref="H838:H839"/>
    <mergeCell ref="J838:J839"/>
    <mergeCell ref="A816:A837"/>
    <mergeCell ref="B816:B837"/>
    <mergeCell ref="C816:C817"/>
    <mergeCell ref="F816:F817"/>
    <mergeCell ref="H816:H817"/>
    <mergeCell ref="J816:J817"/>
    <mergeCell ref="C827:C828"/>
    <mergeCell ref="F827:F828"/>
    <mergeCell ref="H827:H828"/>
    <mergeCell ref="J827:J828"/>
    <mergeCell ref="C893:C894"/>
    <mergeCell ref="F893:F894"/>
    <mergeCell ref="H893:H894"/>
    <mergeCell ref="J893:J894"/>
    <mergeCell ref="H794:H795"/>
    <mergeCell ref="J794:J795"/>
    <mergeCell ref="C786:C787"/>
    <mergeCell ref="F786:F787"/>
    <mergeCell ref="H786:H787"/>
    <mergeCell ref="J786:J787"/>
    <mergeCell ref="C788:C789"/>
    <mergeCell ref="F788:F789"/>
    <mergeCell ref="H788:H789"/>
    <mergeCell ref="J788:J789"/>
    <mergeCell ref="C849:C850"/>
    <mergeCell ref="F849:F850"/>
    <mergeCell ref="H849:H850"/>
    <mergeCell ref="J849:J850"/>
    <mergeCell ref="C851:C852"/>
    <mergeCell ref="F851:F852"/>
    <mergeCell ref="H851:H852"/>
    <mergeCell ref="J851:J852"/>
    <mergeCell ref="C829:C830"/>
    <mergeCell ref="F829:F830"/>
    <mergeCell ref="H829:H830"/>
    <mergeCell ref="J829:J830"/>
    <mergeCell ref="C780:C781"/>
    <mergeCell ref="F780:F781"/>
    <mergeCell ref="H780:H781"/>
    <mergeCell ref="J780:J781"/>
    <mergeCell ref="C782:C783"/>
    <mergeCell ref="F782:F783"/>
    <mergeCell ref="H782:H783"/>
    <mergeCell ref="J782:J783"/>
    <mergeCell ref="A776:A815"/>
    <mergeCell ref="B776:B815"/>
    <mergeCell ref="C776:C777"/>
    <mergeCell ref="F776:F777"/>
    <mergeCell ref="H776:H777"/>
    <mergeCell ref="J776:J777"/>
    <mergeCell ref="C778:C779"/>
    <mergeCell ref="F778:F779"/>
    <mergeCell ref="H778:H779"/>
    <mergeCell ref="J778:J779"/>
    <mergeCell ref="C805:C806"/>
    <mergeCell ref="F805:F806"/>
    <mergeCell ref="H805:H806"/>
    <mergeCell ref="J805:J806"/>
    <mergeCell ref="C807:C808"/>
    <mergeCell ref="F807:F808"/>
    <mergeCell ref="H807:H808"/>
    <mergeCell ref="J807:J808"/>
    <mergeCell ref="C790:C791"/>
    <mergeCell ref="F790:F791"/>
    <mergeCell ref="H790:H791"/>
    <mergeCell ref="J790:J791"/>
    <mergeCell ref="C794:C795"/>
    <mergeCell ref="F794:F795"/>
    <mergeCell ref="C764:C765"/>
    <mergeCell ref="F764:F765"/>
    <mergeCell ref="H764:H765"/>
    <mergeCell ref="J764:J765"/>
    <mergeCell ref="C766:C767"/>
    <mergeCell ref="F766:F767"/>
    <mergeCell ref="H766:H767"/>
    <mergeCell ref="J766:J767"/>
    <mergeCell ref="C744:C745"/>
    <mergeCell ref="F744:F745"/>
    <mergeCell ref="H744:H745"/>
    <mergeCell ref="J744:J745"/>
    <mergeCell ref="A753:A774"/>
    <mergeCell ref="B753:B774"/>
    <mergeCell ref="C753:C754"/>
    <mergeCell ref="F753:F754"/>
    <mergeCell ref="H753:H754"/>
    <mergeCell ref="J753:J754"/>
    <mergeCell ref="A731:A752"/>
    <mergeCell ref="B731:B752"/>
    <mergeCell ref="C731:C732"/>
    <mergeCell ref="F731:F732"/>
    <mergeCell ref="H731:H732"/>
    <mergeCell ref="J731:J732"/>
    <mergeCell ref="C742:C743"/>
    <mergeCell ref="F742:F743"/>
    <mergeCell ref="H742:H743"/>
    <mergeCell ref="J742:J743"/>
    <mergeCell ref="C720:C721"/>
    <mergeCell ref="F720:F721"/>
    <mergeCell ref="H720:H721"/>
    <mergeCell ref="J720:J721"/>
    <mergeCell ref="C722:C723"/>
    <mergeCell ref="F722:F723"/>
    <mergeCell ref="H722:H723"/>
    <mergeCell ref="J722:J723"/>
    <mergeCell ref="C700:C701"/>
    <mergeCell ref="F700:F701"/>
    <mergeCell ref="H700:H701"/>
    <mergeCell ref="J700:J701"/>
    <mergeCell ref="A709:A730"/>
    <mergeCell ref="B709:B730"/>
    <mergeCell ref="C709:C710"/>
    <mergeCell ref="F709:F710"/>
    <mergeCell ref="H709:H710"/>
    <mergeCell ref="J709:J710"/>
    <mergeCell ref="A687:A708"/>
    <mergeCell ref="B687:B708"/>
    <mergeCell ref="C687:C688"/>
    <mergeCell ref="F687:F688"/>
    <mergeCell ref="H687:H688"/>
    <mergeCell ref="J687:J688"/>
    <mergeCell ref="C698:C699"/>
    <mergeCell ref="F698:F699"/>
    <mergeCell ref="H698:H699"/>
    <mergeCell ref="J698:J699"/>
    <mergeCell ref="C676:C677"/>
    <mergeCell ref="F676:F677"/>
    <mergeCell ref="H676:H677"/>
    <mergeCell ref="J676:J677"/>
    <mergeCell ref="C678:C679"/>
    <mergeCell ref="F678:F679"/>
    <mergeCell ref="H678:H679"/>
    <mergeCell ref="J678:J679"/>
    <mergeCell ref="C656:C657"/>
    <mergeCell ref="F656:F657"/>
    <mergeCell ref="H656:H657"/>
    <mergeCell ref="J656:J657"/>
    <mergeCell ref="A665:A686"/>
    <mergeCell ref="B665:B686"/>
    <mergeCell ref="C665:C666"/>
    <mergeCell ref="F665:F666"/>
    <mergeCell ref="H665:H666"/>
    <mergeCell ref="J665:J666"/>
    <mergeCell ref="A643:A664"/>
    <mergeCell ref="B643:B664"/>
    <mergeCell ref="C643:C644"/>
    <mergeCell ref="F643:F644"/>
    <mergeCell ref="H643:H644"/>
    <mergeCell ref="J643:J644"/>
    <mergeCell ref="C654:C655"/>
    <mergeCell ref="F654:F655"/>
    <mergeCell ref="H654:H655"/>
    <mergeCell ref="J654:J655"/>
    <mergeCell ref="C632:C633"/>
    <mergeCell ref="F632:F633"/>
    <mergeCell ref="H632:H633"/>
    <mergeCell ref="J632:J633"/>
    <mergeCell ref="C634:C635"/>
    <mergeCell ref="F634:F635"/>
    <mergeCell ref="H634:H635"/>
    <mergeCell ref="J634:J635"/>
    <mergeCell ref="C612:C613"/>
    <mergeCell ref="F612:F613"/>
    <mergeCell ref="H612:H613"/>
    <mergeCell ref="J612:J613"/>
    <mergeCell ref="A621:A642"/>
    <mergeCell ref="B621:B642"/>
    <mergeCell ref="C621:C622"/>
    <mergeCell ref="F621:F622"/>
    <mergeCell ref="H621:H622"/>
    <mergeCell ref="J621:J622"/>
    <mergeCell ref="A599:A620"/>
    <mergeCell ref="B599:B620"/>
    <mergeCell ref="C599:C600"/>
    <mergeCell ref="F599:F600"/>
    <mergeCell ref="H599:H600"/>
    <mergeCell ref="J599:J600"/>
    <mergeCell ref="C610:C611"/>
    <mergeCell ref="F610:F611"/>
    <mergeCell ref="H610:H611"/>
    <mergeCell ref="J610:J611"/>
    <mergeCell ref="C588:C589"/>
    <mergeCell ref="F588:F589"/>
    <mergeCell ref="H588:H589"/>
    <mergeCell ref="J588:J589"/>
    <mergeCell ref="C590:C591"/>
    <mergeCell ref="F590:F591"/>
    <mergeCell ref="H590:H591"/>
    <mergeCell ref="J590:J591"/>
    <mergeCell ref="C568:C569"/>
    <mergeCell ref="F568:F569"/>
    <mergeCell ref="H568:H569"/>
    <mergeCell ref="J568:J569"/>
    <mergeCell ref="A577:A598"/>
    <mergeCell ref="B577:B598"/>
    <mergeCell ref="C577:C578"/>
    <mergeCell ref="F577:F578"/>
    <mergeCell ref="H577:H578"/>
    <mergeCell ref="J577:J578"/>
    <mergeCell ref="J555:J556"/>
    <mergeCell ref="C566:C567"/>
    <mergeCell ref="F566:F567"/>
    <mergeCell ref="H566:H567"/>
    <mergeCell ref="J566:J567"/>
    <mergeCell ref="C549:C550"/>
    <mergeCell ref="F549:F550"/>
    <mergeCell ref="H549:H550"/>
    <mergeCell ref="J549:J550"/>
    <mergeCell ref="C551:C552"/>
    <mergeCell ref="F551:F552"/>
    <mergeCell ref="H551:H552"/>
    <mergeCell ref="J551:J552"/>
    <mergeCell ref="C543:C544"/>
    <mergeCell ref="F543:F544"/>
    <mergeCell ref="H543:H544"/>
    <mergeCell ref="J543:J544"/>
    <mergeCell ref="C547:C548"/>
    <mergeCell ref="F547:F548"/>
    <mergeCell ref="H547:H548"/>
    <mergeCell ref="J547:J548"/>
    <mergeCell ref="C541:C542"/>
    <mergeCell ref="F541:F542"/>
    <mergeCell ref="H541:H542"/>
    <mergeCell ref="J541:J542"/>
    <mergeCell ref="AE527:AE528"/>
    <mergeCell ref="AF527:AF528"/>
    <mergeCell ref="AG527:AG528"/>
    <mergeCell ref="A537:A576"/>
    <mergeCell ref="B537:B576"/>
    <mergeCell ref="C537:C538"/>
    <mergeCell ref="F537:F538"/>
    <mergeCell ref="H537:H538"/>
    <mergeCell ref="J537:J538"/>
    <mergeCell ref="C539:C540"/>
    <mergeCell ref="Y527:Y528"/>
    <mergeCell ref="Z527:Z528"/>
    <mergeCell ref="AA527:AA528"/>
    <mergeCell ref="AB527:AB528"/>
    <mergeCell ref="AC527:AC528"/>
    <mergeCell ref="AD527:AD528"/>
    <mergeCell ref="C527:C528"/>
    <mergeCell ref="F527:F528"/>
    <mergeCell ref="H527:H528"/>
    <mergeCell ref="J527:J528"/>
    <mergeCell ref="X527:X528"/>
    <mergeCell ref="O539:O540"/>
    <mergeCell ref="P539:P540"/>
    <mergeCell ref="Q539:Q540"/>
    <mergeCell ref="R539:R540"/>
    <mergeCell ref="C555:C556"/>
    <mergeCell ref="F555:F556"/>
    <mergeCell ref="H555:H556"/>
    <mergeCell ref="A513:A535"/>
    <mergeCell ref="B513:B535"/>
    <mergeCell ref="C513:C514"/>
    <mergeCell ref="F513:F514"/>
    <mergeCell ref="H513:H514"/>
    <mergeCell ref="J513:J514"/>
    <mergeCell ref="X513:X514"/>
    <mergeCell ref="Y513:Y514"/>
    <mergeCell ref="Z513:Z514"/>
    <mergeCell ref="Z503:Z504"/>
    <mergeCell ref="AA503:AA504"/>
    <mergeCell ref="AB503:AB504"/>
    <mergeCell ref="AC503:AC504"/>
    <mergeCell ref="AD503:AD504"/>
    <mergeCell ref="AE503:AE504"/>
    <mergeCell ref="C503:C504"/>
    <mergeCell ref="F539:F540"/>
    <mergeCell ref="H539:H540"/>
    <mergeCell ref="J539:J540"/>
    <mergeCell ref="L513:L535"/>
    <mergeCell ref="M513:M535"/>
    <mergeCell ref="A489:A511"/>
    <mergeCell ref="B489:B511"/>
    <mergeCell ref="S539:S540"/>
    <mergeCell ref="T539:T540"/>
    <mergeCell ref="U539:U540"/>
    <mergeCell ref="V539:V540"/>
    <mergeCell ref="W539:W540"/>
    <mergeCell ref="X539:X540"/>
    <mergeCell ref="Y539:Y540"/>
    <mergeCell ref="Z539:Z540"/>
    <mergeCell ref="AA539:AA540"/>
    <mergeCell ref="AC501:AC502"/>
    <mergeCell ref="AB489:AB490"/>
    <mergeCell ref="AC489:AC490"/>
    <mergeCell ref="AD489:AD490"/>
    <mergeCell ref="AE489:AE490"/>
    <mergeCell ref="AF489:AF490"/>
    <mergeCell ref="C525:C526"/>
    <mergeCell ref="F525:F526"/>
    <mergeCell ref="H525:H526"/>
    <mergeCell ref="J525:J526"/>
    <mergeCell ref="X525:X526"/>
    <mergeCell ref="Y525:Y526"/>
    <mergeCell ref="Z525:Z526"/>
    <mergeCell ref="AA525:AA526"/>
    <mergeCell ref="AB525:AB526"/>
    <mergeCell ref="AA513:AA514"/>
    <mergeCell ref="AB513:AB514"/>
    <mergeCell ref="AC513:AC514"/>
    <mergeCell ref="AD513:AD514"/>
    <mergeCell ref="AE513:AE514"/>
    <mergeCell ref="AF513:AF514"/>
    <mergeCell ref="AF503:AF504"/>
    <mergeCell ref="C489:C490"/>
    <mergeCell ref="F489:F490"/>
    <mergeCell ref="H489:H490"/>
    <mergeCell ref="C479:C480"/>
    <mergeCell ref="F479:F480"/>
    <mergeCell ref="H479:H480"/>
    <mergeCell ref="J479:J480"/>
    <mergeCell ref="V479:V480"/>
    <mergeCell ref="W479:W480"/>
    <mergeCell ref="X479:X480"/>
    <mergeCell ref="Y479:Y480"/>
    <mergeCell ref="Z479:Z480"/>
    <mergeCell ref="F503:F504"/>
    <mergeCell ref="H503:H504"/>
    <mergeCell ref="J503:J504"/>
    <mergeCell ref="W503:W504"/>
    <mergeCell ref="X503:X504"/>
    <mergeCell ref="Y503:Y504"/>
    <mergeCell ref="X501:X502"/>
    <mergeCell ref="Y501:Y502"/>
    <mergeCell ref="Z501:Z502"/>
    <mergeCell ref="AE465:AE466"/>
    <mergeCell ref="C477:C478"/>
    <mergeCell ref="F477:F478"/>
    <mergeCell ref="H477:H478"/>
    <mergeCell ref="J477:J478"/>
    <mergeCell ref="V477:V478"/>
    <mergeCell ref="W477:W478"/>
    <mergeCell ref="X477:X478"/>
    <mergeCell ref="W465:W466"/>
    <mergeCell ref="X465:X466"/>
    <mergeCell ref="Y465:Y466"/>
    <mergeCell ref="Z465:Z466"/>
    <mergeCell ref="AA465:AA466"/>
    <mergeCell ref="AB465:AB466"/>
    <mergeCell ref="C501:C502"/>
    <mergeCell ref="F501:F502"/>
    <mergeCell ref="H501:H502"/>
    <mergeCell ref="J501:J502"/>
    <mergeCell ref="W501:W502"/>
    <mergeCell ref="J489:J490"/>
    <mergeCell ref="W489:W490"/>
    <mergeCell ref="X489:X490"/>
    <mergeCell ref="Y489:Y490"/>
    <mergeCell ref="Z489:Z490"/>
    <mergeCell ref="AA489:AA490"/>
    <mergeCell ref="AA479:AA480"/>
    <mergeCell ref="AB479:AB480"/>
    <mergeCell ref="AC479:AC480"/>
    <mergeCell ref="AD479:AD480"/>
    <mergeCell ref="AE479:AE480"/>
    <mergeCell ref="AA501:AA502"/>
    <mergeCell ref="AB501:AB502"/>
    <mergeCell ref="AB455:AB456"/>
    <mergeCell ref="AC455:AC456"/>
    <mergeCell ref="AD455:AD456"/>
    <mergeCell ref="A465:A487"/>
    <mergeCell ref="B465:B487"/>
    <mergeCell ref="C465:C466"/>
    <mergeCell ref="F465:F466"/>
    <mergeCell ref="H465:H466"/>
    <mergeCell ref="J465:J466"/>
    <mergeCell ref="V465:V466"/>
    <mergeCell ref="V455:V456"/>
    <mergeCell ref="W455:W456"/>
    <mergeCell ref="X455:X456"/>
    <mergeCell ref="Y455:Y456"/>
    <mergeCell ref="Z455:Z456"/>
    <mergeCell ref="AA455:AA456"/>
    <mergeCell ref="Z453:Z454"/>
    <mergeCell ref="AA453:AA454"/>
    <mergeCell ref="AB453:AB454"/>
    <mergeCell ref="AC453:AC454"/>
    <mergeCell ref="AD453:AD454"/>
    <mergeCell ref="C455:C456"/>
    <mergeCell ref="F455:F456"/>
    <mergeCell ref="H455:H456"/>
    <mergeCell ref="J455:J456"/>
    <mergeCell ref="U455:U456"/>
    <mergeCell ref="A441:A463"/>
    <mergeCell ref="B441:B463"/>
    <mergeCell ref="AD477:AD478"/>
    <mergeCell ref="AC465:AC466"/>
    <mergeCell ref="AD465:AD466"/>
    <mergeCell ref="L441:L463"/>
    <mergeCell ref="AD441:AD442"/>
    <mergeCell ref="C453:C454"/>
    <mergeCell ref="F453:F454"/>
    <mergeCell ref="H453:H454"/>
    <mergeCell ref="J453:J454"/>
    <mergeCell ref="U453:U454"/>
    <mergeCell ref="V453:V454"/>
    <mergeCell ref="W453:W454"/>
    <mergeCell ref="X453:X454"/>
    <mergeCell ref="Y453:Y454"/>
    <mergeCell ref="X441:X442"/>
    <mergeCell ref="Y441:Y442"/>
    <mergeCell ref="Z441:Z442"/>
    <mergeCell ref="AA441:AA442"/>
    <mergeCell ref="AB441:AB442"/>
    <mergeCell ref="AC441:AC442"/>
    <mergeCell ref="AC431:AC432"/>
    <mergeCell ref="C441:C442"/>
    <mergeCell ref="F441:F442"/>
    <mergeCell ref="H441:H442"/>
    <mergeCell ref="J441:J442"/>
    <mergeCell ref="U441:U442"/>
    <mergeCell ref="V441:V442"/>
    <mergeCell ref="W441:W442"/>
    <mergeCell ref="W431:W432"/>
    <mergeCell ref="X431:X432"/>
    <mergeCell ref="Y431:Y432"/>
    <mergeCell ref="Z431:Z432"/>
    <mergeCell ref="AA431:AA432"/>
    <mergeCell ref="AB431:AB432"/>
    <mergeCell ref="C431:C432"/>
    <mergeCell ref="F431:F432"/>
    <mergeCell ref="AA417:AA418"/>
    <mergeCell ref="AB417:AB418"/>
    <mergeCell ref="AC417:AC418"/>
    <mergeCell ref="C429:C430"/>
    <mergeCell ref="F429:F430"/>
    <mergeCell ref="H429:H430"/>
    <mergeCell ref="J429:J430"/>
    <mergeCell ref="T429:T430"/>
    <mergeCell ref="J417:J418"/>
    <mergeCell ref="T417:T418"/>
    <mergeCell ref="U417:U418"/>
    <mergeCell ref="V417:V418"/>
    <mergeCell ref="W417:W418"/>
    <mergeCell ref="X417:X418"/>
    <mergeCell ref="C428:K428"/>
    <mergeCell ref="M417:M439"/>
    <mergeCell ref="L417:L439"/>
    <mergeCell ref="J431:J432"/>
    <mergeCell ref="T431:T432"/>
    <mergeCell ref="U431:U432"/>
    <mergeCell ref="V431:V432"/>
    <mergeCell ref="U429:U430"/>
    <mergeCell ref="V429:V430"/>
    <mergeCell ref="W429:W430"/>
    <mergeCell ref="X429:X430"/>
    <mergeCell ref="Y429:Y430"/>
    <mergeCell ref="Z429:Z430"/>
    <mergeCell ref="Y417:Y418"/>
    <mergeCell ref="Z417:Z418"/>
    <mergeCell ref="L393:L415"/>
    <mergeCell ref="T393:T394"/>
    <mergeCell ref="W393:W394"/>
    <mergeCell ref="X393:X394"/>
    <mergeCell ref="Y393:Y394"/>
    <mergeCell ref="R383:R384"/>
    <mergeCell ref="A417:A439"/>
    <mergeCell ref="B417:B439"/>
    <mergeCell ref="C417:C418"/>
    <mergeCell ref="F417:F418"/>
    <mergeCell ref="H417:H418"/>
    <mergeCell ref="AB405:AB406"/>
    <mergeCell ref="C407:C408"/>
    <mergeCell ref="F407:F408"/>
    <mergeCell ref="H407:H408"/>
    <mergeCell ref="J407:J408"/>
    <mergeCell ref="S407:S408"/>
    <mergeCell ref="T407:T408"/>
    <mergeCell ref="U407:U408"/>
    <mergeCell ref="V407:V408"/>
    <mergeCell ref="W407:W408"/>
    <mergeCell ref="V405:V406"/>
    <mergeCell ref="W405:W406"/>
    <mergeCell ref="X405:X406"/>
    <mergeCell ref="Y405:Y406"/>
    <mergeCell ref="Z405:Z406"/>
    <mergeCell ref="AA405:AA406"/>
    <mergeCell ref="C405:C406"/>
    <mergeCell ref="U393:U394"/>
    <mergeCell ref="V393:V394"/>
    <mergeCell ref="F405:F406"/>
    <mergeCell ref="H405:H406"/>
    <mergeCell ref="J405:J406"/>
    <mergeCell ref="S405:S406"/>
    <mergeCell ref="T405:T406"/>
    <mergeCell ref="U405:U406"/>
    <mergeCell ref="H431:H432"/>
    <mergeCell ref="AA383:AA384"/>
    <mergeCell ref="Z381:Z382"/>
    <mergeCell ref="AA381:AA382"/>
    <mergeCell ref="C369:C370"/>
    <mergeCell ref="F369:F370"/>
    <mergeCell ref="H369:H370"/>
    <mergeCell ref="J369:J370"/>
    <mergeCell ref="R369:R370"/>
    <mergeCell ref="S369:S370"/>
    <mergeCell ref="A393:A415"/>
    <mergeCell ref="B393:B415"/>
    <mergeCell ref="C393:C394"/>
    <mergeCell ref="F393:F394"/>
    <mergeCell ref="H393:H394"/>
    <mergeCell ref="J393:J394"/>
    <mergeCell ref="S393:S394"/>
    <mergeCell ref="S383:S384"/>
    <mergeCell ref="T383:T384"/>
    <mergeCell ref="U383:U384"/>
    <mergeCell ref="V383:V384"/>
    <mergeCell ref="W383:W384"/>
    <mergeCell ref="X383:X384"/>
    <mergeCell ref="C404:K404"/>
    <mergeCell ref="M369:M391"/>
    <mergeCell ref="M393:M415"/>
    <mergeCell ref="C383:C384"/>
    <mergeCell ref="F383:F384"/>
    <mergeCell ref="A369:A391"/>
    <mergeCell ref="B369:B391"/>
    <mergeCell ref="T369:T370"/>
    <mergeCell ref="J383:J384"/>
    <mergeCell ref="V357:V358"/>
    <mergeCell ref="W357:W358"/>
    <mergeCell ref="X357:X358"/>
    <mergeCell ref="Y357:Y358"/>
    <mergeCell ref="C359:C360"/>
    <mergeCell ref="F359:F360"/>
    <mergeCell ref="H359:H360"/>
    <mergeCell ref="J359:J360"/>
    <mergeCell ref="Q359:Q360"/>
    <mergeCell ref="C380:K380"/>
    <mergeCell ref="W381:W382"/>
    <mergeCell ref="X381:X382"/>
    <mergeCell ref="Y381:Y382"/>
    <mergeCell ref="AA369:AA370"/>
    <mergeCell ref="C381:C382"/>
    <mergeCell ref="F381:F382"/>
    <mergeCell ref="H381:H382"/>
    <mergeCell ref="J381:J382"/>
    <mergeCell ref="R381:R382"/>
    <mergeCell ref="S381:S382"/>
    <mergeCell ref="T381:T382"/>
    <mergeCell ref="U381:U382"/>
    <mergeCell ref="V381:V382"/>
    <mergeCell ref="U369:U370"/>
    <mergeCell ref="V369:V370"/>
    <mergeCell ref="W369:W370"/>
    <mergeCell ref="X369:X370"/>
    <mergeCell ref="Y369:Y370"/>
    <mergeCell ref="Z369:Z370"/>
    <mergeCell ref="L369:L391"/>
    <mergeCell ref="Y383:Y384"/>
    <mergeCell ref="Z383:Z384"/>
    <mergeCell ref="H383:H384"/>
    <mergeCell ref="Z345:Z346"/>
    <mergeCell ref="C357:C358"/>
    <mergeCell ref="F357:F358"/>
    <mergeCell ref="H357:H358"/>
    <mergeCell ref="J357:J358"/>
    <mergeCell ref="Q357:Q358"/>
    <mergeCell ref="R357:R358"/>
    <mergeCell ref="S357:S358"/>
    <mergeCell ref="T357:T358"/>
    <mergeCell ref="U357:U358"/>
    <mergeCell ref="T345:T346"/>
    <mergeCell ref="U345:U346"/>
    <mergeCell ref="V345:V346"/>
    <mergeCell ref="W345:W346"/>
    <mergeCell ref="X345:X346"/>
    <mergeCell ref="Y345:Y346"/>
    <mergeCell ref="J345:J346"/>
    <mergeCell ref="L345:L367"/>
    <mergeCell ref="M345:M367"/>
    <mergeCell ref="Q345:Q346"/>
    <mergeCell ref="R345:R346"/>
    <mergeCell ref="S345:S346"/>
    <mergeCell ref="R359:R360"/>
    <mergeCell ref="S359:S360"/>
    <mergeCell ref="Z359:Z360"/>
    <mergeCell ref="Z357:Z358"/>
    <mergeCell ref="T359:T360"/>
    <mergeCell ref="U359:U360"/>
    <mergeCell ref="V359:V360"/>
    <mergeCell ref="W359:W360"/>
    <mergeCell ref="X359:X360"/>
    <mergeCell ref="Y359:Y360"/>
    <mergeCell ref="Y335:Y336"/>
    <mergeCell ref="A345:A367"/>
    <mergeCell ref="B345:B367"/>
    <mergeCell ref="C345:C346"/>
    <mergeCell ref="F345:F346"/>
    <mergeCell ref="H345:H346"/>
    <mergeCell ref="Y333:Y334"/>
    <mergeCell ref="C335:C336"/>
    <mergeCell ref="F335:F336"/>
    <mergeCell ref="H335:H336"/>
    <mergeCell ref="J335:J336"/>
    <mergeCell ref="P335:P336"/>
    <mergeCell ref="Q335:Q336"/>
    <mergeCell ref="R335:R336"/>
    <mergeCell ref="S335:S336"/>
    <mergeCell ref="T335:T336"/>
    <mergeCell ref="S333:S334"/>
    <mergeCell ref="T333:T334"/>
    <mergeCell ref="U333:U334"/>
    <mergeCell ref="V333:V334"/>
    <mergeCell ref="W333:W334"/>
    <mergeCell ref="X333:X334"/>
    <mergeCell ref="A321:A343"/>
    <mergeCell ref="B321:B343"/>
    <mergeCell ref="C356:K356"/>
    <mergeCell ref="W321:W322"/>
    <mergeCell ref="X321:X322"/>
    <mergeCell ref="Y321:Y322"/>
    <mergeCell ref="C333:C334"/>
    <mergeCell ref="F333:F334"/>
    <mergeCell ref="H333:H334"/>
    <mergeCell ref="J333:J334"/>
    <mergeCell ref="P333:P334"/>
    <mergeCell ref="Q333:Q334"/>
    <mergeCell ref="R333:R334"/>
    <mergeCell ref="Q321:Q322"/>
    <mergeCell ref="R321:R322"/>
    <mergeCell ref="S321:S322"/>
    <mergeCell ref="T321:T322"/>
    <mergeCell ref="U321:U322"/>
    <mergeCell ref="V321:V322"/>
    <mergeCell ref="X311:X312"/>
    <mergeCell ref="C321:C322"/>
    <mergeCell ref="F321:F322"/>
    <mergeCell ref="H321:H322"/>
    <mergeCell ref="J321:J322"/>
    <mergeCell ref="L321:L343"/>
    <mergeCell ref="M321:M343"/>
    <mergeCell ref="P321:P322"/>
    <mergeCell ref="R311:R312"/>
    <mergeCell ref="S311:S312"/>
    <mergeCell ref="T311:T312"/>
    <mergeCell ref="U311:U312"/>
    <mergeCell ref="V311:V312"/>
    <mergeCell ref="W311:W312"/>
    <mergeCell ref="C332:K332"/>
    <mergeCell ref="U335:U336"/>
    <mergeCell ref="V335:V336"/>
    <mergeCell ref="W335:W336"/>
    <mergeCell ref="X335:X336"/>
    <mergeCell ref="V309:V310"/>
    <mergeCell ref="W309:W310"/>
    <mergeCell ref="X309:X310"/>
    <mergeCell ref="C311:C312"/>
    <mergeCell ref="F311:F312"/>
    <mergeCell ref="H311:H312"/>
    <mergeCell ref="J311:J312"/>
    <mergeCell ref="O311:O312"/>
    <mergeCell ref="P311:P312"/>
    <mergeCell ref="Q311:Q312"/>
    <mergeCell ref="P309:P310"/>
    <mergeCell ref="Q309:Q310"/>
    <mergeCell ref="R309:R310"/>
    <mergeCell ref="S309:S310"/>
    <mergeCell ref="T309:T310"/>
    <mergeCell ref="U309:U310"/>
    <mergeCell ref="T297:T298"/>
    <mergeCell ref="U297:U298"/>
    <mergeCell ref="V297:V298"/>
    <mergeCell ref="W297:W298"/>
    <mergeCell ref="X297:X298"/>
    <mergeCell ref="C309:C310"/>
    <mergeCell ref="F309:F310"/>
    <mergeCell ref="H309:H310"/>
    <mergeCell ref="J309:J310"/>
    <mergeCell ref="O309:O310"/>
    <mergeCell ref="L280:L319"/>
    <mergeCell ref="M280:M319"/>
    <mergeCell ref="O280:O281"/>
    <mergeCell ref="P280:P281"/>
    <mergeCell ref="H284:H285"/>
    <mergeCell ref="J284:J285"/>
    <mergeCell ref="X293:X294"/>
    <mergeCell ref="C297:C298"/>
    <mergeCell ref="F297:F298"/>
    <mergeCell ref="H297:H298"/>
    <mergeCell ref="J297:J298"/>
    <mergeCell ref="O297:O298"/>
    <mergeCell ref="P297:P298"/>
    <mergeCell ref="Q297:Q298"/>
    <mergeCell ref="R297:R298"/>
    <mergeCell ref="S297:S298"/>
    <mergeCell ref="R293:R294"/>
    <mergeCell ref="S293:S294"/>
    <mergeCell ref="T293:T294"/>
    <mergeCell ref="U293:U294"/>
    <mergeCell ref="V293:V294"/>
    <mergeCell ref="W293:W294"/>
    <mergeCell ref="V291:V292"/>
    <mergeCell ref="W291:W292"/>
    <mergeCell ref="X291:X292"/>
    <mergeCell ref="C293:C294"/>
    <mergeCell ref="F293:F294"/>
    <mergeCell ref="H293:H294"/>
    <mergeCell ref="J293:J294"/>
    <mergeCell ref="O293:O294"/>
    <mergeCell ref="P293:P294"/>
    <mergeCell ref="Q293:Q294"/>
    <mergeCell ref="P291:P292"/>
    <mergeCell ref="Q291:Q292"/>
    <mergeCell ref="R291:R292"/>
    <mergeCell ref="S291:S292"/>
    <mergeCell ref="T291:T292"/>
    <mergeCell ref="U291:U292"/>
    <mergeCell ref="X282:X283"/>
    <mergeCell ref="T289:T290"/>
    <mergeCell ref="U289:U290"/>
    <mergeCell ref="V289:V290"/>
    <mergeCell ref="W289:W290"/>
    <mergeCell ref="X289:X290"/>
    <mergeCell ref="C291:C292"/>
    <mergeCell ref="F291:F292"/>
    <mergeCell ref="H291:H292"/>
    <mergeCell ref="J291:J292"/>
    <mergeCell ref="O291:O292"/>
    <mergeCell ref="Y286:Y287"/>
    <mergeCell ref="C289:C290"/>
    <mergeCell ref="F289:F290"/>
    <mergeCell ref="H289:H290"/>
    <mergeCell ref="J289:J290"/>
    <mergeCell ref="O289:O290"/>
    <mergeCell ref="P289:P290"/>
    <mergeCell ref="Q289:Q290"/>
    <mergeCell ref="R289:R290"/>
    <mergeCell ref="S289:S290"/>
    <mergeCell ref="S286:S287"/>
    <mergeCell ref="T286:T287"/>
    <mergeCell ref="U286:U287"/>
    <mergeCell ref="V286:V287"/>
    <mergeCell ref="W286:W287"/>
    <mergeCell ref="X286:X287"/>
    <mergeCell ref="H286:H287"/>
    <mergeCell ref="J286:J287"/>
    <mergeCell ref="O286:O287"/>
    <mergeCell ref="P286:P287"/>
    <mergeCell ref="Q286:Q287"/>
    <mergeCell ref="R286:R287"/>
    <mergeCell ref="Q284:Q285"/>
    <mergeCell ref="R284:R285"/>
    <mergeCell ref="S284:S285"/>
    <mergeCell ref="T284:T285"/>
    <mergeCell ref="U284:U285"/>
    <mergeCell ref="V284:V285"/>
    <mergeCell ref="S282:S283"/>
    <mergeCell ref="T282:T283"/>
    <mergeCell ref="U282:U283"/>
    <mergeCell ref="V282:V283"/>
    <mergeCell ref="W282:W283"/>
    <mergeCell ref="C274:M274"/>
    <mergeCell ref="C308:K308"/>
    <mergeCell ref="W280:W281"/>
    <mergeCell ref="X280:X281"/>
    <mergeCell ref="C282:C283"/>
    <mergeCell ref="F282:F283"/>
    <mergeCell ref="H282:H283"/>
    <mergeCell ref="J282:J283"/>
    <mergeCell ref="O282:O283"/>
    <mergeCell ref="P282:P283"/>
    <mergeCell ref="Q282:Q283"/>
    <mergeCell ref="R282:R283"/>
    <mergeCell ref="Q280:Q281"/>
    <mergeCell ref="R280:R281"/>
    <mergeCell ref="S280:S281"/>
    <mergeCell ref="T280:T281"/>
    <mergeCell ref="U280:U281"/>
    <mergeCell ref="V280:V281"/>
    <mergeCell ref="H280:H281"/>
    <mergeCell ref="J280:J281"/>
    <mergeCell ref="A194:A214"/>
    <mergeCell ref="B194:B214"/>
    <mergeCell ref="A215:A235"/>
    <mergeCell ref="B215:B235"/>
    <mergeCell ref="A236:A256"/>
    <mergeCell ref="B236:B256"/>
    <mergeCell ref="A131:A151"/>
    <mergeCell ref="B131:B151"/>
    <mergeCell ref="A152:A172"/>
    <mergeCell ref="B152:B172"/>
    <mergeCell ref="A173:A193"/>
    <mergeCell ref="B173:B193"/>
    <mergeCell ref="C148:M148"/>
    <mergeCell ref="C169:M169"/>
    <mergeCell ref="C190:M190"/>
    <mergeCell ref="C211:M211"/>
    <mergeCell ref="C232:M232"/>
    <mergeCell ref="C253:M253"/>
    <mergeCell ref="AL405:AL406"/>
    <mergeCell ref="AM405:AM406"/>
    <mergeCell ref="AN405:AN406"/>
    <mergeCell ref="AO405:AO406"/>
    <mergeCell ref="AP405:AP406"/>
    <mergeCell ref="AQ405:AQ406"/>
    <mergeCell ref="AR405:AR406"/>
    <mergeCell ref="AS405:AS406"/>
    <mergeCell ref="AT393:AT394"/>
    <mergeCell ref="A60:A88"/>
    <mergeCell ref="B60:B88"/>
    <mergeCell ref="A89:A109"/>
    <mergeCell ref="B89:B109"/>
    <mergeCell ref="A110:A130"/>
    <mergeCell ref="B110:B130"/>
    <mergeCell ref="O284:O285"/>
    <mergeCell ref="P284:P285"/>
    <mergeCell ref="W284:W285"/>
    <mergeCell ref="X284:X285"/>
    <mergeCell ref="C286:C287"/>
    <mergeCell ref="F286:F287"/>
    <mergeCell ref="C85:M85"/>
    <mergeCell ref="C106:M106"/>
    <mergeCell ref="C127:M127"/>
    <mergeCell ref="A257:A277"/>
    <mergeCell ref="B257:B277"/>
    <mergeCell ref="A280:A319"/>
    <mergeCell ref="B280:B319"/>
    <mergeCell ref="C280:C281"/>
    <mergeCell ref="F280:F281"/>
    <mergeCell ref="C284:C285"/>
    <mergeCell ref="F284:F285"/>
    <mergeCell ref="M1:M2"/>
    <mergeCell ref="N1:N2"/>
    <mergeCell ref="A4:A40"/>
    <mergeCell ref="B4:B40"/>
    <mergeCell ref="A42:A58"/>
    <mergeCell ref="B42:B58"/>
    <mergeCell ref="G1:G2"/>
    <mergeCell ref="H1:H2"/>
    <mergeCell ref="I1:I2"/>
    <mergeCell ref="J1:J2"/>
    <mergeCell ref="K1:K2"/>
    <mergeCell ref="L1:L2"/>
    <mergeCell ref="A1:A2"/>
    <mergeCell ref="B1:B2"/>
    <mergeCell ref="C1:C2"/>
    <mergeCell ref="D1:D2"/>
    <mergeCell ref="E1:E2"/>
    <mergeCell ref="F1:F2"/>
    <mergeCell ref="C55:M55"/>
    <mergeCell ref="AQ417:AQ418"/>
    <mergeCell ref="AR417:AR418"/>
    <mergeCell ref="AS417:AS418"/>
    <mergeCell ref="AT417:AT418"/>
    <mergeCell ref="AT405:AT406"/>
    <mergeCell ref="AC407:AC408"/>
    <mergeCell ref="AD407:AD408"/>
    <mergeCell ref="AE407:AE408"/>
    <mergeCell ref="AF407:AF408"/>
    <mergeCell ref="AG407:AG408"/>
    <mergeCell ref="AH407:AH408"/>
    <mergeCell ref="AI407:AI408"/>
    <mergeCell ref="AJ407:AJ408"/>
    <mergeCell ref="AK407:AK408"/>
    <mergeCell ref="AL407:AL408"/>
    <mergeCell ref="AM407:AM408"/>
    <mergeCell ref="AN407:AN408"/>
    <mergeCell ref="AO407:AO408"/>
    <mergeCell ref="AP407:AP408"/>
    <mergeCell ref="AQ407:AQ408"/>
    <mergeCell ref="AR407:AR408"/>
    <mergeCell ref="AS407:AS408"/>
    <mergeCell ref="AT407:AT408"/>
    <mergeCell ref="AC405:AC406"/>
    <mergeCell ref="AD405:AD406"/>
    <mergeCell ref="AE405:AE406"/>
    <mergeCell ref="AF405:AF406"/>
    <mergeCell ref="AG405:AG406"/>
    <mergeCell ref="AH405:AH406"/>
    <mergeCell ref="AI405:AI406"/>
    <mergeCell ref="AJ405:AJ406"/>
    <mergeCell ref="AK405:AK406"/>
    <mergeCell ref="AU417:AU418"/>
    <mergeCell ref="AD429:AD430"/>
    <mergeCell ref="AE429:AE430"/>
    <mergeCell ref="AF429:AF430"/>
    <mergeCell ref="AG429:AG430"/>
    <mergeCell ref="AH429:AH430"/>
    <mergeCell ref="AI429:AI430"/>
    <mergeCell ref="AJ429:AJ430"/>
    <mergeCell ref="AK429:AK430"/>
    <mergeCell ref="AL429:AL430"/>
    <mergeCell ref="AM429:AM430"/>
    <mergeCell ref="AN429:AN430"/>
    <mergeCell ref="AO429:AO430"/>
    <mergeCell ref="AP429:AP430"/>
    <mergeCell ref="AQ429:AQ430"/>
    <mergeCell ref="AR429:AR430"/>
    <mergeCell ref="AS429:AS430"/>
    <mergeCell ref="AT429:AT430"/>
    <mergeCell ref="AU429:AU430"/>
    <mergeCell ref="AD417:AD418"/>
    <mergeCell ref="AE417:AE418"/>
    <mergeCell ref="AF417:AF418"/>
    <mergeCell ref="AG417:AG418"/>
    <mergeCell ref="AH417:AH418"/>
    <mergeCell ref="AI417:AI418"/>
    <mergeCell ref="AJ417:AJ418"/>
    <mergeCell ref="AK417:AK418"/>
    <mergeCell ref="AL417:AL418"/>
    <mergeCell ref="AM417:AM418"/>
    <mergeCell ref="AN417:AN418"/>
    <mergeCell ref="AO417:AO418"/>
    <mergeCell ref="AP417:AP418"/>
    <mergeCell ref="AU431:AU432"/>
    <mergeCell ref="AD431:AD432"/>
    <mergeCell ref="AE431:AE432"/>
    <mergeCell ref="AF431:AF432"/>
    <mergeCell ref="AG431:AG432"/>
    <mergeCell ref="AH431:AH432"/>
    <mergeCell ref="AI431:AI432"/>
    <mergeCell ref="AJ431:AJ432"/>
    <mergeCell ref="AK431:AK432"/>
    <mergeCell ref="AL431:AL432"/>
    <mergeCell ref="AM431:AM432"/>
    <mergeCell ref="AN431:AN432"/>
    <mergeCell ref="AO431:AO432"/>
    <mergeCell ref="AP431:AP432"/>
    <mergeCell ref="AQ431:AQ432"/>
    <mergeCell ref="AR431:AR432"/>
    <mergeCell ref="AS431:AS432"/>
    <mergeCell ref="AT431:AT432"/>
    <mergeCell ref="AS441:AS442"/>
    <mergeCell ref="AT441:AT442"/>
    <mergeCell ref="AU441:AU442"/>
    <mergeCell ref="AE453:AE454"/>
    <mergeCell ref="AF453:AF454"/>
    <mergeCell ref="AG453:AG454"/>
    <mergeCell ref="AH453:AH454"/>
    <mergeCell ref="AI453:AI454"/>
    <mergeCell ref="AJ453:AJ454"/>
    <mergeCell ref="AK453:AK454"/>
    <mergeCell ref="AL453:AL454"/>
    <mergeCell ref="AM453:AM454"/>
    <mergeCell ref="AN453:AN454"/>
    <mergeCell ref="AO453:AO454"/>
    <mergeCell ref="AP453:AP454"/>
    <mergeCell ref="AQ453:AQ454"/>
    <mergeCell ref="AR453:AR454"/>
    <mergeCell ref="AS453:AS454"/>
    <mergeCell ref="AT453:AT454"/>
    <mergeCell ref="AU453:AU454"/>
    <mergeCell ref="AE441:AE442"/>
    <mergeCell ref="AF441:AF442"/>
    <mergeCell ref="AE455:AE456"/>
    <mergeCell ref="AF455:AF456"/>
    <mergeCell ref="AG455:AG456"/>
    <mergeCell ref="AH455:AH456"/>
    <mergeCell ref="AI455:AI456"/>
    <mergeCell ref="AJ455:AJ456"/>
    <mergeCell ref="AK455:AK456"/>
    <mergeCell ref="AL455:AL456"/>
    <mergeCell ref="AM455:AM456"/>
    <mergeCell ref="AN455:AN456"/>
    <mergeCell ref="AO455:AO456"/>
    <mergeCell ref="AP455:AP456"/>
    <mergeCell ref="AQ455:AQ456"/>
    <mergeCell ref="AR455:AR456"/>
    <mergeCell ref="AS455:AS456"/>
    <mergeCell ref="AT455:AT456"/>
    <mergeCell ref="AU455:AU456"/>
    <mergeCell ref="AV441:AV442"/>
    <mergeCell ref="AV453:AV454"/>
    <mergeCell ref="AV455:AV456"/>
    <mergeCell ref="AF465:AF466"/>
    <mergeCell ref="AG465:AG466"/>
    <mergeCell ref="AH465:AH466"/>
    <mergeCell ref="AI465:AI466"/>
    <mergeCell ref="AJ465:AJ466"/>
    <mergeCell ref="AK465:AK466"/>
    <mergeCell ref="AL465:AL466"/>
    <mergeCell ref="AM465:AM466"/>
    <mergeCell ref="AN465:AN466"/>
    <mergeCell ref="AO465:AO466"/>
    <mergeCell ref="AP465:AP466"/>
    <mergeCell ref="AQ465:AQ466"/>
    <mergeCell ref="AR465:AR466"/>
    <mergeCell ref="AS465:AS466"/>
    <mergeCell ref="AT465:AT466"/>
    <mergeCell ref="AU465:AU466"/>
    <mergeCell ref="AV465:AV466"/>
    <mergeCell ref="AG441:AG442"/>
    <mergeCell ref="AH441:AH442"/>
    <mergeCell ref="AI441:AI442"/>
    <mergeCell ref="AJ441:AJ442"/>
    <mergeCell ref="AK441:AK442"/>
    <mergeCell ref="AL441:AL442"/>
    <mergeCell ref="AM441:AM442"/>
    <mergeCell ref="AN441:AN442"/>
    <mergeCell ref="AO441:AO442"/>
    <mergeCell ref="AP441:AP442"/>
    <mergeCell ref="AQ441:AQ442"/>
    <mergeCell ref="AR441:AR442"/>
    <mergeCell ref="AW465:AW466"/>
    <mergeCell ref="AF477:AF478"/>
    <mergeCell ref="AG477:AG478"/>
    <mergeCell ref="AH477:AH478"/>
    <mergeCell ref="AI477:AI478"/>
    <mergeCell ref="AJ477:AJ478"/>
    <mergeCell ref="AK477:AK478"/>
    <mergeCell ref="AL477:AL478"/>
    <mergeCell ref="AM477:AM478"/>
    <mergeCell ref="AN477:AN478"/>
    <mergeCell ref="AO477:AO478"/>
    <mergeCell ref="AP477:AP478"/>
    <mergeCell ref="AQ477:AQ478"/>
    <mergeCell ref="AR477:AR478"/>
    <mergeCell ref="AS477:AS478"/>
    <mergeCell ref="AT477:AT478"/>
    <mergeCell ref="AU477:AU478"/>
    <mergeCell ref="AV477:AV478"/>
    <mergeCell ref="AW477:AW478"/>
    <mergeCell ref="AF479:AF480"/>
    <mergeCell ref="AG479:AG480"/>
    <mergeCell ref="AH479:AH480"/>
    <mergeCell ref="AI479:AI480"/>
    <mergeCell ref="AJ479:AJ480"/>
    <mergeCell ref="AK479:AK480"/>
    <mergeCell ref="AL479:AL480"/>
    <mergeCell ref="AM479:AM480"/>
    <mergeCell ref="AN479:AN480"/>
    <mergeCell ref="AO479:AO480"/>
    <mergeCell ref="AP479:AP480"/>
    <mergeCell ref="AQ479:AQ480"/>
    <mergeCell ref="AR479:AR480"/>
    <mergeCell ref="AS479:AS480"/>
    <mergeCell ref="AT479:AT480"/>
    <mergeCell ref="AU479:AU480"/>
    <mergeCell ref="AV479:AV480"/>
    <mergeCell ref="AW479:AW480"/>
    <mergeCell ref="AG489:AG490"/>
    <mergeCell ref="AH489:AH490"/>
    <mergeCell ref="AI489:AI490"/>
    <mergeCell ref="AJ489:AJ490"/>
    <mergeCell ref="AK489:AK490"/>
    <mergeCell ref="AL489:AL490"/>
    <mergeCell ref="AM489:AM490"/>
    <mergeCell ref="AN489:AN490"/>
    <mergeCell ref="AO489:AO490"/>
    <mergeCell ref="AP489:AP490"/>
    <mergeCell ref="AQ489:AQ490"/>
    <mergeCell ref="AR489:AR490"/>
    <mergeCell ref="AS489:AS490"/>
    <mergeCell ref="AT489:AT490"/>
    <mergeCell ref="AU489:AU490"/>
    <mergeCell ref="AV489:AV490"/>
    <mergeCell ref="AW489:AW490"/>
    <mergeCell ref="AX489:AX490"/>
    <mergeCell ref="AG501:AG502"/>
    <mergeCell ref="AH501:AH502"/>
    <mergeCell ref="AI501:AI502"/>
    <mergeCell ref="AJ501:AJ502"/>
    <mergeCell ref="AK501:AK502"/>
    <mergeCell ref="AL501:AL502"/>
    <mergeCell ref="AM501:AM502"/>
    <mergeCell ref="AN501:AN502"/>
    <mergeCell ref="AO501:AO502"/>
    <mergeCell ref="AP501:AP502"/>
    <mergeCell ref="AQ501:AQ502"/>
    <mergeCell ref="AR501:AR502"/>
    <mergeCell ref="AS501:AS502"/>
    <mergeCell ref="AT501:AT502"/>
    <mergeCell ref="AU501:AU502"/>
    <mergeCell ref="AV501:AV502"/>
    <mergeCell ref="AW501:AW502"/>
    <mergeCell ref="AX501:AX502"/>
    <mergeCell ref="AX503:AX504"/>
    <mergeCell ref="AG503:AG504"/>
    <mergeCell ref="AH503:AH504"/>
    <mergeCell ref="AI503:AI504"/>
    <mergeCell ref="AJ503:AJ504"/>
    <mergeCell ref="AK503:AK504"/>
    <mergeCell ref="AL503:AL504"/>
    <mergeCell ref="AM503:AM504"/>
    <mergeCell ref="AN503:AN504"/>
    <mergeCell ref="AO503:AO504"/>
    <mergeCell ref="AP503:AP504"/>
    <mergeCell ref="AQ503:AQ504"/>
    <mergeCell ref="AR503:AR504"/>
    <mergeCell ref="AS503:AS504"/>
    <mergeCell ref="AT503:AT504"/>
    <mergeCell ref="AU503:AU504"/>
    <mergeCell ref="AV503:AV504"/>
    <mergeCell ref="AW503:AW504"/>
    <mergeCell ref="AH513:AH514"/>
    <mergeCell ref="AI513:AI514"/>
    <mergeCell ref="AJ513:AJ514"/>
    <mergeCell ref="AK513:AK514"/>
    <mergeCell ref="AL513:AL514"/>
    <mergeCell ref="AM513:AM514"/>
    <mergeCell ref="AN513:AN514"/>
    <mergeCell ref="AO513:AO514"/>
    <mergeCell ref="AP513:AP514"/>
    <mergeCell ref="AQ513:AQ514"/>
    <mergeCell ref="AR513:AR514"/>
    <mergeCell ref="AS513:AS514"/>
    <mergeCell ref="AT513:AT514"/>
    <mergeCell ref="AU513:AU514"/>
    <mergeCell ref="AV513:AV514"/>
    <mergeCell ref="AW513:AW514"/>
    <mergeCell ref="AX513:AX514"/>
    <mergeCell ref="AH525:AH526"/>
    <mergeCell ref="AI525:AI526"/>
    <mergeCell ref="AJ525:AJ526"/>
    <mergeCell ref="AK525:AK526"/>
    <mergeCell ref="AL525:AL526"/>
    <mergeCell ref="AM525:AM526"/>
    <mergeCell ref="AN525:AN526"/>
    <mergeCell ref="AO525:AO526"/>
    <mergeCell ref="AP525:AP526"/>
    <mergeCell ref="AQ525:AQ526"/>
    <mergeCell ref="AR525:AR526"/>
    <mergeCell ref="AS525:AS526"/>
    <mergeCell ref="AT525:AT526"/>
    <mergeCell ref="AU525:AU526"/>
    <mergeCell ref="AV525:AV526"/>
    <mergeCell ref="AW525:AW526"/>
    <mergeCell ref="AX525:AX526"/>
    <mergeCell ref="AH527:AH528"/>
    <mergeCell ref="AI527:AI528"/>
    <mergeCell ref="AJ527:AJ528"/>
    <mergeCell ref="AK527:AK528"/>
    <mergeCell ref="AL527:AL528"/>
    <mergeCell ref="AM527:AM528"/>
    <mergeCell ref="AN527:AN528"/>
    <mergeCell ref="AO527:AO528"/>
    <mergeCell ref="AP527:AP528"/>
    <mergeCell ref="AQ527:AQ528"/>
    <mergeCell ref="AR527:AR528"/>
    <mergeCell ref="AS527:AS528"/>
    <mergeCell ref="AT527:AT528"/>
    <mergeCell ref="AU527:AU528"/>
    <mergeCell ref="AV527:AV528"/>
    <mergeCell ref="AW527:AW528"/>
    <mergeCell ref="AX527:AX528"/>
    <mergeCell ref="AY513:AY514"/>
    <mergeCell ref="AY525:AY526"/>
    <mergeCell ref="AY527:AY528"/>
    <mergeCell ref="O537:O538"/>
    <mergeCell ref="P537:P538"/>
    <mergeCell ref="Q537:Q538"/>
    <mergeCell ref="R537:R538"/>
    <mergeCell ref="S537:S538"/>
    <mergeCell ref="T537:T538"/>
    <mergeCell ref="U537:U538"/>
    <mergeCell ref="V537:V538"/>
    <mergeCell ref="W537:W538"/>
    <mergeCell ref="X537:X538"/>
    <mergeCell ref="Y537:Y538"/>
    <mergeCell ref="Z537:Z538"/>
    <mergeCell ref="AA537:AA538"/>
    <mergeCell ref="AB537:AB538"/>
    <mergeCell ref="AC537:AC538"/>
    <mergeCell ref="AD537:AD538"/>
    <mergeCell ref="AE537:AE538"/>
    <mergeCell ref="AF537:AF538"/>
    <mergeCell ref="AG537:AG538"/>
    <mergeCell ref="AH537:AH538"/>
    <mergeCell ref="AI537:AI538"/>
    <mergeCell ref="AJ537:AJ538"/>
    <mergeCell ref="AK537:AK538"/>
    <mergeCell ref="AL537:AL538"/>
    <mergeCell ref="AM537:AM538"/>
    <mergeCell ref="AN537:AN538"/>
    <mergeCell ref="AO537:AO538"/>
    <mergeCell ref="AP537:AP538"/>
    <mergeCell ref="AQ537:AQ538"/>
    <mergeCell ref="AB539:AB540"/>
    <mergeCell ref="AC539:AC540"/>
    <mergeCell ref="AD539:AD540"/>
    <mergeCell ref="AE539:AE540"/>
    <mergeCell ref="AF539:AF540"/>
    <mergeCell ref="AG539:AG540"/>
    <mergeCell ref="AH539:AH540"/>
    <mergeCell ref="AI539:AI540"/>
    <mergeCell ref="AJ539:AJ540"/>
    <mergeCell ref="AK539:AK540"/>
    <mergeCell ref="AL539:AL540"/>
    <mergeCell ref="AM539:AM540"/>
    <mergeCell ref="AN539:AN540"/>
    <mergeCell ref="AO539:AO540"/>
    <mergeCell ref="AP539:AP540"/>
    <mergeCell ref="AQ539:AQ540"/>
    <mergeCell ref="O541:O542"/>
    <mergeCell ref="P541:P542"/>
    <mergeCell ref="Q541:Q542"/>
    <mergeCell ref="R541:R542"/>
    <mergeCell ref="S541:S542"/>
    <mergeCell ref="T541:T542"/>
    <mergeCell ref="U541:U542"/>
    <mergeCell ref="V541:V542"/>
    <mergeCell ref="W541:W542"/>
    <mergeCell ref="X541:X542"/>
    <mergeCell ref="Y541:Y542"/>
    <mergeCell ref="Z541:Z542"/>
    <mergeCell ref="AA541:AA542"/>
    <mergeCell ref="AB541:AB542"/>
    <mergeCell ref="AC541:AC542"/>
    <mergeCell ref="AD541:AD542"/>
    <mergeCell ref="AE541:AE542"/>
    <mergeCell ref="AF541:AF542"/>
    <mergeCell ref="AG541:AG542"/>
    <mergeCell ref="AH541:AH542"/>
    <mergeCell ref="AI541:AI542"/>
    <mergeCell ref="AJ541:AJ542"/>
    <mergeCell ref="AK541:AK542"/>
    <mergeCell ref="AL541:AL542"/>
    <mergeCell ref="AM541:AM542"/>
    <mergeCell ref="AN541:AN542"/>
    <mergeCell ref="AO541:AO542"/>
    <mergeCell ref="AP541:AP542"/>
    <mergeCell ref="AQ541:AQ542"/>
    <mergeCell ref="O543:O544"/>
    <mergeCell ref="P543:P544"/>
    <mergeCell ref="Q543:Q544"/>
    <mergeCell ref="R543:R544"/>
    <mergeCell ref="S543:S544"/>
    <mergeCell ref="T543:T544"/>
    <mergeCell ref="U543:U544"/>
    <mergeCell ref="V543:V544"/>
    <mergeCell ref="W543:W544"/>
    <mergeCell ref="X543:X544"/>
    <mergeCell ref="Y543:Y544"/>
    <mergeCell ref="Z543:Z544"/>
    <mergeCell ref="AA543:AA544"/>
    <mergeCell ref="AB543:AB544"/>
    <mergeCell ref="AC543:AC544"/>
    <mergeCell ref="AD543:AD544"/>
    <mergeCell ref="AE543:AE544"/>
    <mergeCell ref="AF543:AF544"/>
    <mergeCell ref="AG543:AG544"/>
    <mergeCell ref="AH543:AH544"/>
    <mergeCell ref="AI543:AI544"/>
    <mergeCell ref="AJ543:AJ544"/>
    <mergeCell ref="AK543:AK544"/>
    <mergeCell ref="AL543:AL544"/>
    <mergeCell ref="AM543:AM544"/>
    <mergeCell ref="AN543:AN544"/>
    <mergeCell ref="AO543:AO544"/>
    <mergeCell ref="AP543:AP544"/>
    <mergeCell ref="AQ543:AQ544"/>
    <mergeCell ref="O547:O548"/>
    <mergeCell ref="P547:P548"/>
    <mergeCell ref="Q547:Q548"/>
    <mergeCell ref="R547:R548"/>
    <mergeCell ref="S547:S548"/>
    <mergeCell ref="T547:T548"/>
    <mergeCell ref="U547:U548"/>
    <mergeCell ref="V547:V548"/>
    <mergeCell ref="W547:W548"/>
    <mergeCell ref="X547:X548"/>
    <mergeCell ref="Y547:Y548"/>
    <mergeCell ref="Z547:Z548"/>
    <mergeCell ref="AA547:AA548"/>
    <mergeCell ref="AB547:AB548"/>
    <mergeCell ref="AC547:AC548"/>
    <mergeCell ref="AD547:AD548"/>
    <mergeCell ref="AE547:AE548"/>
    <mergeCell ref="AF547:AF548"/>
    <mergeCell ref="AG547:AG548"/>
    <mergeCell ref="AH547:AH548"/>
    <mergeCell ref="AI547:AI548"/>
    <mergeCell ref="AJ547:AJ548"/>
    <mergeCell ref="AK547:AK548"/>
    <mergeCell ref="AL547:AL548"/>
    <mergeCell ref="AM547:AM548"/>
    <mergeCell ref="AN547:AN548"/>
    <mergeCell ref="AO547:AO548"/>
    <mergeCell ref="AP547:AP548"/>
    <mergeCell ref="AQ547:AQ548"/>
    <mergeCell ref="O549:O550"/>
    <mergeCell ref="P549:P550"/>
    <mergeCell ref="Q549:Q550"/>
    <mergeCell ref="R549:R550"/>
    <mergeCell ref="S549:S550"/>
    <mergeCell ref="T549:T550"/>
    <mergeCell ref="U549:U550"/>
    <mergeCell ref="V549:V550"/>
    <mergeCell ref="W549:W550"/>
    <mergeCell ref="X549:X550"/>
    <mergeCell ref="Y549:Y550"/>
    <mergeCell ref="Z549:Z550"/>
    <mergeCell ref="AA549:AA550"/>
    <mergeCell ref="AB549:AB550"/>
    <mergeCell ref="AC549:AC550"/>
    <mergeCell ref="AD549:AD550"/>
    <mergeCell ref="AE549:AE550"/>
    <mergeCell ref="AF549:AF550"/>
    <mergeCell ref="AG549:AG550"/>
    <mergeCell ref="AH549:AH550"/>
    <mergeCell ref="AI549:AI550"/>
    <mergeCell ref="AJ549:AJ550"/>
    <mergeCell ref="AK549:AK550"/>
    <mergeCell ref="AL549:AL550"/>
    <mergeCell ref="AM549:AM550"/>
    <mergeCell ref="AN549:AN550"/>
    <mergeCell ref="AO549:AO550"/>
    <mergeCell ref="AP549:AP550"/>
    <mergeCell ref="AQ549:AQ550"/>
    <mergeCell ref="O551:O552"/>
    <mergeCell ref="P551:P552"/>
    <mergeCell ref="Q551:Q552"/>
    <mergeCell ref="R551:R552"/>
    <mergeCell ref="S551:S552"/>
    <mergeCell ref="T551:T552"/>
    <mergeCell ref="U551:U552"/>
    <mergeCell ref="V551:V552"/>
    <mergeCell ref="W551:W552"/>
    <mergeCell ref="X551:X552"/>
    <mergeCell ref="Y551:Y552"/>
    <mergeCell ref="Z551:Z552"/>
    <mergeCell ref="AA551:AA552"/>
    <mergeCell ref="AB551:AB552"/>
    <mergeCell ref="AC551:AC552"/>
    <mergeCell ref="AD551:AD552"/>
    <mergeCell ref="AE551:AE552"/>
    <mergeCell ref="AF551:AF552"/>
    <mergeCell ref="AG551:AG552"/>
    <mergeCell ref="AH551:AH552"/>
    <mergeCell ref="AP551:AP552"/>
    <mergeCell ref="AQ551:AQ552"/>
    <mergeCell ref="AO551:AO552"/>
    <mergeCell ref="O555:O556"/>
    <mergeCell ref="P555:P556"/>
    <mergeCell ref="Q555:Q556"/>
    <mergeCell ref="R555:R556"/>
    <mergeCell ref="S555:S556"/>
    <mergeCell ref="T555:T556"/>
    <mergeCell ref="U555:U556"/>
    <mergeCell ref="V555:V556"/>
    <mergeCell ref="W555:W556"/>
    <mergeCell ref="X555:X556"/>
    <mergeCell ref="Y555:Y556"/>
    <mergeCell ref="Z555:Z556"/>
    <mergeCell ref="AA555:AA556"/>
    <mergeCell ref="AB555:AB556"/>
    <mergeCell ref="AC555:AC556"/>
    <mergeCell ref="AD555:AD556"/>
    <mergeCell ref="AE555:AE556"/>
    <mergeCell ref="AF555:AF556"/>
    <mergeCell ref="AG555:AG556"/>
    <mergeCell ref="AH555:AH556"/>
    <mergeCell ref="AI555:AI556"/>
    <mergeCell ref="AJ555:AJ556"/>
    <mergeCell ref="AK555:AK556"/>
    <mergeCell ref="AE566:AE567"/>
    <mergeCell ref="AF566:AF567"/>
    <mergeCell ref="AG566:AG567"/>
    <mergeCell ref="AH566:AH567"/>
    <mergeCell ref="AI566:AI567"/>
    <mergeCell ref="AJ566:AJ567"/>
    <mergeCell ref="AK566:AK567"/>
    <mergeCell ref="AL566:AL567"/>
    <mergeCell ref="AM566:AM567"/>
    <mergeCell ref="AN566:AN567"/>
    <mergeCell ref="AI551:AI552"/>
    <mergeCell ref="AJ551:AJ552"/>
    <mergeCell ref="AK551:AK552"/>
    <mergeCell ref="AL551:AL552"/>
    <mergeCell ref="AM551:AM552"/>
    <mergeCell ref="AN551:AN552"/>
    <mergeCell ref="AH568:AH569"/>
    <mergeCell ref="AI568:AI569"/>
    <mergeCell ref="AJ568:AJ569"/>
    <mergeCell ref="AK568:AK569"/>
    <mergeCell ref="AL568:AL569"/>
    <mergeCell ref="AM568:AM569"/>
    <mergeCell ref="AN568:AN569"/>
    <mergeCell ref="AO568:AO569"/>
    <mergeCell ref="AP568:AP569"/>
    <mergeCell ref="AQ568:AQ569"/>
    <mergeCell ref="AL555:AL556"/>
    <mergeCell ref="AM555:AM556"/>
    <mergeCell ref="AN555:AN556"/>
    <mergeCell ref="AO555:AO556"/>
    <mergeCell ref="AP555:AP556"/>
    <mergeCell ref="AQ555:AQ556"/>
    <mergeCell ref="O566:O567"/>
    <mergeCell ref="P566:P567"/>
    <mergeCell ref="Q566:Q567"/>
    <mergeCell ref="R566:R567"/>
    <mergeCell ref="S566:S567"/>
    <mergeCell ref="T566:T567"/>
    <mergeCell ref="U566:U567"/>
    <mergeCell ref="V566:V567"/>
    <mergeCell ref="W566:W567"/>
    <mergeCell ref="X566:X567"/>
    <mergeCell ref="Y566:Y567"/>
    <mergeCell ref="Z566:Z567"/>
    <mergeCell ref="AA566:AA567"/>
    <mergeCell ref="AB566:AB567"/>
    <mergeCell ref="AC566:AC567"/>
    <mergeCell ref="AD566:AD567"/>
    <mergeCell ref="P577:P578"/>
    <mergeCell ref="Q577:Q578"/>
    <mergeCell ref="R577:R578"/>
    <mergeCell ref="S577:S578"/>
    <mergeCell ref="T577:T578"/>
    <mergeCell ref="U577:U578"/>
    <mergeCell ref="V577:V578"/>
    <mergeCell ref="W577:W578"/>
    <mergeCell ref="X577:X578"/>
    <mergeCell ref="Y577:Y578"/>
    <mergeCell ref="AO566:AO567"/>
    <mergeCell ref="AP566:AP567"/>
    <mergeCell ref="AQ566:AQ567"/>
    <mergeCell ref="O568:O569"/>
    <mergeCell ref="P568:P569"/>
    <mergeCell ref="Q568:Q569"/>
    <mergeCell ref="R568:R569"/>
    <mergeCell ref="S568:S569"/>
    <mergeCell ref="T568:T569"/>
    <mergeCell ref="U568:U569"/>
    <mergeCell ref="V568:V569"/>
    <mergeCell ref="W568:W569"/>
    <mergeCell ref="X568:X569"/>
    <mergeCell ref="Y568:Y569"/>
    <mergeCell ref="Z568:Z569"/>
    <mergeCell ref="AA568:AA569"/>
    <mergeCell ref="AB568:AB569"/>
    <mergeCell ref="AC568:AC569"/>
    <mergeCell ref="AD568:AD569"/>
    <mergeCell ref="AE568:AE569"/>
    <mergeCell ref="AF568:AF569"/>
    <mergeCell ref="AG568:AG569"/>
    <mergeCell ref="P590:P591"/>
    <mergeCell ref="Q590:Q591"/>
    <mergeCell ref="R590:R591"/>
    <mergeCell ref="S590:S591"/>
    <mergeCell ref="T590:T591"/>
    <mergeCell ref="U590:U591"/>
    <mergeCell ref="V590:V591"/>
    <mergeCell ref="W590:W591"/>
    <mergeCell ref="X590:X591"/>
    <mergeCell ref="Y590:Y591"/>
    <mergeCell ref="P588:P589"/>
    <mergeCell ref="Q588:Q589"/>
    <mergeCell ref="R588:R589"/>
    <mergeCell ref="S588:S589"/>
    <mergeCell ref="T588:T589"/>
    <mergeCell ref="U588:U589"/>
    <mergeCell ref="V588:V589"/>
    <mergeCell ref="W588:W589"/>
    <mergeCell ref="X588:X589"/>
    <mergeCell ref="Y588:Y589"/>
    <mergeCell ref="Q599:Q600"/>
    <mergeCell ref="R599:R600"/>
    <mergeCell ref="S599:S600"/>
    <mergeCell ref="T599:T600"/>
    <mergeCell ref="U599:U600"/>
    <mergeCell ref="V599:V600"/>
    <mergeCell ref="W599:W600"/>
    <mergeCell ref="X599:X600"/>
    <mergeCell ref="Y599:Y600"/>
    <mergeCell ref="Z599:Z600"/>
    <mergeCell ref="Q610:Q611"/>
    <mergeCell ref="R610:R611"/>
    <mergeCell ref="S610:S611"/>
    <mergeCell ref="T610:T611"/>
    <mergeCell ref="U610:U611"/>
    <mergeCell ref="V610:V611"/>
    <mergeCell ref="W610:W611"/>
    <mergeCell ref="X610:X611"/>
    <mergeCell ref="Y610:Y611"/>
    <mergeCell ref="Z610:Z611"/>
    <mergeCell ref="Q612:Q613"/>
    <mergeCell ref="R612:R613"/>
    <mergeCell ref="S612:S613"/>
    <mergeCell ref="T612:T613"/>
    <mergeCell ref="U612:U613"/>
    <mergeCell ref="V612:V613"/>
    <mergeCell ref="W612:W613"/>
    <mergeCell ref="X612:X613"/>
    <mergeCell ref="Y612:Y613"/>
    <mergeCell ref="Z612:Z613"/>
    <mergeCell ref="R621:R622"/>
    <mergeCell ref="S621:S622"/>
    <mergeCell ref="T621:T622"/>
    <mergeCell ref="U621:U622"/>
    <mergeCell ref="V621:V622"/>
    <mergeCell ref="W621:W622"/>
    <mergeCell ref="X621:X622"/>
    <mergeCell ref="Y621:Y622"/>
    <mergeCell ref="Z621:Z622"/>
    <mergeCell ref="AA621:AA622"/>
    <mergeCell ref="R632:R633"/>
    <mergeCell ref="S632:S633"/>
    <mergeCell ref="T632:T633"/>
    <mergeCell ref="U632:U633"/>
    <mergeCell ref="V632:V633"/>
    <mergeCell ref="W632:W633"/>
    <mergeCell ref="X632:X633"/>
    <mergeCell ref="Y632:Y633"/>
    <mergeCell ref="Z632:Z633"/>
    <mergeCell ref="AA632:AA633"/>
    <mergeCell ref="R634:R635"/>
    <mergeCell ref="S634:S635"/>
    <mergeCell ref="T634:T635"/>
    <mergeCell ref="U634:U635"/>
    <mergeCell ref="V634:V635"/>
    <mergeCell ref="W634:W635"/>
    <mergeCell ref="X634:X635"/>
    <mergeCell ref="Y634:Y635"/>
    <mergeCell ref="Z634:Z635"/>
    <mergeCell ref="AA634:AA635"/>
    <mergeCell ref="S643:S644"/>
    <mergeCell ref="T643:T644"/>
    <mergeCell ref="U643:U644"/>
    <mergeCell ref="V643:V644"/>
    <mergeCell ref="W643:W644"/>
    <mergeCell ref="X643:X644"/>
    <mergeCell ref="Y643:Y644"/>
    <mergeCell ref="Z643:Z644"/>
    <mergeCell ref="AA643:AA644"/>
    <mergeCell ref="AB643:AB644"/>
    <mergeCell ref="S654:S655"/>
    <mergeCell ref="T654:T655"/>
    <mergeCell ref="U654:U655"/>
    <mergeCell ref="V654:V655"/>
    <mergeCell ref="W654:W655"/>
    <mergeCell ref="X654:X655"/>
    <mergeCell ref="Y654:Y655"/>
    <mergeCell ref="Z654:Z655"/>
    <mergeCell ref="AA654:AA655"/>
    <mergeCell ref="AB654:AB655"/>
    <mergeCell ref="S656:S657"/>
    <mergeCell ref="T656:T657"/>
    <mergeCell ref="U656:U657"/>
    <mergeCell ref="V656:V657"/>
    <mergeCell ref="W656:W657"/>
    <mergeCell ref="X656:X657"/>
    <mergeCell ref="Y656:Y657"/>
    <mergeCell ref="Z656:Z657"/>
    <mergeCell ref="AA656:AA657"/>
    <mergeCell ref="AB656:AB657"/>
    <mergeCell ref="T665:T666"/>
    <mergeCell ref="U665:U666"/>
    <mergeCell ref="V665:V666"/>
    <mergeCell ref="W665:W666"/>
    <mergeCell ref="X665:X666"/>
    <mergeCell ref="Y665:Y666"/>
    <mergeCell ref="Z665:Z666"/>
    <mergeCell ref="AA665:AA666"/>
    <mergeCell ref="AB665:AB666"/>
    <mergeCell ref="AC665:AC666"/>
    <mergeCell ref="T676:T677"/>
    <mergeCell ref="U676:U677"/>
    <mergeCell ref="V676:V677"/>
    <mergeCell ref="W676:W677"/>
    <mergeCell ref="X676:X677"/>
    <mergeCell ref="Y676:Y677"/>
    <mergeCell ref="Z676:Z677"/>
    <mergeCell ref="AA676:AA677"/>
    <mergeCell ref="AB676:AB677"/>
    <mergeCell ref="AC676:AC677"/>
    <mergeCell ref="T678:T679"/>
    <mergeCell ref="U678:U679"/>
    <mergeCell ref="V678:V679"/>
    <mergeCell ref="W678:W679"/>
    <mergeCell ref="X678:X679"/>
    <mergeCell ref="Y678:Y679"/>
    <mergeCell ref="Z678:Z679"/>
    <mergeCell ref="AA678:AA679"/>
    <mergeCell ref="AB678:AB679"/>
    <mergeCell ref="AC678:AC679"/>
    <mergeCell ref="U687:U688"/>
    <mergeCell ref="V687:V688"/>
    <mergeCell ref="W687:W688"/>
    <mergeCell ref="X687:X688"/>
    <mergeCell ref="Y687:Y688"/>
    <mergeCell ref="Z687:Z688"/>
    <mergeCell ref="AA687:AA688"/>
    <mergeCell ref="AB687:AB688"/>
    <mergeCell ref="AC687:AC688"/>
    <mergeCell ref="AD687:AD688"/>
    <mergeCell ref="U698:U699"/>
    <mergeCell ref="V698:V699"/>
    <mergeCell ref="W698:W699"/>
    <mergeCell ref="X698:X699"/>
    <mergeCell ref="Y698:Y699"/>
    <mergeCell ref="Z698:Z699"/>
    <mergeCell ref="AA698:AA699"/>
    <mergeCell ref="AB698:AB699"/>
    <mergeCell ref="AC698:AC699"/>
    <mergeCell ref="AD698:AD699"/>
    <mergeCell ref="U700:U701"/>
    <mergeCell ref="V700:V701"/>
    <mergeCell ref="W700:W701"/>
    <mergeCell ref="X700:X701"/>
    <mergeCell ref="Y700:Y701"/>
    <mergeCell ref="Z700:Z701"/>
    <mergeCell ref="AA700:AA701"/>
    <mergeCell ref="AB700:AB701"/>
    <mergeCell ref="AC700:AC701"/>
    <mergeCell ref="AD700:AD701"/>
    <mergeCell ref="V709:V710"/>
    <mergeCell ref="W709:W710"/>
    <mergeCell ref="X709:X710"/>
    <mergeCell ref="Y709:Y710"/>
    <mergeCell ref="Z709:Z710"/>
    <mergeCell ref="AA709:AA710"/>
    <mergeCell ref="AB709:AB710"/>
    <mergeCell ref="AC709:AC710"/>
    <mergeCell ref="AD709:AD710"/>
    <mergeCell ref="AE709:AE710"/>
    <mergeCell ref="V720:V721"/>
    <mergeCell ref="W720:W721"/>
    <mergeCell ref="X720:X721"/>
    <mergeCell ref="Y720:Y721"/>
    <mergeCell ref="Z720:Z721"/>
    <mergeCell ref="AA720:AA721"/>
    <mergeCell ref="AB720:AB721"/>
    <mergeCell ref="AC720:AC721"/>
    <mergeCell ref="AD720:AD721"/>
    <mergeCell ref="AE720:AE721"/>
    <mergeCell ref="V722:V723"/>
    <mergeCell ref="W722:W723"/>
    <mergeCell ref="X722:X723"/>
    <mergeCell ref="Y722:Y723"/>
    <mergeCell ref="Z722:Z723"/>
    <mergeCell ref="AA722:AA723"/>
    <mergeCell ref="AB722:AB723"/>
    <mergeCell ref="AC722:AC723"/>
    <mergeCell ref="AD722:AD723"/>
    <mergeCell ref="AE722:AE723"/>
    <mergeCell ref="W731:W732"/>
    <mergeCell ref="X731:X732"/>
    <mergeCell ref="Y731:Y732"/>
    <mergeCell ref="Z731:Z732"/>
    <mergeCell ref="AA731:AA732"/>
    <mergeCell ref="AB731:AB732"/>
    <mergeCell ref="AC731:AC732"/>
    <mergeCell ref="AD731:AD732"/>
    <mergeCell ref="AE731:AE732"/>
    <mergeCell ref="AF731:AF732"/>
    <mergeCell ref="W742:W743"/>
    <mergeCell ref="X742:X743"/>
    <mergeCell ref="Y742:Y743"/>
    <mergeCell ref="Z742:Z743"/>
    <mergeCell ref="AA742:AA743"/>
    <mergeCell ref="AB742:AB743"/>
    <mergeCell ref="AC742:AC743"/>
    <mergeCell ref="AD742:AD743"/>
    <mergeCell ref="AE742:AE743"/>
    <mergeCell ref="AF742:AF743"/>
    <mergeCell ref="W744:W745"/>
    <mergeCell ref="X744:X745"/>
    <mergeCell ref="Y744:Y745"/>
    <mergeCell ref="Z744:Z745"/>
    <mergeCell ref="AA744:AA745"/>
    <mergeCell ref="AB744:AB745"/>
    <mergeCell ref="AC744:AC745"/>
    <mergeCell ref="AD744:AD745"/>
    <mergeCell ref="AE744:AE745"/>
    <mergeCell ref="AF744:AF745"/>
    <mergeCell ref="X753:X754"/>
    <mergeCell ref="Y753:Y754"/>
    <mergeCell ref="Z753:Z754"/>
    <mergeCell ref="AA753:AA754"/>
    <mergeCell ref="AB753:AB754"/>
    <mergeCell ref="AC753:AC754"/>
    <mergeCell ref="AD753:AD754"/>
    <mergeCell ref="AE753:AE754"/>
    <mergeCell ref="AF753:AF754"/>
    <mergeCell ref="AG753:AG754"/>
    <mergeCell ref="X764:X765"/>
    <mergeCell ref="Y764:Y765"/>
    <mergeCell ref="Z764:Z765"/>
    <mergeCell ref="AA764:AA765"/>
    <mergeCell ref="AB764:AB765"/>
    <mergeCell ref="AC764:AC765"/>
    <mergeCell ref="AD764:AD765"/>
    <mergeCell ref="AE764:AE765"/>
    <mergeCell ref="AF764:AF765"/>
    <mergeCell ref="AG764:AG765"/>
    <mergeCell ref="X766:X767"/>
    <mergeCell ref="Y766:Y767"/>
    <mergeCell ref="Z766:Z767"/>
    <mergeCell ref="AA766:AA767"/>
    <mergeCell ref="AB766:AB767"/>
    <mergeCell ref="AC766:AC767"/>
    <mergeCell ref="AD766:AD767"/>
    <mergeCell ref="AE766:AE767"/>
    <mergeCell ref="AF766:AF767"/>
    <mergeCell ref="AG766:AG767"/>
    <mergeCell ref="O776:O777"/>
    <mergeCell ref="P776:P777"/>
    <mergeCell ref="Q776:Q777"/>
    <mergeCell ref="R776:R777"/>
    <mergeCell ref="S776:S777"/>
    <mergeCell ref="T776:T777"/>
    <mergeCell ref="U776:U777"/>
    <mergeCell ref="V776:V777"/>
    <mergeCell ref="W776:W777"/>
    <mergeCell ref="X776:X777"/>
    <mergeCell ref="O778:O779"/>
    <mergeCell ref="P778:P779"/>
    <mergeCell ref="Q778:Q779"/>
    <mergeCell ref="R778:R779"/>
    <mergeCell ref="S778:S779"/>
    <mergeCell ref="T778:T779"/>
    <mergeCell ref="U778:U779"/>
    <mergeCell ref="V778:V779"/>
    <mergeCell ref="W778:W779"/>
    <mergeCell ref="X778:X779"/>
    <mergeCell ref="O780:O781"/>
    <mergeCell ref="P780:P781"/>
    <mergeCell ref="Q780:Q781"/>
    <mergeCell ref="R780:R781"/>
    <mergeCell ref="S780:S781"/>
    <mergeCell ref="T780:T781"/>
    <mergeCell ref="U780:U781"/>
    <mergeCell ref="V780:V781"/>
    <mergeCell ref="W780:W781"/>
    <mergeCell ref="X780:X781"/>
    <mergeCell ref="O782:O783"/>
    <mergeCell ref="P782:P783"/>
    <mergeCell ref="Q782:Q783"/>
    <mergeCell ref="R782:R783"/>
    <mergeCell ref="S782:S783"/>
    <mergeCell ref="T782:T783"/>
    <mergeCell ref="U782:U783"/>
    <mergeCell ref="V782:V783"/>
    <mergeCell ref="W782:W783"/>
    <mergeCell ref="X782:X783"/>
    <mergeCell ref="O786:O787"/>
    <mergeCell ref="P786:P787"/>
    <mergeCell ref="Q786:Q787"/>
    <mergeCell ref="R786:R787"/>
    <mergeCell ref="S786:S787"/>
    <mergeCell ref="T786:T787"/>
    <mergeCell ref="U786:U787"/>
    <mergeCell ref="V786:V787"/>
    <mergeCell ref="W786:W787"/>
    <mergeCell ref="X786:X787"/>
    <mergeCell ref="O788:O789"/>
    <mergeCell ref="P788:P789"/>
    <mergeCell ref="Q788:Q789"/>
    <mergeCell ref="R788:R789"/>
    <mergeCell ref="S788:S789"/>
    <mergeCell ref="T788:T789"/>
    <mergeCell ref="U788:U789"/>
    <mergeCell ref="V788:V789"/>
    <mergeCell ref="W788:W789"/>
    <mergeCell ref="X788:X789"/>
    <mergeCell ref="O790:O791"/>
    <mergeCell ref="P790:P791"/>
    <mergeCell ref="Q790:Q791"/>
    <mergeCell ref="R790:R791"/>
    <mergeCell ref="S790:S791"/>
    <mergeCell ref="T790:T791"/>
    <mergeCell ref="U790:U791"/>
    <mergeCell ref="V790:V791"/>
    <mergeCell ref="W790:W791"/>
    <mergeCell ref="X790:X791"/>
    <mergeCell ref="O794:O795"/>
    <mergeCell ref="P794:P795"/>
    <mergeCell ref="Q794:Q795"/>
    <mergeCell ref="R794:R795"/>
    <mergeCell ref="S794:S795"/>
    <mergeCell ref="T794:T795"/>
    <mergeCell ref="U794:U795"/>
    <mergeCell ref="V794:V795"/>
    <mergeCell ref="W794:W795"/>
    <mergeCell ref="X794:X795"/>
    <mergeCell ref="P816:P817"/>
    <mergeCell ref="Q816:Q817"/>
    <mergeCell ref="R816:R817"/>
    <mergeCell ref="S816:S817"/>
    <mergeCell ref="T816:T817"/>
    <mergeCell ref="U816:U817"/>
    <mergeCell ref="V816:V817"/>
    <mergeCell ref="W816:W817"/>
    <mergeCell ref="X816:X817"/>
    <mergeCell ref="Y816:Y817"/>
    <mergeCell ref="O805:O806"/>
    <mergeCell ref="P805:P806"/>
    <mergeCell ref="Q805:Q806"/>
    <mergeCell ref="R805:R806"/>
    <mergeCell ref="S805:S806"/>
    <mergeCell ref="T805:T806"/>
    <mergeCell ref="U805:U806"/>
    <mergeCell ref="V805:V806"/>
    <mergeCell ref="W805:W806"/>
    <mergeCell ref="X805:X806"/>
    <mergeCell ref="O807:O808"/>
    <mergeCell ref="P807:P808"/>
    <mergeCell ref="Q807:Q808"/>
    <mergeCell ref="R807:R808"/>
    <mergeCell ref="S807:S808"/>
    <mergeCell ref="T807:T808"/>
    <mergeCell ref="U807:U808"/>
    <mergeCell ref="V807:V808"/>
    <mergeCell ref="W807:W808"/>
    <mergeCell ref="X807:X808"/>
    <mergeCell ref="P829:P830"/>
    <mergeCell ref="Q829:Q830"/>
    <mergeCell ref="R829:R830"/>
    <mergeCell ref="S829:S830"/>
    <mergeCell ref="T829:T830"/>
    <mergeCell ref="U829:U830"/>
    <mergeCell ref="V829:V830"/>
    <mergeCell ref="W829:W830"/>
    <mergeCell ref="X829:X830"/>
    <mergeCell ref="Y829:Y830"/>
    <mergeCell ref="P827:P828"/>
    <mergeCell ref="Q827:Q828"/>
    <mergeCell ref="R827:R828"/>
    <mergeCell ref="S827:S828"/>
    <mergeCell ref="T827:T828"/>
    <mergeCell ref="U827:U828"/>
    <mergeCell ref="V827:V828"/>
    <mergeCell ref="W827:W828"/>
    <mergeCell ref="X827:X828"/>
    <mergeCell ref="Y827:Y828"/>
    <mergeCell ref="Q838:Q839"/>
    <mergeCell ref="R838:R839"/>
    <mergeCell ref="S838:S839"/>
    <mergeCell ref="T838:T839"/>
    <mergeCell ref="U838:U839"/>
    <mergeCell ref="V838:V839"/>
    <mergeCell ref="W838:W839"/>
    <mergeCell ref="X838:X839"/>
    <mergeCell ref="Y838:Y839"/>
    <mergeCell ref="Z838:Z839"/>
    <mergeCell ref="Q849:Q850"/>
    <mergeCell ref="R849:R850"/>
    <mergeCell ref="S849:S850"/>
    <mergeCell ref="T849:T850"/>
    <mergeCell ref="U849:U850"/>
    <mergeCell ref="V849:V850"/>
    <mergeCell ref="W849:W850"/>
    <mergeCell ref="X849:X850"/>
    <mergeCell ref="Y849:Y850"/>
    <mergeCell ref="Z849:Z850"/>
    <mergeCell ref="Q851:Q852"/>
    <mergeCell ref="R851:R852"/>
    <mergeCell ref="S851:S852"/>
    <mergeCell ref="T851:T852"/>
    <mergeCell ref="U851:U852"/>
    <mergeCell ref="V851:V852"/>
    <mergeCell ref="W851:W852"/>
    <mergeCell ref="X851:X852"/>
    <mergeCell ref="Y851:Y852"/>
    <mergeCell ref="Z851:Z852"/>
    <mergeCell ref="R860:R861"/>
    <mergeCell ref="S860:S861"/>
    <mergeCell ref="T860:T861"/>
    <mergeCell ref="U860:U861"/>
    <mergeCell ref="V860:V861"/>
    <mergeCell ref="W860:W861"/>
    <mergeCell ref="X860:X861"/>
    <mergeCell ref="Y860:Y861"/>
    <mergeCell ref="Z860:Z861"/>
    <mergeCell ref="AA860:AA861"/>
    <mergeCell ref="R871:R872"/>
    <mergeCell ref="S871:S872"/>
    <mergeCell ref="T871:T872"/>
    <mergeCell ref="U871:U872"/>
    <mergeCell ref="V871:V872"/>
    <mergeCell ref="W871:W872"/>
    <mergeCell ref="X871:X872"/>
    <mergeCell ref="Y871:Y872"/>
    <mergeCell ref="Z871:Z872"/>
    <mergeCell ref="AA871:AA872"/>
    <mergeCell ref="R873:R874"/>
    <mergeCell ref="S873:S874"/>
    <mergeCell ref="T873:T874"/>
    <mergeCell ref="U873:U874"/>
    <mergeCell ref="V873:V874"/>
    <mergeCell ref="W873:W874"/>
    <mergeCell ref="X873:X874"/>
    <mergeCell ref="Y873:Y874"/>
    <mergeCell ref="Z873:Z874"/>
    <mergeCell ref="AA873:AA874"/>
    <mergeCell ref="S882:S883"/>
    <mergeCell ref="T882:T883"/>
    <mergeCell ref="U882:U883"/>
    <mergeCell ref="V882:V883"/>
    <mergeCell ref="W882:W883"/>
    <mergeCell ref="X882:X883"/>
    <mergeCell ref="Y882:Y883"/>
    <mergeCell ref="Z882:Z883"/>
    <mergeCell ref="AA882:AA883"/>
    <mergeCell ref="AB882:AB883"/>
    <mergeCell ref="S893:S894"/>
    <mergeCell ref="T893:T894"/>
    <mergeCell ref="U893:U894"/>
    <mergeCell ref="V893:V894"/>
    <mergeCell ref="W893:W894"/>
    <mergeCell ref="X893:X894"/>
    <mergeCell ref="Y893:Y894"/>
    <mergeCell ref="Z893:Z894"/>
    <mergeCell ref="AA893:AA894"/>
    <mergeCell ref="AB893:AB894"/>
    <mergeCell ref="S895:S896"/>
    <mergeCell ref="T895:T896"/>
    <mergeCell ref="U895:U896"/>
    <mergeCell ref="V895:V896"/>
    <mergeCell ref="W895:W896"/>
    <mergeCell ref="X895:X896"/>
    <mergeCell ref="Y895:Y896"/>
    <mergeCell ref="Z895:Z896"/>
    <mergeCell ref="AA895:AA896"/>
    <mergeCell ref="AB895:AB896"/>
    <mergeCell ref="T904:T905"/>
    <mergeCell ref="U904:U905"/>
    <mergeCell ref="V904:V905"/>
    <mergeCell ref="W904:W905"/>
    <mergeCell ref="X904:X905"/>
    <mergeCell ref="Y904:Y905"/>
    <mergeCell ref="Z904:Z905"/>
    <mergeCell ref="AA904:AA905"/>
    <mergeCell ref="AB904:AB905"/>
    <mergeCell ref="AC904:AC905"/>
    <mergeCell ref="T915:T916"/>
    <mergeCell ref="U915:U916"/>
    <mergeCell ref="V915:V916"/>
    <mergeCell ref="W915:W916"/>
    <mergeCell ref="X915:X916"/>
    <mergeCell ref="Y915:Y916"/>
    <mergeCell ref="Z915:Z916"/>
    <mergeCell ref="AA915:AA916"/>
    <mergeCell ref="AB915:AB916"/>
    <mergeCell ref="AC915:AC916"/>
    <mergeCell ref="T917:T918"/>
    <mergeCell ref="U917:U918"/>
    <mergeCell ref="V917:V918"/>
    <mergeCell ref="W917:W918"/>
    <mergeCell ref="X917:X918"/>
    <mergeCell ref="Y917:Y918"/>
    <mergeCell ref="Z917:Z918"/>
    <mergeCell ref="AA917:AA918"/>
    <mergeCell ref="AB917:AB918"/>
    <mergeCell ref="AC917:AC918"/>
    <mergeCell ref="U926:U927"/>
    <mergeCell ref="V926:V927"/>
    <mergeCell ref="W926:W927"/>
    <mergeCell ref="X926:X927"/>
    <mergeCell ref="Y926:Y927"/>
    <mergeCell ref="Z926:Z927"/>
    <mergeCell ref="AA926:AA927"/>
    <mergeCell ref="AB926:AB927"/>
    <mergeCell ref="AC926:AC927"/>
    <mergeCell ref="AD926:AD927"/>
    <mergeCell ref="U937:U938"/>
    <mergeCell ref="V937:V938"/>
    <mergeCell ref="W937:W938"/>
    <mergeCell ref="X937:X938"/>
    <mergeCell ref="Y937:Y938"/>
    <mergeCell ref="Z937:Z938"/>
    <mergeCell ref="AA937:AA938"/>
    <mergeCell ref="AB937:AB938"/>
    <mergeCell ref="AC937:AC938"/>
    <mergeCell ref="AD937:AD938"/>
    <mergeCell ref="U939:U940"/>
    <mergeCell ref="V939:V940"/>
    <mergeCell ref="W939:W940"/>
    <mergeCell ref="X939:X940"/>
    <mergeCell ref="Y939:Y940"/>
    <mergeCell ref="Z939:Z940"/>
    <mergeCell ref="AA939:AA940"/>
    <mergeCell ref="AB939:AB940"/>
    <mergeCell ref="AC939:AC940"/>
    <mergeCell ref="AD939:AD940"/>
    <mergeCell ref="V948:V949"/>
    <mergeCell ref="W948:W949"/>
    <mergeCell ref="X948:X949"/>
    <mergeCell ref="Y948:Y949"/>
    <mergeCell ref="Z948:Z949"/>
    <mergeCell ref="AA948:AA949"/>
    <mergeCell ref="AB948:AB949"/>
    <mergeCell ref="AC948:AC949"/>
    <mergeCell ref="AD948:AD949"/>
    <mergeCell ref="AE948:AE949"/>
    <mergeCell ref="V959:V960"/>
    <mergeCell ref="W959:W960"/>
    <mergeCell ref="X959:X960"/>
    <mergeCell ref="Y959:Y960"/>
    <mergeCell ref="Z959:Z960"/>
    <mergeCell ref="AA959:AA960"/>
    <mergeCell ref="AB959:AB960"/>
    <mergeCell ref="AC959:AC960"/>
    <mergeCell ref="AD959:AD960"/>
    <mergeCell ref="AE959:AE960"/>
    <mergeCell ref="V961:V962"/>
    <mergeCell ref="W961:W962"/>
    <mergeCell ref="X961:X962"/>
    <mergeCell ref="Y961:Y962"/>
    <mergeCell ref="Z961:Z962"/>
    <mergeCell ref="AA961:AA962"/>
    <mergeCell ref="AB961:AB962"/>
    <mergeCell ref="AC961:AC962"/>
    <mergeCell ref="AD961:AD962"/>
    <mergeCell ref="AE961:AE962"/>
    <mergeCell ref="AD983:AD984"/>
    <mergeCell ref="AE983:AE984"/>
    <mergeCell ref="AF983:AF984"/>
    <mergeCell ref="X992:X993"/>
    <mergeCell ref="Y992:Y993"/>
    <mergeCell ref="Z992:Z993"/>
    <mergeCell ref="AA992:AA993"/>
    <mergeCell ref="AB992:AB993"/>
    <mergeCell ref="AC992:AC993"/>
    <mergeCell ref="AD992:AD993"/>
    <mergeCell ref="AE992:AE993"/>
    <mergeCell ref="AF992:AF993"/>
    <mergeCell ref="W970:W971"/>
    <mergeCell ref="X970:X971"/>
    <mergeCell ref="Y970:Y971"/>
    <mergeCell ref="Z970:Z971"/>
    <mergeCell ref="AA970:AA971"/>
    <mergeCell ref="AB970:AB971"/>
    <mergeCell ref="AC970:AC971"/>
    <mergeCell ref="AD970:AD971"/>
    <mergeCell ref="AE970:AE971"/>
    <mergeCell ref="AF970:AF971"/>
    <mergeCell ref="W981:W982"/>
    <mergeCell ref="X981:X982"/>
    <mergeCell ref="Y981:Y982"/>
    <mergeCell ref="Z981:Z982"/>
    <mergeCell ref="AA981:AA982"/>
    <mergeCell ref="AB981:AB982"/>
    <mergeCell ref="AC981:AC982"/>
    <mergeCell ref="AD981:AD982"/>
    <mergeCell ref="AE981:AE982"/>
    <mergeCell ref="AF981:AF982"/>
    <mergeCell ref="C452:K452"/>
    <mergeCell ref="C476:K476"/>
    <mergeCell ref="C500:K500"/>
    <mergeCell ref="C524:K524"/>
    <mergeCell ref="AG992:AG993"/>
    <mergeCell ref="X1003:X1004"/>
    <mergeCell ref="Y1003:Y1004"/>
    <mergeCell ref="Z1003:Z1004"/>
    <mergeCell ref="AA1003:AA1004"/>
    <mergeCell ref="AB1003:AB1004"/>
    <mergeCell ref="AC1003:AC1004"/>
    <mergeCell ref="AD1003:AD1004"/>
    <mergeCell ref="AE1003:AE1004"/>
    <mergeCell ref="AF1003:AF1004"/>
    <mergeCell ref="AG1003:AG1004"/>
    <mergeCell ref="X1005:X1006"/>
    <mergeCell ref="Y1005:Y1006"/>
    <mergeCell ref="Z1005:Z1006"/>
    <mergeCell ref="AA1005:AA1006"/>
    <mergeCell ref="AB1005:AB1006"/>
    <mergeCell ref="AC1005:AC1006"/>
    <mergeCell ref="AD1005:AD1006"/>
    <mergeCell ref="AE1005:AE1006"/>
    <mergeCell ref="AF1005:AF1006"/>
    <mergeCell ref="AG1005:AG1006"/>
    <mergeCell ref="W983:W984"/>
    <mergeCell ref="X983:X984"/>
    <mergeCell ref="Y983:Y984"/>
    <mergeCell ref="Z983:Z984"/>
    <mergeCell ref="AA983:AA984"/>
    <mergeCell ref="AB983:AB984"/>
    <mergeCell ref="AC983:AC984"/>
  </mergeCell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240AA-D3A5-40C4-A4FA-0D72C1CE80B0}">
  <dimension ref="A1:AY994"/>
  <sheetViews>
    <sheetView zoomScale="50" zoomScaleNormal="50" workbookViewId="0">
      <pane ySplit="2" topLeftCell="A3" activePane="bottomLeft" state="frozen"/>
      <selection pane="bottomLeft" activeCell="Z60" sqref="Z60"/>
    </sheetView>
  </sheetViews>
  <sheetFormatPr defaultColWidth="8.85546875" defaultRowHeight="15" x14ac:dyDescent="0.25"/>
  <cols>
    <col min="1" max="1" width="8.85546875" style="4"/>
    <col min="2" max="2" width="19.28515625" style="4" customWidth="1"/>
    <col min="3" max="3" width="53.28515625" style="17" bestFit="1" customWidth="1"/>
    <col min="4" max="4" width="68.42578125" style="17" customWidth="1"/>
    <col min="5" max="5" width="10.85546875" style="17" customWidth="1"/>
    <col min="6" max="6" width="9.5703125" style="17" bestFit="1" customWidth="1"/>
    <col min="7" max="9" width="16" style="17" customWidth="1"/>
    <col min="10" max="11" width="13.7109375" style="17" customWidth="1"/>
    <col min="12" max="12" width="14.85546875" style="17" bestFit="1" customWidth="1"/>
    <col min="13" max="13" width="11.85546875" style="17" customWidth="1"/>
    <col min="14" max="14" width="11.28515625" style="4" customWidth="1"/>
    <col min="15" max="15" width="9.85546875" style="4" bestFit="1" customWidth="1"/>
    <col min="16" max="29" width="9.140625" style="4" customWidth="1"/>
    <col min="30" max="31" width="8.85546875" style="4"/>
    <col min="32" max="32" width="9.7109375" style="4" bestFit="1" customWidth="1"/>
    <col min="33" max="42" width="8.85546875" style="4"/>
    <col min="43" max="43" width="10.42578125" style="4" bestFit="1" customWidth="1"/>
    <col min="44" max="45" width="8.85546875" style="4"/>
    <col min="46" max="46" width="9.7109375" style="4" bestFit="1" customWidth="1"/>
    <col min="47" max="16384" width="8.85546875" style="4"/>
  </cols>
  <sheetData>
    <row r="1" spans="1:44" ht="29.45" customHeight="1" x14ac:dyDescent="0.35">
      <c r="A1" s="509" t="s">
        <v>0</v>
      </c>
      <c r="B1" s="511" t="s">
        <v>12</v>
      </c>
      <c r="C1" s="513" t="s">
        <v>1</v>
      </c>
      <c r="D1" s="515" t="s">
        <v>2</v>
      </c>
      <c r="E1" s="507" t="s">
        <v>171</v>
      </c>
      <c r="F1" s="507" t="s">
        <v>199</v>
      </c>
      <c r="G1" s="507" t="s">
        <v>169</v>
      </c>
      <c r="H1" s="507" t="s">
        <v>198</v>
      </c>
      <c r="I1" s="507" t="s">
        <v>170</v>
      </c>
      <c r="J1" s="507" t="s">
        <v>173</v>
      </c>
      <c r="K1" s="507" t="s">
        <v>172</v>
      </c>
      <c r="L1" s="507" t="s">
        <v>190</v>
      </c>
      <c r="M1" s="498" t="s">
        <v>191</v>
      </c>
      <c r="N1" s="500"/>
      <c r="O1" s="260">
        <v>1</v>
      </c>
      <c r="P1" s="261">
        <v>2</v>
      </c>
      <c r="Q1" s="262">
        <v>3</v>
      </c>
      <c r="R1" s="261">
        <v>4</v>
      </c>
      <c r="S1" s="262">
        <v>5</v>
      </c>
      <c r="T1" s="261">
        <v>6</v>
      </c>
      <c r="U1" s="262">
        <v>7</v>
      </c>
      <c r="V1" s="261">
        <v>8</v>
      </c>
      <c r="W1" s="262">
        <v>9</v>
      </c>
      <c r="X1" s="261">
        <v>10</v>
      </c>
      <c r="Y1" s="262">
        <v>11</v>
      </c>
      <c r="Z1" s="261">
        <v>12</v>
      </c>
      <c r="AA1" s="262">
        <v>13</v>
      </c>
      <c r="AB1" s="261">
        <v>14</v>
      </c>
      <c r="AC1" s="262">
        <v>15</v>
      </c>
      <c r="AD1" s="261">
        <v>16</v>
      </c>
      <c r="AE1" s="262">
        <v>17</v>
      </c>
      <c r="AF1" s="261">
        <v>18</v>
      </c>
      <c r="AG1" s="262">
        <v>19</v>
      </c>
      <c r="AH1" s="261">
        <v>20</v>
      </c>
      <c r="AI1" s="262">
        <v>21</v>
      </c>
      <c r="AJ1" s="261">
        <v>22</v>
      </c>
      <c r="AK1" s="262">
        <v>23</v>
      </c>
      <c r="AL1" s="261">
        <v>24</v>
      </c>
      <c r="AM1" s="262">
        <v>25</v>
      </c>
      <c r="AN1" s="261">
        <v>26</v>
      </c>
      <c r="AO1" s="262">
        <v>27</v>
      </c>
      <c r="AP1" s="261">
        <v>28</v>
      </c>
      <c r="AQ1" s="262">
        <v>29</v>
      </c>
      <c r="AR1" s="263">
        <v>30</v>
      </c>
    </row>
    <row r="2" spans="1:44" ht="28.15" customHeight="1" thickBot="1" x14ac:dyDescent="0.4">
      <c r="A2" s="510"/>
      <c r="B2" s="512"/>
      <c r="C2" s="514"/>
      <c r="D2" s="516"/>
      <c r="E2" s="508"/>
      <c r="F2" s="508"/>
      <c r="G2" s="508"/>
      <c r="H2" s="508"/>
      <c r="I2" s="508"/>
      <c r="J2" s="508"/>
      <c r="K2" s="508"/>
      <c r="L2" s="508"/>
      <c r="M2" s="499"/>
      <c r="N2" s="500"/>
      <c r="O2" s="259">
        <f>IF(O3="N.B.C.", 1, 0)</f>
        <v>0</v>
      </c>
      <c r="P2" s="264">
        <f t="shared" ref="P2:X2" si="0">IF(P3="N.B.C.", 1, 0)</f>
        <v>0</v>
      </c>
      <c r="Q2" s="264">
        <f t="shared" si="0"/>
        <v>0</v>
      </c>
      <c r="R2" s="264">
        <f t="shared" si="0"/>
        <v>0</v>
      </c>
      <c r="S2" s="264">
        <f t="shared" si="0"/>
        <v>0</v>
      </c>
      <c r="T2" s="264">
        <f t="shared" si="0"/>
        <v>0</v>
      </c>
      <c r="U2" s="264">
        <f t="shared" si="0"/>
        <v>0</v>
      </c>
      <c r="V2" s="264">
        <f t="shared" si="0"/>
        <v>0</v>
      </c>
      <c r="W2" s="264">
        <f t="shared" si="0"/>
        <v>0</v>
      </c>
      <c r="X2" s="264">
        <f t="shared" si="0"/>
        <v>0</v>
      </c>
      <c r="Y2" s="265"/>
      <c r="Z2" s="265"/>
      <c r="AA2" s="265"/>
      <c r="AB2" s="265"/>
      <c r="AC2" s="265"/>
      <c r="AD2" s="265"/>
      <c r="AE2" s="265"/>
      <c r="AF2" s="265"/>
      <c r="AG2" s="265"/>
      <c r="AH2" s="265"/>
      <c r="AI2" s="265"/>
      <c r="AJ2" s="265"/>
      <c r="AK2" s="265"/>
      <c r="AL2" s="265"/>
      <c r="AM2" s="265"/>
      <c r="AN2" s="265"/>
      <c r="AO2" s="265"/>
      <c r="AP2" s="265"/>
      <c r="AQ2" s="265"/>
      <c r="AR2" s="266"/>
    </row>
    <row r="3" spans="1:44" ht="44.45" customHeight="1" thickBot="1" x14ac:dyDescent="0.3">
      <c r="A3" s="98"/>
      <c r="B3" s="99"/>
      <c r="C3" s="114"/>
      <c r="D3" s="114"/>
      <c r="E3" s="114"/>
      <c r="F3" s="114"/>
      <c r="G3" s="114"/>
      <c r="H3" s="114"/>
      <c r="I3" s="114"/>
      <c r="J3" s="114"/>
      <c r="K3" s="114"/>
      <c r="L3" s="114"/>
      <c r="M3" s="115"/>
      <c r="O3" s="134" t="str">
        <f>IF(AND(ISNUMBER(Number_of_breeding_cycles), ISNUMBER(Frequency_of_breeding_cycle), Frequency_of_breeding_cycle&gt;0), "N.B.C.", "Error")</f>
        <v>Error</v>
      </c>
      <c r="P3" s="134" t="str">
        <f>IF(AND(ISNUMBER(Number_of_breeding_cycles), ISNUMBER(Frequency_of_breeding_cycle), Frequency_of_breeding_cycle=1), IF(O2&lt;Number_of_breeding_cycles, "N.B.C.", ""), "")</f>
        <v/>
      </c>
      <c r="Q3" s="134" t="str">
        <f>IF(AND(ISNUMBER(Number_of_breeding_cycles), ISNUMBER(Frequency_of_breeding_cycle), OR(Frequency_of_breeding_cycle=1,Frequency_of_breeding_cycle=2)), IF((O2+P2)&lt;Number_of_breeding_cycles,"N.B.C.", ""),"")</f>
        <v/>
      </c>
      <c r="R3" s="134" t="str">
        <f>IF(AND(ISNUMBER(Number_of_breeding_cycles), ISNUMBER(Frequency_of_breeding_cycle), OR(Frequency_of_breeding_cycle=1,Frequency_of_breeding_cycle=3)),  IF((O2+P2+Q2)&lt;Number_of_breeding_cycles, "N.B.C.", ""),"")</f>
        <v/>
      </c>
      <c r="S3" s="134" t="str">
        <f>IF(AND(ISNUMBER(Number_of_breeding_cycles),ISNUMBER(Frequency_of_breeding_cycle), OR(Frequency_of_breeding_cycle=1,Frequency_of_breeding_cycle=2,Frequency_of_breeding_cycle=4)),  IF((O2+P2+Q2+R2)&lt;Number_of_breeding_cycles, "N.B.C.", ""),"")</f>
        <v/>
      </c>
      <c r="T3" s="134" t="str">
        <f>IF(AND(ISNUMBER(Number_of_breeding_cycles), ISNUMBER(Frequency_of_breeding_cycle), OR(Frequency_of_breeding_cycle=1,Frequency_of_breeding_cycle=5)),  IF((O2+P2+Q2+R2+S2)&lt;Number_of_breeding_cycles, "N.B.C.", ""),"")</f>
        <v/>
      </c>
      <c r="U3" s="134" t="str">
        <f>IF(AND(ISNUMBER(Number_of_breeding_cycles), ISNUMBER(Frequency_of_breeding_cycle), OR(Frequency_of_breeding_cycle=1,Frequency_of_breeding_cycle=2, Frequency_of_breeding_cycle=3,Frequency_of_breeding_cycle=6)), IF((O2+P2+Q2+R2+S2+T2)&lt;Number_of_breeding_cycles, "N.B.C.", ""),"")</f>
        <v/>
      </c>
      <c r="V3" s="134" t="str">
        <f>IF(AND(ISNUMBER(Number_of_breeding_cycles), ISNUMBER(Frequency_of_breeding_cycle), OR(Frequency_of_breeding_cycle=1, Frequency_of_breeding_cycle=7)), IF((O2+P2+Q2+R2+S2+T2+U2)&lt;Number_of_breeding_cycles, "N.B.C.", ""),"")</f>
        <v/>
      </c>
      <c r="W3" s="134" t="str">
        <f>IF(AND(ISNUMBER(Number_of_breeding_cycles), ISNUMBER(Frequency_of_breeding_cycle), OR(Frequency_of_breeding_cycle=1,Frequency_of_breeding_cycle=2,Frequency_of_breeding_cycle=4,Frequency_of_breeding_cycle=8)), IF((O2+P2+Q2+R2+S2+T2+U2+V2)&lt;Number_of_breeding_cycles, "N.B.C.", ""),"")</f>
        <v/>
      </c>
      <c r="X3" s="134" t="str">
        <f>IF(AND(ISNUMBER(Number_of_breeding_cycles), ISNUMBER(Frequency_of_breeding_cycle), OR(Frequency_of_breeding_cycle=1,Frequency_of_breeding_cycle=3,Frequency_of_breeding_cycle=9)), IF((O2+P2+Q2+R2+S2+T2+U2+V2+W2)&lt;Number_of_breeding_cycles, "N.B.C.", ""),"")</f>
        <v/>
      </c>
      <c r="Y3" s="135"/>
      <c r="Z3" s="135"/>
      <c r="AA3" s="135"/>
      <c r="AB3" s="135"/>
      <c r="AC3" s="135"/>
      <c r="AD3" s="135"/>
      <c r="AE3" s="135"/>
      <c r="AF3" s="135"/>
      <c r="AG3" s="135"/>
      <c r="AH3" s="135"/>
      <c r="AI3" s="135"/>
      <c r="AJ3" s="13"/>
      <c r="AK3" s="13"/>
      <c r="AL3" s="13"/>
      <c r="AM3" s="13"/>
      <c r="AN3" s="13"/>
      <c r="AO3" s="13"/>
      <c r="AP3" s="13"/>
      <c r="AQ3" s="13"/>
      <c r="AR3" s="13"/>
    </row>
    <row r="4" spans="1:44" x14ac:dyDescent="0.25">
      <c r="A4" s="501" t="str">
        <f>First_Stage</f>
        <v>Crossing Stage</v>
      </c>
      <c r="B4" s="503">
        <f>'Breeding Inputs'!I7</f>
        <v>0</v>
      </c>
      <c r="C4" s="116" t="str">
        <f>'Cost Inputs'!A4</f>
        <v>1.1 Germplasm Collection</v>
      </c>
      <c r="D4" s="92" t="str">
        <f>IF(OR('Cost Inputs'!H4&lt;&gt;"", 'Cost Inputs'!I4&lt;&gt;"", 'Cost Inputs'!J4&lt;&gt;""), 'Cost Inputs'!G4,"")</f>
        <v/>
      </c>
      <c r="E4" s="92" t="str">
        <f>IF(AND(C4&lt;&gt;"", 'Cost Inputs'!H4&lt;&gt;""), 'Cost Inputs'!H4, "")</f>
        <v/>
      </c>
      <c r="F4" s="92" t="str">
        <f>IF('Cost Inputs'!$I4&lt;&gt;"", 'Cost Inputs'!$I4, "")</f>
        <v/>
      </c>
      <c r="G4" s="92" t="str">
        <f t="shared" ref="G4:G68" si="1">IF(AND($E4&lt;&gt;"", $E4&gt;0, F4&lt;&gt;""), F4/$E4, "")</f>
        <v/>
      </c>
      <c r="H4" s="92" t="str">
        <f>IF('Cost Inputs'!$J4&lt;&gt;"", 'Cost Inputs'!$J4, "")</f>
        <v/>
      </c>
      <c r="I4" s="92" t="str">
        <f>IF(AND($E4&lt;&gt;"", $H4&lt;&gt;""), $H4/$E4, "")</f>
        <v/>
      </c>
      <c r="J4" s="92" t="str">
        <f>IF(('Cost Inputs'!I4+'Cost Inputs'!J4+'Cost Inputs'!K4)&gt;0, 'Cost Inputs'!I4+'Cost Inputs'!J4+'Cost Inputs'!K4, "")</f>
        <v/>
      </c>
      <c r="K4" s="92" t="str">
        <f>IF('Cost Inputs'!$N4&gt;0,'Cost Inputs'!$N4,"")</f>
        <v/>
      </c>
      <c r="L4" s="92"/>
      <c r="M4" s="101"/>
      <c r="O4" s="116" t="str">
        <f>IF(ISNUMBER('Model_ of_individuals'!O4), 'Model_ of_individuals'!O4*'Model_ of_individuals'!$K4,"")</f>
        <v/>
      </c>
      <c r="P4" s="92" t="str">
        <f>IF(ISNUMBER('Model_ of_individuals'!P4), 'Model_ of_individuals'!P4*'Model_ of_individuals'!$K4,"")</f>
        <v/>
      </c>
      <c r="Q4" s="92" t="str">
        <f>IF(ISNUMBER('Model_ of_individuals'!Q4), 'Model_ of_individuals'!Q4*'Model_ of_individuals'!$K4,"")</f>
        <v/>
      </c>
      <c r="R4" s="92" t="str">
        <f>IF(ISNUMBER('Model_ of_individuals'!R4), 'Model_ of_individuals'!R4*'Model_ of_individuals'!$K4,"")</f>
        <v/>
      </c>
      <c r="S4" s="92" t="str">
        <f>IF(ISNUMBER('Model_ of_individuals'!S4), 'Model_ of_individuals'!S4*'Model_ of_individuals'!$K4,"")</f>
        <v/>
      </c>
      <c r="T4" s="92" t="str">
        <f>IF(ISNUMBER('Model_ of_individuals'!T4), 'Model_ of_individuals'!T4*'Model_ of_individuals'!$K4,"")</f>
        <v/>
      </c>
      <c r="U4" s="92" t="str">
        <f>IF(ISNUMBER('Model_ of_individuals'!U4), 'Model_ of_individuals'!U4*'Model_ of_individuals'!$K4,"")</f>
        <v/>
      </c>
      <c r="V4" s="92" t="str">
        <f>IF(ISNUMBER('Model_ of_individuals'!V4), 'Model_ of_individuals'!V4*'Model_ of_individuals'!$K4,"")</f>
        <v/>
      </c>
      <c r="W4" s="92" t="str">
        <f>IF(ISNUMBER('Model_ of_individuals'!W4), 'Model_ of_individuals'!W4*'Model_ of_individuals'!$K4,"")</f>
        <v/>
      </c>
      <c r="X4" s="101" t="str">
        <f>IF(ISNUMBER('Model_ of_individuals'!X4), 'Model_ of_individuals'!X4*'Model_ of_individuals'!$K4,"")</f>
        <v/>
      </c>
    </row>
    <row r="5" spans="1:44" x14ac:dyDescent="0.25">
      <c r="A5" s="501"/>
      <c r="B5" s="504"/>
      <c r="C5" s="104" t="str">
        <f>IF(OR('Cost Inputs'!H5&lt;&gt;"", 'Cost Inputs'!I5&lt;&gt;"", 'Cost Inputs'!J5&lt;&gt;""), 'Cost Inputs'!A5, "")</f>
        <v/>
      </c>
      <c r="D5" s="17" t="str">
        <f>IF(AND(C5&lt;&gt;"", 'Cost Inputs'!G5&lt;&gt;""), 'Cost Inputs'!G5, "")</f>
        <v/>
      </c>
      <c r="E5" s="17" t="str">
        <f>IF(AND(C5&lt;&gt;"", 'Cost Inputs'!H5&lt;&gt;""), 'Cost Inputs'!H5, "")</f>
        <v/>
      </c>
      <c r="F5" s="105" t="str">
        <f>IF('Cost Inputs'!$I5&lt;&gt;"", 'Cost Inputs'!$I5, "")</f>
        <v/>
      </c>
      <c r="G5" s="105" t="str">
        <f t="shared" si="1"/>
        <v/>
      </c>
      <c r="H5" s="105" t="str">
        <f>IF('Cost Inputs'!$J5&lt;&gt;"", 'Cost Inputs'!$J5, "")</f>
        <v/>
      </c>
      <c r="I5" s="105" t="str">
        <f t="shared" ref="I5:I40" si="2">IF(AND($E5&lt;&gt;"", $H5&lt;&gt;""), $H5/$E5, "")</f>
        <v/>
      </c>
      <c r="J5" s="105" t="str">
        <f>IF(('Cost Inputs'!I5+'Cost Inputs'!J5+'Cost Inputs'!K5)&gt;0, 'Cost Inputs'!I5+'Cost Inputs'!J5+'Cost Inputs'!K5, "")</f>
        <v/>
      </c>
      <c r="K5" s="105" t="str">
        <f>IF('Cost Inputs'!$N5&gt;0,'Cost Inputs'!$N5,"")</f>
        <v/>
      </c>
      <c r="M5" s="106"/>
      <c r="O5" s="104" t="str">
        <f>IF(ISNUMBER('Model_ of_individuals'!O5), 'Model_ of_individuals'!O5*'Model_ of_individuals'!$K5,"")</f>
        <v/>
      </c>
      <c r="P5" s="17" t="str">
        <f>IF(ISNUMBER('Model_ of_individuals'!P5), 'Model_ of_individuals'!P5*'Model_ of_individuals'!$K5,"")</f>
        <v/>
      </c>
      <c r="Q5" s="17" t="str">
        <f>IF(ISNUMBER('Model_ of_individuals'!Q5), 'Model_ of_individuals'!Q5*'Model_ of_individuals'!$K5,"")</f>
        <v/>
      </c>
      <c r="R5" s="17" t="str">
        <f>IF(ISNUMBER('Model_ of_individuals'!R5), 'Model_ of_individuals'!R5*'Model_ of_individuals'!$K5,"")</f>
        <v/>
      </c>
      <c r="S5" s="17" t="str">
        <f>IF(ISNUMBER('Model_ of_individuals'!S5), 'Model_ of_individuals'!S5*'Model_ of_individuals'!$K5,"")</f>
        <v/>
      </c>
      <c r="T5" s="17" t="str">
        <f>IF(ISNUMBER('Model_ of_individuals'!T5), 'Model_ of_individuals'!T5*'Model_ of_individuals'!$K5,"")</f>
        <v/>
      </c>
      <c r="U5" s="17" t="str">
        <f>IF(ISNUMBER('Model_ of_individuals'!U5), 'Model_ of_individuals'!U5*'Model_ of_individuals'!$K5,"")</f>
        <v/>
      </c>
      <c r="V5" s="17" t="str">
        <f>IF(ISNUMBER('Model_ of_individuals'!V5), 'Model_ of_individuals'!V5*'Model_ of_individuals'!$K5,"")</f>
        <v/>
      </c>
      <c r="W5" s="17" t="str">
        <f>IF(ISNUMBER('Model_ of_individuals'!W5), 'Model_ of_individuals'!W5*'Model_ of_individuals'!$K5,"")</f>
        <v/>
      </c>
      <c r="X5" s="106" t="str">
        <f>IF(ISNUMBER('Model_ of_individuals'!X5), 'Model_ of_individuals'!X5*'Model_ of_individuals'!$K5,"")</f>
        <v/>
      </c>
    </row>
    <row r="6" spans="1:44" x14ac:dyDescent="0.25">
      <c r="A6" s="501"/>
      <c r="B6" s="504"/>
      <c r="C6" s="107" t="str">
        <f>IF(OR('Cost Inputs'!H6&lt;&gt;"", 'Cost Inputs'!I6&lt;&gt;"", 'Cost Inputs'!J6&lt;&gt;""), 'Cost Inputs'!A6, "")</f>
        <v/>
      </c>
      <c r="D6" s="93" t="str">
        <f>IF(AND(C6&lt;&gt;"", 'Cost Inputs'!G6&lt;&gt;""), 'Cost Inputs'!G6, "")</f>
        <v/>
      </c>
      <c r="E6" s="93" t="str">
        <f>IF(AND(C6&lt;&gt;"", 'Cost Inputs'!H6&lt;&gt;""), 'Cost Inputs'!H6, "")</f>
        <v/>
      </c>
      <c r="F6" s="108" t="str">
        <f>IF('Cost Inputs'!$I6&lt;&gt;"", 'Cost Inputs'!$I6, "")</f>
        <v/>
      </c>
      <c r="G6" s="108" t="str">
        <f t="shared" si="1"/>
        <v/>
      </c>
      <c r="H6" s="108" t="str">
        <f>IF('Cost Inputs'!$J6&lt;&gt;"", 'Cost Inputs'!$J6, "")</f>
        <v/>
      </c>
      <c r="I6" s="108" t="str">
        <f t="shared" si="2"/>
        <v/>
      </c>
      <c r="J6" s="108" t="str">
        <f>IF(('Cost Inputs'!I6+'Cost Inputs'!J6+'Cost Inputs'!K6)&gt;0, 'Cost Inputs'!I6+'Cost Inputs'!J6+'Cost Inputs'!K6, "")</f>
        <v/>
      </c>
      <c r="K6" s="108" t="str">
        <f>IF('Cost Inputs'!$N6&gt;0,'Cost Inputs'!$N6,"")</f>
        <v/>
      </c>
      <c r="L6" s="93"/>
      <c r="M6" s="109"/>
      <c r="O6" s="107" t="str">
        <f>IF(ISNUMBER('Model_ of_individuals'!O6), 'Model_ of_individuals'!O6*'Model_ of_individuals'!$K6,"")</f>
        <v/>
      </c>
      <c r="P6" s="93" t="str">
        <f>IF(ISNUMBER('Model_ of_individuals'!P6), 'Model_ of_individuals'!P6*'Model_ of_individuals'!$K6,"")</f>
        <v/>
      </c>
      <c r="Q6" s="93" t="str">
        <f>IF(ISNUMBER('Model_ of_individuals'!Q6), 'Model_ of_individuals'!Q6*'Model_ of_individuals'!$K6,"")</f>
        <v/>
      </c>
      <c r="R6" s="93" t="str">
        <f>IF(ISNUMBER('Model_ of_individuals'!R6), 'Model_ of_individuals'!R6*'Model_ of_individuals'!$K6,"")</f>
        <v/>
      </c>
      <c r="S6" s="93" t="str">
        <f>IF(ISNUMBER('Model_ of_individuals'!S6), 'Model_ of_individuals'!S6*'Model_ of_individuals'!$K6,"")</f>
        <v/>
      </c>
      <c r="T6" s="93" t="str">
        <f>IF(ISNUMBER('Model_ of_individuals'!T6), 'Model_ of_individuals'!T6*'Model_ of_individuals'!$K6,"")</f>
        <v/>
      </c>
      <c r="U6" s="93" t="str">
        <f>IF(ISNUMBER('Model_ of_individuals'!U6), 'Model_ of_individuals'!U6*'Model_ of_individuals'!$K6,"")</f>
        <v/>
      </c>
      <c r="V6" s="93" t="str">
        <f>IF(ISNUMBER('Model_ of_individuals'!V6), 'Model_ of_individuals'!V6*'Model_ of_individuals'!$K6,"")</f>
        <v/>
      </c>
      <c r="W6" s="93" t="str">
        <f>IF(ISNUMBER('Model_ of_individuals'!W6), 'Model_ of_individuals'!W6*'Model_ of_individuals'!$K6,"")</f>
        <v/>
      </c>
      <c r="X6" s="109" t="str">
        <f>IF(ISNUMBER('Model_ of_individuals'!X6), 'Model_ of_individuals'!X6*'Model_ of_individuals'!$K6,"")</f>
        <v/>
      </c>
    </row>
    <row r="7" spans="1:44" x14ac:dyDescent="0.25">
      <c r="A7" s="501"/>
      <c r="B7" s="504"/>
      <c r="C7" s="104" t="str">
        <f>IF(OR('Cost Inputs'!H7&lt;&gt;"", 'Cost Inputs'!I7&lt;&gt;"", 'Cost Inputs'!J7&lt;&gt;""), 'Cost Inputs'!A7, "")</f>
        <v/>
      </c>
      <c r="D7" s="17" t="str">
        <f>IF(AND(C7&lt;&gt;"", 'Cost Inputs'!G7&lt;&gt;""), 'Cost Inputs'!G7, "")</f>
        <v/>
      </c>
      <c r="E7" s="17" t="str">
        <f>IF(AND(C7&lt;&gt;"", 'Cost Inputs'!H7&lt;&gt;""), 'Cost Inputs'!H7, "")</f>
        <v/>
      </c>
      <c r="F7" s="105" t="str">
        <f>IF('Cost Inputs'!$I7&lt;&gt;"", 'Cost Inputs'!$I7, "")</f>
        <v/>
      </c>
      <c r="G7" s="105" t="str">
        <f t="shared" si="1"/>
        <v/>
      </c>
      <c r="H7" s="105" t="str">
        <f>IF('Cost Inputs'!$J7&lt;&gt;"", 'Cost Inputs'!$J7, "")</f>
        <v/>
      </c>
      <c r="I7" s="105" t="str">
        <f t="shared" si="2"/>
        <v/>
      </c>
      <c r="J7" s="105" t="str">
        <f>IF(('Cost Inputs'!I7+'Cost Inputs'!J7+'Cost Inputs'!K7)&gt;0, 'Cost Inputs'!I7+'Cost Inputs'!J7+'Cost Inputs'!K7, "")</f>
        <v/>
      </c>
      <c r="K7" s="105" t="str">
        <f>IF('Cost Inputs'!$N7&gt;0,'Cost Inputs'!$N7,"")</f>
        <v/>
      </c>
      <c r="M7" s="106"/>
      <c r="O7" s="104" t="str">
        <f>IF(ISNUMBER('Model_ of_individuals'!O7), 'Model_ of_individuals'!O7*'Model_ of_individuals'!$K7,"")</f>
        <v/>
      </c>
      <c r="P7" s="17" t="str">
        <f>IF(ISNUMBER('Model_ of_individuals'!P7), 'Model_ of_individuals'!P7*'Model_ of_individuals'!$K7,"")</f>
        <v/>
      </c>
      <c r="Q7" s="17" t="str">
        <f>IF(ISNUMBER('Model_ of_individuals'!Q7), 'Model_ of_individuals'!Q7*'Model_ of_individuals'!$K7,"")</f>
        <v/>
      </c>
      <c r="R7" s="17" t="str">
        <f>IF(ISNUMBER('Model_ of_individuals'!R7), 'Model_ of_individuals'!R7*'Model_ of_individuals'!$K7,"")</f>
        <v/>
      </c>
      <c r="S7" s="17" t="str">
        <f>IF(ISNUMBER('Model_ of_individuals'!S7), 'Model_ of_individuals'!S7*'Model_ of_individuals'!$K7,"")</f>
        <v/>
      </c>
      <c r="T7" s="17" t="str">
        <f>IF(ISNUMBER('Model_ of_individuals'!T7), 'Model_ of_individuals'!T7*'Model_ of_individuals'!$K7,"")</f>
        <v/>
      </c>
      <c r="U7" s="17" t="str">
        <f>IF(ISNUMBER('Model_ of_individuals'!U7), 'Model_ of_individuals'!U7*'Model_ of_individuals'!$K7,"")</f>
        <v/>
      </c>
      <c r="V7" s="17" t="str">
        <f>IF(ISNUMBER('Model_ of_individuals'!V7), 'Model_ of_individuals'!V7*'Model_ of_individuals'!$K7,"")</f>
        <v/>
      </c>
      <c r="W7" s="17" t="str">
        <f>IF(ISNUMBER('Model_ of_individuals'!W7), 'Model_ of_individuals'!W7*'Model_ of_individuals'!$K7,"")</f>
        <v/>
      </c>
      <c r="X7" s="106" t="str">
        <f>IF(ISNUMBER('Model_ of_individuals'!X7), 'Model_ of_individuals'!X7*'Model_ of_individuals'!$K7,"")</f>
        <v/>
      </c>
    </row>
    <row r="8" spans="1:44" x14ac:dyDescent="0.25">
      <c r="A8" s="501"/>
      <c r="B8" s="504"/>
      <c r="C8" s="107" t="str">
        <f>IF(OR('Cost Inputs'!H8&lt;&gt;"", 'Cost Inputs'!I8&lt;&gt;"", 'Cost Inputs'!J8&lt;&gt;""), 'Cost Inputs'!A8, "")</f>
        <v/>
      </c>
      <c r="D8" s="93" t="str">
        <f>IF(AND(C8&lt;&gt;"", 'Cost Inputs'!G8&lt;&gt;""), 'Cost Inputs'!G8, "")</f>
        <v/>
      </c>
      <c r="E8" s="93" t="str">
        <f>IF(AND(C8&lt;&gt;"", 'Cost Inputs'!H8&lt;&gt;""), 'Cost Inputs'!H8, "")</f>
        <v/>
      </c>
      <c r="F8" s="108" t="str">
        <f>IF('Cost Inputs'!$I8&lt;&gt;"", 'Cost Inputs'!$I8, "")</f>
        <v/>
      </c>
      <c r="G8" s="108" t="str">
        <f t="shared" si="1"/>
        <v/>
      </c>
      <c r="H8" s="108" t="str">
        <f>IF('Cost Inputs'!$J8&lt;&gt;"", 'Cost Inputs'!$J8, "")</f>
        <v/>
      </c>
      <c r="I8" s="108" t="str">
        <f t="shared" si="2"/>
        <v/>
      </c>
      <c r="J8" s="108" t="str">
        <f>IF(('Cost Inputs'!I8+'Cost Inputs'!J8+'Cost Inputs'!K8)&gt;0, 'Cost Inputs'!I8+'Cost Inputs'!J8+'Cost Inputs'!K8, "")</f>
        <v/>
      </c>
      <c r="K8" s="108" t="str">
        <f>IF('Cost Inputs'!$N8&gt;0,'Cost Inputs'!$N8,"")</f>
        <v/>
      </c>
      <c r="L8" s="93"/>
      <c r="M8" s="109"/>
      <c r="O8" s="107" t="str">
        <f>IF(ISNUMBER('Model_ of_individuals'!O8), 'Model_ of_individuals'!O8*'Model_ of_individuals'!$K8,"")</f>
        <v/>
      </c>
      <c r="P8" s="93" t="str">
        <f>IF(ISNUMBER('Model_ of_individuals'!P8), 'Model_ of_individuals'!P8*'Model_ of_individuals'!$K8,"")</f>
        <v/>
      </c>
      <c r="Q8" s="93" t="str">
        <f>IF(ISNUMBER('Model_ of_individuals'!Q8), 'Model_ of_individuals'!Q8*'Model_ of_individuals'!$K8,"")</f>
        <v/>
      </c>
      <c r="R8" s="93" t="str">
        <f>IF(ISNUMBER('Model_ of_individuals'!R8), 'Model_ of_individuals'!R8*'Model_ of_individuals'!$K8,"")</f>
        <v/>
      </c>
      <c r="S8" s="93" t="str">
        <f>IF(ISNUMBER('Model_ of_individuals'!S8), 'Model_ of_individuals'!S8*'Model_ of_individuals'!$K8,"")</f>
        <v/>
      </c>
      <c r="T8" s="93" t="str">
        <f>IF(ISNUMBER('Model_ of_individuals'!T8), 'Model_ of_individuals'!T8*'Model_ of_individuals'!$K8,"")</f>
        <v/>
      </c>
      <c r="U8" s="93" t="str">
        <f>IF(ISNUMBER('Model_ of_individuals'!U8), 'Model_ of_individuals'!U8*'Model_ of_individuals'!$K8,"")</f>
        <v/>
      </c>
      <c r="V8" s="93" t="str">
        <f>IF(ISNUMBER('Model_ of_individuals'!V8), 'Model_ of_individuals'!V8*'Model_ of_individuals'!$K8,"")</f>
        <v/>
      </c>
      <c r="W8" s="93" t="str">
        <f>IF(ISNUMBER('Model_ of_individuals'!W8), 'Model_ of_individuals'!W8*'Model_ of_individuals'!$K8,"")</f>
        <v/>
      </c>
      <c r="X8" s="109" t="str">
        <f>IF(ISNUMBER('Model_ of_individuals'!X8), 'Model_ of_individuals'!X8*'Model_ of_individuals'!$K8,"")</f>
        <v/>
      </c>
    </row>
    <row r="9" spans="1:44" x14ac:dyDescent="0.25">
      <c r="A9" s="501"/>
      <c r="B9" s="504"/>
      <c r="C9" s="104" t="str">
        <f>IF(OR('Cost Inputs'!H9&lt;&gt;"", 'Cost Inputs'!I9&lt;&gt;"", 'Cost Inputs'!J9&lt;&gt;""), 'Cost Inputs'!A9, "")</f>
        <v/>
      </c>
      <c r="D9" s="17" t="str">
        <f>IF(AND(C9&lt;&gt;"", 'Cost Inputs'!G9&lt;&gt;""), 'Cost Inputs'!G9, "")</f>
        <v/>
      </c>
      <c r="E9" s="17" t="str">
        <f>IF(AND(C9&lt;&gt;"", 'Cost Inputs'!H9&lt;&gt;""), 'Cost Inputs'!H9, "")</f>
        <v/>
      </c>
      <c r="F9" s="17" t="str">
        <f>IF('Cost Inputs'!$I9&lt;&gt;"", 'Cost Inputs'!$I9, "")</f>
        <v/>
      </c>
      <c r="G9" s="17" t="str">
        <f t="shared" si="1"/>
        <v/>
      </c>
      <c r="H9" s="17" t="str">
        <f>IF('Cost Inputs'!$J9&lt;&gt;"", 'Cost Inputs'!$J9, "")</f>
        <v/>
      </c>
      <c r="I9" s="17" t="str">
        <f t="shared" si="2"/>
        <v/>
      </c>
      <c r="J9" s="17" t="str">
        <f>IF(('Cost Inputs'!I9+'Cost Inputs'!J9+'Cost Inputs'!K9)&gt;0, 'Cost Inputs'!I9+'Cost Inputs'!J9+'Cost Inputs'!K9, "")</f>
        <v/>
      </c>
      <c r="K9" s="17" t="str">
        <f>IF('Cost Inputs'!$N9&gt;0,'Cost Inputs'!$N9,"")</f>
        <v/>
      </c>
      <c r="M9" s="106"/>
      <c r="O9" s="104" t="str">
        <f>IF(ISNUMBER('Model_ of_individuals'!O9), 'Model_ of_individuals'!O9*'Model_ of_individuals'!$K9,"")</f>
        <v/>
      </c>
      <c r="P9" s="17" t="str">
        <f>IF(ISNUMBER('Model_ of_individuals'!P9), 'Model_ of_individuals'!P9*'Model_ of_individuals'!$K9,"")</f>
        <v/>
      </c>
      <c r="Q9" s="17" t="str">
        <f>IF(ISNUMBER('Model_ of_individuals'!Q9), 'Model_ of_individuals'!Q9*'Model_ of_individuals'!$K9,"")</f>
        <v/>
      </c>
      <c r="R9" s="17" t="str">
        <f>IF(ISNUMBER('Model_ of_individuals'!R9), 'Model_ of_individuals'!R9*'Model_ of_individuals'!$K9,"")</f>
        <v/>
      </c>
      <c r="S9" s="17" t="str">
        <f>IF(ISNUMBER('Model_ of_individuals'!S9), 'Model_ of_individuals'!S9*'Model_ of_individuals'!$K9,"")</f>
        <v/>
      </c>
      <c r="T9" s="17" t="str">
        <f>IF(ISNUMBER('Model_ of_individuals'!T9), 'Model_ of_individuals'!T9*'Model_ of_individuals'!$K9,"")</f>
        <v/>
      </c>
      <c r="U9" s="17" t="str">
        <f>IF(ISNUMBER('Model_ of_individuals'!U9), 'Model_ of_individuals'!U9*'Model_ of_individuals'!$K9,"")</f>
        <v/>
      </c>
      <c r="V9" s="17" t="str">
        <f>IF(ISNUMBER('Model_ of_individuals'!V9), 'Model_ of_individuals'!V9*'Model_ of_individuals'!$K9,"")</f>
        <v/>
      </c>
      <c r="W9" s="17" t="str">
        <f>IF(ISNUMBER('Model_ of_individuals'!W9), 'Model_ of_individuals'!W9*'Model_ of_individuals'!$K9,"")</f>
        <v/>
      </c>
      <c r="X9" s="106" t="str">
        <f>IF(ISNUMBER('Model_ of_individuals'!X9), 'Model_ of_individuals'!X9*'Model_ of_individuals'!$K9,"")</f>
        <v/>
      </c>
    </row>
    <row r="10" spans="1:44" x14ac:dyDescent="0.25">
      <c r="A10" s="501"/>
      <c r="B10" s="504"/>
      <c r="C10" s="107" t="str">
        <f>IF(OR('Cost Inputs'!H10&lt;&gt;"", 'Cost Inputs'!I10&lt;&gt;"", 'Cost Inputs'!J10&lt;&gt;""), 'Cost Inputs'!A10, "")</f>
        <v/>
      </c>
      <c r="D10" s="93" t="str">
        <f>IF(AND(C10&lt;&gt;"", 'Cost Inputs'!G10&lt;&gt;""), 'Cost Inputs'!G10, "")</f>
        <v/>
      </c>
      <c r="E10" s="93" t="str">
        <f>IF(AND(C10&lt;&gt;"", 'Cost Inputs'!H10&lt;&gt;""), 'Cost Inputs'!H10, "")</f>
        <v/>
      </c>
      <c r="F10" s="93" t="str">
        <f>IF('Cost Inputs'!$I10&lt;&gt;"", 'Cost Inputs'!$I10, "")</f>
        <v/>
      </c>
      <c r="G10" s="93" t="str">
        <f t="shared" si="1"/>
        <v/>
      </c>
      <c r="H10" s="93" t="str">
        <f>IF('Cost Inputs'!$J10&lt;&gt;"", 'Cost Inputs'!$J10, "")</f>
        <v/>
      </c>
      <c r="I10" s="93" t="str">
        <f t="shared" si="2"/>
        <v/>
      </c>
      <c r="J10" s="93" t="str">
        <f>IF(('Cost Inputs'!I10+'Cost Inputs'!J10+'Cost Inputs'!K10)&gt;0, 'Cost Inputs'!I10+'Cost Inputs'!J10+'Cost Inputs'!K10, "")</f>
        <v/>
      </c>
      <c r="K10" s="93" t="str">
        <f>IF('Cost Inputs'!$N10&gt;0,'Cost Inputs'!$N10,"")</f>
        <v/>
      </c>
      <c r="L10" s="93"/>
      <c r="M10" s="109"/>
      <c r="O10" s="107" t="str">
        <f>IF(ISNUMBER('Model_ of_individuals'!O10), 'Model_ of_individuals'!O10*'Model_ of_individuals'!$K10,"")</f>
        <v/>
      </c>
      <c r="P10" s="93" t="str">
        <f>IF(ISNUMBER('Model_ of_individuals'!P10), 'Model_ of_individuals'!P10*'Model_ of_individuals'!$K10,"")</f>
        <v/>
      </c>
      <c r="Q10" s="93" t="str">
        <f>IF(ISNUMBER('Model_ of_individuals'!Q10), 'Model_ of_individuals'!Q10*'Model_ of_individuals'!$K10,"")</f>
        <v/>
      </c>
      <c r="R10" s="93" t="str">
        <f>IF(ISNUMBER('Model_ of_individuals'!R10), 'Model_ of_individuals'!R10*'Model_ of_individuals'!$K10,"")</f>
        <v/>
      </c>
      <c r="S10" s="93" t="str">
        <f>IF(ISNUMBER('Model_ of_individuals'!S10), 'Model_ of_individuals'!S10*'Model_ of_individuals'!$K10,"")</f>
        <v/>
      </c>
      <c r="T10" s="93" t="str">
        <f>IF(ISNUMBER('Model_ of_individuals'!T10), 'Model_ of_individuals'!T10*'Model_ of_individuals'!$K10,"")</f>
        <v/>
      </c>
      <c r="U10" s="93" t="str">
        <f>IF(ISNUMBER('Model_ of_individuals'!U10), 'Model_ of_individuals'!U10*'Model_ of_individuals'!$K10,"")</f>
        <v/>
      </c>
      <c r="V10" s="93" t="str">
        <f>IF(ISNUMBER('Model_ of_individuals'!V10), 'Model_ of_individuals'!V10*'Model_ of_individuals'!$K10,"")</f>
        <v/>
      </c>
      <c r="W10" s="93" t="str">
        <f>IF(ISNUMBER('Model_ of_individuals'!W10), 'Model_ of_individuals'!W10*'Model_ of_individuals'!$K10,"")</f>
        <v/>
      </c>
      <c r="X10" s="109" t="str">
        <f>IF(ISNUMBER('Model_ of_individuals'!X10), 'Model_ of_individuals'!X10*'Model_ of_individuals'!$K10,"")</f>
        <v/>
      </c>
    </row>
    <row r="11" spans="1:44" x14ac:dyDescent="0.25">
      <c r="A11" s="501"/>
      <c r="B11" s="504"/>
      <c r="C11" s="110" t="str">
        <f>'Cost Inputs'!A11</f>
        <v>1.2 Cross Planning</v>
      </c>
      <c r="D11" s="94" t="str">
        <f>IF(OR('Cost Inputs'!H11&lt;&gt;"", 'Cost Inputs'!I11&lt;&gt;"", 'Cost Inputs'!J11&lt;&gt;""), 'Cost Inputs'!G11,"")</f>
        <v/>
      </c>
      <c r="E11" s="94" t="str">
        <f>IF(AND(C11&lt;&gt;"", 'Cost Inputs'!H11&lt;&gt;""), 'Cost Inputs'!H11, "")</f>
        <v/>
      </c>
      <c r="F11" s="94" t="str">
        <f>IF('Cost Inputs'!$I11&lt;&gt;"", 'Cost Inputs'!$I11, "")</f>
        <v/>
      </c>
      <c r="G11" s="94" t="str">
        <f t="shared" si="1"/>
        <v/>
      </c>
      <c r="H11" s="94" t="str">
        <f>IF('Cost Inputs'!$J11&lt;&gt;"", 'Cost Inputs'!$J11, "")</f>
        <v/>
      </c>
      <c r="I11" s="94" t="str">
        <f>IF(AND($E11&lt;&gt;"", $H11&lt;&gt;""), $H11/$E11, "")</f>
        <v/>
      </c>
      <c r="J11" s="94" t="str">
        <f>IF(('Cost Inputs'!I11+'Cost Inputs'!J11+'Cost Inputs'!K11)&gt;0, 'Cost Inputs'!I11+'Cost Inputs'!J11+'Cost Inputs'!K11, "")</f>
        <v/>
      </c>
      <c r="K11" s="94" t="str">
        <f>IF('Cost Inputs'!$N11&gt;0,'Cost Inputs'!$N11,"")</f>
        <v/>
      </c>
      <c r="L11" s="94"/>
      <c r="M11" s="103"/>
      <c r="O11" s="110" t="str">
        <f>IF(ISNUMBER('Model_ of_individuals'!O11), 'Model_ of_individuals'!O11*'Model_ of_individuals'!$K11,"")</f>
        <v/>
      </c>
      <c r="P11" s="94" t="str">
        <f>IF(ISNUMBER('Model_ of_individuals'!P11), 'Model_ of_individuals'!P11*'Model_ of_individuals'!$K11,"")</f>
        <v/>
      </c>
      <c r="Q11" s="94" t="str">
        <f>IF(ISNUMBER('Model_ of_individuals'!Q11), 'Model_ of_individuals'!Q11*'Model_ of_individuals'!$K11,"")</f>
        <v/>
      </c>
      <c r="R11" s="94" t="str">
        <f>IF(ISNUMBER('Model_ of_individuals'!R11), 'Model_ of_individuals'!R11*'Model_ of_individuals'!$K11,"")</f>
        <v/>
      </c>
      <c r="S11" s="94" t="str">
        <f>IF(ISNUMBER('Model_ of_individuals'!S11), 'Model_ of_individuals'!S11*'Model_ of_individuals'!$K11,"")</f>
        <v/>
      </c>
      <c r="T11" s="94" t="str">
        <f>IF(ISNUMBER('Model_ of_individuals'!T11), 'Model_ of_individuals'!T11*'Model_ of_individuals'!$K11,"")</f>
        <v/>
      </c>
      <c r="U11" s="94" t="str">
        <f>IF(ISNUMBER('Model_ of_individuals'!U11), 'Model_ of_individuals'!U11*'Model_ of_individuals'!$K11,"")</f>
        <v/>
      </c>
      <c r="V11" s="94" t="str">
        <f>IF(ISNUMBER('Model_ of_individuals'!V11), 'Model_ of_individuals'!V11*'Model_ of_individuals'!$K11,"")</f>
        <v/>
      </c>
      <c r="W11" s="94" t="str">
        <f>IF(ISNUMBER('Model_ of_individuals'!W11), 'Model_ of_individuals'!W11*'Model_ of_individuals'!$K11,"")</f>
        <v/>
      </c>
      <c r="X11" s="103" t="str">
        <f>IF(ISNUMBER('Model_ of_individuals'!X11), 'Model_ of_individuals'!X11*'Model_ of_individuals'!$K11,"")</f>
        <v/>
      </c>
    </row>
    <row r="12" spans="1:44" x14ac:dyDescent="0.25">
      <c r="A12" s="501"/>
      <c r="B12" s="504"/>
      <c r="C12" s="104" t="str">
        <f>IF(OR('Cost Inputs'!H12&lt;&gt;"", 'Cost Inputs'!I12&lt;&gt;"", 'Cost Inputs'!J12&lt;&gt;""), 'Cost Inputs'!A12, "")</f>
        <v/>
      </c>
      <c r="D12" s="17" t="str">
        <f>IF(AND(C12&lt;&gt;"", 'Cost Inputs'!G12&lt;&gt;""), 'Cost Inputs'!G12, "")</f>
        <v/>
      </c>
      <c r="E12" s="17" t="str">
        <f>IF(AND(C12&lt;&gt;"", 'Cost Inputs'!H12&lt;&gt;""), 'Cost Inputs'!H12, "")</f>
        <v/>
      </c>
      <c r="F12" s="17" t="str">
        <f>IF('Cost Inputs'!$I12&lt;&gt;"", 'Cost Inputs'!$I12, "")</f>
        <v/>
      </c>
      <c r="G12" s="17" t="str">
        <f t="shared" si="1"/>
        <v/>
      </c>
      <c r="H12" s="17" t="str">
        <f>IF('Cost Inputs'!$J12&lt;&gt;"", 'Cost Inputs'!$J12, "")</f>
        <v/>
      </c>
      <c r="I12" s="17" t="str">
        <f t="shared" si="2"/>
        <v/>
      </c>
      <c r="J12" s="17" t="str">
        <f>IF(('Cost Inputs'!I12+'Cost Inputs'!J12+'Cost Inputs'!K12)&gt;0, 'Cost Inputs'!I12+'Cost Inputs'!J12+'Cost Inputs'!K12, "")</f>
        <v/>
      </c>
      <c r="K12" s="17" t="str">
        <f>IF('Cost Inputs'!$N12&gt;0,'Cost Inputs'!$N12,"")</f>
        <v/>
      </c>
      <c r="M12" s="106"/>
      <c r="O12" s="104" t="str">
        <f>IF(ISNUMBER('Model_ of_individuals'!O12), 'Model_ of_individuals'!O12*'Model_ of_individuals'!$K12,"")</f>
        <v/>
      </c>
      <c r="P12" s="17" t="str">
        <f>IF(ISNUMBER('Model_ of_individuals'!P12), 'Model_ of_individuals'!P12*'Model_ of_individuals'!$K12,"")</f>
        <v/>
      </c>
      <c r="Q12" s="17" t="str">
        <f>IF(ISNUMBER('Model_ of_individuals'!Q12), 'Model_ of_individuals'!Q12*'Model_ of_individuals'!$K12,"")</f>
        <v/>
      </c>
      <c r="R12" s="17" t="str">
        <f>IF(ISNUMBER('Model_ of_individuals'!R12), 'Model_ of_individuals'!R12*'Model_ of_individuals'!$K12,"")</f>
        <v/>
      </c>
      <c r="S12" s="17" t="str">
        <f>IF(ISNUMBER('Model_ of_individuals'!S12), 'Model_ of_individuals'!S12*'Model_ of_individuals'!$K12,"")</f>
        <v/>
      </c>
      <c r="T12" s="17" t="str">
        <f>IF(ISNUMBER('Model_ of_individuals'!T12), 'Model_ of_individuals'!T12*'Model_ of_individuals'!$K12,"")</f>
        <v/>
      </c>
      <c r="U12" s="17" t="str">
        <f>IF(ISNUMBER('Model_ of_individuals'!U12), 'Model_ of_individuals'!U12*'Model_ of_individuals'!$K12,"")</f>
        <v/>
      </c>
      <c r="V12" s="17" t="str">
        <f>IF(ISNUMBER('Model_ of_individuals'!V12), 'Model_ of_individuals'!V12*'Model_ of_individuals'!$K12,"")</f>
        <v/>
      </c>
      <c r="W12" s="17" t="str">
        <f>IF(ISNUMBER('Model_ of_individuals'!W12), 'Model_ of_individuals'!W12*'Model_ of_individuals'!$K12,"")</f>
        <v/>
      </c>
      <c r="X12" s="106" t="str">
        <f>IF(ISNUMBER('Model_ of_individuals'!X12), 'Model_ of_individuals'!X12*'Model_ of_individuals'!$K12,"")</f>
        <v/>
      </c>
    </row>
    <row r="13" spans="1:44" x14ac:dyDescent="0.25">
      <c r="A13" s="501"/>
      <c r="B13" s="504"/>
      <c r="C13" s="107" t="str">
        <f>IF(OR('Cost Inputs'!H13&lt;&gt;"", 'Cost Inputs'!I13&lt;&gt;"", 'Cost Inputs'!J13&lt;&gt;""), 'Cost Inputs'!A13, "")</f>
        <v/>
      </c>
      <c r="D13" s="93" t="str">
        <f>IF(AND(C13&lt;&gt;"", 'Cost Inputs'!G13&lt;&gt;""), 'Cost Inputs'!G13, "")</f>
        <v/>
      </c>
      <c r="E13" s="93" t="str">
        <f>IF(AND(C13&lt;&gt;"", 'Cost Inputs'!H13&lt;&gt;""), 'Cost Inputs'!H13, "")</f>
        <v/>
      </c>
      <c r="F13" s="93" t="str">
        <f>IF('Cost Inputs'!$I13&lt;&gt;"", 'Cost Inputs'!$I13, "")</f>
        <v/>
      </c>
      <c r="G13" s="93" t="str">
        <f t="shared" si="1"/>
        <v/>
      </c>
      <c r="H13" s="93" t="str">
        <f>IF('Cost Inputs'!$J13&lt;&gt;"", 'Cost Inputs'!$J13, "")</f>
        <v/>
      </c>
      <c r="I13" s="93" t="str">
        <f t="shared" si="2"/>
        <v/>
      </c>
      <c r="J13" s="93" t="str">
        <f>IF(('Cost Inputs'!I13+'Cost Inputs'!J13+'Cost Inputs'!K13)&gt;0, 'Cost Inputs'!I13+'Cost Inputs'!J13+'Cost Inputs'!K13, "")</f>
        <v/>
      </c>
      <c r="K13" s="93" t="str">
        <f>IF('Cost Inputs'!$N13&gt;0,'Cost Inputs'!$N13,"")</f>
        <v/>
      </c>
      <c r="L13" s="93"/>
      <c r="M13" s="109"/>
      <c r="O13" s="107" t="str">
        <f>IF(ISNUMBER('Model_ of_individuals'!O13), 'Model_ of_individuals'!O13*'Model_ of_individuals'!$K13,"")</f>
        <v/>
      </c>
      <c r="P13" s="93" t="str">
        <f>IF(ISNUMBER('Model_ of_individuals'!P13), 'Model_ of_individuals'!P13*'Model_ of_individuals'!$K13,"")</f>
        <v/>
      </c>
      <c r="Q13" s="93" t="str">
        <f>IF(ISNUMBER('Model_ of_individuals'!Q13), 'Model_ of_individuals'!Q13*'Model_ of_individuals'!$K13,"")</f>
        <v/>
      </c>
      <c r="R13" s="93" t="str">
        <f>IF(ISNUMBER('Model_ of_individuals'!R13), 'Model_ of_individuals'!R13*'Model_ of_individuals'!$K13,"")</f>
        <v/>
      </c>
      <c r="S13" s="93" t="str">
        <f>IF(ISNUMBER('Model_ of_individuals'!S13), 'Model_ of_individuals'!S13*'Model_ of_individuals'!$K13,"")</f>
        <v/>
      </c>
      <c r="T13" s="93" t="str">
        <f>IF(ISNUMBER('Model_ of_individuals'!T13), 'Model_ of_individuals'!T13*'Model_ of_individuals'!$K13,"")</f>
        <v/>
      </c>
      <c r="U13" s="93" t="str">
        <f>IF(ISNUMBER('Model_ of_individuals'!U13), 'Model_ of_individuals'!U13*'Model_ of_individuals'!$K13,"")</f>
        <v/>
      </c>
      <c r="V13" s="93" t="str">
        <f>IF(ISNUMBER('Model_ of_individuals'!V13), 'Model_ of_individuals'!V13*'Model_ of_individuals'!$K13,"")</f>
        <v/>
      </c>
      <c r="W13" s="93" t="str">
        <f>IF(ISNUMBER('Model_ of_individuals'!W13), 'Model_ of_individuals'!W13*'Model_ of_individuals'!$K13,"")</f>
        <v/>
      </c>
      <c r="X13" s="109" t="str">
        <f>IF(ISNUMBER('Model_ of_individuals'!X13), 'Model_ of_individuals'!X13*'Model_ of_individuals'!$K13,"")</f>
        <v/>
      </c>
    </row>
    <row r="14" spans="1:44" x14ac:dyDescent="0.25">
      <c r="A14" s="501"/>
      <c r="B14" s="504"/>
      <c r="C14" s="110" t="str">
        <f>'Cost Inputs'!A14</f>
        <v>1.3 MAB</v>
      </c>
      <c r="D14" s="94" t="str">
        <f>IF(OR('Cost Inputs'!H14&lt;&gt;"", 'Cost Inputs'!I14&lt;&gt;"", 'Cost Inputs'!J14&lt;&gt;""), 'Cost Inputs'!G14,"")</f>
        <v/>
      </c>
      <c r="E14" s="94" t="str">
        <f>IF(AND(C14&lt;&gt;"", 'Cost Inputs'!H14&lt;&gt;""), 'Cost Inputs'!H14, "")</f>
        <v/>
      </c>
      <c r="F14" s="94" t="str">
        <f>IF('Cost Inputs'!$I14&lt;&gt;"", 'Cost Inputs'!$I14, "")</f>
        <v/>
      </c>
      <c r="G14" s="94" t="str">
        <f t="shared" si="1"/>
        <v/>
      </c>
      <c r="H14" s="94" t="str">
        <f>IF('Cost Inputs'!$J14&lt;&gt;"", 'Cost Inputs'!$J14, "")</f>
        <v/>
      </c>
      <c r="I14" s="94" t="str">
        <f>IF(AND($E14&lt;&gt;"", $H14&lt;&gt;""), $H14/$E14, "")</f>
        <v/>
      </c>
      <c r="J14" s="94" t="str">
        <f>IF(('Cost Inputs'!I14+'Cost Inputs'!J14+'Cost Inputs'!K14)&gt;0, 'Cost Inputs'!I14+'Cost Inputs'!J14+'Cost Inputs'!K14, "")</f>
        <v/>
      </c>
      <c r="K14" s="94" t="str">
        <f>IF('Cost Inputs'!$N14&gt;0,'Cost Inputs'!$N14,"")</f>
        <v/>
      </c>
      <c r="L14" s="94"/>
      <c r="M14" s="103"/>
      <c r="O14" s="110" t="str">
        <f>IF(ISNUMBER('Model_ of_individuals'!O14), 'Model_ of_individuals'!O14*'Model_ of_individuals'!$K14,"")</f>
        <v/>
      </c>
      <c r="P14" s="94" t="str">
        <f>IF(ISNUMBER('Model_ of_individuals'!P14), 'Model_ of_individuals'!P14*'Model_ of_individuals'!$K14,"")</f>
        <v/>
      </c>
      <c r="Q14" s="94" t="str">
        <f>IF(ISNUMBER('Model_ of_individuals'!Q14), 'Model_ of_individuals'!Q14*'Model_ of_individuals'!$K14,"")</f>
        <v/>
      </c>
      <c r="R14" s="94" t="str">
        <f>IF(ISNUMBER('Model_ of_individuals'!R14), 'Model_ of_individuals'!R14*'Model_ of_individuals'!$K14,"")</f>
        <v/>
      </c>
      <c r="S14" s="94" t="str">
        <f>IF(ISNUMBER('Model_ of_individuals'!S14), 'Model_ of_individuals'!S14*'Model_ of_individuals'!$K14,"")</f>
        <v/>
      </c>
      <c r="T14" s="94" t="str">
        <f>IF(ISNUMBER('Model_ of_individuals'!T14), 'Model_ of_individuals'!T14*'Model_ of_individuals'!$K14,"")</f>
        <v/>
      </c>
      <c r="U14" s="94" t="str">
        <f>IF(ISNUMBER('Model_ of_individuals'!U14), 'Model_ of_individuals'!U14*'Model_ of_individuals'!$K14,"")</f>
        <v/>
      </c>
      <c r="V14" s="94" t="str">
        <f>IF(ISNUMBER('Model_ of_individuals'!V14), 'Model_ of_individuals'!V14*'Model_ of_individuals'!$K14,"")</f>
        <v/>
      </c>
      <c r="W14" s="94" t="str">
        <f>IF(ISNUMBER('Model_ of_individuals'!W14), 'Model_ of_individuals'!W14*'Model_ of_individuals'!$K14,"")</f>
        <v/>
      </c>
      <c r="X14" s="103" t="str">
        <f>IF(ISNUMBER('Model_ of_individuals'!X14), 'Model_ of_individuals'!X14*'Model_ of_individuals'!$K14,"")</f>
        <v/>
      </c>
    </row>
    <row r="15" spans="1:44" x14ac:dyDescent="0.25">
      <c r="A15" s="501"/>
      <c r="B15" s="504"/>
      <c r="C15" s="104" t="str">
        <f>IF(OR('Cost Inputs'!H15&lt;&gt;"", 'Cost Inputs'!I15&lt;&gt;"", 'Cost Inputs'!J15&lt;&gt;""), 'Cost Inputs'!A15, "")</f>
        <v/>
      </c>
      <c r="D15" s="17" t="str">
        <f>IF(AND(C15&lt;&gt;"", 'Cost Inputs'!G15&lt;&gt;""), 'Cost Inputs'!G15, "")</f>
        <v/>
      </c>
      <c r="E15" s="17" t="str">
        <f>IF(AND(C15&lt;&gt;"", 'Cost Inputs'!H15&lt;&gt;""), 'Cost Inputs'!H15, "")</f>
        <v/>
      </c>
      <c r="F15" s="17" t="str">
        <f>IF('Cost Inputs'!$I15&lt;&gt;"", 'Cost Inputs'!$I15, "")</f>
        <v/>
      </c>
      <c r="G15" s="17" t="str">
        <f t="shared" si="1"/>
        <v/>
      </c>
      <c r="H15" s="17" t="str">
        <f>IF('Cost Inputs'!$J15&lt;&gt;"", 'Cost Inputs'!$J15, "")</f>
        <v/>
      </c>
      <c r="I15" s="17" t="str">
        <f t="shared" si="2"/>
        <v/>
      </c>
      <c r="J15" s="17" t="str">
        <f>IF(('Cost Inputs'!I15+'Cost Inputs'!J15+'Cost Inputs'!K15)&gt;0, 'Cost Inputs'!I15+'Cost Inputs'!J15+'Cost Inputs'!K15, "")</f>
        <v/>
      </c>
      <c r="K15" s="17" t="str">
        <f>IF('Cost Inputs'!$N15&gt;0,'Cost Inputs'!$N15,"")</f>
        <v/>
      </c>
      <c r="M15" s="106"/>
      <c r="O15" s="104" t="str">
        <f>IF(ISNUMBER('Model_ of_individuals'!O15), 'Model_ of_individuals'!O15*'Model_ of_individuals'!$K15,"")</f>
        <v/>
      </c>
      <c r="P15" s="17" t="str">
        <f>IF(ISNUMBER('Model_ of_individuals'!P15), 'Model_ of_individuals'!P15*'Model_ of_individuals'!$K15,"")</f>
        <v/>
      </c>
      <c r="Q15" s="17" t="str">
        <f>IF(ISNUMBER('Model_ of_individuals'!Q15), 'Model_ of_individuals'!Q15*'Model_ of_individuals'!$K15,"")</f>
        <v/>
      </c>
      <c r="R15" s="17" t="str">
        <f>IF(ISNUMBER('Model_ of_individuals'!R15), 'Model_ of_individuals'!R15*'Model_ of_individuals'!$K15,"")</f>
        <v/>
      </c>
      <c r="S15" s="17" t="str">
        <f>IF(ISNUMBER('Model_ of_individuals'!S15), 'Model_ of_individuals'!S15*'Model_ of_individuals'!$K15,"")</f>
        <v/>
      </c>
      <c r="T15" s="17" t="str">
        <f>IF(ISNUMBER('Model_ of_individuals'!T15), 'Model_ of_individuals'!T15*'Model_ of_individuals'!$K15,"")</f>
        <v/>
      </c>
      <c r="U15" s="17" t="str">
        <f>IF(ISNUMBER('Model_ of_individuals'!U15), 'Model_ of_individuals'!U15*'Model_ of_individuals'!$K15,"")</f>
        <v/>
      </c>
      <c r="V15" s="17" t="str">
        <f>IF(ISNUMBER('Model_ of_individuals'!V15), 'Model_ of_individuals'!V15*'Model_ of_individuals'!$K15,"")</f>
        <v/>
      </c>
      <c r="W15" s="17" t="str">
        <f>IF(ISNUMBER('Model_ of_individuals'!W15), 'Model_ of_individuals'!W15*'Model_ of_individuals'!$K15,"")</f>
        <v/>
      </c>
      <c r="X15" s="106" t="str">
        <f>IF(ISNUMBER('Model_ of_individuals'!X15), 'Model_ of_individuals'!X15*'Model_ of_individuals'!$K15,"")</f>
        <v/>
      </c>
    </row>
    <row r="16" spans="1:44" x14ac:dyDescent="0.25">
      <c r="A16" s="501"/>
      <c r="B16" s="504"/>
      <c r="C16" s="107" t="str">
        <f>IF(OR('Cost Inputs'!H16&lt;&gt;"", 'Cost Inputs'!I16&lt;&gt;"", 'Cost Inputs'!J16&lt;&gt;""), 'Cost Inputs'!A16, "")</f>
        <v/>
      </c>
      <c r="D16" s="93" t="str">
        <f>IF(AND(C16&lt;&gt;"", 'Cost Inputs'!G16&lt;&gt;""), 'Cost Inputs'!G16, "")</f>
        <v/>
      </c>
      <c r="E16" s="93" t="str">
        <f>IF(AND(C16&lt;&gt;"", 'Cost Inputs'!H16&lt;&gt;""), 'Cost Inputs'!H16, "")</f>
        <v/>
      </c>
      <c r="F16" s="93" t="str">
        <f>IF('Cost Inputs'!$I16&lt;&gt;"", 'Cost Inputs'!$I16, "")</f>
        <v/>
      </c>
      <c r="G16" s="93" t="str">
        <f t="shared" si="1"/>
        <v/>
      </c>
      <c r="H16" s="93" t="str">
        <f>IF('Cost Inputs'!$J16&lt;&gt;"", 'Cost Inputs'!$J16, "")</f>
        <v/>
      </c>
      <c r="I16" s="93" t="str">
        <f t="shared" si="2"/>
        <v/>
      </c>
      <c r="J16" s="93" t="str">
        <f>IF(('Cost Inputs'!I16+'Cost Inputs'!J16+'Cost Inputs'!K16)&gt;0, 'Cost Inputs'!I16+'Cost Inputs'!J16+'Cost Inputs'!K16, "")</f>
        <v/>
      </c>
      <c r="K16" s="93" t="str">
        <f>IF('Cost Inputs'!$N16&gt;0,'Cost Inputs'!$N16,"")</f>
        <v/>
      </c>
      <c r="L16" s="93"/>
      <c r="M16" s="109"/>
      <c r="O16" s="107" t="str">
        <f>IF(ISNUMBER('Model_ of_individuals'!O16), 'Model_ of_individuals'!O16*'Model_ of_individuals'!$K16,"")</f>
        <v/>
      </c>
      <c r="P16" s="93" t="str">
        <f>IF(ISNUMBER('Model_ of_individuals'!P16), 'Model_ of_individuals'!P16*'Model_ of_individuals'!$K16,"")</f>
        <v/>
      </c>
      <c r="Q16" s="93" t="str">
        <f>IF(ISNUMBER('Model_ of_individuals'!Q16), 'Model_ of_individuals'!Q16*'Model_ of_individuals'!$K16,"")</f>
        <v/>
      </c>
      <c r="R16" s="93" t="str">
        <f>IF(ISNUMBER('Model_ of_individuals'!R16), 'Model_ of_individuals'!R16*'Model_ of_individuals'!$K16,"")</f>
        <v/>
      </c>
      <c r="S16" s="93" t="str">
        <f>IF(ISNUMBER('Model_ of_individuals'!S16), 'Model_ of_individuals'!S16*'Model_ of_individuals'!$K16,"")</f>
        <v/>
      </c>
      <c r="T16" s="93" t="str">
        <f>IF(ISNUMBER('Model_ of_individuals'!T16), 'Model_ of_individuals'!T16*'Model_ of_individuals'!$K16,"")</f>
        <v/>
      </c>
      <c r="U16" s="93" t="str">
        <f>IF(ISNUMBER('Model_ of_individuals'!U16), 'Model_ of_individuals'!U16*'Model_ of_individuals'!$K16,"")</f>
        <v/>
      </c>
      <c r="V16" s="93" t="str">
        <f>IF(ISNUMBER('Model_ of_individuals'!V16), 'Model_ of_individuals'!V16*'Model_ of_individuals'!$K16,"")</f>
        <v/>
      </c>
      <c r="W16" s="93" t="str">
        <f>IF(ISNUMBER('Model_ of_individuals'!W16), 'Model_ of_individuals'!W16*'Model_ of_individuals'!$K16,"")</f>
        <v/>
      </c>
      <c r="X16" s="109" t="str">
        <f>IF(ISNUMBER('Model_ of_individuals'!X16), 'Model_ of_individuals'!X16*'Model_ of_individuals'!$K16,"")</f>
        <v/>
      </c>
    </row>
    <row r="17" spans="1:24" x14ac:dyDescent="0.25">
      <c r="A17" s="501"/>
      <c r="B17" s="504"/>
      <c r="C17" s="104" t="str">
        <f>IF(OR('Cost Inputs'!H17&lt;&gt;"", 'Cost Inputs'!I17&lt;&gt;"", 'Cost Inputs'!J17&lt;&gt;""), 'Cost Inputs'!A17, "")</f>
        <v/>
      </c>
      <c r="D17" s="17" t="str">
        <f>IF(AND(C17&lt;&gt;"", 'Cost Inputs'!G17&lt;&gt;""), 'Cost Inputs'!G17, "")</f>
        <v/>
      </c>
      <c r="E17" s="17" t="str">
        <f>IF(AND(C17&lt;&gt;"", 'Cost Inputs'!H17&lt;&gt;""), 'Cost Inputs'!H17, "")</f>
        <v/>
      </c>
      <c r="F17" s="17" t="str">
        <f>IF('Cost Inputs'!$I17&lt;&gt;"", 'Cost Inputs'!$I17, "")</f>
        <v/>
      </c>
      <c r="G17" s="17" t="str">
        <f t="shared" si="1"/>
        <v/>
      </c>
      <c r="H17" s="17" t="str">
        <f>IF('Cost Inputs'!$J17&lt;&gt;"", 'Cost Inputs'!$J17, "")</f>
        <v/>
      </c>
      <c r="I17" s="17" t="str">
        <f t="shared" si="2"/>
        <v/>
      </c>
      <c r="J17" s="17" t="str">
        <f>IF(('Cost Inputs'!I17+'Cost Inputs'!J17+'Cost Inputs'!K17)&gt;0, 'Cost Inputs'!I17+'Cost Inputs'!J17+'Cost Inputs'!K17, "")</f>
        <v/>
      </c>
      <c r="K17" s="17" t="str">
        <f>IF('Cost Inputs'!$N17&gt;0,'Cost Inputs'!$N17,"")</f>
        <v/>
      </c>
      <c r="M17" s="106"/>
      <c r="O17" s="104" t="str">
        <f>IF(ISNUMBER('Model_ of_individuals'!O17), 'Model_ of_individuals'!O17*'Model_ of_individuals'!$K17,"")</f>
        <v/>
      </c>
      <c r="P17" s="17" t="str">
        <f>IF(ISNUMBER('Model_ of_individuals'!P17), 'Model_ of_individuals'!P17*'Model_ of_individuals'!$K17,"")</f>
        <v/>
      </c>
      <c r="Q17" s="17" t="str">
        <f>IF(ISNUMBER('Model_ of_individuals'!Q17), 'Model_ of_individuals'!Q17*'Model_ of_individuals'!$K17,"")</f>
        <v/>
      </c>
      <c r="R17" s="17" t="str">
        <f>IF(ISNUMBER('Model_ of_individuals'!R17), 'Model_ of_individuals'!R17*'Model_ of_individuals'!$K17,"")</f>
        <v/>
      </c>
      <c r="S17" s="17" t="str">
        <f>IF(ISNUMBER('Model_ of_individuals'!S17), 'Model_ of_individuals'!S17*'Model_ of_individuals'!$K17,"")</f>
        <v/>
      </c>
      <c r="T17" s="17" t="str">
        <f>IF(ISNUMBER('Model_ of_individuals'!T17), 'Model_ of_individuals'!T17*'Model_ of_individuals'!$K17,"")</f>
        <v/>
      </c>
      <c r="U17" s="17" t="str">
        <f>IF(ISNUMBER('Model_ of_individuals'!U17), 'Model_ of_individuals'!U17*'Model_ of_individuals'!$K17,"")</f>
        <v/>
      </c>
      <c r="V17" s="17" t="str">
        <f>IF(ISNUMBER('Model_ of_individuals'!V17), 'Model_ of_individuals'!V17*'Model_ of_individuals'!$K17,"")</f>
        <v/>
      </c>
      <c r="W17" s="17" t="str">
        <f>IF(ISNUMBER('Model_ of_individuals'!W17), 'Model_ of_individuals'!W17*'Model_ of_individuals'!$K17,"")</f>
        <v/>
      </c>
      <c r="X17" s="106" t="str">
        <f>IF(ISNUMBER('Model_ of_individuals'!X17), 'Model_ of_individuals'!X17*'Model_ of_individuals'!$K17,"")</f>
        <v/>
      </c>
    </row>
    <row r="18" spans="1:24" x14ac:dyDescent="0.25">
      <c r="A18" s="501"/>
      <c r="B18" s="504"/>
      <c r="C18" s="107" t="str">
        <f>IF(OR('Cost Inputs'!H18&lt;&gt;"", 'Cost Inputs'!I18&lt;&gt;"", 'Cost Inputs'!J18&lt;&gt;""), 'Cost Inputs'!A18, "")</f>
        <v/>
      </c>
      <c r="D18" s="93" t="str">
        <f>IF(AND(C18&lt;&gt;"", 'Cost Inputs'!G18&lt;&gt;""), 'Cost Inputs'!G18, "")</f>
        <v/>
      </c>
      <c r="E18" s="93" t="str">
        <f>IF(AND(C18&lt;&gt;"", 'Cost Inputs'!H18&lt;&gt;""), 'Cost Inputs'!H18, "")</f>
        <v/>
      </c>
      <c r="F18" s="93" t="str">
        <f>IF('Cost Inputs'!$I18&lt;&gt;"", 'Cost Inputs'!$I18, "")</f>
        <v/>
      </c>
      <c r="G18" s="93" t="str">
        <f t="shared" si="1"/>
        <v/>
      </c>
      <c r="H18" s="93" t="str">
        <f>IF('Cost Inputs'!$J18&lt;&gt;"", 'Cost Inputs'!$J18, "")</f>
        <v/>
      </c>
      <c r="I18" s="93" t="str">
        <f t="shared" si="2"/>
        <v/>
      </c>
      <c r="J18" s="93" t="str">
        <f>IF(('Cost Inputs'!I18+'Cost Inputs'!J18+'Cost Inputs'!K18)&gt;0, 'Cost Inputs'!I18+'Cost Inputs'!J18+'Cost Inputs'!K18, "")</f>
        <v/>
      </c>
      <c r="K18" s="93" t="str">
        <f>IF('Cost Inputs'!$N18&gt;0,'Cost Inputs'!$N18,"")</f>
        <v/>
      </c>
      <c r="L18" s="93"/>
      <c r="M18" s="109"/>
      <c r="O18" s="107" t="str">
        <f>IF(ISNUMBER('Model_ of_individuals'!O18), 'Model_ of_individuals'!O18*'Model_ of_individuals'!$K18,"")</f>
        <v/>
      </c>
      <c r="P18" s="93" t="str">
        <f>IF(ISNUMBER('Model_ of_individuals'!P18), 'Model_ of_individuals'!P18*'Model_ of_individuals'!$K18,"")</f>
        <v/>
      </c>
      <c r="Q18" s="93" t="str">
        <f>IF(ISNUMBER('Model_ of_individuals'!Q18), 'Model_ of_individuals'!Q18*'Model_ of_individuals'!$K18,"")</f>
        <v/>
      </c>
      <c r="R18" s="93" t="str">
        <f>IF(ISNUMBER('Model_ of_individuals'!R18), 'Model_ of_individuals'!R18*'Model_ of_individuals'!$K18,"")</f>
        <v/>
      </c>
      <c r="S18" s="93" t="str">
        <f>IF(ISNUMBER('Model_ of_individuals'!S18), 'Model_ of_individuals'!S18*'Model_ of_individuals'!$K18,"")</f>
        <v/>
      </c>
      <c r="T18" s="93" t="str">
        <f>IF(ISNUMBER('Model_ of_individuals'!T18), 'Model_ of_individuals'!T18*'Model_ of_individuals'!$K18,"")</f>
        <v/>
      </c>
      <c r="U18" s="93" t="str">
        <f>IF(ISNUMBER('Model_ of_individuals'!U18), 'Model_ of_individuals'!U18*'Model_ of_individuals'!$K18,"")</f>
        <v/>
      </c>
      <c r="V18" s="93" t="str">
        <f>IF(ISNUMBER('Model_ of_individuals'!V18), 'Model_ of_individuals'!V18*'Model_ of_individuals'!$K18,"")</f>
        <v/>
      </c>
      <c r="W18" s="93" t="str">
        <f>IF(ISNUMBER('Model_ of_individuals'!W18), 'Model_ of_individuals'!W18*'Model_ of_individuals'!$K18,"")</f>
        <v/>
      </c>
      <c r="X18" s="109" t="str">
        <f>IF(ISNUMBER('Model_ of_individuals'!X18), 'Model_ of_individuals'!X18*'Model_ of_individuals'!$K18,"")</f>
        <v/>
      </c>
    </row>
    <row r="19" spans="1:24" x14ac:dyDescent="0.25">
      <c r="A19" s="501"/>
      <c r="B19" s="504"/>
      <c r="C19" s="104" t="str">
        <f>IF(OR('Cost Inputs'!H19&lt;&gt;"", 'Cost Inputs'!I19&lt;&gt;"", 'Cost Inputs'!J19&lt;&gt;""), 'Cost Inputs'!A19, "")</f>
        <v/>
      </c>
      <c r="D19" s="17" t="str">
        <f>IF(AND(C19&lt;&gt;"", 'Cost Inputs'!G19&lt;&gt;""), 'Cost Inputs'!G19, "")</f>
        <v/>
      </c>
      <c r="E19" s="17" t="str">
        <f>IF(AND(C19&lt;&gt;"", 'Cost Inputs'!H19&lt;&gt;""), 'Cost Inputs'!H19, "")</f>
        <v/>
      </c>
      <c r="F19" s="17" t="str">
        <f>IF('Cost Inputs'!$I19&lt;&gt;"", 'Cost Inputs'!$I19, "")</f>
        <v/>
      </c>
      <c r="G19" s="17" t="str">
        <f t="shared" si="1"/>
        <v/>
      </c>
      <c r="H19" s="17" t="str">
        <f>IF('Cost Inputs'!$J19&lt;&gt;"", 'Cost Inputs'!$J19, "")</f>
        <v/>
      </c>
      <c r="I19" s="17" t="str">
        <f t="shared" si="2"/>
        <v/>
      </c>
      <c r="J19" s="17" t="str">
        <f>IF(('Cost Inputs'!I19+'Cost Inputs'!J19+'Cost Inputs'!K19)&gt;0, 'Cost Inputs'!I19+'Cost Inputs'!J19+'Cost Inputs'!K19, "")</f>
        <v/>
      </c>
      <c r="K19" s="17" t="str">
        <f>IF('Cost Inputs'!$N19&gt;0,'Cost Inputs'!$N19,"")</f>
        <v/>
      </c>
      <c r="M19" s="106"/>
      <c r="O19" s="104" t="str">
        <f>IF(ISNUMBER('Model_ of_individuals'!O19), 'Model_ of_individuals'!O19*'Model_ of_individuals'!$K19,"")</f>
        <v/>
      </c>
      <c r="P19" s="17" t="str">
        <f>IF(ISNUMBER('Model_ of_individuals'!P19), 'Model_ of_individuals'!P19*'Model_ of_individuals'!$K19,"")</f>
        <v/>
      </c>
      <c r="Q19" s="17" t="str">
        <f>IF(ISNUMBER('Model_ of_individuals'!Q19), 'Model_ of_individuals'!Q19*'Model_ of_individuals'!$K19,"")</f>
        <v/>
      </c>
      <c r="R19" s="17" t="str">
        <f>IF(ISNUMBER('Model_ of_individuals'!R19), 'Model_ of_individuals'!R19*'Model_ of_individuals'!$K19,"")</f>
        <v/>
      </c>
      <c r="S19" s="17" t="str">
        <f>IF(ISNUMBER('Model_ of_individuals'!S19), 'Model_ of_individuals'!S19*'Model_ of_individuals'!$K19,"")</f>
        <v/>
      </c>
      <c r="T19" s="17" t="str">
        <f>IF(ISNUMBER('Model_ of_individuals'!T19), 'Model_ of_individuals'!T19*'Model_ of_individuals'!$K19,"")</f>
        <v/>
      </c>
      <c r="U19" s="17" t="str">
        <f>IF(ISNUMBER('Model_ of_individuals'!U19), 'Model_ of_individuals'!U19*'Model_ of_individuals'!$K19,"")</f>
        <v/>
      </c>
      <c r="V19" s="17" t="str">
        <f>IF(ISNUMBER('Model_ of_individuals'!V19), 'Model_ of_individuals'!V19*'Model_ of_individuals'!$K19,"")</f>
        <v/>
      </c>
      <c r="W19" s="17" t="str">
        <f>IF(ISNUMBER('Model_ of_individuals'!W19), 'Model_ of_individuals'!W19*'Model_ of_individuals'!$K19,"")</f>
        <v/>
      </c>
      <c r="X19" s="106" t="str">
        <f>IF(ISNUMBER('Model_ of_individuals'!X19), 'Model_ of_individuals'!X19*'Model_ of_individuals'!$K19,"")</f>
        <v/>
      </c>
    </row>
    <row r="20" spans="1:24" x14ac:dyDescent="0.25">
      <c r="A20" s="501"/>
      <c r="B20" s="504"/>
      <c r="C20" s="107" t="str">
        <f>IF(OR('Cost Inputs'!H20&lt;&gt;"", 'Cost Inputs'!I20&lt;&gt;"", 'Cost Inputs'!J20&lt;&gt;""), 'Cost Inputs'!A20, "")</f>
        <v/>
      </c>
      <c r="D20" s="93" t="str">
        <f>IF(AND(C20&lt;&gt;"", 'Cost Inputs'!G20&lt;&gt;""), 'Cost Inputs'!G20, "")</f>
        <v/>
      </c>
      <c r="E20" s="93" t="str">
        <f>IF(AND(C20&lt;&gt;"", 'Cost Inputs'!H20&lt;&gt;""), 'Cost Inputs'!H20, "")</f>
        <v/>
      </c>
      <c r="F20" s="93" t="str">
        <f>IF('Cost Inputs'!$I20&lt;&gt;"", 'Cost Inputs'!$I20, "")</f>
        <v/>
      </c>
      <c r="G20" s="93" t="str">
        <f t="shared" si="1"/>
        <v/>
      </c>
      <c r="H20" s="93" t="str">
        <f>IF('Cost Inputs'!$J20&lt;&gt;"", 'Cost Inputs'!$J20, "")</f>
        <v/>
      </c>
      <c r="I20" s="93" t="str">
        <f t="shared" si="2"/>
        <v/>
      </c>
      <c r="J20" s="93" t="str">
        <f>IF(('Cost Inputs'!I20+'Cost Inputs'!J20+'Cost Inputs'!K20)&gt;0, 'Cost Inputs'!I20+'Cost Inputs'!J20+'Cost Inputs'!K20, "")</f>
        <v/>
      </c>
      <c r="K20" s="93" t="str">
        <f>IF('Cost Inputs'!$N20&gt;0,'Cost Inputs'!$N20,"")</f>
        <v/>
      </c>
      <c r="L20" s="93"/>
      <c r="M20" s="109"/>
      <c r="O20" s="107" t="str">
        <f>IF(ISNUMBER('Model_ of_individuals'!O20), 'Model_ of_individuals'!O20*'Model_ of_individuals'!$K20,"")</f>
        <v/>
      </c>
      <c r="P20" s="93" t="str">
        <f>IF(ISNUMBER('Model_ of_individuals'!P20), 'Model_ of_individuals'!P20*'Model_ of_individuals'!$K20,"")</f>
        <v/>
      </c>
      <c r="Q20" s="93" t="str">
        <f>IF(ISNUMBER('Model_ of_individuals'!Q20), 'Model_ of_individuals'!Q20*'Model_ of_individuals'!$K20,"")</f>
        <v/>
      </c>
      <c r="R20" s="93" t="str">
        <f>IF(ISNUMBER('Model_ of_individuals'!R20), 'Model_ of_individuals'!R20*'Model_ of_individuals'!$K20,"")</f>
        <v/>
      </c>
      <c r="S20" s="93" t="str">
        <f>IF(ISNUMBER('Model_ of_individuals'!S20), 'Model_ of_individuals'!S20*'Model_ of_individuals'!$K20,"")</f>
        <v/>
      </c>
      <c r="T20" s="93" t="str">
        <f>IF(ISNUMBER('Model_ of_individuals'!T20), 'Model_ of_individuals'!T20*'Model_ of_individuals'!$K20,"")</f>
        <v/>
      </c>
      <c r="U20" s="93" t="str">
        <f>IF(ISNUMBER('Model_ of_individuals'!U20), 'Model_ of_individuals'!U20*'Model_ of_individuals'!$K20,"")</f>
        <v/>
      </c>
      <c r="V20" s="93" t="str">
        <f>IF(ISNUMBER('Model_ of_individuals'!V20), 'Model_ of_individuals'!V20*'Model_ of_individuals'!$K20,"")</f>
        <v/>
      </c>
      <c r="W20" s="93" t="str">
        <f>IF(ISNUMBER('Model_ of_individuals'!W20), 'Model_ of_individuals'!W20*'Model_ of_individuals'!$K20,"")</f>
        <v/>
      </c>
      <c r="X20" s="109" t="str">
        <f>IF(ISNUMBER('Model_ of_individuals'!X20), 'Model_ of_individuals'!X20*'Model_ of_individuals'!$K20,"")</f>
        <v/>
      </c>
    </row>
    <row r="21" spans="1:24" x14ac:dyDescent="0.25">
      <c r="A21" s="501"/>
      <c r="B21" s="504"/>
      <c r="C21" s="110" t="str">
        <f>'Cost Inputs'!A21</f>
        <v>1.4 Crossing (hybridization)</v>
      </c>
      <c r="D21" s="94" t="str">
        <f>IF(OR('Cost Inputs'!H21&lt;&gt;"", 'Cost Inputs'!I21&lt;&gt;"", 'Cost Inputs'!J21&lt;&gt;""), 'Cost Inputs'!G21,"")</f>
        <v/>
      </c>
      <c r="E21" s="94" t="str">
        <f>IF(AND(C21&lt;&gt;"", 'Cost Inputs'!H21&lt;&gt;""), 'Cost Inputs'!H21, "")</f>
        <v/>
      </c>
      <c r="F21" s="94" t="str">
        <f>IF('Cost Inputs'!$I21&lt;&gt;"", 'Cost Inputs'!$I21, "")</f>
        <v/>
      </c>
      <c r="G21" s="94" t="str">
        <f t="shared" si="1"/>
        <v/>
      </c>
      <c r="H21" s="94" t="str">
        <f>IF('Cost Inputs'!$J21&lt;&gt;"", 'Cost Inputs'!$J21, "")</f>
        <v/>
      </c>
      <c r="I21" s="94" t="str">
        <f>IF(AND($E21&lt;&gt;"", $H21&lt;&gt;""), $H21/$E21, "")</f>
        <v/>
      </c>
      <c r="J21" s="94" t="str">
        <f>IF(('Cost Inputs'!I21+'Cost Inputs'!J21+'Cost Inputs'!K21)&gt;0, 'Cost Inputs'!I21+'Cost Inputs'!J21+'Cost Inputs'!K21, "")</f>
        <v/>
      </c>
      <c r="K21" s="94" t="str">
        <f>IF('Cost Inputs'!$N21&gt;0,'Cost Inputs'!$N21,"")</f>
        <v/>
      </c>
      <c r="L21" s="94"/>
      <c r="M21" s="103"/>
      <c r="O21" s="300" t="str">
        <f>IF(ISNUMBER('Model_ of_individuals'!O21), 'Model_ of_individuals'!O21*'Model_ of_individuals'!$K21,"")</f>
        <v/>
      </c>
      <c r="P21" s="301" t="str">
        <f>IF(ISNUMBER('Model_ of_individuals'!P21), 'Model_ of_individuals'!P21*'Model_ of_individuals'!$K21,"")</f>
        <v/>
      </c>
      <c r="Q21" s="301" t="str">
        <f>IF(ISNUMBER('Model_ of_individuals'!Q21), 'Model_ of_individuals'!Q21*'Model_ of_individuals'!$K21,"")</f>
        <v/>
      </c>
      <c r="R21" s="301" t="str">
        <f>IF(ISNUMBER('Model_ of_individuals'!R21), 'Model_ of_individuals'!R21*'Model_ of_individuals'!$K21,"")</f>
        <v/>
      </c>
      <c r="S21" s="301" t="str">
        <f>IF(ISNUMBER('Model_ of_individuals'!S21), 'Model_ of_individuals'!S21*'Model_ of_individuals'!$K21,"")</f>
        <v/>
      </c>
      <c r="T21" s="301" t="str">
        <f>IF(ISNUMBER('Model_ of_individuals'!T21), 'Model_ of_individuals'!T21*'Model_ of_individuals'!$K21,"")</f>
        <v/>
      </c>
      <c r="U21" s="301" t="str">
        <f>IF(ISNUMBER('Model_ of_individuals'!U21), 'Model_ of_individuals'!U21*'Model_ of_individuals'!$K21,"")</f>
        <v/>
      </c>
      <c r="V21" s="301" t="str">
        <f>IF(ISNUMBER('Model_ of_individuals'!V21), 'Model_ of_individuals'!V21*'Model_ of_individuals'!$K21,"")</f>
        <v/>
      </c>
      <c r="W21" s="301" t="str">
        <f>IF(ISNUMBER('Model_ of_individuals'!W21), 'Model_ of_individuals'!W21*'Model_ of_individuals'!$K21,"")</f>
        <v/>
      </c>
      <c r="X21" s="302" t="str">
        <f>IF(ISNUMBER('Model_ of_individuals'!X21), 'Model_ of_individuals'!X21*'Model_ of_individuals'!$K21,"")</f>
        <v/>
      </c>
    </row>
    <row r="22" spans="1:24" x14ac:dyDescent="0.25">
      <c r="A22" s="501"/>
      <c r="B22" s="504"/>
      <c r="C22" s="104" t="str">
        <f>IF(OR('Cost Inputs'!H22&lt;&gt;"", 'Cost Inputs'!I22&lt;&gt;"", 'Cost Inputs'!J22&lt;&gt;""), 'Cost Inputs'!A22, "")</f>
        <v/>
      </c>
      <c r="D22" s="17" t="str">
        <f>IF(AND(C22&lt;&gt;"", 'Cost Inputs'!G22&lt;&gt;""), 'Cost Inputs'!G22, "")</f>
        <v/>
      </c>
      <c r="E22" s="17" t="str">
        <f>IF(AND(C22&lt;&gt;"", 'Cost Inputs'!H22&lt;&gt;""), 'Cost Inputs'!H22, "")</f>
        <v/>
      </c>
      <c r="F22" s="17" t="str">
        <f>IF('Cost Inputs'!$I22&lt;&gt;"", 'Cost Inputs'!$I22, "")</f>
        <v/>
      </c>
      <c r="G22" s="17" t="str">
        <f t="shared" si="1"/>
        <v/>
      </c>
      <c r="H22" s="17" t="str">
        <f>IF('Cost Inputs'!$J22&lt;&gt;"", 'Cost Inputs'!$J22, "")</f>
        <v/>
      </c>
      <c r="I22" s="17" t="str">
        <f t="shared" si="2"/>
        <v/>
      </c>
      <c r="J22" s="17" t="str">
        <f>IF(('Cost Inputs'!I22+'Cost Inputs'!J22+'Cost Inputs'!K22)&gt;0, 'Cost Inputs'!I22+'Cost Inputs'!J22+'Cost Inputs'!K22, "")</f>
        <v/>
      </c>
      <c r="K22" s="17" t="str">
        <f>IF('Cost Inputs'!$N22&gt;0,'Cost Inputs'!$N22,"")</f>
        <v/>
      </c>
      <c r="M22" s="106"/>
      <c r="O22" s="104" t="str">
        <f>IF(ISNUMBER('Model_ of_individuals'!O22), 'Model_ of_individuals'!O22*'Model_ of_individuals'!$K22,"")</f>
        <v/>
      </c>
      <c r="P22" s="17" t="str">
        <f>IF(ISNUMBER('Model_ of_individuals'!P22), 'Model_ of_individuals'!P22*'Model_ of_individuals'!$K22,"")</f>
        <v/>
      </c>
      <c r="Q22" s="17" t="str">
        <f>IF(ISNUMBER('Model_ of_individuals'!Q22), 'Model_ of_individuals'!Q22*'Model_ of_individuals'!$K22,"")</f>
        <v/>
      </c>
      <c r="R22" s="17" t="str">
        <f>IF(ISNUMBER('Model_ of_individuals'!R22), 'Model_ of_individuals'!R22*'Model_ of_individuals'!$K22,"")</f>
        <v/>
      </c>
      <c r="S22" s="17" t="str">
        <f>IF(ISNUMBER('Model_ of_individuals'!S22), 'Model_ of_individuals'!S22*'Model_ of_individuals'!$K22,"")</f>
        <v/>
      </c>
      <c r="T22" s="17" t="str">
        <f>IF(ISNUMBER('Model_ of_individuals'!T22), 'Model_ of_individuals'!T22*'Model_ of_individuals'!$K22,"")</f>
        <v/>
      </c>
      <c r="U22" s="17" t="str">
        <f>IF(ISNUMBER('Model_ of_individuals'!U22), 'Model_ of_individuals'!U22*'Model_ of_individuals'!$K22,"")</f>
        <v/>
      </c>
      <c r="V22" s="17" t="str">
        <f>IF(ISNUMBER('Model_ of_individuals'!V22), 'Model_ of_individuals'!V22*'Model_ of_individuals'!$K22,"")</f>
        <v/>
      </c>
      <c r="W22" s="17" t="str">
        <f>IF(ISNUMBER('Model_ of_individuals'!W22), 'Model_ of_individuals'!W22*'Model_ of_individuals'!$K22,"")</f>
        <v/>
      </c>
      <c r="X22" s="106" t="str">
        <f>IF(ISNUMBER('Model_ of_individuals'!X22), 'Model_ of_individuals'!X22*'Model_ of_individuals'!$K22,"")</f>
        <v/>
      </c>
    </row>
    <row r="23" spans="1:24" x14ac:dyDescent="0.25">
      <c r="A23" s="501"/>
      <c r="B23" s="504"/>
      <c r="C23" s="107" t="str">
        <f>IF(OR('Cost Inputs'!H23&lt;&gt;"", 'Cost Inputs'!I23&lt;&gt;"", 'Cost Inputs'!J23&lt;&gt;""), 'Cost Inputs'!A23, "")</f>
        <v/>
      </c>
      <c r="D23" s="93" t="str">
        <f>IF(AND(C23&lt;&gt;"", 'Cost Inputs'!G23&lt;&gt;""), 'Cost Inputs'!G23, "")</f>
        <v/>
      </c>
      <c r="E23" s="93" t="str">
        <f>IF(AND(C23&lt;&gt;"", 'Cost Inputs'!H23&lt;&gt;""), 'Cost Inputs'!H23, "")</f>
        <v/>
      </c>
      <c r="F23" s="93" t="str">
        <f>IF('Cost Inputs'!$I23&lt;&gt;"", 'Cost Inputs'!$I23, "")</f>
        <v/>
      </c>
      <c r="G23" s="93" t="str">
        <f t="shared" si="1"/>
        <v/>
      </c>
      <c r="H23" s="93" t="str">
        <f>IF('Cost Inputs'!$J23&lt;&gt;"", 'Cost Inputs'!$J23, "")</f>
        <v/>
      </c>
      <c r="I23" s="93" t="str">
        <f t="shared" si="2"/>
        <v/>
      </c>
      <c r="J23" s="93" t="str">
        <f>IF(('Cost Inputs'!I23+'Cost Inputs'!J23+'Cost Inputs'!K23)&gt;0, 'Cost Inputs'!I23+'Cost Inputs'!J23+'Cost Inputs'!K23, "")</f>
        <v/>
      </c>
      <c r="K23" s="93" t="str">
        <f>IF('Cost Inputs'!$N23&gt;0,'Cost Inputs'!$N23,"")</f>
        <v/>
      </c>
      <c r="L23" s="93"/>
      <c r="M23" s="109"/>
      <c r="O23" s="107" t="str">
        <f>IF(ISNUMBER('Model_ of_individuals'!O23), 'Model_ of_individuals'!O23*'Model_ of_individuals'!$K23,"")</f>
        <v/>
      </c>
      <c r="P23" s="93" t="str">
        <f>IF(ISNUMBER('Model_ of_individuals'!P23), 'Model_ of_individuals'!P23*'Model_ of_individuals'!$K23,"")</f>
        <v/>
      </c>
      <c r="Q23" s="93" t="str">
        <f>IF(ISNUMBER('Model_ of_individuals'!Q23), 'Model_ of_individuals'!Q23*'Model_ of_individuals'!$K23,"")</f>
        <v/>
      </c>
      <c r="R23" s="93" t="str">
        <f>IF(ISNUMBER('Model_ of_individuals'!R23), 'Model_ of_individuals'!R23*'Model_ of_individuals'!$K23,"")</f>
        <v/>
      </c>
      <c r="S23" s="93" t="str">
        <f>IF(ISNUMBER('Model_ of_individuals'!S23), 'Model_ of_individuals'!S23*'Model_ of_individuals'!$K23,"")</f>
        <v/>
      </c>
      <c r="T23" s="93" t="str">
        <f>IF(ISNUMBER('Model_ of_individuals'!T23), 'Model_ of_individuals'!T23*'Model_ of_individuals'!$K23,"")</f>
        <v/>
      </c>
      <c r="U23" s="93" t="str">
        <f>IF(ISNUMBER('Model_ of_individuals'!U23), 'Model_ of_individuals'!U23*'Model_ of_individuals'!$K23,"")</f>
        <v/>
      </c>
      <c r="V23" s="93" t="str">
        <f>IF(ISNUMBER('Model_ of_individuals'!V23), 'Model_ of_individuals'!V23*'Model_ of_individuals'!$K23,"")</f>
        <v/>
      </c>
      <c r="W23" s="93" t="str">
        <f>IF(ISNUMBER('Model_ of_individuals'!W23), 'Model_ of_individuals'!W23*'Model_ of_individuals'!$K23,"")</f>
        <v/>
      </c>
      <c r="X23" s="109" t="str">
        <f>IF(ISNUMBER('Model_ of_individuals'!X23), 'Model_ of_individuals'!X23*'Model_ of_individuals'!$K23,"")</f>
        <v/>
      </c>
    </row>
    <row r="24" spans="1:24" x14ac:dyDescent="0.25">
      <c r="A24" s="501"/>
      <c r="B24" s="504"/>
      <c r="C24" s="104" t="str">
        <f>IF(OR('Cost Inputs'!H24&lt;&gt;"", 'Cost Inputs'!I24&lt;&gt;"", 'Cost Inputs'!J24&lt;&gt;""), 'Cost Inputs'!A24, "")</f>
        <v/>
      </c>
      <c r="D24" s="17" t="str">
        <f>IF(AND(C24&lt;&gt;"", 'Cost Inputs'!G24&lt;&gt;""), 'Cost Inputs'!G24, "")</f>
        <v/>
      </c>
      <c r="E24" s="17" t="str">
        <f>IF(AND(C24&lt;&gt;"", 'Cost Inputs'!H24&lt;&gt;""), 'Cost Inputs'!H24, "")</f>
        <v/>
      </c>
      <c r="F24" s="17" t="str">
        <f>IF('Cost Inputs'!$I24&lt;&gt;"", 'Cost Inputs'!$I24, "")</f>
        <v/>
      </c>
      <c r="G24" s="17" t="str">
        <f t="shared" si="1"/>
        <v/>
      </c>
      <c r="H24" s="17" t="str">
        <f>IF('Cost Inputs'!$J24&lt;&gt;"", 'Cost Inputs'!$J24, "")</f>
        <v/>
      </c>
      <c r="I24" s="17" t="str">
        <f t="shared" si="2"/>
        <v/>
      </c>
      <c r="J24" s="17" t="str">
        <f>IF(('Cost Inputs'!I24+'Cost Inputs'!J24+'Cost Inputs'!K24)&gt;0, 'Cost Inputs'!I24+'Cost Inputs'!J24+'Cost Inputs'!K24, "")</f>
        <v/>
      </c>
      <c r="K24" s="17" t="str">
        <f>IF('Cost Inputs'!$N24&gt;0,'Cost Inputs'!$N24,"")</f>
        <v/>
      </c>
      <c r="M24" s="106"/>
      <c r="O24" s="104" t="str">
        <f>IF(ISNUMBER('Model_ of_individuals'!O24), 'Model_ of_individuals'!O24*'Model_ of_individuals'!$K24,"")</f>
        <v/>
      </c>
      <c r="P24" s="17" t="str">
        <f>IF(ISNUMBER('Model_ of_individuals'!P24), 'Model_ of_individuals'!P24*'Model_ of_individuals'!$K24,"")</f>
        <v/>
      </c>
      <c r="Q24" s="17" t="str">
        <f>IF(ISNUMBER('Model_ of_individuals'!Q24), 'Model_ of_individuals'!Q24*'Model_ of_individuals'!$K24,"")</f>
        <v/>
      </c>
      <c r="R24" s="17" t="str">
        <f>IF(ISNUMBER('Model_ of_individuals'!R24), 'Model_ of_individuals'!R24*'Model_ of_individuals'!$K24,"")</f>
        <v/>
      </c>
      <c r="S24" s="17" t="str">
        <f>IF(ISNUMBER('Model_ of_individuals'!S24), 'Model_ of_individuals'!S24*'Model_ of_individuals'!$K24,"")</f>
        <v/>
      </c>
      <c r="T24" s="17" t="str">
        <f>IF(ISNUMBER('Model_ of_individuals'!T24), 'Model_ of_individuals'!T24*'Model_ of_individuals'!$K24,"")</f>
        <v/>
      </c>
      <c r="U24" s="17" t="str">
        <f>IF(ISNUMBER('Model_ of_individuals'!U24), 'Model_ of_individuals'!U24*'Model_ of_individuals'!$K24,"")</f>
        <v/>
      </c>
      <c r="V24" s="17" t="str">
        <f>IF(ISNUMBER('Model_ of_individuals'!V24), 'Model_ of_individuals'!V24*'Model_ of_individuals'!$K24,"")</f>
        <v/>
      </c>
      <c r="W24" s="17" t="str">
        <f>IF(ISNUMBER('Model_ of_individuals'!W24), 'Model_ of_individuals'!W24*'Model_ of_individuals'!$K24,"")</f>
        <v/>
      </c>
      <c r="X24" s="106" t="str">
        <f>IF(ISNUMBER('Model_ of_individuals'!X24), 'Model_ of_individuals'!X24*'Model_ of_individuals'!$K24,"")</f>
        <v/>
      </c>
    </row>
    <row r="25" spans="1:24" x14ac:dyDescent="0.25">
      <c r="A25" s="501"/>
      <c r="B25" s="504"/>
      <c r="C25" s="107" t="str">
        <f>IF(OR('Cost Inputs'!H25&lt;&gt;"", 'Cost Inputs'!I25&lt;&gt;"", 'Cost Inputs'!J25&lt;&gt;""), 'Cost Inputs'!A25, "")</f>
        <v/>
      </c>
      <c r="D25" s="93" t="str">
        <f>IF(AND(C25&lt;&gt;"", 'Cost Inputs'!G25&lt;&gt;""), 'Cost Inputs'!G25, "")</f>
        <v/>
      </c>
      <c r="E25" s="93" t="str">
        <f>IF(AND(C25&lt;&gt;"", 'Cost Inputs'!H25&lt;&gt;""), 'Cost Inputs'!H25, "")</f>
        <v/>
      </c>
      <c r="F25" s="93" t="str">
        <f>IF('Cost Inputs'!$I25&lt;&gt;"", 'Cost Inputs'!$I25, "")</f>
        <v/>
      </c>
      <c r="G25" s="93" t="str">
        <f t="shared" si="1"/>
        <v/>
      </c>
      <c r="H25" s="93" t="str">
        <f>IF('Cost Inputs'!$J25&lt;&gt;"", 'Cost Inputs'!$J25, "")</f>
        <v/>
      </c>
      <c r="I25" s="93" t="str">
        <f t="shared" si="2"/>
        <v/>
      </c>
      <c r="J25" s="93" t="str">
        <f>IF(('Cost Inputs'!I25+'Cost Inputs'!J25+'Cost Inputs'!K25)&gt;0, 'Cost Inputs'!I25+'Cost Inputs'!J25+'Cost Inputs'!K25, "")</f>
        <v/>
      </c>
      <c r="K25" s="93" t="str">
        <f>IF('Cost Inputs'!$N25&gt;0,'Cost Inputs'!$N25,"")</f>
        <v/>
      </c>
      <c r="L25" s="93"/>
      <c r="M25" s="109"/>
      <c r="O25" s="107" t="str">
        <f>IF(ISNUMBER('Model_ of_individuals'!O25), 'Model_ of_individuals'!O25*'Model_ of_individuals'!$K25,"")</f>
        <v/>
      </c>
      <c r="P25" s="93" t="str">
        <f>IF(ISNUMBER('Model_ of_individuals'!P25), 'Model_ of_individuals'!P25*'Model_ of_individuals'!$K25,"")</f>
        <v/>
      </c>
      <c r="Q25" s="93" t="str">
        <f>IF(ISNUMBER('Model_ of_individuals'!Q25), 'Model_ of_individuals'!Q25*'Model_ of_individuals'!$K25,"")</f>
        <v/>
      </c>
      <c r="R25" s="93" t="str">
        <f>IF(ISNUMBER('Model_ of_individuals'!R25), 'Model_ of_individuals'!R25*'Model_ of_individuals'!$K25,"")</f>
        <v/>
      </c>
      <c r="S25" s="93" t="str">
        <f>IF(ISNUMBER('Model_ of_individuals'!S25), 'Model_ of_individuals'!S25*'Model_ of_individuals'!$K25,"")</f>
        <v/>
      </c>
      <c r="T25" s="93" t="str">
        <f>IF(ISNUMBER('Model_ of_individuals'!T25), 'Model_ of_individuals'!T25*'Model_ of_individuals'!$K25,"")</f>
        <v/>
      </c>
      <c r="U25" s="93" t="str">
        <f>IF(ISNUMBER('Model_ of_individuals'!U25), 'Model_ of_individuals'!U25*'Model_ of_individuals'!$K25,"")</f>
        <v/>
      </c>
      <c r="V25" s="93" t="str">
        <f>IF(ISNUMBER('Model_ of_individuals'!V25), 'Model_ of_individuals'!V25*'Model_ of_individuals'!$K25,"")</f>
        <v/>
      </c>
      <c r="W25" s="93" t="str">
        <f>IF(ISNUMBER('Model_ of_individuals'!W25), 'Model_ of_individuals'!W25*'Model_ of_individuals'!$K25,"")</f>
        <v/>
      </c>
      <c r="X25" s="109" t="str">
        <f>IF(ISNUMBER('Model_ of_individuals'!X25), 'Model_ of_individuals'!X25*'Model_ of_individuals'!$K25,"")</f>
        <v/>
      </c>
    </row>
    <row r="26" spans="1:24" x14ac:dyDescent="0.25">
      <c r="A26" s="501"/>
      <c r="B26" s="504"/>
      <c r="C26" s="104" t="str">
        <f>IF(OR('Cost Inputs'!H26&lt;&gt;"", 'Cost Inputs'!I26&lt;&gt;"", 'Cost Inputs'!J26&lt;&gt;""), 'Cost Inputs'!A26, "")</f>
        <v/>
      </c>
      <c r="D26" s="17" t="str">
        <f>IF(AND(C26&lt;&gt;"", 'Cost Inputs'!G26&lt;&gt;""), 'Cost Inputs'!G26, "")</f>
        <v/>
      </c>
      <c r="E26" s="17" t="str">
        <f>IF(AND(C26&lt;&gt;"", 'Cost Inputs'!H26&lt;&gt;""), 'Cost Inputs'!H26, "")</f>
        <v/>
      </c>
      <c r="F26" s="17" t="str">
        <f>IF('Cost Inputs'!$I26&lt;&gt;"", 'Cost Inputs'!$I26, "")</f>
        <v/>
      </c>
      <c r="G26" s="17" t="str">
        <f t="shared" si="1"/>
        <v/>
      </c>
      <c r="H26" s="17" t="str">
        <f>IF('Cost Inputs'!$J26&lt;&gt;"", 'Cost Inputs'!$J26, "")</f>
        <v/>
      </c>
      <c r="I26" s="17" t="str">
        <f t="shared" si="2"/>
        <v/>
      </c>
      <c r="J26" s="17" t="str">
        <f>IF(('Cost Inputs'!I26+'Cost Inputs'!J26+'Cost Inputs'!K26)&gt;0, 'Cost Inputs'!I26+'Cost Inputs'!J26+'Cost Inputs'!K26, "")</f>
        <v/>
      </c>
      <c r="K26" s="17" t="str">
        <f>IF('Cost Inputs'!$N26&gt;0,'Cost Inputs'!$N26,"")</f>
        <v/>
      </c>
      <c r="M26" s="106"/>
      <c r="O26" s="104" t="str">
        <f>IF(ISNUMBER('Model_ of_individuals'!O26), 'Model_ of_individuals'!O26*'Model_ of_individuals'!$K26,"")</f>
        <v/>
      </c>
      <c r="P26" s="17" t="str">
        <f>IF(ISNUMBER('Model_ of_individuals'!P26), 'Model_ of_individuals'!P26*'Model_ of_individuals'!$K26,"")</f>
        <v/>
      </c>
      <c r="Q26" s="17" t="str">
        <f>IF(ISNUMBER('Model_ of_individuals'!Q26), 'Model_ of_individuals'!Q26*'Model_ of_individuals'!$K26,"")</f>
        <v/>
      </c>
      <c r="R26" s="17" t="str">
        <f>IF(ISNUMBER('Model_ of_individuals'!R26), 'Model_ of_individuals'!R26*'Model_ of_individuals'!$K26,"")</f>
        <v/>
      </c>
      <c r="S26" s="17" t="str">
        <f>IF(ISNUMBER('Model_ of_individuals'!S26), 'Model_ of_individuals'!S26*'Model_ of_individuals'!$K26,"")</f>
        <v/>
      </c>
      <c r="T26" s="17" t="str">
        <f>IF(ISNUMBER('Model_ of_individuals'!T26), 'Model_ of_individuals'!T26*'Model_ of_individuals'!$K26,"")</f>
        <v/>
      </c>
      <c r="U26" s="17" t="str">
        <f>IF(ISNUMBER('Model_ of_individuals'!U26), 'Model_ of_individuals'!U26*'Model_ of_individuals'!$K26,"")</f>
        <v/>
      </c>
      <c r="V26" s="17" t="str">
        <f>IF(ISNUMBER('Model_ of_individuals'!V26), 'Model_ of_individuals'!V26*'Model_ of_individuals'!$K26,"")</f>
        <v/>
      </c>
      <c r="W26" s="17" t="str">
        <f>IF(ISNUMBER('Model_ of_individuals'!W26), 'Model_ of_individuals'!W26*'Model_ of_individuals'!$K26,"")</f>
        <v/>
      </c>
      <c r="X26" s="106" t="str">
        <f>IF(ISNUMBER('Model_ of_individuals'!X26), 'Model_ of_individuals'!X26*'Model_ of_individuals'!$K26,"")</f>
        <v/>
      </c>
    </row>
    <row r="27" spans="1:24" x14ac:dyDescent="0.25">
      <c r="A27" s="501"/>
      <c r="B27" s="504"/>
      <c r="C27" s="107" t="str">
        <f>IF(OR('Cost Inputs'!H27&lt;&gt;"", 'Cost Inputs'!I27&lt;&gt;"", 'Cost Inputs'!J27&lt;&gt;""), 'Cost Inputs'!A27, "")</f>
        <v/>
      </c>
      <c r="D27" s="93" t="str">
        <f>IF(AND(C27&lt;&gt;"", 'Cost Inputs'!G27&lt;&gt;""), 'Cost Inputs'!G27, "")</f>
        <v/>
      </c>
      <c r="E27" s="93" t="str">
        <f>IF(AND(C27&lt;&gt;"", 'Cost Inputs'!H27&lt;&gt;""), 'Cost Inputs'!H27, "")</f>
        <v/>
      </c>
      <c r="F27" s="93" t="str">
        <f>IF('Cost Inputs'!$I27&lt;&gt;"", 'Cost Inputs'!$I27, "")</f>
        <v/>
      </c>
      <c r="G27" s="93" t="str">
        <f t="shared" si="1"/>
        <v/>
      </c>
      <c r="H27" s="93" t="str">
        <f>IF('Cost Inputs'!$J27&lt;&gt;"", 'Cost Inputs'!$J27, "")</f>
        <v/>
      </c>
      <c r="I27" s="93" t="str">
        <f t="shared" si="2"/>
        <v/>
      </c>
      <c r="J27" s="93" t="str">
        <f>IF(('Cost Inputs'!I27+'Cost Inputs'!J27+'Cost Inputs'!K27)&gt;0, 'Cost Inputs'!I27+'Cost Inputs'!J27+'Cost Inputs'!K27, "")</f>
        <v/>
      </c>
      <c r="K27" s="93" t="str">
        <f>IF('Cost Inputs'!$N27&gt;0,'Cost Inputs'!$N27,"")</f>
        <v/>
      </c>
      <c r="L27" s="93"/>
      <c r="M27" s="109"/>
      <c r="O27" s="107" t="str">
        <f>IF(ISNUMBER('Model_ of_individuals'!O27), 'Model_ of_individuals'!O27*'Model_ of_individuals'!$K27,"")</f>
        <v/>
      </c>
      <c r="P27" s="93" t="str">
        <f>IF(ISNUMBER('Model_ of_individuals'!P27), 'Model_ of_individuals'!P27*'Model_ of_individuals'!$K27,"")</f>
        <v/>
      </c>
      <c r="Q27" s="93" t="str">
        <f>IF(ISNUMBER('Model_ of_individuals'!Q27), 'Model_ of_individuals'!Q27*'Model_ of_individuals'!$K27,"")</f>
        <v/>
      </c>
      <c r="R27" s="93" t="str">
        <f>IF(ISNUMBER('Model_ of_individuals'!R27), 'Model_ of_individuals'!R27*'Model_ of_individuals'!$K27,"")</f>
        <v/>
      </c>
      <c r="S27" s="93" t="str">
        <f>IF(ISNUMBER('Model_ of_individuals'!S27), 'Model_ of_individuals'!S27*'Model_ of_individuals'!$K27,"")</f>
        <v/>
      </c>
      <c r="T27" s="93" t="str">
        <f>IF(ISNUMBER('Model_ of_individuals'!T27), 'Model_ of_individuals'!T27*'Model_ of_individuals'!$K27,"")</f>
        <v/>
      </c>
      <c r="U27" s="93" t="str">
        <f>IF(ISNUMBER('Model_ of_individuals'!U27), 'Model_ of_individuals'!U27*'Model_ of_individuals'!$K27,"")</f>
        <v/>
      </c>
      <c r="V27" s="93" t="str">
        <f>IF(ISNUMBER('Model_ of_individuals'!V27), 'Model_ of_individuals'!V27*'Model_ of_individuals'!$K27,"")</f>
        <v/>
      </c>
      <c r="W27" s="93" t="str">
        <f>IF(ISNUMBER('Model_ of_individuals'!W27), 'Model_ of_individuals'!W27*'Model_ of_individuals'!$K27,"")</f>
        <v/>
      </c>
      <c r="X27" s="109" t="str">
        <f>IF(ISNUMBER('Model_ of_individuals'!X27), 'Model_ of_individuals'!X27*'Model_ of_individuals'!$K27,"")</f>
        <v/>
      </c>
    </row>
    <row r="28" spans="1:24" x14ac:dyDescent="0.25">
      <c r="A28" s="501"/>
      <c r="B28" s="504"/>
      <c r="C28" s="110" t="str">
        <f>'Cost Inputs'!A28</f>
        <v>1.5 Seed Collection and preparation</v>
      </c>
      <c r="D28" s="94" t="str">
        <f>IF(OR('Cost Inputs'!H28&lt;&gt;"", 'Cost Inputs'!I28&lt;&gt;"", 'Cost Inputs'!J28&lt;&gt;""), 'Cost Inputs'!G28,"")</f>
        <v/>
      </c>
      <c r="E28" s="94" t="str">
        <f>IF(AND(C28&lt;&gt;"", 'Cost Inputs'!H28&lt;&gt;""), 'Cost Inputs'!H28, "")</f>
        <v/>
      </c>
      <c r="F28" s="94" t="str">
        <f>IF('Cost Inputs'!$I28&lt;&gt;"", 'Cost Inputs'!$I28, "")</f>
        <v/>
      </c>
      <c r="G28" s="94" t="str">
        <f t="shared" si="1"/>
        <v/>
      </c>
      <c r="H28" s="94" t="str">
        <f>IF('Cost Inputs'!$J28&lt;&gt;"", 'Cost Inputs'!$J28, "")</f>
        <v/>
      </c>
      <c r="I28" s="94" t="str">
        <f>IF(AND($E28&lt;&gt;"", $H28&lt;&gt;""), $H28/$E28, "")</f>
        <v/>
      </c>
      <c r="J28" s="94" t="str">
        <f>IF(('Cost Inputs'!I28+'Cost Inputs'!J28+'Cost Inputs'!K28)&gt;0, 'Cost Inputs'!I28+'Cost Inputs'!J28+'Cost Inputs'!K28, "")</f>
        <v/>
      </c>
      <c r="K28" s="94" t="str">
        <f>IF('Cost Inputs'!$N28&gt;0,'Cost Inputs'!$N28,"")</f>
        <v/>
      </c>
      <c r="L28" s="94"/>
      <c r="M28" s="103"/>
      <c r="O28" s="300" t="str">
        <f>IF(ISNUMBER('Model_ of_individuals'!O28), 'Model_ of_individuals'!O28*'Model_ of_individuals'!$K28,"")</f>
        <v/>
      </c>
      <c r="P28" s="301" t="str">
        <f>IF(ISNUMBER('Model_ of_individuals'!P28), 'Model_ of_individuals'!P28*'Model_ of_individuals'!$K28,"")</f>
        <v/>
      </c>
      <c r="Q28" s="301" t="str">
        <f>IF(ISNUMBER('Model_ of_individuals'!Q28), 'Model_ of_individuals'!Q28*'Model_ of_individuals'!$K28,"")</f>
        <v/>
      </c>
      <c r="R28" s="301" t="str">
        <f>IF(ISNUMBER('Model_ of_individuals'!R28), 'Model_ of_individuals'!R28*'Model_ of_individuals'!$K28,"")</f>
        <v/>
      </c>
      <c r="S28" s="301" t="str">
        <f>IF(ISNUMBER('Model_ of_individuals'!S28), 'Model_ of_individuals'!S28*'Model_ of_individuals'!$K28,"")</f>
        <v/>
      </c>
      <c r="T28" s="301" t="str">
        <f>IF(ISNUMBER('Model_ of_individuals'!T28), 'Model_ of_individuals'!T28*'Model_ of_individuals'!$K28,"")</f>
        <v/>
      </c>
      <c r="U28" s="301" t="str">
        <f>IF(ISNUMBER('Model_ of_individuals'!U28), 'Model_ of_individuals'!U28*'Model_ of_individuals'!$K28,"")</f>
        <v/>
      </c>
      <c r="V28" s="301" t="str">
        <f>IF(ISNUMBER('Model_ of_individuals'!V28), 'Model_ of_individuals'!V28*'Model_ of_individuals'!$K28,"")</f>
        <v/>
      </c>
      <c r="W28" s="301" t="str">
        <f>IF(ISNUMBER('Model_ of_individuals'!W28), 'Model_ of_individuals'!W28*'Model_ of_individuals'!$K28,"")</f>
        <v/>
      </c>
      <c r="X28" s="302" t="str">
        <f>IF(ISNUMBER('Model_ of_individuals'!X28), 'Model_ of_individuals'!X28*'Model_ of_individuals'!$K28,"")</f>
        <v/>
      </c>
    </row>
    <row r="29" spans="1:24" x14ac:dyDescent="0.25">
      <c r="A29" s="501"/>
      <c r="B29" s="504"/>
      <c r="C29" s="104" t="str">
        <f>IF(OR('Cost Inputs'!H29&lt;&gt;"", 'Cost Inputs'!I29&lt;&gt;"", 'Cost Inputs'!J29&lt;&gt;""), 'Cost Inputs'!A29, "")</f>
        <v/>
      </c>
      <c r="D29" s="17" t="str">
        <f>IF(AND(C29&lt;&gt;"", 'Cost Inputs'!G29&lt;&gt;""), 'Cost Inputs'!G29, "")</f>
        <v/>
      </c>
      <c r="E29" s="17" t="str">
        <f>IF(AND(C29&lt;&gt;"", 'Cost Inputs'!H29&lt;&gt;""), 'Cost Inputs'!H29, "")</f>
        <v/>
      </c>
      <c r="F29" s="17" t="str">
        <f>IF('Cost Inputs'!$I29&lt;&gt;"", 'Cost Inputs'!$I29, "")</f>
        <v/>
      </c>
      <c r="G29" s="17" t="str">
        <f t="shared" si="1"/>
        <v/>
      </c>
      <c r="H29" s="17" t="str">
        <f>IF('Cost Inputs'!$J29&lt;&gt;"", 'Cost Inputs'!$J29, "")</f>
        <v/>
      </c>
      <c r="I29" s="17" t="str">
        <f t="shared" si="2"/>
        <v/>
      </c>
      <c r="J29" s="17" t="str">
        <f>IF(('Cost Inputs'!I29+'Cost Inputs'!J29+'Cost Inputs'!K29)&gt;0, 'Cost Inputs'!I29+'Cost Inputs'!J29+'Cost Inputs'!K29, "")</f>
        <v/>
      </c>
      <c r="K29" s="17" t="str">
        <f>IF('Cost Inputs'!$N29&gt;0,'Cost Inputs'!$N29,"")</f>
        <v/>
      </c>
      <c r="M29" s="106"/>
      <c r="O29" s="104" t="str">
        <f>IF(ISNUMBER('Model_ of_individuals'!O29), 'Model_ of_individuals'!O29*'Model_ of_individuals'!$K29,"")</f>
        <v/>
      </c>
      <c r="P29" s="17" t="str">
        <f>IF(ISNUMBER('Model_ of_individuals'!P29), 'Model_ of_individuals'!P29*'Model_ of_individuals'!$K29,"")</f>
        <v/>
      </c>
      <c r="Q29" s="17" t="str">
        <f>IF(ISNUMBER('Model_ of_individuals'!Q29), 'Model_ of_individuals'!Q29*'Model_ of_individuals'!$K29,"")</f>
        <v/>
      </c>
      <c r="R29" s="17" t="str">
        <f>IF(ISNUMBER('Model_ of_individuals'!R29), 'Model_ of_individuals'!R29*'Model_ of_individuals'!$K29,"")</f>
        <v/>
      </c>
      <c r="S29" s="17" t="str">
        <f>IF(ISNUMBER('Model_ of_individuals'!S29), 'Model_ of_individuals'!S29*'Model_ of_individuals'!$K29,"")</f>
        <v/>
      </c>
      <c r="T29" s="17" t="str">
        <f>IF(ISNUMBER('Model_ of_individuals'!T29), 'Model_ of_individuals'!T29*'Model_ of_individuals'!$K29,"")</f>
        <v/>
      </c>
      <c r="U29" s="17" t="str">
        <f>IF(ISNUMBER('Model_ of_individuals'!U29), 'Model_ of_individuals'!U29*'Model_ of_individuals'!$K29,"")</f>
        <v/>
      </c>
      <c r="V29" s="17" t="str">
        <f>IF(ISNUMBER('Model_ of_individuals'!V29), 'Model_ of_individuals'!V29*'Model_ of_individuals'!$K29,"")</f>
        <v/>
      </c>
      <c r="W29" s="17" t="str">
        <f>IF(ISNUMBER('Model_ of_individuals'!W29), 'Model_ of_individuals'!W29*'Model_ of_individuals'!$K29,"")</f>
        <v/>
      </c>
      <c r="X29" s="106" t="str">
        <f>IF(ISNUMBER('Model_ of_individuals'!X29), 'Model_ of_individuals'!X29*'Model_ of_individuals'!$K29,"")</f>
        <v/>
      </c>
    </row>
    <row r="30" spans="1:24" x14ac:dyDescent="0.25">
      <c r="A30" s="501"/>
      <c r="B30" s="504"/>
      <c r="C30" s="107" t="str">
        <f>IF(OR('Cost Inputs'!H30&lt;&gt;"", 'Cost Inputs'!I30&lt;&gt;"", 'Cost Inputs'!J30&lt;&gt;""), 'Cost Inputs'!A30, "")</f>
        <v/>
      </c>
      <c r="D30" s="93" t="str">
        <f>IF(AND(C30&lt;&gt;"", 'Cost Inputs'!G30&lt;&gt;""), 'Cost Inputs'!G30, "")</f>
        <v/>
      </c>
      <c r="E30" s="93" t="str">
        <f>IF(AND(C30&lt;&gt;"", 'Cost Inputs'!H30&lt;&gt;""), 'Cost Inputs'!H30, "")</f>
        <v/>
      </c>
      <c r="F30" s="93" t="str">
        <f>IF('Cost Inputs'!$I30&lt;&gt;"", 'Cost Inputs'!$I30, "")</f>
        <v/>
      </c>
      <c r="G30" s="93" t="str">
        <f t="shared" si="1"/>
        <v/>
      </c>
      <c r="H30" s="93" t="str">
        <f>IF('Cost Inputs'!$J30&lt;&gt;"", 'Cost Inputs'!$J30, "")</f>
        <v/>
      </c>
      <c r="I30" s="93" t="str">
        <f t="shared" si="2"/>
        <v/>
      </c>
      <c r="J30" s="93" t="str">
        <f>IF(('Cost Inputs'!I30+'Cost Inputs'!J30+'Cost Inputs'!K30)&gt;0, 'Cost Inputs'!I30+'Cost Inputs'!J30+'Cost Inputs'!K30, "")</f>
        <v/>
      </c>
      <c r="K30" s="93" t="str">
        <f>IF('Cost Inputs'!$N30&gt;0,'Cost Inputs'!$N30,"")</f>
        <v/>
      </c>
      <c r="L30" s="93"/>
      <c r="M30" s="109"/>
      <c r="O30" s="107" t="str">
        <f>IF(ISNUMBER('Model_ of_individuals'!O30), 'Model_ of_individuals'!O30*'Model_ of_individuals'!$K30,"")</f>
        <v/>
      </c>
      <c r="P30" s="93" t="str">
        <f>IF(ISNUMBER('Model_ of_individuals'!P30), 'Model_ of_individuals'!P30*'Model_ of_individuals'!$K30,"")</f>
        <v/>
      </c>
      <c r="Q30" s="93" t="str">
        <f>IF(ISNUMBER('Model_ of_individuals'!Q30), 'Model_ of_individuals'!Q30*'Model_ of_individuals'!$K30,"")</f>
        <v/>
      </c>
      <c r="R30" s="93" t="str">
        <f>IF(ISNUMBER('Model_ of_individuals'!R30), 'Model_ of_individuals'!R30*'Model_ of_individuals'!$K30,"")</f>
        <v/>
      </c>
      <c r="S30" s="93" t="str">
        <f>IF(ISNUMBER('Model_ of_individuals'!S30), 'Model_ of_individuals'!S30*'Model_ of_individuals'!$K30,"")</f>
        <v/>
      </c>
      <c r="T30" s="93" t="str">
        <f>IF(ISNUMBER('Model_ of_individuals'!T30), 'Model_ of_individuals'!T30*'Model_ of_individuals'!$K30,"")</f>
        <v/>
      </c>
      <c r="U30" s="93" t="str">
        <f>IF(ISNUMBER('Model_ of_individuals'!U30), 'Model_ of_individuals'!U30*'Model_ of_individuals'!$K30,"")</f>
        <v/>
      </c>
      <c r="V30" s="93" t="str">
        <f>IF(ISNUMBER('Model_ of_individuals'!V30), 'Model_ of_individuals'!V30*'Model_ of_individuals'!$K30,"")</f>
        <v/>
      </c>
      <c r="W30" s="93" t="str">
        <f>IF(ISNUMBER('Model_ of_individuals'!W30), 'Model_ of_individuals'!W30*'Model_ of_individuals'!$K30,"")</f>
        <v/>
      </c>
      <c r="X30" s="109" t="str">
        <f>IF(ISNUMBER('Model_ of_individuals'!X30), 'Model_ of_individuals'!X30*'Model_ of_individuals'!$K30,"")</f>
        <v/>
      </c>
    </row>
    <row r="31" spans="1:24" x14ac:dyDescent="0.25">
      <c r="A31" s="501"/>
      <c r="B31" s="504"/>
      <c r="C31" s="104" t="str">
        <f>IF(OR('Cost Inputs'!H31&lt;&gt;"", 'Cost Inputs'!I31&lt;&gt;"", 'Cost Inputs'!J31&lt;&gt;""), 'Cost Inputs'!A31, "")</f>
        <v/>
      </c>
      <c r="D31" s="17" t="str">
        <f>IF(AND(C31&lt;&gt;"", 'Cost Inputs'!G31&lt;&gt;""), 'Cost Inputs'!G31, "")</f>
        <v/>
      </c>
      <c r="E31" s="17" t="str">
        <f>IF(AND(C31&lt;&gt;"", 'Cost Inputs'!H31&lt;&gt;""), 'Cost Inputs'!H31, "")</f>
        <v/>
      </c>
      <c r="F31" s="17" t="str">
        <f>IF('Cost Inputs'!$I31&lt;&gt;"", 'Cost Inputs'!$I31, "")</f>
        <v/>
      </c>
      <c r="G31" s="17" t="str">
        <f t="shared" si="1"/>
        <v/>
      </c>
      <c r="H31" s="17" t="str">
        <f>IF('Cost Inputs'!$J31&lt;&gt;"", 'Cost Inputs'!$J31, "")</f>
        <v/>
      </c>
      <c r="I31" s="17" t="str">
        <f t="shared" si="2"/>
        <v/>
      </c>
      <c r="J31" s="17" t="str">
        <f>IF(('Cost Inputs'!I31+'Cost Inputs'!J31+'Cost Inputs'!K31)&gt;0, 'Cost Inputs'!I31+'Cost Inputs'!J31+'Cost Inputs'!K31, "")</f>
        <v/>
      </c>
      <c r="K31" s="17" t="str">
        <f>IF('Cost Inputs'!$N31&gt;0,'Cost Inputs'!$N31,"")</f>
        <v/>
      </c>
      <c r="M31" s="106"/>
      <c r="O31" s="104" t="str">
        <f>IF(ISNUMBER('Model_ of_individuals'!O31), 'Model_ of_individuals'!O31*'Model_ of_individuals'!$K31,"")</f>
        <v/>
      </c>
      <c r="P31" s="17" t="str">
        <f>IF(ISNUMBER('Model_ of_individuals'!P31), 'Model_ of_individuals'!P31*'Model_ of_individuals'!$K31,"")</f>
        <v/>
      </c>
      <c r="Q31" s="17" t="str">
        <f>IF(ISNUMBER('Model_ of_individuals'!Q31), 'Model_ of_individuals'!Q31*'Model_ of_individuals'!$K31,"")</f>
        <v/>
      </c>
      <c r="R31" s="17" t="str">
        <f>IF(ISNUMBER('Model_ of_individuals'!R31), 'Model_ of_individuals'!R31*'Model_ of_individuals'!$K31,"")</f>
        <v/>
      </c>
      <c r="S31" s="17" t="str">
        <f>IF(ISNUMBER('Model_ of_individuals'!S31), 'Model_ of_individuals'!S31*'Model_ of_individuals'!$K31,"")</f>
        <v/>
      </c>
      <c r="T31" s="17" t="str">
        <f>IF(ISNUMBER('Model_ of_individuals'!T31), 'Model_ of_individuals'!T31*'Model_ of_individuals'!$K31,"")</f>
        <v/>
      </c>
      <c r="U31" s="17" t="str">
        <f>IF(ISNUMBER('Model_ of_individuals'!U31), 'Model_ of_individuals'!U31*'Model_ of_individuals'!$K31,"")</f>
        <v/>
      </c>
      <c r="V31" s="17" t="str">
        <f>IF(ISNUMBER('Model_ of_individuals'!V31), 'Model_ of_individuals'!V31*'Model_ of_individuals'!$K31,"")</f>
        <v/>
      </c>
      <c r="W31" s="17" t="str">
        <f>IF(ISNUMBER('Model_ of_individuals'!W31), 'Model_ of_individuals'!W31*'Model_ of_individuals'!$K31,"")</f>
        <v/>
      </c>
      <c r="X31" s="106" t="str">
        <f>IF(ISNUMBER('Model_ of_individuals'!X31), 'Model_ of_individuals'!X31*'Model_ of_individuals'!$K31,"")</f>
        <v/>
      </c>
    </row>
    <row r="32" spans="1:24" x14ac:dyDescent="0.25">
      <c r="A32" s="501"/>
      <c r="B32" s="504"/>
      <c r="C32" s="107" t="str">
        <f>IF(OR('Cost Inputs'!H32&lt;&gt;"", 'Cost Inputs'!I32&lt;&gt;"", 'Cost Inputs'!J32&lt;&gt;""), 'Cost Inputs'!A32, "")</f>
        <v/>
      </c>
      <c r="D32" s="93" t="str">
        <f>IF(AND(C32&lt;&gt;"", 'Cost Inputs'!G32&lt;&gt;""), 'Cost Inputs'!G32, "")</f>
        <v/>
      </c>
      <c r="E32" s="93" t="str">
        <f>IF(AND(C32&lt;&gt;"", 'Cost Inputs'!H32&lt;&gt;""), 'Cost Inputs'!H32, "")</f>
        <v/>
      </c>
      <c r="F32" s="93" t="str">
        <f>IF('Cost Inputs'!$I32&lt;&gt;"", 'Cost Inputs'!$I32, "")</f>
        <v/>
      </c>
      <c r="G32" s="93" t="str">
        <f t="shared" si="1"/>
        <v/>
      </c>
      <c r="H32" s="93" t="str">
        <f>IF('Cost Inputs'!$J32&lt;&gt;"", 'Cost Inputs'!$J32, "")</f>
        <v/>
      </c>
      <c r="I32" s="93" t="str">
        <f t="shared" si="2"/>
        <v/>
      </c>
      <c r="J32" s="93" t="str">
        <f>IF(('Cost Inputs'!I32+'Cost Inputs'!J32+'Cost Inputs'!K32)&gt;0, 'Cost Inputs'!I32+'Cost Inputs'!J32+'Cost Inputs'!K32, "")</f>
        <v/>
      </c>
      <c r="K32" s="93" t="str">
        <f>IF('Cost Inputs'!$N32&gt;0,'Cost Inputs'!$N32,"")</f>
        <v/>
      </c>
      <c r="L32" s="93"/>
      <c r="M32" s="109"/>
      <c r="O32" s="107" t="str">
        <f>IF(ISNUMBER('Model_ of_individuals'!O32), 'Model_ of_individuals'!O32*'Model_ of_individuals'!$K32,"")</f>
        <v/>
      </c>
      <c r="P32" s="93" t="str">
        <f>IF(ISNUMBER('Model_ of_individuals'!P32), 'Model_ of_individuals'!P32*'Model_ of_individuals'!$K32,"")</f>
        <v/>
      </c>
      <c r="Q32" s="93" t="str">
        <f>IF(ISNUMBER('Model_ of_individuals'!Q32), 'Model_ of_individuals'!Q32*'Model_ of_individuals'!$K32,"")</f>
        <v/>
      </c>
      <c r="R32" s="93" t="str">
        <f>IF(ISNUMBER('Model_ of_individuals'!R32), 'Model_ of_individuals'!R32*'Model_ of_individuals'!$K32,"")</f>
        <v/>
      </c>
      <c r="S32" s="93" t="str">
        <f>IF(ISNUMBER('Model_ of_individuals'!S32), 'Model_ of_individuals'!S32*'Model_ of_individuals'!$K32,"")</f>
        <v/>
      </c>
      <c r="T32" s="93" t="str">
        <f>IF(ISNUMBER('Model_ of_individuals'!T32), 'Model_ of_individuals'!T32*'Model_ of_individuals'!$K32,"")</f>
        <v/>
      </c>
      <c r="U32" s="93" t="str">
        <f>IF(ISNUMBER('Model_ of_individuals'!U32), 'Model_ of_individuals'!U32*'Model_ of_individuals'!$K32,"")</f>
        <v/>
      </c>
      <c r="V32" s="93" t="str">
        <f>IF(ISNUMBER('Model_ of_individuals'!V32), 'Model_ of_individuals'!V32*'Model_ of_individuals'!$K32,"")</f>
        <v/>
      </c>
      <c r="W32" s="93" t="str">
        <f>IF(ISNUMBER('Model_ of_individuals'!W32), 'Model_ of_individuals'!W32*'Model_ of_individuals'!$K32,"")</f>
        <v/>
      </c>
      <c r="X32" s="109" t="str">
        <f>IF(ISNUMBER('Model_ of_individuals'!X32), 'Model_ of_individuals'!X32*'Model_ of_individuals'!$K32,"")</f>
        <v/>
      </c>
    </row>
    <row r="33" spans="1:45" x14ac:dyDescent="0.25">
      <c r="A33" s="501"/>
      <c r="B33" s="504"/>
      <c r="C33" s="104" t="str">
        <f>IF(OR('Cost Inputs'!H33&lt;&gt;"", 'Cost Inputs'!I33&lt;&gt;"", 'Cost Inputs'!J33&lt;&gt;""), 'Cost Inputs'!A33, "")</f>
        <v/>
      </c>
      <c r="D33" s="17" t="str">
        <f>IF(AND(C33&lt;&gt;"", 'Cost Inputs'!G33&lt;&gt;""), 'Cost Inputs'!G33, "")</f>
        <v/>
      </c>
      <c r="E33" s="17" t="str">
        <f>IF(AND(C33&lt;&gt;"", 'Cost Inputs'!H33&lt;&gt;""), 'Cost Inputs'!H33, "")</f>
        <v/>
      </c>
      <c r="F33" s="17" t="str">
        <f>IF('Cost Inputs'!$I33&lt;&gt;"", 'Cost Inputs'!$I33, "")</f>
        <v/>
      </c>
      <c r="G33" s="17" t="str">
        <f t="shared" si="1"/>
        <v/>
      </c>
      <c r="H33" s="17" t="str">
        <f>IF('Cost Inputs'!$J33&lt;&gt;"", 'Cost Inputs'!$J33, "")</f>
        <v/>
      </c>
      <c r="I33" s="17" t="str">
        <f t="shared" si="2"/>
        <v/>
      </c>
      <c r="J33" s="17" t="str">
        <f>IF(('Cost Inputs'!I33+'Cost Inputs'!J33+'Cost Inputs'!K33)&gt;0, 'Cost Inputs'!I33+'Cost Inputs'!J33+'Cost Inputs'!K33, "")</f>
        <v/>
      </c>
      <c r="K33" s="17" t="str">
        <f>IF('Cost Inputs'!$N33&gt;0,'Cost Inputs'!$N33,"")</f>
        <v/>
      </c>
      <c r="M33" s="106"/>
      <c r="O33" s="104" t="str">
        <f>IF(ISNUMBER('Model_ of_individuals'!O33), 'Model_ of_individuals'!O33*'Model_ of_individuals'!$K33,"")</f>
        <v/>
      </c>
      <c r="P33" s="17" t="str">
        <f>IF(ISNUMBER('Model_ of_individuals'!P33), 'Model_ of_individuals'!P33*'Model_ of_individuals'!$K33,"")</f>
        <v/>
      </c>
      <c r="Q33" s="17" t="str">
        <f>IF(ISNUMBER('Model_ of_individuals'!Q33), 'Model_ of_individuals'!Q33*'Model_ of_individuals'!$K33,"")</f>
        <v/>
      </c>
      <c r="R33" s="17" t="str">
        <f>IF(ISNUMBER('Model_ of_individuals'!R33), 'Model_ of_individuals'!R33*'Model_ of_individuals'!$K33,"")</f>
        <v/>
      </c>
      <c r="S33" s="17" t="str">
        <f>IF(ISNUMBER('Model_ of_individuals'!S33), 'Model_ of_individuals'!S33*'Model_ of_individuals'!$K33,"")</f>
        <v/>
      </c>
      <c r="T33" s="17" t="str">
        <f>IF(ISNUMBER('Model_ of_individuals'!T33), 'Model_ of_individuals'!T33*'Model_ of_individuals'!$K33,"")</f>
        <v/>
      </c>
      <c r="U33" s="17" t="str">
        <f>IF(ISNUMBER('Model_ of_individuals'!U33), 'Model_ of_individuals'!U33*'Model_ of_individuals'!$K33,"")</f>
        <v/>
      </c>
      <c r="V33" s="17" t="str">
        <f>IF(ISNUMBER('Model_ of_individuals'!V33), 'Model_ of_individuals'!V33*'Model_ of_individuals'!$K33,"")</f>
        <v/>
      </c>
      <c r="W33" s="17" t="str">
        <f>IF(ISNUMBER('Model_ of_individuals'!W33), 'Model_ of_individuals'!W33*'Model_ of_individuals'!$K33,"")</f>
        <v/>
      </c>
      <c r="X33" s="106" t="str">
        <f>IF(ISNUMBER('Model_ of_individuals'!X33), 'Model_ of_individuals'!X33*'Model_ of_individuals'!$K33,"")</f>
        <v/>
      </c>
    </row>
    <row r="34" spans="1:45" x14ac:dyDescent="0.25">
      <c r="A34" s="501"/>
      <c r="B34" s="504"/>
      <c r="C34" s="107" t="str">
        <f>IF(OR('Cost Inputs'!H34&lt;&gt;"", 'Cost Inputs'!I34&lt;&gt;"", 'Cost Inputs'!J34&lt;&gt;""), 'Cost Inputs'!A34, "")</f>
        <v/>
      </c>
      <c r="D34" s="93" t="str">
        <f>IF(AND(C34&lt;&gt;"", 'Cost Inputs'!G34&lt;&gt;""), 'Cost Inputs'!G34, "")</f>
        <v/>
      </c>
      <c r="E34" s="93" t="str">
        <f>IF(AND(C34&lt;&gt;"", 'Cost Inputs'!H34&lt;&gt;""), 'Cost Inputs'!H34, "")</f>
        <v/>
      </c>
      <c r="F34" s="93" t="str">
        <f>IF('Cost Inputs'!$I34&lt;&gt;"", 'Cost Inputs'!$I34, "")</f>
        <v/>
      </c>
      <c r="G34" s="93" t="str">
        <f t="shared" si="1"/>
        <v/>
      </c>
      <c r="H34" s="93" t="str">
        <f>IF('Cost Inputs'!$J34&lt;&gt;"", 'Cost Inputs'!$J34, "")</f>
        <v/>
      </c>
      <c r="I34" s="93" t="str">
        <f t="shared" si="2"/>
        <v/>
      </c>
      <c r="J34" s="93" t="str">
        <f>IF(('Cost Inputs'!I34+'Cost Inputs'!J34+'Cost Inputs'!K34)&gt;0, 'Cost Inputs'!I34+'Cost Inputs'!J34+'Cost Inputs'!K34, "")</f>
        <v/>
      </c>
      <c r="K34" s="93" t="str">
        <f>IF('Cost Inputs'!$N34&gt;0,'Cost Inputs'!$N34,"")</f>
        <v/>
      </c>
      <c r="L34" s="93"/>
      <c r="M34" s="109"/>
      <c r="O34" s="107" t="str">
        <f>IF(ISNUMBER('Model_ of_individuals'!O34), 'Model_ of_individuals'!O34*'Model_ of_individuals'!$K34,"")</f>
        <v/>
      </c>
      <c r="P34" s="93" t="str">
        <f>IF(ISNUMBER('Model_ of_individuals'!P34), 'Model_ of_individuals'!P34*'Model_ of_individuals'!$K34,"")</f>
        <v/>
      </c>
      <c r="Q34" s="93" t="str">
        <f>IF(ISNUMBER('Model_ of_individuals'!Q34), 'Model_ of_individuals'!Q34*'Model_ of_individuals'!$K34,"")</f>
        <v/>
      </c>
      <c r="R34" s="93" t="str">
        <f>IF(ISNUMBER('Model_ of_individuals'!R34), 'Model_ of_individuals'!R34*'Model_ of_individuals'!$K34,"")</f>
        <v/>
      </c>
      <c r="S34" s="93" t="str">
        <f>IF(ISNUMBER('Model_ of_individuals'!S34), 'Model_ of_individuals'!S34*'Model_ of_individuals'!$K34,"")</f>
        <v/>
      </c>
      <c r="T34" s="93" t="str">
        <f>IF(ISNUMBER('Model_ of_individuals'!T34), 'Model_ of_individuals'!T34*'Model_ of_individuals'!$K34,"")</f>
        <v/>
      </c>
      <c r="U34" s="93" t="str">
        <f>IF(ISNUMBER('Model_ of_individuals'!U34), 'Model_ of_individuals'!U34*'Model_ of_individuals'!$K34,"")</f>
        <v/>
      </c>
      <c r="V34" s="93" t="str">
        <f>IF(ISNUMBER('Model_ of_individuals'!V34), 'Model_ of_individuals'!V34*'Model_ of_individuals'!$K34,"")</f>
        <v/>
      </c>
      <c r="W34" s="93" t="str">
        <f>IF(ISNUMBER('Model_ of_individuals'!W34), 'Model_ of_individuals'!W34*'Model_ of_individuals'!$K34,"")</f>
        <v/>
      </c>
      <c r="X34" s="109" t="str">
        <f>IF(ISNUMBER('Model_ of_individuals'!X34), 'Model_ of_individuals'!X34*'Model_ of_individuals'!$K34,"")</f>
        <v/>
      </c>
    </row>
    <row r="35" spans="1:45" x14ac:dyDescent="0.25">
      <c r="A35" s="501"/>
      <c r="B35" s="504"/>
      <c r="C35" s="104" t="str">
        <f>IF(OR('Cost Inputs'!H35&lt;&gt;"", 'Cost Inputs'!I35&lt;&gt;"", 'Cost Inputs'!J35&lt;&gt;""), 'Cost Inputs'!A35, "")</f>
        <v/>
      </c>
      <c r="D35" s="17" t="str">
        <f>IF(AND(C35&lt;&gt;"", 'Cost Inputs'!G35&lt;&gt;""), 'Cost Inputs'!G35, "")</f>
        <v/>
      </c>
      <c r="E35" s="17" t="str">
        <f>IF(AND(C35&lt;&gt;"", 'Cost Inputs'!H35&lt;&gt;""), 'Cost Inputs'!H35, "")</f>
        <v/>
      </c>
      <c r="F35" s="17" t="str">
        <f>IF('Cost Inputs'!$I35&lt;&gt;"", 'Cost Inputs'!$I35, "")</f>
        <v/>
      </c>
      <c r="G35" s="17" t="str">
        <f t="shared" si="1"/>
        <v/>
      </c>
      <c r="H35" s="17" t="str">
        <f>IF('Cost Inputs'!$J35&lt;&gt;"", 'Cost Inputs'!$J35, "")</f>
        <v/>
      </c>
      <c r="I35" s="17" t="str">
        <f t="shared" si="2"/>
        <v/>
      </c>
      <c r="J35" s="17" t="str">
        <f>IF(('Cost Inputs'!I35+'Cost Inputs'!J35+'Cost Inputs'!K35)&gt;0, 'Cost Inputs'!I35+'Cost Inputs'!J35+'Cost Inputs'!K35, "")</f>
        <v/>
      </c>
      <c r="K35" s="17" t="str">
        <f>IF('Cost Inputs'!$N35&gt;0,'Cost Inputs'!$N35,"")</f>
        <v/>
      </c>
      <c r="M35" s="106"/>
      <c r="O35" s="104" t="str">
        <f>IF(ISNUMBER('Model_ of_individuals'!O35), 'Model_ of_individuals'!O35*'Model_ of_individuals'!$K35,"")</f>
        <v/>
      </c>
      <c r="P35" s="17" t="str">
        <f>IF(ISNUMBER('Model_ of_individuals'!P35), 'Model_ of_individuals'!P35*'Model_ of_individuals'!$K35,"")</f>
        <v/>
      </c>
      <c r="Q35" s="17" t="str">
        <f>IF(ISNUMBER('Model_ of_individuals'!Q35), 'Model_ of_individuals'!Q35*'Model_ of_individuals'!$K35,"")</f>
        <v/>
      </c>
      <c r="R35" s="17" t="str">
        <f>IF(ISNUMBER('Model_ of_individuals'!R35), 'Model_ of_individuals'!R35*'Model_ of_individuals'!$K35,"")</f>
        <v/>
      </c>
      <c r="S35" s="17" t="str">
        <f>IF(ISNUMBER('Model_ of_individuals'!S35), 'Model_ of_individuals'!S35*'Model_ of_individuals'!$K35,"")</f>
        <v/>
      </c>
      <c r="T35" s="17" t="str">
        <f>IF(ISNUMBER('Model_ of_individuals'!T35), 'Model_ of_individuals'!T35*'Model_ of_individuals'!$K35,"")</f>
        <v/>
      </c>
      <c r="U35" s="17" t="str">
        <f>IF(ISNUMBER('Model_ of_individuals'!U35), 'Model_ of_individuals'!U35*'Model_ of_individuals'!$K35,"")</f>
        <v/>
      </c>
      <c r="V35" s="17" t="str">
        <f>IF(ISNUMBER('Model_ of_individuals'!V35), 'Model_ of_individuals'!V35*'Model_ of_individuals'!$K35,"")</f>
        <v/>
      </c>
      <c r="W35" s="17" t="str">
        <f>IF(ISNUMBER('Model_ of_individuals'!W35), 'Model_ of_individuals'!W35*'Model_ of_individuals'!$K35,"")</f>
        <v/>
      </c>
      <c r="X35" s="106" t="str">
        <f>IF(ISNUMBER('Model_ of_individuals'!X35), 'Model_ of_individuals'!X35*'Model_ of_individuals'!$K35,"")</f>
        <v/>
      </c>
    </row>
    <row r="36" spans="1:45" x14ac:dyDescent="0.25">
      <c r="A36" s="501"/>
      <c r="B36" s="504"/>
      <c r="C36" s="107" t="str">
        <f>IF(OR('Cost Inputs'!H36&lt;&gt;"", 'Cost Inputs'!I36&lt;&gt;"", 'Cost Inputs'!J36&lt;&gt;""), 'Cost Inputs'!A36, "")</f>
        <v/>
      </c>
      <c r="D36" s="93" t="str">
        <f>IF(AND(C36&lt;&gt;"", 'Cost Inputs'!G36&lt;&gt;""), 'Cost Inputs'!G36, "")</f>
        <v/>
      </c>
      <c r="E36" s="93" t="str">
        <f>IF(AND(C36&lt;&gt;"", 'Cost Inputs'!H36&lt;&gt;""), 'Cost Inputs'!H36, "")</f>
        <v/>
      </c>
      <c r="F36" s="93" t="str">
        <f>IF('Cost Inputs'!$I36&lt;&gt;"", 'Cost Inputs'!$I36, "")</f>
        <v/>
      </c>
      <c r="G36" s="93" t="str">
        <f t="shared" si="1"/>
        <v/>
      </c>
      <c r="H36" s="93" t="str">
        <f>IF('Cost Inputs'!$J36&lt;&gt;"", 'Cost Inputs'!$J36, "")</f>
        <v/>
      </c>
      <c r="I36" s="93" t="str">
        <f t="shared" si="2"/>
        <v/>
      </c>
      <c r="J36" s="93" t="str">
        <f>IF(('Cost Inputs'!I36+'Cost Inputs'!J36+'Cost Inputs'!K36)&gt;0, 'Cost Inputs'!I36+'Cost Inputs'!J36+'Cost Inputs'!K36, "")</f>
        <v/>
      </c>
      <c r="K36" s="93" t="str">
        <f>IF('Cost Inputs'!$N36&gt;0,'Cost Inputs'!$N36,"")</f>
        <v/>
      </c>
      <c r="L36" s="93"/>
      <c r="M36" s="109"/>
      <c r="O36" s="107" t="str">
        <f>IF(ISNUMBER('Model_ of_individuals'!O36), 'Model_ of_individuals'!O36*'Model_ of_individuals'!$K36,"")</f>
        <v/>
      </c>
      <c r="P36" s="93" t="str">
        <f>IF(ISNUMBER('Model_ of_individuals'!P36), 'Model_ of_individuals'!P36*'Model_ of_individuals'!$K36,"")</f>
        <v/>
      </c>
      <c r="Q36" s="93" t="str">
        <f>IF(ISNUMBER('Model_ of_individuals'!Q36), 'Model_ of_individuals'!Q36*'Model_ of_individuals'!$K36,"")</f>
        <v/>
      </c>
      <c r="R36" s="93" t="str">
        <f>IF(ISNUMBER('Model_ of_individuals'!R36), 'Model_ of_individuals'!R36*'Model_ of_individuals'!$K36,"")</f>
        <v/>
      </c>
      <c r="S36" s="93" t="str">
        <f>IF(ISNUMBER('Model_ of_individuals'!S36), 'Model_ of_individuals'!S36*'Model_ of_individuals'!$K36,"")</f>
        <v/>
      </c>
      <c r="T36" s="93" t="str">
        <f>IF(ISNUMBER('Model_ of_individuals'!T36), 'Model_ of_individuals'!T36*'Model_ of_individuals'!$K36,"")</f>
        <v/>
      </c>
      <c r="U36" s="93" t="str">
        <f>IF(ISNUMBER('Model_ of_individuals'!U36), 'Model_ of_individuals'!U36*'Model_ of_individuals'!$K36,"")</f>
        <v/>
      </c>
      <c r="V36" s="93" t="str">
        <f>IF(ISNUMBER('Model_ of_individuals'!V36), 'Model_ of_individuals'!V36*'Model_ of_individuals'!$K36,"")</f>
        <v/>
      </c>
      <c r="W36" s="93" t="str">
        <f>IF(ISNUMBER('Model_ of_individuals'!W36), 'Model_ of_individuals'!W36*'Model_ of_individuals'!$K36,"")</f>
        <v/>
      </c>
      <c r="X36" s="109" t="str">
        <f>IF(ISNUMBER('Model_ of_individuals'!X36), 'Model_ of_individuals'!X36*'Model_ of_individuals'!$K36,"")</f>
        <v/>
      </c>
    </row>
    <row r="37" spans="1:45" x14ac:dyDescent="0.25">
      <c r="A37" s="501"/>
      <c r="B37" s="504"/>
      <c r="C37" s="104" t="str">
        <f>IF(OR('Cost Inputs'!H37&lt;&gt;"", 'Cost Inputs'!I37&lt;&gt;"", 'Cost Inputs'!J37&lt;&gt;""), 'Cost Inputs'!A37, "")</f>
        <v/>
      </c>
      <c r="D37" s="17" t="str">
        <f>IF(AND(C37&lt;&gt;"", 'Cost Inputs'!G37&lt;&gt;""), 'Cost Inputs'!G37, "")</f>
        <v/>
      </c>
      <c r="E37" s="17" t="str">
        <f>IF(AND(C37&lt;&gt;"", 'Cost Inputs'!H37&lt;&gt;""), 'Cost Inputs'!H37, "")</f>
        <v/>
      </c>
      <c r="F37" s="17" t="str">
        <f>IF('Cost Inputs'!$I37&lt;&gt;"", 'Cost Inputs'!$I37, "")</f>
        <v/>
      </c>
      <c r="G37" s="17" t="str">
        <f t="shared" si="1"/>
        <v/>
      </c>
      <c r="H37" s="17" t="str">
        <f>IF('Cost Inputs'!$J37&lt;&gt;"", 'Cost Inputs'!$J37, "")</f>
        <v/>
      </c>
      <c r="I37" s="17" t="str">
        <f t="shared" si="2"/>
        <v/>
      </c>
      <c r="J37" s="17" t="str">
        <f>IF(('Cost Inputs'!I37+'Cost Inputs'!J37+'Cost Inputs'!K37)&gt;0, 'Cost Inputs'!I37+'Cost Inputs'!J37+'Cost Inputs'!K37, "")</f>
        <v/>
      </c>
      <c r="K37" s="17" t="str">
        <f>IF('Cost Inputs'!$N37&gt;0,'Cost Inputs'!$N37,"")</f>
        <v/>
      </c>
      <c r="M37" s="106"/>
      <c r="O37" s="104" t="str">
        <f>IF(ISNUMBER('Model_ of_individuals'!O37), 'Model_ of_individuals'!O37*'Model_ of_individuals'!$K37,"")</f>
        <v/>
      </c>
      <c r="P37" s="17" t="str">
        <f>IF(ISNUMBER('Model_ of_individuals'!P37), 'Model_ of_individuals'!P37*'Model_ of_individuals'!$K37,"")</f>
        <v/>
      </c>
      <c r="Q37" s="17" t="str">
        <f>IF(ISNUMBER('Model_ of_individuals'!Q37), 'Model_ of_individuals'!Q37*'Model_ of_individuals'!$K37,"")</f>
        <v/>
      </c>
      <c r="R37" s="17" t="str">
        <f>IF(ISNUMBER('Model_ of_individuals'!R37), 'Model_ of_individuals'!R37*'Model_ of_individuals'!$K37,"")</f>
        <v/>
      </c>
      <c r="S37" s="17" t="str">
        <f>IF(ISNUMBER('Model_ of_individuals'!S37), 'Model_ of_individuals'!S37*'Model_ of_individuals'!$K37,"")</f>
        <v/>
      </c>
      <c r="T37" s="17" t="str">
        <f>IF(ISNUMBER('Model_ of_individuals'!T37), 'Model_ of_individuals'!T37*'Model_ of_individuals'!$K37,"")</f>
        <v/>
      </c>
      <c r="U37" s="17" t="str">
        <f>IF(ISNUMBER('Model_ of_individuals'!U37), 'Model_ of_individuals'!U37*'Model_ of_individuals'!$K37,"")</f>
        <v/>
      </c>
      <c r="V37" s="17" t="str">
        <f>IF(ISNUMBER('Model_ of_individuals'!V37), 'Model_ of_individuals'!V37*'Model_ of_individuals'!$K37,"")</f>
        <v/>
      </c>
      <c r="W37" s="17" t="str">
        <f>IF(ISNUMBER('Model_ of_individuals'!W37), 'Model_ of_individuals'!W37*'Model_ of_individuals'!$K37,"")</f>
        <v/>
      </c>
      <c r="X37" s="106" t="str">
        <f>IF(ISNUMBER('Model_ of_individuals'!X37), 'Model_ of_individuals'!X37*'Model_ of_individuals'!$K37,"")</f>
        <v/>
      </c>
    </row>
    <row r="38" spans="1:45" x14ac:dyDescent="0.25">
      <c r="A38" s="501"/>
      <c r="B38" s="504"/>
      <c r="C38" s="110" t="str">
        <f>'Cost Inputs'!A38</f>
        <v>1.6 Seed Stratification</v>
      </c>
      <c r="D38" s="94" t="str">
        <f>IF(OR('Cost Inputs'!H38&lt;&gt;"", 'Cost Inputs'!I38&lt;&gt;"", 'Cost Inputs'!J38&lt;&gt;""), 'Cost Inputs'!G38,"")</f>
        <v/>
      </c>
      <c r="E38" s="94" t="str">
        <f>IF(AND(C38&lt;&gt;"", 'Cost Inputs'!H38&lt;&gt;""), 'Cost Inputs'!H38, "")</f>
        <v/>
      </c>
      <c r="F38" s="94" t="str">
        <f>IF('Cost Inputs'!$I38&lt;&gt;"", 'Cost Inputs'!$I38, "")</f>
        <v/>
      </c>
      <c r="G38" s="94" t="str">
        <f t="shared" si="1"/>
        <v/>
      </c>
      <c r="H38" s="94" t="str">
        <f>IF('Cost Inputs'!$J38&lt;&gt;"", 'Cost Inputs'!$J38, "")</f>
        <v/>
      </c>
      <c r="I38" s="94" t="str">
        <f>IF(AND($E38&lt;&gt;"", $H38&lt;&gt;""), $H38/$E38, "")</f>
        <v/>
      </c>
      <c r="J38" s="94" t="str">
        <f>IF(('Cost Inputs'!I38+'Cost Inputs'!J38+'Cost Inputs'!K38)&gt;0, 'Cost Inputs'!I38+'Cost Inputs'!J38+'Cost Inputs'!K38, "")</f>
        <v/>
      </c>
      <c r="K38" s="94" t="str">
        <f>IF('Cost Inputs'!$N38&gt;0,'Cost Inputs'!$N38,"")</f>
        <v/>
      </c>
      <c r="L38" s="94"/>
      <c r="M38" s="103"/>
      <c r="O38" s="297" t="str">
        <f>IF(ISNUMBER('Model_ of_individuals'!O38), 'Model_ of_individuals'!O38*'Model_ of_individuals'!$K38,"")</f>
        <v/>
      </c>
      <c r="P38" s="298" t="str">
        <f>IF(ISNUMBER('Model_ of_individuals'!P38), 'Model_ of_individuals'!P38*'Model_ of_individuals'!$K38,"")</f>
        <v/>
      </c>
      <c r="Q38" s="298" t="str">
        <f>IF(ISNUMBER('Model_ of_individuals'!Q38), 'Model_ of_individuals'!Q38*'Model_ of_individuals'!$K38,"")</f>
        <v/>
      </c>
      <c r="R38" s="298" t="str">
        <f>IF(ISNUMBER('Model_ of_individuals'!R38), 'Model_ of_individuals'!R38*'Model_ of_individuals'!$K38,"")</f>
        <v/>
      </c>
      <c r="S38" s="298" t="str">
        <f>IF(ISNUMBER('Model_ of_individuals'!S38), 'Model_ of_individuals'!S38*'Model_ of_individuals'!$K38,"")</f>
        <v/>
      </c>
      <c r="T38" s="298" t="str">
        <f>IF(ISNUMBER('Model_ of_individuals'!T38), 'Model_ of_individuals'!T38*'Model_ of_individuals'!$K38,"")</f>
        <v/>
      </c>
      <c r="U38" s="298" t="str">
        <f>IF(ISNUMBER('Model_ of_individuals'!U38), 'Model_ of_individuals'!U38*'Model_ of_individuals'!$K38,"")</f>
        <v/>
      </c>
      <c r="V38" s="298" t="str">
        <f>IF(ISNUMBER('Model_ of_individuals'!V38), 'Model_ of_individuals'!V38*'Model_ of_individuals'!$K38,"")</f>
        <v/>
      </c>
      <c r="W38" s="298" t="str">
        <f>IF(ISNUMBER('Model_ of_individuals'!W38), 'Model_ of_individuals'!W38*'Model_ of_individuals'!$K38,"")</f>
        <v/>
      </c>
      <c r="X38" s="299" t="str">
        <f>IF(ISNUMBER('Model_ of_individuals'!X38), 'Model_ of_individuals'!X38*'Model_ of_individuals'!$K38,"")</f>
        <v/>
      </c>
    </row>
    <row r="39" spans="1:45" x14ac:dyDescent="0.25">
      <c r="A39" s="501"/>
      <c r="B39" s="504"/>
      <c r="C39" s="104" t="str">
        <f>IF(OR('Cost Inputs'!H39&lt;&gt;"", 'Cost Inputs'!I39&lt;&gt;"", 'Cost Inputs'!J39&lt;&gt;""), 'Cost Inputs'!A39, "")</f>
        <v/>
      </c>
      <c r="D39" s="17" t="str">
        <f>IF(AND(C39&lt;&gt;"", 'Cost Inputs'!G39&lt;&gt;""), 'Cost Inputs'!G39, "")</f>
        <v/>
      </c>
      <c r="E39" s="17" t="str">
        <f>IF(AND(C39&lt;&gt;"", 'Cost Inputs'!H39&lt;&gt;""), 'Cost Inputs'!H39, "")</f>
        <v/>
      </c>
      <c r="F39" s="17" t="str">
        <f>IF('Cost Inputs'!$I39&lt;&gt;"", 'Cost Inputs'!$I39, "")</f>
        <v/>
      </c>
      <c r="G39" s="17" t="str">
        <f t="shared" si="1"/>
        <v/>
      </c>
      <c r="H39" s="17" t="str">
        <f>IF('Cost Inputs'!$J39&lt;&gt;"", 'Cost Inputs'!$J39, "")</f>
        <v/>
      </c>
      <c r="I39" s="17" t="str">
        <f t="shared" si="2"/>
        <v/>
      </c>
      <c r="J39" s="17" t="str">
        <f>IF(('Cost Inputs'!I39+'Cost Inputs'!J39+'Cost Inputs'!K39)&gt;0, 'Cost Inputs'!I39+'Cost Inputs'!J39+'Cost Inputs'!K39, "")</f>
        <v/>
      </c>
      <c r="K39" s="17" t="str">
        <f>IF('Cost Inputs'!$N39&gt;0,'Cost Inputs'!$N39,"")</f>
        <v/>
      </c>
      <c r="M39" s="106"/>
      <c r="O39" s="104" t="str">
        <f>IF(ISNUMBER('Model_ of_individuals'!O39), 'Model_ of_individuals'!O39*'Model_ of_individuals'!$K39,"")</f>
        <v/>
      </c>
      <c r="P39" s="17" t="str">
        <f>IF(ISNUMBER('Model_ of_individuals'!P39), 'Model_ of_individuals'!P39*'Model_ of_individuals'!$K39,"")</f>
        <v/>
      </c>
      <c r="Q39" s="17" t="str">
        <f>IF(ISNUMBER('Model_ of_individuals'!Q39), 'Model_ of_individuals'!Q39*'Model_ of_individuals'!$K39,"")</f>
        <v/>
      </c>
      <c r="R39" s="17" t="str">
        <f>IF(ISNUMBER('Model_ of_individuals'!R39), 'Model_ of_individuals'!R39*'Model_ of_individuals'!$K39,"")</f>
        <v/>
      </c>
      <c r="S39" s="17" t="str">
        <f>IF(ISNUMBER('Model_ of_individuals'!S39), 'Model_ of_individuals'!S39*'Model_ of_individuals'!$K39,"")</f>
        <v/>
      </c>
      <c r="T39" s="17" t="str">
        <f>IF(ISNUMBER('Model_ of_individuals'!T39), 'Model_ of_individuals'!T39*'Model_ of_individuals'!$K39,"")</f>
        <v/>
      </c>
      <c r="U39" s="17" t="str">
        <f>IF(ISNUMBER('Model_ of_individuals'!U39), 'Model_ of_individuals'!U39*'Model_ of_individuals'!$K39,"")</f>
        <v/>
      </c>
      <c r="V39" s="17" t="str">
        <f>IF(ISNUMBER('Model_ of_individuals'!V39), 'Model_ of_individuals'!V39*'Model_ of_individuals'!$K39,"")</f>
        <v/>
      </c>
      <c r="W39" s="17" t="str">
        <f>IF(ISNUMBER('Model_ of_individuals'!W39), 'Model_ of_individuals'!W39*'Model_ of_individuals'!$K39,"")</f>
        <v/>
      </c>
      <c r="X39" s="106" t="str">
        <f>IF(ISNUMBER('Model_ of_individuals'!X39), 'Model_ of_individuals'!X39*'Model_ of_individuals'!$K39,"")</f>
        <v/>
      </c>
    </row>
    <row r="40" spans="1:45" ht="15.75" thickBot="1" x14ac:dyDescent="0.3">
      <c r="A40" s="502"/>
      <c r="B40" s="505"/>
      <c r="C40" s="111" t="str">
        <f>IF(OR('Cost Inputs'!H40&lt;&gt;"", 'Cost Inputs'!I40&lt;&gt;"", 'Cost Inputs'!J40&lt;&gt;""), 'Cost Inputs'!A40, "")</f>
        <v/>
      </c>
      <c r="D40" s="95" t="str">
        <f>IF(AND(C40&lt;&gt;"", 'Cost Inputs'!G40&lt;&gt;""), 'Cost Inputs'!G40, "")</f>
        <v/>
      </c>
      <c r="E40" s="95" t="str">
        <f>IF(AND(C40&lt;&gt;"", 'Cost Inputs'!H40&lt;&gt;""), 'Cost Inputs'!H40, "")</f>
        <v/>
      </c>
      <c r="F40" s="95" t="str">
        <f>IF('Cost Inputs'!$I40&lt;&gt;"", 'Cost Inputs'!$I40, "")</f>
        <v/>
      </c>
      <c r="G40" s="95" t="str">
        <f t="shared" si="1"/>
        <v/>
      </c>
      <c r="H40" s="95" t="str">
        <f>IF('Cost Inputs'!$J40&lt;&gt;"", 'Cost Inputs'!$J40, "")</f>
        <v/>
      </c>
      <c r="I40" s="95" t="str">
        <f t="shared" si="2"/>
        <v/>
      </c>
      <c r="J40" s="95" t="str">
        <f>IF(('Cost Inputs'!I40+'Cost Inputs'!J40+'Cost Inputs'!K40)&gt;0, 'Cost Inputs'!I40+'Cost Inputs'!J40+'Cost Inputs'!K40, "")</f>
        <v/>
      </c>
      <c r="K40" s="95" t="str">
        <f>IF('Cost Inputs'!$N40&gt;0,'Cost Inputs'!$N40,"")</f>
        <v/>
      </c>
      <c r="L40" s="95"/>
      <c r="M40" s="113"/>
      <c r="O40" s="107" t="str">
        <f>IF(ISNUMBER('Model_ of_individuals'!O40), 'Model_ of_individuals'!O40*'Model_ of_individuals'!$K40,"")</f>
        <v/>
      </c>
      <c r="P40" s="93" t="str">
        <f>IF(ISNUMBER('Model_ of_individuals'!P40), 'Model_ of_individuals'!P40*'Model_ of_individuals'!$K40,"")</f>
        <v/>
      </c>
      <c r="Q40" s="93" t="str">
        <f>IF(ISNUMBER('Model_ of_individuals'!Q40), 'Model_ of_individuals'!Q40*'Model_ of_individuals'!$K40,"")</f>
        <v/>
      </c>
      <c r="R40" s="93" t="str">
        <f>IF(ISNUMBER('Model_ of_individuals'!R40), 'Model_ of_individuals'!R40*'Model_ of_individuals'!$K40,"")</f>
        <v/>
      </c>
      <c r="S40" s="93" t="str">
        <f>IF(ISNUMBER('Model_ of_individuals'!S40), 'Model_ of_individuals'!S40*'Model_ of_individuals'!$K40,"")</f>
        <v/>
      </c>
      <c r="T40" s="93" t="str">
        <f>IF(ISNUMBER('Model_ of_individuals'!T40), 'Model_ of_individuals'!T40*'Model_ of_individuals'!$K40,"")</f>
        <v/>
      </c>
      <c r="U40" s="93" t="str">
        <f>IF(ISNUMBER('Model_ of_individuals'!U40), 'Model_ of_individuals'!U40*'Model_ of_individuals'!$K40,"")</f>
        <v/>
      </c>
      <c r="V40" s="93" t="str">
        <f>IF(ISNUMBER('Model_ of_individuals'!V40), 'Model_ of_individuals'!V40*'Model_ of_individuals'!$K40,"")</f>
        <v/>
      </c>
      <c r="W40" s="93" t="str">
        <f>IF(ISNUMBER('Model_ of_individuals'!W40), 'Model_ of_individuals'!W40*'Model_ of_individuals'!$K40,"")</f>
        <v/>
      </c>
      <c r="X40" s="109" t="str">
        <f>IF(ISNUMBER('Model_ of_individuals'!X40), 'Model_ of_individuals'!X40*'Model_ of_individuals'!$K40,"")</f>
        <v/>
      </c>
    </row>
    <row r="41" spans="1:45" ht="44.45" customHeight="1" thickBot="1" x14ac:dyDescent="0.3">
      <c r="A41" s="98"/>
      <c r="B41" s="99"/>
      <c r="C41" s="114"/>
      <c r="D41" s="114"/>
      <c r="E41" s="114"/>
      <c r="F41" s="114"/>
      <c r="G41" s="114" t="str">
        <f t="shared" si="1"/>
        <v/>
      </c>
      <c r="H41" s="114"/>
      <c r="I41" s="114"/>
      <c r="J41" s="114"/>
      <c r="K41" s="114"/>
      <c r="L41" s="114"/>
      <c r="M41" s="115"/>
      <c r="O41" s="119" t="str">
        <f>IF(O$3="N.B.C.", IF('Cost Inputs'!$L41="Y", $J41, IF('Cost Inputs'!$L41="N", IF(ISNUMBER('Cost Inputs'!$M41), $J41,""),"")),"")</f>
        <v/>
      </c>
      <c r="P41" s="120" t="str">
        <f>IF(P$3="N.B.C.", IF('Cost Inputs'!$L41="Y", $J41, IF('Cost Inputs'!$L41="N", "","")),"")</f>
        <v/>
      </c>
      <c r="Q41" s="120" t="str">
        <f>IF(Q$3="N.B.C.", IF('Cost Inputs'!$L41="Y", $J41, IF('Cost Inputs'!$L41="N", IF(AND(ISNUMBER('Cost Inputs'!$M41), OR('Cost Inputs'!$M41=1,'Cost Inputs'!$M41=2)), $J41,""),"")),"")</f>
        <v/>
      </c>
      <c r="R41" s="120" t="str">
        <f>IF(R$3="N.B.C.", IF('Cost Inputs'!$L41="Y", $J41, IF('Cost Inputs'!$L41="N", IF(AND(ISNUMBER('Cost Inputs'!$M41), OR('Cost Inputs'!$M41=1, 'Cost Inputs'!$M41=3)), $J41,""),"")),"")</f>
        <v/>
      </c>
      <c r="S41" s="120" t="str">
        <f>IF(S$3="N.B.C.", IF('Cost Inputs'!$L41="Y", $J41, IF('Cost Inputs'!$L41="N", IF(AND(ISNUMBER('Cost Inputs'!$M41), OR('Cost Inputs'!$M41=1, 'Cost Inputs'!$M41=2, 'Cost Inputs'!$M41=4)), $J41,""),"")),"")</f>
        <v/>
      </c>
      <c r="T41" s="120" t="str">
        <f>IF(T$3="N.B.C.", IF('Cost Inputs'!$L41="Y", $J41, IF('Cost Inputs'!$L41="N", IF(AND(ISNUMBER('Cost Inputs'!$M41), OR('Cost Inputs'!$M41=1, 'Cost Inputs'!$M41=5)), $J41,""),"")),"")</f>
        <v/>
      </c>
      <c r="U41" s="120" t="str">
        <f>IF(U$3="N.B.C.", IF('Cost Inputs'!$L41="Y", $J41, IF('Cost Inputs'!$L41="N", IF(AND(ISNUMBER('Cost Inputs'!$M41), OR('Cost Inputs'!$M41=1, 'Cost Inputs'!$M41=2, 'Cost Inputs'!$M41=3, 'Cost Inputs'!$M41=6)), $J41,""),"")),"")</f>
        <v/>
      </c>
      <c r="V41" s="120" t="str">
        <f>IF(V$3="N.B.C.", IF('Cost Inputs'!$L41="Y", $J41, IF('Cost Inputs'!$L41="N", IF(AND(ISNUMBER('Cost Inputs'!$M41), OR('Cost Inputs'!$M41=1, 'Cost Inputs'!$M41=7)), $J41,""),"")),"")</f>
        <v/>
      </c>
      <c r="W41" s="120" t="str">
        <f>IF(W$3="N.B.C.", IF('Cost Inputs'!$L41="Y", $J41, IF('Cost Inputs'!$L41="N", IF(AND(ISNUMBER('Cost Inputs'!$M41), OR('Cost Inputs'!$M41=1, 'Cost Inputs'!$M41=2,'Cost Inputs'!$M41=4,'Cost Inputs'!$M41=8)), $J41,""),"")),"")</f>
        <v/>
      </c>
      <c r="X41" s="121" t="str">
        <f>IF(X$3="N.B.C.", IF('Cost Inputs'!$L41="Y", $J41, IF('Cost Inputs'!$L41="N", IF(AND(ISNUMBER('Cost Inputs'!$M41), OR('Cost Inputs'!$M41=1, 'Cost Inputs'!$M41=3,'Cost Inputs'!$M41=9)), $J41,""),"")),"")</f>
        <v/>
      </c>
    </row>
    <row r="42" spans="1:45" x14ac:dyDescent="0.25">
      <c r="A42" s="506" t="str">
        <f>Second_Stage</f>
        <v>Greenhouse Growth Stage</v>
      </c>
      <c r="B42" s="503">
        <f>'Breeding Inputs'!I12</f>
        <v>0</v>
      </c>
      <c r="C42" s="116" t="str">
        <f>'Cost Inputs'!A42</f>
        <v>2.1 Germination and greenhouse growing</v>
      </c>
      <c r="D42" s="92" t="str">
        <f>IF(OR('Cost Inputs'!H42&lt;&gt;"", 'Cost Inputs'!I42&lt;&gt;"", 'Cost Inputs'!J42&lt;&gt;""), 'Cost Inputs'!G42,"")</f>
        <v/>
      </c>
      <c r="E42" s="92" t="str">
        <f>IF(AND(C42&lt;&gt;"", 'Cost Inputs'!H42&lt;&gt;""), 'Cost Inputs'!H42, "")</f>
        <v/>
      </c>
      <c r="F42" s="92" t="str">
        <f>IF('Cost Inputs'!$I42&lt;&gt;"", 'Cost Inputs'!$I42, "")</f>
        <v/>
      </c>
      <c r="G42" s="92" t="str">
        <f t="shared" si="1"/>
        <v/>
      </c>
      <c r="H42" s="92" t="str">
        <f>IF('Cost Inputs'!$J42&lt;&gt;"", 'Cost Inputs'!$J42, "")</f>
        <v/>
      </c>
      <c r="I42" s="92" t="str">
        <f>IF(AND($E42&lt;&gt;"", $H42&lt;&gt;""), $H42/$E42, "")</f>
        <v/>
      </c>
      <c r="J42" s="92" t="str">
        <f>IF(('Cost Inputs'!I42+'Cost Inputs'!J42+'Cost Inputs'!K42)&gt;0, 'Cost Inputs'!I42+'Cost Inputs'!J42+'Cost Inputs'!K42, "")</f>
        <v/>
      </c>
      <c r="K42" s="92" t="str">
        <f>IF('Cost Inputs'!$N42&gt;0,'Cost Inputs'!$N42,"")</f>
        <v/>
      </c>
      <c r="L42" s="92"/>
      <c r="M42" s="101"/>
      <c r="O42" s="118"/>
      <c r="P42" s="116" t="str">
        <f>IF(ISNUMBER('Model_ of_individuals'!P42), 'Model_ of_individuals'!P42*'Model_ of_individuals'!$K42,"")</f>
        <v/>
      </c>
      <c r="Q42" s="92" t="str">
        <f>IF(ISNUMBER('Model_ of_individuals'!Q42), 'Model_ of_individuals'!Q42*'Model_ of_individuals'!$K42,"")</f>
        <v/>
      </c>
      <c r="R42" s="92" t="str">
        <f>IF(ISNUMBER('Model_ of_individuals'!R42), 'Model_ of_individuals'!R42*'Model_ of_individuals'!$K42,"")</f>
        <v/>
      </c>
      <c r="S42" s="92" t="str">
        <f>IF(ISNUMBER('Model_ of_individuals'!S42), 'Model_ of_individuals'!S42*'Model_ of_individuals'!$K42,"")</f>
        <v/>
      </c>
      <c r="T42" s="92" t="str">
        <f>IF(ISNUMBER('Model_ of_individuals'!T42), 'Model_ of_individuals'!T42*'Model_ of_individuals'!$K42,"")</f>
        <v/>
      </c>
      <c r="U42" s="92" t="str">
        <f>IF(ISNUMBER('Model_ of_individuals'!U42), 'Model_ of_individuals'!U42*'Model_ of_individuals'!$K42,"")</f>
        <v/>
      </c>
      <c r="V42" s="92" t="str">
        <f>IF(ISNUMBER('Model_ of_individuals'!V42), 'Model_ of_individuals'!V42*'Model_ of_individuals'!$K42,"")</f>
        <v/>
      </c>
      <c r="W42" s="92" t="str">
        <f>IF(ISNUMBER('Model_ of_individuals'!W42), 'Model_ of_individuals'!W42*'Model_ of_individuals'!$K42,"")</f>
        <v/>
      </c>
      <c r="X42" s="92" t="str">
        <f>IF(ISNUMBER('Model_ of_individuals'!X42), 'Model_ of_individuals'!X42*'Model_ of_individuals'!$K42,"")</f>
        <v/>
      </c>
      <c r="Y42" s="101" t="str">
        <f>IF(ISNUMBER('Model_ of_individuals'!Y42), 'Model_ of_individuals'!Y42*'Model_ of_individuals'!$K42,"")</f>
        <v/>
      </c>
      <c r="AS42" s="4">
        <f>SUM(P42:Y58)</f>
        <v>0</v>
      </c>
    </row>
    <row r="43" spans="1:45" x14ac:dyDescent="0.25">
      <c r="A43" s="501"/>
      <c r="B43" s="504"/>
      <c r="C43" s="104" t="str">
        <f>IF(OR('Cost Inputs'!H43&lt;&gt;"", 'Cost Inputs'!I43&lt;&gt;"", 'Cost Inputs'!J43&lt;&gt;""), 'Cost Inputs'!A43, "")</f>
        <v/>
      </c>
      <c r="D43" s="17" t="str">
        <f>IF(AND(C43&lt;&gt;"", 'Cost Inputs'!G43&lt;&gt;""), 'Cost Inputs'!G43, "")</f>
        <v/>
      </c>
      <c r="E43" s="17" t="str">
        <f>IF(AND(C43&lt;&gt;"", 'Cost Inputs'!H43&lt;&gt;""), 'Cost Inputs'!H43, "")</f>
        <v/>
      </c>
      <c r="F43" s="17" t="str">
        <f>IF('Cost Inputs'!$I43&lt;&gt;"", 'Cost Inputs'!$I43, "")</f>
        <v/>
      </c>
      <c r="G43" s="17" t="str">
        <f t="shared" si="1"/>
        <v/>
      </c>
      <c r="H43" s="17" t="str">
        <f>IF('Cost Inputs'!$J43&lt;&gt;"", 'Cost Inputs'!$J43, "")</f>
        <v/>
      </c>
      <c r="I43" s="17" t="str">
        <f t="shared" ref="I43:I58" si="3">IF(AND($E43&lt;&gt;"", $H43&lt;&gt;""), $H43/$E43, "")</f>
        <v/>
      </c>
      <c r="J43" s="17" t="str">
        <f>IF(('Cost Inputs'!I43+'Cost Inputs'!J43+'Cost Inputs'!K43)&gt;0, 'Cost Inputs'!I43+'Cost Inputs'!J43+'Cost Inputs'!K43, "")</f>
        <v/>
      </c>
      <c r="K43" s="17" t="str">
        <f>IF('Cost Inputs'!$N43&gt;0,'Cost Inputs'!$N43,"")</f>
        <v/>
      </c>
      <c r="M43" s="106"/>
      <c r="O43" s="117"/>
      <c r="P43" s="104" t="str">
        <f>IF(ISNUMBER('Model_ of_individuals'!P43), 'Model_ of_individuals'!P43*'Model_ of_individuals'!$K43,"")</f>
        <v/>
      </c>
      <c r="Q43" s="17" t="str">
        <f>IF(ISNUMBER('Model_ of_individuals'!Q43), 'Model_ of_individuals'!Q43*'Model_ of_individuals'!$K43,"")</f>
        <v/>
      </c>
      <c r="R43" s="17" t="str">
        <f>IF(ISNUMBER('Model_ of_individuals'!R43), 'Model_ of_individuals'!R43*'Model_ of_individuals'!$K43,"")</f>
        <v/>
      </c>
      <c r="S43" s="17" t="str">
        <f>IF(ISNUMBER('Model_ of_individuals'!S43), 'Model_ of_individuals'!S43*'Model_ of_individuals'!$K43,"")</f>
        <v/>
      </c>
      <c r="T43" s="17" t="str">
        <f>IF(ISNUMBER('Model_ of_individuals'!T43), 'Model_ of_individuals'!T43*'Model_ of_individuals'!$K43,"")</f>
        <v/>
      </c>
      <c r="U43" s="17" t="str">
        <f>IF(ISNUMBER('Model_ of_individuals'!U43), 'Model_ of_individuals'!U43*'Model_ of_individuals'!$K43,"")</f>
        <v/>
      </c>
      <c r="V43" s="17" t="str">
        <f>IF(ISNUMBER('Model_ of_individuals'!V43), 'Model_ of_individuals'!V43*'Model_ of_individuals'!$K43,"")</f>
        <v/>
      </c>
      <c r="W43" s="17" t="str">
        <f>IF(ISNUMBER('Model_ of_individuals'!W43), 'Model_ of_individuals'!W43*'Model_ of_individuals'!$K43,"")</f>
        <v/>
      </c>
      <c r="X43" s="17" t="str">
        <f>IF(ISNUMBER('Model_ of_individuals'!X43), 'Model_ of_individuals'!X43*'Model_ of_individuals'!$K43,"")</f>
        <v/>
      </c>
      <c r="Y43" s="106" t="str">
        <f>IF(ISNUMBER('Model_ of_individuals'!Y43), 'Model_ of_individuals'!Y43*'Model_ of_individuals'!$K43,"")</f>
        <v/>
      </c>
    </row>
    <row r="44" spans="1:45" x14ac:dyDescent="0.25">
      <c r="A44" s="501"/>
      <c r="B44" s="504"/>
      <c r="C44" s="107" t="str">
        <f>IF(OR('Cost Inputs'!H44&lt;&gt;"", 'Cost Inputs'!I44&lt;&gt;"", 'Cost Inputs'!J44&lt;&gt;""), 'Cost Inputs'!A44, "")</f>
        <v/>
      </c>
      <c r="D44" s="93" t="str">
        <f>IF(AND(C44&lt;&gt;"", 'Cost Inputs'!G44&lt;&gt;""), 'Cost Inputs'!G44, "")</f>
        <v/>
      </c>
      <c r="E44" s="93" t="str">
        <f>IF(AND(C44&lt;&gt;"", 'Cost Inputs'!H44&lt;&gt;""), 'Cost Inputs'!H44, "")</f>
        <v/>
      </c>
      <c r="F44" s="93" t="str">
        <f>IF('Cost Inputs'!$I44&lt;&gt;"", 'Cost Inputs'!$I44, "")</f>
        <v/>
      </c>
      <c r="G44" s="93" t="str">
        <f t="shared" si="1"/>
        <v/>
      </c>
      <c r="H44" s="93" t="str">
        <f>IF('Cost Inputs'!$J44&lt;&gt;"", 'Cost Inputs'!$J44, "")</f>
        <v/>
      </c>
      <c r="I44" s="93" t="str">
        <f t="shared" si="3"/>
        <v/>
      </c>
      <c r="J44" s="93" t="str">
        <f>IF(('Cost Inputs'!I44+'Cost Inputs'!J44+'Cost Inputs'!K44)&gt;0, 'Cost Inputs'!I44+'Cost Inputs'!J44+'Cost Inputs'!K44, "")</f>
        <v/>
      </c>
      <c r="K44" s="93" t="str">
        <f>IF('Cost Inputs'!$N44&gt;0,'Cost Inputs'!$N44,"")</f>
        <v/>
      </c>
      <c r="L44" s="93"/>
      <c r="M44" s="109"/>
      <c r="O44" s="117"/>
      <c r="P44" s="107" t="str">
        <f>IF(ISNUMBER('Model_ of_individuals'!P44), 'Model_ of_individuals'!P44*'Model_ of_individuals'!$K44,"")</f>
        <v/>
      </c>
      <c r="Q44" s="93" t="str">
        <f>IF(ISNUMBER('Model_ of_individuals'!Q44), 'Model_ of_individuals'!Q44*'Model_ of_individuals'!$K44,"")</f>
        <v/>
      </c>
      <c r="R44" s="93" t="str">
        <f>IF(ISNUMBER('Model_ of_individuals'!R44), 'Model_ of_individuals'!R44*'Model_ of_individuals'!$K44,"")</f>
        <v/>
      </c>
      <c r="S44" s="93" t="str">
        <f>IF(ISNUMBER('Model_ of_individuals'!S44), 'Model_ of_individuals'!S44*'Model_ of_individuals'!$K44,"")</f>
        <v/>
      </c>
      <c r="T44" s="93" t="str">
        <f>IF(ISNUMBER('Model_ of_individuals'!T44), 'Model_ of_individuals'!T44*'Model_ of_individuals'!$K44,"")</f>
        <v/>
      </c>
      <c r="U44" s="93" t="str">
        <f>IF(ISNUMBER('Model_ of_individuals'!U44), 'Model_ of_individuals'!U44*'Model_ of_individuals'!$K44,"")</f>
        <v/>
      </c>
      <c r="V44" s="93" t="str">
        <f>IF(ISNUMBER('Model_ of_individuals'!V44), 'Model_ of_individuals'!V44*'Model_ of_individuals'!$K44,"")</f>
        <v/>
      </c>
      <c r="W44" s="93" t="str">
        <f>IF(ISNUMBER('Model_ of_individuals'!W44), 'Model_ of_individuals'!W44*'Model_ of_individuals'!$K44,"")</f>
        <v/>
      </c>
      <c r="X44" s="93" t="str">
        <f>IF(ISNUMBER('Model_ of_individuals'!X44), 'Model_ of_individuals'!X44*'Model_ of_individuals'!$K44,"")</f>
        <v/>
      </c>
      <c r="Y44" s="109" t="str">
        <f>IF(ISNUMBER('Model_ of_individuals'!Y44), 'Model_ of_individuals'!Y44*'Model_ of_individuals'!$K44,"")</f>
        <v/>
      </c>
    </row>
    <row r="45" spans="1:45" x14ac:dyDescent="0.25">
      <c r="A45" s="501"/>
      <c r="B45" s="504"/>
      <c r="C45" s="104" t="str">
        <f>IF(OR('Cost Inputs'!H45&lt;&gt;"", 'Cost Inputs'!I45&lt;&gt;"", 'Cost Inputs'!J45&lt;&gt;""), 'Cost Inputs'!A45, "")</f>
        <v/>
      </c>
      <c r="D45" s="17" t="str">
        <f>IF(AND(C45&lt;&gt;"", 'Cost Inputs'!G45&lt;&gt;""), 'Cost Inputs'!G45, "")</f>
        <v/>
      </c>
      <c r="E45" s="17" t="str">
        <f>IF(AND(C45&lt;&gt;"", 'Cost Inputs'!H45&lt;&gt;""), 'Cost Inputs'!H45, "")</f>
        <v/>
      </c>
      <c r="F45" s="17" t="str">
        <f>IF('Cost Inputs'!$I45&lt;&gt;"", 'Cost Inputs'!$I45, "")</f>
        <v/>
      </c>
      <c r="G45" s="17" t="str">
        <f t="shared" si="1"/>
        <v/>
      </c>
      <c r="H45" s="17" t="str">
        <f>IF('Cost Inputs'!$J45&lt;&gt;"", 'Cost Inputs'!$J45, "")</f>
        <v/>
      </c>
      <c r="I45" s="17" t="str">
        <f t="shared" si="3"/>
        <v/>
      </c>
      <c r="J45" s="17" t="str">
        <f>IF(('Cost Inputs'!I45+'Cost Inputs'!J45+'Cost Inputs'!K45)&gt;0, 'Cost Inputs'!I45+'Cost Inputs'!J45+'Cost Inputs'!K45, "")</f>
        <v/>
      </c>
      <c r="K45" s="17" t="str">
        <f>IF('Cost Inputs'!$N45&gt;0,'Cost Inputs'!$N45,"")</f>
        <v/>
      </c>
      <c r="M45" s="106"/>
      <c r="O45" s="117"/>
      <c r="P45" s="104" t="str">
        <f>IF(ISNUMBER('Model_ of_individuals'!P45), 'Model_ of_individuals'!P45*'Model_ of_individuals'!$K45,"")</f>
        <v/>
      </c>
      <c r="Q45" s="17" t="str">
        <f>IF(ISNUMBER('Model_ of_individuals'!Q45), 'Model_ of_individuals'!Q45*'Model_ of_individuals'!$K45,"")</f>
        <v/>
      </c>
      <c r="R45" s="17" t="str">
        <f>IF(ISNUMBER('Model_ of_individuals'!R45), 'Model_ of_individuals'!R45*'Model_ of_individuals'!$K45,"")</f>
        <v/>
      </c>
      <c r="S45" s="17" t="str">
        <f>IF(ISNUMBER('Model_ of_individuals'!S45), 'Model_ of_individuals'!S45*'Model_ of_individuals'!$K45,"")</f>
        <v/>
      </c>
      <c r="T45" s="17" t="str">
        <f>IF(ISNUMBER('Model_ of_individuals'!T45), 'Model_ of_individuals'!T45*'Model_ of_individuals'!$K45,"")</f>
        <v/>
      </c>
      <c r="U45" s="17" t="str">
        <f>IF(ISNUMBER('Model_ of_individuals'!U45), 'Model_ of_individuals'!U45*'Model_ of_individuals'!$K45,"")</f>
        <v/>
      </c>
      <c r="V45" s="17" t="str">
        <f>IF(ISNUMBER('Model_ of_individuals'!V45), 'Model_ of_individuals'!V45*'Model_ of_individuals'!$K45,"")</f>
        <v/>
      </c>
      <c r="W45" s="17" t="str">
        <f>IF(ISNUMBER('Model_ of_individuals'!W45), 'Model_ of_individuals'!W45*'Model_ of_individuals'!$K45,"")</f>
        <v/>
      </c>
      <c r="X45" s="17" t="str">
        <f>IF(ISNUMBER('Model_ of_individuals'!X45), 'Model_ of_individuals'!X45*'Model_ of_individuals'!$K45,"")</f>
        <v/>
      </c>
      <c r="Y45" s="106" t="str">
        <f>IF(ISNUMBER('Model_ of_individuals'!Y45), 'Model_ of_individuals'!Y45*'Model_ of_individuals'!$K45,"")</f>
        <v/>
      </c>
    </row>
    <row r="46" spans="1:45" x14ac:dyDescent="0.25">
      <c r="A46" s="501"/>
      <c r="B46" s="504"/>
      <c r="C46" s="107" t="str">
        <f>IF(OR('Cost Inputs'!H46&lt;&gt;"", 'Cost Inputs'!I46&lt;&gt;"", 'Cost Inputs'!J46&lt;&gt;""), 'Cost Inputs'!A46, "")</f>
        <v/>
      </c>
      <c r="D46" s="93" t="str">
        <f>IF(AND(C46&lt;&gt;"", 'Cost Inputs'!G46&lt;&gt;""), 'Cost Inputs'!G46, "")</f>
        <v/>
      </c>
      <c r="E46" s="93" t="str">
        <f>IF(AND(C46&lt;&gt;"", 'Cost Inputs'!H46&lt;&gt;""), 'Cost Inputs'!H46, "")</f>
        <v/>
      </c>
      <c r="F46" s="93" t="str">
        <f>IF('Cost Inputs'!$I46&lt;&gt;"", 'Cost Inputs'!$I46, "")</f>
        <v/>
      </c>
      <c r="G46" s="93" t="str">
        <f t="shared" si="1"/>
        <v/>
      </c>
      <c r="H46" s="93" t="str">
        <f>IF('Cost Inputs'!$J46&lt;&gt;"", 'Cost Inputs'!$J46, "")</f>
        <v/>
      </c>
      <c r="I46" s="93" t="str">
        <f t="shared" si="3"/>
        <v/>
      </c>
      <c r="J46" s="93" t="str">
        <f>IF(('Cost Inputs'!I46+'Cost Inputs'!J46+'Cost Inputs'!K46)&gt;0, 'Cost Inputs'!I46+'Cost Inputs'!J46+'Cost Inputs'!K46, "")</f>
        <v/>
      </c>
      <c r="K46" s="93" t="str">
        <f>IF('Cost Inputs'!$N46&gt;0,'Cost Inputs'!$N46,"")</f>
        <v/>
      </c>
      <c r="L46" s="93"/>
      <c r="M46" s="109"/>
      <c r="O46" s="117"/>
      <c r="P46" s="107" t="str">
        <f>IF(ISNUMBER('Model_ of_individuals'!P46), 'Model_ of_individuals'!P46*'Model_ of_individuals'!$K46,"")</f>
        <v/>
      </c>
      <c r="Q46" s="93" t="str">
        <f>IF(ISNUMBER('Model_ of_individuals'!Q46), 'Model_ of_individuals'!Q46*'Model_ of_individuals'!$K46,"")</f>
        <v/>
      </c>
      <c r="R46" s="93" t="str">
        <f>IF(ISNUMBER('Model_ of_individuals'!R46), 'Model_ of_individuals'!R46*'Model_ of_individuals'!$K46,"")</f>
        <v/>
      </c>
      <c r="S46" s="93" t="str">
        <f>IF(ISNUMBER('Model_ of_individuals'!S46), 'Model_ of_individuals'!S46*'Model_ of_individuals'!$K46,"")</f>
        <v/>
      </c>
      <c r="T46" s="93" t="str">
        <f>IF(ISNUMBER('Model_ of_individuals'!T46), 'Model_ of_individuals'!T46*'Model_ of_individuals'!$K46,"")</f>
        <v/>
      </c>
      <c r="U46" s="93" t="str">
        <f>IF(ISNUMBER('Model_ of_individuals'!U46), 'Model_ of_individuals'!U46*'Model_ of_individuals'!$K46,"")</f>
        <v/>
      </c>
      <c r="V46" s="93" t="str">
        <f>IF(ISNUMBER('Model_ of_individuals'!V46), 'Model_ of_individuals'!V46*'Model_ of_individuals'!$K46,"")</f>
        <v/>
      </c>
      <c r="W46" s="93" t="str">
        <f>IF(ISNUMBER('Model_ of_individuals'!W46), 'Model_ of_individuals'!W46*'Model_ of_individuals'!$K46,"")</f>
        <v/>
      </c>
      <c r="X46" s="93" t="str">
        <f>IF(ISNUMBER('Model_ of_individuals'!X46), 'Model_ of_individuals'!X46*'Model_ of_individuals'!$K46,"")</f>
        <v/>
      </c>
      <c r="Y46" s="109" t="str">
        <f>IF(ISNUMBER('Model_ of_individuals'!Y46), 'Model_ of_individuals'!Y46*'Model_ of_individuals'!$K46,"")</f>
        <v/>
      </c>
    </row>
    <row r="47" spans="1:45" x14ac:dyDescent="0.25">
      <c r="A47" s="501"/>
      <c r="B47" s="504"/>
      <c r="C47" s="104" t="str">
        <f>IF(OR('Cost Inputs'!H47&lt;&gt;"", 'Cost Inputs'!I47&lt;&gt;"", 'Cost Inputs'!J47&lt;&gt;""), 'Cost Inputs'!A47, "")</f>
        <v/>
      </c>
      <c r="D47" s="17" t="str">
        <f>IF(AND(C47&lt;&gt;"", 'Cost Inputs'!G47&lt;&gt;""), 'Cost Inputs'!G47, "")</f>
        <v/>
      </c>
      <c r="E47" s="17" t="str">
        <f>IF(AND(C47&lt;&gt;"", 'Cost Inputs'!H47&lt;&gt;""), 'Cost Inputs'!H47, "")</f>
        <v/>
      </c>
      <c r="F47" s="17" t="str">
        <f>IF('Cost Inputs'!$I47&lt;&gt;"", 'Cost Inputs'!$I47, "")</f>
        <v/>
      </c>
      <c r="G47" s="17" t="str">
        <f t="shared" si="1"/>
        <v/>
      </c>
      <c r="H47" s="17" t="str">
        <f>IF('Cost Inputs'!$J47&lt;&gt;"", 'Cost Inputs'!$J47, "")</f>
        <v/>
      </c>
      <c r="I47" s="17" t="str">
        <f t="shared" si="3"/>
        <v/>
      </c>
      <c r="J47" s="17" t="str">
        <f>IF(('Cost Inputs'!I47+'Cost Inputs'!J47+'Cost Inputs'!K47)&gt;0, 'Cost Inputs'!I47+'Cost Inputs'!J47+'Cost Inputs'!K47, "")</f>
        <v/>
      </c>
      <c r="K47" s="17" t="str">
        <f>IF('Cost Inputs'!$N47&gt;0,'Cost Inputs'!$N47,"")</f>
        <v/>
      </c>
      <c r="M47" s="106"/>
      <c r="O47" s="117"/>
      <c r="P47" s="104" t="str">
        <f>IF(ISNUMBER('Model_ of_individuals'!P47), 'Model_ of_individuals'!P47*'Model_ of_individuals'!$K47,"")</f>
        <v/>
      </c>
      <c r="Q47" s="17" t="str">
        <f>IF(ISNUMBER('Model_ of_individuals'!Q47), 'Model_ of_individuals'!Q47*'Model_ of_individuals'!$K47,"")</f>
        <v/>
      </c>
      <c r="R47" s="17" t="str">
        <f>IF(ISNUMBER('Model_ of_individuals'!R47), 'Model_ of_individuals'!R47*'Model_ of_individuals'!$K47,"")</f>
        <v/>
      </c>
      <c r="S47" s="17" t="str">
        <f>IF(ISNUMBER('Model_ of_individuals'!S47), 'Model_ of_individuals'!S47*'Model_ of_individuals'!$K47,"")</f>
        <v/>
      </c>
      <c r="T47" s="17" t="str">
        <f>IF(ISNUMBER('Model_ of_individuals'!T47), 'Model_ of_individuals'!T47*'Model_ of_individuals'!$K47,"")</f>
        <v/>
      </c>
      <c r="U47" s="17" t="str">
        <f>IF(ISNUMBER('Model_ of_individuals'!U47), 'Model_ of_individuals'!U47*'Model_ of_individuals'!$K47,"")</f>
        <v/>
      </c>
      <c r="V47" s="17" t="str">
        <f>IF(ISNUMBER('Model_ of_individuals'!V47), 'Model_ of_individuals'!V47*'Model_ of_individuals'!$K47,"")</f>
        <v/>
      </c>
      <c r="W47" s="17" t="str">
        <f>IF(ISNUMBER('Model_ of_individuals'!W47), 'Model_ of_individuals'!W47*'Model_ of_individuals'!$K47,"")</f>
        <v/>
      </c>
      <c r="X47" s="17" t="str">
        <f>IF(ISNUMBER('Model_ of_individuals'!X47), 'Model_ of_individuals'!X47*'Model_ of_individuals'!$K47,"")</f>
        <v/>
      </c>
      <c r="Y47" s="106" t="str">
        <f>IF(ISNUMBER('Model_ of_individuals'!Y47), 'Model_ of_individuals'!Y47*'Model_ of_individuals'!$K47,"")</f>
        <v/>
      </c>
    </row>
    <row r="48" spans="1:45" x14ac:dyDescent="0.25">
      <c r="A48" s="501"/>
      <c r="B48" s="504"/>
      <c r="C48" s="110" t="str">
        <f>'Cost Inputs'!A48</f>
        <v/>
      </c>
      <c r="D48" s="94" t="str">
        <f>IF(OR('Cost Inputs'!H48&lt;&gt;"", 'Cost Inputs'!I48&lt;&gt;"", 'Cost Inputs'!J48&lt;&gt;""), 'Cost Inputs'!G48,"")</f>
        <v/>
      </c>
      <c r="E48" s="94" t="str">
        <f>IF(AND(C48&lt;&gt;"", 'Cost Inputs'!H48&lt;&gt;""), 'Cost Inputs'!H48, "")</f>
        <v/>
      </c>
      <c r="F48" s="94" t="str">
        <f>IF('Cost Inputs'!$I48&lt;&gt;"", 'Cost Inputs'!$I48, "")</f>
        <v/>
      </c>
      <c r="G48" s="94" t="str">
        <f t="shared" si="1"/>
        <v/>
      </c>
      <c r="H48" s="94" t="str">
        <f>IF('Cost Inputs'!$J48&lt;&gt;"", 'Cost Inputs'!$J48, "")</f>
        <v/>
      </c>
      <c r="I48" s="94" t="str">
        <f>IF(AND($E48&lt;&gt;"", $H48&lt;&gt;""), $H48/$E48, "")</f>
        <v/>
      </c>
      <c r="J48" s="94" t="str">
        <f>IF(('Cost Inputs'!I48+'Cost Inputs'!J48+'Cost Inputs'!K48)&gt;0, 'Cost Inputs'!I48+'Cost Inputs'!J48+'Cost Inputs'!K48, "")</f>
        <v/>
      </c>
      <c r="K48" s="94" t="str">
        <f>IF('Cost Inputs'!$N48&gt;0,'Cost Inputs'!$N48,"")</f>
        <v/>
      </c>
      <c r="L48" s="94"/>
      <c r="M48" s="103"/>
      <c r="O48" s="117"/>
      <c r="P48" s="110" t="str">
        <f>IF(ISNUMBER('Model_ of_individuals'!P48), 'Model_ of_individuals'!P48*'Model_ of_individuals'!$K48,"")</f>
        <v/>
      </c>
      <c r="Q48" s="94" t="str">
        <f>IF(ISNUMBER('Model_ of_individuals'!Q48), 'Model_ of_individuals'!Q48*'Model_ of_individuals'!$K48,"")</f>
        <v/>
      </c>
      <c r="R48" s="94" t="str">
        <f>IF(ISNUMBER('Model_ of_individuals'!R48), 'Model_ of_individuals'!R48*'Model_ of_individuals'!$K48,"")</f>
        <v/>
      </c>
      <c r="S48" s="94" t="str">
        <f>IF(ISNUMBER('Model_ of_individuals'!S48), 'Model_ of_individuals'!S48*'Model_ of_individuals'!$K48,"")</f>
        <v/>
      </c>
      <c r="T48" s="94" t="str">
        <f>IF(ISNUMBER('Model_ of_individuals'!T48), 'Model_ of_individuals'!T48*'Model_ of_individuals'!$K48,"")</f>
        <v/>
      </c>
      <c r="U48" s="94" t="str">
        <f>IF(ISNUMBER('Model_ of_individuals'!U48), 'Model_ of_individuals'!U48*'Model_ of_individuals'!$K48,"")</f>
        <v/>
      </c>
      <c r="V48" s="94" t="str">
        <f>IF(ISNUMBER('Model_ of_individuals'!V48), 'Model_ of_individuals'!V48*'Model_ of_individuals'!$K48,"")</f>
        <v/>
      </c>
      <c r="W48" s="94" t="str">
        <f>IF(ISNUMBER('Model_ of_individuals'!W48), 'Model_ of_individuals'!W48*'Model_ of_individuals'!$K48,"")</f>
        <v/>
      </c>
      <c r="X48" s="94" t="str">
        <f>IF(ISNUMBER('Model_ of_individuals'!X48), 'Model_ of_individuals'!X48*'Model_ of_individuals'!$K48,"")</f>
        <v/>
      </c>
      <c r="Y48" s="103" t="str">
        <f>IF(ISNUMBER('Model_ of_individuals'!Y48), 'Model_ of_individuals'!Y48*'Model_ of_individuals'!$K48,"")</f>
        <v/>
      </c>
    </row>
    <row r="49" spans="1:45" x14ac:dyDescent="0.25">
      <c r="A49" s="501"/>
      <c r="B49" s="504"/>
      <c r="C49" s="104" t="str">
        <f>IF(OR('Cost Inputs'!H49&lt;&gt;"", 'Cost Inputs'!I49&lt;&gt;"", 'Cost Inputs'!J49&lt;&gt;""), 'Cost Inputs'!A49, "")</f>
        <v/>
      </c>
      <c r="D49" s="17" t="str">
        <f>IF(AND(C49&lt;&gt;"", 'Cost Inputs'!G49&lt;&gt;""), 'Cost Inputs'!G49, "")</f>
        <v/>
      </c>
      <c r="E49" s="17" t="str">
        <f>IF(AND(C49&lt;&gt;"", 'Cost Inputs'!H49&lt;&gt;""), 'Cost Inputs'!H49, "")</f>
        <v/>
      </c>
      <c r="F49" s="17" t="str">
        <f>IF('Cost Inputs'!$I49&lt;&gt;"", 'Cost Inputs'!$I49, "")</f>
        <v/>
      </c>
      <c r="G49" s="17" t="str">
        <f t="shared" si="1"/>
        <v/>
      </c>
      <c r="H49" s="17" t="str">
        <f>IF('Cost Inputs'!$J49&lt;&gt;"", 'Cost Inputs'!$J49, "")</f>
        <v/>
      </c>
      <c r="I49" s="17" t="str">
        <f t="shared" si="3"/>
        <v/>
      </c>
      <c r="J49" s="17" t="str">
        <f>IF(('Cost Inputs'!I49+'Cost Inputs'!J49+'Cost Inputs'!K49)&gt;0, 'Cost Inputs'!I49+'Cost Inputs'!J49+'Cost Inputs'!K49, "")</f>
        <v/>
      </c>
      <c r="K49" s="17" t="str">
        <f>IF('Cost Inputs'!$N49&gt;0,'Cost Inputs'!$N49,"")</f>
        <v/>
      </c>
      <c r="M49" s="106"/>
      <c r="O49" s="117"/>
      <c r="P49" s="104" t="str">
        <f>IF(ISNUMBER('Model_ of_individuals'!P49), 'Model_ of_individuals'!P49*'Model_ of_individuals'!$K49,"")</f>
        <v/>
      </c>
      <c r="Q49" s="17" t="str">
        <f>IF(ISNUMBER('Model_ of_individuals'!Q49), 'Model_ of_individuals'!Q49*'Model_ of_individuals'!$K49,"")</f>
        <v/>
      </c>
      <c r="R49" s="17" t="str">
        <f>IF(ISNUMBER('Model_ of_individuals'!R49), 'Model_ of_individuals'!R49*'Model_ of_individuals'!$K49,"")</f>
        <v/>
      </c>
      <c r="S49" s="17" t="str">
        <f>IF(ISNUMBER('Model_ of_individuals'!S49), 'Model_ of_individuals'!S49*'Model_ of_individuals'!$K49,"")</f>
        <v/>
      </c>
      <c r="T49" s="17" t="str">
        <f>IF(ISNUMBER('Model_ of_individuals'!T49), 'Model_ of_individuals'!T49*'Model_ of_individuals'!$K49,"")</f>
        <v/>
      </c>
      <c r="U49" s="17" t="str">
        <f>IF(ISNUMBER('Model_ of_individuals'!U49), 'Model_ of_individuals'!U49*'Model_ of_individuals'!$K49,"")</f>
        <v/>
      </c>
      <c r="V49" s="17" t="str">
        <f>IF(ISNUMBER('Model_ of_individuals'!V49), 'Model_ of_individuals'!V49*'Model_ of_individuals'!$K49,"")</f>
        <v/>
      </c>
      <c r="W49" s="17" t="str">
        <f>IF(ISNUMBER('Model_ of_individuals'!W49), 'Model_ of_individuals'!W49*'Model_ of_individuals'!$K49,"")</f>
        <v/>
      </c>
      <c r="X49" s="17" t="str">
        <f>IF(ISNUMBER('Model_ of_individuals'!X49), 'Model_ of_individuals'!X49*'Model_ of_individuals'!$K49,"")</f>
        <v/>
      </c>
      <c r="Y49" s="106" t="str">
        <f>IF(ISNUMBER('Model_ of_individuals'!Y49), 'Model_ of_individuals'!Y49*'Model_ of_individuals'!$K49,"")</f>
        <v/>
      </c>
    </row>
    <row r="50" spans="1:45" x14ac:dyDescent="0.25">
      <c r="A50" s="501"/>
      <c r="B50" s="504"/>
      <c r="C50" s="107" t="str">
        <f>IF(OR('Cost Inputs'!H50&lt;&gt;"", 'Cost Inputs'!I50&lt;&gt;"", 'Cost Inputs'!J50&lt;&gt;""), 'Cost Inputs'!A50, "")</f>
        <v/>
      </c>
      <c r="D50" s="93" t="str">
        <f>IF(AND(C50&lt;&gt;"", 'Cost Inputs'!G50&lt;&gt;""), 'Cost Inputs'!G50, "")</f>
        <v/>
      </c>
      <c r="E50" s="93" t="str">
        <f>IF(AND(C50&lt;&gt;"", 'Cost Inputs'!H50&lt;&gt;""), 'Cost Inputs'!H50, "")</f>
        <v/>
      </c>
      <c r="F50" s="93" t="str">
        <f>IF('Cost Inputs'!$I50&lt;&gt;"", 'Cost Inputs'!$I50, "")</f>
        <v/>
      </c>
      <c r="G50" s="93" t="str">
        <f t="shared" si="1"/>
        <v/>
      </c>
      <c r="H50" s="93" t="str">
        <f>IF('Cost Inputs'!$J50&lt;&gt;"", 'Cost Inputs'!$J50, "")</f>
        <v/>
      </c>
      <c r="I50" s="93" t="str">
        <f t="shared" si="3"/>
        <v/>
      </c>
      <c r="J50" s="93" t="str">
        <f>IF(('Cost Inputs'!I50+'Cost Inputs'!J50+'Cost Inputs'!K50)&gt;0, 'Cost Inputs'!I50+'Cost Inputs'!J50+'Cost Inputs'!K50, "")</f>
        <v/>
      </c>
      <c r="K50" s="93" t="str">
        <f>IF('Cost Inputs'!$N50&gt;0,'Cost Inputs'!$N50,"")</f>
        <v/>
      </c>
      <c r="L50" s="93"/>
      <c r="M50" s="109"/>
      <c r="O50" s="117"/>
      <c r="P50" s="107" t="str">
        <f>IF(ISNUMBER('Model_ of_individuals'!P50), 'Model_ of_individuals'!P50*'Model_ of_individuals'!$K50,"")</f>
        <v/>
      </c>
      <c r="Q50" s="93" t="str">
        <f>IF(ISNUMBER('Model_ of_individuals'!Q50), 'Model_ of_individuals'!Q50*'Model_ of_individuals'!$K50,"")</f>
        <v/>
      </c>
      <c r="R50" s="93" t="str">
        <f>IF(ISNUMBER('Model_ of_individuals'!R50), 'Model_ of_individuals'!R50*'Model_ of_individuals'!$K50,"")</f>
        <v/>
      </c>
      <c r="S50" s="93" t="str">
        <f>IF(ISNUMBER('Model_ of_individuals'!S50), 'Model_ of_individuals'!S50*'Model_ of_individuals'!$K50,"")</f>
        <v/>
      </c>
      <c r="T50" s="93" t="str">
        <f>IF(ISNUMBER('Model_ of_individuals'!T50), 'Model_ of_individuals'!T50*'Model_ of_individuals'!$K50,"")</f>
        <v/>
      </c>
      <c r="U50" s="93" t="str">
        <f>IF(ISNUMBER('Model_ of_individuals'!U50), 'Model_ of_individuals'!U50*'Model_ of_individuals'!$K50,"")</f>
        <v/>
      </c>
      <c r="V50" s="93" t="str">
        <f>IF(ISNUMBER('Model_ of_individuals'!V50), 'Model_ of_individuals'!V50*'Model_ of_individuals'!$K50,"")</f>
        <v/>
      </c>
      <c r="W50" s="93" t="str">
        <f>IF(ISNUMBER('Model_ of_individuals'!W50), 'Model_ of_individuals'!W50*'Model_ of_individuals'!$K50,"")</f>
        <v/>
      </c>
      <c r="X50" s="93" t="str">
        <f>IF(ISNUMBER('Model_ of_individuals'!X50), 'Model_ of_individuals'!X50*'Model_ of_individuals'!$K50,"")</f>
        <v/>
      </c>
      <c r="Y50" s="109" t="str">
        <f>IF(ISNUMBER('Model_ of_individuals'!Y50), 'Model_ of_individuals'!Y50*'Model_ of_individuals'!$K50,"")</f>
        <v/>
      </c>
    </row>
    <row r="51" spans="1:45" x14ac:dyDescent="0.25">
      <c r="A51" s="501"/>
      <c r="B51" s="504"/>
      <c r="C51" s="104" t="str">
        <f>IF(OR('Cost Inputs'!H51&lt;&gt;"", 'Cost Inputs'!I51&lt;&gt;"", 'Cost Inputs'!J51&lt;&gt;""), 'Cost Inputs'!A51, "")</f>
        <v/>
      </c>
      <c r="D51" s="17" t="str">
        <f>IF(AND(C51&lt;&gt;"", 'Cost Inputs'!G51&lt;&gt;""), 'Cost Inputs'!G51, "")</f>
        <v/>
      </c>
      <c r="E51" s="17" t="str">
        <f>IF(AND(C51&lt;&gt;"", 'Cost Inputs'!H51&lt;&gt;""), 'Cost Inputs'!H51, "")</f>
        <v/>
      </c>
      <c r="F51" s="17" t="str">
        <f>IF('Cost Inputs'!$I51&lt;&gt;"", 'Cost Inputs'!$I51, "")</f>
        <v/>
      </c>
      <c r="G51" s="17" t="str">
        <f t="shared" si="1"/>
        <v/>
      </c>
      <c r="H51" s="17" t="str">
        <f>IF('Cost Inputs'!$J51&lt;&gt;"", 'Cost Inputs'!$J51, "")</f>
        <v/>
      </c>
      <c r="I51" s="17" t="str">
        <f t="shared" si="3"/>
        <v/>
      </c>
      <c r="J51" s="17" t="str">
        <f>IF(('Cost Inputs'!I51+'Cost Inputs'!J51+'Cost Inputs'!K51)&gt;0, 'Cost Inputs'!I51+'Cost Inputs'!J51+'Cost Inputs'!K51, "")</f>
        <v/>
      </c>
      <c r="K51" s="17" t="str">
        <f>IF('Cost Inputs'!$N51&gt;0,'Cost Inputs'!$N51,"")</f>
        <v/>
      </c>
      <c r="M51" s="106"/>
      <c r="O51" s="117"/>
      <c r="P51" s="104" t="str">
        <f>IF(ISNUMBER('Model_ of_individuals'!P51), 'Model_ of_individuals'!P51*'Model_ of_individuals'!$K51,"")</f>
        <v/>
      </c>
      <c r="Q51" s="17" t="str">
        <f>IF(ISNUMBER('Model_ of_individuals'!Q51), 'Model_ of_individuals'!Q51*'Model_ of_individuals'!$K51,"")</f>
        <v/>
      </c>
      <c r="R51" s="17" t="str">
        <f>IF(ISNUMBER('Model_ of_individuals'!R51), 'Model_ of_individuals'!R51*'Model_ of_individuals'!$K51,"")</f>
        <v/>
      </c>
      <c r="S51" s="17" t="str">
        <f>IF(ISNUMBER('Model_ of_individuals'!S51), 'Model_ of_individuals'!S51*'Model_ of_individuals'!$K51,"")</f>
        <v/>
      </c>
      <c r="T51" s="17" t="str">
        <f>IF(ISNUMBER('Model_ of_individuals'!T51), 'Model_ of_individuals'!T51*'Model_ of_individuals'!$K51,"")</f>
        <v/>
      </c>
      <c r="U51" s="17" t="str">
        <f>IF(ISNUMBER('Model_ of_individuals'!U51), 'Model_ of_individuals'!U51*'Model_ of_individuals'!$K51,"")</f>
        <v/>
      </c>
      <c r="V51" s="17" t="str">
        <f>IF(ISNUMBER('Model_ of_individuals'!V51), 'Model_ of_individuals'!V51*'Model_ of_individuals'!$K51,"")</f>
        <v/>
      </c>
      <c r="W51" s="17" t="str">
        <f>IF(ISNUMBER('Model_ of_individuals'!W51), 'Model_ of_individuals'!W51*'Model_ of_individuals'!$K51,"")</f>
        <v/>
      </c>
      <c r="X51" s="17" t="str">
        <f>IF(ISNUMBER('Model_ of_individuals'!X51), 'Model_ of_individuals'!X51*'Model_ of_individuals'!$K51,"")</f>
        <v/>
      </c>
      <c r="Y51" s="106" t="str">
        <f>IF(ISNUMBER('Model_ of_individuals'!Y51), 'Model_ of_individuals'!Y51*'Model_ of_individuals'!$K51,"")</f>
        <v/>
      </c>
    </row>
    <row r="52" spans="1:45" x14ac:dyDescent="0.25">
      <c r="A52" s="501"/>
      <c r="B52" s="504"/>
      <c r="C52" s="107" t="str">
        <f>IF(OR('Cost Inputs'!H52&lt;&gt;"", 'Cost Inputs'!I52&lt;&gt;"", 'Cost Inputs'!J52&lt;&gt;""), 'Cost Inputs'!A52, "")</f>
        <v/>
      </c>
      <c r="D52" s="93" t="str">
        <f>IF(AND(C52&lt;&gt;"", 'Cost Inputs'!G52&lt;&gt;""), 'Cost Inputs'!G52, "")</f>
        <v/>
      </c>
      <c r="E52" s="93" t="str">
        <f>IF(AND(C52&lt;&gt;"", 'Cost Inputs'!H52&lt;&gt;""), 'Cost Inputs'!H52, "")</f>
        <v/>
      </c>
      <c r="F52" s="93" t="str">
        <f>IF('Cost Inputs'!$I52&lt;&gt;"", 'Cost Inputs'!$I52, "")</f>
        <v/>
      </c>
      <c r="G52" s="93" t="str">
        <f t="shared" si="1"/>
        <v/>
      </c>
      <c r="H52" s="93" t="str">
        <f>IF('Cost Inputs'!$J52&lt;&gt;"", 'Cost Inputs'!$J52, "")</f>
        <v/>
      </c>
      <c r="I52" s="93" t="str">
        <f t="shared" si="3"/>
        <v/>
      </c>
      <c r="J52" s="93" t="str">
        <f>IF(('Cost Inputs'!I52+'Cost Inputs'!J52+'Cost Inputs'!K52)&gt;0, 'Cost Inputs'!I52+'Cost Inputs'!J52+'Cost Inputs'!K52, "")</f>
        <v/>
      </c>
      <c r="K52" s="93" t="str">
        <f>IF('Cost Inputs'!$N52&gt;0,'Cost Inputs'!$N52,"")</f>
        <v/>
      </c>
      <c r="L52" s="93"/>
      <c r="M52" s="109"/>
      <c r="O52" s="117"/>
      <c r="P52" s="107" t="str">
        <f>IF(ISNUMBER('Model_ of_individuals'!P52), 'Model_ of_individuals'!P52*'Model_ of_individuals'!$K52,"")</f>
        <v/>
      </c>
      <c r="Q52" s="93" t="str">
        <f>IF(ISNUMBER('Model_ of_individuals'!Q52), 'Model_ of_individuals'!Q52*'Model_ of_individuals'!$K52,"")</f>
        <v/>
      </c>
      <c r="R52" s="93" t="str">
        <f>IF(ISNUMBER('Model_ of_individuals'!R52), 'Model_ of_individuals'!R52*'Model_ of_individuals'!$K52,"")</f>
        <v/>
      </c>
      <c r="S52" s="93" t="str">
        <f>IF(ISNUMBER('Model_ of_individuals'!S52), 'Model_ of_individuals'!S52*'Model_ of_individuals'!$K52,"")</f>
        <v/>
      </c>
      <c r="T52" s="93" t="str">
        <f>IF(ISNUMBER('Model_ of_individuals'!T52), 'Model_ of_individuals'!T52*'Model_ of_individuals'!$K52,"")</f>
        <v/>
      </c>
      <c r="U52" s="93" t="str">
        <f>IF(ISNUMBER('Model_ of_individuals'!U52), 'Model_ of_individuals'!U52*'Model_ of_individuals'!$K52,"")</f>
        <v/>
      </c>
      <c r="V52" s="93" t="str">
        <f>IF(ISNUMBER('Model_ of_individuals'!V52), 'Model_ of_individuals'!V52*'Model_ of_individuals'!$K52,"")</f>
        <v/>
      </c>
      <c r="W52" s="93" t="str">
        <f>IF(ISNUMBER('Model_ of_individuals'!W52), 'Model_ of_individuals'!W52*'Model_ of_individuals'!$K52,"")</f>
        <v/>
      </c>
      <c r="X52" s="93" t="str">
        <f>IF(ISNUMBER('Model_ of_individuals'!X52), 'Model_ of_individuals'!X52*'Model_ of_individuals'!$K52,"")</f>
        <v/>
      </c>
      <c r="Y52" s="109" t="str">
        <f>IF(ISNUMBER('Model_ of_individuals'!Y52), 'Model_ of_individuals'!Y52*'Model_ of_individuals'!$K52,"")</f>
        <v/>
      </c>
    </row>
    <row r="53" spans="1:45" x14ac:dyDescent="0.25">
      <c r="A53" s="501"/>
      <c r="B53" s="504"/>
      <c r="C53" s="104" t="str">
        <f>IF(OR('Cost Inputs'!H53&lt;&gt;"", 'Cost Inputs'!I53&lt;&gt;"", 'Cost Inputs'!J53&lt;&gt;""), 'Cost Inputs'!A53, "")</f>
        <v/>
      </c>
      <c r="D53" s="17" t="str">
        <f>IF(AND(C53&lt;&gt;"", 'Cost Inputs'!G53&lt;&gt;""), 'Cost Inputs'!G53, "")</f>
        <v/>
      </c>
      <c r="E53" s="17" t="str">
        <f>IF(AND(C53&lt;&gt;"", 'Cost Inputs'!H53&lt;&gt;""), 'Cost Inputs'!H53, "")</f>
        <v/>
      </c>
      <c r="F53" s="17" t="str">
        <f>IF('Cost Inputs'!$I53&lt;&gt;"", 'Cost Inputs'!$I53, "")</f>
        <v/>
      </c>
      <c r="G53" s="17" t="str">
        <f t="shared" si="1"/>
        <v/>
      </c>
      <c r="H53" s="17" t="str">
        <f>IF('Cost Inputs'!$J53&lt;&gt;"", 'Cost Inputs'!$J53, "")</f>
        <v/>
      </c>
      <c r="I53" s="17" t="str">
        <f t="shared" si="3"/>
        <v/>
      </c>
      <c r="J53" s="17" t="str">
        <f>IF(('Cost Inputs'!I53+'Cost Inputs'!J53+'Cost Inputs'!K53)&gt;0, 'Cost Inputs'!I53+'Cost Inputs'!J53+'Cost Inputs'!K53, "")</f>
        <v/>
      </c>
      <c r="K53" s="17" t="str">
        <f>IF('Cost Inputs'!$N53&gt;0,'Cost Inputs'!$N53,"")</f>
        <v/>
      </c>
      <c r="M53" s="106"/>
      <c r="O53" s="117"/>
      <c r="P53" s="104" t="str">
        <f>IF(ISNUMBER('Model_ of_individuals'!P53), 'Model_ of_individuals'!P53*'Model_ of_individuals'!$K53,"")</f>
        <v/>
      </c>
      <c r="Q53" s="17" t="str">
        <f>IF(ISNUMBER('Model_ of_individuals'!Q53), 'Model_ of_individuals'!Q53*'Model_ of_individuals'!$K53,"")</f>
        <v/>
      </c>
      <c r="R53" s="17" t="str">
        <f>IF(ISNUMBER('Model_ of_individuals'!R53), 'Model_ of_individuals'!R53*'Model_ of_individuals'!$K53,"")</f>
        <v/>
      </c>
      <c r="S53" s="17" t="str">
        <f>IF(ISNUMBER('Model_ of_individuals'!S53), 'Model_ of_individuals'!S53*'Model_ of_individuals'!$K53,"")</f>
        <v/>
      </c>
      <c r="T53" s="17" t="str">
        <f>IF(ISNUMBER('Model_ of_individuals'!T53), 'Model_ of_individuals'!T53*'Model_ of_individuals'!$K53,"")</f>
        <v/>
      </c>
      <c r="U53" s="17" t="str">
        <f>IF(ISNUMBER('Model_ of_individuals'!U53), 'Model_ of_individuals'!U53*'Model_ of_individuals'!$K53,"")</f>
        <v/>
      </c>
      <c r="V53" s="17" t="str">
        <f>IF(ISNUMBER('Model_ of_individuals'!V53), 'Model_ of_individuals'!V53*'Model_ of_individuals'!$K53,"")</f>
        <v/>
      </c>
      <c r="W53" s="17" t="str">
        <f>IF(ISNUMBER('Model_ of_individuals'!W53), 'Model_ of_individuals'!W53*'Model_ of_individuals'!$K53,"")</f>
        <v/>
      </c>
      <c r="X53" s="17" t="str">
        <f>IF(ISNUMBER('Model_ of_individuals'!X53), 'Model_ of_individuals'!X53*'Model_ of_individuals'!$K53,"")</f>
        <v/>
      </c>
      <c r="Y53" s="106" t="str">
        <f>IF(ISNUMBER('Model_ of_individuals'!Y53), 'Model_ of_individuals'!Y53*'Model_ of_individuals'!$K53,"")</f>
        <v/>
      </c>
    </row>
    <row r="54" spans="1:45" x14ac:dyDescent="0.25">
      <c r="A54" s="501"/>
      <c r="B54" s="504"/>
      <c r="C54" s="107" t="str">
        <f>IF(OR('Cost Inputs'!H54&lt;&gt;"", 'Cost Inputs'!I54&lt;&gt;"", 'Cost Inputs'!J54&lt;&gt;""), 'Cost Inputs'!A54, "")</f>
        <v/>
      </c>
      <c r="D54" s="93" t="str">
        <f>IF(AND(C54&lt;&gt;"", 'Cost Inputs'!G54&lt;&gt;""), 'Cost Inputs'!G54, "")</f>
        <v/>
      </c>
      <c r="E54" s="93" t="str">
        <f>IF(AND(C54&lt;&gt;"", 'Cost Inputs'!H54&lt;&gt;""), 'Cost Inputs'!H54, "")</f>
        <v/>
      </c>
      <c r="F54" s="93" t="str">
        <f>IF('Cost Inputs'!$I54&lt;&gt;"", 'Cost Inputs'!$I54, "")</f>
        <v/>
      </c>
      <c r="G54" s="93" t="str">
        <f t="shared" si="1"/>
        <v/>
      </c>
      <c r="H54" s="93" t="str">
        <f>IF('Cost Inputs'!$J54&lt;&gt;"", 'Cost Inputs'!$J54, "")</f>
        <v/>
      </c>
      <c r="I54" s="93" t="str">
        <f t="shared" si="3"/>
        <v/>
      </c>
      <c r="J54" s="93" t="str">
        <f>IF(('Cost Inputs'!I54+'Cost Inputs'!J54+'Cost Inputs'!K54)&gt;0, 'Cost Inputs'!I54+'Cost Inputs'!J54+'Cost Inputs'!K54, "")</f>
        <v/>
      </c>
      <c r="K54" s="93" t="str">
        <f>IF('Cost Inputs'!$N54&gt;0,'Cost Inputs'!$N54,"")</f>
        <v/>
      </c>
      <c r="L54" s="93"/>
      <c r="M54" s="109"/>
      <c r="O54" s="117"/>
      <c r="P54" s="107" t="str">
        <f>IF(ISNUMBER('Model_ of_individuals'!P54), 'Model_ of_individuals'!P54*'Model_ of_individuals'!$K54,"")</f>
        <v/>
      </c>
      <c r="Q54" s="93" t="str">
        <f>IF(ISNUMBER('Model_ of_individuals'!Q54), 'Model_ of_individuals'!Q54*'Model_ of_individuals'!$K54,"")</f>
        <v/>
      </c>
      <c r="R54" s="93" t="str">
        <f>IF(ISNUMBER('Model_ of_individuals'!R54), 'Model_ of_individuals'!R54*'Model_ of_individuals'!$K54,"")</f>
        <v/>
      </c>
      <c r="S54" s="93" t="str">
        <f>IF(ISNUMBER('Model_ of_individuals'!S54), 'Model_ of_individuals'!S54*'Model_ of_individuals'!$K54,"")</f>
        <v/>
      </c>
      <c r="T54" s="93" t="str">
        <f>IF(ISNUMBER('Model_ of_individuals'!T54), 'Model_ of_individuals'!T54*'Model_ of_individuals'!$K54,"")</f>
        <v/>
      </c>
      <c r="U54" s="93" t="str">
        <f>IF(ISNUMBER('Model_ of_individuals'!U54), 'Model_ of_individuals'!U54*'Model_ of_individuals'!$K54,"")</f>
        <v/>
      </c>
      <c r="V54" s="93" t="str">
        <f>IF(ISNUMBER('Model_ of_individuals'!V54), 'Model_ of_individuals'!V54*'Model_ of_individuals'!$K54,"")</f>
        <v/>
      </c>
      <c r="W54" s="93" t="str">
        <f>IF(ISNUMBER('Model_ of_individuals'!W54), 'Model_ of_individuals'!W54*'Model_ of_individuals'!$K54,"")</f>
        <v/>
      </c>
      <c r="X54" s="93" t="str">
        <f>IF(ISNUMBER('Model_ of_individuals'!X54), 'Model_ of_individuals'!X54*'Model_ of_individuals'!$K54,"")</f>
        <v/>
      </c>
      <c r="Y54" s="109" t="str">
        <f>IF(ISNUMBER('Model_ of_individuals'!Y54), 'Model_ of_individuals'!Y54*'Model_ of_individuals'!$K54,"")</f>
        <v/>
      </c>
    </row>
    <row r="55" spans="1:45" hidden="1" x14ac:dyDescent="0.25">
      <c r="A55" s="501"/>
      <c r="B55" s="504"/>
      <c r="C55" s="361"/>
      <c r="D55" s="360"/>
      <c r="E55" s="360"/>
      <c r="F55" s="360"/>
      <c r="G55" s="360"/>
      <c r="H55" s="360"/>
      <c r="I55" s="360"/>
      <c r="J55" s="360"/>
      <c r="K55" s="360"/>
      <c r="L55" s="360"/>
      <c r="M55" s="109"/>
      <c r="O55" s="117"/>
      <c r="P55" s="361"/>
      <c r="Q55" s="360"/>
      <c r="R55" s="360"/>
      <c r="S55" s="360"/>
      <c r="T55" s="360"/>
      <c r="U55" s="360"/>
      <c r="V55" s="360"/>
      <c r="W55" s="360"/>
      <c r="X55" s="360"/>
      <c r="Y55" s="109"/>
    </row>
    <row r="56" spans="1:45" x14ac:dyDescent="0.25">
      <c r="A56" s="501"/>
      <c r="B56" s="504"/>
      <c r="C56" s="110" t="str">
        <f>'Cost Inputs'!A55</f>
        <v>2.3 Container production</v>
      </c>
      <c r="D56" s="94" t="str">
        <f>IF(OR('Cost Inputs'!H55&lt;&gt;"", 'Cost Inputs'!I55&lt;&gt;"", 'Cost Inputs'!J55&lt;&gt;""), 'Cost Inputs'!G55,"")</f>
        <v/>
      </c>
      <c r="E56" s="94" t="str">
        <f>IF(AND(C56&lt;&gt;"", 'Cost Inputs'!H55&lt;&gt;""), 'Cost Inputs'!H55, "")</f>
        <v/>
      </c>
      <c r="F56" s="94" t="str">
        <f>IF('Cost Inputs'!$I55&lt;&gt;"", 'Cost Inputs'!$I55, "")</f>
        <v/>
      </c>
      <c r="G56" s="94" t="str">
        <f t="shared" si="1"/>
        <v/>
      </c>
      <c r="H56" s="94" t="str">
        <f>IF('Cost Inputs'!$J55&lt;&gt;"", 'Cost Inputs'!$J55, "")</f>
        <v/>
      </c>
      <c r="I56" s="94" t="str">
        <f>IF(AND($E56&lt;&gt;"", $H56&lt;&gt;""), $H56/$E56, "")</f>
        <v/>
      </c>
      <c r="J56" s="94" t="str">
        <f>IF(('Cost Inputs'!I55+'Cost Inputs'!J55+'Cost Inputs'!K55)&gt;0, 'Cost Inputs'!I55+'Cost Inputs'!J55+'Cost Inputs'!K55, "")</f>
        <v/>
      </c>
      <c r="K56" s="94" t="str">
        <f>IF('Cost Inputs'!$N55&gt;0,'Cost Inputs'!$N55,"")</f>
        <v/>
      </c>
      <c r="L56" s="94"/>
      <c r="M56" s="103"/>
      <c r="O56" s="117"/>
      <c r="P56" s="110" t="str">
        <f>IF(ISNUMBER('Model_ of_individuals'!P56), 'Model_ of_individuals'!P56*'Model_ of_individuals'!$K56,"")</f>
        <v/>
      </c>
      <c r="Q56" s="94" t="str">
        <f>IF(ISNUMBER('Model_ of_individuals'!Q56), 'Model_ of_individuals'!Q56*'Model_ of_individuals'!$K56,"")</f>
        <v/>
      </c>
      <c r="R56" s="94" t="str">
        <f>IF(ISNUMBER('Model_ of_individuals'!R56), 'Model_ of_individuals'!R56*'Model_ of_individuals'!$K56,"")</f>
        <v/>
      </c>
      <c r="S56" s="94" t="str">
        <f>IF(ISNUMBER('Model_ of_individuals'!S56), 'Model_ of_individuals'!S56*'Model_ of_individuals'!$K56,"")</f>
        <v/>
      </c>
      <c r="T56" s="94" t="str">
        <f>IF(ISNUMBER('Model_ of_individuals'!T56), 'Model_ of_individuals'!T56*'Model_ of_individuals'!$K56,"")</f>
        <v/>
      </c>
      <c r="U56" s="94" t="str">
        <f>IF(ISNUMBER('Model_ of_individuals'!U56), 'Model_ of_individuals'!U56*'Model_ of_individuals'!$K56,"")</f>
        <v/>
      </c>
      <c r="V56" s="94" t="str">
        <f>IF(ISNUMBER('Model_ of_individuals'!V56), 'Model_ of_individuals'!V56*'Model_ of_individuals'!$K56,"")</f>
        <v/>
      </c>
      <c r="W56" s="94" t="str">
        <f>IF(ISNUMBER('Model_ of_individuals'!W56), 'Model_ of_individuals'!W56*'Model_ of_individuals'!$K56,"")</f>
        <v/>
      </c>
      <c r="X56" s="94" t="str">
        <f>IF(ISNUMBER('Model_ of_individuals'!X56), 'Model_ of_individuals'!X56*'Model_ of_individuals'!$K56,"")</f>
        <v/>
      </c>
      <c r="Y56" s="103" t="str">
        <f>IF(ISNUMBER('Model_ of_individuals'!Y56), 'Model_ of_individuals'!Y56*'Model_ of_individuals'!$K56,"")</f>
        <v/>
      </c>
    </row>
    <row r="57" spans="1:45" x14ac:dyDescent="0.25">
      <c r="A57" s="501"/>
      <c r="B57" s="504"/>
      <c r="C57" s="104" t="str">
        <f>IF(OR('Cost Inputs'!H56&lt;&gt;"", 'Cost Inputs'!I56&lt;&gt;"", 'Cost Inputs'!J56&lt;&gt;""), 'Cost Inputs'!A56, "")</f>
        <v/>
      </c>
      <c r="D57" s="17" t="str">
        <f>IF(AND(C57&lt;&gt;"", 'Cost Inputs'!G56&lt;&gt;""), 'Cost Inputs'!G56, "")</f>
        <v/>
      </c>
      <c r="E57" s="17" t="str">
        <f>IF(AND(C57&lt;&gt;"", 'Cost Inputs'!H56&lt;&gt;""), 'Cost Inputs'!H56, "")</f>
        <v/>
      </c>
      <c r="F57" s="17" t="str">
        <f>IF('Cost Inputs'!$I56&lt;&gt;"", 'Cost Inputs'!$I56, "")</f>
        <v/>
      </c>
      <c r="G57" s="17" t="str">
        <f t="shared" si="1"/>
        <v/>
      </c>
      <c r="H57" s="17" t="str">
        <f>IF('Cost Inputs'!$J56&lt;&gt;"", 'Cost Inputs'!$J56, "")</f>
        <v/>
      </c>
      <c r="I57" s="17" t="str">
        <f t="shared" si="3"/>
        <v/>
      </c>
      <c r="J57" s="17" t="str">
        <f>IF(('Cost Inputs'!I56+'Cost Inputs'!J56+'Cost Inputs'!K56)&gt;0, 'Cost Inputs'!I56+'Cost Inputs'!J56+'Cost Inputs'!K56, "")</f>
        <v/>
      </c>
      <c r="K57" s="17" t="str">
        <f>IF('Cost Inputs'!$N56&gt;0,'Cost Inputs'!$N56,"")</f>
        <v/>
      </c>
      <c r="M57" s="106"/>
      <c r="O57" s="117"/>
      <c r="P57" s="104" t="str">
        <f>IF(ISNUMBER('Model_ of_individuals'!P57), 'Model_ of_individuals'!P57*'Model_ of_individuals'!$K57,"")</f>
        <v/>
      </c>
      <c r="Q57" s="17" t="str">
        <f>IF(ISNUMBER('Model_ of_individuals'!Q57), 'Model_ of_individuals'!Q57*'Model_ of_individuals'!$K57,"")</f>
        <v/>
      </c>
      <c r="R57" s="17" t="str">
        <f>IF(ISNUMBER('Model_ of_individuals'!R57), 'Model_ of_individuals'!R57*'Model_ of_individuals'!$K57,"")</f>
        <v/>
      </c>
      <c r="S57" s="17" t="str">
        <f>IF(ISNUMBER('Model_ of_individuals'!S57), 'Model_ of_individuals'!S57*'Model_ of_individuals'!$K57,"")</f>
        <v/>
      </c>
      <c r="T57" s="17" t="str">
        <f>IF(ISNUMBER('Model_ of_individuals'!T57), 'Model_ of_individuals'!T57*'Model_ of_individuals'!$K57,"")</f>
        <v/>
      </c>
      <c r="U57" s="17" t="str">
        <f>IF(ISNUMBER('Model_ of_individuals'!U57), 'Model_ of_individuals'!U57*'Model_ of_individuals'!$K57,"")</f>
        <v/>
      </c>
      <c r="V57" s="17" t="str">
        <f>IF(ISNUMBER('Model_ of_individuals'!V57), 'Model_ of_individuals'!V57*'Model_ of_individuals'!$K57,"")</f>
        <v/>
      </c>
      <c r="W57" s="17" t="str">
        <f>IF(ISNUMBER('Model_ of_individuals'!W57), 'Model_ of_individuals'!W57*'Model_ of_individuals'!$K57,"")</f>
        <v/>
      </c>
      <c r="X57" s="17" t="str">
        <f>IF(ISNUMBER('Model_ of_individuals'!X57), 'Model_ of_individuals'!X57*'Model_ of_individuals'!$K57,"")</f>
        <v/>
      </c>
      <c r="Y57" s="106" t="str">
        <f>IF(ISNUMBER('Model_ of_individuals'!Y57), 'Model_ of_individuals'!Y57*'Model_ of_individuals'!$K57,"")</f>
        <v/>
      </c>
    </row>
    <row r="58" spans="1:45" ht="15.75" thickBot="1" x14ac:dyDescent="0.3">
      <c r="A58" s="502"/>
      <c r="B58" s="505"/>
      <c r="C58" s="111" t="str">
        <f>IF(OR('Cost Inputs'!H57&lt;&gt;"", 'Cost Inputs'!I57&lt;&gt;"", 'Cost Inputs'!J57&lt;&gt;""), 'Cost Inputs'!A57, "")</f>
        <v/>
      </c>
      <c r="D58" s="95" t="str">
        <f>IF(AND(C58&lt;&gt;"", 'Cost Inputs'!G57&lt;&gt;""), 'Cost Inputs'!G57, "")</f>
        <v/>
      </c>
      <c r="E58" s="95" t="str">
        <f>IF(AND(C58&lt;&gt;"", 'Cost Inputs'!H57&lt;&gt;""), 'Cost Inputs'!H57, "")</f>
        <v/>
      </c>
      <c r="F58" s="95" t="str">
        <f>IF('Cost Inputs'!$I57&lt;&gt;"", 'Cost Inputs'!$I57, "")</f>
        <v/>
      </c>
      <c r="G58" s="95" t="str">
        <f t="shared" si="1"/>
        <v/>
      </c>
      <c r="H58" s="95" t="str">
        <f>IF('Cost Inputs'!$J57&lt;&gt;"", 'Cost Inputs'!$J57, "")</f>
        <v/>
      </c>
      <c r="I58" s="95" t="str">
        <f t="shared" si="3"/>
        <v/>
      </c>
      <c r="J58" s="95" t="str">
        <f>IF(('Cost Inputs'!I57+'Cost Inputs'!J57+'Cost Inputs'!K57)&gt;0, 'Cost Inputs'!I57+'Cost Inputs'!J57+'Cost Inputs'!K57, "")</f>
        <v/>
      </c>
      <c r="K58" s="95" t="str">
        <f>IF('Cost Inputs'!$N57&gt;0,'Cost Inputs'!$N57,"")</f>
        <v/>
      </c>
      <c r="L58" s="95"/>
      <c r="M58" s="113"/>
      <c r="O58" s="117"/>
      <c r="P58" s="111" t="str">
        <f>IF(ISNUMBER('Model_ of_individuals'!P58), 'Model_ of_individuals'!P58*'Model_ of_individuals'!$K58,"")</f>
        <v/>
      </c>
      <c r="Q58" s="95" t="str">
        <f>IF(ISNUMBER('Model_ of_individuals'!Q58), 'Model_ of_individuals'!Q58*'Model_ of_individuals'!$K58,"")</f>
        <v/>
      </c>
      <c r="R58" s="95" t="str">
        <f>IF(ISNUMBER('Model_ of_individuals'!R58), 'Model_ of_individuals'!R58*'Model_ of_individuals'!$K58,"")</f>
        <v/>
      </c>
      <c r="S58" s="95" t="str">
        <f>IF(ISNUMBER('Model_ of_individuals'!S58), 'Model_ of_individuals'!S58*'Model_ of_individuals'!$K58,"")</f>
        <v/>
      </c>
      <c r="T58" s="95" t="str">
        <f>IF(ISNUMBER('Model_ of_individuals'!T58), 'Model_ of_individuals'!T58*'Model_ of_individuals'!$K58,"")</f>
        <v/>
      </c>
      <c r="U58" s="95" t="str">
        <f>IF(ISNUMBER('Model_ of_individuals'!U58), 'Model_ of_individuals'!U58*'Model_ of_individuals'!$K58,"")</f>
        <v/>
      </c>
      <c r="V58" s="95" t="str">
        <f>IF(ISNUMBER('Model_ of_individuals'!V58), 'Model_ of_individuals'!V58*'Model_ of_individuals'!$K58,"")</f>
        <v/>
      </c>
      <c r="W58" s="95" t="str">
        <f>IF(ISNUMBER('Model_ of_individuals'!W58), 'Model_ of_individuals'!W58*'Model_ of_individuals'!$K58,"")</f>
        <v/>
      </c>
      <c r="X58" s="95" t="str">
        <f>IF(ISNUMBER('Model_ of_individuals'!X58), 'Model_ of_individuals'!X58*'Model_ of_individuals'!$K58,"")</f>
        <v/>
      </c>
      <c r="Y58" s="113" t="str">
        <f>IF(ISNUMBER('Model_ of_individuals'!Y58), 'Model_ of_individuals'!Y58*'Model_ of_individuals'!$K58,"")</f>
        <v/>
      </c>
    </row>
    <row r="59" spans="1:45" ht="44.45" customHeight="1" thickBot="1" x14ac:dyDescent="0.4">
      <c r="A59" s="98"/>
      <c r="B59" s="122"/>
      <c r="C59" s="114"/>
      <c r="D59" s="114"/>
      <c r="E59" s="114"/>
      <c r="F59" s="114"/>
      <c r="G59" s="114" t="str">
        <f t="shared" si="1"/>
        <v/>
      </c>
      <c r="H59" s="114"/>
      <c r="I59" s="114"/>
      <c r="J59" s="114"/>
      <c r="K59" s="114"/>
      <c r="L59" s="114"/>
      <c r="M59" s="115"/>
      <c r="P59" s="98"/>
      <c r="Q59" s="123"/>
      <c r="R59" s="123"/>
      <c r="S59" s="123"/>
      <c r="T59" s="123"/>
      <c r="U59" s="123"/>
      <c r="V59" s="123"/>
      <c r="W59" s="123"/>
      <c r="X59" s="123"/>
      <c r="Y59" s="124"/>
    </row>
    <row r="60" spans="1:45" x14ac:dyDescent="0.25">
      <c r="A60" s="518" t="str">
        <f>Third_Stage</f>
        <v>Stage 1 Seedling Test Plots</v>
      </c>
      <c r="B60" s="504" t="str">
        <f>'Breeding Inputs'!B77</f>
        <v/>
      </c>
      <c r="C60" s="110" t="str">
        <f>'Cost Inputs'!A59</f>
        <v>3.1 Establish stage 1 test - seedling evaluation</v>
      </c>
      <c r="D60" s="94" t="str">
        <f>IF(OR('Cost Inputs'!H59&lt;&gt;"", 'Cost Inputs'!I59&lt;&gt;"", 'Cost Inputs'!J59&lt;&gt;""), 'Cost Inputs'!G59,"")</f>
        <v/>
      </c>
      <c r="E60" s="94" t="str">
        <f>IF(AND(C60&lt;&gt;"", 'Cost Inputs'!H59&lt;&gt;""), 'Cost Inputs'!H59, "")</f>
        <v/>
      </c>
      <c r="F60" s="94" t="str">
        <f>IF('Cost Inputs'!$I59&lt;&gt;"", 'Cost Inputs'!$I59, "")</f>
        <v/>
      </c>
      <c r="G60" s="94" t="str">
        <f t="shared" si="1"/>
        <v/>
      </c>
      <c r="H60" s="94" t="str">
        <f>IF('Cost Inputs'!$J59&lt;&gt;"", 'Cost Inputs'!$J59, "")</f>
        <v/>
      </c>
      <c r="I60" s="94" t="str">
        <f>IF(AND($E60&lt;&gt;"", $H60&lt;&gt;""), $H60/$E60, "")</f>
        <v/>
      </c>
      <c r="J60" s="94" t="str">
        <f>IF(('Cost Inputs'!I59+'Cost Inputs'!J59+'Cost Inputs'!K59)&gt;0, 'Cost Inputs'!I59+'Cost Inputs'!J59+'Cost Inputs'!K59, "")</f>
        <v/>
      </c>
      <c r="K60" s="94" t="str">
        <f>IF('Cost Inputs'!$N59&gt;0,'Cost Inputs'!$N59,"")</f>
        <v/>
      </c>
      <c r="L60" s="94"/>
      <c r="M60" s="103"/>
      <c r="Q60" s="125" t="str">
        <f>IF(ISNUMBER('Model_ of_individuals'!Q60), 'Model_ of_individuals'!Q60*$K60,"")</f>
        <v/>
      </c>
      <c r="R60" s="126" t="str">
        <f>IF(ISNUMBER('Model_ of_individuals'!R60), 'Model_ of_individuals'!R60*$K60,"")</f>
        <v/>
      </c>
      <c r="S60" s="126" t="str">
        <f>IF(ISNUMBER('Model_ of_individuals'!S60), 'Model_ of_individuals'!S60*$K60,"")</f>
        <v/>
      </c>
      <c r="T60" s="126" t="str">
        <f>IF(ISNUMBER('Model_ of_individuals'!T60), 'Model_ of_individuals'!T60*$K60,"")</f>
        <v/>
      </c>
      <c r="U60" s="126" t="str">
        <f>IF(ISNUMBER('Model_ of_individuals'!U60), 'Model_ of_individuals'!U60*$K60,"")</f>
        <v/>
      </c>
      <c r="V60" s="126" t="str">
        <f>IF(ISNUMBER('Model_ of_individuals'!V60), 'Model_ of_individuals'!V60*$K60,"")</f>
        <v/>
      </c>
      <c r="W60" s="126" t="str">
        <f>IF(ISNUMBER('Model_ of_individuals'!W60), 'Model_ of_individuals'!W60*$K60,"")</f>
        <v/>
      </c>
      <c r="X60" s="126" t="str">
        <f>IF(ISNUMBER('Model_ of_individuals'!X60), 'Model_ of_individuals'!X60*$K60,"")</f>
        <v/>
      </c>
      <c r="Y60" s="126" t="str">
        <f>IF(ISNUMBER('Model_ of_individuals'!Y60), 'Model_ of_individuals'!Y60*$K60,"")</f>
        <v/>
      </c>
      <c r="Z60" s="127" t="str">
        <f>IF(ISNUMBER('Model_ of_individuals'!Z60), 'Model_ of_individuals'!Z60*'Model_ of_individuals'!$K60,"")</f>
        <v/>
      </c>
      <c r="AS60" s="4">
        <f>SUM(Q60:AJ266)</f>
        <v>0</v>
      </c>
    </row>
    <row r="61" spans="1:45" x14ac:dyDescent="0.25">
      <c r="A61" s="518"/>
      <c r="B61" s="504"/>
      <c r="C61" s="104" t="str">
        <f>IF(OR('Cost Inputs'!H60&lt;&gt;"", 'Cost Inputs'!I60&lt;&gt;"", 'Cost Inputs'!J60&lt;&gt;""), 'Cost Inputs'!A60, "")</f>
        <v/>
      </c>
      <c r="D61" s="17" t="str">
        <f>IF(AND(C61&lt;&gt;"", 'Cost Inputs'!G60&lt;&gt;""), 'Cost Inputs'!G60, "")</f>
        <v/>
      </c>
      <c r="E61" s="17" t="str">
        <f>IF(AND(C61&lt;&gt;"", 'Cost Inputs'!$H$60&lt;&gt;""), 'Cost Inputs'!$H$60, "")</f>
        <v/>
      </c>
      <c r="F61" s="17" t="str">
        <f>IF('Cost Inputs'!$I60&lt;&gt;"", 'Cost Inputs'!$I60, "")</f>
        <v/>
      </c>
      <c r="G61" s="17" t="str">
        <f t="shared" si="1"/>
        <v/>
      </c>
      <c r="H61" s="17" t="str">
        <f>IF('Cost Inputs'!$J60&lt;&gt;"", 'Cost Inputs'!$J60, "")</f>
        <v/>
      </c>
      <c r="I61" s="17" t="str">
        <f t="shared" ref="I61:I124" si="4">IF(AND($E61&lt;&gt;"", $H61&lt;&gt;""), $H61/$E61, "")</f>
        <v/>
      </c>
      <c r="J61" s="17" t="str">
        <f>IF(('Cost Inputs'!I60+'Cost Inputs'!J60+'Cost Inputs'!K60)&gt;0, 'Cost Inputs'!I60+'Cost Inputs'!J60+'Cost Inputs'!K60, "")</f>
        <v/>
      </c>
      <c r="K61" s="17" t="str">
        <f>IF('Cost Inputs'!$N60&gt;0,'Cost Inputs'!$N60,"")</f>
        <v/>
      </c>
      <c r="M61" s="106"/>
      <c r="Q61" s="104" t="str">
        <f>IF(ISNUMBER('Model_ of_individuals'!Q61), 'Model_ of_individuals'!Q61*'Model_ of_individuals'!$K61,"")</f>
        <v/>
      </c>
      <c r="R61" s="17" t="str">
        <f>IF(ISNUMBER('Model_ of_individuals'!R61), 'Model_ of_individuals'!R61*'Model_ of_individuals'!$K61,"")</f>
        <v/>
      </c>
      <c r="S61" s="17" t="str">
        <f>IF(ISNUMBER('Model_ of_individuals'!S61), 'Model_ of_individuals'!S61*'Model_ of_individuals'!$K61,"")</f>
        <v/>
      </c>
      <c r="T61" s="17" t="str">
        <f>IF(ISNUMBER('Model_ of_individuals'!T61), 'Model_ of_individuals'!T61*'Model_ of_individuals'!$K61,"")</f>
        <v/>
      </c>
      <c r="U61" s="17" t="str">
        <f>IF(ISNUMBER('Model_ of_individuals'!U61), 'Model_ of_individuals'!U61*'Model_ of_individuals'!$K61,"")</f>
        <v/>
      </c>
      <c r="V61" s="17" t="str">
        <f>IF(ISNUMBER('Model_ of_individuals'!V61), 'Model_ of_individuals'!V61*'Model_ of_individuals'!$K61,"")</f>
        <v/>
      </c>
      <c r="W61" s="17" t="str">
        <f>IF(ISNUMBER('Model_ of_individuals'!W61), 'Model_ of_individuals'!W61*'Model_ of_individuals'!$K61,"")</f>
        <v/>
      </c>
      <c r="X61" s="17" t="str">
        <f>IF(ISNUMBER('Model_ of_individuals'!X61), 'Model_ of_individuals'!X61*'Model_ of_individuals'!$K61,"")</f>
        <v/>
      </c>
      <c r="Y61" s="17" t="str">
        <f>IF(ISNUMBER('Model_ of_individuals'!Y61), 'Model_ of_individuals'!Y61*'Model_ of_individuals'!$K61,"")</f>
        <v/>
      </c>
      <c r="Z61" s="106" t="str">
        <f>IF(ISNUMBER('Model_ of_individuals'!Z61), 'Model_ of_individuals'!Z61*'Model_ of_individuals'!$K61,"")</f>
        <v/>
      </c>
    </row>
    <row r="62" spans="1:45" x14ac:dyDescent="0.25">
      <c r="A62" s="518"/>
      <c r="B62" s="504"/>
      <c r="C62" s="107" t="str">
        <f>IF(OR('Cost Inputs'!H61&lt;&gt;"", 'Cost Inputs'!I61&lt;&gt;"", 'Cost Inputs'!J61&lt;&gt;""), 'Cost Inputs'!A61, "")</f>
        <v/>
      </c>
      <c r="D62" s="93" t="str">
        <f>IF(AND(C62&lt;&gt;"", 'Cost Inputs'!G61&lt;&gt;""), 'Cost Inputs'!G61, "")</f>
        <v/>
      </c>
      <c r="E62" s="93" t="str">
        <f>IF(AND(C62&lt;&gt;"", 'Cost Inputs'!$H$61&lt;&gt;""), 'Cost Inputs'!$H$61, "")</f>
        <v/>
      </c>
      <c r="F62" s="93" t="str">
        <f>IF('Cost Inputs'!$I61&lt;&gt;"", 'Cost Inputs'!$I61, "")</f>
        <v/>
      </c>
      <c r="G62" s="93" t="str">
        <f t="shared" si="1"/>
        <v/>
      </c>
      <c r="H62" s="93" t="str">
        <f>IF('Cost Inputs'!$J61&lt;&gt;"", 'Cost Inputs'!$J61, "")</f>
        <v/>
      </c>
      <c r="I62" s="93" t="str">
        <f t="shared" si="4"/>
        <v/>
      </c>
      <c r="J62" s="93" t="str">
        <f>IF(('Cost Inputs'!I61+'Cost Inputs'!J61+'Cost Inputs'!K61)&gt;0, 'Cost Inputs'!I61+'Cost Inputs'!J61+'Cost Inputs'!K61, "")</f>
        <v/>
      </c>
      <c r="K62" s="93" t="str">
        <f>IF('Cost Inputs'!$N61&gt;0,'Cost Inputs'!$N61,"")</f>
        <v/>
      </c>
      <c r="L62" s="93"/>
      <c r="M62" s="109"/>
      <c r="Q62" s="107" t="str">
        <f>IF(ISNUMBER('Model_ of_individuals'!Q62), 'Model_ of_individuals'!Q62*'Model_ of_individuals'!$K62,"")</f>
        <v/>
      </c>
      <c r="R62" s="93" t="str">
        <f>IF(ISNUMBER('Model_ of_individuals'!R62), 'Model_ of_individuals'!R62*'Model_ of_individuals'!$K62,"")</f>
        <v/>
      </c>
      <c r="S62" s="93" t="str">
        <f>IF(ISNUMBER('Model_ of_individuals'!S62), 'Model_ of_individuals'!S62*'Model_ of_individuals'!$K62,"")</f>
        <v/>
      </c>
      <c r="T62" s="93" t="str">
        <f>IF(ISNUMBER('Model_ of_individuals'!T62), 'Model_ of_individuals'!T62*'Model_ of_individuals'!$K62,"")</f>
        <v/>
      </c>
      <c r="U62" s="93" t="str">
        <f>IF(ISNUMBER('Model_ of_individuals'!U62), 'Model_ of_individuals'!U62*'Model_ of_individuals'!$K62,"")</f>
        <v/>
      </c>
      <c r="V62" s="93" t="str">
        <f>IF(ISNUMBER('Model_ of_individuals'!V62), 'Model_ of_individuals'!V62*'Model_ of_individuals'!$K62,"")</f>
        <v/>
      </c>
      <c r="W62" s="93" t="str">
        <f>IF(ISNUMBER('Model_ of_individuals'!W62), 'Model_ of_individuals'!W62*'Model_ of_individuals'!$K62,"")</f>
        <v/>
      </c>
      <c r="X62" s="93" t="str">
        <f>IF(ISNUMBER('Model_ of_individuals'!X62), 'Model_ of_individuals'!X62*'Model_ of_individuals'!$K62,"")</f>
        <v/>
      </c>
      <c r="Y62" s="93" t="str">
        <f>IF(ISNUMBER('Model_ of_individuals'!Y62), 'Model_ of_individuals'!Y62*'Model_ of_individuals'!$K62,"")</f>
        <v/>
      </c>
      <c r="Z62" s="109" t="str">
        <f>IF(ISNUMBER('Model_ of_individuals'!Z62), 'Model_ of_individuals'!Z62*'Model_ of_individuals'!$K62,"")</f>
        <v/>
      </c>
    </row>
    <row r="63" spans="1:45" x14ac:dyDescent="0.25">
      <c r="A63" s="518"/>
      <c r="B63" s="504"/>
      <c r="C63" s="104" t="str">
        <f>IF(OR('Cost Inputs'!H62&lt;&gt;"", 'Cost Inputs'!I62&lt;&gt;"", 'Cost Inputs'!J62&lt;&gt;""), 'Cost Inputs'!A62, "")</f>
        <v/>
      </c>
      <c r="D63" s="17" t="str">
        <f>IF(AND(C63&lt;&gt;"", 'Cost Inputs'!G62&lt;&gt;""), 'Cost Inputs'!G62, "")</f>
        <v/>
      </c>
      <c r="E63" s="17" t="str">
        <f>IF(AND(C63&lt;&gt;"", 'Cost Inputs'!$H$62&lt;&gt;""), 'Cost Inputs'!$H$62, "")</f>
        <v/>
      </c>
      <c r="F63" s="17" t="str">
        <f>IF('Cost Inputs'!$I62&lt;&gt;"", 'Cost Inputs'!$I62, "")</f>
        <v/>
      </c>
      <c r="G63" s="17" t="str">
        <f t="shared" si="1"/>
        <v/>
      </c>
      <c r="H63" s="17" t="str">
        <f>IF('Cost Inputs'!$J62&lt;&gt;"", 'Cost Inputs'!$J62, "")</f>
        <v/>
      </c>
      <c r="I63" s="17" t="str">
        <f t="shared" si="4"/>
        <v/>
      </c>
      <c r="J63" s="17" t="str">
        <f>IF(('Cost Inputs'!I62+'Cost Inputs'!J62+'Cost Inputs'!K62)&gt;0, 'Cost Inputs'!I62+'Cost Inputs'!J62+'Cost Inputs'!K62, "")</f>
        <v/>
      </c>
      <c r="K63" s="17" t="str">
        <f>IF('Cost Inputs'!$N62&gt;0,'Cost Inputs'!$N62,"")</f>
        <v/>
      </c>
      <c r="M63" s="106"/>
      <c r="Q63" s="104" t="str">
        <f>IF(ISNUMBER('Model_ of_individuals'!Q63), 'Model_ of_individuals'!Q63*'Model_ of_individuals'!$K63,"")</f>
        <v/>
      </c>
      <c r="R63" s="17" t="str">
        <f>IF(ISNUMBER('Model_ of_individuals'!R63), 'Model_ of_individuals'!R63*'Model_ of_individuals'!$K63,"")</f>
        <v/>
      </c>
      <c r="S63" s="17" t="str">
        <f>IF(ISNUMBER('Model_ of_individuals'!S63), 'Model_ of_individuals'!S63*'Model_ of_individuals'!$K63,"")</f>
        <v/>
      </c>
      <c r="T63" s="17" t="str">
        <f>IF(ISNUMBER('Model_ of_individuals'!T63), 'Model_ of_individuals'!T63*'Model_ of_individuals'!$K63,"")</f>
        <v/>
      </c>
      <c r="U63" s="17" t="str">
        <f>IF(ISNUMBER('Model_ of_individuals'!U63), 'Model_ of_individuals'!U63*'Model_ of_individuals'!$K63,"")</f>
        <v/>
      </c>
      <c r="V63" s="17" t="str">
        <f>IF(ISNUMBER('Model_ of_individuals'!V63), 'Model_ of_individuals'!V63*'Model_ of_individuals'!$K63,"")</f>
        <v/>
      </c>
      <c r="W63" s="17" t="str">
        <f>IF(ISNUMBER('Model_ of_individuals'!W63), 'Model_ of_individuals'!W63*'Model_ of_individuals'!$K63,"")</f>
        <v/>
      </c>
      <c r="X63" s="17" t="str">
        <f>IF(ISNUMBER('Model_ of_individuals'!X63), 'Model_ of_individuals'!X63*'Model_ of_individuals'!$K63,"")</f>
        <v/>
      </c>
      <c r="Y63" s="17" t="str">
        <f>IF(ISNUMBER('Model_ of_individuals'!Y63), 'Model_ of_individuals'!Y63*'Model_ of_individuals'!$K63,"")</f>
        <v/>
      </c>
      <c r="Z63" s="106" t="str">
        <f>IF(ISNUMBER('Model_ of_individuals'!Z63), 'Model_ of_individuals'!Z63*'Model_ of_individuals'!$K63,"")</f>
        <v/>
      </c>
    </row>
    <row r="64" spans="1:45" x14ac:dyDescent="0.25">
      <c r="A64" s="518"/>
      <c r="B64" s="504"/>
      <c r="C64" s="107" t="str">
        <f>IF(OR('Cost Inputs'!H63&lt;&gt;"", 'Cost Inputs'!I63&lt;&gt;"", 'Cost Inputs'!J63&lt;&gt;""), 'Cost Inputs'!A63, "")</f>
        <v/>
      </c>
      <c r="D64" s="93" t="str">
        <f>IF(AND(C64&lt;&gt;"", 'Cost Inputs'!G63&lt;&gt;""), 'Cost Inputs'!G63, "")</f>
        <v/>
      </c>
      <c r="E64" s="93" t="str">
        <f>IF(AND(C64&lt;&gt;"", 'Cost Inputs'!$H$63&lt;&gt;""), 'Cost Inputs'!$H$63, "")</f>
        <v/>
      </c>
      <c r="F64" s="93" t="str">
        <f>IF('Cost Inputs'!$I63&lt;&gt;"", 'Cost Inputs'!$I63, "")</f>
        <v/>
      </c>
      <c r="G64" s="93" t="str">
        <f t="shared" si="1"/>
        <v/>
      </c>
      <c r="H64" s="93" t="str">
        <f>IF('Cost Inputs'!$J63&lt;&gt;"", 'Cost Inputs'!$J63, "")</f>
        <v/>
      </c>
      <c r="I64" s="93" t="str">
        <f t="shared" si="4"/>
        <v/>
      </c>
      <c r="J64" s="93" t="str">
        <f>IF(('Cost Inputs'!I63+'Cost Inputs'!J63+'Cost Inputs'!K63)&gt;0, 'Cost Inputs'!I63+'Cost Inputs'!J63+'Cost Inputs'!K63, "")</f>
        <v/>
      </c>
      <c r="K64" s="93" t="str">
        <f>IF('Cost Inputs'!$N63&gt;0,'Cost Inputs'!$N63,"")</f>
        <v/>
      </c>
      <c r="L64" s="93"/>
      <c r="M64" s="109"/>
      <c r="Q64" s="107" t="str">
        <f>IF(ISNUMBER('Model_ of_individuals'!Q64), 'Model_ of_individuals'!Q64*'Model_ of_individuals'!$K64,"")</f>
        <v/>
      </c>
      <c r="R64" s="93" t="str">
        <f>IF(ISNUMBER('Model_ of_individuals'!R64), 'Model_ of_individuals'!R64*'Model_ of_individuals'!$K64,"")</f>
        <v/>
      </c>
      <c r="S64" s="93" t="str">
        <f>IF(ISNUMBER('Model_ of_individuals'!S64), 'Model_ of_individuals'!S64*'Model_ of_individuals'!$K64,"")</f>
        <v/>
      </c>
      <c r="T64" s="93" t="str">
        <f>IF(ISNUMBER('Model_ of_individuals'!T64), 'Model_ of_individuals'!T64*'Model_ of_individuals'!$K64,"")</f>
        <v/>
      </c>
      <c r="U64" s="93" t="str">
        <f>IF(ISNUMBER('Model_ of_individuals'!U64), 'Model_ of_individuals'!U64*'Model_ of_individuals'!$K64,"")</f>
        <v/>
      </c>
      <c r="V64" s="93" t="str">
        <f>IF(ISNUMBER('Model_ of_individuals'!V64), 'Model_ of_individuals'!V64*'Model_ of_individuals'!$K64,"")</f>
        <v/>
      </c>
      <c r="W64" s="93" t="str">
        <f>IF(ISNUMBER('Model_ of_individuals'!W64), 'Model_ of_individuals'!W64*'Model_ of_individuals'!$K64,"")</f>
        <v/>
      </c>
      <c r="X64" s="93" t="str">
        <f>IF(ISNUMBER('Model_ of_individuals'!X64), 'Model_ of_individuals'!X64*'Model_ of_individuals'!$K64,"")</f>
        <v/>
      </c>
      <c r="Y64" s="93" t="str">
        <f>IF(ISNUMBER('Model_ of_individuals'!Y64), 'Model_ of_individuals'!Y64*'Model_ of_individuals'!$K64,"")</f>
        <v/>
      </c>
      <c r="Z64" s="109" t="str">
        <f>IF(ISNUMBER('Model_ of_individuals'!Z64), 'Model_ of_individuals'!Z64*'Model_ of_individuals'!$K64,"")</f>
        <v/>
      </c>
    </row>
    <row r="65" spans="1:26" x14ac:dyDescent="0.25">
      <c r="A65" s="518"/>
      <c r="B65" s="504"/>
      <c r="C65" s="104" t="str">
        <f>IF(OR('Cost Inputs'!H64&lt;&gt;"", 'Cost Inputs'!I64&lt;&gt;"", 'Cost Inputs'!J64&lt;&gt;""), 'Cost Inputs'!A64, "")</f>
        <v/>
      </c>
      <c r="D65" s="17" t="str">
        <f>IF(AND(C65&lt;&gt;"", 'Cost Inputs'!G64&lt;&gt;""), 'Cost Inputs'!G64, "")</f>
        <v/>
      </c>
      <c r="E65" s="17" t="str">
        <f>IF(AND(C65&lt;&gt;"", 'Cost Inputs'!$H$64&lt;&gt;""), 'Cost Inputs'!$H$64, "")</f>
        <v/>
      </c>
      <c r="F65" s="17" t="str">
        <f>IF('Cost Inputs'!$I64&lt;&gt;"", 'Cost Inputs'!$I64, "")</f>
        <v/>
      </c>
      <c r="G65" s="17" t="str">
        <f t="shared" si="1"/>
        <v/>
      </c>
      <c r="H65" s="17" t="str">
        <f>IF('Cost Inputs'!$J64&lt;&gt;"", 'Cost Inputs'!$J64, "")</f>
        <v/>
      </c>
      <c r="I65" s="17" t="str">
        <f t="shared" si="4"/>
        <v/>
      </c>
      <c r="J65" s="17" t="str">
        <f>IF(('Cost Inputs'!I64+'Cost Inputs'!J64+'Cost Inputs'!K64)&gt;0, 'Cost Inputs'!I64+'Cost Inputs'!J64+'Cost Inputs'!K64, "")</f>
        <v/>
      </c>
      <c r="K65" s="17" t="str">
        <f>IF('Cost Inputs'!$N64&gt;0,'Cost Inputs'!$N64,"")</f>
        <v/>
      </c>
      <c r="M65" s="106"/>
      <c r="Q65" s="104" t="str">
        <f>IF(ISNUMBER('Model_ of_individuals'!Q65), 'Model_ of_individuals'!Q65*'Model_ of_individuals'!$K65,"")</f>
        <v/>
      </c>
      <c r="R65" s="17" t="str">
        <f>IF(ISNUMBER('Model_ of_individuals'!R65), 'Model_ of_individuals'!R65*'Model_ of_individuals'!$K65,"")</f>
        <v/>
      </c>
      <c r="S65" s="17" t="str">
        <f>IF(ISNUMBER('Model_ of_individuals'!S65), 'Model_ of_individuals'!S65*'Model_ of_individuals'!$K65,"")</f>
        <v/>
      </c>
      <c r="T65" s="17" t="str">
        <f>IF(ISNUMBER('Model_ of_individuals'!T65), 'Model_ of_individuals'!T65*'Model_ of_individuals'!$K65,"")</f>
        <v/>
      </c>
      <c r="U65" s="17" t="str">
        <f>IF(ISNUMBER('Model_ of_individuals'!U65), 'Model_ of_individuals'!U65*'Model_ of_individuals'!$K65,"")</f>
        <v/>
      </c>
      <c r="V65" s="17" t="str">
        <f>IF(ISNUMBER('Model_ of_individuals'!V65), 'Model_ of_individuals'!V65*'Model_ of_individuals'!$K65,"")</f>
        <v/>
      </c>
      <c r="W65" s="17" t="str">
        <f>IF(ISNUMBER('Model_ of_individuals'!W65), 'Model_ of_individuals'!W65*'Model_ of_individuals'!$K65,"")</f>
        <v/>
      </c>
      <c r="X65" s="17" t="str">
        <f>IF(ISNUMBER('Model_ of_individuals'!X65), 'Model_ of_individuals'!X65*'Model_ of_individuals'!$K65,"")</f>
        <v/>
      </c>
      <c r="Y65" s="17" t="str">
        <f>IF(ISNUMBER('Model_ of_individuals'!Y65), 'Model_ of_individuals'!Y65*'Model_ of_individuals'!$K65,"")</f>
        <v/>
      </c>
      <c r="Z65" s="106" t="str">
        <f>IF(ISNUMBER('Model_ of_individuals'!Z65), 'Model_ of_individuals'!Z65*'Model_ of_individuals'!$K65,"")</f>
        <v/>
      </c>
    </row>
    <row r="66" spans="1:26" x14ac:dyDescent="0.25">
      <c r="A66" s="518"/>
      <c r="B66" s="504"/>
      <c r="C66" s="107" t="str">
        <f>IF(OR('Cost Inputs'!H65&lt;&gt;"", 'Cost Inputs'!I65&lt;&gt;"", 'Cost Inputs'!J65&lt;&gt;""), 'Cost Inputs'!A65, "")</f>
        <v/>
      </c>
      <c r="D66" s="93" t="str">
        <f>IF(AND(C66&lt;&gt;"", 'Cost Inputs'!G65&lt;&gt;""), 'Cost Inputs'!G65, "")</f>
        <v/>
      </c>
      <c r="E66" s="93" t="str">
        <f>IF(AND(C66&lt;&gt;"", 'Cost Inputs'!$H$65&lt;&gt;""), 'Cost Inputs'!$H$65, "")</f>
        <v/>
      </c>
      <c r="F66" s="93" t="str">
        <f>IF('Cost Inputs'!$I65&lt;&gt;"", 'Cost Inputs'!$I65, "")</f>
        <v/>
      </c>
      <c r="G66" s="93" t="str">
        <f t="shared" si="1"/>
        <v/>
      </c>
      <c r="H66" s="93" t="str">
        <f>IF('Cost Inputs'!$J65&lt;&gt;"", 'Cost Inputs'!$J65, "")</f>
        <v/>
      </c>
      <c r="I66" s="93" t="str">
        <f t="shared" si="4"/>
        <v/>
      </c>
      <c r="J66" s="93" t="str">
        <f>IF(('Cost Inputs'!I65+'Cost Inputs'!J65+'Cost Inputs'!K65)&gt;0, 'Cost Inputs'!I65+'Cost Inputs'!J65+'Cost Inputs'!K65, "")</f>
        <v/>
      </c>
      <c r="K66" s="93" t="str">
        <f>IF('Cost Inputs'!$N65&gt;0,'Cost Inputs'!$N65,"")</f>
        <v/>
      </c>
      <c r="L66" s="93"/>
      <c r="M66" s="109"/>
      <c r="Q66" s="107" t="str">
        <f>IF(ISNUMBER('Model_ of_individuals'!Q66), 'Model_ of_individuals'!Q66*'Model_ of_individuals'!$K66,"")</f>
        <v/>
      </c>
      <c r="R66" s="93" t="str">
        <f>IF(ISNUMBER('Model_ of_individuals'!R66), 'Model_ of_individuals'!R66*'Model_ of_individuals'!$K66,"")</f>
        <v/>
      </c>
      <c r="S66" s="93" t="str">
        <f>IF(ISNUMBER('Model_ of_individuals'!S66), 'Model_ of_individuals'!S66*'Model_ of_individuals'!$K66,"")</f>
        <v/>
      </c>
      <c r="T66" s="93" t="str">
        <f>IF(ISNUMBER('Model_ of_individuals'!T66), 'Model_ of_individuals'!T66*'Model_ of_individuals'!$K66,"")</f>
        <v/>
      </c>
      <c r="U66" s="93" t="str">
        <f>IF(ISNUMBER('Model_ of_individuals'!U66), 'Model_ of_individuals'!U66*'Model_ of_individuals'!$K66,"")</f>
        <v/>
      </c>
      <c r="V66" s="93" t="str">
        <f>IF(ISNUMBER('Model_ of_individuals'!V66), 'Model_ of_individuals'!V66*'Model_ of_individuals'!$K66,"")</f>
        <v/>
      </c>
      <c r="W66" s="93" t="str">
        <f>IF(ISNUMBER('Model_ of_individuals'!W66), 'Model_ of_individuals'!W66*'Model_ of_individuals'!$K66,"")</f>
        <v/>
      </c>
      <c r="X66" s="93" t="str">
        <f>IF(ISNUMBER('Model_ of_individuals'!X66), 'Model_ of_individuals'!X66*'Model_ of_individuals'!$K66,"")</f>
        <v/>
      </c>
      <c r="Y66" s="93" t="str">
        <f>IF(ISNUMBER('Model_ of_individuals'!Y66), 'Model_ of_individuals'!Y66*'Model_ of_individuals'!$K66,"")</f>
        <v/>
      </c>
      <c r="Z66" s="109" t="str">
        <f>IF(ISNUMBER('Model_ of_individuals'!Z66), 'Model_ of_individuals'!Z66*'Model_ of_individuals'!$K66,"")</f>
        <v/>
      </c>
    </row>
    <row r="67" spans="1:26" x14ac:dyDescent="0.25">
      <c r="A67" s="518"/>
      <c r="B67" s="504"/>
      <c r="C67" s="104" t="str">
        <f>IF(OR('Cost Inputs'!H66&lt;&gt;"", 'Cost Inputs'!I66&lt;&gt;"", 'Cost Inputs'!J66&lt;&gt;""), 'Cost Inputs'!A66, "")</f>
        <v/>
      </c>
      <c r="D67" s="17" t="str">
        <f>IF(AND(C67&lt;&gt;"", 'Cost Inputs'!G66&lt;&gt;""), 'Cost Inputs'!G66, "")</f>
        <v/>
      </c>
      <c r="E67" s="17" t="str">
        <f>IF(AND(C67&lt;&gt;"", 'Cost Inputs'!$H$66&lt;&gt;""), 'Cost Inputs'!$H$66, "")</f>
        <v/>
      </c>
      <c r="F67" s="17" t="str">
        <f>IF('Cost Inputs'!$I66&lt;&gt;"", 'Cost Inputs'!$I66, "")</f>
        <v/>
      </c>
      <c r="G67" s="17" t="str">
        <f t="shared" si="1"/>
        <v/>
      </c>
      <c r="H67" s="17" t="str">
        <f>IF('Cost Inputs'!$J66&lt;&gt;"", 'Cost Inputs'!$J66, "")</f>
        <v/>
      </c>
      <c r="I67" s="17" t="str">
        <f t="shared" si="4"/>
        <v/>
      </c>
      <c r="J67" s="17" t="str">
        <f>IF(('Cost Inputs'!I66+'Cost Inputs'!J66+'Cost Inputs'!K66)&gt;0, 'Cost Inputs'!I66+'Cost Inputs'!J66+'Cost Inputs'!K66, "")</f>
        <v/>
      </c>
      <c r="K67" s="17" t="str">
        <f>IF('Cost Inputs'!$N66&gt;0,'Cost Inputs'!$N66,"")</f>
        <v/>
      </c>
      <c r="M67" s="106"/>
      <c r="Q67" s="104" t="str">
        <f>IF(ISNUMBER('Model_ of_individuals'!Q67), 'Model_ of_individuals'!Q67*'Model_ of_individuals'!$K67,"")</f>
        <v/>
      </c>
      <c r="R67" s="17" t="str">
        <f>IF(ISNUMBER('Model_ of_individuals'!R67), 'Model_ of_individuals'!R67*'Model_ of_individuals'!$K67,"")</f>
        <v/>
      </c>
      <c r="S67" s="17" t="str">
        <f>IF(ISNUMBER('Model_ of_individuals'!S67), 'Model_ of_individuals'!S67*'Model_ of_individuals'!$K67,"")</f>
        <v/>
      </c>
      <c r="T67" s="17" t="str">
        <f>IF(ISNUMBER('Model_ of_individuals'!T67), 'Model_ of_individuals'!T67*'Model_ of_individuals'!$K67,"")</f>
        <v/>
      </c>
      <c r="U67" s="17" t="str">
        <f>IF(ISNUMBER('Model_ of_individuals'!U67), 'Model_ of_individuals'!U67*'Model_ of_individuals'!$K67,"")</f>
        <v/>
      </c>
      <c r="V67" s="17" t="str">
        <f>IF(ISNUMBER('Model_ of_individuals'!V67), 'Model_ of_individuals'!V67*'Model_ of_individuals'!$K67,"")</f>
        <v/>
      </c>
      <c r="W67" s="17" t="str">
        <f>IF(ISNUMBER('Model_ of_individuals'!W67), 'Model_ of_individuals'!W67*'Model_ of_individuals'!$K67,"")</f>
        <v/>
      </c>
      <c r="X67" s="17" t="str">
        <f>IF(ISNUMBER('Model_ of_individuals'!X67), 'Model_ of_individuals'!X67*'Model_ of_individuals'!$K67,"")</f>
        <v/>
      </c>
      <c r="Y67" s="17" t="str">
        <f>IF(ISNUMBER('Model_ of_individuals'!Y67), 'Model_ of_individuals'!Y67*'Model_ of_individuals'!$K67,"")</f>
        <v/>
      </c>
      <c r="Z67" s="106" t="str">
        <f>IF(ISNUMBER('Model_ of_individuals'!Z67), 'Model_ of_individuals'!Z67*'Model_ of_individuals'!$K67,"")</f>
        <v/>
      </c>
    </row>
    <row r="68" spans="1:26" x14ac:dyDescent="0.25">
      <c r="A68" s="518"/>
      <c r="B68" s="504"/>
      <c r="C68" s="110" t="str">
        <f>IF(ISNUMBER(B60), _3_2_0, "")</f>
        <v/>
      </c>
      <c r="D68" s="94" t="str">
        <f>IF(AND(B60&lt;&gt;"", OR('Cost Inputs'!$H$67&lt;&gt;"", 'Cost Inputs'!$I$67&lt;&gt;"", 'Cost Inputs'!$J$67&lt;&gt;"")), 'Cost Inputs'!$G$67,"")</f>
        <v/>
      </c>
      <c r="E68" s="94" t="str">
        <f>IF(AND(C68&lt;&gt;"", 'Cost Inputs'!$H$67&lt;&gt;""), 'Cost Inputs'!$H$67, "")</f>
        <v/>
      </c>
      <c r="F68" s="94" t="str">
        <f>IF(AND(C68&lt;&gt;"", 'Cost Inputs'!$I$67&lt;&gt;""), 'Cost Inputs'!$I$67, "")</f>
        <v/>
      </c>
      <c r="G68" s="94" t="str">
        <f t="shared" si="1"/>
        <v/>
      </c>
      <c r="H68" s="94" t="str">
        <f>IF(AND(C68&lt;&gt;"", 'Cost Inputs'!$J$67&lt;&gt;""), 'Cost Inputs'!$J$67, "")</f>
        <v/>
      </c>
      <c r="I68" s="94" t="str">
        <f>IF(AND($E68&lt;&gt;"", $H68&lt;&gt;""), $H68/$E68, "")</f>
        <v/>
      </c>
      <c r="J68" s="94" t="str">
        <f>IF(AND(C68&lt;&gt;"",('Cost Inputs'!$I$67+'Cost Inputs'!$J$67+'Cost Inputs'!$K$67)&gt;0), 'Cost Inputs'!$I$67+'Cost Inputs'!$J$67+'Cost Inputs'!$K$67, "")</f>
        <v/>
      </c>
      <c r="K68" s="94" t="str">
        <f>IF(AND(C68&lt;&gt;"", 'Cost Inputs'!$N$67&gt;0),'Cost Inputs'!$N$67,"")</f>
        <v/>
      </c>
      <c r="L68" s="94"/>
      <c r="M68" s="103"/>
      <c r="Q68" s="110" t="str">
        <f>IF(ISNUMBER('Model_ of_individuals'!Q68), 'Model_ of_individuals'!Q68*'Model_ of_individuals'!$K68,"")</f>
        <v/>
      </c>
      <c r="R68" s="94" t="str">
        <f>IF(ISNUMBER('Model_ of_individuals'!R68), 'Model_ of_individuals'!R68*'Model_ of_individuals'!$K68,"")</f>
        <v/>
      </c>
      <c r="S68" s="94" t="str">
        <f>IF(ISNUMBER('Model_ of_individuals'!S68), 'Model_ of_individuals'!S68*'Model_ of_individuals'!$K68,"")</f>
        <v/>
      </c>
      <c r="T68" s="94" t="str">
        <f>IF(ISNUMBER('Model_ of_individuals'!T68), 'Model_ of_individuals'!T68*'Model_ of_individuals'!$K68,"")</f>
        <v/>
      </c>
      <c r="U68" s="94" t="str">
        <f>IF(ISNUMBER('Model_ of_individuals'!U68), 'Model_ of_individuals'!U68*'Model_ of_individuals'!$K68,"")</f>
        <v/>
      </c>
      <c r="V68" s="94" t="str">
        <f>IF(ISNUMBER('Model_ of_individuals'!V68), 'Model_ of_individuals'!V68*'Model_ of_individuals'!$K68,"")</f>
        <v/>
      </c>
      <c r="W68" s="94" t="str">
        <f>IF(ISNUMBER('Model_ of_individuals'!W68), 'Model_ of_individuals'!W68*'Model_ of_individuals'!$K68,"")</f>
        <v/>
      </c>
      <c r="X68" s="94" t="str">
        <f>IF(ISNUMBER('Model_ of_individuals'!X68), 'Model_ of_individuals'!X68*'Model_ of_individuals'!$K68,"")</f>
        <v/>
      </c>
      <c r="Y68" s="94" t="str">
        <f>IF(ISNUMBER('Model_ of_individuals'!Y68), 'Model_ of_individuals'!Y68*'Model_ of_individuals'!$K68,"")</f>
        <v/>
      </c>
      <c r="Z68" s="103" t="str">
        <f>IF(ISNUMBER('Model_ of_individuals'!Z68), 'Model_ of_individuals'!Z68*'Model_ of_individuals'!$K68,"")</f>
        <v/>
      </c>
    </row>
    <row r="69" spans="1:26" x14ac:dyDescent="0.25">
      <c r="A69" s="518"/>
      <c r="B69" s="504"/>
      <c r="C69" s="104" t="str">
        <f>IF(AND(ISNUMBER(B60), OR('Cost Inputs'!$H$68&lt;&gt;"", 'Cost Inputs'!$I$68&lt;&gt;"", 'Cost Inputs'!$J$68&lt;&gt;"")), _3_2_1, "")</f>
        <v/>
      </c>
      <c r="D69" s="17" t="str">
        <f>IF(AND($C69&lt;&gt;"", 'Cost Inputs'!$G$68&lt;&gt;""), 'Cost Inputs'!$G$68, "")</f>
        <v/>
      </c>
      <c r="E69" s="17" t="str">
        <f>IF(AND(C69&lt;&gt;"", 'Cost Inputs'!$H$68&lt;&gt;""), 'Cost Inputs'!$H$68, "")</f>
        <v/>
      </c>
      <c r="F69" s="17" t="str">
        <f>IF(AND(C69&lt;&gt;"", 'Cost Inputs'!$I$68&lt;&gt;""), 'Cost Inputs'!$I$68, "")</f>
        <v/>
      </c>
      <c r="G69" s="17" t="str">
        <f t="shared" ref="G69:G132" si="5">IF(AND($E69&lt;&gt;"", $E69&gt;0, F69&lt;&gt;""), F69/$E69, "")</f>
        <v/>
      </c>
      <c r="H69" s="17" t="str">
        <f>IF(AND(C69&lt;&gt;"", 'Cost Inputs'!$J$68&lt;&gt;""), 'Cost Inputs'!$J$68, "")</f>
        <v/>
      </c>
      <c r="I69" s="17" t="str">
        <f t="shared" si="4"/>
        <v/>
      </c>
      <c r="J69" s="17" t="str">
        <f>IF(AND(C69&lt;&gt;"",('Cost Inputs'!$I$68+'Cost Inputs'!$J$68+'Cost Inputs'!$K$68)&gt;0), 'Cost Inputs'!$I$68+'Cost Inputs'!$J$68+'Cost Inputs'!$K$68, "")</f>
        <v/>
      </c>
      <c r="K69" s="17" t="str">
        <f>IF(AND(C69&lt;&gt;"", 'Cost Inputs'!$N$68&gt;0),'Cost Inputs'!$N$68,"")</f>
        <v/>
      </c>
      <c r="M69" s="106"/>
      <c r="Q69" s="104" t="str">
        <f>IF(ISNUMBER('Model_ of_individuals'!Q69), 'Model_ of_individuals'!Q69*'Model_ of_individuals'!$K69,"")</f>
        <v/>
      </c>
      <c r="R69" s="17" t="str">
        <f>IF(ISNUMBER('Model_ of_individuals'!R69), 'Model_ of_individuals'!R69*'Model_ of_individuals'!$K69,"")</f>
        <v/>
      </c>
      <c r="S69" s="17" t="str">
        <f>IF(ISNUMBER('Model_ of_individuals'!S69), 'Model_ of_individuals'!S69*'Model_ of_individuals'!$K69,"")</f>
        <v/>
      </c>
      <c r="T69" s="17" t="str">
        <f>IF(ISNUMBER('Model_ of_individuals'!T69), 'Model_ of_individuals'!T69*'Model_ of_individuals'!$K69,"")</f>
        <v/>
      </c>
      <c r="U69" s="17" t="str">
        <f>IF(ISNUMBER('Model_ of_individuals'!U69), 'Model_ of_individuals'!U69*'Model_ of_individuals'!$K69,"")</f>
        <v/>
      </c>
      <c r="V69" s="17" t="str">
        <f>IF(ISNUMBER('Model_ of_individuals'!V69), 'Model_ of_individuals'!V69*'Model_ of_individuals'!$K69,"")</f>
        <v/>
      </c>
      <c r="W69" s="17" t="str">
        <f>IF(ISNUMBER('Model_ of_individuals'!W69), 'Model_ of_individuals'!W69*'Model_ of_individuals'!$K69,"")</f>
        <v/>
      </c>
      <c r="X69" s="17" t="str">
        <f>IF(ISNUMBER('Model_ of_individuals'!X69), 'Model_ of_individuals'!X69*'Model_ of_individuals'!$K69,"")</f>
        <v/>
      </c>
      <c r="Y69" s="17" t="str">
        <f>IF(ISNUMBER('Model_ of_individuals'!Y69), 'Model_ of_individuals'!Y69*'Model_ of_individuals'!$K69,"")</f>
        <v/>
      </c>
      <c r="Z69" s="106" t="str">
        <f>IF(ISNUMBER('Model_ of_individuals'!Z69), 'Model_ of_individuals'!Z69*'Model_ of_individuals'!$K69,"")</f>
        <v/>
      </c>
    </row>
    <row r="70" spans="1:26" x14ac:dyDescent="0.25">
      <c r="A70" s="518"/>
      <c r="B70" s="504"/>
      <c r="C70" s="107" t="str">
        <f>IF(AND(ISNUMBER(B60), OR('Cost Inputs'!$H$69&lt;&gt;"", 'Cost Inputs'!$I$69&lt;&gt;"", 'Cost Inputs'!$J$69&lt;&gt;"")), _3_2_2, "")</f>
        <v/>
      </c>
      <c r="D70" s="93" t="str">
        <f>IF(AND($C70&lt;&gt;"", 'Cost Inputs'!$G$69&lt;&gt;""), 'Cost Inputs'!$G$69, "")</f>
        <v/>
      </c>
      <c r="E70" s="93" t="str">
        <f>IF(AND(C70&lt;&gt;"", 'Cost Inputs'!$H$69&lt;&gt;""), 'Cost Inputs'!$H$69, "")</f>
        <v/>
      </c>
      <c r="F70" s="93" t="str">
        <f>IF(AND(C70&lt;&gt;"", 'Cost Inputs'!$I$69&lt;&gt;""), 'Cost Inputs'!$I$69, "")</f>
        <v/>
      </c>
      <c r="G70" s="93" t="str">
        <f t="shared" si="5"/>
        <v/>
      </c>
      <c r="H70" s="93" t="str">
        <f>IF(AND(C70&lt;&gt;"", 'Cost Inputs'!$J$69&lt;&gt;""), 'Cost Inputs'!$J$69, "")</f>
        <v/>
      </c>
      <c r="I70" s="93" t="str">
        <f t="shared" si="4"/>
        <v/>
      </c>
      <c r="J70" s="93" t="str">
        <f>IF(AND(C70&lt;&gt;"",('Cost Inputs'!$I$69+'Cost Inputs'!$J$69+'Cost Inputs'!$K$69)&gt;0), 'Cost Inputs'!$I$69+'Cost Inputs'!$J$69+'Cost Inputs'!$K$69, "")</f>
        <v/>
      </c>
      <c r="K70" s="93" t="str">
        <f>IF(AND(C70&lt;&gt;"", 'Cost Inputs'!$N$69&gt;0),'Cost Inputs'!$N$69,"")</f>
        <v/>
      </c>
      <c r="L70" s="93"/>
      <c r="M70" s="109"/>
      <c r="Q70" s="107" t="str">
        <f>IF(ISNUMBER('Model_ of_individuals'!Q70), 'Model_ of_individuals'!Q70*'Model_ of_individuals'!$K70,"")</f>
        <v/>
      </c>
      <c r="R70" s="93" t="str">
        <f>IF(ISNUMBER('Model_ of_individuals'!R70), 'Model_ of_individuals'!R70*'Model_ of_individuals'!$K70,"")</f>
        <v/>
      </c>
      <c r="S70" s="93" t="str">
        <f>IF(ISNUMBER('Model_ of_individuals'!S70), 'Model_ of_individuals'!S70*'Model_ of_individuals'!$K70,"")</f>
        <v/>
      </c>
      <c r="T70" s="93" t="str">
        <f>IF(ISNUMBER('Model_ of_individuals'!T70), 'Model_ of_individuals'!T70*'Model_ of_individuals'!$K70,"")</f>
        <v/>
      </c>
      <c r="U70" s="93" t="str">
        <f>IF(ISNUMBER('Model_ of_individuals'!U70), 'Model_ of_individuals'!U70*'Model_ of_individuals'!$K70,"")</f>
        <v/>
      </c>
      <c r="V70" s="93" t="str">
        <f>IF(ISNUMBER('Model_ of_individuals'!V70), 'Model_ of_individuals'!V70*'Model_ of_individuals'!$K70,"")</f>
        <v/>
      </c>
      <c r="W70" s="93" t="str">
        <f>IF(ISNUMBER('Model_ of_individuals'!W70), 'Model_ of_individuals'!W70*'Model_ of_individuals'!$K70,"")</f>
        <v/>
      </c>
      <c r="X70" s="93" t="str">
        <f>IF(ISNUMBER('Model_ of_individuals'!X70), 'Model_ of_individuals'!X70*'Model_ of_individuals'!$K70,"")</f>
        <v/>
      </c>
      <c r="Y70" s="93" t="str">
        <f>IF(ISNUMBER('Model_ of_individuals'!Y70), 'Model_ of_individuals'!Y70*'Model_ of_individuals'!$K70,"")</f>
        <v/>
      </c>
      <c r="Z70" s="109" t="str">
        <f>IF(ISNUMBER('Model_ of_individuals'!Z70), 'Model_ of_individuals'!Z70*'Model_ of_individuals'!$K70,"")</f>
        <v/>
      </c>
    </row>
    <row r="71" spans="1:26" x14ac:dyDescent="0.25">
      <c r="A71" s="518"/>
      <c r="B71" s="504"/>
      <c r="C71" s="104" t="str">
        <f>IF(AND( ISNUMBER(B60), OR('Cost Inputs'!$H$70&lt;&gt;"", 'Cost Inputs'!$I$70&lt;&gt;"", 'Cost Inputs'!$J$70&lt;&gt;"")), _3_2_3, "")</f>
        <v/>
      </c>
      <c r="D71" s="17" t="str">
        <f>IF(AND($C71&lt;&gt;"", 'Cost Inputs'!$G$70&lt;&gt;""), 'Cost Inputs'!$G$70, "")</f>
        <v/>
      </c>
      <c r="E71" s="17" t="str">
        <f>IF(AND(C71&lt;&gt;"", 'Cost Inputs'!$H$70&lt;&gt;""), 'Cost Inputs'!$H$70, "")</f>
        <v/>
      </c>
      <c r="F71" s="17" t="str">
        <f>IF(AND(C71&lt;&gt;"", 'Cost Inputs'!$I$70&lt;&gt;""), 'Cost Inputs'!$I$70, "")</f>
        <v/>
      </c>
      <c r="G71" s="17" t="str">
        <f t="shared" si="5"/>
        <v/>
      </c>
      <c r="H71" s="17" t="str">
        <f>IF(AND(C71&lt;&gt;"", 'Cost Inputs'!$J$70&lt;&gt;""), 'Cost Inputs'!$J$70, "")</f>
        <v/>
      </c>
      <c r="I71" s="17" t="str">
        <f t="shared" si="4"/>
        <v/>
      </c>
      <c r="J71" s="17" t="str">
        <f>IF(AND(C71&lt;&gt;"",('Cost Inputs'!$I$70+'Cost Inputs'!$J$70+'Cost Inputs'!$K$70)&gt;0), 'Cost Inputs'!$I$70+'Cost Inputs'!$J$70+'Cost Inputs'!$K$70, "")</f>
        <v/>
      </c>
      <c r="K71" s="17" t="str">
        <f>IF(AND(C71&lt;&gt;"", 'Cost Inputs'!$N$70&gt;0),'Cost Inputs'!$N$70,"")</f>
        <v/>
      </c>
      <c r="M71" s="106"/>
      <c r="Q71" s="104" t="str">
        <f>IF(ISNUMBER('Model_ of_individuals'!Q71), 'Model_ of_individuals'!Q71*'Model_ of_individuals'!$K71,"")</f>
        <v/>
      </c>
      <c r="R71" s="17" t="str">
        <f>IF(ISNUMBER('Model_ of_individuals'!R71), 'Model_ of_individuals'!R71*'Model_ of_individuals'!$K71,"")</f>
        <v/>
      </c>
      <c r="S71" s="17" t="str">
        <f>IF(ISNUMBER('Model_ of_individuals'!S71), 'Model_ of_individuals'!S71*'Model_ of_individuals'!$K71,"")</f>
        <v/>
      </c>
      <c r="T71" s="17" t="str">
        <f>IF(ISNUMBER('Model_ of_individuals'!T71), 'Model_ of_individuals'!T71*'Model_ of_individuals'!$K71,"")</f>
        <v/>
      </c>
      <c r="U71" s="17" t="str">
        <f>IF(ISNUMBER('Model_ of_individuals'!U71), 'Model_ of_individuals'!U71*'Model_ of_individuals'!$K71,"")</f>
        <v/>
      </c>
      <c r="V71" s="17" t="str">
        <f>IF(ISNUMBER('Model_ of_individuals'!V71), 'Model_ of_individuals'!V71*'Model_ of_individuals'!$K71,"")</f>
        <v/>
      </c>
      <c r="W71" s="17" t="str">
        <f>IF(ISNUMBER('Model_ of_individuals'!W71), 'Model_ of_individuals'!W71*'Model_ of_individuals'!$K71,"")</f>
        <v/>
      </c>
      <c r="X71" s="17" t="str">
        <f>IF(ISNUMBER('Model_ of_individuals'!X71), 'Model_ of_individuals'!X71*'Model_ of_individuals'!$K71,"")</f>
        <v/>
      </c>
      <c r="Y71" s="17" t="str">
        <f>IF(ISNUMBER('Model_ of_individuals'!Y71), 'Model_ of_individuals'!Y71*'Model_ of_individuals'!$K71,"")</f>
        <v/>
      </c>
      <c r="Z71" s="106" t="str">
        <f>IF(ISNUMBER('Model_ of_individuals'!Z71), 'Model_ of_individuals'!Z71*'Model_ of_individuals'!$K71,"")</f>
        <v/>
      </c>
    </row>
    <row r="72" spans="1:26" x14ac:dyDescent="0.25">
      <c r="A72" s="518"/>
      <c r="B72" s="504"/>
      <c r="C72" s="107" t="str">
        <f>IF(AND( ISNUMBER(B60), OR('Cost Inputs'!$H$71&lt;&gt;"", 'Cost Inputs'!$I$71&lt;&gt;"", 'Cost Inputs'!$J$71&lt;&gt;"")), _3_2_4, "")</f>
        <v/>
      </c>
      <c r="D72" s="93" t="str">
        <f>IF(AND($C72&lt;&gt;"", 'Cost Inputs'!$G$71&lt;&gt;""), 'Cost Inputs'!$G$71, "")</f>
        <v/>
      </c>
      <c r="E72" s="93" t="str">
        <f>IF(AND(C72&lt;&gt;"", 'Cost Inputs'!$H$71&lt;&gt;""), 'Cost Inputs'!$H$71, "")</f>
        <v/>
      </c>
      <c r="F72" s="93" t="str">
        <f>IF(AND(C72&lt;&gt;"", 'Cost Inputs'!$I$71&lt;&gt;""), 'Cost Inputs'!$I$71, "")</f>
        <v/>
      </c>
      <c r="G72" s="93" t="str">
        <f t="shared" si="5"/>
        <v/>
      </c>
      <c r="H72" s="93" t="str">
        <f>IF(AND(C72&lt;&gt;"", 'Cost Inputs'!$J$71&lt;&gt;""), 'Cost Inputs'!$J$71, "")</f>
        <v/>
      </c>
      <c r="I72" s="93" t="str">
        <f t="shared" si="4"/>
        <v/>
      </c>
      <c r="J72" s="93" t="str">
        <f>IF(AND(C72&lt;&gt;"",('Cost Inputs'!$I$71+'Cost Inputs'!$J$71+'Cost Inputs'!$K$71)&gt;0), 'Cost Inputs'!$I$71+'Cost Inputs'!$J$71+'Cost Inputs'!$K$71, "")</f>
        <v/>
      </c>
      <c r="K72" s="93" t="str">
        <f>IF(AND(C72&lt;&gt;"", 'Cost Inputs'!$N$71&gt;0),'Cost Inputs'!$N$71,"")</f>
        <v/>
      </c>
      <c r="L72" s="93"/>
      <c r="M72" s="109"/>
      <c r="Q72" s="107" t="str">
        <f>IF(ISNUMBER('Model_ of_individuals'!Q72), 'Model_ of_individuals'!Q72*'Model_ of_individuals'!$K72,"")</f>
        <v/>
      </c>
      <c r="R72" s="93" t="str">
        <f>IF(ISNUMBER('Model_ of_individuals'!R72), 'Model_ of_individuals'!R72*'Model_ of_individuals'!$K72,"")</f>
        <v/>
      </c>
      <c r="S72" s="93" t="str">
        <f>IF(ISNUMBER('Model_ of_individuals'!S72), 'Model_ of_individuals'!S72*'Model_ of_individuals'!$K72,"")</f>
        <v/>
      </c>
      <c r="T72" s="93" t="str">
        <f>IF(ISNUMBER('Model_ of_individuals'!T72), 'Model_ of_individuals'!T72*'Model_ of_individuals'!$K72,"")</f>
        <v/>
      </c>
      <c r="U72" s="93" t="str">
        <f>IF(ISNUMBER('Model_ of_individuals'!U72), 'Model_ of_individuals'!U72*'Model_ of_individuals'!$K72,"")</f>
        <v/>
      </c>
      <c r="V72" s="93" t="str">
        <f>IF(ISNUMBER('Model_ of_individuals'!V72), 'Model_ of_individuals'!V72*'Model_ of_individuals'!$K72,"")</f>
        <v/>
      </c>
      <c r="W72" s="93" t="str">
        <f>IF(ISNUMBER('Model_ of_individuals'!W72), 'Model_ of_individuals'!W72*'Model_ of_individuals'!$K72,"")</f>
        <v/>
      </c>
      <c r="X72" s="93" t="str">
        <f>IF(ISNUMBER('Model_ of_individuals'!X72), 'Model_ of_individuals'!X72*'Model_ of_individuals'!$K72,"")</f>
        <v/>
      </c>
      <c r="Y72" s="93" t="str">
        <f>IF(ISNUMBER('Model_ of_individuals'!Y72), 'Model_ of_individuals'!Y72*'Model_ of_individuals'!$K72,"")</f>
        <v/>
      </c>
      <c r="Z72" s="109" t="str">
        <f>IF(ISNUMBER('Model_ of_individuals'!Z72), 'Model_ of_individuals'!Z72*'Model_ of_individuals'!$K72,"")</f>
        <v/>
      </c>
    </row>
    <row r="73" spans="1:26" x14ac:dyDescent="0.25">
      <c r="A73" s="518"/>
      <c r="B73" s="504"/>
      <c r="C73" s="110" t="str">
        <f>IF(AND($B60&lt;&gt;"", ISNUMBER(Stage1EvaluationBegins)), IF((INDEX(ProgramYearStage1,MATCH(Stage1EvaluationBegins,Years_in_Stage1,0)))=B60, _3_3_0, IF(AND(B60&lt;&gt;"", OR(Stage1EvaluationBegins=0, Stage1EvaluationBegins="")),"", "")),"")</f>
        <v/>
      </c>
      <c r="D73" s="94" t="str">
        <f>IF(AND(B60&lt;&gt;"", OR('Cost Inputs'!$H$72&lt;&gt;"", 'Cost Inputs'!$I$72&lt;&gt;"", 'Cost Inputs'!$J$72&lt;&gt;"")), 'Cost Inputs'!$G$72,"")</f>
        <v/>
      </c>
      <c r="E73" s="94" t="str">
        <f>IF(AND(C73&lt;&gt;"", 'Cost Inputs'!$H$72&lt;&gt;""), 'Cost Inputs'!$H$72, "")</f>
        <v/>
      </c>
      <c r="F73" s="94" t="str">
        <f>IF(AND(C73&lt;&gt;"", 'Cost Inputs'!$I$72&lt;&gt;""), 'Cost Inputs'!$I$72, "")</f>
        <v/>
      </c>
      <c r="G73" s="94" t="str">
        <f t="shared" si="5"/>
        <v/>
      </c>
      <c r="H73" s="94" t="str">
        <f>IF(AND(C73&lt;&gt;"", 'Cost Inputs'!$J$72&lt;&gt;""), 'Cost Inputs'!$J$72, "")</f>
        <v/>
      </c>
      <c r="I73" s="94" t="str">
        <f>IF(AND($E73&lt;&gt;"", $H73&lt;&gt;""), $H73/$E73, "")</f>
        <v/>
      </c>
      <c r="J73" s="94" t="str">
        <f>IF(AND(C73&lt;&gt;"",('Cost Inputs'!$I$72+'Cost Inputs'!$J$72+'Cost Inputs'!$K$72)&gt;0), 'Cost Inputs'!$I$72+'Cost Inputs'!$J$72+'Cost Inputs'!$K$72, "")</f>
        <v/>
      </c>
      <c r="K73" s="94" t="str">
        <f>IF(AND(C73&lt;&gt;"", 'Cost Inputs'!$N$72&gt;0),'Cost Inputs'!$N$72,"")</f>
        <v/>
      </c>
      <c r="L73" s="128" t="str">
        <f>IF(AND($B60&lt;&gt;"", ISNUMBER(Stage1EvaluationBegins)), IF((INDEX(ProgramYearStage1,MATCH(Stage1EvaluationBegins,Years_in_Stage1,0)))=B60, INDEX(Stage1Evaluation,MATCH(Stage1EvaluationBegins,Years_in_Stage1,0)), IF(AND($B60&lt;&gt;"", OR(Stage1EvaluationBegins=0, Stage1EvaluationBegins="")),"", "")),"")</f>
        <v/>
      </c>
      <c r="M73" s="103"/>
      <c r="Q73" s="110" t="str">
        <f>IF(ISNUMBER('Model_ of_individuals'!Q73), 'Model_ of_individuals'!Q73*'Model_ of_individuals'!$K73,"")</f>
        <v/>
      </c>
      <c r="R73" s="94" t="str">
        <f>IF(ISNUMBER('Model_ of_individuals'!R73), 'Model_ of_individuals'!R73*'Model_ of_individuals'!$K73,"")</f>
        <v/>
      </c>
      <c r="S73" s="94" t="str">
        <f>IF(ISNUMBER('Model_ of_individuals'!S73), 'Model_ of_individuals'!S73*'Model_ of_individuals'!$K73,"")</f>
        <v/>
      </c>
      <c r="T73" s="94" t="str">
        <f>IF(ISNUMBER('Model_ of_individuals'!T73), 'Model_ of_individuals'!T73*'Model_ of_individuals'!$K73,"")</f>
        <v/>
      </c>
      <c r="U73" s="94" t="str">
        <f>IF(ISNUMBER('Model_ of_individuals'!U73), 'Model_ of_individuals'!U73*'Model_ of_individuals'!$K73,"")</f>
        <v/>
      </c>
      <c r="V73" s="94" t="str">
        <f>IF(ISNUMBER('Model_ of_individuals'!V73), 'Model_ of_individuals'!V73*'Model_ of_individuals'!$K73,"")</f>
        <v/>
      </c>
      <c r="W73" s="94" t="str">
        <f>IF(ISNUMBER('Model_ of_individuals'!W73), 'Model_ of_individuals'!W73*'Model_ of_individuals'!$K73,"")</f>
        <v/>
      </c>
      <c r="X73" s="94" t="str">
        <f>IF(ISNUMBER('Model_ of_individuals'!X73), 'Model_ of_individuals'!X73*'Model_ of_individuals'!$K73,"")</f>
        <v/>
      </c>
      <c r="Y73" s="94" t="str">
        <f>IF(ISNUMBER('Model_ of_individuals'!Y73), 'Model_ of_individuals'!Y73*'Model_ of_individuals'!$K73,"")</f>
        <v/>
      </c>
      <c r="Z73" s="103" t="str">
        <f>IF(ISNUMBER('Model_ of_individuals'!Z73), 'Model_ of_individuals'!Z73*'Model_ of_individuals'!$K73,"")</f>
        <v/>
      </c>
    </row>
    <row r="74" spans="1:26" x14ac:dyDescent="0.25">
      <c r="A74" s="518"/>
      <c r="B74" s="504"/>
      <c r="C74" s="104" t="str">
        <f>IF(AND(ISNUMBER(B60), C73&lt;&gt;"", OR('Cost Inputs'!$H$73&lt;&gt;"", 'Cost Inputs'!$I$73&lt;&gt;"", 'Cost Inputs'!$J$73&lt;&gt;"")), _3_3_1, "")</f>
        <v/>
      </c>
      <c r="D74" s="17" t="str">
        <f>IF(AND(C74&lt;&gt;"", 'Cost Inputs'!$G$73&lt;&gt;""), 'Cost Inputs'!$G$73, "")</f>
        <v/>
      </c>
      <c r="E74" s="17" t="str">
        <f>IF(AND(C74&lt;&gt;"", 'Cost Inputs'!$H$73&lt;&gt;""), 'Cost Inputs'!$H$73, "")</f>
        <v/>
      </c>
      <c r="F74" s="17" t="str">
        <f>IF(AND(C74&lt;&gt;"", 'Cost Inputs'!$I$73&lt;&gt;""), 'Cost Inputs'!$I$73, "")</f>
        <v/>
      </c>
      <c r="G74" s="17" t="str">
        <f t="shared" si="5"/>
        <v/>
      </c>
      <c r="H74" s="17" t="str">
        <f>IF(AND(C74&lt;&gt;"", 'Cost Inputs'!$J$73&lt;&gt;""), 'Cost Inputs'!$J$73, "")</f>
        <v/>
      </c>
      <c r="I74" s="17" t="str">
        <f t="shared" si="4"/>
        <v/>
      </c>
      <c r="J74" s="17" t="str">
        <f>IF(AND(C74&lt;&gt;"",('Cost Inputs'!$I$73+'Cost Inputs'!$J$73+'Cost Inputs'!$K$73)&gt;0), 'Cost Inputs'!$I$73+'Cost Inputs'!$J$73+'Cost Inputs'!$K$73, "")</f>
        <v/>
      </c>
      <c r="K74" s="17" t="str">
        <f>IF(AND(C74&lt;&gt;"", 'Cost Inputs'!$N$73&gt;0),'Cost Inputs'!$N$73,"")</f>
        <v/>
      </c>
      <c r="M74" s="106"/>
      <c r="Q74" s="104" t="str">
        <f>IF(ISNUMBER('Model_ of_individuals'!Q74), 'Model_ of_individuals'!Q74*'Model_ of_individuals'!$K74,"")</f>
        <v/>
      </c>
      <c r="R74" s="17" t="str">
        <f>IF(ISNUMBER('Model_ of_individuals'!R74), 'Model_ of_individuals'!R74*'Model_ of_individuals'!$K74,"")</f>
        <v/>
      </c>
      <c r="S74" s="17" t="str">
        <f>IF(ISNUMBER('Model_ of_individuals'!S74), 'Model_ of_individuals'!S74*'Model_ of_individuals'!$K74,"")</f>
        <v/>
      </c>
      <c r="T74" s="17" t="str">
        <f>IF(ISNUMBER('Model_ of_individuals'!T74), 'Model_ of_individuals'!T74*'Model_ of_individuals'!$K74,"")</f>
        <v/>
      </c>
      <c r="U74" s="17" t="str">
        <f>IF(ISNUMBER('Model_ of_individuals'!U74), 'Model_ of_individuals'!U74*'Model_ of_individuals'!$K74,"")</f>
        <v/>
      </c>
      <c r="V74" s="17" t="str">
        <f>IF(ISNUMBER('Model_ of_individuals'!V74), 'Model_ of_individuals'!V74*'Model_ of_individuals'!$K74,"")</f>
        <v/>
      </c>
      <c r="W74" s="17" t="str">
        <f>IF(ISNUMBER('Model_ of_individuals'!W74), 'Model_ of_individuals'!W74*'Model_ of_individuals'!$K74,"")</f>
        <v/>
      </c>
      <c r="X74" s="17" t="str">
        <f>IF(ISNUMBER('Model_ of_individuals'!X74), 'Model_ of_individuals'!X74*'Model_ of_individuals'!$K74,"")</f>
        <v/>
      </c>
      <c r="Y74" s="17" t="str">
        <f>IF(ISNUMBER('Model_ of_individuals'!Y74), 'Model_ of_individuals'!Y74*'Model_ of_individuals'!$K74,"")</f>
        <v/>
      </c>
      <c r="Z74" s="106" t="str">
        <f>IF(ISNUMBER('Model_ of_individuals'!Z74), 'Model_ of_individuals'!Z74*'Model_ of_individuals'!$K74,"")</f>
        <v/>
      </c>
    </row>
    <row r="75" spans="1:26" x14ac:dyDescent="0.25">
      <c r="A75" s="518"/>
      <c r="B75" s="504"/>
      <c r="C75" s="107" t="str">
        <f>IF(AND(ISNUMBER(B60), C73&lt;&gt;"", OR('Cost Inputs'!$H$74&lt;&gt;"", 'Cost Inputs'!$I$74&lt;&gt;"", 'Cost Inputs'!$J$74&lt;&gt;"")), _3_3_2, "")</f>
        <v/>
      </c>
      <c r="D75" s="93" t="str">
        <f>IF(AND(C75&lt;&gt;"", 'Cost Inputs'!$G$74&lt;&gt;""), 'Cost Inputs'!$G$74, "")</f>
        <v/>
      </c>
      <c r="E75" s="93" t="str">
        <f>IF(AND(C75&lt;&gt;"", 'Cost Inputs'!$H$74&lt;&gt;""), 'Cost Inputs'!$H$74, "")</f>
        <v/>
      </c>
      <c r="F75" s="93" t="str">
        <f>IF(AND(C75&lt;&gt;"", 'Cost Inputs'!$I$74&lt;&gt;""), 'Cost Inputs'!$I$74, "")</f>
        <v/>
      </c>
      <c r="G75" s="93" t="str">
        <f t="shared" si="5"/>
        <v/>
      </c>
      <c r="H75" s="93" t="str">
        <f>IF(AND(C75&lt;&gt;"", 'Cost Inputs'!$J$74&lt;&gt;""), 'Cost Inputs'!$J$74, "")</f>
        <v/>
      </c>
      <c r="I75" s="93" t="str">
        <f t="shared" si="4"/>
        <v/>
      </c>
      <c r="J75" s="93" t="str">
        <f>IF(AND(C75&lt;&gt;"",('Cost Inputs'!$I$74+'Cost Inputs'!$J$74+'Cost Inputs'!$K$74)&gt;0), 'Cost Inputs'!$I$74+'Cost Inputs'!$J$74+'Cost Inputs'!$K$74, "")</f>
        <v/>
      </c>
      <c r="K75" s="93" t="str">
        <f>IF(AND(C75&lt;&gt;"", 'Cost Inputs'!$N$74&gt;0),'Cost Inputs'!$N$74,"")</f>
        <v/>
      </c>
      <c r="L75" s="93"/>
      <c r="M75" s="109"/>
      <c r="Q75" s="107" t="str">
        <f>IF(ISNUMBER('Model_ of_individuals'!Q75), 'Model_ of_individuals'!Q75*'Model_ of_individuals'!$K75,"")</f>
        <v/>
      </c>
      <c r="R75" s="93" t="str">
        <f>IF(ISNUMBER('Model_ of_individuals'!R75), 'Model_ of_individuals'!R75*'Model_ of_individuals'!$K75,"")</f>
        <v/>
      </c>
      <c r="S75" s="93" t="str">
        <f>IF(ISNUMBER('Model_ of_individuals'!S75), 'Model_ of_individuals'!S75*'Model_ of_individuals'!$K75,"")</f>
        <v/>
      </c>
      <c r="T75" s="93" t="str">
        <f>IF(ISNUMBER('Model_ of_individuals'!T75), 'Model_ of_individuals'!T75*'Model_ of_individuals'!$K75,"")</f>
        <v/>
      </c>
      <c r="U75" s="93" t="str">
        <f>IF(ISNUMBER('Model_ of_individuals'!U75), 'Model_ of_individuals'!U75*'Model_ of_individuals'!$K75,"")</f>
        <v/>
      </c>
      <c r="V75" s="93" t="str">
        <f>IF(ISNUMBER('Model_ of_individuals'!V75), 'Model_ of_individuals'!V75*'Model_ of_individuals'!$K75,"")</f>
        <v/>
      </c>
      <c r="W75" s="93" t="str">
        <f>IF(ISNUMBER('Model_ of_individuals'!W75), 'Model_ of_individuals'!W75*'Model_ of_individuals'!$K75,"")</f>
        <v/>
      </c>
      <c r="X75" s="93" t="str">
        <f>IF(ISNUMBER('Model_ of_individuals'!X75), 'Model_ of_individuals'!X75*'Model_ of_individuals'!$K75,"")</f>
        <v/>
      </c>
      <c r="Y75" s="93" t="str">
        <f>IF(ISNUMBER('Model_ of_individuals'!Y75), 'Model_ of_individuals'!Y75*'Model_ of_individuals'!$K75,"")</f>
        <v/>
      </c>
      <c r="Z75" s="109" t="str">
        <f>IF(ISNUMBER('Model_ of_individuals'!Z75), 'Model_ of_individuals'!Z75*'Model_ of_individuals'!$K75,"")</f>
        <v/>
      </c>
    </row>
    <row r="76" spans="1:26" x14ac:dyDescent="0.25">
      <c r="A76" s="518"/>
      <c r="B76" s="504"/>
      <c r="C76" s="104" t="str">
        <f>IF(AND(ISNUMBER(B60), OR('Cost Inputs'!$H$75&lt;&gt;"", 'Cost Inputs'!$I$75&lt;&gt;"", 'Cost Inputs'!$J$75&lt;&gt;"")), _3_3_3, "")</f>
        <v/>
      </c>
      <c r="D76" s="17" t="str">
        <f>IF(AND(C76&lt;&gt;"", 'Cost Inputs'!$G$75&lt;&gt;""), 'Cost Inputs'!$G$75, "")</f>
        <v/>
      </c>
      <c r="E76" s="17" t="str">
        <f>IF(AND(C76&lt;&gt;"", 'Cost Inputs'!$H$75&lt;&gt;""), 'Cost Inputs'!$H$75, "")</f>
        <v/>
      </c>
      <c r="F76" s="17" t="str">
        <f>IF(AND(C76&lt;&gt;"", 'Cost Inputs'!$I$75&lt;&gt;""), 'Cost Inputs'!$I$75, "")</f>
        <v/>
      </c>
      <c r="G76" s="17" t="str">
        <f t="shared" si="5"/>
        <v/>
      </c>
      <c r="H76" s="17" t="str">
        <f>IF(AND(C76&lt;&gt;"", 'Cost Inputs'!$J$75&lt;&gt;""), 'Cost Inputs'!$J$75, "")</f>
        <v/>
      </c>
      <c r="I76" s="17" t="str">
        <f t="shared" si="4"/>
        <v/>
      </c>
      <c r="J76" s="17" t="str">
        <f>IF(AND(C76&lt;&gt;"",('Cost Inputs'!$I$75+'Cost Inputs'!$J$75+'Cost Inputs'!$K$75)&gt;0), 'Cost Inputs'!$I$75+'Cost Inputs'!$J$75+'Cost Inputs'!$K$75, "")</f>
        <v/>
      </c>
      <c r="K76" s="17" t="str">
        <f>IF(AND(C76&lt;&gt;"", 'Cost Inputs'!$N$75&gt;0),'Cost Inputs'!$N$75,"")</f>
        <v/>
      </c>
      <c r="M76" s="106"/>
      <c r="Q76" s="104" t="str">
        <f>IF(ISNUMBER('Model_ of_individuals'!Q76), 'Model_ of_individuals'!Q76*'Model_ of_individuals'!$K76,"")</f>
        <v/>
      </c>
      <c r="R76" s="17" t="str">
        <f>IF(ISNUMBER('Model_ of_individuals'!R76), 'Model_ of_individuals'!R76*'Model_ of_individuals'!$K76,"")</f>
        <v/>
      </c>
      <c r="S76" s="17" t="str">
        <f>IF(ISNUMBER('Model_ of_individuals'!S76), 'Model_ of_individuals'!S76*'Model_ of_individuals'!$K76,"")</f>
        <v/>
      </c>
      <c r="T76" s="17" t="str">
        <f>IF(ISNUMBER('Model_ of_individuals'!T76), 'Model_ of_individuals'!T76*'Model_ of_individuals'!$K76,"")</f>
        <v/>
      </c>
      <c r="U76" s="17" t="str">
        <f>IF(ISNUMBER('Model_ of_individuals'!U76), 'Model_ of_individuals'!U76*'Model_ of_individuals'!$K76,"")</f>
        <v/>
      </c>
      <c r="V76" s="17" t="str">
        <f>IF(ISNUMBER('Model_ of_individuals'!V76), 'Model_ of_individuals'!V76*'Model_ of_individuals'!$K76,"")</f>
        <v/>
      </c>
      <c r="W76" s="17" t="str">
        <f>IF(ISNUMBER('Model_ of_individuals'!W76), 'Model_ of_individuals'!W76*'Model_ of_individuals'!$K76,"")</f>
        <v/>
      </c>
      <c r="X76" s="17" t="str">
        <f>IF(ISNUMBER('Model_ of_individuals'!X76), 'Model_ of_individuals'!X76*'Model_ of_individuals'!$K76,"")</f>
        <v/>
      </c>
      <c r="Y76" s="17" t="str">
        <f>IF(ISNUMBER('Model_ of_individuals'!Y76), 'Model_ of_individuals'!Y76*'Model_ of_individuals'!$K76,"")</f>
        <v/>
      </c>
      <c r="Z76" s="106" t="str">
        <f>IF(ISNUMBER('Model_ of_individuals'!Z76), 'Model_ of_individuals'!Z76*'Model_ of_individuals'!$K76,"")</f>
        <v/>
      </c>
    </row>
    <row r="77" spans="1:26" x14ac:dyDescent="0.25">
      <c r="A77" s="518"/>
      <c r="B77" s="504"/>
      <c r="C77" s="107" t="str">
        <f>IF(AND(ISNUMBER(B60), OR('Cost Inputs'!$H$76&lt;&gt;"", 'Cost Inputs'!$I$76&lt;&gt;"", 'Cost Inputs'!$J$76&lt;&gt;"")), _3_3_4, "")</f>
        <v/>
      </c>
      <c r="D77" s="93" t="str">
        <f>IF(AND(C77&lt;&gt;"", 'Cost Inputs'!$G$76&lt;&gt;""), 'Cost Inputs'!$G$76, "")</f>
        <v/>
      </c>
      <c r="E77" s="93" t="str">
        <f>IF(AND(C77&lt;&gt;"", 'Cost Inputs'!$H$76&lt;&gt;""), 'Cost Inputs'!$H$76, "")</f>
        <v/>
      </c>
      <c r="F77" s="93" t="str">
        <f>IF(AND(C77&lt;&gt;"", 'Cost Inputs'!$I$76&lt;&gt;""), 'Cost Inputs'!$I$76, "")</f>
        <v/>
      </c>
      <c r="G77" s="93" t="str">
        <f t="shared" si="5"/>
        <v/>
      </c>
      <c r="H77" s="93" t="str">
        <f>IF(AND(C77&lt;&gt;"", 'Cost Inputs'!$J$76&lt;&gt;""), 'Cost Inputs'!$J$76, "")</f>
        <v/>
      </c>
      <c r="I77" s="93" t="str">
        <f t="shared" si="4"/>
        <v/>
      </c>
      <c r="J77" s="93" t="str">
        <f>IF(AND(C77&lt;&gt;"",('Cost Inputs'!$I$76+'Cost Inputs'!$J$76+'Cost Inputs'!$K$76)&gt;0), 'Cost Inputs'!$I$76+'Cost Inputs'!$J$76+'Cost Inputs'!$K$76, "")</f>
        <v/>
      </c>
      <c r="K77" s="93" t="str">
        <f>IF(AND(C77&lt;&gt;"", 'Cost Inputs'!$N$76&gt;0),'Cost Inputs'!$N$76,"")</f>
        <v/>
      </c>
      <c r="L77" s="93"/>
      <c r="M77" s="109"/>
      <c r="Q77" s="107" t="str">
        <f>IF(ISNUMBER('Model_ of_individuals'!Q77), 'Model_ of_individuals'!Q77*'Model_ of_individuals'!$K77,"")</f>
        <v/>
      </c>
      <c r="R77" s="93" t="str">
        <f>IF(ISNUMBER('Model_ of_individuals'!R77), 'Model_ of_individuals'!R77*'Model_ of_individuals'!$K77,"")</f>
        <v/>
      </c>
      <c r="S77" s="93" t="str">
        <f>IF(ISNUMBER('Model_ of_individuals'!S77), 'Model_ of_individuals'!S77*'Model_ of_individuals'!$K77,"")</f>
        <v/>
      </c>
      <c r="T77" s="93" t="str">
        <f>IF(ISNUMBER('Model_ of_individuals'!T77), 'Model_ of_individuals'!T77*'Model_ of_individuals'!$K77,"")</f>
        <v/>
      </c>
      <c r="U77" s="93" t="str">
        <f>IF(ISNUMBER('Model_ of_individuals'!U77), 'Model_ of_individuals'!U77*'Model_ of_individuals'!$K77,"")</f>
        <v/>
      </c>
      <c r="V77" s="93" t="str">
        <f>IF(ISNUMBER('Model_ of_individuals'!V77), 'Model_ of_individuals'!V77*'Model_ of_individuals'!$K77,"")</f>
        <v/>
      </c>
      <c r="W77" s="93" t="str">
        <f>IF(ISNUMBER('Model_ of_individuals'!W77), 'Model_ of_individuals'!W77*'Model_ of_individuals'!$K77,"")</f>
        <v/>
      </c>
      <c r="X77" s="93" t="str">
        <f>IF(ISNUMBER('Model_ of_individuals'!X77), 'Model_ of_individuals'!X77*'Model_ of_individuals'!$K77,"")</f>
        <v/>
      </c>
      <c r="Y77" s="93" t="str">
        <f>IF(ISNUMBER('Model_ of_individuals'!Y77), 'Model_ of_individuals'!Y77*'Model_ of_individuals'!$K77,"")</f>
        <v/>
      </c>
      <c r="Z77" s="109" t="str">
        <f>IF(ISNUMBER('Model_ of_individuals'!Z77), 'Model_ of_individuals'!Z77*'Model_ of_individuals'!$K77,"")</f>
        <v/>
      </c>
    </row>
    <row r="78" spans="1:26" x14ac:dyDescent="0.25">
      <c r="A78" s="518"/>
      <c r="B78" s="504"/>
      <c r="C78" s="110" t="str">
        <f>IF( ISNUMBER(B60), _3_4_0, "")</f>
        <v/>
      </c>
      <c r="D78" s="94" t="str">
        <f>IF(AND(B60&lt;&gt;"", OR('Cost Inputs'!$H$77&lt;&gt;"", 'Cost Inputs'!$I$77&lt;&gt;"", 'Cost Inputs'!$J$77&lt;&gt;"")), 'Cost Inputs'!$G$77,"")</f>
        <v/>
      </c>
      <c r="E78" s="94" t="str">
        <f>IF(AND(C78&lt;&gt;"", 'Cost Inputs'!$H$77&lt;&gt;""), 'Cost Inputs'!$H$77, "")</f>
        <v/>
      </c>
      <c r="F78" s="94" t="str">
        <f>IF(AND(C78&lt;&gt;"", 'Cost Inputs'!$I$77&lt;&gt;""), 'Cost Inputs'!$I$77, "")</f>
        <v/>
      </c>
      <c r="G78" s="94" t="str">
        <f t="shared" si="5"/>
        <v/>
      </c>
      <c r="H78" s="94" t="str">
        <f>IF(AND(C78&lt;&gt;"", 'Cost Inputs'!$J$77&lt;&gt;""), 'Cost Inputs'!$J$77, "")</f>
        <v/>
      </c>
      <c r="I78" s="94" t="str">
        <f>IF(AND($E78&lt;&gt;"", $H78&lt;&gt;""), $H78/$E78, "")</f>
        <v/>
      </c>
      <c r="J78" s="94" t="str">
        <f>IF(AND(C78&lt;&gt;"",('Cost Inputs'!$I$77+'Cost Inputs'!$J$77+'Cost Inputs'!$K$77)&gt;0), 'Cost Inputs'!$I$77+'Cost Inputs'!$J$77+'Cost Inputs'!$K$77, "")</f>
        <v/>
      </c>
      <c r="K78" s="94" t="str">
        <f>IF(AND(C78&lt;&gt;"", 'Cost Inputs'!$N$77&gt;0),'Cost Inputs'!$N$77,"")</f>
        <v/>
      </c>
      <c r="L78" s="94"/>
      <c r="M78" s="103"/>
      <c r="Q78" s="110" t="str">
        <f>IF(ISNUMBER('Model_ of_individuals'!Q78), 'Model_ of_individuals'!Q78*'Model_ of_individuals'!$K78,"")</f>
        <v/>
      </c>
      <c r="R78" s="94" t="str">
        <f>IF(ISNUMBER('Model_ of_individuals'!R78), 'Model_ of_individuals'!R78*'Model_ of_individuals'!$K78,"")</f>
        <v/>
      </c>
      <c r="S78" s="94" t="str">
        <f>IF(ISNUMBER('Model_ of_individuals'!S78), 'Model_ of_individuals'!S78*'Model_ of_individuals'!$K78,"")</f>
        <v/>
      </c>
      <c r="T78" s="94" t="str">
        <f>IF(ISNUMBER('Model_ of_individuals'!T78), 'Model_ of_individuals'!T78*'Model_ of_individuals'!$K78,"")</f>
        <v/>
      </c>
      <c r="U78" s="94" t="str">
        <f>IF(ISNUMBER('Model_ of_individuals'!U78), 'Model_ of_individuals'!U78*'Model_ of_individuals'!$K78,"")</f>
        <v/>
      </c>
      <c r="V78" s="94" t="str">
        <f>IF(ISNUMBER('Model_ of_individuals'!V78), 'Model_ of_individuals'!V78*'Model_ of_individuals'!$K78,"")</f>
        <v/>
      </c>
      <c r="W78" s="94" t="str">
        <f>IF(ISNUMBER('Model_ of_individuals'!W78), 'Model_ of_individuals'!W78*'Model_ of_individuals'!$K78,"")</f>
        <v/>
      </c>
      <c r="X78" s="94" t="str">
        <f>IF(ISNUMBER('Model_ of_individuals'!X78), 'Model_ of_individuals'!X78*'Model_ of_individuals'!$K78,"")</f>
        <v/>
      </c>
      <c r="Y78" s="94" t="str">
        <f>IF(ISNUMBER('Model_ of_individuals'!Y78), 'Model_ of_individuals'!Y78*'Model_ of_individuals'!$K78,"")</f>
        <v/>
      </c>
      <c r="Z78" s="103" t="str">
        <f>IF(ISNUMBER('Model_ of_individuals'!Z78), 'Model_ of_individuals'!Z78*'Model_ of_individuals'!$K78,"")</f>
        <v/>
      </c>
    </row>
    <row r="79" spans="1:26" x14ac:dyDescent="0.25">
      <c r="A79" s="518"/>
      <c r="B79" s="504"/>
      <c r="C79" s="104" t="str">
        <f>IF(AND(ISNUMBER(B60), OR('Cost Inputs'!$H$78&lt;&gt;"", 'Cost Inputs'!$I$78&lt;&gt;"", 'Cost Inputs'!$J$78&lt;&gt;"")), _3_4_1, "")</f>
        <v/>
      </c>
      <c r="D79" s="17" t="str">
        <f>IF(AND(C79&lt;&gt;"", 'Cost Inputs'!$G$78&lt;&gt;""), 'Cost Inputs'!$G$78, "")</f>
        <v/>
      </c>
      <c r="E79" s="17" t="str">
        <f>IF(AND(C79&lt;&gt;"", 'Cost Inputs'!$H$78&lt;&gt;""), 'Cost Inputs'!$H$78, "")</f>
        <v/>
      </c>
      <c r="F79" s="17" t="str">
        <f>IF(AND(C79&lt;&gt;"", 'Cost Inputs'!$I$78&lt;&gt;""), 'Cost Inputs'!$I$78, "")</f>
        <v/>
      </c>
      <c r="G79" s="17" t="str">
        <f t="shared" si="5"/>
        <v/>
      </c>
      <c r="H79" s="17" t="str">
        <f>IF(AND(C79&lt;&gt;"", 'Cost Inputs'!$J$78&lt;&gt;""), 'Cost Inputs'!$J$78, "")</f>
        <v/>
      </c>
      <c r="I79" s="17" t="str">
        <f t="shared" si="4"/>
        <v/>
      </c>
      <c r="J79" s="17" t="str">
        <f>IF(AND(C79&lt;&gt;"",('Cost Inputs'!$I$78+'Cost Inputs'!$J$78+'Cost Inputs'!$K$78)&gt;0), 'Cost Inputs'!$I$78+'Cost Inputs'!$J$78+'Cost Inputs'!$K$78, "")</f>
        <v/>
      </c>
      <c r="K79" s="17" t="str">
        <f>IF(AND(C79&lt;&gt;"", 'Cost Inputs'!$N$78&gt;0),'Cost Inputs'!$N$78,"")</f>
        <v/>
      </c>
      <c r="M79" s="106"/>
      <c r="Q79" s="104" t="str">
        <f>IF(ISNUMBER('Model_ of_individuals'!Q79), 'Model_ of_individuals'!Q79*'Model_ of_individuals'!$K79,"")</f>
        <v/>
      </c>
      <c r="R79" s="17" t="str">
        <f>IF(ISNUMBER('Model_ of_individuals'!R79), 'Model_ of_individuals'!R79*'Model_ of_individuals'!$K79,"")</f>
        <v/>
      </c>
      <c r="S79" s="17" t="str">
        <f>IF(ISNUMBER('Model_ of_individuals'!S79), 'Model_ of_individuals'!S79*'Model_ of_individuals'!$K79,"")</f>
        <v/>
      </c>
      <c r="T79" s="17" t="str">
        <f>IF(ISNUMBER('Model_ of_individuals'!T79), 'Model_ of_individuals'!T79*'Model_ of_individuals'!$K79,"")</f>
        <v/>
      </c>
      <c r="U79" s="17" t="str">
        <f>IF(ISNUMBER('Model_ of_individuals'!U79), 'Model_ of_individuals'!U79*'Model_ of_individuals'!$K79,"")</f>
        <v/>
      </c>
      <c r="V79" s="17" t="str">
        <f>IF(ISNUMBER('Model_ of_individuals'!V79), 'Model_ of_individuals'!V79*'Model_ of_individuals'!$K79,"")</f>
        <v/>
      </c>
      <c r="W79" s="17" t="str">
        <f>IF(ISNUMBER('Model_ of_individuals'!W79), 'Model_ of_individuals'!W79*'Model_ of_individuals'!$K79,"")</f>
        <v/>
      </c>
      <c r="X79" s="17" t="str">
        <f>IF(ISNUMBER('Model_ of_individuals'!X79), 'Model_ of_individuals'!X79*'Model_ of_individuals'!$K79,"")</f>
        <v/>
      </c>
      <c r="Y79" s="17" t="str">
        <f>IF(ISNUMBER('Model_ of_individuals'!Y79), 'Model_ of_individuals'!Y79*'Model_ of_individuals'!$K79,"")</f>
        <v/>
      </c>
      <c r="Z79" s="106" t="str">
        <f>IF(ISNUMBER('Model_ of_individuals'!Z79), 'Model_ of_individuals'!Z79*'Model_ of_individuals'!$K79,"")</f>
        <v/>
      </c>
    </row>
    <row r="80" spans="1:26" x14ac:dyDescent="0.25">
      <c r="A80" s="518"/>
      <c r="B80" s="504"/>
      <c r="C80" s="107" t="str">
        <f>IF(AND(ISNUMBER(B60), OR('Cost Inputs'!$H$79&lt;&gt;"", 'Cost Inputs'!$I$79&lt;&gt;"", 'Cost Inputs'!$J$79&lt;&gt;"")), _3_4_2, "")</f>
        <v/>
      </c>
      <c r="D80" s="93" t="str">
        <f>IF(AND(C80&lt;&gt;"", 'Cost Inputs'!$G$79&lt;&gt;""), 'Cost Inputs'!$G$79, "")</f>
        <v/>
      </c>
      <c r="E80" s="93" t="str">
        <f>IF(AND(C80&lt;&gt;"", 'Cost Inputs'!$H$79&lt;&gt;""), 'Cost Inputs'!$H$79, "")</f>
        <v/>
      </c>
      <c r="F80" s="93" t="str">
        <f>IF(AND(C80&lt;&gt;"", 'Cost Inputs'!$I$79&lt;&gt;""), 'Cost Inputs'!$I$79, "")</f>
        <v/>
      </c>
      <c r="G80" s="93" t="str">
        <f t="shared" si="5"/>
        <v/>
      </c>
      <c r="H80" s="93" t="str">
        <f>IF(AND(C80&lt;&gt;"", 'Cost Inputs'!$J$79&lt;&gt;""), 'Cost Inputs'!$J$79, "")</f>
        <v/>
      </c>
      <c r="I80" s="93" t="str">
        <f t="shared" si="4"/>
        <v/>
      </c>
      <c r="J80" s="93" t="str">
        <f>IF(AND(C80&lt;&gt;"",('Cost Inputs'!$I$79+'Cost Inputs'!$J$79+'Cost Inputs'!$K$79)&gt;0), 'Cost Inputs'!$I$79+'Cost Inputs'!$J$79+'Cost Inputs'!$K$79, "")</f>
        <v/>
      </c>
      <c r="K80" s="93" t="str">
        <f>IF(AND(C80&lt;&gt;"", 'Cost Inputs'!$N$79&gt;0),'Cost Inputs'!$N$79,"")</f>
        <v/>
      </c>
      <c r="L80" s="93"/>
      <c r="M80" s="109"/>
      <c r="Q80" s="107" t="str">
        <f>IF(ISNUMBER('Model_ of_individuals'!Q80), 'Model_ of_individuals'!Q80*'Model_ of_individuals'!$K80,"")</f>
        <v/>
      </c>
      <c r="R80" s="93" t="str">
        <f>IF(ISNUMBER('Model_ of_individuals'!R80), 'Model_ of_individuals'!R80*'Model_ of_individuals'!$K80,"")</f>
        <v/>
      </c>
      <c r="S80" s="93" t="str">
        <f>IF(ISNUMBER('Model_ of_individuals'!S80), 'Model_ of_individuals'!S80*'Model_ of_individuals'!$K80,"")</f>
        <v/>
      </c>
      <c r="T80" s="93" t="str">
        <f>IF(ISNUMBER('Model_ of_individuals'!T80), 'Model_ of_individuals'!T80*'Model_ of_individuals'!$K80,"")</f>
        <v/>
      </c>
      <c r="U80" s="93" t="str">
        <f>IF(ISNUMBER('Model_ of_individuals'!U80), 'Model_ of_individuals'!U80*'Model_ of_individuals'!$K80,"")</f>
        <v/>
      </c>
      <c r="V80" s="93" t="str">
        <f>IF(ISNUMBER('Model_ of_individuals'!V80), 'Model_ of_individuals'!V80*'Model_ of_individuals'!$K80,"")</f>
        <v/>
      </c>
      <c r="W80" s="93" t="str">
        <f>IF(ISNUMBER('Model_ of_individuals'!W80), 'Model_ of_individuals'!W80*'Model_ of_individuals'!$K80,"")</f>
        <v/>
      </c>
      <c r="X80" s="93" t="str">
        <f>IF(ISNUMBER('Model_ of_individuals'!X80), 'Model_ of_individuals'!X80*'Model_ of_individuals'!$K80,"")</f>
        <v/>
      </c>
      <c r="Y80" s="93" t="str">
        <f>IF(ISNUMBER('Model_ of_individuals'!Y80), 'Model_ of_individuals'!Y80*'Model_ of_individuals'!$K80,"")</f>
        <v/>
      </c>
      <c r="Z80" s="109" t="str">
        <f>IF(ISNUMBER('Model_ of_individuals'!Z80), 'Model_ of_individuals'!Z80*'Model_ of_individuals'!$K80,"")</f>
        <v/>
      </c>
    </row>
    <row r="81" spans="1:27" x14ac:dyDescent="0.25">
      <c r="A81" s="518"/>
      <c r="B81" s="504"/>
      <c r="C81" s="104" t="str">
        <f>IF(AND(ISNUMBER(B60), OR('Cost Inputs'!$H$80&lt;&gt;"", 'Cost Inputs'!$I$80&lt;&gt;"", 'Cost Inputs'!$J$80&lt;&gt;"")),_3_4_3, "")</f>
        <v/>
      </c>
      <c r="D81" s="17" t="str">
        <f>IF(AND(C81&lt;&gt;"", 'Cost Inputs'!$G$80&lt;&gt;""), 'Cost Inputs'!$G$80, "")</f>
        <v/>
      </c>
      <c r="E81" s="17" t="str">
        <f>IF(AND(C81&lt;&gt;"", 'Cost Inputs'!$H$80&lt;&gt;""), 'Cost Inputs'!$H$80, "")</f>
        <v/>
      </c>
      <c r="F81" s="17" t="str">
        <f>IF(AND(C81&lt;&gt;"", 'Cost Inputs'!$I$80&lt;&gt;""), 'Cost Inputs'!$I$80, "")</f>
        <v/>
      </c>
      <c r="G81" s="17" t="str">
        <f t="shared" si="5"/>
        <v/>
      </c>
      <c r="H81" s="17" t="str">
        <f>IF(AND(C81&lt;&gt;"", 'Cost Inputs'!$J$80&lt;&gt;""), 'Cost Inputs'!$J$80, "")</f>
        <v/>
      </c>
      <c r="I81" s="17" t="str">
        <f t="shared" si="4"/>
        <v/>
      </c>
      <c r="J81" s="17" t="str">
        <f>IF(AND(C81&lt;&gt;"",('Cost Inputs'!$I$80+'Cost Inputs'!$J$80+'Cost Inputs'!$K$80)&gt;0), 'Cost Inputs'!$I$80+'Cost Inputs'!$J$80+'Cost Inputs'!$K$80, "")</f>
        <v/>
      </c>
      <c r="K81" s="17" t="str">
        <f>IF(AND(C81&lt;&gt;"", 'Cost Inputs'!$N$80&gt;0),'Cost Inputs'!$N$80,"")</f>
        <v/>
      </c>
      <c r="M81" s="106"/>
      <c r="Q81" s="104" t="str">
        <f>IF(ISNUMBER('Model_ of_individuals'!Q81), 'Model_ of_individuals'!Q81*'Model_ of_individuals'!$K81,"")</f>
        <v/>
      </c>
      <c r="R81" s="17" t="str">
        <f>IF(ISNUMBER('Model_ of_individuals'!R81), 'Model_ of_individuals'!R81*'Model_ of_individuals'!$K81,"")</f>
        <v/>
      </c>
      <c r="S81" s="17" t="str">
        <f>IF(ISNUMBER('Model_ of_individuals'!S81), 'Model_ of_individuals'!S81*'Model_ of_individuals'!$K81,"")</f>
        <v/>
      </c>
      <c r="T81" s="17" t="str">
        <f>IF(ISNUMBER('Model_ of_individuals'!T81), 'Model_ of_individuals'!T81*'Model_ of_individuals'!$K81,"")</f>
        <v/>
      </c>
      <c r="U81" s="17" t="str">
        <f>IF(ISNUMBER('Model_ of_individuals'!U81), 'Model_ of_individuals'!U81*'Model_ of_individuals'!$K81,"")</f>
        <v/>
      </c>
      <c r="V81" s="17" t="str">
        <f>IF(ISNUMBER('Model_ of_individuals'!V81), 'Model_ of_individuals'!V81*'Model_ of_individuals'!$K81,"")</f>
        <v/>
      </c>
      <c r="W81" s="17" t="str">
        <f>IF(ISNUMBER('Model_ of_individuals'!W81), 'Model_ of_individuals'!W81*'Model_ of_individuals'!$K81,"")</f>
        <v/>
      </c>
      <c r="X81" s="17" t="str">
        <f>IF(ISNUMBER('Model_ of_individuals'!X81), 'Model_ of_individuals'!X81*'Model_ of_individuals'!$K81,"")</f>
        <v/>
      </c>
      <c r="Y81" s="17" t="str">
        <f>IF(ISNUMBER('Model_ of_individuals'!Y81), 'Model_ of_individuals'!Y81*'Model_ of_individuals'!$K81,"")</f>
        <v/>
      </c>
      <c r="Z81" s="106" t="str">
        <f>IF(ISNUMBER('Model_ of_individuals'!Z81), 'Model_ of_individuals'!Z81*'Model_ of_individuals'!$K81,"")</f>
        <v/>
      </c>
    </row>
    <row r="82" spans="1:27" x14ac:dyDescent="0.25">
      <c r="A82" s="518"/>
      <c r="B82" s="504"/>
      <c r="C82" s="107" t="str">
        <f>IF(AND(ISNUMBER(B60), OR('Cost Inputs'!$H$81&lt;&gt;"", 'Cost Inputs'!$I$81&lt;&gt;"", 'Cost Inputs'!$J$81&lt;&gt;"")), _3_4_4, "")</f>
        <v/>
      </c>
      <c r="D82" s="93" t="str">
        <f>IF(AND(C82&lt;&gt;"", 'Cost Inputs'!$G$81&lt;&gt;""), 'Cost Inputs'!$G$81, "")</f>
        <v/>
      </c>
      <c r="E82" s="93" t="str">
        <f>IF(AND(C82&lt;&gt;"", 'Cost Inputs'!$H$81&lt;&gt;""), 'Cost Inputs'!$H$81, "")</f>
        <v/>
      </c>
      <c r="F82" s="93" t="str">
        <f>IF(AND(C82&lt;&gt;"", 'Cost Inputs'!$I$81&lt;&gt;""), 'Cost Inputs'!$I$81, "")</f>
        <v/>
      </c>
      <c r="G82" s="93" t="str">
        <f t="shared" si="5"/>
        <v/>
      </c>
      <c r="H82" s="93" t="str">
        <f>IF(AND(C82&lt;&gt;"", 'Cost Inputs'!$J$81&lt;&gt;""), 'Cost Inputs'!$J$81, "")</f>
        <v/>
      </c>
      <c r="I82" s="93" t="str">
        <f t="shared" si="4"/>
        <v/>
      </c>
      <c r="J82" s="93" t="str">
        <f>IF(AND(C82&lt;&gt;"",('Cost Inputs'!$I$81+'Cost Inputs'!$J$81+'Cost Inputs'!$K$81)&gt;0), 'Cost Inputs'!$I$81+'Cost Inputs'!$J$81+'Cost Inputs'!$K$81, "")</f>
        <v/>
      </c>
      <c r="K82" s="93" t="str">
        <f>IF(AND(C82&lt;&gt;"", 'Cost Inputs'!$N$81&gt;0),'Cost Inputs'!$N$81,"")</f>
        <v/>
      </c>
      <c r="L82" s="93"/>
      <c r="M82" s="109"/>
      <c r="Q82" s="107" t="str">
        <f>IF(ISNUMBER('Model_ of_individuals'!Q82), 'Model_ of_individuals'!Q82*'Model_ of_individuals'!$K82,"")</f>
        <v/>
      </c>
      <c r="R82" s="93" t="str">
        <f>IF(ISNUMBER('Model_ of_individuals'!R82), 'Model_ of_individuals'!R82*'Model_ of_individuals'!$K82,"")</f>
        <v/>
      </c>
      <c r="S82" s="93" t="str">
        <f>IF(ISNUMBER('Model_ of_individuals'!S82), 'Model_ of_individuals'!S82*'Model_ of_individuals'!$K82,"")</f>
        <v/>
      </c>
      <c r="T82" s="93" t="str">
        <f>IF(ISNUMBER('Model_ of_individuals'!T82), 'Model_ of_individuals'!T82*'Model_ of_individuals'!$K82,"")</f>
        <v/>
      </c>
      <c r="U82" s="93" t="str">
        <f>IF(ISNUMBER('Model_ of_individuals'!U82), 'Model_ of_individuals'!U82*'Model_ of_individuals'!$K82,"")</f>
        <v/>
      </c>
      <c r="V82" s="93" t="str">
        <f>IF(ISNUMBER('Model_ of_individuals'!V82), 'Model_ of_individuals'!V82*'Model_ of_individuals'!$K82,"")</f>
        <v/>
      </c>
      <c r="W82" s="93" t="str">
        <f>IF(ISNUMBER('Model_ of_individuals'!W82), 'Model_ of_individuals'!W82*'Model_ of_individuals'!$K82,"")</f>
        <v/>
      </c>
      <c r="X82" s="93" t="str">
        <f>IF(ISNUMBER('Model_ of_individuals'!X82), 'Model_ of_individuals'!X82*'Model_ of_individuals'!$K82,"")</f>
        <v/>
      </c>
      <c r="Y82" s="93" t="str">
        <f>IF(ISNUMBER('Model_ of_individuals'!Y82), 'Model_ of_individuals'!Y82*'Model_ of_individuals'!$K82,"")</f>
        <v/>
      </c>
      <c r="Z82" s="109" t="str">
        <f>IF(ISNUMBER('Model_ of_individuals'!Z82), 'Model_ of_individuals'!Z82*'Model_ of_individuals'!$K82,"")</f>
        <v/>
      </c>
    </row>
    <row r="83" spans="1:27" x14ac:dyDescent="0.25">
      <c r="A83" s="518"/>
      <c r="B83" s="504"/>
      <c r="C83" s="104" t="str">
        <f>IF(AND(ISNUMBER(B60), OR('Cost Inputs'!$H$82&lt;&gt;"", 'Cost Inputs'!$I$82&lt;&gt;"", 'Cost Inputs'!$J$82&lt;&gt;"")),_3_4_5, "")</f>
        <v/>
      </c>
      <c r="D83" s="17" t="str">
        <f>IF(AND(C83&lt;&gt;"", 'Cost Inputs'!$G$82&lt;&gt;""), 'Cost Inputs'!$G$82, "")</f>
        <v/>
      </c>
      <c r="E83" s="17" t="str">
        <f>IF(AND(C83&lt;&gt;"", 'Cost Inputs'!$H$82&lt;&gt;""), 'Cost Inputs'!$H$82, "")</f>
        <v/>
      </c>
      <c r="F83" s="17" t="str">
        <f>IF(AND(C83&lt;&gt;"", 'Cost Inputs'!$I$82&lt;&gt;""), 'Cost Inputs'!$I$82, "")</f>
        <v/>
      </c>
      <c r="G83" s="17" t="str">
        <f t="shared" si="5"/>
        <v/>
      </c>
      <c r="H83" s="17" t="str">
        <f>IF(AND(C83&lt;&gt;"", 'Cost Inputs'!$J$82&lt;&gt;""), 'Cost Inputs'!$J$82, "")</f>
        <v/>
      </c>
      <c r="I83" s="17" t="str">
        <f t="shared" si="4"/>
        <v/>
      </c>
      <c r="J83" s="17" t="str">
        <f>IF(AND(C83&lt;&gt;"",('Cost Inputs'!$I$82+'Cost Inputs'!$J$82+'Cost Inputs'!$K$82)&gt;0), 'Cost Inputs'!$I$82+'Cost Inputs'!$J$82+'Cost Inputs'!$K$82, "")</f>
        <v/>
      </c>
      <c r="K83" s="17" t="str">
        <f>IF(AND(C83&lt;&gt;"", 'Cost Inputs'!$N$82&gt;0),'Cost Inputs'!$N$82,"")</f>
        <v/>
      </c>
      <c r="M83" s="106"/>
      <c r="Q83" s="104" t="str">
        <f>IF(ISNUMBER('Model_ of_individuals'!Q83), 'Model_ of_individuals'!Q83*'Model_ of_individuals'!$K83,"")</f>
        <v/>
      </c>
      <c r="R83" s="17" t="str">
        <f>IF(ISNUMBER('Model_ of_individuals'!R83), 'Model_ of_individuals'!R83*'Model_ of_individuals'!$K83,"")</f>
        <v/>
      </c>
      <c r="S83" s="17" t="str">
        <f>IF(ISNUMBER('Model_ of_individuals'!S83), 'Model_ of_individuals'!S83*'Model_ of_individuals'!$K83,"")</f>
        <v/>
      </c>
      <c r="T83" s="17" t="str">
        <f>IF(ISNUMBER('Model_ of_individuals'!T83), 'Model_ of_individuals'!T83*'Model_ of_individuals'!$K83,"")</f>
        <v/>
      </c>
      <c r="U83" s="17" t="str">
        <f>IF(ISNUMBER('Model_ of_individuals'!U83), 'Model_ of_individuals'!U83*'Model_ of_individuals'!$K83,"")</f>
        <v/>
      </c>
      <c r="V83" s="17" t="str">
        <f>IF(ISNUMBER('Model_ of_individuals'!V83), 'Model_ of_individuals'!V83*'Model_ of_individuals'!$K83,"")</f>
        <v/>
      </c>
      <c r="W83" s="17" t="str">
        <f>IF(ISNUMBER('Model_ of_individuals'!W83), 'Model_ of_individuals'!W83*'Model_ of_individuals'!$K83,"")</f>
        <v/>
      </c>
      <c r="X83" s="17" t="str">
        <f>IF(ISNUMBER('Model_ of_individuals'!X83), 'Model_ of_individuals'!X83*'Model_ of_individuals'!$K83,"")</f>
        <v/>
      </c>
      <c r="Y83" s="17" t="str">
        <f>IF(ISNUMBER('Model_ of_individuals'!Y83), 'Model_ of_individuals'!Y83*'Model_ of_individuals'!$K83,"")</f>
        <v/>
      </c>
      <c r="Z83" s="106" t="str">
        <f>IF(ISNUMBER('Model_ of_individuals'!Z83), 'Model_ of_individuals'!Z83*'Model_ of_individuals'!$K83,"")</f>
        <v/>
      </c>
    </row>
    <row r="84" spans="1:27" x14ac:dyDescent="0.25">
      <c r="A84" s="518"/>
      <c r="B84" s="504"/>
      <c r="C84" s="107" t="str">
        <f>IF(AND(ISNUMBER(B60), OR('Cost Inputs'!$H$83&lt;&gt;"", 'Cost Inputs'!$I$83&lt;&gt;"", 'Cost Inputs'!$J$83&lt;&gt;"")),_3_4_6, "")</f>
        <v/>
      </c>
      <c r="D84" s="93" t="str">
        <f>IF(AND(C84&lt;&gt;"", 'Cost Inputs'!$G$83&lt;&gt;""), 'Cost Inputs'!$G$83, "")</f>
        <v/>
      </c>
      <c r="E84" s="93" t="str">
        <f>IF(AND(C84&lt;&gt;"", 'Cost Inputs'!$H$83&lt;&gt;""), 'Cost Inputs'!$H$83, "")</f>
        <v/>
      </c>
      <c r="F84" s="93" t="str">
        <f>IF(AND(C84&lt;&gt;"", 'Cost Inputs'!$I$83&lt;&gt;""), 'Cost Inputs'!$I$83, "")</f>
        <v/>
      </c>
      <c r="G84" s="93" t="str">
        <f t="shared" si="5"/>
        <v/>
      </c>
      <c r="H84" s="93" t="str">
        <f>IF(AND(C84&lt;&gt;"", 'Cost Inputs'!$J$83&lt;&gt;""), 'Cost Inputs'!$J$83, "")</f>
        <v/>
      </c>
      <c r="I84" s="93" t="str">
        <f t="shared" si="4"/>
        <v/>
      </c>
      <c r="J84" s="93" t="str">
        <f>IF(AND(C84&lt;&gt;"",('Cost Inputs'!$I$83+'Cost Inputs'!$J$83+'Cost Inputs'!$K$83)&gt;0), 'Cost Inputs'!$I$83+'Cost Inputs'!$J$83+'Cost Inputs'!$K$83, "")</f>
        <v/>
      </c>
      <c r="K84" s="93" t="str">
        <f>IF(AND(C84&lt;&gt;"", 'Cost Inputs'!$N$83&gt;0),'Cost Inputs'!$N$83,"")</f>
        <v/>
      </c>
      <c r="L84" s="93"/>
      <c r="M84" s="109"/>
      <c r="Q84" s="107" t="str">
        <f>IF(ISNUMBER('Model_ of_individuals'!Q84), 'Model_ of_individuals'!Q84*'Model_ of_individuals'!$K84,"")</f>
        <v/>
      </c>
      <c r="R84" s="93" t="str">
        <f>IF(ISNUMBER('Model_ of_individuals'!R84), 'Model_ of_individuals'!R84*'Model_ of_individuals'!$K84,"")</f>
        <v/>
      </c>
      <c r="S84" s="93" t="str">
        <f>IF(ISNUMBER('Model_ of_individuals'!S84), 'Model_ of_individuals'!S84*'Model_ of_individuals'!$K84,"")</f>
        <v/>
      </c>
      <c r="T84" s="93" t="str">
        <f>IF(ISNUMBER('Model_ of_individuals'!T84), 'Model_ of_individuals'!T84*'Model_ of_individuals'!$K84,"")</f>
        <v/>
      </c>
      <c r="U84" s="93" t="str">
        <f>IF(ISNUMBER('Model_ of_individuals'!U84), 'Model_ of_individuals'!U84*'Model_ of_individuals'!$K84,"")</f>
        <v/>
      </c>
      <c r="V84" s="93" t="str">
        <f>IF(ISNUMBER('Model_ of_individuals'!V84), 'Model_ of_individuals'!V84*'Model_ of_individuals'!$K84,"")</f>
        <v/>
      </c>
      <c r="W84" s="93" t="str">
        <f>IF(ISNUMBER('Model_ of_individuals'!W84), 'Model_ of_individuals'!W84*'Model_ of_individuals'!$K84,"")</f>
        <v/>
      </c>
      <c r="X84" s="93" t="str">
        <f>IF(ISNUMBER('Model_ of_individuals'!X84), 'Model_ of_individuals'!X84*'Model_ of_individuals'!$K84,"")</f>
        <v/>
      </c>
      <c r="Y84" s="93" t="str">
        <f>IF(ISNUMBER('Model_ of_individuals'!Y84), 'Model_ of_individuals'!Y84*'Model_ of_individuals'!$K84,"")</f>
        <v/>
      </c>
      <c r="Z84" s="109" t="str">
        <f>IF(ISNUMBER('Model_ of_individuals'!Z84), 'Model_ of_individuals'!Z84*'Model_ of_individuals'!$K84,"")</f>
        <v/>
      </c>
    </row>
    <row r="85" spans="1:27" x14ac:dyDescent="0.25">
      <c r="A85" s="518"/>
      <c r="B85" s="504"/>
      <c r="C85" s="110" t="str">
        <f>IF(ISNUMBER(B60), _3_5_0,"")</f>
        <v/>
      </c>
      <c r="D85" s="94" t="str">
        <f>IF(AND(B60&lt;&gt;"", OR('Cost Inputs'!$H$84&lt;&gt;"", 'Cost Inputs'!$I$84&lt;&gt;"", 'Cost Inputs'!$J$84&lt;&gt;"")), 'Cost Inputs'!$G$84,"")</f>
        <v/>
      </c>
      <c r="E85" s="94" t="str">
        <f>IF(AND(C85&lt;&gt;"", 'Cost Inputs'!$H$84&lt;&gt;""), 'Cost Inputs'!$H$84, "")</f>
        <v/>
      </c>
      <c r="F85" s="94" t="str">
        <f>IF(AND(C85&lt;&gt;"", 'Cost Inputs'!$I$84&lt;&gt;""), 'Cost Inputs'!$I$84, "")</f>
        <v/>
      </c>
      <c r="G85" s="94" t="str">
        <f t="shared" si="5"/>
        <v/>
      </c>
      <c r="H85" s="94" t="str">
        <f>IF(AND(C85&lt;&gt;"", 'Cost Inputs'!$J$84&lt;&gt;""), 'Cost Inputs'!$J$84, "")</f>
        <v/>
      </c>
      <c r="I85" s="94" t="str">
        <f>IF(AND($E85&lt;&gt;"", $H85&lt;&gt;""), $H85/$E85, "")</f>
        <v/>
      </c>
      <c r="J85" s="94" t="str">
        <f>IF(AND(C85&lt;&gt;"",('Cost Inputs'!$I$84+'Cost Inputs'!$J$84+'Cost Inputs'!$K$84)&gt;0), 'Cost Inputs'!$I$84+'Cost Inputs'!$J$84+'Cost Inputs'!$K$84, "")</f>
        <v/>
      </c>
      <c r="K85" s="94" t="str">
        <f>IF(AND(C85&lt;&gt;"", 'Cost Inputs'!$N$84&gt;0),'Cost Inputs'!$N$84,"")</f>
        <v/>
      </c>
      <c r="L85" s="94"/>
      <c r="M85" s="129" t="str">
        <f>IF(ISNUMBER(B60), 'Breeding Inputs'!D77+'Breeding Inputs'!E77, "")</f>
        <v/>
      </c>
      <c r="Q85" s="110" t="str">
        <f>IF(ISNUMBER('Model_ of_individuals'!Q86), 'Model_ of_individuals'!Q86*'Model_ of_individuals'!$K86,"")</f>
        <v/>
      </c>
      <c r="R85" s="94" t="str">
        <f>IF(ISNUMBER('Model_ of_individuals'!R86), 'Model_ of_individuals'!R86*'Model_ of_individuals'!$K86,"")</f>
        <v/>
      </c>
      <c r="S85" s="94" t="str">
        <f>IF(ISNUMBER('Model_ of_individuals'!S86), 'Model_ of_individuals'!S86*'Model_ of_individuals'!$K86,"")</f>
        <v/>
      </c>
      <c r="T85" s="94" t="str">
        <f>IF(ISNUMBER('Model_ of_individuals'!T86), 'Model_ of_individuals'!T86*'Model_ of_individuals'!$K86,"")</f>
        <v/>
      </c>
      <c r="U85" s="94" t="str">
        <f>IF(ISNUMBER('Model_ of_individuals'!U86), 'Model_ of_individuals'!U86*'Model_ of_individuals'!$K86,"")</f>
        <v/>
      </c>
      <c r="V85" s="94" t="str">
        <f>IF(ISNUMBER('Model_ of_individuals'!V86), 'Model_ of_individuals'!V86*'Model_ of_individuals'!$K86,"")</f>
        <v/>
      </c>
      <c r="W85" s="94" t="str">
        <f>IF(ISNUMBER('Model_ of_individuals'!W86), 'Model_ of_individuals'!W86*'Model_ of_individuals'!$K86,"")</f>
        <v/>
      </c>
      <c r="X85" s="94" t="str">
        <f>IF(ISNUMBER('Model_ of_individuals'!X86), 'Model_ of_individuals'!X86*'Model_ of_individuals'!$K86,"")</f>
        <v/>
      </c>
      <c r="Y85" s="94" t="str">
        <f>IF(ISNUMBER('Model_ of_individuals'!Y86), 'Model_ of_individuals'!Y86*'Model_ of_individuals'!$K86,"")</f>
        <v/>
      </c>
      <c r="Z85" s="103" t="str">
        <f>IF(ISNUMBER('Model_ of_individuals'!Z86), 'Model_ of_individuals'!Z86*'Model_ of_individuals'!$K86,"")</f>
        <v/>
      </c>
    </row>
    <row r="86" spans="1:27" x14ac:dyDescent="0.25">
      <c r="A86" s="518"/>
      <c r="B86" s="504"/>
      <c r="C86" s="104" t="str">
        <f>IF(AND(ISNUMBER(B60), OR('Cost Inputs'!$H$85&lt;&gt;"", 'Cost Inputs'!$I$85&lt;&gt;"", 'Cost Inputs'!$J$85&lt;&gt;"")), _3_5_1, "")</f>
        <v/>
      </c>
      <c r="D86" s="17" t="str">
        <f>IF(AND(C86&lt;&gt;"", 'Cost Inputs'!$G$85&lt;&gt;""), 'Cost Inputs'!$G$85, "")</f>
        <v/>
      </c>
      <c r="E86" s="17" t="str">
        <f>IF(AND(C86&lt;&gt;"", 'Cost Inputs'!$H$85&lt;&gt;""), 'Cost Inputs'!$H$85, "")</f>
        <v/>
      </c>
      <c r="F86" s="17" t="str">
        <f>IF(AND(C86&lt;&gt;"", 'Cost Inputs'!$I$85&lt;&gt;""), 'Cost Inputs'!$I$85, "")</f>
        <v/>
      </c>
      <c r="G86" s="17" t="str">
        <f t="shared" si="5"/>
        <v/>
      </c>
      <c r="H86" s="17" t="str">
        <f>IF(AND(C86&lt;&gt;"", 'Cost Inputs'!$J$85&lt;&gt;""), 'Cost Inputs'!$J$85, "")</f>
        <v/>
      </c>
      <c r="I86" s="17" t="str">
        <f t="shared" si="4"/>
        <v/>
      </c>
      <c r="J86" s="17" t="str">
        <f>IF(AND(C86&lt;&gt;"",('Cost Inputs'!$I$85+'Cost Inputs'!$J$85+'Cost Inputs'!$K$85)&gt;0), 'Cost Inputs'!$I$85+'Cost Inputs'!$J$85+'Cost Inputs'!$K$85, "")</f>
        <v/>
      </c>
      <c r="K86" s="17" t="str">
        <f>IF(AND(C86&lt;&gt;"", 'Cost Inputs'!$N$85&gt;0),'Cost Inputs'!$N$85,"")</f>
        <v/>
      </c>
      <c r="M86" s="106"/>
      <c r="Q86" s="104" t="str">
        <f>IF(ISNUMBER('Model_ of_individuals'!Q87), 'Model_ of_individuals'!Q87*'Model_ of_individuals'!$K87,"")</f>
        <v/>
      </c>
      <c r="R86" s="17" t="str">
        <f>IF(ISNUMBER('Model_ of_individuals'!R87), 'Model_ of_individuals'!R87*'Model_ of_individuals'!$K87,"")</f>
        <v/>
      </c>
      <c r="S86" s="17" t="str">
        <f>IF(ISNUMBER('Model_ of_individuals'!S87), 'Model_ of_individuals'!S87*'Model_ of_individuals'!$K87,"")</f>
        <v/>
      </c>
      <c r="T86" s="17" t="str">
        <f>IF(ISNUMBER('Model_ of_individuals'!T87), 'Model_ of_individuals'!T87*'Model_ of_individuals'!$K87,"")</f>
        <v/>
      </c>
      <c r="U86" s="17" t="str">
        <f>IF(ISNUMBER('Model_ of_individuals'!U87), 'Model_ of_individuals'!U87*'Model_ of_individuals'!$K87,"")</f>
        <v/>
      </c>
      <c r="V86" s="17" t="str">
        <f>IF(ISNUMBER('Model_ of_individuals'!V87), 'Model_ of_individuals'!V87*'Model_ of_individuals'!$K87,"")</f>
        <v/>
      </c>
      <c r="W86" s="17" t="str">
        <f>IF(ISNUMBER('Model_ of_individuals'!W87), 'Model_ of_individuals'!W87*'Model_ of_individuals'!$K87,"")</f>
        <v/>
      </c>
      <c r="X86" s="17" t="str">
        <f>IF(ISNUMBER('Model_ of_individuals'!X87), 'Model_ of_individuals'!X87*'Model_ of_individuals'!$K87,"")</f>
        <v/>
      </c>
      <c r="Y86" s="17" t="str">
        <f>IF(ISNUMBER('Model_ of_individuals'!Y87), 'Model_ of_individuals'!Y87*'Model_ of_individuals'!$K87,"")</f>
        <v/>
      </c>
      <c r="Z86" s="106" t="str">
        <f>IF(ISNUMBER('Model_ of_individuals'!Z87), 'Model_ of_individuals'!Z87*'Model_ of_individuals'!$K87,"")</f>
        <v/>
      </c>
    </row>
    <row r="87" spans="1:27" ht="15.75" thickBot="1" x14ac:dyDescent="0.3">
      <c r="A87" s="518"/>
      <c r="B87" s="505"/>
      <c r="C87" s="111" t="str">
        <f>IF(AND(ISNUMBER(B60), OR('Cost Inputs'!$H$86&lt;&gt;"", 'Cost Inputs'!$I$86&lt;&gt;"", 'Cost Inputs'!$J$86&lt;&gt;"")), _3_5_2, "")</f>
        <v/>
      </c>
      <c r="D87" s="95" t="str">
        <f>IF(AND(C87&lt;&gt;"", 'Cost Inputs'!$G$86&lt;&gt;""), 'Cost Inputs'!$G$86, "")</f>
        <v/>
      </c>
      <c r="E87" s="95" t="str">
        <f>IF(AND(C87&lt;&gt;"", 'Cost Inputs'!$H$86&lt;&gt;""), 'Cost Inputs'!$H$86, "")</f>
        <v/>
      </c>
      <c r="F87" s="95" t="str">
        <f>IF(AND(C87&lt;&gt;"", 'Cost Inputs'!$I$86&lt;&gt;""), 'Cost Inputs'!$I$86, "")</f>
        <v/>
      </c>
      <c r="G87" s="95" t="str">
        <f t="shared" si="5"/>
        <v/>
      </c>
      <c r="H87" s="95" t="str">
        <f>IF(AND(C87&lt;&gt;"", 'Cost Inputs'!$J$86&lt;&gt;""), 'Cost Inputs'!$J$86, "")</f>
        <v/>
      </c>
      <c r="I87" s="95" t="str">
        <f t="shared" si="4"/>
        <v/>
      </c>
      <c r="J87" s="95" t="str">
        <f>IF(AND(C87&lt;&gt;"",('Cost Inputs'!$I$86+'Cost Inputs'!$J$86+'Cost Inputs'!$K$86)&gt;0), 'Cost Inputs'!$I$86+'Cost Inputs'!$J$86+'Cost Inputs'!$K$86, "")</f>
        <v/>
      </c>
      <c r="K87" s="95" t="str">
        <f>IF(AND(C87&lt;&gt;"", 'Cost Inputs'!$N$86&gt;0),'Cost Inputs'!$N$86,"")</f>
        <v/>
      </c>
      <c r="L87" s="95"/>
      <c r="M87" s="113"/>
      <c r="Q87" s="111" t="str">
        <f>IF(ISNUMBER('Model_ of_individuals'!Q88), 'Model_ of_individuals'!Q88*'Model_ of_individuals'!$K88,"")</f>
        <v/>
      </c>
      <c r="R87" s="95" t="str">
        <f>IF(ISNUMBER('Model_ of_individuals'!R88), 'Model_ of_individuals'!R88*'Model_ of_individuals'!$K88,"")</f>
        <v/>
      </c>
      <c r="S87" s="95" t="str">
        <f>IF(ISNUMBER('Model_ of_individuals'!S88), 'Model_ of_individuals'!S88*'Model_ of_individuals'!$K88,"")</f>
        <v/>
      </c>
      <c r="T87" s="95" t="str">
        <f>IF(ISNUMBER('Model_ of_individuals'!T88), 'Model_ of_individuals'!T88*'Model_ of_individuals'!$K88,"")</f>
        <v/>
      </c>
      <c r="U87" s="95" t="str">
        <f>IF(ISNUMBER('Model_ of_individuals'!U88), 'Model_ of_individuals'!U88*'Model_ of_individuals'!$K88,"")</f>
        <v/>
      </c>
      <c r="V87" s="95" t="str">
        <f>IF(ISNUMBER('Model_ of_individuals'!V88), 'Model_ of_individuals'!V88*'Model_ of_individuals'!$K88,"")</f>
        <v/>
      </c>
      <c r="W87" s="95" t="str">
        <f>IF(ISNUMBER('Model_ of_individuals'!W88), 'Model_ of_individuals'!W88*'Model_ of_individuals'!$K88,"")</f>
        <v/>
      </c>
      <c r="X87" s="95" t="str">
        <f>IF(ISNUMBER('Model_ of_individuals'!X88), 'Model_ of_individuals'!X88*'Model_ of_individuals'!$K88,"")</f>
        <v/>
      </c>
      <c r="Y87" s="95" t="str">
        <f>IF(ISNUMBER('Model_ of_individuals'!Y88), 'Model_ of_individuals'!Y88*'Model_ of_individuals'!$K88,"")</f>
        <v/>
      </c>
      <c r="Z87" s="113" t="str">
        <f>IF(ISNUMBER('Model_ of_individuals'!Z88), 'Model_ of_individuals'!Z88*'Model_ of_individuals'!$K88,"")</f>
        <v/>
      </c>
    </row>
    <row r="88" spans="1:27" x14ac:dyDescent="0.25">
      <c r="A88" s="518" t="str">
        <f>Third_Stage</f>
        <v>Stage 1 Seedling Test Plots</v>
      </c>
      <c r="B88" s="503" t="str">
        <f>'Breeding Inputs'!B78</f>
        <v/>
      </c>
      <c r="C88" s="116" t="str">
        <f>IF(ISNUMBER(B88), _3_2_0, "")</f>
        <v/>
      </c>
      <c r="D88" s="92" t="str">
        <f>IF(AND(B88&lt;&gt;"", OR('Cost Inputs'!$H$67&lt;&gt;"", 'Cost Inputs'!$I$67&lt;&gt;"", 'Cost Inputs'!$J$67&lt;&gt;"")), 'Cost Inputs'!$G$67,"")</f>
        <v/>
      </c>
      <c r="E88" s="92" t="str">
        <f>IF(AND(C88&lt;&gt;"", 'Cost Inputs'!$H$67&lt;&gt;"", M$85&lt;&gt;"", M$85&gt;0), $E68-('Cost Inputs'!$H$67*M$85), IF(AND(C88&lt;&gt;"", 'Cost Inputs'!$H$67&lt;&gt;""), $E68, ""))</f>
        <v/>
      </c>
      <c r="F88" s="92" t="str">
        <f>IF(AND(C88&lt;&gt;"", 'Cost Inputs'!$I$67&lt;&gt;""), 'Cost Inputs'!$I$67, "")</f>
        <v/>
      </c>
      <c r="G88" s="92" t="str">
        <f t="shared" si="5"/>
        <v/>
      </c>
      <c r="H88" s="92" t="str">
        <f>IF(AND(C88&lt;&gt;"", 'Cost Inputs'!$J$67&lt;&gt;""), 'Cost Inputs'!$J$67, "")</f>
        <v/>
      </c>
      <c r="I88" s="92" t="str">
        <f>IF(AND($E88&lt;&gt;"", $H88&lt;&gt;""), $H88/$E88, "")</f>
        <v/>
      </c>
      <c r="J88" s="92" t="str">
        <f>IF(AND(C88&lt;&gt;"",('Cost Inputs'!$I$67+'Cost Inputs'!$J$67+'Cost Inputs'!$K$67)&gt;0), 'Cost Inputs'!$I$67+'Cost Inputs'!$J$67+'Cost Inputs'!$K$67, "")</f>
        <v/>
      </c>
      <c r="K88" s="92" t="str">
        <f>IF(AND(C88&lt;&gt;"", 'Cost Inputs'!$N$67&gt;0),'Cost Inputs'!$N$67,"")</f>
        <v/>
      </c>
      <c r="L88" s="92"/>
      <c r="M88" s="101"/>
      <c r="R88" s="110" t="str">
        <f>IF(ISNUMBER('Model_ of_individuals'!R89), 'Model_ of_individuals'!R89*'Model_ of_individuals'!$K89,"")</f>
        <v/>
      </c>
      <c r="S88" s="94" t="str">
        <f>IF(ISNUMBER('Model_ of_individuals'!S89), 'Model_ of_individuals'!S89*'Model_ of_individuals'!$K89,"")</f>
        <v/>
      </c>
      <c r="T88" s="94" t="str">
        <f>IF(ISNUMBER('Model_ of_individuals'!T89), 'Model_ of_individuals'!T89*'Model_ of_individuals'!$K89,"")</f>
        <v/>
      </c>
      <c r="U88" s="94" t="str">
        <f>IF(ISNUMBER('Model_ of_individuals'!U89), 'Model_ of_individuals'!U89*'Model_ of_individuals'!$K89,"")</f>
        <v/>
      </c>
      <c r="V88" s="94" t="str">
        <f>IF(ISNUMBER('Model_ of_individuals'!V89), 'Model_ of_individuals'!V89*'Model_ of_individuals'!$K89,"")</f>
        <v/>
      </c>
      <c r="W88" s="94" t="str">
        <f>IF(ISNUMBER('Model_ of_individuals'!W89), 'Model_ of_individuals'!W89*'Model_ of_individuals'!$K89,"")</f>
        <v/>
      </c>
      <c r="X88" s="94" t="str">
        <f>IF(ISNUMBER('Model_ of_individuals'!X89), 'Model_ of_individuals'!X89*'Model_ of_individuals'!$K89,"")</f>
        <v/>
      </c>
      <c r="Y88" s="94" t="str">
        <f>IF(ISNUMBER('Model_ of_individuals'!Y89), 'Model_ of_individuals'!Y89*'Model_ of_individuals'!$K89,"")</f>
        <v/>
      </c>
      <c r="Z88" s="94" t="str">
        <f>IF(ISNUMBER('Model_ of_individuals'!Z89), 'Model_ of_individuals'!Z89*'Model_ of_individuals'!$K89,"")</f>
        <v/>
      </c>
      <c r="AA88" s="103" t="str">
        <f>IF(ISNUMBER('Model_ of_individuals'!AA89), 'Model_ of_individuals'!AA89*'Model_ of_individuals'!$K89,"")</f>
        <v/>
      </c>
    </row>
    <row r="89" spans="1:27" x14ac:dyDescent="0.25">
      <c r="A89" s="518"/>
      <c r="B89" s="504"/>
      <c r="C89" s="104" t="str">
        <f>IF(AND(ISNUMBER(B88), OR('Cost Inputs'!$H$68&lt;&gt;"", 'Cost Inputs'!$I$68&lt;&gt;"", 'Cost Inputs'!$J$68&lt;&gt;"")), _3_2_1, "")</f>
        <v/>
      </c>
      <c r="D89" s="17" t="str">
        <f>IF(AND($C89&lt;&gt;"", 'Cost Inputs'!$G$68&lt;&gt;""), 'Cost Inputs'!$G$68, "")</f>
        <v/>
      </c>
      <c r="E89" s="17" t="str">
        <f>IF(AND(C89&lt;&gt;"", 'Cost Inputs'!$H$68&lt;&gt;"", M$85&lt;&gt;"", M$85&gt;0), $E69-('Cost Inputs'!$H$68*M$85), IF(AND(C89&lt;&gt;"", 'Cost Inputs'!$H$68&lt;&gt;""), $E69, ""))</f>
        <v/>
      </c>
      <c r="F89" s="17" t="str">
        <f>IF(AND(C89&lt;&gt;"", 'Cost Inputs'!$I$68&lt;&gt;""), 'Cost Inputs'!$I$68, "")</f>
        <v/>
      </c>
      <c r="G89" s="17" t="str">
        <f t="shared" si="5"/>
        <v/>
      </c>
      <c r="H89" s="17" t="str">
        <f>IF(AND(C89&lt;&gt;"", 'Cost Inputs'!$J$68&lt;&gt;""), 'Cost Inputs'!$J$68, "")</f>
        <v/>
      </c>
      <c r="I89" s="17" t="str">
        <f t="shared" si="4"/>
        <v/>
      </c>
      <c r="J89" s="17" t="str">
        <f>IF(AND(C89&lt;&gt;"",('Cost Inputs'!$I$68+'Cost Inputs'!$J$68+'Cost Inputs'!$K$68)&gt;0), 'Cost Inputs'!$I$68+'Cost Inputs'!$J$68+'Cost Inputs'!$K$68, "")</f>
        <v/>
      </c>
      <c r="K89" s="17" t="str">
        <f>IF(AND(C89&lt;&gt;"", 'Cost Inputs'!$N$68&gt;0),'Cost Inputs'!$N$68,"")</f>
        <v/>
      </c>
      <c r="M89" s="106"/>
      <c r="R89" s="104" t="str">
        <f>IF(ISNUMBER('Model_ of_individuals'!R90), 'Model_ of_individuals'!R90*'Model_ of_individuals'!$K90,"")</f>
        <v/>
      </c>
      <c r="S89" s="17" t="str">
        <f>IF(ISNUMBER('Model_ of_individuals'!S90), 'Model_ of_individuals'!S90*'Model_ of_individuals'!$K90,"")</f>
        <v/>
      </c>
      <c r="T89" s="17" t="str">
        <f>IF(ISNUMBER('Model_ of_individuals'!T90), 'Model_ of_individuals'!T90*'Model_ of_individuals'!$K90,"")</f>
        <v/>
      </c>
      <c r="U89" s="17" t="str">
        <f>IF(ISNUMBER('Model_ of_individuals'!U90), 'Model_ of_individuals'!U90*'Model_ of_individuals'!$K90,"")</f>
        <v/>
      </c>
      <c r="V89" s="17" t="str">
        <f>IF(ISNUMBER('Model_ of_individuals'!V90), 'Model_ of_individuals'!V90*'Model_ of_individuals'!$K90,"")</f>
        <v/>
      </c>
      <c r="W89" s="17" t="str">
        <f>IF(ISNUMBER('Model_ of_individuals'!W90), 'Model_ of_individuals'!W90*'Model_ of_individuals'!$K90,"")</f>
        <v/>
      </c>
      <c r="X89" s="17" t="str">
        <f>IF(ISNUMBER('Model_ of_individuals'!X90), 'Model_ of_individuals'!X90*'Model_ of_individuals'!$K90,"")</f>
        <v/>
      </c>
      <c r="Y89" s="17" t="str">
        <f>IF(ISNUMBER('Model_ of_individuals'!Y90), 'Model_ of_individuals'!Y90*'Model_ of_individuals'!$K90,"")</f>
        <v/>
      </c>
      <c r="Z89" s="17" t="str">
        <f>IF(ISNUMBER('Model_ of_individuals'!Z90), 'Model_ of_individuals'!Z90*'Model_ of_individuals'!$K90,"")</f>
        <v/>
      </c>
      <c r="AA89" s="106" t="str">
        <f>IF(ISNUMBER('Model_ of_individuals'!AA90), 'Model_ of_individuals'!AA90*'Model_ of_individuals'!$K90,"")</f>
        <v/>
      </c>
    </row>
    <row r="90" spans="1:27" x14ac:dyDescent="0.25">
      <c r="A90" s="518"/>
      <c r="B90" s="504"/>
      <c r="C90" s="107" t="str">
        <f>IF(AND(ISNUMBER(B88), OR('Cost Inputs'!$H$69&lt;&gt;"", 'Cost Inputs'!$I$69&lt;&gt;"", 'Cost Inputs'!$J$69&lt;&gt;"")), _3_2_2, "")</f>
        <v/>
      </c>
      <c r="D90" s="93" t="str">
        <f>IF(AND($C90&lt;&gt;"", 'Cost Inputs'!$G$69&lt;&gt;""), 'Cost Inputs'!$G$69, "")</f>
        <v/>
      </c>
      <c r="E90" s="93" t="str">
        <f>IF(AND(C90&lt;&gt;"", 'Cost Inputs'!$H$69&lt;&gt;"", M$85&lt;&gt;"", M$85&gt;0), $E70-('Cost Inputs'!$H$69*M$85), IF(AND(C90&lt;&gt;"", 'Cost Inputs'!$H$69&lt;&gt;""), $E70, ""))</f>
        <v/>
      </c>
      <c r="F90" s="93" t="str">
        <f>IF(AND(C90&lt;&gt;"", 'Cost Inputs'!$I$69&lt;&gt;""), 'Cost Inputs'!$I$69, "")</f>
        <v/>
      </c>
      <c r="G90" s="93" t="str">
        <f t="shared" si="5"/>
        <v/>
      </c>
      <c r="H90" s="93" t="str">
        <f>IF(AND(C90&lt;&gt;"", 'Cost Inputs'!$J$69&lt;&gt;""), 'Cost Inputs'!$J$69, "")</f>
        <v/>
      </c>
      <c r="I90" s="93" t="str">
        <f t="shared" si="4"/>
        <v/>
      </c>
      <c r="J90" s="93" t="str">
        <f>IF(AND(C90&lt;&gt;"",('Cost Inputs'!$I$69+'Cost Inputs'!$J$69+'Cost Inputs'!$K$69)&gt;0), 'Cost Inputs'!$I$69+'Cost Inputs'!$J$69+'Cost Inputs'!$K$69, "")</f>
        <v/>
      </c>
      <c r="K90" s="93" t="str">
        <f>IF(AND(C90&lt;&gt;"", 'Cost Inputs'!$N$69&gt;0),'Cost Inputs'!$N$69,"")</f>
        <v/>
      </c>
      <c r="L90" s="93"/>
      <c r="M90" s="109"/>
      <c r="R90" s="107" t="str">
        <f>IF(ISNUMBER('Model_ of_individuals'!R91), 'Model_ of_individuals'!R91*'Model_ of_individuals'!$K91,"")</f>
        <v/>
      </c>
      <c r="S90" s="93" t="str">
        <f>IF(ISNUMBER('Model_ of_individuals'!S91), 'Model_ of_individuals'!S91*'Model_ of_individuals'!$K91,"")</f>
        <v/>
      </c>
      <c r="T90" s="93" t="str">
        <f>IF(ISNUMBER('Model_ of_individuals'!T91), 'Model_ of_individuals'!T91*'Model_ of_individuals'!$K91,"")</f>
        <v/>
      </c>
      <c r="U90" s="93" t="str">
        <f>IF(ISNUMBER('Model_ of_individuals'!U91), 'Model_ of_individuals'!U91*'Model_ of_individuals'!$K91,"")</f>
        <v/>
      </c>
      <c r="V90" s="93" t="str">
        <f>IF(ISNUMBER('Model_ of_individuals'!V91), 'Model_ of_individuals'!V91*'Model_ of_individuals'!$K91,"")</f>
        <v/>
      </c>
      <c r="W90" s="93" t="str">
        <f>IF(ISNUMBER('Model_ of_individuals'!W91), 'Model_ of_individuals'!W91*'Model_ of_individuals'!$K91,"")</f>
        <v/>
      </c>
      <c r="X90" s="93" t="str">
        <f>IF(ISNUMBER('Model_ of_individuals'!X91), 'Model_ of_individuals'!X91*'Model_ of_individuals'!$K91,"")</f>
        <v/>
      </c>
      <c r="Y90" s="93" t="str">
        <f>IF(ISNUMBER('Model_ of_individuals'!Y91), 'Model_ of_individuals'!Y91*'Model_ of_individuals'!$K91,"")</f>
        <v/>
      </c>
      <c r="Z90" s="93" t="str">
        <f>IF(ISNUMBER('Model_ of_individuals'!Z91), 'Model_ of_individuals'!Z91*'Model_ of_individuals'!$K91,"")</f>
        <v/>
      </c>
      <c r="AA90" s="109" t="str">
        <f>IF(ISNUMBER('Model_ of_individuals'!AA91), 'Model_ of_individuals'!AA91*'Model_ of_individuals'!$K91,"")</f>
        <v/>
      </c>
    </row>
    <row r="91" spans="1:27" x14ac:dyDescent="0.25">
      <c r="A91" s="518"/>
      <c r="B91" s="504"/>
      <c r="C91" s="104" t="str">
        <f>IF(AND( ISNUMBER(B88), OR('Cost Inputs'!$H$70&lt;&gt;"", 'Cost Inputs'!$I$70&lt;&gt;"", 'Cost Inputs'!$J$70&lt;&gt;"")), _3_2_3, "")</f>
        <v/>
      </c>
      <c r="D91" s="17" t="str">
        <f>IF(AND($C91&lt;&gt;"", 'Cost Inputs'!$G$70&lt;&gt;""), 'Cost Inputs'!$G$70, "")</f>
        <v/>
      </c>
      <c r="E91" s="17" t="str">
        <f>IF(AND(C91&lt;&gt;"", 'Cost Inputs'!$H$70&lt;&gt;"", M$85&lt;&gt;"", M$85&gt;0), $E71-('Cost Inputs'!$H$70*M$85), IF(AND(C91&lt;&gt;"", 'Cost Inputs'!$H$70&lt;&gt;""), $E71, ""))</f>
        <v/>
      </c>
      <c r="F91" s="17" t="str">
        <f>IF(AND(C91&lt;&gt;"", 'Cost Inputs'!$I$70&lt;&gt;""), 'Cost Inputs'!$I$70, "")</f>
        <v/>
      </c>
      <c r="G91" s="17" t="str">
        <f t="shared" si="5"/>
        <v/>
      </c>
      <c r="H91" s="17" t="str">
        <f>IF(AND(C91&lt;&gt;"", 'Cost Inputs'!$J$70&lt;&gt;""), 'Cost Inputs'!$J$70, "")</f>
        <v/>
      </c>
      <c r="I91" s="17" t="str">
        <f t="shared" si="4"/>
        <v/>
      </c>
      <c r="J91" s="17" t="str">
        <f>IF(AND(C91&lt;&gt;"",('Cost Inputs'!$I$70+'Cost Inputs'!$J$70+'Cost Inputs'!$K$70)&gt;0), 'Cost Inputs'!$I$70+'Cost Inputs'!$J$70+'Cost Inputs'!$K$70, "")</f>
        <v/>
      </c>
      <c r="K91" s="17" t="str">
        <f>IF(AND(C91&lt;&gt;"", 'Cost Inputs'!$N$70&gt;0),'Cost Inputs'!$N$70,"")</f>
        <v/>
      </c>
      <c r="M91" s="106"/>
      <c r="R91" s="104" t="str">
        <f>IF(ISNUMBER('Model_ of_individuals'!R92), 'Model_ of_individuals'!R92*'Model_ of_individuals'!$K92,"")</f>
        <v/>
      </c>
      <c r="S91" s="17" t="str">
        <f>IF(ISNUMBER('Model_ of_individuals'!S92), 'Model_ of_individuals'!S92*'Model_ of_individuals'!$K92,"")</f>
        <v/>
      </c>
      <c r="T91" s="17" t="str">
        <f>IF(ISNUMBER('Model_ of_individuals'!T92), 'Model_ of_individuals'!T92*'Model_ of_individuals'!$K92,"")</f>
        <v/>
      </c>
      <c r="U91" s="17" t="str">
        <f>IF(ISNUMBER('Model_ of_individuals'!U92), 'Model_ of_individuals'!U92*'Model_ of_individuals'!$K92,"")</f>
        <v/>
      </c>
      <c r="V91" s="17" t="str">
        <f>IF(ISNUMBER('Model_ of_individuals'!V92), 'Model_ of_individuals'!V92*'Model_ of_individuals'!$K92,"")</f>
        <v/>
      </c>
      <c r="W91" s="17" t="str">
        <f>IF(ISNUMBER('Model_ of_individuals'!W92), 'Model_ of_individuals'!W92*'Model_ of_individuals'!$K92,"")</f>
        <v/>
      </c>
      <c r="X91" s="17" t="str">
        <f>IF(ISNUMBER('Model_ of_individuals'!X92), 'Model_ of_individuals'!X92*'Model_ of_individuals'!$K92,"")</f>
        <v/>
      </c>
      <c r="Y91" s="17" t="str">
        <f>IF(ISNUMBER('Model_ of_individuals'!Y92), 'Model_ of_individuals'!Y92*'Model_ of_individuals'!$K92,"")</f>
        <v/>
      </c>
      <c r="Z91" s="17" t="str">
        <f>IF(ISNUMBER('Model_ of_individuals'!Z92), 'Model_ of_individuals'!Z92*'Model_ of_individuals'!$K92,"")</f>
        <v/>
      </c>
      <c r="AA91" s="106" t="str">
        <f>IF(ISNUMBER('Model_ of_individuals'!AA92), 'Model_ of_individuals'!AA92*'Model_ of_individuals'!$K92,"")</f>
        <v/>
      </c>
    </row>
    <row r="92" spans="1:27" x14ac:dyDescent="0.25">
      <c r="A92" s="518"/>
      <c r="B92" s="504"/>
      <c r="C92" s="107" t="str">
        <f>IF(AND( ISNUMBER(B88), OR('Cost Inputs'!$H$71&lt;&gt;"", 'Cost Inputs'!$I$71&lt;&gt;"", 'Cost Inputs'!$J$71&lt;&gt;"")), _3_2_4, "")</f>
        <v/>
      </c>
      <c r="D92" s="93" t="str">
        <f>IF(AND($C92&lt;&gt;"", 'Cost Inputs'!$G$71&lt;&gt;""), 'Cost Inputs'!$G$71, "")</f>
        <v/>
      </c>
      <c r="E92" s="93" t="str">
        <f>IF(AND(C92&lt;&gt;"", 'Cost Inputs'!$H$71&lt;&gt;"", M$85&lt;&gt;"", M$85&gt;0), $E72-('Cost Inputs'!$H$71*M$85), IF(AND(C92&lt;&gt;"", 'Cost Inputs'!$H$71&lt;&gt;""), $E72, ""))</f>
        <v/>
      </c>
      <c r="F92" s="93" t="str">
        <f>IF(AND(C92&lt;&gt;"", 'Cost Inputs'!$I$71&lt;&gt;""), 'Cost Inputs'!$I$71, "")</f>
        <v/>
      </c>
      <c r="G92" s="93" t="str">
        <f t="shared" si="5"/>
        <v/>
      </c>
      <c r="H92" s="93" t="str">
        <f>IF(AND(C92&lt;&gt;"", 'Cost Inputs'!$J$71&lt;&gt;""), 'Cost Inputs'!$J$71, "")</f>
        <v/>
      </c>
      <c r="I92" s="93" t="str">
        <f t="shared" si="4"/>
        <v/>
      </c>
      <c r="J92" s="93" t="str">
        <f>IF(AND(C92&lt;&gt;"",('Cost Inputs'!$I$71+'Cost Inputs'!$J$71+'Cost Inputs'!$K$71)&gt;0), 'Cost Inputs'!$I$71+'Cost Inputs'!$J$71+'Cost Inputs'!$K$71, "")</f>
        <v/>
      </c>
      <c r="K92" s="93" t="str">
        <f>IF(AND(C92&lt;&gt;"", 'Cost Inputs'!$N$71&gt;0),'Cost Inputs'!$N$71,"")</f>
        <v/>
      </c>
      <c r="L92" s="93"/>
      <c r="M92" s="109"/>
      <c r="R92" s="107" t="str">
        <f>IF(ISNUMBER('Model_ of_individuals'!R93), 'Model_ of_individuals'!R93*'Model_ of_individuals'!$K93,"")</f>
        <v/>
      </c>
      <c r="S92" s="93" t="str">
        <f>IF(ISNUMBER('Model_ of_individuals'!S93), 'Model_ of_individuals'!S93*'Model_ of_individuals'!$K93,"")</f>
        <v/>
      </c>
      <c r="T92" s="93" t="str">
        <f>IF(ISNUMBER('Model_ of_individuals'!T93), 'Model_ of_individuals'!T93*'Model_ of_individuals'!$K93,"")</f>
        <v/>
      </c>
      <c r="U92" s="93" t="str">
        <f>IF(ISNUMBER('Model_ of_individuals'!U93), 'Model_ of_individuals'!U93*'Model_ of_individuals'!$K93,"")</f>
        <v/>
      </c>
      <c r="V92" s="93" t="str">
        <f>IF(ISNUMBER('Model_ of_individuals'!V93), 'Model_ of_individuals'!V93*'Model_ of_individuals'!$K93,"")</f>
        <v/>
      </c>
      <c r="W92" s="93" t="str">
        <f>IF(ISNUMBER('Model_ of_individuals'!W93), 'Model_ of_individuals'!W93*'Model_ of_individuals'!$K93,"")</f>
        <v/>
      </c>
      <c r="X92" s="93" t="str">
        <f>IF(ISNUMBER('Model_ of_individuals'!X93), 'Model_ of_individuals'!X93*'Model_ of_individuals'!$K93,"")</f>
        <v/>
      </c>
      <c r="Y92" s="93" t="str">
        <f>IF(ISNUMBER('Model_ of_individuals'!Y93), 'Model_ of_individuals'!Y93*'Model_ of_individuals'!$K93,"")</f>
        <v/>
      </c>
      <c r="Z92" s="93" t="str">
        <f>IF(ISNUMBER('Model_ of_individuals'!Z93), 'Model_ of_individuals'!Z93*'Model_ of_individuals'!$K93,"")</f>
        <v/>
      </c>
      <c r="AA92" s="109" t="str">
        <f>IF(ISNUMBER('Model_ of_individuals'!AA93), 'Model_ of_individuals'!AA93*'Model_ of_individuals'!$K93,"")</f>
        <v/>
      </c>
    </row>
    <row r="93" spans="1:27" x14ac:dyDescent="0.25">
      <c r="A93" s="518"/>
      <c r="B93" s="504"/>
      <c r="C93" s="110" t="str">
        <f>IF(AND(B88&lt;&gt;"", ISNUMBER(Stage1EvaluationBegins)), IF((INDEX(ProgramYearStage1,MATCH(Stage1EvaluationBegins,Years_in_Stage1,0)))=B88, _3_3_0, IF(AND(B88&lt;&gt;"", C73&lt;&gt;""), _3_3_0, IF(AND(B88&lt;&gt;"", OR(Stage1EvaluationBegins=0, Stage1EvaluationBegins="")),"", ""))),"")</f>
        <v/>
      </c>
      <c r="D93" s="94" t="str">
        <f>IF(AND(B88&lt;&gt;"", OR('Cost Inputs'!$H$72&lt;&gt;"", 'Cost Inputs'!$I$72&lt;&gt;"", 'Cost Inputs'!$J$72&lt;&gt;"")), 'Cost Inputs'!$G$72,"")</f>
        <v/>
      </c>
      <c r="E93" s="94" t="str">
        <f>IF(AND(C93&lt;&gt;"", 'Cost Inputs'!$H$72&lt;&gt;""), 'Cost Inputs'!$H$72, "")</f>
        <v/>
      </c>
      <c r="F93" s="94" t="str">
        <f>IF(AND(C93&lt;&gt;"", 'Cost Inputs'!$I$72&lt;&gt;""), 'Cost Inputs'!$I$72, "")</f>
        <v/>
      </c>
      <c r="G93" s="94" t="str">
        <f t="shared" si="5"/>
        <v/>
      </c>
      <c r="H93" s="94" t="str">
        <f>IF(AND(C93&lt;&gt;"", 'Cost Inputs'!$J$72&lt;&gt;""), 'Cost Inputs'!$J$72, "")</f>
        <v/>
      </c>
      <c r="I93" s="94" t="str">
        <f>IF(AND($E93&lt;&gt;"", $H93&lt;&gt;""), $H93/$E93, "")</f>
        <v/>
      </c>
      <c r="J93" s="94" t="str">
        <f>IF(AND(C93&lt;&gt;"",('Cost Inputs'!$I$72+'Cost Inputs'!$J$72+'Cost Inputs'!$K$72)&gt;0), 'Cost Inputs'!$I$72+'Cost Inputs'!$J$72+'Cost Inputs'!$K$72, "")</f>
        <v/>
      </c>
      <c r="K93" s="94" t="str">
        <f>IF(AND(C93&lt;&gt;"", 'Cost Inputs'!$N$72&gt;0),'Cost Inputs'!$N$72,"")</f>
        <v/>
      </c>
      <c r="L93" s="130" t="str">
        <f>IF(AND($B88&lt;&gt;"", ISNUMBER(Stage1EvaluationBegins)), IF((INDEX(ProgramYearStage1,MATCH(Stage1EvaluationBegins,Years_in_Stage1,0)))=$B88, INDEX(Stage1Evaluation,MATCH(Stage1EvaluationBegins,Years_in_Stage1,0)), IF(AND($B88&lt;&gt;"", $C73&lt;&gt;""), INDEX(Stage1Evaluation,MATCH($B88,ProgramYearStage1,0)), IF(AND(B88&lt;&gt;"", OR(Stage1EvaluationBegins=0, Stage1EvaluationBegins="")),"", ""))),"")</f>
        <v/>
      </c>
      <c r="M93" s="103"/>
      <c r="R93" s="110" t="str">
        <f>IF(ISNUMBER('Model_ of_individuals'!R94), 'Model_ of_individuals'!R94*'Model_ of_individuals'!$K94,"")</f>
        <v/>
      </c>
      <c r="S93" s="94" t="str">
        <f>IF(ISNUMBER('Model_ of_individuals'!S94), 'Model_ of_individuals'!S94*'Model_ of_individuals'!$K94,"")</f>
        <v/>
      </c>
      <c r="T93" s="94" t="str">
        <f>IF(ISNUMBER('Model_ of_individuals'!T94), 'Model_ of_individuals'!T94*'Model_ of_individuals'!$K94,"")</f>
        <v/>
      </c>
      <c r="U93" s="94" t="str">
        <f>IF(ISNUMBER('Model_ of_individuals'!U94), 'Model_ of_individuals'!U94*'Model_ of_individuals'!$K94,"")</f>
        <v/>
      </c>
      <c r="V93" s="94" t="str">
        <f>IF(ISNUMBER('Model_ of_individuals'!V94), 'Model_ of_individuals'!V94*'Model_ of_individuals'!$K94,"")</f>
        <v/>
      </c>
      <c r="W93" s="94" t="str">
        <f>IF(ISNUMBER('Model_ of_individuals'!W94), 'Model_ of_individuals'!W94*'Model_ of_individuals'!$K94,"")</f>
        <v/>
      </c>
      <c r="X93" s="94" t="str">
        <f>IF(ISNUMBER('Model_ of_individuals'!X94), 'Model_ of_individuals'!X94*'Model_ of_individuals'!$K94,"")</f>
        <v/>
      </c>
      <c r="Y93" s="94" t="str">
        <f>IF(ISNUMBER('Model_ of_individuals'!Y94), 'Model_ of_individuals'!Y94*'Model_ of_individuals'!$K94,"")</f>
        <v/>
      </c>
      <c r="Z93" s="94" t="str">
        <f>IF(ISNUMBER('Model_ of_individuals'!Z94), 'Model_ of_individuals'!Z94*'Model_ of_individuals'!$K94,"")</f>
        <v/>
      </c>
      <c r="AA93" s="103" t="str">
        <f>IF(ISNUMBER('Model_ of_individuals'!AA94), 'Model_ of_individuals'!AA94*'Model_ of_individuals'!$K94,"")</f>
        <v/>
      </c>
    </row>
    <row r="94" spans="1:27" x14ac:dyDescent="0.25">
      <c r="A94" s="518"/>
      <c r="B94" s="504"/>
      <c r="C94" s="104" t="str">
        <f>IF(AND(ISNUMBER(B88), C93&lt;&gt;"", OR('Cost Inputs'!$H$73&lt;&gt;"", 'Cost Inputs'!$I$73&lt;&gt;"", 'Cost Inputs'!$J$73&lt;&gt;"")), _3_3_1, "")</f>
        <v/>
      </c>
      <c r="D94" s="17" t="str">
        <f>IF(AND(C94&lt;&gt;"", 'Cost Inputs'!$G$73&lt;&gt;""), 'Cost Inputs'!$G$73, "")</f>
        <v/>
      </c>
      <c r="E94" s="17" t="str">
        <f>IF(AND(C94&lt;&gt;"", 'Cost Inputs'!$H$73&lt;&gt;""), 'Cost Inputs'!$H$73, "")</f>
        <v/>
      </c>
      <c r="F94" s="17" t="str">
        <f>IF(AND(C94&lt;&gt;"", 'Cost Inputs'!$I$73&lt;&gt;""), 'Cost Inputs'!$I$73, "")</f>
        <v/>
      </c>
      <c r="G94" s="17" t="str">
        <f t="shared" si="5"/>
        <v/>
      </c>
      <c r="H94" s="17" t="str">
        <f>IF(AND(C94&lt;&gt;"", 'Cost Inputs'!$J$73&lt;&gt;""), 'Cost Inputs'!$J$73, "")</f>
        <v/>
      </c>
      <c r="I94" s="17" t="str">
        <f t="shared" si="4"/>
        <v/>
      </c>
      <c r="J94" s="17" t="str">
        <f>IF(AND(C94&lt;&gt;"",('Cost Inputs'!$I$73+'Cost Inputs'!$J$73+'Cost Inputs'!$K$73)&gt;0), 'Cost Inputs'!$I$73+'Cost Inputs'!$J$73+'Cost Inputs'!$K$73, "")</f>
        <v/>
      </c>
      <c r="K94" s="17" t="str">
        <f>IF(AND(C94&lt;&gt;"", 'Cost Inputs'!$N$73&gt;0),'Cost Inputs'!$N$73,"")</f>
        <v/>
      </c>
      <c r="M94" s="106"/>
      <c r="R94" s="104" t="str">
        <f>IF(ISNUMBER('Model_ of_individuals'!R95), 'Model_ of_individuals'!R95*'Model_ of_individuals'!$K95,"")</f>
        <v/>
      </c>
      <c r="S94" s="17" t="str">
        <f>IF(ISNUMBER('Model_ of_individuals'!S95), 'Model_ of_individuals'!S95*'Model_ of_individuals'!$K95,"")</f>
        <v/>
      </c>
      <c r="T94" s="17" t="str">
        <f>IF(ISNUMBER('Model_ of_individuals'!T95), 'Model_ of_individuals'!T95*'Model_ of_individuals'!$K95,"")</f>
        <v/>
      </c>
      <c r="U94" s="17" t="str">
        <f>IF(ISNUMBER('Model_ of_individuals'!U95), 'Model_ of_individuals'!U95*'Model_ of_individuals'!$K95,"")</f>
        <v/>
      </c>
      <c r="V94" s="17" t="str">
        <f>IF(ISNUMBER('Model_ of_individuals'!V95), 'Model_ of_individuals'!V95*'Model_ of_individuals'!$K95,"")</f>
        <v/>
      </c>
      <c r="W94" s="17" t="str">
        <f>IF(ISNUMBER('Model_ of_individuals'!W95), 'Model_ of_individuals'!W95*'Model_ of_individuals'!$K95,"")</f>
        <v/>
      </c>
      <c r="X94" s="17" t="str">
        <f>IF(ISNUMBER('Model_ of_individuals'!X95), 'Model_ of_individuals'!X95*'Model_ of_individuals'!$K95,"")</f>
        <v/>
      </c>
      <c r="Y94" s="17" t="str">
        <f>IF(ISNUMBER('Model_ of_individuals'!Y95), 'Model_ of_individuals'!Y95*'Model_ of_individuals'!$K95,"")</f>
        <v/>
      </c>
      <c r="Z94" s="17" t="str">
        <f>IF(ISNUMBER('Model_ of_individuals'!Z95), 'Model_ of_individuals'!Z95*'Model_ of_individuals'!$K95,"")</f>
        <v/>
      </c>
      <c r="AA94" s="106" t="str">
        <f>IF(ISNUMBER('Model_ of_individuals'!AA95), 'Model_ of_individuals'!AA95*'Model_ of_individuals'!$K95,"")</f>
        <v/>
      </c>
    </row>
    <row r="95" spans="1:27" x14ac:dyDescent="0.25">
      <c r="A95" s="518"/>
      <c r="B95" s="504"/>
      <c r="C95" s="107" t="str">
        <f>IF(AND(ISNUMBER(B88), C93&lt;&gt;"", OR('Cost Inputs'!$H$74&lt;&gt;"", 'Cost Inputs'!$I$74&lt;&gt;"", 'Cost Inputs'!$J$74&lt;&gt;"")), _3_3_2, "")</f>
        <v/>
      </c>
      <c r="D95" s="93" t="str">
        <f>IF(AND(C95&lt;&gt;"", 'Cost Inputs'!$G$74&lt;&gt;""), 'Cost Inputs'!$G$74, "")</f>
        <v/>
      </c>
      <c r="E95" s="93" t="str">
        <f>IF(AND(C95&lt;&gt;"", 'Cost Inputs'!$H$74&lt;&gt;""), 'Cost Inputs'!$H$74, "")</f>
        <v/>
      </c>
      <c r="F95" s="93" t="str">
        <f>IF(AND(C95&lt;&gt;"", 'Cost Inputs'!$I$74&lt;&gt;""), 'Cost Inputs'!$I$74, "")</f>
        <v/>
      </c>
      <c r="G95" s="93" t="str">
        <f t="shared" si="5"/>
        <v/>
      </c>
      <c r="H95" s="93" t="str">
        <f>IF(AND(C95&lt;&gt;"", 'Cost Inputs'!$J$74&lt;&gt;""), 'Cost Inputs'!$J$74, "")</f>
        <v/>
      </c>
      <c r="I95" s="93" t="str">
        <f t="shared" si="4"/>
        <v/>
      </c>
      <c r="J95" s="93" t="str">
        <f>IF(AND(C95&lt;&gt;"",('Cost Inputs'!$I$74+'Cost Inputs'!$J$74+'Cost Inputs'!$K$74)&gt;0), 'Cost Inputs'!$I$74+'Cost Inputs'!$J$74+'Cost Inputs'!$K$74, "")</f>
        <v/>
      </c>
      <c r="K95" s="93" t="str">
        <f>IF(AND(C95&lt;&gt;"", 'Cost Inputs'!$N$74&gt;0),'Cost Inputs'!$N$74,"")</f>
        <v/>
      </c>
      <c r="L95" s="93"/>
      <c r="M95" s="109"/>
      <c r="R95" s="107" t="str">
        <f>IF(ISNUMBER('Model_ of_individuals'!R96), 'Model_ of_individuals'!R96*'Model_ of_individuals'!$K96,"")</f>
        <v/>
      </c>
      <c r="S95" s="93" t="str">
        <f>IF(ISNUMBER('Model_ of_individuals'!S96), 'Model_ of_individuals'!S96*'Model_ of_individuals'!$K96,"")</f>
        <v/>
      </c>
      <c r="T95" s="93" t="str">
        <f>IF(ISNUMBER('Model_ of_individuals'!T96), 'Model_ of_individuals'!T96*'Model_ of_individuals'!$K96,"")</f>
        <v/>
      </c>
      <c r="U95" s="93" t="str">
        <f>IF(ISNUMBER('Model_ of_individuals'!U96), 'Model_ of_individuals'!U96*'Model_ of_individuals'!$K96,"")</f>
        <v/>
      </c>
      <c r="V95" s="93" t="str">
        <f>IF(ISNUMBER('Model_ of_individuals'!V96), 'Model_ of_individuals'!V96*'Model_ of_individuals'!$K96,"")</f>
        <v/>
      </c>
      <c r="W95" s="93" t="str">
        <f>IF(ISNUMBER('Model_ of_individuals'!W96), 'Model_ of_individuals'!W96*'Model_ of_individuals'!$K96,"")</f>
        <v/>
      </c>
      <c r="X95" s="93" t="str">
        <f>IF(ISNUMBER('Model_ of_individuals'!X96), 'Model_ of_individuals'!X96*'Model_ of_individuals'!$K96,"")</f>
        <v/>
      </c>
      <c r="Y95" s="93" t="str">
        <f>IF(ISNUMBER('Model_ of_individuals'!Y96), 'Model_ of_individuals'!Y96*'Model_ of_individuals'!$K96,"")</f>
        <v/>
      </c>
      <c r="Z95" s="93" t="str">
        <f>IF(ISNUMBER('Model_ of_individuals'!Z96), 'Model_ of_individuals'!Z96*'Model_ of_individuals'!$K96,"")</f>
        <v/>
      </c>
      <c r="AA95" s="109" t="str">
        <f>IF(ISNUMBER('Model_ of_individuals'!AA96), 'Model_ of_individuals'!AA96*'Model_ of_individuals'!$K96,"")</f>
        <v/>
      </c>
    </row>
    <row r="96" spans="1:27" x14ac:dyDescent="0.25">
      <c r="A96" s="518"/>
      <c r="B96" s="504"/>
      <c r="C96" s="104" t="str">
        <f>IF(AND(ISNUMBER(B88), OR('Cost Inputs'!$H$75&lt;&gt;"", 'Cost Inputs'!$I$75&lt;&gt;"", 'Cost Inputs'!$J$75&lt;&gt;"")), _3_3_3, "")</f>
        <v/>
      </c>
      <c r="D96" s="17" t="str">
        <f>IF(AND(C96&lt;&gt;"", 'Cost Inputs'!$G$75&lt;&gt;""), 'Cost Inputs'!$G$75, "")</f>
        <v/>
      </c>
      <c r="E96" s="17" t="str">
        <f>IF(AND(C96&lt;&gt;"", 'Cost Inputs'!$H$75&lt;&gt;""), 'Cost Inputs'!$H$75, "")</f>
        <v/>
      </c>
      <c r="F96" s="17" t="str">
        <f>IF(AND(C96&lt;&gt;"", 'Cost Inputs'!$I$75&lt;&gt;""), 'Cost Inputs'!$I$75, "")</f>
        <v/>
      </c>
      <c r="G96" s="17" t="str">
        <f t="shared" si="5"/>
        <v/>
      </c>
      <c r="H96" s="17" t="str">
        <f>IF(AND(C96&lt;&gt;"", 'Cost Inputs'!$J$75&lt;&gt;""), 'Cost Inputs'!$J$75, "")</f>
        <v/>
      </c>
      <c r="I96" s="17" t="str">
        <f t="shared" si="4"/>
        <v/>
      </c>
      <c r="J96" s="17" t="str">
        <f>IF(AND(C96&lt;&gt;"",('Cost Inputs'!$I$75+'Cost Inputs'!$J$75+'Cost Inputs'!$K$75)&gt;0), 'Cost Inputs'!$I$75+'Cost Inputs'!$J$75+'Cost Inputs'!$K$75, "")</f>
        <v/>
      </c>
      <c r="K96" s="17" t="str">
        <f>IF(AND(C96&lt;&gt;"", 'Cost Inputs'!$N$75&gt;0),'Cost Inputs'!$N$75,"")</f>
        <v/>
      </c>
      <c r="M96" s="106"/>
      <c r="R96" s="104" t="str">
        <f>IF(ISNUMBER('Model_ of_individuals'!R97), 'Model_ of_individuals'!R97*'Model_ of_individuals'!$K97,"")</f>
        <v/>
      </c>
      <c r="S96" s="17" t="str">
        <f>IF(ISNUMBER('Model_ of_individuals'!S97), 'Model_ of_individuals'!S97*'Model_ of_individuals'!$K97,"")</f>
        <v/>
      </c>
      <c r="T96" s="17" t="str">
        <f>IF(ISNUMBER('Model_ of_individuals'!T97), 'Model_ of_individuals'!T97*'Model_ of_individuals'!$K97,"")</f>
        <v/>
      </c>
      <c r="U96" s="17" t="str">
        <f>IF(ISNUMBER('Model_ of_individuals'!U97), 'Model_ of_individuals'!U97*'Model_ of_individuals'!$K97,"")</f>
        <v/>
      </c>
      <c r="V96" s="17" t="str">
        <f>IF(ISNUMBER('Model_ of_individuals'!V97), 'Model_ of_individuals'!V97*'Model_ of_individuals'!$K97,"")</f>
        <v/>
      </c>
      <c r="W96" s="17" t="str">
        <f>IF(ISNUMBER('Model_ of_individuals'!W97), 'Model_ of_individuals'!W97*'Model_ of_individuals'!$K97,"")</f>
        <v/>
      </c>
      <c r="X96" s="17" t="str">
        <f>IF(ISNUMBER('Model_ of_individuals'!X97), 'Model_ of_individuals'!X97*'Model_ of_individuals'!$K97,"")</f>
        <v/>
      </c>
      <c r="Y96" s="17" t="str">
        <f>IF(ISNUMBER('Model_ of_individuals'!Y97), 'Model_ of_individuals'!Y97*'Model_ of_individuals'!$K97,"")</f>
        <v/>
      </c>
      <c r="Z96" s="17" t="str">
        <f>IF(ISNUMBER('Model_ of_individuals'!Z97), 'Model_ of_individuals'!Z97*'Model_ of_individuals'!$K97,"")</f>
        <v/>
      </c>
      <c r="AA96" s="106" t="str">
        <f>IF(ISNUMBER('Model_ of_individuals'!AA97), 'Model_ of_individuals'!AA97*'Model_ of_individuals'!$K97,"")</f>
        <v/>
      </c>
    </row>
    <row r="97" spans="1:28" x14ac:dyDescent="0.25">
      <c r="A97" s="518"/>
      <c r="B97" s="504"/>
      <c r="C97" s="107" t="str">
        <f>IF(AND(ISNUMBER(B88), OR('Cost Inputs'!$H$76&lt;&gt;"", 'Cost Inputs'!$I$76&lt;&gt;"", 'Cost Inputs'!$J$76&lt;&gt;"")), _3_3_4, "")</f>
        <v/>
      </c>
      <c r="D97" s="93" t="str">
        <f>IF(AND(C97&lt;&gt;"", 'Cost Inputs'!$G$76&lt;&gt;""), 'Cost Inputs'!$G$76, "")</f>
        <v/>
      </c>
      <c r="E97" s="93" t="str">
        <f>IF(AND(C97&lt;&gt;"", 'Cost Inputs'!$H$76&lt;&gt;""), 'Cost Inputs'!$H$76, "")</f>
        <v/>
      </c>
      <c r="F97" s="93" t="str">
        <f>IF(AND(C97&lt;&gt;"", 'Cost Inputs'!$I$76&lt;&gt;""), 'Cost Inputs'!$I$76, "")</f>
        <v/>
      </c>
      <c r="G97" s="93" t="str">
        <f t="shared" si="5"/>
        <v/>
      </c>
      <c r="H97" s="93" t="str">
        <f>IF(AND(C97&lt;&gt;"", 'Cost Inputs'!$J$76&lt;&gt;""), 'Cost Inputs'!$J$76, "")</f>
        <v/>
      </c>
      <c r="I97" s="93" t="str">
        <f t="shared" si="4"/>
        <v/>
      </c>
      <c r="J97" s="93" t="str">
        <f>IF(AND(C97&lt;&gt;"",('Cost Inputs'!$I$76+'Cost Inputs'!$J$76+'Cost Inputs'!$K$76)&gt;0), 'Cost Inputs'!$I$76+'Cost Inputs'!$J$76+'Cost Inputs'!$K$76, "")</f>
        <v/>
      </c>
      <c r="K97" s="93" t="str">
        <f>IF(AND(C97&lt;&gt;"", 'Cost Inputs'!$N$76&gt;0),'Cost Inputs'!$N$76,"")</f>
        <v/>
      </c>
      <c r="L97" s="93"/>
      <c r="M97" s="109"/>
      <c r="R97" s="107" t="str">
        <f>IF(ISNUMBER('Model_ of_individuals'!R98), 'Model_ of_individuals'!R98*'Model_ of_individuals'!$K98,"")</f>
        <v/>
      </c>
      <c r="S97" s="93" t="str">
        <f>IF(ISNUMBER('Model_ of_individuals'!S98), 'Model_ of_individuals'!S98*'Model_ of_individuals'!$K98,"")</f>
        <v/>
      </c>
      <c r="T97" s="93" t="str">
        <f>IF(ISNUMBER('Model_ of_individuals'!T98), 'Model_ of_individuals'!T98*'Model_ of_individuals'!$K98,"")</f>
        <v/>
      </c>
      <c r="U97" s="93" t="str">
        <f>IF(ISNUMBER('Model_ of_individuals'!U98), 'Model_ of_individuals'!U98*'Model_ of_individuals'!$K98,"")</f>
        <v/>
      </c>
      <c r="V97" s="93" t="str">
        <f>IF(ISNUMBER('Model_ of_individuals'!V98), 'Model_ of_individuals'!V98*'Model_ of_individuals'!$K98,"")</f>
        <v/>
      </c>
      <c r="W97" s="93" t="str">
        <f>IF(ISNUMBER('Model_ of_individuals'!W98), 'Model_ of_individuals'!W98*'Model_ of_individuals'!$K98,"")</f>
        <v/>
      </c>
      <c r="X97" s="93" t="str">
        <f>IF(ISNUMBER('Model_ of_individuals'!X98), 'Model_ of_individuals'!X98*'Model_ of_individuals'!$K98,"")</f>
        <v/>
      </c>
      <c r="Y97" s="93" t="str">
        <f>IF(ISNUMBER('Model_ of_individuals'!Y98), 'Model_ of_individuals'!Y98*'Model_ of_individuals'!$K98,"")</f>
        <v/>
      </c>
      <c r="Z97" s="93" t="str">
        <f>IF(ISNUMBER('Model_ of_individuals'!Z98), 'Model_ of_individuals'!Z98*'Model_ of_individuals'!$K98,"")</f>
        <v/>
      </c>
      <c r="AA97" s="109" t="str">
        <f>IF(ISNUMBER('Model_ of_individuals'!AA98), 'Model_ of_individuals'!AA98*'Model_ of_individuals'!$K98,"")</f>
        <v/>
      </c>
    </row>
    <row r="98" spans="1:28" x14ac:dyDescent="0.25">
      <c r="A98" s="518"/>
      <c r="B98" s="504"/>
      <c r="C98" s="110" t="str">
        <f>IF( ISNUMBER(B88), _3_4_0, "")</f>
        <v/>
      </c>
      <c r="D98" s="94" t="str">
        <f>IF(AND(B88&lt;&gt;"", OR('Cost Inputs'!$H$77&lt;&gt;"", 'Cost Inputs'!$I$77&lt;&gt;"", 'Cost Inputs'!$J$77&lt;&gt;"")), 'Cost Inputs'!$G$77,"")</f>
        <v/>
      </c>
      <c r="E98" s="94" t="str">
        <f>IF(AND(C98&lt;&gt;"", 'Cost Inputs'!$H$77&lt;&gt;""), 'Cost Inputs'!$H$77, "")</f>
        <v/>
      </c>
      <c r="F98" s="94" t="str">
        <f>IF(AND(C98&lt;&gt;"", 'Cost Inputs'!$I$77&lt;&gt;""), 'Cost Inputs'!$I$77, "")</f>
        <v/>
      </c>
      <c r="G98" s="94" t="str">
        <f t="shared" si="5"/>
        <v/>
      </c>
      <c r="H98" s="94" t="str">
        <f>IF(AND(C98&lt;&gt;"", 'Cost Inputs'!$J$77&lt;&gt;""), 'Cost Inputs'!$J$77, "")</f>
        <v/>
      </c>
      <c r="I98" s="94" t="str">
        <f>IF(AND($E98&lt;&gt;"", $H98&lt;&gt;""), $H98/$E98, "")</f>
        <v/>
      </c>
      <c r="J98" s="94" t="str">
        <f>IF(AND(C98&lt;&gt;"",('Cost Inputs'!$I$77+'Cost Inputs'!$J$77+'Cost Inputs'!$K$77)&gt;0), 'Cost Inputs'!$I$77+'Cost Inputs'!$J$77+'Cost Inputs'!$K$77, "")</f>
        <v/>
      </c>
      <c r="K98" s="94" t="str">
        <f>IF(AND(C98&lt;&gt;"", 'Cost Inputs'!$N$77&gt;0),'Cost Inputs'!$N$77,"")</f>
        <v/>
      </c>
      <c r="L98" s="94"/>
      <c r="M98" s="103"/>
      <c r="R98" s="110" t="str">
        <f>IF(ISNUMBER('Model_ of_individuals'!R99), 'Model_ of_individuals'!R99*'Model_ of_individuals'!$K99,"")</f>
        <v/>
      </c>
      <c r="S98" s="94" t="str">
        <f>IF(ISNUMBER('Model_ of_individuals'!S99), 'Model_ of_individuals'!S99*'Model_ of_individuals'!$K99,"")</f>
        <v/>
      </c>
      <c r="T98" s="94" t="str">
        <f>IF(ISNUMBER('Model_ of_individuals'!T99), 'Model_ of_individuals'!T99*'Model_ of_individuals'!$K99,"")</f>
        <v/>
      </c>
      <c r="U98" s="94" t="str">
        <f>IF(ISNUMBER('Model_ of_individuals'!U99), 'Model_ of_individuals'!U99*'Model_ of_individuals'!$K99,"")</f>
        <v/>
      </c>
      <c r="V98" s="94" t="str">
        <f>IF(ISNUMBER('Model_ of_individuals'!V99), 'Model_ of_individuals'!V99*'Model_ of_individuals'!$K99,"")</f>
        <v/>
      </c>
      <c r="W98" s="94" t="str">
        <f>IF(ISNUMBER('Model_ of_individuals'!W99), 'Model_ of_individuals'!W99*'Model_ of_individuals'!$K99,"")</f>
        <v/>
      </c>
      <c r="X98" s="94" t="str">
        <f>IF(ISNUMBER('Model_ of_individuals'!X99), 'Model_ of_individuals'!X99*'Model_ of_individuals'!$K99,"")</f>
        <v/>
      </c>
      <c r="Y98" s="94" t="str">
        <f>IF(ISNUMBER('Model_ of_individuals'!Y99), 'Model_ of_individuals'!Y99*'Model_ of_individuals'!$K99,"")</f>
        <v/>
      </c>
      <c r="Z98" s="94" t="str">
        <f>IF(ISNUMBER('Model_ of_individuals'!Z99), 'Model_ of_individuals'!Z99*'Model_ of_individuals'!$K99,"")</f>
        <v/>
      </c>
      <c r="AA98" s="103" t="str">
        <f>IF(ISNUMBER('Model_ of_individuals'!AA99), 'Model_ of_individuals'!AA99*'Model_ of_individuals'!$K99,"")</f>
        <v/>
      </c>
    </row>
    <row r="99" spans="1:28" x14ac:dyDescent="0.25">
      <c r="A99" s="518"/>
      <c r="B99" s="504"/>
      <c r="C99" s="104" t="str">
        <f>IF(AND(ISNUMBER(B88), OR('Cost Inputs'!$H$78&lt;&gt;"", 'Cost Inputs'!$I$78&lt;&gt;"", 'Cost Inputs'!$J$78&lt;&gt;"")), _3_4_1, "")</f>
        <v/>
      </c>
      <c r="D99" s="17" t="str">
        <f>IF(AND(C99&lt;&gt;"", 'Cost Inputs'!$G$78&lt;&gt;""), 'Cost Inputs'!$G$78, "")</f>
        <v/>
      </c>
      <c r="E99" s="17" t="str">
        <f>IF(AND(C99&lt;&gt;"", 'Cost Inputs'!$H$78&lt;&gt;""), 'Cost Inputs'!$H$78, "")</f>
        <v/>
      </c>
      <c r="F99" s="17" t="str">
        <f>IF(AND(C99&lt;&gt;"", 'Cost Inputs'!$I$78&lt;&gt;""), 'Cost Inputs'!$I$78, "")</f>
        <v/>
      </c>
      <c r="G99" s="17" t="str">
        <f t="shared" si="5"/>
        <v/>
      </c>
      <c r="H99" s="17" t="str">
        <f>IF(AND(C99&lt;&gt;"", 'Cost Inputs'!$J$78&lt;&gt;""), 'Cost Inputs'!$J$78, "")</f>
        <v/>
      </c>
      <c r="I99" s="17" t="str">
        <f t="shared" si="4"/>
        <v/>
      </c>
      <c r="J99" s="17" t="str">
        <f>IF(AND(C99&lt;&gt;"",('Cost Inputs'!$I$78+'Cost Inputs'!$J$78+'Cost Inputs'!$K$78)&gt;0), 'Cost Inputs'!$I$78+'Cost Inputs'!$J$78+'Cost Inputs'!$K$78, "")</f>
        <v/>
      </c>
      <c r="K99" s="17" t="str">
        <f>IF(AND(C99&lt;&gt;"", 'Cost Inputs'!$N$78&gt;0),'Cost Inputs'!$N$78,"")</f>
        <v/>
      </c>
      <c r="M99" s="106"/>
      <c r="R99" s="104" t="str">
        <f>IF(ISNUMBER('Model_ of_individuals'!R100), 'Model_ of_individuals'!R100*'Model_ of_individuals'!$K100,"")</f>
        <v/>
      </c>
      <c r="S99" s="17" t="str">
        <f>IF(ISNUMBER('Model_ of_individuals'!S100), 'Model_ of_individuals'!S100*'Model_ of_individuals'!$K100,"")</f>
        <v/>
      </c>
      <c r="T99" s="17" t="str">
        <f>IF(ISNUMBER('Model_ of_individuals'!T100), 'Model_ of_individuals'!T100*'Model_ of_individuals'!$K100,"")</f>
        <v/>
      </c>
      <c r="U99" s="17" t="str">
        <f>IF(ISNUMBER('Model_ of_individuals'!U100), 'Model_ of_individuals'!U100*'Model_ of_individuals'!$K100,"")</f>
        <v/>
      </c>
      <c r="V99" s="17" t="str">
        <f>IF(ISNUMBER('Model_ of_individuals'!V100), 'Model_ of_individuals'!V100*'Model_ of_individuals'!$K100,"")</f>
        <v/>
      </c>
      <c r="W99" s="17" t="str">
        <f>IF(ISNUMBER('Model_ of_individuals'!W100), 'Model_ of_individuals'!W100*'Model_ of_individuals'!$K100,"")</f>
        <v/>
      </c>
      <c r="X99" s="17" t="str">
        <f>IF(ISNUMBER('Model_ of_individuals'!X100), 'Model_ of_individuals'!X100*'Model_ of_individuals'!$K100,"")</f>
        <v/>
      </c>
      <c r="Y99" s="17" t="str">
        <f>IF(ISNUMBER('Model_ of_individuals'!Y100), 'Model_ of_individuals'!Y100*'Model_ of_individuals'!$K100,"")</f>
        <v/>
      </c>
      <c r="Z99" s="17" t="str">
        <f>IF(ISNUMBER('Model_ of_individuals'!Z100), 'Model_ of_individuals'!Z100*'Model_ of_individuals'!$K100,"")</f>
        <v/>
      </c>
      <c r="AA99" s="106" t="str">
        <f>IF(ISNUMBER('Model_ of_individuals'!AA100), 'Model_ of_individuals'!AA100*'Model_ of_individuals'!$K100,"")</f>
        <v/>
      </c>
    </row>
    <row r="100" spans="1:28" x14ac:dyDescent="0.25">
      <c r="A100" s="518"/>
      <c r="B100" s="504"/>
      <c r="C100" s="107" t="str">
        <f>IF(AND(ISNUMBER(B88), OR('Cost Inputs'!$H$79&lt;&gt;"", 'Cost Inputs'!$I$79&lt;&gt;"", 'Cost Inputs'!$J$79&lt;&gt;"")), _3_4_2, "")</f>
        <v/>
      </c>
      <c r="D100" s="93" t="str">
        <f>IF(AND(C100&lt;&gt;"", 'Cost Inputs'!$G$79&lt;&gt;""), 'Cost Inputs'!$G$79, "")</f>
        <v/>
      </c>
      <c r="E100" s="93" t="str">
        <f>IF(AND(C100&lt;&gt;"", 'Cost Inputs'!$H$79&lt;&gt;""), 'Cost Inputs'!$H$79, "")</f>
        <v/>
      </c>
      <c r="F100" s="93" t="str">
        <f>IF(AND(C100&lt;&gt;"", 'Cost Inputs'!$I$79&lt;&gt;""), 'Cost Inputs'!$I$79, "")</f>
        <v/>
      </c>
      <c r="G100" s="93" t="str">
        <f t="shared" si="5"/>
        <v/>
      </c>
      <c r="H100" s="93" t="str">
        <f>IF(AND(C100&lt;&gt;"", 'Cost Inputs'!$J$79&lt;&gt;""), 'Cost Inputs'!$J$79, "")</f>
        <v/>
      </c>
      <c r="I100" s="93" t="str">
        <f t="shared" si="4"/>
        <v/>
      </c>
      <c r="J100" s="93" t="str">
        <f>IF(AND(C100&lt;&gt;"",('Cost Inputs'!$I$79+'Cost Inputs'!$J$79+'Cost Inputs'!$K$79)&gt;0), 'Cost Inputs'!$I$79+'Cost Inputs'!$J$79+'Cost Inputs'!$K$79, "")</f>
        <v/>
      </c>
      <c r="K100" s="93" t="str">
        <f>IF(AND(C100&lt;&gt;"", 'Cost Inputs'!$N$79&gt;0),'Cost Inputs'!$N$79,"")</f>
        <v/>
      </c>
      <c r="L100" s="93"/>
      <c r="M100" s="109"/>
      <c r="R100" s="107" t="str">
        <f>IF(ISNUMBER('Model_ of_individuals'!R101), 'Model_ of_individuals'!R101*'Model_ of_individuals'!$K101,"")</f>
        <v/>
      </c>
      <c r="S100" s="93" t="str">
        <f>IF(ISNUMBER('Model_ of_individuals'!S101), 'Model_ of_individuals'!S101*'Model_ of_individuals'!$K101,"")</f>
        <v/>
      </c>
      <c r="T100" s="93" t="str">
        <f>IF(ISNUMBER('Model_ of_individuals'!T101), 'Model_ of_individuals'!T101*'Model_ of_individuals'!$K101,"")</f>
        <v/>
      </c>
      <c r="U100" s="93" t="str">
        <f>IF(ISNUMBER('Model_ of_individuals'!U101), 'Model_ of_individuals'!U101*'Model_ of_individuals'!$K101,"")</f>
        <v/>
      </c>
      <c r="V100" s="93" t="str">
        <f>IF(ISNUMBER('Model_ of_individuals'!V101), 'Model_ of_individuals'!V101*'Model_ of_individuals'!$K101,"")</f>
        <v/>
      </c>
      <c r="W100" s="93" t="str">
        <f>IF(ISNUMBER('Model_ of_individuals'!W101), 'Model_ of_individuals'!W101*'Model_ of_individuals'!$K101,"")</f>
        <v/>
      </c>
      <c r="X100" s="93" t="str">
        <f>IF(ISNUMBER('Model_ of_individuals'!X101), 'Model_ of_individuals'!X101*'Model_ of_individuals'!$K101,"")</f>
        <v/>
      </c>
      <c r="Y100" s="93" t="str">
        <f>IF(ISNUMBER('Model_ of_individuals'!Y101), 'Model_ of_individuals'!Y101*'Model_ of_individuals'!$K101,"")</f>
        <v/>
      </c>
      <c r="Z100" s="93" t="str">
        <f>IF(ISNUMBER('Model_ of_individuals'!Z101), 'Model_ of_individuals'!Z101*'Model_ of_individuals'!$K101,"")</f>
        <v/>
      </c>
      <c r="AA100" s="109" t="str">
        <f>IF(ISNUMBER('Model_ of_individuals'!AA101), 'Model_ of_individuals'!AA101*'Model_ of_individuals'!$K101,"")</f>
        <v/>
      </c>
    </row>
    <row r="101" spans="1:28" x14ac:dyDescent="0.25">
      <c r="A101" s="518"/>
      <c r="B101" s="504"/>
      <c r="C101" s="104" t="str">
        <f>IF(AND(ISNUMBER(B88), OR('Cost Inputs'!$H$80&lt;&gt;"", 'Cost Inputs'!$I$80&lt;&gt;"", 'Cost Inputs'!$J$80&lt;&gt;"")),_3_4_3, "")</f>
        <v/>
      </c>
      <c r="D101" s="17" t="str">
        <f>IF(AND(C101&lt;&gt;"", 'Cost Inputs'!$G$80&lt;&gt;""), 'Cost Inputs'!$G$80, "")</f>
        <v/>
      </c>
      <c r="E101" s="17" t="str">
        <f>IF(AND(C101&lt;&gt;"", 'Cost Inputs'!$H$80&lt;&gt;""), 'Cost Inputs'!$H$80, "")</f>
        <v/>
      </c>
      <c r="F101" s="17" t="str">
        <f>IF(AND(C101&lt;&gt;"", 'Cost Inputs'!$I$80&lt;&gt;""), 'Cost Inputs'!$I$80, "")</f>
        <v/>
      </c>
      <c r="G101" s="17" t="str">
        <f t="shared" si="5"/>
        <v/>
      </c>
      <c r="H101" s="17" t="str">
        <f>IF(AND(C101&lt;&gt;"", 'Cost Inputs'!$J$80&lt;&gt;""), 'Cost Inputs'!$J$80, "")</f>
        <v/>
      </c>
      <c r="I101" s="17" t="str">
        <f t="shared" si="4"/>
        <v/>
      </c>
      <c r="J101" s="17" t="str">
        <f>IF(AND(C101&lt;&gt;"",('Cost Inputs'!$I$80+'Cost Inputs'!$J$80+'Cost Inputs'!$K$80)&gt;0), 'Cost Inputs'!$I$80+'Cost Inputs'!$J$80+'Cost Inputs'!$K$80, "")</f>
        <v/>
      </c>
      <c r="K101" s="17" t="str">
        <f>IF(AND(C101&lt;&gt;"", 'Cost Inputs'!$N$80&gt;0),'Cost Inputs'!$N$80,"")</f>
        <v/>
      </c>
      <c r="M101" s="106"/>
      <c r="R101" s="104" t="str">
        <f>IF(ISNUMBER('Model_ of_individuals'!R102), 'Model_ of_individuals'!R102*'Model_ of_individuals'!$K102,"")</f>
        <v/>
      </c>
      <c r="S101" s="17" t="str">
        <f>IF(ISNUMBER('Model_ of_individuals'!S102), 'Model_ of_individuals'!S102*'Model_ of_individuals'!$K102,"")</f>
        <v/>
      </c>
      <c r="T101" s="17" t="str">
        <f>IF(ISNUMBER('Model_ of_individuals'!T102), 'Model_ of_individuals'!T102*'Model_ of_individuals'!$K102,"")</f>
        <v/>
      </c>
      <c r="U101" s="17" t="str">
        <f>IF(ISNUMBER('Model_ of_individuals'!U102), 'Model_ of_individuals'!U102*'Model_ of_individuals'!$K102,"")</f>
        <v/>
      </c>
      <c r="V101" s="17" t="str">
        <f>IF(ISNUMBER('Model_ of_individuals'!V102), 'Model_ of_individuals'!V102*'Model_ of_individuals'!$K102,"")</f>
        <v/>
      </c>
      <c r="W101" s="17" t="str">
        <f>IF(ISNUMBER('Model_ of_individuals'!W102), 'Model_ of_individuals'!W102*'Model_ of_individuals'!$K102,"")</f>
        <v/>
      </c>
      <c r="X101" s="17" t="str">
        <f>IF(ISNUMBER('Model_ of_individuals'!X102), 'Model_ of_individuals'!X102*'Model_ of_individuals'!$K102,"")</f>
        <v/>
      </c>
      <c r="Y101" s="17" t="str">
        <f>IF(ISNUMBER('Model_ of_individuals'!Y102), 'Model_ of_individuals'!Y102*'Model_ of_individuals'!$K102,"")</f>
        <v/>
      </c>
      <c r="Z101" s="17" t="str">
        <f>IF(ISNUMBER('Model_ of_individuals'!Z102), 'Model_ of_individuals'!Z102*'Model_ of_individuals'!$K102,"")</f>
        <v/>
      </c>
      <c r="AA101" s="106" t="str">
        <f>IF(ISNUMBER('Model_ of_individuals'!AA102), 'Model_ of_individuals'!AA102*'Model_ of_individuals'!$K102,"")</f>
        <v/>
      </c>
    </row>
    <row r="102" spans="1:28" x14ac:dyDescent="0.25">
      <c r="A102" s="518"/>
      <c r="B102" s="504"/>
      <c r="C102" s="107" t="str">
        <f>IF(AND(ISNUMBER(B88), OR('Cost Inputs'!$H$81&lt;&gt;"", 'Cost Inputs'!$I$81&lt;&gt;"", 'Cost Inputs'!$J$81&lt;&gt;"")), _3_4_4, "")</f>
        <v/>
      </c>
      <c r="D102" s="93" t="str">
        <f>IF(AND(C102&lt;&gt;"", 'Cost Inputs'!$G$81&lt;&gt;""), 'Cost Inputs'!$G$81, "")</f>
        <v/>
      </c>
      <c r="E102" s="93" t="str">
        <f>IF(AND(C102&lt;&gt;"", 'Cost Inputs'!$H$81&lt;&gt;""), 'Cost Inputs'!$H$81, "")</f>
        <v/>
      </c>
      <c r="F102" s="93" t="str">
        <f>IF(AND(C102&lt;&gt;"", 'Cost Inputs'!$I$81&lt;&gt;""), 'Cost Inputs'!$I$81, "")</f>
        <v/>
      </c>
      <c r="G102" s="93" t="str">
        <f t="shared" si="5"/>
        <v/>
      </c>
      <c r="H102" s="93" t="str">
        <f>IF(AND(C102&lt;&gt;"", 'Cost Inputs'!$J$81&lt;&gt;""), 'Cost Inputs'!$J$81, "")</f>
        <v/>
      </c>
      <c r="I102" s="93" t="str">
        <f t="shared" si="4"/>
        <v/>
      </c>
      <c r="J102" s="93" t="str">
        <f>IF(AND(C102&lt;&gt;"",('Cost Inputs'!$I$81+'Cost Inputs'!$J$81+'Cost Inputs'!$K$81)&gt;0), 'Cost Inputs'!$I$81+'Cost Inputs'!$J$81+'Cost Inputs'!$K$81, "")</f>
        <v/>
      </c>
      <c r="K102" s="93" t="str">
        <f>IF(AND(C102&lt;&gt;"", 'Cost Inputs'!$N$81&gt;0),'Cost Inputs'!$N$81,"")</f>
        <v/>
      </c>
      <c r="L102" s="93"/>
      <c r="M102" s="109"/>
      <c r="R102" s="107" t="str">
        <f>IF(ISNUMBER('Model_ of_individuals'!R103), 'Model_ of_individuals'!R103*'Model_ of_individuals'!$K103,"")</f>
        <v/>
      </c>
      <c r="S102" s="93" t="str">
        <f>IF(ISNUMBER('Model_ of_individuals'!S103), 'Model_ of_individuals'!S103*'Model_ of_individuals'!$K103,"")</f>
        <v/>
      </c>
      <c r="T102" s="93" t="str">
        <f>IF(ISNUMBER('Model_ of_individuals'!T103), 'Model_ of_individuals'!T103*'Model_ of_individuals'!$K103,"")</f>
        <v/>
      </c>
      <c r="U102" s="93" t="str">
        <f>IF(ISNUMBER('Model_ of_individuals'!U103), 'Model_ of_individuals'!U103*'Model_ of_individuals'!$K103,"")</f>
        <v/>
      </c>
      <c r="V102" s="93" t="str">
        <f>IF(ISNUMBER('Model_ of_individuals'!V103), 'Model_ of_individuals'!V103*'Model_ of_individuals'!$K103,"")</f>
        <v/>
      </c>
      <c r="W102" s="93" t="str">
        <f>IF(ISNUMBER('Model_ of_individuals'!W103), 'Model_ of_individuals'!W103*'Model_ of_individuals'!$K103,"")</f>
        <v/>
      </c>
      <c r="X102" s="93" t="str">
        <f>IF(ISNUMBER('Model_ of_individuals'!X103), 'Model_ of_individuals'!X103*'Model_ of_individuals'!$K103,"")</f>
        <v/>
      </c>
      <c r="Y102" s="93" t="str">
        <f>IF(ISNUMBER('Model_ of_individuals'!Y103), 'Model_ of_individuals'!Y103*'Model_ of_individuals'!$K103,"")</f>
        <v/>
      </c>
      <c r="Z102" s="93" t="str">
        <f>IF(ISNUMBER('Model_ of_individuals'!Z103), 'Model_ of_individuals'!Z103*'Model_ of_individuals'!$K103,"")</f>
        <v/>
      </c>
      <c r="AA102" s="109" t="str">
        <f>IF(ISNUMBER('Model_ of_individuals'!AA103), 'Model_ of_individuals'!AA103*'Model_ of_individuals'!$K103,"")</f>
        <v/>
      </c>
    </row>
    <row r="103" spans="1:28" x14ac:dyDescent="0.25">
      <c r="A103" s="518"/>
      <c r="B103" s="504"/>
      <c r="C103" s="104" t="str">
        <f>IF(AND(ISNUMBER(B88), OR('Cost Inputs'!$H$82&lt;&gt;"", 'Cost Inputs'!$I$82&lt;&gt;"", 'Cost Inputs'!$J$82&lt;&gt;"")),_3_4_5, "")</f>
        <v/>
      </c>
      <c r="D103" s="17" t="str">
        <f>IF(AND(C103&lt;&gt;"", 'Cost Inputs'!$G$82&lt;&gt;""), 'Cost Inputs'!$G$82, "")</f>
        <v/>
      </c>
      <c r="E103" s="17" t="str">
        <f>IF(AND(C103&lt;&gt;"", 'Cost Inputs'!$H$82&lt;&gt;""), 'Cost Inputs'!$H$82, "")</f>
        <v/>
      </c>
      <c r="F103" s="17" t="str">
        <f>IF(AND(C103&lt;&gt;"", 'Cost Inputs'!$I$82&lt;&gt;""), 'Cost Inputs'!$I$82, "")</f>
        <v/>
      </c>
      <c r="G103" s="17" t="str">
        <f t="shared" si="5"/>
        <v/>
      </c>
      <c r="H103" s="17" t="str">
        <f>IF(AND(C103&lt;&gt;"", 'Cost Inputs'!$J$82&lt;&gt;""), 'Cost Inputs'!$J$82, "")</f>
        <v/>
      </c>
      <c r="I103" s="17" t="str">
        <f t="shared" si="4"/>
        <v/>
      </c>
      <c r="J103" s="17" t="str">
        <f>IF(AND(C103&lt;&gt;"",('Cost Inputs'!$I$82+'Cost Inputs'!$J$82+'Cost Inputs'!$K$82)&gt;0), 'Cost Inputs'!$I$82+'Cost Inputs'!$J$82+'Cost Inputs'!$K$82, "")</f>
        <v/>
      </c>
      <c r="K103" s="17" t="str">
        <f>IF(AND(C103&lt;&gt;"", 'Cost Inputs'!$N$82&gt;0),'Cost Inputs'!$N$82,"")</f>
        <v/>
      </c>
      <c r="M103" s="106"/>
      <c r="R103" s="104" t="str">
        <f>IF(ISNUMBER('Model_ of_individuals'!R104), 'Model_ of_individuals'!R104*'Model_ of_individuals'!$K104,"")</f>
        <v/>
      </c>
      <c r="S103" s="17" t="str">
        <f>IF(ISNUMBER('Model_ of_individuals'!S104), 'Model_ of_individuals'!S104*'Model_ of_individuals'!$K104,"")</f>
        <v/>
      </c>
      <c r="T103" s="17" t="str">
        <f>IF(ISNUMBER('Model_ of_individuals'!T104), 'Model_ of_individuals'!T104*'Model_ of_individuals'!$K104,"")</f>
        <v/>
      </c>
      <c r="U103" s="17" t="str">
        <f>IF(ISNUMBER('Model_ of_individuals'!U104), 'Model_ of_individuals'!U104*'Model_ of_individuals'!$K104,"")</f>
        <v/>
      </c>
      <c r="V103" s="17" t="str">
        <f>IF(ISNUMBER('Model_ of_individuals'!V104), 'Model_ of_individuals'!V104*'Model_ of_individuals'!$K104,"")</f>
        <v/>
      </c>
      <c r="W103" s="17" t="str">
        <f>IF(ISNUMBER('Model_ of_individuals'!W104), 'Model_ of_individuals'!W104*'Model_ of_individuals'!$K104,"")</f>
        <v/>
      </c>
      <c r="X103" s="17" t="str">
        <f>IF(ISNUMBER('Model_ of_individuals'!X104), 'Model_ of_individuals'!X104*'Model_ of_individuals'!$K104,"")</f>
        <v/>
      </c>
      <c r="Y103" s="17" t="str">
        <f>IF(ISNUMBER('Model_ of_individuals'!Y104), 'Model_ of_individuals'!Y104*'Model_ of_individuals'!$K104,"")</f>
        <v/>
      </c>
      <c r="Z103" s="17" t="str">
        <f>IF(ISNUMBER('Model_ of_individuals'!Z104), 'Model_ of_individuals'!Z104*'Model_ of_individuals'!$K104,"")</f>
        <v/>
      </c>
      <c r="AA103" s="106" t="str">
        <f>IF(ISNUMBER('Model_ of_individuals'!AA104), 'Model_ of_individuals'!AA104*'Model_ of_individuals'!$K104,"")</f>
        <v/>
      </c>
    </row>
    <row r="104" spans="1:28" x14ac:dyDescent="0.25">
      <c r="A104" s="518"/>
      <c r="B104" s="504"/>
      <c r="C104" s="107" t="str">
        <f>IF(AND(ISNUMBER(B88), OR('Cost Inputs'!$H$83&lt;&gt;"", 'Cost Inputs'!$I$83&lt;&gt;"", 'Cost Inputs'!$J$83&lt;&gt;"")),_3_4_6, "")</f>
        <v/>
      </c>
      <c r="D104" s="93" t="str">
        <f>IF(AND(C104&lt;&gt;"", 'Cost Inputs'!$G$83&lt;&gt;""), 'Cost Inputs'!$G$83, "")</f>
        <v/>
      </c>
      <c r="E104" s="93" t="str">
        <f>IF(AND(C104&lt;&gt;"", 'Cost Inputs'!$H$83&lt;&gt;""), 'Cost Inputs'!$H$83, "")</f>
        <v/>
      </c>
      <c r="F104" s="93" t="str">
        <f>IF(AND(C104&lt;&gt;"", 'Cost Inputs'!$I$83&lt;&gt;""), 'Cost Inputs'!$I$83, "")</f>
        <v/>
      </c>
      <c r="G104" s="93" t="str">
        <f t="shared" si="5"/>
        <v/>
      </c>
      <c r="H104" s="93" t="str">
        <f>IF(AND(C104&lt;&gt;"", 'Cost Inputs'!$J$83&lt;&gt;""), 'Cost Inputs'!$J$83, "")</f>
        <v/>
      </c>
      <c r="I104" s="93" t="str">
        <f t="shared" si="4"/>
        <v/>
      </c>
      <c r="J104" s="93" t="str">
        <f>IF(AND(C104&lt;&gt;"",('Cost Inputs'!$I$83+'Cost Inputs'!$J$83+'Cost Inputs'!$K$83)&gt;0), 'Cost Inputs'!$I$83+'Cost Inputs'!$J$83+'Cost Inputs'!$K$83, "")</f>
        <v/>
      </c>
      <c r="K104" s="93" t="str">
        <f>IF(AND(C104&lt;&gt;"", 'Cost Inputs'!$N$83&gt;0),'Cost Inputs'!$N$83,"")</f>
        <v/>
      </c>
      <c r="L104" s="93"/>
      <c r="M104" s="109"/>
      <c r="R104" s="107" t="str">
        <f>IF(ISNUMBER('Model_ of_individuals'!R105), 'Model_ of_individuals'!R105*'Model_ of_individuals'!$K105,"")</f>
        <v/>
      </c>
      <c r="S104" s="93" t="str">
        <f>IF(ISNUMBER('Model_ of_individuals'!S105), 'Model_ of_individuals'!S105*'Model_ of_individuals'!$K105,"")</f>
        <v/>
      </c>
      <c r="T104" s="93" t="str">
        <f>IF(ISNUMBER('Model_ of_individuals'!T105), 'Model_ of_individuals'!T105*'Model_ of_individuals'!$K105,"")</f>
        <v/>
      </c>
      <c r="U104" s="93" t="str">
        <f>IF(ISNUMBER('Model_ of_individuals'!U105), 'Model_ of_individuals'!U105*'Model_ of_individuals'!$K105,"")</f>
        <v/>
      </c>
      <c r="V104" s="93" t="str">
        <f>IF(ISNUMBER('Model_ of_individuals'!V105), 'Model_ of_individuals'!V105*'Model_ of_individuals'!$K105,"")</f>
        <v/>
      </c>
      <c r="W104" s="93" t="str">
        <f>IF(ISNUMBER('Model_ of_individuals'!W105), 'Model_ of_individuals'!W105*'Model_ of_individuals'!$K105,"")</f>
        <v/>
      </c>
      <c r="X104" s="93" t="str">
        <f>IF(ISNUMBER('Model_ of_individuals'!X105), 'Model_ of_individuals'!X105*'Model_ of_individuals'!$K105,"")</f>
        <v/>
      </c>
      <c r="Y104" s="93" t="str">
        <f>IF(ISNUMBER('Model_ of_individuals'!Y105), 'Model_ of_individuals'!Y105*'Model_ of_individuals'!$K105,"")</f>
        <v/>
      </c>
      <c r="Z104" s="93" t="str">
        <f>IF(ISNUMBER('Model_ of_individuals'!Z105), 'Model_ of_individuals'!Z105*'Model_ of_individuals'!$K105,"")</f>
        <v/>
      </c>
      <c r="AA104" s="109" t="str">
        <f>IF(ISNUMBER('Model_ of_individuals'!AA105), 'Model_ of_individuals'!AA105*'Model_ of_individuals'!$K105,"")</f>
        <v/>
      </c>
    </row>
    <row r="105" spans="1:28" x14ac:dyDescent="0.25">
      <c r="A105" s="518"/>
      <c r="B105" s="504"/>
      <c r="C105" s="110" t="str">
        <f>IF(ISNUMBER(B88), _3_5_0,"")</f>
        <v/>
      </c>
      <c r="D105" s="94" t="str">
        <f>IF(AND(B88&lt;&gt;"", OR('Cost Inputs'!$H$84&lt;&gt;"", 'Cost Inputs'!$I$84&lt;&gt;"", 'Cost Inputs'!$J$84&lt;&gt;"")), 'Cost Inputs'!$G$84,"")</f>
        <v/>
      </c>
      <c r="E105" s="94" t="str">
        <f>IF(AND(C105&lt;&gt;"", 'Cost Inputs'!$H$84&lt;&gt;""), 'Cost Inputs'!$H$84, "")</f>
        <v/>
      </c>
      <c r="F105" s="94" t="str">
        <f>IF(AND(C105&lt;&gt;"", 'Cost Inputs'!$I$84&lt;&gt;""), 'Cost Inputs'!$I$84, "")</f>
        <v/>
      </c>
      <c r="G105" s="94" t="str">
        <f t="shared" si="5"/>
        <v/>
      </c>
      <c r="H105" s="94" t="str">
        <f>IF(AND(C105&lt;&gt;"", 'Cost Inputs'!$J$84&lt;&gt;""), 'Cost Inputs'!$J$84, "")</f>
        <v/>
      </c>
      <c r="I105" s="94" t="str">
        <f>IF(AND($E105&lt;&gt;"", $H105&lt;&gt;""), $H105/$E105, "")</f>
        <v/>
      </c>
      <c r="J105" s="94" t="str">
        <f>IF(AND(C105&lt;&gt;"",('Cost Inputs'!$I$84+'Cost Inputs'!$J$84+'Cost Inputs'!$K$84)&gt;0), 'Cost Inputs'!$I$84+'Cost Inputs'!$J$84+'Cost Inputs'!$K$84, "")</f>
        <v/>
      </c>
      <c r="K105" s="94" t="str">
        <f>IF(AND(C105&lt;&gt;"", 'Cost Inputs'!$N$84&gt;0),'Cost Inputs'!$N$84,"")</f>
        <v/>
      </c>
      <c r="L105" s="94"/>
      <c r="M105" s="129" t="str">
        <f>IF(ISNUMBER(B88), 'Breeding Inputs'!D78+'Breeding Inputs'!E78, "")</f>
        <v/>
      </c>
      <c r="R105" s="110" t="str">
        <f>IF(ISNUMBER('Model_ of_individuals'!R107), 'Model_ of_individuals'!R107*'Model_ of_individuals'!$K107,"")</f>
        <v/>
      </c>
      <c r="S105" s="94" t="str">
        <f>IF(ISNUMBER('Model_ of_individuals'!S107), 'Model_ of_individuals'!S107*'Model_ of_individuals'!$K107,"")</f>
        <v/>
      </c>
      <c r="T105" s="94" t="str">
        <f>IF(ISNUMBER('Model_ of_individuals'!T107), 'Model_ of_individuals'!T107*'Model_ of_individuals'!$K107,"")</f>
        <v/>
      </c>
      <c r="U105" s="94" t="str">
        <f>IF(ISNUMBER('Model_ of_individuals'!U107), 'Model_ of_individuals'!U107*'Model_ of_individuals'!$K107,"")</f>
        <v/>
      </c>
      <c r="V105" s="94" t="str">
        <f>IF(ISNUMBER('Model_ of_individuals'!V107), 'Model_ of_individuals'!V107*'Model_ of_individuals'!$K107,"")</f>
        <v/>
      </c>
      <c r="W105" s="94" t="str">
        <f>IF(ISNUMBER('Model_ of_individuals'!W107), 'Model_ of_individuals'!W107*'Model_ of_individuals'!$K107,"")</f>
        <v/>
      </c>
      <c r="X105" s="94" t="str">
        <f>IF(ISNUMBER('Model_ of_individuals'!X107), 'Model_ of_individuals'!X107*'Model_ of_individuals'!$K107,"")</f>
        <v/>
      </c>
      <c r="Y105" s="94" t="str">
        <f>IF(ISNUMBER('Model_ of_individuals'!Y107), 'Model_ of_individuals'!Y107*'Model_ of_individuals'!$K107,"")</f>
        <v/>
      </c>
      <c r="Z105" s="94" t="str">
        <f>IF(ISNUMBER('Model_ of_individuals'!Z107), 'Model_ of_individuals'!Z107*'Model_ of_individuals'!$K107,"")</f>
        <v/>
      </c>
      <c r="AA105" s="103" t="str">
        <f>IF(ISNUMBER('Model_ of_individuals'!AA107), 'Model_ of_individuals'!AA107*'Model_ of_individuals'!$K107,"")</f>
        <v/>
      </c>
    </row>
    <row r="106" spans="1:28" x14ac:dyDescent="0.25">
      <c r="A106" s="518"/>
      <c r="B106" s="504"/>
      <c r="C106" s="104" t="str">
        <f>IF(AND(ISNUMBER(B88), OR('Cost Inputs'!$H$85&lt;&gt;"", 'Cost Inputs'!$I$85&lt;&gt;"", 'Cost Inputs'!$J$85&lt;&gt;"")), _3_5_1, "")</f>
        <v/>
      </c>
      <c r="D106" s="17" t="str">
        <f>IF(AND(C106&lt;&gt;"", 'Cost Inputs'!$G$85&lt;&gt;""), 'Cost Inputs'!$G$85, "")</f>
        <v/>
      </c>
      <c r="E106" s="17" t="str">
        <f>IF(AND(C106&lt;&gt;"", 'Cost Inputs'!$H$85&lt;&gt;""), 'Cost Inputs'!$H$85, "")</f>
        <v/>
      </c>
      <c r="F106" s="17" t="str">
        <f>IF(AND(C106&lt;&gt;"", 'Cost Inputs'!$I$85&lt;&gt;""), 'Cost Inputs'!$I$85, "")</f>
        <v/>
      </c>
      <c r="G106" s="17" t="str">
        <f t="shared" si="5"/>
        <v/>
      </c>
      <c r="H106" s="17" t="str">
        <f>IF(AND(C106&lt;&gt;"", 'Cost Inputs'!$J$85&lt;&gt;""), 'Cost Inputs'!$J$85, "")</f>
        <v/>
      </c>
      <c r="I106" s="17" t="str">
        <f t="shared" si="4"/>
        <v/>
      </c>
      <c r="J106" s="17" t="str">
        <f>IF(AND(C106&lt;&gt;"",('Cost Inputs'!$I$85+'Cost Inputs'!$J$85+'Cost Inputs'!$K$85)&gt;0), 'Cost Inputs'!$I$85+'Cost Inputs'!$J$85+'Cost Inputs'!$K$85, "")</f>
        <v/>
      </c>
      <c r="K106" s="17" t="str">
        <f>IF(AND(C106&lt;&gt;"", 'Cost Inputs'!$N$85&gt;0),'Cost Inputs'!$N$85,"")</f>
        <v/>
      </c>
      <c r="M106" s="106"/>
      <c r="R106" s="104" t="str">
        <f>IF(ISNUMBER('Model_ of_individuals'!R108), 'Model_ of_individuals'!R108*'Model_ of_individuals'!$K108,"")</f>
        <v/>
      </c>
      <c r="S106" s="17" t="str">
        <f>IF(ISNUMBER('Model_ of_individuals'!S108), 'Model_ of_individuals'!S108*'Model_ of_individuals'!$K108,"")</f>
        <v/>
      </c>
      <c r="T106" s="17" t="str">
        <f>IF(ISNUMBER('Model_ of_individuals'!T108), 'Model_ of_individuals'!T108*'Model_ of_individuals'!$K108,"")</f>
        <v/>
      </c>
      <c r="U106" s="17" t="str">
        <f>IF(ISNUMBER('Model_ of_individuals'!U108), 'Model_ of_individuals'!U108*'Model_ of_individuals'!$K108,"")</f>
        <v/>
      </c>
      <c r="V106" s="17" t="str">
        <f>IF(ISNUMBER('Model_ of_individuals'!V108), 'Model_ of_individuals'!V108*'Model_ of_individuals'!$K108,"")</f>
        <v/>
      </c>
      <c r="W106" s="17" t="str">
        <f>IF(ISNUMBER('Model_ of_individuals'!W108), 'Model_ of_individuals'!W108*'Model_ of_individuals'!$K108,"")</f>
        <v/>
      </c>
      <c r="X106" s="17" t="str">
        <f>IF(ISNUMBER('Model_ of_individuals'!X108), 'Model_ of_individuals'!X108*'Model_ of_individuals'!$K108,"")</f>
        <v/>
      </c>
      <c r="Y106" s="17" t="str">
        <f>IF(ISNUMBER('Model_ of_individuals'!Y108), 'Model_ of_individuals'!Y108*'Model_ of_individuals'!$K108,"")</f>
        <v/>
      </c>
      <c r="Z106" s="17" t="str">
        <f>IF(ISNUMBER('Model_ of_individuals'!Z108), 'Model_ of_individuals'!Z108*'Model_ of_individuals'!$K108,"")</f>
        <v/>
      </c>
      <c r="AA106" s="106" t="str">
        <f>IF(ISNUMBER('Model_ of_individuals'!AA108), 'Model_ of_individuals'!AA108*'Model_ of_individuals'!$K108,"")</f>
        <v/>
      </c>
    </row>
    <row r="107" spans="1:28" ht="15.75" thickBot="1" x14ac:dyDescent="0.3">
      <c r="A107" s="518"/>
      <c r="B107" s="505"/>
      <c r="C107" s="111" t="str">
        <f>IF(AND(ISNUMBER(B88), OR('Cost Inputs'!$H$86&lt;&gt;"", 'Cost Inputs'!$I$86&lt;&gt;"", 'Cost Inputs'!$J$86&lt;&gt;"")), _3_5_2, "")</f>
        <v/>
      </c>
      <c r="D107" s="95" t="str">
        <f>IF(AND(C107&lt;&gt;"", 'Cost Inputs'!$G$86&lt;&gt;""), 'Cost Inputs'!$G$86, "")</f>
        <v/>
      </c>
      <c r="E107" s="95" t="str">
        <f>IF(AND(C107&lt;&gt;"", 'Cost Inputs'!$H$86&lt;&gt;""), 'Cost Inputs'!$H$86, "")</f>
        <v/>
      </c>
      <c r="F107" s="95" t="str">
        <f>IF(AND(C107&lt;&gt;"", 'Cost Inputs'!$I$86&lt;&gt;""), 'Cost Inputs'!$I$86, "")</f>
        <v/>
      </c>
      <c r="G107" s="95" t="str">
        <f t="shared" si="5"/>
        <v/>
      </c>
      <c r="H107" s="95" t="str">
        <f>IF(AND(C107&lt;&gt;"", 'Cost Inputs'!$J$86&lt;&gt;""), 'Cost Inputs'!$J$86, "")</f>
        <v/>
      </c>
      <c r="I107" s="95" t="str">
        <f t="shared" si="4"/>
        <v/>
      </c>
      <c r="J107" s="95" t="str">
        <f>IF(AND(C107&lt;&gt;"",('Cost Inputs'!$I$86+'Cost Inputs'!$J$86+'Cost Inputs'!$K$86)&gt;0), 'Cost Inputs'!$I$86+'Cost Inputs'!$J$86+'Cost Inputs'!$K$86, "")</f>
        <v/>
      </c>
      <c r="K107" s="95" t="str">
        <f>IF(AND(C107&lt;&gt;"", 'Cost Inputs'!$N$86&gt;0),'Cost Inputs'!$N$86,"")</f>
        <v/>
      </c>
      <c r="L107" s="95"/>
      <c r="M107" s="113"/>
      <c r="R107" s="111" t="str">
        <f>IF(ISNUMBER('Model_ of_individuals'!R109), 'Model_ of_individuals'!R109*'Model_ of_individuals'!$K109,"")</f>
        <v/>
      </c>
      <c r="S107" s="95" t="str">
        <f>IF(ISNUMBER('Model_ of_individuals'!S109), 'Model_ of_individuals'!S109*'Model_ of_individuals'!$K109,"")</f>
        <v/>
      </c>
      <c r="T107" s="95" t="str">
        <f>IF(ISNUMBER('Model_ of_individuals'!T109), 'Model_ of_individuals'!T109*'Model_ of_individuals'!$K109,"")</f>
        <v/>
      </c>
      <c r="U107" s="95" t="str">
        <f>IF(ISNUMBER('Model_ of_individuals'!U109), 'Model_ of_individuals'!U109*'Model_ of_individuals'!$K109,"")</f>
        <v/>
      </c>
      <c r="V107" s="95" t="str">
        <f>IF(ISNUMBER('Model_ of_individuals'!V109), 'Model_ of_individuals'!V109*'Model_ of_individuals'!$K109,"")</f>
        <v/>
      </c>
      <c r="W107" s="95" t="str">
        <f>IF(ISNUMBER('Model_ of_individuals'!W109), 'Model_ of_individuals'!W109*'Model_ of_individuals'!$K109,"")</f>
        <v/>
      </c>
      <c r="X107" s="95" t="str">
        <f>IF(ISNUMBER('Model_ of_individuals'!X109), 'Model_ of_individuals'!X109*'Model_ of_individuals'!$K109,"")</f>
        <v/>
      </c>
      <c r="Y107" s="95" t="str">
        <f>IF(ISNUMBER('Model_ of_individuals'!Y109), 'Model_ of_individuals'!Y109*'Model_ of_individuals'!$K109,"")</f>
        <v/>
      </c>
      <c r="Z107" s="95" t="str">
        <f>IF(ISNUMBER('Model_ of_individuals'!Z109), 'Model_ of_individuals'!Z109*'Model_ of_individuals'!$K109,"")</f>
        <v/>
      </c>
      <c r="AA107" s="113" t="str">
        <f>IF(ISNUMBER('Model_ of_individuals'!AA109), 'Model_ of_individuals'!AA109*'Model_ of_individuals'!$K109,"")</f>
        <v/>
      </c>
    </row>
    <row r="108" spans="1:28" ht="14.45" customHeight="1" x14ac:dyDescent="0.25">
      <c r="A108" s="518" t="str">
        <f>Third_Stage</f>
        <v>Stage 1 Seedling Test Plots</v>
      </c>
      <c r="B108" s="503" t="str">
        <f>'Breeding Inputs'!B79</f>
        <v/>
      </c>
      <c r="C108" s="116" t="str">
        <f>IF(ISNUMBER(B108), _3_2_0, "")</f>
        <v/>
      </c>
      <c r="D108" s="92" t="str">
        <f>IF(AND(B108&lt;&gt;"", OR('Cost Inputs'!$H$67&lt;&gt;"", 'Cost Inputs'!$I$67&lt;&gt;"", 'Cost Inputs'!$J$67&lt;&gt;"")), 'Cost Inputs'!$G$67,"")</f>
        <v/>
      </c>
      <c r="E108" s="92" t="str">
        <f>IF(AND(C108&lt;&gt;"", 'Cost Inputs'!$H$67&lt;&gt;"", M$105&lt;&gt;"", M$105&gt;0), $E88-('Cost Inputs'!$H$67*M$105), IF(AND(C108&lt;&gt;"", 'Cost Inputs'!$H$67&lt;&gt;""), $E88, ""))</f>
        <v/>
      </c>
      <c r="F108" s="92" t="str">
        <f>IF(AND(C108&lt;&gt;"", 'Cost Inputs'!$I$67&lt;&gt;""), 'Cost Inputs'!$I$67, "")</f>
        <v/>
      </c>
      <c r="G108" s="92" t="str">
        <f t="shared" si="5"/>
        <v/>
      </c>
      <c r="H108" s="92" t="str">
        <f>IF(AND(C108&lt;&gt;"", 'Cost Inputs'!$J$67&lt;&gt;""), 'Cost Inputs'!$J$67, "")</f>
        <v/>
      </c>
      <c r="I108" s="92" t="str">
        <f>IF(AND($E108&lt;&gt;"", $H108&lt;&gt;""), $H108/$E108, "")</f>
        <v/>
      </c>
      <c r="J108" s="92" t="str">
        <f>IF(AND(C108&lt;&gt;"",('Cost Inputs'!$I$67+'Cost Inputs'!$J$67+'Cost Inputs'!$K$67)&gt;0), 'Cost Inputs'!$I$67+'Cost Inputs'!$J$67+'Cost Inputs'!$K$67, "")</f>
        <v/>
      </c>
      <c r="K108" s="92" t="str">
        <f>IF(AND(C108&lt;&gt;"", 'Cost Inputs'!$N$67&gt;0),'Cost Inputs'!$N$67,"")</f>
        <v/>
      </c>
      <c r="L108" s="92"/>
      <c r="M108" s="101"/>
      <c r="R108" s="17"/>
      <c r="S108" s="110" t="str">
        <f>IF(ISNUMBER('Model_ of_individuals'!S110), 'Model_ of_individuals'!S110*'Model_ of_individuals'!$K110,"")</f>
        <v/>
      </c>
      <c r="T108" s="94" t="str">
        <f>IF(ISNUMBER('Model_ of_individuals'!T110), 'Model_ of_individuals'!T110*'Model_ of_individuals'!$K110,"")</f>
        <v/>
      </c>
      <c r="U108" s="94" t="str">
        <f>IF(ISNUMBER('Model_ of_individuals'!U110), 'Model_ of_individuals'!U110*'Model_ of_individuals'!$K110,"")</f>
        <v/>
      </c>
      <c r="V108" s="94" t="str">
        <f>IF(ISNUMBER('Model_ of_individuals'!V110), 'Model_ of_individuals'!V110*'Model_ of_individuals'!$K110,"")</f>
        <v/>
      </c>
      <c r="W108" s="94" t="str">
        <f>IF(ISNUMBER('Model_ of_individuals'!W110), 'Model_ of_individuals'!W110*'Model_ of_individuals'!$K110,"")</f>
        <v/>
      </c>
      <c r="X108" s="94" t="str">
        <f>IF(ISNUMBER('Model_ of_individuals'!X110), 'Model_ of_individuals'!X110*'Model_ of_individuals'!$K110,"")</f>
        <v/>
      </c>
      <c r="Y108" s="94" t="str">
        <f>IF(ISNUMBER('Model_ of_individuals'!Y110), 'Model_ of_individuals'!Y110*'Model_ of_individuals'!$K110,"")</f>
        <v/>
      </c>
      <c r="Z108" s="94" t="str">
        <f>IF(ISNUMBER('Model_ of_individuals'!Z110), 'Model_ of_individuals'!Z110*'Model_ of_individuals'!$K110,"")</f>
        <v/>
      </c>
      <c r="AA108" s="94" t="str">
        <f>IF(ISNUMBER('Model_ of_individuals'!AA110), 'Model_ of_individuals'!AA110*'Model_ of_individuals'!$K110,"")</f>
        <v/>
      </c>
      <c r="AB108" s="103" t="str">
        <f>IF(ISNUMBER('Model_ of_individuals'!AB110), 'Model_ of_individuals'!AB110*'Model_ of_individuals'!$K110,"")</f>
        <v/>
      </c>
    </row>
    <row r="109" spans="1:28" x14ac:dyDescent="0.25">
      <c r="A109" s="518"/>
      <c r="B109" s="504"/>
      <c r="C109" s="104" t="str">
        <f>IF(AND(ISNUMBER(B108), OR('Cost Inputs'!$H$68&lt;&gt;"", 'Cost Inputs'!$I$68&lt;&gt;"", 'Cost Inputs'!$J$68&lt;&gt;"")), _3_2_1, "")</f>
        <v/>
      </c>
      <c r="D109" s="17" t="str">
        <f>IF(AND($C109&lt;&gt;"", 'Cost Inputs'!$G$68&lt;&gt;""), 'Cost Inputs'!$G$68, "")</f>
        <v/>
      </c>
      <c r="E109" s="17" t="str">
        <f>IF(AND(C109&lt;&gt;"", 'Cost Inputs'!$H$68&lt;&gt;"", M$105&lt;&gt;"", M$105&gt;0), $E89-('Cost Inputs'!$H$68*M$105), IF(AND(C109&lt;&gt;"", 'Cost Inputs'!$H$68&lt;&gt;""), $E89, ""))</f>
        <v/>
      </c>
      <c r="F109" s="17" t="str">
        <f>IF(AND(C109&lt;&gt;"", 'Cost Inputs'!$I$68&lt;&gt;""), 'Cost Inputs'!$I$68, "")</f>
        <v/>
      </c>
      <c r="G109" s="17" t="str">
        <f t="shared" si="5"/>
        <v/>
      </c>
      <c r="H109" s="17" t="str">
        <f>IF(AND(C109&lt;&gt;"", 'Cost Inputs'!$J$68&lt;&gt;""), 'Cost Inputs'!$J$68, "")</f>
        <v/>
      </c>
      <c r="I109" s="17" t="str">
        <f t="shared" si="4"/>
        <v/>
      </c>
      <c r="J109" s="17" t="str">
        <f>IF(AND(C109&lt;&gt;"",('Cost Inputs'!$I$68+'Cost Inputs'!$J$68+'Cost Inputs'!$K$68)&gt;0), 'Cost Inputs'!$I$68+'Cost Inputs'!$J$68+'Cost Inputs'!$K$68, "")</f>
        <v/>
      </c>
      <c r="K109" s="17" t="str">
        <f>IF(AND(C109&lt;&gt;"", 'Cost Inputs'!$N$68&gt;0),'Cost Inputs'!$N$68,"")</f>
        <v/>
      </c>
      <c r="M109" s="106"/>
      <c r="R109" s="17"/>
      <c r="S109" s="104" t="str">
        <f>IF(ISNUMBER('Model_ of_individuals'!S111), 'Model_ of_individuals'!S111*'Model_ of_individuals'!$K111,"")</f>
        <v/>
      </c>
      <c r="T109" s="17" t="str">
        <f>IF(ISNUMBER('Model_ of_individuals'!T111), 'Model_ of_individuals'!T111*'Model_ of_individuals'!$K111,"")</f>
        <v/>
      </c>
      <c r="U109" s="17" t="str">
        <f>IF(ISNUMBER('Model_ of_individuals'!U111), 'Model_ of_individuals'!U111*'Model_ of_individuals'!$K111,"")</f>
        <v/>
      </c>
      <c r="V109" s="17" t="str">
        <f>IF(ISNUMBER('Model_ of_individuals'!V111), 'Model_ of_individuals'!V111*'Model_ of_individuals'!$K111,"")</f>
        <v/>
      </c>
      <c r="W109" s="17" t="str">
        <f>IF(ISNUMBER('Model_ of_individuals'!W111), 'Model_ of_individuals'!W111*'Model_ of_individuals'!$K111,"")</f>
        <v/>
      </c>
      <c r="X109" s="17" t="str">
        <f>IF(ISNUMBER('Model_ of_individuals'!X111), 'Model_ of_individuals'!X111*'Model_ of_individuals'!$K111,"")</f>
        <v/>
      </c>
      <c r="Y109" s="17" t="str">
        <f>IF(ISNUMBER('Model_ of_individuals'!Y111), 'Model_ of_individuals'!Y111*'Model_ of_individuals'!$K111,"")</f>
        <v/>
      </c>
      <c r="Z109" s="17" t="str">
        <f>IF(ISNUMBER('Model_ of_individuals'!Z111), 'Model_ of_individuals'!Z111*'Model_ of_individuals'!$K111,"")</f>
        <v/>
      </c>
      <c r="AA109" s="17" t="str">
        <f>IF(ISNUMBER('Model_ of_individuals'!AA111), 'Model_ of_individuals'!AA111*'Model_ of_individuals'!$K111,"")</f>
        <v/>
      </c>
      <c r="AB109" s="106" t="str">
        <f>IF(ISNUMBER('Model_ of_individuals'!AB111), 'Model_ of_individuals'!AB111*'Model_ of_individuals'!$K111,"")</f>
        <v/>
      </c>
    </row>
    <row r="110" spans="1:28" x14ac:dyDescent="0.25">
      <c r="A110" s="518"/>
      <c r="B110" s="504"/>
      <c r="C110" s="107" t="str">
        <f>IF(AND(ISNUMBER(B108), OR('Cost Inputs'!$H$69&lt;&gt;"", 'Cost Inputs'!$I$69&lt;&gt;"", 'Cost Inputs'!$J$69&lt;&gt;"")), _3_2_2, "")</f>
        <v/>
      </c>
      <c r="D110" s="93" t="str">
        <f>IF(AND($C110&lt;&gt;"", 'Cost Inputs'!$G$69&lt;&gt;""), 'Cost Inputs'!$G$69, "")</f>
        <v/>
      </c>
      <c r="E110" s="93" t="str">
        <f>IF(AND(C110&lt;&gt;"", 'Cost Inputs'!$H$69&lt;&gt;"", M$105&lt;&gt;"", M$105&gt;0), $E90-('Cost Inputs'!$H$69*M$105), IF(AND(C110&lt;&gt;"", 'Cost Inputs'!$H$69&lt;&gt;""), $E90, ""))</f>
        <v/>
      </c>
      <c r="F110" s="93" t="str">
        <f>IF(AND(C110&lt;&gt;"", 'Cost Inputs'!$I$69&lt;&gt;""), 'Cost Inputs'!$I$69, "")</f>
        <v/>
      </c>
      <c r="G110" s="93" t="str">
        <f t="shared" si="5"/>
        <v/>
      </c>
      <c r="H110" s="93" t="str">
        <f>IF(AND(C110&lt;&gt;"", 'Cost Inputs'!$J$69&lt;&gt;""), 'Cost Inputs'!$J$69, "")</f>
        <v/>
      </c>
      <c r="I110" s="93" t="str">
        <f t="shared" si="4"/>
        <v/>
      </c>
      <c r="J110" s="93" t="str">
        <f>IF(AND(C110&lt;&gt;"",('Cost Inputs'!$I$69+'Cost Inputs'!$J$69+'Cost Inputs'!$K$69)&gt;0), 'Cost Inputs'!$I$69+'Cost Inputs'!$J$69+'Cost Inputs'!$K$69, "")</f>
        <v/>
      </c>
      <c r="K110" s="93" t="str">
        <f>IF(AND(C110&lt;&gt;"", 'Cost Inputs'!$N$69&gt;0),'Cost Inputs'!$N$69,"")</f>
        <v/>
      </c>
      <c r="L110" s="93"/>
      <c r="M110" s="109"/>
      <c r="R110" s="17"/>
      <c r="S110" s="107" t="str">
        <f>IF(ISNUMBER('Model_ of_individuals'!S112), 'Model_ of_individuals'!S112*'Model_ of_individuals'!$K112,"")</f>
        <v/>
      </c>
      <c r="T110" s="93" t="str">
        <f>IF(ISNUMBER('Model_ of_individuals'!T112), 'Model_ of_individuals'!T112*'Model_ of_individuals'!$K112,"")</f>
        <v/>
      </c>
      <c r="U110" s="93" t="str">
        <f>IF(ISNUMBER('Model_ of_individuals'!U112), 'Model_ of_individuals'!U112*'Model_ of_individuals'!$K112,"")</f>
        <v/>
      </c>
      <c r="V110" s="93" t="str">
        <f>IF(ISNUMBER('Model_ of_individuals'!V112), 'Model_ of_individuals'!V112*'Model_ of_individuals'!$K112,"")</f>
        <v/>
      </c>
      <c r="W110" s="93" t="str">
        <f>IF(ISNUMBER('Model_ of_individuals'!W112), 'Model_ of_individuals'!W112*'Model_ of_individuals'!$K112,"")</f>
        <v/>
      </c>
      <c r="X110" s="93" t="str">
        <f>IF(ISNUMBER('Model_ of_individuals'!X112), 'Model_ of_individuals'!X112*'Model_ of_individuals'!$K112,"")</f>
        <v/>
      </c>
      <c r="Y110" s="93" t="str">
        <f>IF(ISNUMBER('Model_ of_individuals'!Y112), 'Model_ of_individuals'!Y112*'Model_ of_individuals'!$K112,"")</f>
        <v/>
      </c>
      <c r="Z110" s="93" t="str">
        <f>IF(ISNUMBER('Model_ of_individuals'!Z112), 'Model_ of_individuals'!Z112*'Model_ of_individuals'!$K112,"")</f>
        <v/>
      </c>
      <c r="AA110" s="93" t="str">
        <f>IF(ISNUMBER('Model_ of_individuals'!AA112), 'Model_ of_individuals'!AA112*'Model_ of_individuals'!$K112,"")</f>
        <v/>
      </c>
      <c r="AB110" s="109" t="str">
        <f>IF(ISNUMBER('Model_ of_individuals'!AB112), 'Model_ of_individuals'!AB112*'Model_ of_individuals'!$K112,"")</f>
        <v/>
      </c>
    </row>
    <row r="111" spans="1:28" x14ac:dyDescent="0.25">
      <c r="A111" s="518"/>
      <c r="B111" s="504"/>
      <c r="C111" s="104" t="str">
        <f>IF(AND( ISNUMBER(B108), OR('Cost Inputs'!$H$70&lt;&gt;"", 'Cost Inputs'!$I$70&lt;&gt;"", 'Cost Inputs'!$J$70&lt;&gt;"")), _3_2_3, "")</f>
        <v/>
      </c>
      <c r="D111" s="17" t="str">
        <f>IF(AND($C111&lt;&gt;"", 'Cost Inputs'!$G$70&lt;&gt;""), 'Cost Inputs'!$G$70, "")</f>
        <v/>
      </c>
      <c r="E111" s="17" t="str">
        <f>IF(AND(C111&lt;&gt;"", 'Cost Inputs'!$H$70&lt;&gt;"", M$105&lt;&gt;"", M$105&gt;0), $E91-('Cost Inputs'!$H$70*M$105), IF(AND(C111&lt;&gt;"", 'Cost Inputs'!$H$70&lt;&gt;""), $E91, ""))</f>
        <v/>
      </c>
      <c r="F111" s="17" t="str">
        <f>IF(AND(C111&lt;&gt;"", 'Cost Inputs'!$I$70&lt;&gt;""), 'Cost Inputs'!$I$70, "")</f>
        <v/>
      </c>
      <c r="G111" s="17" t="str">
        <f t="shared" si="5"/>
        <v/>
      </c>
      <c r="H111" s="17" t="str">
        <f>IF(AND(C111&lt;&gt;"", 'Cost Inputs'!$J$70&lt;&gt;""), 'Cost Inputs'!$J$70, "")</f>
        <v/>
      </c>
      <c r="I111" s="17" t="str">
        <f t="shared" si="4"/>
        <v/>
      </c>
      <c r="J111" s="17" t="str">
        <f>IF(AND(C111&lt;&gt;"",('Cost Inputs'!$I$70+'Cost Inputs'!$J$70+'Cost Inputs'!$K$70)&gt;0), 'Cost Inputs'!$I$70+'Cost Inputs'!$J$70+'Cost Inputs'!$K$70, "")</f>
        <v/>
      </c>
      <c r="K111" s="17" t="str">
        <f>IF(AND(C111&lt;&gt;"", 'Cost Inputs'!$N$70&gt;0),'Cost Inputs'!$N$70,"")</f>
        <v/>
      </c>
      <c r="M111" s="106"/>
      <c r="R111" s="17"/>
      <c r="S111" s="104" t="str">
        <f>IF(ISNUMBER('Model_ of_individuals'!S113), 'Model_ of_individuals'!S113*'Model_ of_individuals'!$K113,"")</f>
        <v/>
      </c>
      <c r="T111" s="17" t="str">
        <f>IF(ISNUMBER('Model_ of_individuals'!T113), 'Model_ of_individuals'!T113*'Model_ of_individuals'!$K113,"")</f>
        <v/>
      </c>
      <c r="U111" s="17" t="str">
        <f>IF(ISNUMBER('Model_ of_individuals'!U113), 'Model_ of_individuals'!U113*'Model_ of_individuals'!$K113,"")</f>
        <v/>
      </c>
      <c r="V111" s="17" t="str">
        <f>IF(ISNUMBER('Model_ of_individuals'!V113), 'Model_ of_individuals'!V113*'Model_ of_individuals'!$K113,"")</f>
        <v/>
      </c>
      <c r="W111" s="17" t="str">
        <f>IF(ISNUMBER('Model_ of_individuals'!W113), 'Model_ of_individuals'!W113*'Model_ of_individuals'!$K113,"")</f>
        <v/>
      </c>
      <c r="X111" s="17" t="str">
        <f>IF(ISNUMBER('Model_ of_individuals'!X113), 'Model_ of_individuals'!X113*'Model_ of_individuals'!$K113,"")</f>
        <v/>
      </c>
      <c r="Y111" s="17" t="str">
        <f>IF(ISNUMBER('Model_ of_individuals'!Y113), 'Model_ of_individuals'!Y113*'Model_ of_individuals'!$K113,"")</f>
        <v/>
      </c>
      <c r="Z111" s="17" t="str">
        <f>IF(ISNUMBER('Model_ of_individuals'!Z113), 'Model_ of_individuals'!Z113*'Model_ of_individuals'!$K113,"")</f>
        <v/>
      </c>
      <c r="AA111" s="17" t="str">
        <f>IF(ISNUMBER('Model_ of_individuals'!AA113), 'Model_ of_individuals'!AA113*'Model_ of_individuals'!$K113,"")</f>
        <v/>
      </c>
      <c r="AB111" s="106" t="str">
        <f>IF(ISNUMBER('Model_ of_individuals'!AB113), 'Model_ of_individuals'!AB113*'Model_ of_individuals'!$K113,"")</f>
        <v/>
      </c>
    </row>
    <row r="112" spans="1:28" x14ac:dyDescent="0.25">
      <c r="A112" s="518"/>
      <c r="B112" s="504"/>
      <c r="C112" s="107" t="str">
        <f>IF(AND( ISNUMBER(B108), OR('Cost Inputs'!$H$71&lt;&gt;"", 'Cost Inputs'!$I$71&lt;&gt;"", 'Cost Inputs'!$J$71&lt;&gt;"")), _3_2_4, "")</f>
        <v/>
      </c>
      <c r="D112" s="93" t="str">
        <f>IF(AND($C112&lt;&gt;"", 'Cost Inputs'!$G$71&lt;&gt;""), 'Cost Inputs'!$G$71, "")</f>
        <v/>
      </c>
      <c r="E112" s="93" t="str">
        <f>IF(AND(C112&lt;&gt;"", 'Cost Inputs'!$H$71&lt;&gt;"", M$105&lt;&gt;"", M$105&gt;0), $E92-('Cost Inputs'!$H$71*M$105), IF(AND(C112&lt;&gt;"", 'Cost Inputs'!$H$71&lt;&gt;""), $E92, ""))</f>
        <v/>
      </c>
      <c r="F112" s="93" t="str">
        <f>IF(AND(C112&lt;&gt;"", 'Cost Inputs'!$I$71&lt;&gt;""), 'Cost Inputs'!$I$71, "")</f>
        <v/>
      </c>
      <c r="G112" s="93" t="str">
        <f t="shared" si="5"/>
        <v/>
      </c>
      <c r="H112" s="93" t="str">
        <f>IF(AND(C112&lt;&gt;"", 'Cost Inputs'!$J$71&lt;&gt;""), 'Cost Inputs'!$J$71, "")</f>
        <v/>
      </c>
      <c r="I112" s="93" t="str">
        <f t="shared" si="4"/>
        <v/>
      </c>
      <c r="J112" s="93" t="str">
        <f>IF(AND(C112&lt;&gt;"",('Cost Inputs'!$I$71+'Cost Inputs'!$J$71+'Cost Inputs'!$K$71)&gt;0), 'Cost Inputs'!$I$71+'Cost Inputs'!$J$71+'Cost Inputs'!$K$71, "")</f>
        <v/>
      </c>
      <c r="K112" s="93" t="str">
        <f>IF(AND(C112&lt;&gt;"", 'Cost Inputs'!$N$71&gt;0),'Cost Inputs'!$N$71,"")</f>
        <v/>
      </c>
      <c r="L112" s="93"/>
      <c r="M112" s="109"/>
      <c r="R112" s="17"/>
      <c r="S112" s="107" t="str">
        <f>IF(ISNUMBER('Model_ of_individuals'!S114), 'Model_ of_individuals'!S114*'Model_ of_individuals'!$K114,"")</f>
        <v/>
      </c>
      <c r="T112" s="93" t="str">
        <f>IF(ISNUMBER('Model_ of_individuals'!T114), 'Model_ of_individuals'!T114*'Model_ of_individuals'!$K114,"")</f>
        <v/>
      </c>
      <c r="U112" s="93" t="str">
        <f>IF(ISNUMBER('Model_ of_individuals'!U114), 'Model_ of_individuals'!U114*'Model_ of_individuals'!$K114,"")</f>
        <v/>
      </c>
      <c r="V112" s="93" t="str">
        <f>IF(ISNUMBER('Model_ of_individuals'!V114), 'Model_ of_individuals'!V114*'Model_ of_individuals'!$K114,"")</f>
        <v/>
      </c>
      <c r="W112" s="93" t="str">
        <f>IF(ISNUMBER('Model_ of_individuals'!W114), 'Model_ of_individuals'!W114*'Model_ of_individuals'!$K114,"")</f>
        <v/>
      </c>
      <c r="X112" s="93" t="str">
        <f>IF(ISNUMBER('Model_ of_individuals'!X114), 'Model_ of_individuals'!X114*'Model_ of_individuals'!$K114,"")</f>
        <v/>
      </c>
      <c r="Y112" s="93" t="str">
        <f>IF(ISNUMBER('Model_ of_individuals'!Y114), 'Model_ of_individuals'!Y114*'Model_ of_individuals'!$K114,"")</f>
        <v/>
      </c>
      <c r="Z112" s="93" t="str">
        <f>IF(ISNUMBER('Model_ of_individuals'!Z114), 'Model_ of_individuals'!Z114*'Model_ of_individuals'!$K114,"")</f>
        <v/>
      </c>
      <c r="AA112" s="93" t="str">
        <f>IF(ISNUMBER('Model_ of_individuals'!AA114), 'Model_ of_individuals'!AA114*'Model_ of_individuals'!$K114,"")</f>
        <v/>
      </c>
      <c r="AB112" s="109" t="str">
        <f>IF(ISNUMBER('Model_ of_individuals'!AB114), 'Model_ of_individuals'!AB114*'Model_ of_individuals'!$K114,"")</f>
        <v/>
      </c>
    </row>
    <row r="113" spans="1:29" x14ac:dyDescent="0.25">
      <c r="A113" s="518"/>
      <c r="B113" s="504"/>
      <c r="C113" s="110" t="str">
        <f>IF(AND(B108&lt;&gt;"", ISNUMBER(Stage1EvaluationBegins)), IF((INDEX(ProgramYearStage1,MATCH(Stage1EvaluationBegins,Years_in_Stage1,0)))=B108, _3_3_0, IF(AND(B108&lt;&gt;"", C93&lt;&gt;""), _3_3_0, IF(AND(B108&lt;&gt;"", OR(Stage1EvaluationBegins=0, Stage1EvaluationBegins="")),"", ""))),"")</f>
        <v/>
      </c>
      <c r="D113" s="94" t="str">
        <f>IF(AND(B108&lt;&gt;"", OR('Cost Inputs'!$H$72&lt;&gt;"", 'Cost Inputs'!$I$72&lt;&gt;"", 'Cost Inputs'!$J$72&lt;&gt;"")), 'Cost Inputs'!$G$72,"")</f>
        <v/>
      </c>
      <c r="E113" s="94" t="str">
        <f>IF(AND(C113&lt;&gt;"", 'Cost Inputs'!$H$72&lt;&gt;""), 'Cost Inputs'!$H$72, "")</f>
        <v/>
      </c>
      <c r="F113" s="94" t="str">
        <f>IF(AND(C113&lt;&gt;"", 'Cost Inputs'!$I$72&lt;&gt;""), 'Cost Inputs'!$I$72, "")</f>
        <v/>
      </c>
      <c r="G113" s="94" t="str">
        <f t="shared" si="5"/>
        <v/>
      </c>
      <c r="H113" s="94" t="str">
        <f>IF(AND(C113&lt;&gt;"", 'Cost Inputs'!$J$72&lt;&gt;""), 'Cost Inputs'!$J$72, "")</f>
        <v/>
      </c>
      <c r="I113" s="94" t="str">
        <f>IF(AND($E113&lt;&gt;"", $H113&lt;&gt;""), $H113/$E113, "")</f>
        <v/>
      </c>
      <c r="J113" s="94" t="str">
        <f>IF(AND(C113&lt;&gt;"",('Cost Inputs'!$I$72+'Cost Inputs'!$J$72+'Cost Inputs'!$K$72)&gt;0), 'Cost Inputs'!$I$72+'Cost Inputs'!$J$72+'Cost Inputs'!$K$72, "")</f>
        <v/>
      </c>
      <c r="K113" s="94" t="str">
        <f>IF(AND(C113&lt;&gt;"", 'Cost Inputs'!$N$72&gt;0),'Cost Inputs'!$N$72,"")</f>
        <v/>
      </c>
      <c r="L113" s="130" t="str">
        <f>IF(AND($B108&lt;&gt;"", ISNUMBER(Stage1EvaluationBegins)), IF((INDEX(ProgramYearStage1,MATCH(Stage1EvaluationBegins,Years_in_Stage1,0)))=$B108, INDEX(Stage1Evaluation,MATCH(Stage1EvaluationBegins,Years_in_Stage1,0)), IF(AND($B108&lt;&gt;"", $C93&lt;&gt;""), INDEX(Stage1Evaluation,MATCH($B108,ProgramYearStage1,0)), IF(AND(B108&lt;&gt;"", OR(Stage1EvaluationBegins=0, Stage1EvaluationBegins="")),"", ""))),"")</f>
        <v/>
      </c>
      <c r="M113" s="103"/>
      <c r="R113" s="17"/>
      <c r="S113" s="110" t="str">
        <f>IF(ISNUMBER('Model_ of_individuals'!S115), 'Model_ of_individuals'!S115*'Model_ of_individuals'!$K115,"")</f>
        <v/>
      </c>
      <c r="T113" s="94" t="str">
        <f>IF(ISNUMBER('Model_ of_individuals'!T115), 'Model_ of_individuals'!T115*'Model_ of_individuals'!$K115,"")</f>
        <v/>
      </c>
      <c r="U113" s="94" t="str">
        <f>IF(ISNUMBER('Model_ of_individuals'!U115), 'Model_ of_individuals'!U115*'Model_ of_individuals'!$K115,"")</f>
        <v/>
      </c>
      <c r="V113" s="94" t="str">
        <f>IF(ISNUMBER('Model_ of_individuals'!V115), 'Model_ of_individuals'!V115*'Model_ of_individuals'!$K115,"")</f>
        <v/>
      </c>
      <c r="W113" s="94" t="str">
        <f>IF(ISNUMBER('Model_ of_individuals'!W115), 'Model_ of_individuals'!W115*'Model_ of_individuals'!$K115,"")</f>
        <v/>
      </c>
      <c r="X113" s="94" t="str">
        <f>IF(ISNUMBER('Model_ of_individuals'!X115), 'Model_ of_individuals'!X115*'Model_ of_individuals'!$K115,"")</f>
        <v/>
      </c>
      <c r="Y113" s="94" t="str">
        <f>IF(ISNUMBER('Model_ of_individuals'!Y115), 'Model_ of_individuals'!Y115*'Model_ of_individuals'!$K115,"")</f>
        <v/>
      </c>
      <c r="Z113" s="94" t="str">
        <f>IF(ISNUMBER('Model_ of_individuals'!Z115), 'Model_ of_individuals'!Z115*'Model_ of_individuals'!$K115,"")</f>
        <v/>
      </c>
      <c r="AA113" s="94" t="str">
        <f>IF(ISNUMBER('Model_ of_individuals'!AA115), 'Model_ of_individuals'!AA115*'Model_ of_individuals'!$K115,"")</f>
        <v/>
      </c>
      <c r="AB113" s="103" t="str">
        <f>IF(ISNUMBER('Model_ of_individuals'!AB115), 'Model_ of_individuals'!AB115*'Model_ of_individuals'!$K115,"")</f>
        <v/>
      </c>
    </row>
    <row r="114" spans="1:29" x14ac:dyDescent="0.25">
      <c r="A114" s="518"/>
      <c r="B114" s="504"/>
      <c r="C114" s="104" t="str">
        <f>IF(AND(ISNUMBER(B108), C113&lt;&gt;"", OR('Cost Inputs'!$H$73&lt;&gt;"", 'Cost Inputs'!$I$73&lt;&gt;"", 'Cost Inputs'!$J$73&lt;&gt;"")), _3_3_1, "")</f>
        <v/>
      </c>
      <c r="D114" s="17" t="str">
        <f>IF(AND(C114&lt;&gt;"", 'Cost Inputs'!$G$73&lt;&gt;""), 'Cost Inputs'!$G$73, "")</f>
        <v/>
      </c>
      <c r="E114" s="17" t="str">
        <f>IF(AND(C114&lt;&gt;"", 'Cost Inputs'!$H$73&lt;&gt;""), 'Cost Inputs'!$H$73, "")</f>
        <v/>
      </c>
      <c r="F114" s="17" t="str">
        <f>IF(AND(C114&lt;&gt;"", 'Cost Inputs'!$I$73&lt;&gt;""), 'Cost Inputs'!$I$73, "")</f>
        <v/>
      </c>
      <c r="G114" s="17" t="str">
        <f t="shared" si="5"/>
        <v/>
      </c>
      <c r="H114" s="17" t="str">
        <f>IF(AND(C114&lt;&gt;"", 'Cost Inputs'!$J$73&lt;&gt;""), 'Cost Inputs'!$J$73, "")</f>
        <v/>
      </c>
      <c r="I114" s="17" t="str">
        <f t="shared" si="4"/>
        <v/>
      </c>
      <c r="J114" s="17" t="str">
        <f>IF(AND(C114&lt;&gt;"",('Cost Inputs'!$I$73+'Cost Inputs'!$J$73+'Cost Inputs'!$K$73)&gt;0), 'Cost Inputs'!$I$73+'Cost Inputs'!$J$73+'Cost Inputs'!$K$73, "")</f>
        <v/>
      </c>
      <c r="K114" s="17" t="str">
        <f>IF(AND(C114&lt;&gt;"", 'Cost Inputs'!$N$73&gt;0),'Cost Inputs'!$N$73,"")</f>
        <v/>
      </c>
      <c r="M114" s="106"/>
      <c r="R114" s="17"/>
      <c r="S114" s="104" t="str">
        <f>IF(ISNUMBER('Model_ of_individuals'!S116), 'Model_ of_individuals'!S116*'Model_ of_individuals'!$K116,"")</f>
        <v/>
      </c>
      <c r="T114" s="17" t="str">
        <f>IF(ISNUMBER('Model_ of_individuals'!T116), 'Model_ of_individuals'!T116*'Model_ of_individuals'!$K116,"")</f>
        <v/>
      </c>
      <c r="U114" s="17" t="str">
        <f>IF(ISNUMBER('Model_ of_individuals'!U116), 'Model_ of_individuals'!U116*'Model_ of_individuals'!$K116,"")</f>
        <v/>
      </c>
      <c r="V114" s="17" t="str">
        <f>IF(ISNUMBER('Model_ of_individuals'!V116), 'Model_ of_individuals'!V116*'Model_ of_individuals'!$K116,"")</f>
        <v/>
      </c>
      <c r="W114" s="17" t="str">
        <f>IF(ISNUMBER('Model_ of_individuals'!W116), 'Model_ of_individuals'!W116*'Model_ of_individuals'!$K116,"")</f>
        <v/>
      </c>
      <c r="X114" s="17" t="str">
        <f>IF(ISNUMBER('Model_ of_individuals'!X116), 'Model_ of_individuals'!X116*'Model_ of_individuals'!$K116,"")</f>
        <v/>
      </c>
      <c r="Y114" s="17" t="str">
        <f>IF(ISNUMBER('Model_ of_individuals'!Y116), 'Model_ of_individuals'!Y116*'Model_ of_individuals'!$K116,"")</f>
        <v/>
      </c>
      <c r="Z114" s="17" t="str">
        <f>IF(ISNUMBER('Model_ of_individuals'!Z116), 'Model_ of_individuals'!Z116*'Model_ of_individuals'!$K116,"")</f>
        <v/>
      </c>
      <c r="AA114" s="17" t="str">
        <f>IF(ISNUMBER('Model_ of_individuals'!AA116), 'Model_ of_individuals'!AA116*'Model_ of_individuals'!$K116,"")</f>
        <v/>
      </c>
      <c r="AB114" s="106" t="str">
        <f>IF(ISNUMBER('Model_ of_individuals'!AB116), 'Model_ of_individuals'!AB116*'Model_ of_individuals'!$K116,"")</f>
        <v/>
      </c>
    </row>
    <row r="115" spans="1:29" x14ac:dyDescent="0.25">
      <c r="A115" s="518"/>
      <c r="B115" s="504"/>
      <c r="C115" s="107" t="str">
        <f>IF(AND(ISNUMBER(B108), C113&lt;&gt;"", OR('Cost Inputs'!$H$74&lt;&gt;"", 'Cost Inputs'!$I$74&lt;&gt;"", 'Cost Inputs'!$J$74&lt;&gt;"")), _3_3_2, "")</f>
        <v/>
      </c>
      <c r="D115" s="93" t="str">
        <f>IF(AND(C115&lt;&gt;"", 'Cost Inputs'!$G$74&lt;&gt;""), 'Cost Inputs'!$G$74, "")</f>
        <v/>
      </c>
      <c r="E115" s="93" t="str">
        <f>IF(AND(C115&lt;&gt;"", 'Cost Inputs'!$H$74&lt;&gt;""), 'Cost Inputs'!$H$74, "")</f>
        <v/>
      </c>
      <c r="F115" s="93" t="str">
        <f>IF(AND(C115&lt;&gt;"", 'Cost Inputs'!$I$74&lt;&gt;""), 'Cost Inputs'!$I$74, "")</f>
        <v/>
      </c>
      <c r="G115" s="93" t="str">
        <f t="shared" si="5"/>
        <v/>
      </c>
      <c r="H115" s="93" t="str">
        <f>IF(AND(C115&lt;&gt;"", 'Cost Inputs'!$J$74&lt;&gt;""), 'Cost Inputs'!$J$74, "")</f>
        <v/>
      </c>
      <c r="I115" s="93" t="str">
        <f t="shared" si="4"/>
        <v/>
      </c>
      <c r="J115" s="93" t="str">
        <f>IF(AND(C115&lt;&gt;"",('Cost Inputs'!$I$74+'Cost Inputs'!$J$74+'Cost Inputs'!$K$74)&gt;0), 'Cost Inputs'!$I$74+'Cost Inputs'!$J$74+'Cost Inputs'!$K$74, "")</f>
        <v/>
      </c>
      <c r="K115" s="93" t="str">
        <f>IF(AND(C115&lt;&gt;"", 'Cost Inputs'!$N$74&gt;0),'Cost Inputs'!$N$74,"")</f>
        <v/>
      </c>
      <c r="L115" s="93"/>
      <c r="M115" s="109"/>
      <c r="R115" s="17"/>
      <c r="S115" s="107" t="str">
        <f>IF(ISNUMBER('Model_ of_individuals'!S117), 'Model_ of_individuals'!S117*'Model_ of_individuals'!$K117,"")</f>
        <v/>
      </c>
      <c r="T115" s="93" t="str">
        <f>IF(ISNUMBER('Model_ of_individuals'!T117), 'Model_ of_individuals'!T117*'Model_ of_individuals'!$K117,"")</f>
        <v/>
      </c>
      <c r="U115" s="93" t="str">
        <f>IF(ISNUMBER('Model_ of_individuals'!U117), 'Model_ of_individuals'!U117*'Model_ of_individuals'!$K117,"")</f>
        <v/>
      </c>
      <c r="V115" s="93" t="str">
        <f>IF(ISNUMBER('Model_ of_individuals'!V117), 'Model_ of_individuals'!V117*'Model_ of_individuals'!$K117,"")</f>
        <v/>
      </c>
      <c r="W115" s="93" t="str">
        <f>IF(ISNUMBER('Model_ of_individuals'!W117), 'Model_ of_individuals'!W117*'Model_ of_individuals'!$K117,"")</f>
        <v/>
      </c>
      <c r="X115" s="93" t="str">
        <f>IF(ISNUMBER('Model_ of_individuals'!X117), 'Model_ of_individuals'!X117*'Model_ of_individuals'!$K117,"")</f>
        <v/>
      </c>
      <c r="Y115" s="93" t="str">
        <f>IF(ISNUMBER('Model_ of_individuals'!Y117), 'Model_ of_individuals'!Y117*'Model_ of_individuals'!$K117,"")</f>
        <v/>
      </c>
      <c r="Z115" s="93" t="str">
        <f>IF(ISNUMBER('Model_ of_individuals'!Z117), 'Model_ of_individuals'!Z117*'Model_ of_individuals'!$K117,"")</f>
        <v/>
      </c>
      <c r="AA115" s="93" t="str">
        <f>IF(ISNUMBER('Model_ of_individuals'!AA117), 'Model_ of_individuals'!AA117*'Model_ of_individuals'!$K117,"")</f>
        <v/>
      </c>
      <c r="AB115" s="109" t="str">
        <f>IF(ISNUMBER('Model_ of_individuals'!AB117), 'Model_ of_individuals'!AB117*'Model_ of_individuals'!$K117,"")</f>
        <v/>
      </c>
    </row>
    <row r="116" spans="1:29" x14ac:dyDescent="0.25">
      <c r="A116" s="518"/>
      <c r="B116" s="504"/>
      <c r="C116" s="104" t="str">
        <f>IF(AND(ISNUMBER(B108), OR('Cost Inputs'!$H$75&lt;&gt;"", 'Cost Inputs'!$I$75&lt;&gt;"", 'Cost Inputs'!$J$75&lt;&gt;"")), _3_3_3, "")</f>
        <v/>
      </c>
      <c r="D116" s="17" t="str">
        <f>IF(AND(C116&lt;&gt;"", 'Cost Inputs'!$G$75&lt;&gt;""), 'Cost Inputs'!$G$75, "")</f>
        <v/>
      </c>
      <c r="E116" s="17" t="str">
        <f>IF(AND(C116&lt;&gt;"", 'Cost Inputs'!$H$75&lt;&gt;""), 'Cost Inputs'!$H$75, "")</f>
        <v/>
      </c>
      <c r="F116" s="17" t="str">
        <f>IF(AND(C116&lt;&gt;"", 'Cost Inputs'!$I$75&lt;&gt;""), 'Cost Inputs'!$I$75, "")</f>
        <v/>
      </c>
      <c r="G116" s="17" t="str">
        <f t="shared" si="5"/>
        <v/>
      </c>
      <c r="H116" s="17" t="str">
        <f>IF(AND(C116&lt;&gt;"", 'Cost Inputs'!$J$75&lt;&gt;""), 'Cost Inputs'!$J$75, "")</f>
        <v/>
      </c>
      <c r="I116" s="17" t="str">
        <f t="shared" si="4"/>
        <v/>
      </c>
      <c r="J116" s="17" t="str">
        <f>IF(AND(C116&lt;&gt;"",('Cost Inputs'!$I$75+'Cost Inputs'!$J$75+'Cost Inputs'!$K$75)&gt;0), 'Cost Inputs'!$I$75+'Cost Inputs'!$J$75+'Cost Inputs'!$K$75, "")</f>
        <v/>
      </c>
      <c r="K116" s="17" t="str">
        <f>IF(AND(C116&lt;&gt;"", 'Cost Inputs'!$N$75&gt;0),'Cost Inputs'!$N$75,"")</f>
        <v/>
      </c>
      <c r="M116" s="106"/>
      <c r="S116" s="104" t="str">
        <f>IF(ISNUMBER('Model_ of_individuals'!S118), 'Model_ of_individuals'!S118*'Model_ of_individuals'!$K118,"")</f>
        <v/>
      </c>
      <c r="T116" s="17" t="str">
        <f>IF(ISNUMBER('Model_ of_individuals'!T118), 'Model_ of_individuals'!T118*'Model_ of_individuals'!$K118,"")</f>
        <v/>
      </c>
      <c r="U116" s="17" t="str">
        <f>IF(ISNUMBER('Model_ of_individuals'!U118), 'Model_ of_individuals'!U118*'Model_ of_individuals'!$K118,"")</f>
        <v/>
      </c>
      <c r="V116" s="17" t="str">
        <f>IF(ISNUMBER('Model_ of_individuals'!V118), 'Model_ of_individuals'!V118*'Model_ of_individuals'!$K118,"")</f>
        <v/>
      </c>
      <c r="W116" s="17" t="str">
        <f>IF(ISNUMBER('Model_ of_individuals'!W118), 'Model_ of_individuals'!W118*'Model_ of_individuals'!$K118,"")</f>
        <v/>
      </c>
      <c r="X116" s="17" t="str">
        <f>IF(ISNUMBER('Model_ of_individuals'!X118), 'Model_ of_individuals'!X118*'Model_ of_individuals'!$K118,"")</f>
        <v/>
      </c>
      <c r="Y116" s="17" t="str">
        <f>IF(ISNUMBER('Model_ of_individuals'!Y118), 'Model_ of_individuals'!Y118*'Model_ of_individuals'!$K118,"")</f>
        <v/>
      </c>
      <c r="Z116" s="17" t="str">
        <f>IF(ISNUMBER('Model_ of_individuals'!Z118), 'Model_ of_individuals'!Z118*'Model_ of_individuals'!$K118,"")</f>
        <v/>
      </c>
      <c r="AA116" s="17" t="str">
        <f>IF(ISNUMBER('Model_ of_individuals'!AA118), 'Model_ of_individuals'!AA118*'Model_ of_individuals'!$K118,"")</f>
        <v/>
      </c>
      <c r="AB116" s="106" t="str">
        <f>IF(ISNUMBER('Model_ of_individuals'!AB118), 'Model_ of_individuals'!AB118*'Model_ of_individuals'!$K118,"")</f>
        <v/>
      </c>
    </row>
    <row r="117" spans="1:29" x14ac:dyDescent="0.25">
      <c r="A117" s="518"/>
      <c r="B117" s="504"/>
      <c r="C117" s="107" t="str">
        <f>IF(AND(ISNUMBER(B108), OR('Cost Inputs'!$H$76&lt;&gt;"", 'Cost Inputs'!$I$76&lt;&gt;"", 'Cost Inputs'!$J$76&lt;&gt;"")), _3_3_4, "")</f>
        <v/>
      </c>
      <c r="D117" s="93" t="str">
        <f>IF(AND(C117&lt;&gt;"", 'Cost Inputs'!$G$76&lt;&gt;""), 'Cost Inputs'!$G$76, "")</f>
        <v/>
      </c>
      <c r="E117" s="93" t="str">
        <f>IF(AND(C117&lt;&gt;"", 'Cost Inputs'!$H$76&lt;&gt;""), 'Cost Inputs'!$H$76, "")</f>
        <v/>
      </c>
      <c r="F117" s="93" t="str">
        <f>IF(AND(C117&lt;&gt;"", 'Cost Inputs'!$I$76&lt;&gt;""), 'Cost Inputs'!$I$76, "")</f>
        <v/>
      </c>
      <c r="G117" s="93" t="str">
        <f t="shared" si="5"/>
        <v/>
      </c>
      <c r="H117" s="93" t="str">
        <f>IF(AND(C117&lt;&gt;"", 'Cost Inputs'!$J$76&lt;&gt;""), 'Cost Inputs'!$J$76, "")</f>
        <v/>
      </c>
      <c r="I117" s="93" t="str">
        <f t="shared" si="4"/>
        <v/>
      </c>
      <c r="J117" s="93" t="str">
        <f>IF(AND(C117&lt;&gt;"",('Cost Inputs'!$I$76+'Cost Inputs'!$J$76+'Cost Inputs'!$K$76)&gt;0), 'Cost Inputs'!$I$76+'Cost Inputs'!$J$76+'Cost Inputs'!$K$76, "")</f>
        <v/>
      </c>
      <c r="K117" s="93" t="str">
        <f>IF(AND(C117&lt;&gt;"", 'Cost Inputs'!$N$76&gt;0),'Cost Inputs'!$N$76,"")</f>
        <v/>
      </c>
      <c r="L117" s="93"/>
      <c r="M117" s="109"/>
      <c r="S117" s="107" t="str">
        <f>IF(ISNUMBER('Model_ of_individuals'!S119), 'Model_ of_individuals'!S119*'Model_ of_individuals'!$K119,"")</f>
        <v/>
      </c>
      <c r="T117" s="93" t="str">
        <f>IF(ISNUMBER('Model_ of_individuals'!T119), 'Model_ of_individuals'!T119*'Model_ of_individuals'!$K119,"")</f>
        <v/>
      </c>
      <c r="U117" s="93" t="str">
        <f>IF(ISNUMBER('Model_ of_individuals'!U119), 'Model_ of_individuals'!U119*'Model_ of_individuals'!$K119,"")</f>
        <v/>
      </c>
      <c r="V117" s="93" t="str">
        <f>IF(ISNUMBER('Model_ of_individuals'!V119), 'Model_ of_individuals'!V119*'Model_ of_individuals'!$K119,"")</f>
        <v/>
      </c>
      <c r="W117" s="93" t="str">
        <f>IF(ISNUMBER('Model_ of_individuals'!W119), 'Model_ of_individuals'!W119*'Model_ of_individuals'!$K119,"")</f>
        <v/>
      </c>
      <c r="X117" s="93" t="str">
        <f>IF(ISNUMBER('Model_ of_individuals'!X119), 'Model_ of_individuals'!X119*'Model_ of_individuals'!$K119,"")</f>
        <v/>
      </c>
      <c r="Y117" s="93" t="str">
        <f>IF(ISNUMBER('Model_ of_individuals'!Y119), 'Model_ of_individuals'!Y119*'Model_ of_individuals'!$K119,"")</f>
        <v/>
      </c>
      <c r="Z117" s="93" t="str">
        <f>IF(ISNUMBER('Model_ of_individuals'!Z119), 'Model_ of_individuals'!Z119*'Model_ of_individuals'!$K119,"")</f>
        <v/>
      </c>
      <c r="AA117" s="93" t="str">
        <f>IF(ISNUMBER('Model_ of_individuals'!AA119), 'Model_ of_individuals'!AA119*'Model_ of_individuals'!$K119,"")</f>
        <v/>
      </c>
      <c r="AB117" s="109" t="str">
        <f>IF(ISNUMBER('Model_ of_individuals'!AB119), 'Model_ of_individuals'!AB119*'Model_ of_individuals'!$K119,"")</f>
        <v/>
      </c>
    </row>
    <row r="118" spans="1:29" x14ac:dyDescent="0.25">
      <c r="A118" s="518"/>
      <c r="B118" s="504"/>
      <c r="C118" s="110" t="str">
        <f>IF( ISNUMBER(B108), _3_4_0, "")</f>
        <v/>
      </c>
      <c r="D118" s="94" t="str">
        <f>IF(AND(B108&lt;&gt;"", OR('Cost Inputs'!$H$77&lt;&gt;"", 'Cost Inputs'!$I$77&lt;&gt;"", 'Cost Inputs'!$J$77&lt;&gt;"")), 'Cost Inputs'!$G$77,"")</f>
        <v/>
      </c>
      <c r="E118" s="94" t="str">
        <f>IF(AND(C118&lt;&gt;"", 'Cost Inputs'!$H$77&lt;&gt;""), 'Cost Inputs'!$H$77, "")</f>
        <v/>
      </c>
      <c r="F118" s="94" t="str">
        <f>IF(AND(C118&lt;&gt;"", 'Cost Inputs'!$I$77&lt;&gt;""), 'Cost Inputs'!$I$77, "")</f>
        <v/>
      </c>
      <c r="G118" s="94" t="str">
        <f t="shared" si="5"/>
        <v/>
      </c>
      <c r="H118" s="94" t="str">
        <f>IF(AND(C118&lt;&gt;"", 'Cost Inputs'!$J$77&lt;&gt;""), 'Cost Inputs'!$J$77, "")</f>
        <v/>
      </c>
      <c r="I118" s="94" t="str">
        <f>IF(AND($E118&lt;&gt;"", $H118&lt;&gt;""), $H118/$E118, "")</f>
        <v/>
      </c>
      <c r="J118" s="94" t="str">
        <f>IF(AND(C118&lt;&gt;"",('Cost Inputs'!$I$77+'Cost Inputs'!$J$77+'Cost Inputs'!$K$77)&gt;0), 'Cost Inputs'!$I$77+'Cost Inputs'!$J$77+'Cost Inputs'!$K$77, "")</f>
        <v/>
      </c>
      <c r="K118" s="94" t="str">
        <f>IF(AND(C118&lt;&gt;"", 'Cost Inputs'!$N$77&gt;0),'Cost Inputs'!$N$77,"")</f>
        <v/>
      </c>
      <c r="L118" s="94"/>
      <c r="M118" s="103"/>
      <c r="S118" s="110" t="str">
        <f>IF(ISNUMBER('Model_ of_individuals'!S120), 'Model_ of_individuals'!S120*'Model_ of_individuals'!$K120,"")</f>
        <v/>
      </c>
      <c r="T118" s="94" t="str">
        <f>IF(ISNUMBER('Model_ of_individuals'!T120), 'Model_ of_individuals'!T120*'Model_ of_individuals'!$K120,"")</f>
        <v/>
      </c>
      <c r="U118" s="94" t="str">
        <f>IF(ISNUMBER('Model_ of_individuals'!U120), 'Model_ of_individuals'!U120*'Model_ of_individuals'!$K120,"")</f>
        <v/>
      </c>
      <c r="V118" s="94" t="str">
        <f>IF(ISNUMBER('Model_ of_individuals'!V120), 'Model_ of_individuals'!V120*'Model_ of_individuals'!$K120,"")</f>
        <v/>
      </c>
      <c r="W118" s="94" t="str">
        <f>IF(ISNUMBER('Model_ of_individuals'!W120), 'Model_ of_individuals'!W120*'Model_ of_individuals'!$K120,"")</f>
        <v/>
      </c>
      <c r="X118" s="94" t="str">
        <f>IF(ISNUMBER('Model_ of_individuals'!X120), 'Model_ of_individuals'!X120*'Model_ of_individuals'!$K120,"")</f>
        <v/>
      </c>
      <c r="Y118" s="94" t="str">
        <f>IF(ISNUMBER('Model_ of_individuals'!Y120), 'Model_ of_individuals'!Y120*'Model_ of_individuals'!$K120,"")</f>
        <v/>
      </c>
      <c r="Z118" s="94" t="str">
        <f>IF(ISNUMBER('Model_ of_individuals'!Z120), 'Model_ of_individuals'!Z120*'Model_ of_individuals'!$K120,"")</f>
        <v/>
      </c>
      <c r="AA118" s="94" t="str">
        <f>IF(ISNUMBER('Model_ of_individuals'!AA120), 'Model_ of_individuals'!AA120*'Model_ of_individuals'!$K120,"")</f>
        <v/>
      </c>
      <c r="AB118" s="103" t="str">
        <f>IF(ISNUMBER('Model_ of_individuals'!AB120), 'Model_ of_individuals'!AB120*'Model_ of_individuals'!$K120,"")</f>
        <v/>
      </c>
    </row>
    <row r="119" spans="1:29" x14ac:dyDescent="0.25">
      <c r="A119" s="518"/>
      <c r="B119" s="504"/>
      <c r="C119" s="104" t="str">
        <f>IF(AND(ISNUMBER(B108), OR('Cost Inputs'!$H$78&lt;&gt;"", 'Cost Inputs'!$I$78&lt;&gt;"", 'Cost Inputs'!$J$78&lt;&gt;"")), _3_4_1, "")</f>
        <v/>
      </c>
      <c r="D119" s="17" t="str">
        <f>IF(AND(C119&lt;&gt;"", 'Cost Inputs'!$G$78&lt;&gt;""), 'Cost Inputs'!$G$78, "")</f>
        <v/>
      </c>
      <c r="E119" s="17" t="str">
        <f>IF(AND(C119&lt;&gt;"", 'Cost Inputs'!$H$78&lt;&gt;""), 'Cost Inputs'!$H$78, "")</f>
        <v/>
      </c>
      <c r="F119" s="17" t="str">
        <f>IF(AND(C119&lt;&gt;"", 'Cost Inputs'!$I$78&lt;&gt;""), 'Cost Inputs'!$I$78, "")</f>
        <v/>
      </c>
      <c r="G119" s="17" t="str">
        <f t="shared" si="5"/>
        <v/>
      </c>
      <c r="H119" s="17" t="str">
        <f>IF(AND(C119&lt;&gt;"", 'Cost Inputs'!$J$78&lt;&gt;""), 'Cost Inputs'!$J$78, "")</f>
        <v/>
      </c>
      <c r="I119" s="17" t="str">
        <f t="shared" si="4"/>
        <v/>
      </c>
      <c r="J119" s="17" t="str">
        <f>IF(AND(C119&lt;&gt;"",('Cost Inputs'!$I$78+'Cost Inputs'!$J$78+'Cost Inputs'!$K$78)&gt;0), 'Cost Inputs'!$I$78+'Cost Inputs'!$J$78+'Cost Inputs'!$K$78, "")</f>
        <v/>
      </c>
      <c r="K119" s="17" t="str">
        <f>IF(AND(C119&lt;&gt;"", 'Cost Inputs'!$N$78&gt;0),'Cost Inputs'!$N$78,"")</f>
        <v/>
      </c>
      <c r="M119" s="106"/>
      <c r="S119" s="104" t="str">
        <f>IF(ISNUMBER('Model_ of_individuals'!S121), 'Model_ of_individuals'!S121*'Model_ of_individuals'!$K121,"")</f>
        <v/>
      </c>
      <c r="T119" s="17" t="str">
        <f>IF(ISNUMBER('Model_ of_individuals'!T121), 'Model_ of_individuals'!T121*'Model_ of_individuals'!$K121,"")</f>
        <v/>
      </c>
      <c r="U119" s="17" t="str">
        <f>IF(ISNUMBER('Model_ of_individuals'!U121), 'Model_ of_individuals'!U121*'Model_ of_individuals'!$K121,"")</f>
        <v/>
      </c>
      <c r="V119" s="17" t="str">
        <f>IF(ISNUMBER('Model_ of_individuals'!V121), 'Model_ of_individuals'!V121*'Model_ of_individuals'!$K121,"")</f>
        <v/>
      </c>
      <c r="W119" s="17" t="str">
        <f>IF(ISNUMBER('Model_ of_individuals'!W121), 'Model_ of_individuals'!W121*'Model_ of_individuals'!$K121,"")</f>
        <v/>
      </c>
      <c r="X119" s="17" t="str">
        <f>IF(ISNUMBER('Model_ of_individuals'!X121), 'Model_ of_individuals'!X121*'Model_ of_individuals'!$K121,"")</f>
        <v/>
      </c>
      <c r="Y119" s="17" t="str">
        <f>IF(ISNUMBER('Model_ of_individuals'!Y121), 'Model_ of_individuals'!Y121*'Model_ of_individuals'!$K121,"")</f>
        <v/>
      </c>
      <c r="Z119" s="17" t="str">
        <f>IF(ISNUMBER('Model_ of_individuals'!Z121), 'Model_ of_individuals'!Z121*'Model_ of_individuals'!$K121,"")</f>
        <v/>
      </c>
      <c r="AA119" s="17" t="str">
        <f>IF(ISNUMBER('Model_ of_individuals'!AA121), 'Model_ of_individuals'!AA121*'Model_ of_individuals'!$K121,"")</f>
        <v/>
      </c>
      <c r="AB119" s="106" t="str">
        <f>IF(ISNUMBER('Model_ of_individuals'!AB121), 'Model_ of_individuals'!AB121*'Model_ of_individuals'!$K121,"")</f>
        <v/>
      </c>
    </row>
    <row r="120" spans="1:29" x14ac:dyDescent="0.25">
      <c r="A120" s="518"/>
      <c r="B120" s="504"/>
      <c r="C120" s="107" t="str">
        <f>IF(AND(ISNUMBER(B108), OR('Cost Inputs'!$H$79&lt;&gt;"", 'Cost Inputs'!$I$79&lt;&gt;"", 'Cost Inputs'!$J$79&lt;&gt;"")), _3_4_2, "")</f>
        <v/>
      </c>
      <c r="D120" s="93" t="str">
        <f>IF(AND(C120&lt;&gt;"", 'Cost Inputs'!$G$79&lt;&gt;""), 'Cost Inputs'!$G$79, "")</f>
        <v/>
      </c>
      <c r="E120" s="93" t="str">
        <f>IF(AND(C120&lt;&gt;"", 'Cost Inputs'!$H$79&lt;&gt;""), 'Cost Inputs'!$H$79, "")</f>
        <v/>
      </c>
      <c r="F120" s="93" t="str">
        <f>IF(AND(C120&lt;&gt;"", 'Cost Inputs'!$I$79&lt;&gt;""), 'Cost Inputs'!$I$79, "")</f>
        <v/>
      </c>
      <c r="G120" s="93" t="str">
        <f t="shared" si="5"/>
        <v/>
      </c>
      <c r="H120" s="93" t="str">
        <f>IF(AND(C120&lt;&gt;"", 'Cost Inputs'!$J$79&lt;&gt;""), 'Cost Inputs'!$J$79, "")</f>
        <v/>
      </c>
      <c r="I120" s="93" t="str">
        <f t="shared" si="4"/>
        <v/>
      </c>
      <c r="J120" s="93" t="str">
        <f>IF(AND(C120&lt;&gt;"",('Cost Inputs'!$I$79+'Cost Inputs'!$J$79+'Cost Inputs'!$K$79)&gt;0), 'Cost Inputs'!$I$79+'Cost Inputs'!$J$79+'Cost Inputs'!$K$79, "")</f>
        <v/>
      </c>
      <c r="K120" s="93" t="str">
        <f>IF(AND(C120&lt;&gt;"", 'Cost Inputs'!$N$79&gt;0),'Cost Inputs'!$N$79,"")</f>
        <v/>
      </c>
      <c r="L120" s="93"/>
      <c r="M120" s="109"/>
      <c r="S120" s="107" t="str">
        <f>IF(ISNUMBER('Model_ of_individuals'!S122), 'Model_ of_individuals'!S122*'Model_ of_individuals'!$K122,"")</f>
        <v/>
      </c>
      <c r="T120" s="93" t="str">
        <f>IF(ISNUMBER('Model_ of_individuals'!T122), 'Model_ of_individuals'!T122*'Model_ of_individuals'!$K122,"")</f>
        <v/>
      </c>
      <c r="U120" s="93" t="str">
        <f>IF(ISNUMBER('Model_ of_individuals'!U122), 'Model_ of_individuals'!U122*'Model_ of_individuals'!$K122,"")</f>
        <v/>
      </c>
      <c r="V120" s="93" t="str">
        <f>IF(ISNUMBER('Model_ of_individuals'!V122), 'Model_ of_individuals'!V122*'Model_ of_individuals'!$K122,"")</f>
        <v/>
      </c>
      <c r="W120" s="93" t="str">
        <f>IF(ISNUMBER('Model_ of_individuals'!W122), 'Model_ of_individuals'!W122*'Model_ of_individuals'!$K122,"")</f>
        <v/>
      </c>
      <c r="X120" s="93" t="str">
        <f>IF(ISNUMBER('Model_ of_individuals'!X122), 'Model_ of_individuals'!X122*'Model_ of_individuals'!$K122,"")</f>
        <v/>
      </c>
      <c r="Y120" s="93" t="str">
        <f>IF(ISNUMBER('Model_ of_individuals'!Y122), 'Model_ of_individuals'!Y122*'Model_ of_individuals'!$K122,"")</f>
        <v/>
      </c>
      <c r="Z120" s="93" t="str">
        <f>IF(ISNUMBER('Model_ of_individuals'!Z122), 'Model_ of_individuals'!Z122*'Model_ of_individuals'!$K122,"")</f>
        <v/>
      </c>
      <c r="AA120" s="93" t="str">
        <f>IF(ISNUMBER('Model_ of_individuals'!AA122), 'Model_ of_individuals'!AA122*'Model_ of_individuals'!$K122,"")</f>
        <v/>
      </c>
      <c r="AB120" s="109" t="str">
        <f>IF(ISNUMBER('Model_ of_individuals'!AB122), 'Model_ of_individuals'!AB122*'Model_ of_individuals'!$K122,"")</f>
        <v/>
      </c>
    </row>
    <row r="121" spans="1:29" x14ac:dyDescent="0.25">
      <c r="A121" s="518"/>
      <c r="B121" s="504"/>
      <c r="C121" s="104" t="str">
        <f>IF(AND(ISNUMBER(B108), OR('Cost Inputs'!$H$80&lt;&gt;"", 'Cost Inputs'!$I$80&lt;&gt;"", 'Cost Inputs'!$J$80&lt;&gt;"")),_3_4_3, "")</f>
        <v/>
      </c>
      <c r="D121" s="17" t="str">
        <f>IF(AND(C121&lt;&gt;"", 'Cost Inputs'!$G$80&lt;&gt;""), 'Cost Inputs'!$G$80, "")</f>
        <v/>
      </c>
      <c r="E121" s="17" t="str">
        <f>IF(AND(C121&lt;&gt;"", 'Cost Inputs'!$H$80&lt;&gt;""), 'Cost Inputs'!$H$80, "")</f>
        <v/>
      </c>
      <c r="F121" s="17" t="str">
        <f>IF(AND(C121&lt;&gt;"", 'Cost Inputs'!$I$80&lt;&gt;""), 'Cost Inputs'!$I$80, "")</f>
        <v/>
      </c>
      <c r="G121" s="17" t="str">
        <f t="shared" si="5"/>
        <v/>
      </c>
      <c r="H121" s="17" t="str">
        <f>IF(AND(C121&lt;&gt;"", 'Cost Inputs'!$J$80&lt;&gt;""), 'Cost Inputs'!$J$80, "")</f>
        <v/>
      </c>
      <c r="I121" s="17" t="str">
        <f t="shared" si="4"/>
        <v/>
      </c>
      <c r="J121" s="17" t="str">
        <f>IF(AND(C121&lt;&gt;"",('Cost Inputs'!$I$80+'Cost Inputs'!$J$80+'Cost Inputs'!$K$80)&gt;0), 'Cost Inputs'!$I$80+'Cost Inputs'!$J$80+'Cost Inputs'!$K$80, "")</f>
        <v/>
      </c>
      <c r="K121" s="17" t="str">
        <f>IF(AND(C121&lt;&gt;"", 'Cost Inputs'!$N$80&gt;0),'Cost Inputs'!$N$80,"")</f>
        <v/>
      </c>
      <c r="M121" s="106"/>
      <c r="S121" s="104" t="str">
        <f>IF(ISNUMBER('Model_ of_individuals'!S123), 'Model_ of_individuals'!S123*'Model_ of_individuals'!$K123,"")</f>
        <v/>
      </c>
      <c r="T121" s="17" t="str">
        <f>IF(ISNUMBER('Model_ of_individuals'!T123), 'Model_ of_individuals'!T123*'Model_ of_individuals'!$K123,"")</f>
        <v/>
      </c>
      <c r="U121" s="17" t="str">
        <f>IF(ISNUMBER('Model_ of_individuals'!U123), 'Model_ of_individuals'!U123*'Model_ of_individuals'!$K123,"")</f>
        <v/>
      </c>
      <c r="V121" s="17" t="str">
        <f>IF(ISNUMBER('Model_ of_individuals'!V123), 'Model_ of_individuals'!V123*'Model_ of_individuals'!$K123,"")</f>
        <v/>
      </c>
      <c r="W121" s="17" t="str">
        <f>IF(ISNUMBER('Model_ of_individuals'!W123), 'Model_ of_individuals'!W123*'Model_ of_individuals'!$K123,"")</f>
        <v/>
      </c>
      <c r="X121" s="17" t="str">
        <f>IF(ISNUMBER('Model_ of_individuals'!X123), 'Model_ of_individuals'!X123*'Model_ of_individuals'!$K123,"")</f>
        <v/>
      </c>
      <c r="Y121" s="17" t="str">
        <f>IF(ISNUMBER('Model_ of_individuals'!Y123), 'Model_ of_individuals'!Y123*'Model_ of_individuals'!$K123,"")</f>
        <v/>
      </c>
      <c r="Z121" s="17" t="str">
        <f>IF(ISNUMBER('Model_ of_individuals'!Z123), 'Model_ of_individuals'!Z123*'Model_ of_individuals'!$K123,"")</f>
        <v/>
      </c>
      <c r="AA121" s="17" t="str">
        <f>IF(ISNUMBER('Model_ of_individuals'!AA123), 'Model_ of_individuals'!AA123*'Model_ of_individuals'!$K123,"")</f>
        <v/>
      </c>
      <c r="AB121" s="106" t="str">
        <f>IF(ISNUMBER('Model_ of_individuals'!AB123), 'Model_ of_individuals'!AB123*'Model_ of_individuals'!$K123,"")</f>
        <v/>
      </c>
    </row>
    <row r="122" spans="1:29" x14ac:dyDescent="0.25">
      <c r="A122" s="518"/>
      <c r="B122" s="504"/>
      <c r="C122" s="107" t="str">
        <f>IF(AND(ISNUMBER(B108), OR('Cost Inputs'!$H$81&lt;&gt;"", 'Cost Inputs'!$I$81&lt;&gt;"", 'Cost Inputs'!$J$81&lt;&gt;"")), _3_4_4, "")</f>
        <v/>
      </c>
      <c r="D122" s="93" t="str">
        <f>IF(AND(C122&lt;&gt;"", 'Cost Inputs'!$G$81&lt;&gt;""), 'Cost Inputs'!$G$81, "")</f>
        <v/>
      </c>
      <c r="E122" s="93" t="str">
        <f>IF(AND(C122&lt;&gt;"", 'Cost Inputs'!$H$81&lt;&gt;""), 'Cost Inputs'!$H$81, "")</f>
        <v/>
      </c>
      <c r="F122" s="93" t="str">
        <f>IF(AND(C122&lt;&gt;"", 'Cost Inputs'!$I$81&lt;&gt;""), 'Cost Inputs'!$I$81, "")</f>
        <v/>
      </c>
      <c r="G122" s="93" t="str">
        <f t="shared" si="5"/>
        <v/>
      </c>
      <c r="H122" s="93" t="str">
        <f>IF(AND(C122&lt;&gt;"", 'Cost Inputs'!$J$81&lt;&gt;""), 'Cost Inputs'!$J$81, "")</f>
        <v/>
      </c>
      <c r="I122" s="93" t="str">
        <f t="shared" si="4"/>
        <v/>
      </c>
      <c r="J122" s="93" t="str">
        <f>IF(AND(C122&lt;&gt;"",('Cost Inputs'!$I$81+'Cost Inputs'!$J$81+'Cost Inputs'!$K$81)&gt;0), 'Cost Inputs'!$I$81+'Cost Inputs'!$J$81+'Cost Inputs'!$K$81, "")</f>
        <v/>
      </c>
      <c r="K122" s="93" t="str">
        <f>IF(AND(C122&lt;&gt;"", 'Cost Inputs'!$N$81&gt;0),'Cost Inputs'!$N$81,"")</f>
        <v/>
      </c>
      <c r="L122" s="93"/>
      <c r="M122" s="109"/>
      <c r="S122" s="107" t="str">
        <f>IF(ISNUMBER('Model_ of_individuals'!S124), 'Model_ of_individuals'!S124*'Model_ of_individuals'!$K124,"")</f>
        <v/>
      </c>
      <c r="T122" s="93" t="str">
        <f>IF(ISNUMBER('Model_ of_individuals'!T124), 'Model_ of_individuals'!T124*'Model_ of_individuals'!$K124,"")</f>
        <v/>
      </c>
      <c r="U122" s="93" t="str">
        <f>IF(ISNUMBER('Model_ of_individuals'!U124), 'Model_ of_individuals'!U124*'Model_ of_individuals'!$K124,"")</f>
        <v/>
      </c>
      <c r="V122" s="93" t="str">
        <f>IF(ISNUMBER('Model_ of_individuals'!V124), 'Model_ of_individuals'!V124*'Model_ of_individuals'!$K124,"")</f>
        <v/>
      </c>
      <c r="W122" s="93" t="str">
        <f>IF(ISNUMBER('Model_ of_individuals'!W124), 'Model_ of_individuals'!W124*'Model_ of_individuals'!$K124,"")</f>
        <v/>
      </c>
      <c r="X122" s="93" t="str">
        <f>IF(ISNUMBER('Model_ of_individuals'!X124), 'Model_ of_individuals'!X124*'Model_ of_individuals'!$K124,"")</f>
        <v/>
      </c>
      <c r="Y122" s="93" t="str">
        <f>IF(ISNUMBER('Model_ of_individuals'!Y124), 'Model_ of_individuals'!Y124*'Model_ of_individuals'!$K124,"")</f>
        <v/>
      </c>
      <c r="Z122" s="93" t="str">
        <f>IF(ISNUMBER('Model_ of_individuals'!Z124), 'Model_ of_individuals'!Z124*'Model_ of_individuals'!$K124,"")</f>
        <v/>
      </c>
      <c r="AA122" s="93" t="str">
        <f>IF(ISNUMBER('Model_ of_individuals'!AA124), 'Model_ of_individuals'!AA124*'Model_ of_individuals'!$K124,"")</f>
        <v/>
      </c>
      <c r="AB122" s="109" t="str">
        <f>IF(ISNUMBER('Model_ of_individuals'!AB124), 'Model_ of_individuals'!AB124*'Model_ of_individuals'!$K124,"")</f>
        <v/>
      </c>
    </row>
    <row r="123" spans="1:29" x14ac:dyDescent="0.25">
      <c r="A123" s="518"/>
      <c r="B123" s="504"/>
      <c r="C123" s="104" t="str">
        <f>IF(AND(ISNUMBER(B108), OR('Cost Inputs'!$H$82&lt;&gt;"", 'Cost Inputs'!$I$82&lt;&gt;"", 'Cost Inputs'!$J$82&lt;&gt;"")),_3_4_5, "")</f>
        <v/>
      </c>
      <c r="D123" s="17" t="str">
        <f>IF(AND(C123&lt;&gt;"", 'Cost Inputs'!$G$82&lt;&gt;""), 'Cost Inputs'!$G$82, "")</f>
        <v/>
      </c>
      <c r="E123" s="17" t="str">
        <f>IF(AND(C123&lt;&gt;"", 'Cost Inputs'!$H$82&lt;&gt;""), 'Cost Inputs'!$H$82, "")</f>
        <v/>
      </c>
      <c r="F123" s="17" t="str">
        <f>IF(AND(C123&lt;&gt;"", 'Cost Inputs'!$I$82&lt;&gt;""), 'Cost Inputs'!$I$82, "")</f>
        <v/>
      </c>
      <c r="G123" s="17" t="str">
        <f t="shared" si="5"/>
        <v/>
      </c>
      <c r="H123" s="17" t="str">
        <f>IF(AND(C123&lt;&gt;"", 'Cost Inputs'!$J$82&lt;&gt;""), 'Cost Inputs'!$J$82, "")</f>
        <v/>
      </c>
      <c r="I123" s="17" t="str">
        <f t="shared" si="4"/>
        <v/>
      </c>
      <c r="J123" s="17" t="str">
        <f>IF(AND(C123&lt;&gt;"",('Cost Inputs'!$I$82+'Cost Inputs'!$J$82+'Cost Inputs'!$K$82)&gt;0), 'Cost Inputs'!$I$82+'Cost Inputs'!$J$82+'Cost Inputs'!$K$82, "")</f>
        <v/>
      </c>
      <c r="K123" s="17" t="str">
        <f>IF(AND(C123&lt;&gt;"", 'Cost Inputs'!$N$82&gt;0),'Cost Inputs'!$N$82,"")</f>
        <v/>
      </c>
      <c r="M123" s="106"/>
      <c r="S123" s="104" t="str">
        <f>IF(ISNUMBER('Model_ of_individuals'!S125), 'Model_ of_individuals'!S125*'Model_ of_individuals'!$K125,"")</f>
        <v/>
      </c>
      <c r="T123" s="17" t="str">
        <f>IF(ISNUMBER('Model_ of_individuals'!T125), 'Model_ of_individuals'!T125*'Model_ of_individuals'!$K125,"")</f>
        <v/>
      </c>
      <c r="U123" s="17" t="str">
        <f>IF(ISNUMBER('Model_ of_individuals'!U125), 'Model_ of_individuals'!U125*'Model_ of_individuals'!$K125,"")</f>
        <v/>
      </c>
      <c r="V123" s="17" t="str">
        <f>IF(ISNUMBER('Model_ of_individuals'!V125), 'Model_ of_individuals'!V125*'Model_ of_individuals'!$K125,"")</f>
        <v/>
      </c>
      <c r="W123" s="17" t="str">
        <f>IF(ISNUMBER('Model_ of_individuals'!W125), 'Model_ of_individuals'!W125*'Model_ of_individuals'!$K125,"")</f>
        <v/>
      </c>
      <c r="X123" s="17" t="str">
        <f>IF(ISNUMBER('Model_ of_individuals'!X125), 'Model_ of_individuals'!X125*'Model_ of_individuals'!$K125,"")</f>
        <v/>
      </c>
      <c r="Y123" s="17" t="str">
        <f>IF(ISNUMBER('Model_ of_individuals'!Y125), 'Model_ of_individuals'!Y125*'Model_ of_individuals'!$K125,"")</f>
        <v/>
      </c>
      <c r="Z123" s="17" t="str">
        <f>IF(ISNUMBER('Model_ of_individuals'!Z125), 'Model_ of_individuals'!Z125*'Model_ of_individuals'!$K125,"")</f>
        <v/>
      </c>
      <c r="AA123" s="17" t="str">
        <f>IF(ISNUMBER('Model_ of_individuals'!AA125), 'Model_ of_individuals'!AA125*'Model_ of_individuals'!$K125,"")</f>
        <v/>
      </c>
      <c r="AB123" s="106" t="str">
        <f>IF(ISNUMBER('Model_ of_individuals'!AB125), 'Model_ of_individuals'!AB125*'Model_ of_individuals'!$K125,"")</f>
        <v/>
      </c>
    </row>
    <row r="124" spans="1:29" x14ac:dyDescent="0.25">
      <c r="A124" s="518"/>
      <c r="B124" s="504"/>
      <c r="C124" s="107" t="str">
        <f>IF(AND(ISNUMBER(B108), OR('Cost Inputs'!$H$83&lt;&gt;"", 'Cost Inputs'!$I$83&lt;&gt;"", 'Cost Inputs'!$J$83&lt;&gt;"")),_3_4_6, "")</f>
        <v/>
      </c>
      <c r="D124" s="93" t="str">
        <f>IF(AND(C124&lt;&gt;"", 'Cost Inputs'!$G$83&lt;&gt;""), 'Cost Inputs'!$G$83, "")</f>
        <v/>
      </c>
      <c r="E124" s="93" t="str">
        <f>IF(AND(C124&lt;&gt;"", 'Cost Inputs'!$H$83&lt;&gt;""), 'Cost Inputs'!$H$83, "")</f>
        <v/>
      </c>
      <c r="F124" s="93" t="str">
        <f>IF(AND(C124&lt;&gt;"", 'Cost Inputs'!$I$83&lt;&gt;""), 'Cost Inputs'!$I$83, "")</f>
        <v/>
      </c>
      <c r="G124" s="93" t="str">
        <f t="shared" si="5"/>
        <v/>
      </c>
      <c r="H124" s="93" t="str">
        <f>IF(AND(C124&lt;&gt;"", 'Cost Inputs'!$J$83&lt;&gt;""), 'Cost Inputs'!$J$83, "")</f>
        <v/>
      </c>
      <c r="I124" s="93" t="str">
        <f t="shared" si="4"/>
        <v/>
      </c>
      <c r="J124" s="93" t="str">
        <f>IF(AND(C124&lt;&gt;"",('Cost Inputs'!$I$83+'Cost Inputs'!$J$83+'Cost Inputs'!$K$83)&gt;0), 'Cost Inputs'!$I$83+'Cost Inputs'!$J$83+'Cost Inputs'!$K$83, "")</f>
        <v/>
      </c>
      <c r="K124" s="93" t="str">
        <f>IF(AND(C124&lt;&gt;"", 'Cost Inputs'!$N$83&gt;0),'Cost Inputs'!$N$83,"")</f>
        <v/>
      </c>
      <c r="L124" s="93"/>
      <c r="M124" s="109"/>
      <c r="S124" s="107" t="str">
        <f>IF(ISNUMBER('Model_ of_individuals'!S126), 'Model_ of_individuals'!S126*'Model_ of_individuals'!$K126,"")</f>
        <v/>
      </c>
      <c r="T124" s="93" t="str">
        <f>IF(ISNUMBER('Model_ of_individuals'!T126), 'Model_ of_individuals'!T126*'Model_ of_individuals'!$K126,"")</f>
        <v/>
      </c>
      <c r="U124" s="93" t="str">
        <f>IF(ISNUMBER('Model_ of_individuals'!U126), 'Model_ of_individuals'!U126*'Model_ of_individuals'!$K126,"")</f>
        <v/>
      </c>
      <c r="V124" s="93" t="str">
        <f>IF(ISNUMBER('Model_ of_individuals'!V126), 'Model_ of_individuals'!V126*'Model_ of_individuals'!$K126,"")</f>
        <v/>
      </c>
      <c r="W124" s="93" t="str">
        <f>IF(ISNUMBER('Model_ of_individuals'!W126), 'Model_ of_individuals'!W126*'Model_ of_individuals'!$K126,"")</f>
        <v/>
      </c>
      <c r="X124" s="93" t="str">
        <f>IF(ISNUMBER('Model_ of_individuals'!X126), 'Model_ of_individuals'!X126*'Model_ of_individuals'!$K126,"")</f>
        <v/>
      </c>
      <c r="Y124" s="93" t="str">
        <f>IF(ISNUMBER('Model_ of_individuals'!Y126), 'Model_ of_individuals'!Y126*'Model_ of_individuals'!$K126,"")</f>
        <v/>
      </c>
      <c r="Z124" s="93" t="str">
        <f>IF(ISNUMBER('Model_ of_individuals'!Z126), 'Model_ of_individuals'!Z126*'Model_ of_individuals'!$K126,"")</f>
        <v/>
      </c>
      <c r="AA124" s="93" t="str">
        <f>IF(ISNUMBER('Model_ of_individuals'!AA126), 'Model_ of_individuals'!AA126*'Model_ of_individuals'!$K126,"")</f>
        <v/>
      </c>
      <c r="AB124" s="109" t="str">
        <f>IF(ISNUMBER('Model_ of_individuals'!AB126), 'Model_ of_individuals'!AB126*'Model_ of_individuals'!$K126,"")</f>
        <v/>
      </c>
    </row>
    <row r="125" spans="1:29" x14ac:dyDescent="0.25">
      <c r="A125" s="518"/>
      <c r="B125" s="504"/>
      <c r="C125" s="110" t="str">
        <f>IF(ISNUMBER(B108), _3_5_0,"")</f>
        <v/>
      </c>
      <c r="D125" s="94" t="str">
        <f>IF(AND(B108&lt;&gt;"", OR('Cost Inputs'!$H$84&lt;&gt;"", 'Cost Inputs'!$I$84&lt;&gt;"", 'Cost Inputs'!$J$84&lt;&gt;"")), 'Cost Inputs'!$G$84,"")</f>
        <v/>
      </c>
      <c r="E125" s="94" t="str">
        <f>IF(AND(C125&lt;&gt;"", 'Cost Inputs'!$H$84&lt;&gt;""), 'Cost Inputs'!$H$84, "")</f>
        <v/>
      </c>
      <c r="F125" s="94" t="str">
        <f>IF(AND(C125&lt;&gt;"", 'Cost Inputs'!$I$84&lt;&gt;""), 'Cost Inputs'!$I$84, "")</f>
        <v/>
      </c>
      <c r="G125" s="94" t="str">
        <f t="shared" si="5"/>
        <v/>
      </c>
      <c r="H125" s="94" t="str">
        <f>IF(AND(C125&lt;&gt;"", 'Cost Inputs'!$J$84&lt;&gt;""), 'Cost Inputs'!$J$84, "")</f>
        <v/>
      </c>
      <c r="I125" s="94" t="str">
        <f>IF(AND($E125&lt;&gt;"", $H125&lt;&gt;""), $H125/$E125, "")</f>
        <v/>
      </c>
      <c r="J125" s="94" t="str">
        <f>IF(AND(C125&lt;&gt;"",('Cost Inputs'!$I$84+'Cost Inputs'!$J$84+'Cost Inputs'!$K$84)&gt;0), 'Cost Inputs'!$I$84+'Cost Inputs'!$J$84+'Cost Inputs'!$K$84, "")</f>
        <v/>
      </c>
      <c r="K125" s="94" t="str">
        <f>IF(AND(C125&lt;&gt;"", 'Cost Inputs'!$N$84&gt;0),'Cost Inputs'!$N$84,"")</f>
        <v/>
      </c>
      <c r="L125" s="94"/>
      <c r="M125" s="129" t="str">
        <f>IF(ISNUMBER(B108), 'Breeding Inputs'!D79+'Breeding Inputs'!E79, "")</f>
        <v/>
      </c>
      <c r="S125" s="110" t="str">
        <f>IF(ISNUMBER('Model_ of_individuals'!S128), 'Model_ of_individuals'!S128*'Model_ of_individuals'!$K128,"")</f>
        <v/>
      </c>
      <c r="T125" s="94" t="str">
        <f>IF(ISNUMBER('Model_ of_individuals'!T128), 'Model_ of_individuals'!T128*'Model_ of_individuals'!$K128,"")</f>
        <v/>
      </c>
      <c r="U125" s="94" t="str">
        <f>IF(ISNUMBER('Model_ of_individuals'!U128), 'Model_ of_individuals'!U128*'Model_ of_individuals'!$K128,"")</f>
        <v/>
      </c>
      <c r="V125" s="94" t="str">
        <f>IF(ISNUMBER('Model_ of_individuals'!V128), 'Model_ of_individuals'!V128*'Model_ of_individuals'!$K128,"")</f>
        <v/>
      </c>
      <c r="W125" s="94" t="str">
        <f>IF(ISNUMBER('Model_ of_individuals'!W128), 'Model_ of_individuals'!W128*'Model_ of_individuals'!$K128,"")</f>
        <v/>
      </c>
      <c r="X125" s="94" t="str">
        <f>IF(ISNUMBER('Model_ of_individuals'!X128), 'Model_ of_individuals'!X128*'Model_ of_individuals'!$K128,"")</f>
        <v/>
      </c>
      <c r="Y125" s="94" t="str">
        <f>IF(ISNUMBER('Model_ of_individuals'!Y128), 'Model_ of_individuals'!Y128*'Model_ of_individuals'!$K128,"")</f>
        <v/>
      </c>
      <c r="Z125" s="94" t="str">
        <f>IF(ISNUMBER('Model_ of_individuals'!Z128), 'Model_ of_individuals'!Z128*'Model_ of_individuals'!$K128,"")</f>
        <v/>
      </c>
      <c r="AA125" s="94" t="str">
        <f>IF(ISNUMBER('Model_ of_individuals'!AA128), 'Model_ of_individuals'!AA128*'Model_ of_individuals'!$K128,"")</f>
        <v/>
      </c>
      <c r="AB125" s="103" t="str">
        <f>IF(ISNUMBER('Model_ of_individuals'!AB128), 'Model_ of_individuals'!AB128*'Model_ of_individuals'!$K128,"")</f>
        <v/>
      </c>
    </row>
    <row r="126" spans="1:29" x14ac:dyDescent="0.25">
      <c r="A126" s="518"/>
      <c r="B126" s="504"/>
      <c r="C126" s="104" t="str">
        <f>IF(AND(ISNUMBER(B108), OR('Cost Inputs'!$H$85&lt;&gt;"", 'Cost Inputs'!$I$85&lt;&gt;"", 'Cost Inputs'!$J$85&lt;&gt;"")), _3_5_1, "")</f>
        <v/>
      </c>
      <c r="D126" s="17" t="str">
        <f>IF(AND(C126&lt;&gt;"", 'Cost Inputs'!$G$85&lt;&gt;""), 'Cost Inputs'!$G$85, "")</f>
        <v/>
      </c>
      <c r="E126" s="17" t="str">
        <f>IF(AND(C126&lt;&gt;"", 'Cost Inputs'!$H$85&lt;&gt;""), 'Cost Inputs'!$H$85, "")</f>
        <v/>
      </c>
      <c r="F126" s="17" t="str">
        <f>IF(AND(C126&lt;&gt;"", 'Cost Inputs'!$I$85&lt;&gt;""), 'Cost Inputs'!$I$85, "")</f>
        <v/>
      </c>
      <c r="G126" s="17" t="str">
        <f t="shared" si="5"/>
        <v/>
      </c>
      <c r="H126" s="17" t="str">
        <f>IF(AND(C126&lt;&gt;"", 'Cost Inputs'!$J$85&lt;&gt;""), 'Cost Inputs'!$J$85, "")</f>
        <v/>
      </c>
      <c r="I126" s="17" t="str">
        <f t="shared" ref="I126:I127" si="6">IF(AND($E126&lt;&gt;"", $H126&lt;&gt;""), $H126/$E126, "")</f>
        <v/>
      </c>
      <c r="J126" s="17" t="str">
        <f>IF(AND(C126&lt;&gt;"",('Cost Inputs'!$I$85+'Cost Inputs'!$J$85+'Cost Inputs'!$K$85)&gt;0), 'Cost Inputs'!$I$85+'Cost Inputs'!$J$85+'Cost Inputs'!$K$85, "")</f>
        <v/>
      </c>
      <c r="K126" s="17" t="str">
        <f>IF(AND(C126&lt;&gt;"", 'Cost Inputs'!$N$85&gt;0),'Cost Inputs'!$N$85,"")</f>
        <v/>
      </c>
      <c r="M126" s="106"/>
      <c r="S126" s="104" t="str">
        <f>IF(ISNUMBER('Model_ of_individuals'!S129), 'Model_ of_individuals'!S129*'Model_ of_individuals'!$K129,"")</f>
        <v/>
      </c>
      <c r="T126" s="17" t="str">
        <f>IF(ISNUMBER('Model_ of_individuals'!T129), 'Model_ of_individuals'!T129*'Model_ of_individuals'!$K129,"")</f>
        <v/>
      </c>
      <c r="U126" s="17" t="str">
        <f>IF(ISNUMBER('Model_ of_individuals'!U129), 'Model_ of_individuals'!U129*'Model_ of_individuals'!$K129,"")</f>
        <v/>
      </c>
      <c r="V126" s="17" t="str">
        <f>IF(ISNUMBER('Model_ of_individuals'!V129), 'Model_ of_individuals'!V129*'Model_ of_individuals'!$K129,"")</f>
        <v/>
      </c>
      <c r="W126" s="17" t="str">
        <f>IF(ISNUMBER('Model_ of_individuals'!W129), 'Model_ of_individuals'!W129*'Model_ of_individuals'!$K129,"")</f>
        <v/>
      </c>
      <c r="X126" s="17" t="str">
        <f>IF(ISNUMBER('Model_ of_individuals'!X129), 'Model_ of_individuals'!X129*'Model_ of_individuals'!$K129,"")</f>
        <v/>
      </c>
      <c r="Y126" s="17" t="str">
        <f>IF(ISNUMBER('Model_ of_individuals'!Y129), 'Model_ of_individuals'!Y129*'Model_ of_individuals'!$K129,"")</f>
        <v/>
      </c>
      <c r="Z126" s="17" t="str">
        <f>IF(ISNUMBER('Model_ of_individuals'!Z129), 'Model_ of_individuals'!Z129*'Model_ of_individuals'!$K129,"")</f>
        <v/>
      </c>
      <c r="AA126" s="17" t="str">
        <f>IF(ISNUMBER('Model_ of_individuals'!AA129), 'Model_ of_individuals'!AA129*'Model_ of_individuals'!$K129,"")</f>
        <v/>
      </c>
      <c r="AB126" s="106" t="str">
        <f>IF(ISNUMBER('Model_ of_individuals'!AB129), 'Model_ of_individuals'!AB129*'Model_ of_individuals'!$K129,"")</f>
        <v/>
      </c>
    </row>
    <row r="127" spans="1:29" ht="15.75" thickBot="1" x14ac:dyDescent="0.3">
      <c r="A127" s="518"/>
      <c r="B127" s="505"/>
      <c r="C127" s="111" t="str">
        <f>IF(AND(ISNUMBER(B108), OR('Cost Inputs'!$H$86&lt;&gt;"", 'Cost Inputs'!$I$86&lt;&gt;"", 'Cost Inputs'!$J$86&lt;&gt;"")), _3_5_2, "")</f>
        <v/>
      </c>
      <c r="D127" s="95" t="str">
        <f>IF(AND(C127&lt;&gt;"", 'Cost Inputs'!$G$86&lt;&gt;""), 'Cost Inputs'!$G$86, "")</f>
        <v/>
      </c>
      <c r="E127" s="95" t="str">
        <f>IF(AND(C127&lt;&gt;"", 'Cost Inputs'!$H$86&lt;&gt;""), 'Cost Inputs'!$H$86, "")</f>
        <v/>
      </c>
      <c r="F127" s="95" t="str">
        <f>IF(AND(C127&lt;&gt;"", 'Cost Inputs'!$I$86&lt;&gt;""), 'Cost Inputs'!$I$86, "")</f>
        <v/>
      </c>
      <c r="G127" s="95" t="str">
        <f t="shared" si="5"/>
        <v/>
      </c>
      <c r="H127" s="95" t="str">
        <f>IF(AND(C127&lt;&gt;"", 'Cost Inputs'!$J$86&lt;&gt;""), 'Cost Inputs'!$J$86, "")</f>
        <v/>
      </c>
      <c r="I127" s="95" t="str">
        <f t="shared" si="6"/>
        <v/>
      </c>
      <c r="J127" s="95" t="str">
        <f>IF(AND(C127&lt;&gt;"",('Cost Inputs'!$I$86+'Cost Inputs'!$J$86+'Cost Inputs'!$K$86)&gt;0), 'Cost Inputs'!$I$86+'Cost Inputs'!$J$86+'Cost Inputs'!$K$86, "")</f>
        <v/>
      </c>
      <c r="K127" s="95" t="str">
        <f>IF(AND(C127&lt;&gt;"", 'Cost Inputs'!$N$86&gt;0),'Cost Inputs'!$N$86,"")</f>
        <v/>
      </c>
      <c r="L127" s="95"/>
      <c r="M127" s="113"/>
      <c r="S127" s="111" t="str">
        <f>IF(ISNUMBER('Model_ of_individuals'!S130), 'Model_ of_individuals'!S130*'Model_ of_individuals'!$K130,"")</f>
        <v/>
      </c>
      <c r="T127" s="95" t="str">
        <f>IF(ISNUMBER('Model_ of_individuals'!T130), 'Model_ of_individuals'!T130*'Model_ of_individuals'!$K130,"")</f>
        <v/>
      </c>
      <c r="U127" s="95" t="str">
        <f>IF(ISNUMBER('Model_ of_individuals'!U130), 'Model_ of_individuals'!U130*'Model_ of_individuals'!$K130,"")</f>
        <v/>
      </c>
      <c r="V127" s="95" t="str">
        <f>IF(ISNUMBER('Model_ of_individuals'!V130), 'Model_ of_individuals'!V130*'Model_ of_individuals'!$K130,"")</f>
        <v/>
      </c>
      <c r="W127" s="95" t="str">
        <f>IF(ISNUMBER('Model_ of_individuals'!W130), 'Model_ of_individuals'!W130*'Model_ of_individuals'!$K130,"")</f>
        <v/>
      </c>
      <c r="X127" s="95" t="str">
        <f>IF(ISNUMBER('Model_ of_individuals'!X130), 'Model_ of_individuals'!X130*'Model_ of_individuals'!$K130,"")</f>
        <v/>
      </c>
      <c r="Y127" s="95" t="str">
        <f>IF(ISNUMBER('Model_ of_individuals'!Y130), 'Model_ of_individuals'!Y130*'Model_ of_individuals'!$K130,"")</f>
        <v/>
      </c>
      <c r="Z127" s="95" t="str">
        <f>IF(ISNUMBER('Model_ of_individuals'!Z130), 'Model_ of_individuals'!Z130*'Model_ of_individuals'!$K130,"")</f>
        <v/>
      </c>
      <c r="AA127" s="95" t="str">
        <f>IF(ISNUMBER('Model_ of_individuals'!AA130), 'Model_ of_individuals'!AA130*'Model_ of_individuals'!$K130,"")</f>
        <v/>
      </c>
      <c r="AB127" s="113" t="str">
        <f>IF(ISNUMBER('Model_ of_individuals'!AB130), 'Model_ of_individuals'!AB130*'Model_ of_individuals'!$K130,"")</f>
        <v/>
      </c>
    </row>
    <row r="128" spans="1:29" ht="14.45" customHeight="1" x14ac:dyDescent="0.25">
      <c r="A128" s="518" t="str">
        <f>Third_Stage</f>
        <v>Stage 1 Seedling Test Plots</v>
      </c>
      <c r="B128" s="503" t="str">
        <f>'Breeding Inputs'!B80</f>
        <v/>
      </c>
      <c r="C128" s="116" t="str">
        <f>IF(ISNUMBER(B128), _3_2_0, "")</f>
        <v/>
      </c>
      <c r="D128" s="92" t="str">
        <f>IF(AND(B128&lt;&gt;"", OR('Cost Inputs'!$H$67&lt;&gt;"", 'Cost Inputs'!$I$67&lt;&gt;"", 'Cost Inputs'!$J$67&lt;&gt;"")), 'Cost Inputs'!$G$67,"")</f>
        <v/>
      </c>
      <c r="E128" s="92" t="str">
        <f>IF(AND(C128&lt;&gt;"", 'Cost Inputs'!$H$67&lt;&gt;"", M$125&lt;&gt;"", M$125&gt;0), $E108-('Cost Inputs'!$H$67*M$125), IF(AND(C128&lt;&gt;"", 'Cost Inputs'!$H$67&lt;&gt;""), $E108, ""))</f>
        <v/>
      </c>
      <c r="F128" s="92" t="str">
        <f>IF(AND(C128&lt;&gt;"", 'Cost Inputs'!$I$67&lt;&gt;""), 'Cost Inputs'!$I$67, "")</f>
        <v/>
      </c>
      <c r="G128" s="92" t="str">
        <f t="shared" si="5"/>
        <v/>
      </c>
      <c r="H128" s="92" t="str">
        <f>IF(AND(C128&lt;&gt;"", 'Cost Inputs'!$J$67&lt;&gt;""), 'Cost Inputs'!$J$67, "")</f>
        <v/>
      </c>
      <c r="I128" s="92" t="str">
        <f>IF(AND($E128&lt;&gt;"", $H128&lt;&gt;""), $H128/$E128, "")</f>
        <v/>
      </c>
      <c r="J128" s="92" t="str">
        <f>IF(AND(C128&lt;&gt;"",('Cost Inputs'!$I$67+'Cost Inputs'!$J$67+'Cost Inputs'!$K$67)&gt;0), 'Cost Inputs'!$I$67+'Cost Inputs'!$J$67+'Cost Inputs'!$K$67, "")</f>
        <v/>
      </c>
      <c r="K128" s="92" t="str">
        <f>IF(AND(C128&lt;&gt;"", 'Cost Inputs'!$N$67&gt;0),'Cost Inputs'!$N$67,"")</f>
        <v/>
      </c>
      <c r="L128" s="92"/>
      <c r="M128" s="101"/>
      <c r="T128" s="110" t="str">
        <f>IF(ISNUMBER('Model_ of_individuals'!T131), 'Model_ of_individuals'!T131*'Model_ of_individuals'!$K131,"")</f>
        <v/>
      </c>
      <c r="U128" s="94" t="str">
        <f>IF(ISNUMBER('Model_ of_individuals'!U131), 'Model_ of_individuals'!U131*'Model_ of_individuals'!$K131,"")</f>
        <v/>
      </c>
      <c r="V128" s="94" t="str">
        <f>IF(ISNUMBER('Model_ of_individuals'!V131), 'Model_ of_individuals'!V131*'Model_ of_individuals'!$K131,"")</f>
        <v/>
      </c>
      <c r="W128" s="94" t="str">
        <f>IF(ISNUMBER('Model_ of_individuals'!W131), 'Model_ of_individuals'!W131*'Model_ of_individuals'!$K131,"")</f>
        <v/>
      </c>
      <c r="X128" s="94" t="str">
        <f>IF(ISNUMBER('Model_ of_individuals'!X131), 'Model_ of_individuals'!X131*'Model_ of_individuals'!$K131,"")</f>
        <v/>
      </c>
      <c r="Y128" s="94" t="str">
        <f>IF(ISNUMBER('Model_ of_individuals'!Y131), 'Model_ of_individuals'!Y131*'Model_ of_individuals'!$K131,"")</f>
        <v/>
      </c>
      <c r="Z128" s="94" t="str">
        <f>IF(ISNUMBER('Model_ of_individuals'!Z131), 'Model_ of_individuals'!Z131*'Model_ of_individuals'!$K131,"")</f>
        <v/>
      </c>
      <c r="AA128" s="94" t="str">
        <f>IF(ISNUMBER('Model_ of_individuals'!AA131), 'Model_ of_individuals'!AA131*'Model_ of_individuals'!$K131,"")</f>
        <v/>
      </c>
      <c r="AB128" s="94" t="str">
        <f>IF(ISNUMBER('Model_ of_individuals'!AB131), 'Model_ of_individuals'!AB131*'Model_ of_individuals'!$K131,"")</f>
        <v/>
      </c>
      <c r="AC128" s="103" t="str">
        <f>IF(ISNUMBER('Model_ of_individuals'!AC131), 'Model_ of_individuals'!AC131*'Model_ of_individuals'!$K131,"")</f>
        <v/>
      </c>
    </row>
    <row r="129" spans="1:29" x14ac:dyDescent="0.25">
      <c r="A129" s="518"/>
      <c r="B129" s="504"/>
      <c r="C129" s="104" t="str">
        <f>IF(AND(ISNUMBER(B128), OR('Cost Inputs'!$H$68&lt;&gt;"", 'Cost Inputs'!$I$68&lt;&gt;"", 'Cost Inputs'!$J$68&lt;&gt;"")), _3_2_1, "")</f>
        <v/>
      </c>
      <c r="D129" s="17" t="str">
        <f>IF(AND($C129&lt;&gt;"", 'Cost Inputs'!$G$68&lt;&gt;""), 'Cost Inputs'!$G$68, "")</f>
        <v/>
      </c>
      <c r="E129" s="17" t="str">
        <f>IF(AND(C129&lt;&gt;"", 'Cost Inputs'!$H$68&lt;&gt;"", M$125&lt;&gt;"", M$125&gt;0), $E109-('Cost Inputs'!$H$68*M$125), IF(AND(C129&lt;&gt;"", 'Cost Inputs'!$H$68&lt;&gt;""), $E109, ""))</f>
        <v/>
      </c>
      <c r="F129" s="17" t="str">
        <f>IF(AND(C129&lt;&gt;"", 'Cost Inputs'!$I$68&lt;&gt;""), 'Cost Inputs'!$I$68, "")</f>
        <v/>
      </c>
      <c r="G129" s="17" t="str">
        <f t="shared" si="5"/>
        <v/>
      </c>
      <c r="H129" s="17" t="str">
        <f>IF(AND(C129&lt;&gt;"", 'Cost Inputs'!$J$68&lt;&gt;""), 'Cost Inputs'!$J$68, "")</f>
        <v/>
      </c>
      <c r="I129" s="17" t="str">
        <f t="shared" ref="I129:I192" si="7">IF(AND($E129&lt;&gt;"", $H129&lt;&gt;""), $H129/$E129, "")</f>
        <v/>
      </c>
      <c r="J129" s="17" t="str">
        <f>IF(AND(C129&lt;&gt;"",('Cost Inputs'!$I$68+'Cost Inputs'!$J$68+'Cost Inputs'!$K$68)&gt;0), 'Cost Inputs'!$I$68+'Cost Inputs'!$J$68+'Cost Inputs'!$K$68, "")</f>
        <v/>
      </c>
      <c r="K129" s="17" t="str">
        <f>IF(AND(C129&lt;&gt;"", 'Cost Inputs'!$N$68&gt;0),'Cost Inputs'!$N$68,"")</f>
        <v/>
      </c>
      <c r="M129" s="106"/>
      <c r="T129" s="104" t="str">
        <f>IF(ISNUMBER('Model_ of_individuals'!T132), 'Model_ of_individuals'!T132*'Model_ of_individuals'!$K132,"")</f>
        <v/>
      </c>
      <c r="U129" s="17" t="str">
        <f>IF(ISNUMBER('Model_ of_individuals'!U132), 'Model_ of_individuals'!U132*'Model_ of_individuals'!$K132,"")</f>
        <v/>
      </c>
      <c r="V129" s="17" t="str">
        <f>IF(ISNUMBER('Model_ of_individuals'!V132), 'Model_ of_individuals'!V132*'Model_ of_individuals'!$K132,"")</f>
        <v/>
      </c>
      <c r="W129" s="17" t="str">
        <f>IF(ISNUMBER('Model_ of_individuals'!W132), 'Model_ of_individuals'!W132*'Model_ of_individuals'!$K132,"")</f>
        <v/>
      </c>
      <c r="X129" s="17" t="str">
        <f>IF(ISNUMBER('Model_ of_individuals'!X132), 'Model_ of_individuals'!X132*'Model_ of_individuals'!$K132,"")</f>
        <v/>
      </c>
      <c r="Y129" s="17" t="str">
        <f>IF(ISNUMBER('Model_ of_individuals'!Y132), 'Model_ of_individuals'!Y132*'Model_ of_individuals'!$K132,"")</f>
        <v/>
      </c>
      <c r="Z129" s="17" t="str">
        <f>IF(ISNUMBER('Model_ of_individuals'!Z132), 'Model_ of_individuals'!Z132*'Model_ of_individuals'!$K132,"")</f>
        <v/>
      </c>
      <c r="AA129" s="17" t="str">
        <f>IF(ISNUMBER('Model_ of_individuals'!AA132), 'Model_ of_individuals'!AA132*'Model_ of_individuals'!$K132,"")</f>
        <v/>
      </c>
      <c r="AB129" s="17" t="str">
        <f>IF(ISNUMBER('Model_ of_individuals'!AB132), 'Model_ of_individuals'!AB132*'Model_ of_individuals'!$K132,"")</f>
        <v/>
      </c>
      <c r="AC129" s="106" t="str">
        <f>IF(ISNUMBER('Model_ of_individuals'!AC132), 'Model_ of_individuals'!AC132*'Model_ of_individuals'!$K132,"")</f>
        <v/>
      </c>
    </row>
    <row r="130" spans="1:29" x14ac:dyDescent="0.25">
      <c r="A130" s="518"/>
      <c r="B130" s="504"/>
      <c r="C130" s="107" t="str">
        <f>IF(AND(ISNUMBER(B128), OR('Cost Inputs'!$H$69&lt;&gt;"", 'Cost Inputs'!$I$69&lt;&gt;"", 'Cost Inputs'!$J$69&lt;&gt;"")), _3_2_2, "")</f>
        <v/>
      </c>
      <c r="D130" s="93" t="str">
        <f>IF(AND($C130&lt;&gt;"", 'Cost Inputs'!$G$69&lt;&gt;""), 'Cost Inputs'!$G$69, "")</f>
        <v/>
      </c>
      <c r="E130" s="93" t="str">
        <f>IF(AND(C130&lt;&gt;"", 'Cost Inputs'!$H$69&lt;&gt;"", M$125&lt;&gt;"", M$125&gt;0), $E110-('Cost Inputs'!$H$69*M$125), IF(AND(C130&lt;&gt;"", 'Cost Inputs'!$H$69&lt;&gt;""), $E110, ""))</f>
        <v/>
      </c>
      <c r="F130" s="93" t="str">
        <f>IF(AND(C130&lt;&gt;"", 'Cost Inputs'!$I$69&lt;&gt;""), 'Cost Inputs'!$I$69, "")</f>
        <v/>
      </c>
      <c r="G130" s="93" t="str">
        <f t="shared" si="5"/>
        <v/>
      </c>
      <c r="H130" s="93" t="str">
        <f>IF(AND(C130&lt;&gt;"", 'Cost Inputs'!$J$69&lt;&gt;""), 'Cost Inputs'!$J$69, "")</f>
        <v/>
      </c>
      <c r="I130" s="93" t="str">
        <f t="shared" si="7"/>
        <v/>
      </c>
      <c r="J130" s="93" t="str">
        <f>IF(AND(C130&lt;&gt;"",('Cost Inputs'!$I$69+'Cost Inputs'!$J$69+'Cost Inputs'!$K$69)&gt;0), 'Cost Inputs'!$I$69+'Cost Inputs'!$J$69+'Cost Inputs'!$K$69, "")</f>
        <v/>
      </c>
      <c r="K130" s="93" t="str">
        <f>IF(AND(C130&lt;&gt;"", 'Cost Inputs'!$N$69&gt;0),'Cost Inputs'!$N$69,"")</f>
        <v/>
      </c>
      <c r="L130" s="93"/>
      <c r="M130" s="109"/>
      <c r="T130" s="107" t="str">
        <f>IF(ISNUMBER('Model_ of_individuals'!T133), 'Model_ of_individuals'!T133*'Model_ of_individuals'!$K133,"")</f>
        <v/>
      </c>
      <c r="U130" s="93" t="str">
        <f>IF(ISNUMBER('Model_ of_individuals'!U133), 'Model_ of_individuals'!U133*'Model_ of_individuals'!$K133,"")</f>
        <v/>
      </c>
      <c r="V130" s="93" t="str">
        <f>IF(ISNUMBER('Model_ of_individuals'!V133), 'Model_ of_individuals'!V133*'Model_ of_individuals'!$K133,"")</f>
        <v/>
      </c>
      <c r="W130" s="93" t="str">
        <f>IF(ISNUMBER('Model_ of_individuals'!W133), 'Model_ of_individuals'!W133*'Model_ of_individuals'!$K133,"")</f>
        <v/>
      </c>
      <c r="X130" s="93" t="str">
        <f>IF(ISNUMBER('Model_ of_individuals'!X133), 'Model_ of_individuals'!X133*'Model_ of_individuals'!$K133,"")</f>
        <v/>
      </c>
      <c r="Y130" s="93" t="str">
        <f>IF(ISNUMBER('Model_ of_individuals'!Y133), 'Model_ of_individuals'!Y133*'Model_ of_individuals'!$K133,"")</f>
        <v/>
      </c>
      <c r="Z130" s="93" t="str">
        <f>IF(ISNUMBER('Model_ of_individuals'!Z133), 'Model_ of_individuals'!Z133*'Model_ of_individuals'!$K133,"")</f>
        <v/>
      </c>
      <c r="AA130" s="93" t="str">
        <f>IF(ISNUMBER('Model_ of_individuals'!AA133), 'Model_ of_individuals'!AA133*'Model_ of_individuals'!$K133,"")</f>
        <v/>
      </c>
      <c r="AB130" s="93" t="str">
        <f>IF(ISNUMBER('Model_ of_individuals'!AB133), 'Model_ of_individuals'!AB133*'Model_ of_individuals'!$K133,"")</f>
        <v/>
      </c>
      <c r="AC130" s="109" t="str">
        <f>IF(ISNUMBER('Model_ of_individuals'!AC133), 'Model_ of_individuals'!AC133*'Model_ of_individuals'!$K133,"")</f>
        <v/>
      </c>
    </row>
    <row r="131" spans="1:29" x14ac:dyDescent="0.25">
      <c r="A131" s="518"/>
      <c r="B131" s="504"/>
      <c r="C131" s="104" t="str">
        <f>IF(AND( ISNUMBER(B128), OR('Cost Inputs'!$H$70&lt;&gt;"", 'Cost Inputs'!$I$70&lt;&gt;"", 'Cost Inputs'!$J$70&lt;&gt;"")), _3_2_3, "")</f>
        <v/>
      </c>
      <c r="D131" s="17" t="str">
        <f>IF(AND($C131&lt;&gt;"", 'Cost Inputs'!$G$70&lt;&gt;""), 'Cost Inputs'!$G$70, "")</f>
        <v/>
      </c>
      <c r="E131" s="17" t="str">
        <f>IF(AND(C131&lt;&gt;"", 'Cost Inputs'!$H$70&lt;&gt;"", M$125&lt;&gt;"", M$125&gt;0), $E111-('Cost Inputs'!$H$70*M$125), IF(AND(C131&lt;&gt;"", 'Cost Inputs'!$H$70&lt;&gt;""), $E111, ""))</f>
        <v/>
      </c>
      <c r="F131" s="17" t="str">
        <f>IF(AND(C131&lt;&gt;"", 'Cost Inputs'!$I$70&lt;&gt;""), 'Cost Inputs'!$I$70, "")</f>
        <v/>
      </c>
      <c r="G131" s="17" t="str">
        <f t="shared" si="5"/>
        <v/>
      </c>
      <c r="H131" s="17" t="str">
        <f>IF(AND(C131&lt;&gt;"", 'Cost Inputs'!$J$70&lt;&gt;""), 'Cost Inputs'!$J$70, "")</f>
        <v/>
      </c>
      <c r="I131" s="17" t="str">
        <f t="shared" si="7"/>
        <v/>
      </c>
      <c r="J131" s="17" t="str">
        <f>IF(AND(C131&lt;&gt;"",('Cost Inputs'!$I$70+'Cost Inputs'!$J$70+'Cost Inputs'!$K$70)&gt;0), 'Cost Inputs'!$I$70+'Cost Inputs'!$J$70+'Cost Inputs'!$K$70, "")</f>
        <v/>
      </c>
      <c r="K131" s="17" t="str">
        <f>IF(AND(C131&lt;&gt;"", 'Cost Inputs'!$N$70&gt;0),'Cost Inputs'!$N$70,"")</f>
        <v/>
      </c>
      <c r="M131" s="106"/>
      <c r="T131" s="104" t="str">
        <f>IF(ISNUMBER('Model_ of_individuals'!T134), 'Model_ of_individuals'!T134*'Model_ of_individuals'!$K134,"")</f>
        <v/>
      </c>
      <c r="U131" s="17" t="str">
        <f>IF(ISNUMBER('Model_ of_individuals'!U134), 'Model_ of_individuals'!U134*'Model_ of_individuals'!$K134,"")</f>
        <v/>
      </c>
      <c r="V131" s="17" t="str">
        <f>IF(ISNUMBER('Model_ of_individuals'!V134), 'Model_ of_individuals'!V134*'Model_ of_individuals'!$K134,"")</f>
        <v/>
      </c>
      <c r="W131" s="17" t="str">
        <f>IF(ISNUMBER('Model_ of_individuals'!W134), 'Model_ of_individuals'!W134*'Model_ of_individuals'!$K134,"")</f>
        <v/>
      </c>
      <c r="X131" s="17" t="str">
        <f>IF(ISNUMBER('Model_ of_individuals'!X134), 'Model_ of_individuals'!X134*'Model_ of_individuals'!$K134,"")</f>
        <v/>
      </c>
      <c r="Y131" s="17" t="str">
        <f>IF(ISNUMBER('Model_ of_individuals'!Y134), 'Model_ of_individuals'!Y134*'Model_ of_individuals'!$K134,"")</f>
        <v/>
      </c>
      <c r="Z131" s="17" t="str">
        <f>IF(ISNUMBER('Model_ of_individuals'!Z134), 'Model_ of_individuals'!Z134*'Model_ of_individuals'!$K134,"")</f>
        <v/>
      </c>
      <c r="AA131" s="17" t="str">
        <f>IF(ISNUMBER('Model_ of_individuals'!AA134), 'Model_ of_individuals'!AA134*'Model_ of_individuals'!$K134,"")</f>
        <v/>
      </c>
      <c r="AB131" s="17" t="str">
        <f>IF(ISNUMBER('Model_ of_individuals'!AB134), 'Model_ of_individuals'!AB134*'Model_ of_individuals'!$K134,"")</f>
        <v/>
      </c>
      <c r="AC131" s="106" t="str">
        <f>IF(ISNUMBER('Model_ of_individuals'!AC134), 'Model_ of_individuals'!AC134*'Model_ of_individuals'!$K134,"")</f>
        <v/>
      </c>
    </row>
    <row r="132" spans="1:29" x14ac:dyDescent="0.25">
      <c r="A132" s="518"/>
      <c r="B132" s="504"/>
      <c r="C132" s="107" t="str">
        <f>IF(AND( ISNUMBER(B128), OR('Cost Inputs'!$H$71&lt;&gt;"", 'Cost Inputs'!$I$71&lt;&gt;"", 'Cost Inputs'!$J$71&lt;&gt;"")), _3_2_4, "")</f>
        <v/>
      </c>
      <c r="D132" s="93" t="str">
        <f>IF(AND($C132&lt;&gt;"", 'Cost Inputs'!$G$71&lt;&gt;""), 'Cost Inputs'!$G$71, "")</f>
        <v/>
      </c>
      <c r="E132" s="93" t="str">
        <f>IF(AND(C132&lt;&gt;"", 'Cost Inputs'!$H$71&lt;&gt;"", M$125&lt;&gt;"", M$125&gt;0), $E112-('Cost Inputs'!$H$71*M$125), IF(AND(C132&lt;&gt;"", 'Cost Inputs'!$H$71&lt;&gt;""), $E112, ""))</f>
        <v/>
      </c>
      <c r="F132" s="93" t="str">
        <f>IF(AND(C132&lt;&gt;"", 'Cost Inputs'!$I$71&lt;&gt;""), 'Cost Inputs'!$I$71, "")</f>
        <v/>
      </c>
      <c r="G132" s="93" t="str">
        <f t="shared" si="5"/>
        <v/>
      </c>
      <c r="H132" s="93" t="str">
        <f>IF(AND(C132&lt;&gt;"", 'Cost Inputs'!$J$71&lt;&gt;""), 'Cost Inputs'!$J$71, "")</f>
        <v/>
      </c>
      <c r="I132" s="93" t="str">
        <f t="shared" si="7"/>
        <v/>
      </c>
      <c r="J132" s="93" t="str">
        <f>IF(AND(C132&lt;&gt;"",('Cost Inputs'!$I$71+'Cost Inputs'!$J$71+'Cost Inputs'!$K$71)&gt;0), 'Cost Inputs'!$I$71+'Cost Inputs'!$J$71+'Cost Inputs'!$K$71, "")</f>
        <v/>
      </c>
      <c r="K132" s="93" t="str">
        <f>IF(AND(C132&lt;&gt;"", 'Cost Inputs'!$N$71&gt;0),'Cost Inputs'!$N$71,"")</f>
        <v/>
      </c>
      <c r="L132" s="93"/>
      <c r="M132" s="109"/>
      <c r="T132" s="107" t="str">
        <f>IF(ISNUMBER('Model_ of_individuals'!T135), 'Model_ of_individuals'!T135*'Model_ of_individuals'!$K135,"")</f>
        <v/>
      </c>
      <c r="U132" s="93" t="str">
        <f>IF(ISNUMBER('Model_ of_individuals'!U135), 'Model_ of_individuals'!U135*'Model_ of_individuals'!$K135,"")</f>
        <v/>
      </c>
      <c r="V132" s="93" t="str">
        <f>IF(ISNUMBER('Model_ of_individuals'!V135), 'Model_ of_individuals'!V135*'Model_ of_individuals'!$K135,"")</f>
        <v/>
      </c>
      <c r="W132" s="93" t="str">
        <f>IF(ISNUMBER('Model_ of_individuals'!W135), 'Model_ of_individuals'!W135*'Model_ of_individuals'!$K135,"")</f>
        <v/>
      </c>
      <c r="X132" s="93" t="str">
        <f>IF(ISNUMBER('Model_ of_individuals'!X135), 'Model_ of_individuals'!X135*'Model_ of_individuals'!$K135,"")</f>
        <v/>
      </c>
      <c r="Y132" s="93" t="str">
        <f>IF(ISNUMBER('Model_ of_individuals'!Y135), 'Model_ of_individuals'!Y135*'Model_ of_individuals'!$K135,"")</f>
        <v/>
      </c>
      <c r="Z132" s="93" t="str">
        <f>IF(ISNUMBER('Model_ of_individuals'!Z135), 'Model_ of_individuals'!Z135*'Model_ of_individuals'!$K135,"")</f>
        <v/>
      </c>
      <c r="AA132" s="93" t="str">
        <f>IF(ISNUMBER('Model_ of_individuals'!AA135), 'Model_ of_individuals'!AA135*'Model_ of_individuals'!$K135,"")</f>
        <v/>
      </c>
      <c r="AB132" s="93" t="str">
        <f>IF(ISNUMBER('Model_ of_individuals'!AB135), 'Model_ of_individuals'!AB135*'Model_ of_individuals'!$K135,"")</f>
        <v/>
      </c>
      <c r="AC132" s="109" t="str">
        <f>IF(ISNUMBER('Model_ of_individuals'!AC135), 'Model_ of_individuals'!AC135*'Model_ of_individuals'!$K135,"")</f>
        <v/>
      </c>
    </row>
    <row r="133" spans="1:29" x14ac:dyDescent="0.25">
      <c r="A133" s="518"/>
      <c r="B133" s="504"/>
      <c r="C133" s="110" t="str">
        <f>IF(AND(B128&lt;&gt;"", ISNUMBER(Stage1EvaluationBegins)), IF((INDEX(ProgramYearStage1,MATCH(Stage1EvaluationBegins,Years_in_Stage1,0)))=B128, _3_3_0, IF(AND(B128&lt;&gt;"", C113&lt;&gt;""), _3_3_0, IF(AND(B128&lt;&gt;"", OR(Stage1EvaluationBegins=0, Stage1EvaluationBegins="")),"", ""))),"")</f>
        <v/>
      </c>
      <c r="D133" s="94" t="str">
        <f>IF(AND(B128&lt;&gt;"", OR('Cost Inputs'!$H$72&lt;&gt;"", 'Cost Inputs'!$I$72&lt;&gt;"", 'Cost Inputs'!$J$72&lt;&gt;"")), 'Cost Inputs'!$G$72,"")</f>
        <v/>
      </c>
      <c r="E133" s="94" t="str">
        <f>IF(AND(C133&lt;&gt;"", 'Cost Inputs'!$H$72&lt;&gt;""), 'Cost Inputs'!$H$72, "")</f>
        <v/>
      </c>
      <c r="F133" s="94" t="str">
        <f>IF(AND(C133&lt;&gt;"", 'Cost Inputs'!$I$72&lt;&gt;""), 'Cost Inputs'!$I$72, "")</f>
        <v/>
      </c>
      <c r="G133" s="94" t="str">
        <f t="shared" ref="G133:G196" si="8">IF(AND($E133&lt;&gt;"", $E133&gt;0, F133&lt;&gt;""), F133/$E133, "")</f>
        <v/>
      </c>
      <c r="H133" s="94" t="str">
        <f>IF(AND(C133&lt;&gt;"", 'Cost Inputs'!$J$72&lt;&gt;""), 'Cost Inputs'!$J$72, "")</f>
        <v/>
      </c>
      <c r="I133" s="94" t="str">
        <f>IF(AND($E133&lt;&gt;"", $H133&lt;&gt;""), $H133/$E133, "")</f>
        <v/>
      </c>
      <c r="J133" s="94" t="str">
        <f>IF(AND(C133&lt;&gt;"",('Cost Inputs'!$I$72+'Cost Inputs'!$J$72+'Cost Inputs'!$K$72)&gt;0), 'Cost Inputs'!$I$72+'Cost Inputs'!$J$72+'Cost Inputs'!$K$72, "")</f>
        <v/>
      </c>
      <c r="K133" s="94" t="str">
        <f>IF(AND(C133&lt;&gt;"", 'Cost Inputs'!$N$72&gt;0),'Cost Inputs'!$N$72,"")</f>
        <v/>
      </c>
      <c r="L133" s="130" t="str">
        <f>IF(AND($B128&lt;&gt;"", ISNUMBER(Stage1EvaluationBegins)), IF((INDEX(ProgramYearStage1,MATCH(Stage1EvaluationBegins,Years_in_Stage1,0)))=$B128, INDEX(Stage1Evaluation,MATCH(Stage1EvaluationBegins,Years_in_Stage1,0)), IF(AND($B128&lt;&gt;"", $C113&lt;&gt;""), INDEX(Stage1Evaluation,MATCH($B128,ProgramYearStage1,0)), IF(AND(B128&lt;&gt;"", OR(Stage1EvaluationBegins=0, Stage1EvaluationBegins="")),"", ""))),"")</f>
        <v/>
      </c>
      <c r="M133" s="103"/>
      <c r="T133" s="110" t="str">
        <f>IF(ISNUMBER('Model_ of_individuals'!T136), 'Model_ of_individuals'!T136*'Model_ of_individuals'!$K136,"")</f>
        <v/>
      </c>
      <c r="U133" s="94" t="str">
        <f>IF(ISNUMBER('Model_ of_individuals'!U136), 'Model_ of_individuals'!U136*'Model_ of_individuals'!$K136,"")</f>
        <v/>
      </c>
      <c r="V133" s="94" t="str">
        <f>IF(ISNUMBER('Model_ of_individuals'!V136), 'Model_ of_individuals'!V136*'Model_ of_individuals'!$K136,"")</f>
        <v/>
      </c>
      <c r="W133" s="94" t="str">
        <f>IF(ISNUMBER('Model_ of_individuals'!W136), 'Model_ of_individuals'!W136*'Model_ of_individuals'!$K136,"")</f>
        <v/>
      </c>
      <c r="X133" s="94" t="str">
        <f>IF(ISNUMBER('Model_ of_individuals'!X136), 'Model_ of_individuals'!X136*'Model_ of_individuals'!$K136,"")</f>
        <v/>
      </c>
      <c r="Y133" s="94" t="str">
        <f>IF(ISNUMBER('Model_ of_individuals'!Y136), 'Model_ of_individuals'!Y136*'Model_ of_individuals'!$K136,"")</f>
        <v/>
      </c>
      <c r="Z133" s="94" t="str">
        <f>IF(ISNUMBER('Model_ of_individuals'!Z136), 'Model_ of_individuals'!Z136*'Model_ of_individuals'!$K136,"")</f>
        <v/>
      </c>
      <c r="AA133" s="94" t="str">
        <f>IF(ISNUMBER('Model_ of_individuals'!AA136), 'Model_ of_individuals'!AA136*'Model_ of_individuals'!$K136,"")</f>
        <v/>
      </c>
      <c r="AB133" s="94" t="str">
        <f>IF(ISNUMBER('Model_ of_individuals'!AB136), 'Model_ of_individuals'!AB136*'Model_ of_individuals'!$K136,"")</f>
        <v/>
      </c>
      <c r="AC133" s="103" t="str">
        <f>IF(ISNUMBER('Model_ of_individuals'!AC136), 'Model_ of_individuals'!AC136*'Model_ of_individuals'!$K136,"")</f>
        <v/>
      </c>
    </row>
    <row r="134" spans="1:29" x14ac:dyDescent="0.25">
      <c r="A134" s="518"/>
      <c r="B134" s="504"/>
      <c r="C134" s="104" t="str">
        <f>IF(AND(ISNUMBER(B128), C133&lt;&gt;"", OR('Cost Inputs'!$H$73&lt;&gt;"", 'Cost Inputs'!$I$73&lt;&gt;"", 'Cost Inputs'!$J$73&lt;&gt;"")), _3_3_1, "")</f>
        <v/>
      </c>
      <c r="D134" s="17" t="str">
        <f>IF(AND(C134&lt;&gt;"", 'Cost Inputs'!$G$73&lt;&gt;""), 'Cost Inputs'!$G$73, "")</f>
        <v/>
      </c>
      <c r="E134" s="17" t="str">
        <f>IF(AND(C134&lt;&gt;"", 'Cost Inputs'!$H$73&lt;&gt;""), 'Cost Inputs'!$H$73, "")</f>
        <v/>
      </c>
      <c r="F134" s="17" t="str">
        <f>IF(AND(C134&lt;&gt;"", 'Cost Inputs'!$I$73&lt;&gt;""), 'Cost Inputs'!$I$73, "")</f>
        <v/>
      </c>
      <c r="G134" s="17" t="str">
        <f t="shared" si="8"/>
        <v/>
      </c>
      <c r="H134" s="17" t="str">
        <f>IF(AND(C134&lt;&gt;"", 'Cost Inputs'!$J$73&lt;&gt;""), 'Cost Inputs'!$J$73, "")</f>
        <v/>
      </c>
      <c r="I134" s="17" t="str">
        <f t="shared" si="7"/>
        <v/>
      </c>
      <c r="J134" s="17" t="str">
        <f>IF(AND(C134&lt;&gt;"",('Cost Inputs'!$I$73+'Cost Inputs'!$J$73+'Cost Inputs'!$K$73)&gt;0), 'Cost Inputs'!$I$73+'Cost Inputs'!$J$73+'Cost Inputs'!$K$73, "")</f>
        <v/>
      </c>
      <c r="K134" s="17" t="str">
        <f>IF(AND(C134&lt;&gt;"", 'Cost Inputs'!$N$73&gt;0),'Cost Inputs'!$N$73,"")</f>
        <v/>
      </c>
      <c r="M134" s="106"/>
      <c r="T134" s="104" t="str">
        <f>IF(ISNUMBER('Model_ of_individuals'!T137), 'Model_ of_individuals'!T137*'Model_ of_individuals'!$K137,"")</f>
        <v/>
      </c>
      <c r="U134" s="17" t="str">
        <f>IF(ISNUMBER('Model_ of_individuals'!U137), 'Model_ of_individuals'!U137*'Model_ of_individuals'!$K137,"")</f>
        <v/>
      </c>
      <c r="V134" s="17" t="str">
        <f>IF(ISNUMBER('Model_ of_individuals'!V137), 'Model_ of_individuals'!V137*'Model_ of_individuals'!$K137,"")</f>
        <v/>
      </c>
      <c r="W134" s="17" t="str">
        <f>IF(ISNUMBER('Model_ of_individuals'!W137), 'Model_ of_individuals'!W137*'Model_ of_individuals'!$K137,"")</f>
        <v/>
      </c>
      <c r="X134" s="17" t="str">
        <f>IF(ISNUMBER('Model_ of_individuals'!X137), 'Model_ of_individuals'!X137*'Model_ of_individuals'!$K137,"")</f>
        <v/>
      </c>
      <c r="Y134" s="17" t="str">
        <f>IF(ISNUMBER('Model_ of_individuals'!Y137), 'Model_ of_individuals'!Y137*'Model_ of_individuals'!$K137,"")</f>
        <v/>
      </c>
      <c r="Z134" s="17" t="str">
        <f>IF(ISNUMBER('Model_ of_individuals'!Z137), 'Model_ of_individuals'!Z137*'Model_ of_individuals'!$K137,"")</f>
        <v/>
      </c>
      <c r="AA134" s="17" t="str">
        <f>IF(ISNUMBER('Model_ of_individuals'!AA137), 'Model_ of_individuals'!AA137*'Model_ of_individuals'!$K137,"")</f>
        <v/>
      </c>
      <c r="AB134" s="17" t="str">
        <f>IF(ISNUMBER('Model_ of_individuals'!AB137), 'Model_ of_individuals'!AB137*'Model_ of_individuals'!$K137,"")</f>
        <v/>
      </c>
      <c r="AC134" s="106" t="str">
        <f>IF(ISNUMBER('Model_ of_individuals'!AC137), 'Model_ of_individuals'!AC137*'Model_ of_individuals'!$K137,"")</f>
        <v/>
      </c>
    </row>
    <row r="135" spans="1:29" x14ac:dyDescent="0.25">
      <c r="A135" s="518"/>
      <c r="B135" s="504"/>
      <c r="C135" s="107" t="str">
        <f>IF(AND(ISNUMBER(B128), C133&lt;&gt;"", OR('Cost Inputs'!$H$74&lt;&gt;"", 'Cost Inputs'!$I$74&lt;&gt;"", 'Cost Inputs'!$J$74&lt;&gt;"")), _3_3_2, "")</f>
        <v/>
      </c>
      <c r="D135" s="93" t="str">
        <f>IF(AND(C135&lt;&gt;"", 'Cost Inputs'!$G$74&lt;&gt;""), 'Cost Inputs'!$G$74, "")</f>
        <v/>
      </c>
      <c r="E135" s="93" t="str">
        <f>IF(AND(C135&lt;&gt;"", 'Cost Inputs'!$H$74&lt;&gt;""), 'Cost Inputs'!$H$74, "")</f>
        <v/>
      </c>
      <c r="F135" s="93" t="str">
        <f>IF(AND(C135&lt;&gt;"", 'Cost Inputs'!$I$74&lt;&gt;""), 'Cost Inputs'!$I$74, "")</f>
        <v/>
      </c>
      <c r="G135" s="93" t="str">
        <f t="shared" si="8"/>
        <v/>
      </c>
      <c r="H135" s="93" t="str">
        <f>IF(AND(C135&lt;&gt;"", 'Cost Inputs'!$J$74&lt;&gt;""), 'Cost Inputs'!$J$74, "")</f>
        <v/>
      </c>
      <c r="I135" s="93" t="str">
        <f t="shared" si="7"/>
        <v/>
      </c>
      <c r="J135" s="93" t="str">
        <f>IF(AND(C135&lt;&gt;"",('Cost Inputs'!$I$74+'Cost Inputs'!$J$74+'Cost Inputs'!$K$74)&gt;0), 'Cost Inputs'!$I$74+'Cost Inputs'!$J$74+'Cost Inputs'!$K$74, "")</f>
        <v/>
      </c>
      <c r="K135" s="93" t="str">
        <f>IF(AND(C135&lt;&gt;"", 'Cost Inputs'!$N$74&gt;0),'Cost Inputs'!$N$74,"")</f>
        <v/>
      </c>
      <c r="L135" s="93"/>
      <c r="M135" s="109"/>
      <c r="T135" s="107" t="str">
        <f>IF(ISNUMBER('Model_ of_individuals'!T138), 'Model_ of_individuals'!T138*'Model_ of_individuals'!$K138,"")</f>
        <v/>
      </c>
      <c r="U135" s="93" t="str">
        <f>IF(ISNUMBER('Model_ of_individuals'!U138), 'Model_ of_individuals'!U138*'Model_ of_individuals'!$K138,"")</f>
        <v/>
      </c>
      <c r="V135" s="93" t="str">
        <f>IF(ISNUMBER('Model_ of_individuals'!V138), 'Model_ of_individuals'!V138*'Model_ of_individuals'!$K138,"")</f>
        <v/>
      </c>
      <c r="W135" s="93" t="str">
        <f>IF(ISNUMBER('Model_ of_individuals'!W138), 'Model_ of_individuals'!W138*'Model_ of_individuals'!$K138,"")</f>
        <v/>
      </c>
      <c r="X135" s="93" t="str">
        <f>IF(ISNUMBER('Model_ of_individuals'!X138), 'Model_ of_individuals'!X138*'Model_ of_individuals'!$K138,"")</f>
        <v/>
      </c>
      <c r="Y135" s="93" t="str">
        <f>IF(ISNUMBER('Model_ of_individuals'!Y138), 'Model_ of_individuals'!Y138*'Model_ of_individuals'!$K138,"")</f>
        <v/>
      </c>
      <c r="Z135" s="93" t="str">
        <f>IF(ISNUMBER('Model_ of_individuals'!Z138), 'Model_ of_individuals'!Z138*'Model_ of_individuals'!$K138,"")</f>
        <v/>
      </c>
      <c r="AA135" s="93" t="str">
        <f>IF(ISNUMBER('Model_ of_individuals'!AA138), 'Model_ of_individuals'!AA138*'Model_ of_individuals'!$K138,"")</f>
        <v/>
      </c>
      <c r="AB135" s="93" t="str">
        <f>IF(ISNUMBER('Model_ of_individuals'!AB138), 'Model_ of_individuals'!AB138*'Model_ of_individuals'!$K138,"")</f>
        <v/>
      </c>
      <c r="AC135" s="109" t="str">
        <f>IF(ISNUMBER('Model_ of_individuals'!AC138), 'Model_ of_individuals'!AC138*'Model_ of_individuals'!$K138,"")</f>
        <v/>
      </c>
    </row>
    <row r="136" spans="1:29" x14ac:dyDescent="0.25">
      <c r="A136" s="518"/>
      <c r="B136" s="504"/>
      <c r="C136" s="104" t="str">
        <f>IF(AND(ISNUMBER(B128), OR('Cost Inputs'!$H$75&lt;&gt;"", 'Cost Inputs'!$I$75&lt;&gt;"", 'Cost Inputs'!$J$75&lt;&gt;"")), _3_3_3, "")</f>
        <v/>
      </c>
      <c r="D136" s="17" t="str">
        <f>IF(AND(C136&lt;&gt;"", 'Cost Inputs'!$G$75&lt;&gt;""), 'Cost Inputs'!$G$75, "")</f>
        <v/>
      </c>
      <c r="E136" s="17" t="str">
        <f>IF(AND(C136&lt;&gt;"", 'Cost Inputs'!$H$75&lt;&gt;""), 'Cost Inputs'!$H$75, "")</f>
        <v/>
      </c>
      <c r="F136" s="17" t="str">
        <f>IF(AND(C136&lt;&gt;"", 'Cost Inputs'!$I$75&lt;&gt;""), 'Cost Inputs'!$I$75, "")</f>
        <v/>
      </c>
      <c r="G136" s="17" t="str">
        <f t="shared" si="8"/>
        <v/>
      </c>
      <c r="H136" s="17" t="str">
        <f>IF(AND(C136&lt;&gt;"", 'Cost Inputs'!$J$75&lt;&gt;""), 'Cost Inputs'!$J$75, "")</f>
        <v/>
      </c>
      <c r="I136" s="17" t="str">
        <f t="shared" si="7"/>
        <v/>
      </c>
      <c r="J136" s="17" t="str">
        <f>IF(AND(C136&lt;&gt;"",('Cost Inputs'!$I$75+'Cost Inputs'!$J$75+'Cost Inputs'!$K$75)&gt;0), 'Cost Inputs'!$I$75+'Cost Inputs'!$J$75+'Cost Inputs'!$K$75, "")</f>
        <v/>
      </c>
      <c r="K136" s="17" t="str">
        <f>IF(AND(C136&lt;&gt;"", 'Cost Inputs'!$N$75&gt;0),'Cost Inputs'!$N$75,"")</f>
        <v/>
      </c>
      <c r="M136" s="106"/>
      <c r="T136" s="104" t="str">
        <f>IF(ISNUMBER('Model_ of_individuals'!T139), 'Model_ of_individuals'!T139*'Model_ of_individuals'!$K139,"")</f>
        <v/>
      </c>
      <c r="U136" s="17" t="str">
        <f>IF(ISNUMBER('Model_ of_individuals'!U139), 'Model_ of_individuals'!U139*'Model_ of_individuals'!$K139,"")</f>
        <v/>
      </c>
      <c r="V136" s="17" t="str">
        <f>IF(ISNUMBER('Model_ of_individuals'!V139), 'Model_ of_individuals'!V139*'Model_ of_individuals'!$K139,"")</f>
        <v/>
      </c>
      <c r="W136" s="17" t="str">
        <f>IF(ISNUMBER('Model_ of_individuals'!W139), 'Model_ of_individuals'!W139*'Model_ of_individuals'!$K139,"")</f>
        <v/>
      </c>
      <c r="X136" s="17" t="str">
        <f>IF(ISNUMBER('Model_ of_individuals'!X139), 'Model_ of_individuals'!X139*'Model_ of_individuals'!$K139,"")</f>
        <v/>
      </c>
      <c r="Y136" s="17" t="str">
        <f>IF(ISNUMBER('Model_ of_individuals'!Y139), 'Model_ of_individuals'!Y139*'Model_ of_individuals'!$K139,"")</f>
        <v/>
      </c>
      <c r="Z136" s="17" t="str">
        <f>IF(ISNUMBER('Model_ of_individuals'!Z139), 'Model_ of_individuals'!Z139*'Model_ of_individuals'!$K139,"")</f>
        <v/>
      </c>
      <c r="AA136" s="17" t="str">
        <f>IF(ISNUMBER('Model_ of_individuals'!AA139), 'Model_ of_individuals'!AA139*'Model_ of_individuals'!$K139,"")</f>
        <v/>
      </c>
      <c r="AB136" s="17" t="str">
        <f>IF(ISNUMBER('Model_ of_individuals'!AB139), 'Model_ of_individuals'!AB139*'Model_ of_individuals'!$K139,"")</f>
        <v/>
      </c>
      <c r="AC136" s="106" t="str">
        <f>IF(ISNUMBER('Model_ of_individuals'!AC139), 'Model_ of_individuals'!AC139*'Model_ of_individuals'!$K139,"")</f>
        <v/>
      </c>
    </row>
    <row r="137" spans="1:29" x14ac:dyDescent="0.25">
      <c r="A137" s="518"/>
      <c r="B137" s="504"/>
      <c r="C137" s="107" t="str">
        <f>IF(AND(ISNUMBER(B128), OR('Cost Inputs'!$H$76&lt;&gt;"", 'Cost Inputs'!$I$76&lt;&gt;"", 'Cost Inputs'!$J$76&lt;&gt;"")), _3_3_4, "")</f>
        <v/>
      </c>
      <c r="D137" s="93" t="str">
        <f>IF(AND(C137&lt;&gt;"", 'Cost Inputs'!$G$76&lt;&gt;""), 'Cost Inputs'!$G$76, "")</f>
        <v/>
      </c>
      <c r="E137" s="93" t="str">
        <f>IF(AND(C137&lt;&gt;"", 'Cost Inputs'!$H$76&lt;&gt;""), 'Cost Inputs'!$H$76, "")</f>
        <v/>
      </c>
      <c r="F137" s="93" t="str">
        <f>IF(AND(C137&lt;&gt;"", 'Cost Inputs'!$I$76&lt;&gt;""), 'Cost Inputs'!$I$76, "")</f>
        <v/>
      </c>
      <c r="G137" s="93" t="str">
        <f t="shared" si="8"/>
        <v/>
      </c>
      <c r="H137" s="93" t="str">
        <f>IF(AND(C137&lt;&gt;"", 'Cost Inputs'!$J$76&lt;&gt;""), 'Cost Inputs'!$J$76, "")</f>
        <v/>
      </c>
      <c r="I137" s="93" t="str">
        <f t="shared" si="7"/>
        <v/>
      </c>
      <c r="J137" s="93" t="str">
        <f>IF(AND(C137&lt;&gt;"",('Cost Inputs'!$I$76+'Cost Inputs'!$J$76+'Cost Inputs'!$K$76)&gt;0), 'Cost Inputs'!$I$76+'Cost Inputs'!$J$76+'Cost Inputs'!$K$76, "")</f>
        <v/>
      </c>
      <c r="K137" s="93" t="str">
        <f>IF(AND(C137&lt;&gt;"", 'Cost Inputs'!$N$76&gt;0),'Cost Inputs'!$N$76,"")</f>
        <v/>
      </c>
      <c r="L137" s="93"/>
      <c r="M137" s="109"/>
      <c r="T137" s="107" t="str">
        <f>IF(ISNUMBER('Model_ of_individuals'!T140), 'Model_ of_individuals'!T140*'Model_ of_individuals'!$K140,"")</f>
        <v/>
      </c>
      <c r="U137" s="93" t="str">
        <f>IF(ISNUMBER('Model_ of_individuals'!U140), 'Model_ of_individuals'!U140*'Model_ of_individuals'!$K140,"")</f>
        <v/>
      </c>
      <c r="V137" s="93" t="str">
        <f>IF(ISNUMBER('Model_ of_individuals'!V140), 'Model_ of_individuals'!V140*'Model_ of_individuals'!$K140,"")</f>
        <v/>
      </c>
      <c r="W137" s="93" t="str">
        <f>IF(ISNUMBER('Model_ of_individuals'!W140), 'Model_ of_individuals'!W140*'Model_ of_individuals'!$K140,"")</f>
        <v/>
      </c>
      <c r="X137" s="93" t="str">
        <f>IF(ISNUMBER('Model_ of_individuals'!X140), 'Model_ of_individuals'!X140*'Model_ of_individuals'!$K140,"")</f>
        <v/>
      </c>
      <c r="Y137" s="93" t="str">
        <f>IF(ISNUMBER('Model_ of_individuals'!Y140), 'Model_ of_individuals'!Y140*'Model_ of_individuals'!$K140,"")</f>
        <v/>
      </c>
      <c r="Z137" s="93" t="str">
        <f>IF(ISNUMBER('Model_ of_individuals'!Z140), 'Model_ of_individuals'!Z140*'Model_ of_individuals'!$K140,"")</f>
        <v/>
      </c>
      <c r="AA137" s="93" t="str">
        <f>IF(ISNUMBER('Model_ of_individuals'!AA140), 'Model_ of_individuals'!AA140*'Model_ of_individuals'!$K140,"")</f>
        <v/>
      </c>
      <c r="AB137" s="93" t="str">
        <f>IF(ISNUMBER('Model_ of_individuals'!AB140), 'Model_ of_individuals'!AB140*'Model_ of_individuals'!$K140,"")</f>
        <v/>
      </c>
      <c r="AC137" s="109" t="str">
        <f>IF(ISNUMBER('Model_ of_individuals'!AC140), 'Model_ of_individuals'!AC140*'Model_ of_individuals'!$K140,"")</f>
        <v/>
      </c>
    </row>
    <row r="138" spans="1:29" x14ac:dyDescent="0.25">
      <c r="A138" s="518"/>
      <c r="B138" s="504"/>
      <c r="C138" s="110" t="str">
        <f>IF( ISNUMBER(B128), _3_4_0, "")</f>
        <v/>
      </c>
      <c r="D138" s="94" t="str">
        <f>IF(AND(B128&lt;&gt;"", OR('Cost Inputs'!$H$77&lt;&gt;"", 'Cost Inputs'!$I$77&lt;&gt;"", 'Cost Inputs'!$J$77&lt;&gt;"")), 'Cost Inputs'!$G$77,"")</f>
        <v/>
      </c>
      <c r="E138" s="94" t="str">
        <f>IF(AND(C138&lt;&gt;"", 'Cost Inputs'!$H$77&lt;&gt;""), 'Cost Inputs'!$H$77, "")</f>
        <v/>
      </c>
      <c r="F138" s="94" t="str">
        <f>IF(AND(C138&lt;&gt;"", 'Cost Inputs'!$I$77&lt;&gt;""), 'Cost Inputs'!$I$77, "")</f>
        <v/>
      </c>
      <c r="G138" s="94" t="str">
        <f t="shared" si="8"/>
        <v/>
      </c>
      <c r="H138" s="94" t="str">
        <f>IF(AND(C138&lt;&gt;"", 'Cost Inputs'!$J$77&lt;&gt;""), 'Cost Inputs'!$J$77, "")</f>
        <v/>
      </c>
      <c r="I138" s="94" t="str">
        <f>IF(AND($E138&lt;&gt;"", $H138&lt;&gt;""), $H138/$E138, "")</f>
        <v/>
      </c>
      <c r="J138" s="94" t="str">
        <f>IF(AND(C138&lt;&gt;"",('Cost Inputs'!$I$77+'Cost Inputs'!$J$77+'Cost Inputs'!$K$77)&gt;0), 'Cost Inputs'!$I$77+'Cost Inputs'!$J$77+'Cost Inputs'!$K$77, "")</f>
        <v/>
      </c>
      <c r="K138" s="94" t="str">
        <f>IF(AND(C138&lt;&gt;"", 'Cost Inputs'!$N$77&gt;0),'Cost Inputs'!$N$77,"")</f>
        <v/>
      </c>
      <c r="L138" s="94"/>
      <c r="M138" s="103"/>
      <c r="T138" s="110" t="str">
        <f>IF(ISNUMBER('Model_ of_individuals'!T141), 'Model_ of_individuals'!T141*'Model_ of_individuals'!$K141,"")</f>
        <v/>
      </c>
      <c r="U138" s="94" t="str">
        <f>IF(ISNUMBER('Model_ of_individuals'!U141), 'Model_ of_individuals'!U141*'Model_ of_individuals'!$K141,"")</f>
        <v/>
      </c>
      <c r="V138" s="94" t="str">
        <f>IF(ISNUMBER('Model_ of_individuals'!V141), 'Model_ of_individuals'!V141*'Model_ of_individuals'!$K141,"")</f>
        <v/>
      </c>
      <c r="W138" s="94" t="str">
        <f>IF(ISNUMBER('Model_ of_individuals'!W141), 'Model_ of_individuals'!W141*'Model_ of_individuals'!$K141,"")</f>
        <v/>
      </c>
      <c r="X138" s="94" t="str">
        <f>IF(ISNUMBER('Model_ of_individuals'!X141), 'Model_ of_individuals'!X141*'Model_ of_individuals'!$K141,"")</f>
        <v/>
      </c>
      <c r="Y138" s="94" t="str">
        <f>IF(ISNUMBER('Model_ of_individuals'!Y141), 'Model_ of_individuals'!Y141*'Model_ of_individuals'!$K141,"")</f>
        <v/>
      </c>
      <c r="Z138" s="94" t="str">
        <f>IF(ISNUMBER('Model_ of_individuals'!Z141), 'Model_ of_individuals'!Z141*'Model_ of_individuals'!$K141,"")</f>
        <v/>
      </c>
      <c r="AA138" s="94" t="str">
        <f>IF(ISNUMBER('Model_ of_individuals'!AA141), 'Model_ of_individuals'!AA141*'Model_ of_individuals'!$K141,"")</f>
        <v/>
      </c>
      <c r="AB138" s="94" t="str">
        <f>IF(ISNUMBER('Model_ of_individuals'!AB141), 'Model_ of_individuals'!AB141*'Model_ of_individuals'!$K141,"")</f>
        <v/>
      </c>
      <c r="AC138" s="103" t="str">
        <f>IF(ISNUMBER('Model_ of_individuals'!AC141), 'Model_ of_individuals'!AC141*'Model_ of_individuals'!$K141,"")</f>
        <v/>
      </c>
    </row>
    <row r="139" spans="1:29" x14ac:dyDescent="0.25">
      <c r="A139" s="518"/>
      <c r="B139" s="504"/>
      <c r="C139" s="104" t="str">
        <f>IF(AND(ISNUMBER(B128), OR('Cost Inputs'!$H$78&lt;&gt;"", 'Cost Inputs'!$I$78&lt;&gt;"", 'Cost Inputs'!$J$78&lt;&gt;"")), _3_4_1, "")</f>
        <v/>
      </c>
      <c r="D139" s="17" t="str">
        <f>IF(AND(C139&lt;&gt;"", 'Cost Inputs'!$G$78&lt;&gt;""), 'Cost Inputs'!$G$78, "")</f>
        <v/>
      </c>
      <c r="E139" s="17" t="str">
        <f>IF(AND(C139&lt;&gt;"", 'Cost Inputs'!$H$78&lt;&gt;""), 'Cost Inputs'!$H$78, "")</f>
        <v/>
      </c>
      <c r="F139" s="17" t="str">
        <f>IF(AND(C139&lt;&gt;"", 'Cost Inputs'!$I$78&lt;&gt;""), 'Cost Inputs'!$I$78, "")</f>
        <v/>
      </c>
      <c r="G139" s="17" t="str">
        <f t="shared" si="8"/>
        <v/>
      </c>
      <c r="H139" s="17" t="str">
        <f>IF(AND(C139&lt;&gt;"", 'Cost Inputs'!$J$78&lt;&gt;""), 'Cost Inputs'!$J$78, "")</f>
        <v/>
      </c>
      <c r="I139" s="17" t="str">
        <f t="shared" si="7"/>
        <v/>
      </c>
      <c r="J139" s="17" t="str">
        <f>IF(AND(C139&lt;&gt;"",('Cost Inputs'!$I$78+'Cost Inputs'!$J$78+'Cost Inputs'!$K$78)&gt;0), 'Cost Inputs'!$I$78+'Cost Inputs'!$J$78+'Cost Inputs'!$K$78, "")</f>
        <v/>
      </c>
      <c r="K139" s="17" t="str">
        <f>IF(AND(C139&lt;&gt;"", 'Cost Inputs'!$N$78&gt;0),'Cost Inputs'!$N$78,"")</f>
        <v/>
      </c>
      <c r="M139" s="106"/>
      <c r="T139" s="104" t="str">
        <f>IF(ISNUMBER('Model_ of_individuals'!T142), 'Model_ of_individuals'!T142*'Model_ of_individuals'!$K142,"")</f>
        <v/>
      </c>
      <c r="U139" s="17" t="str">
        <f>IF(ISNUMBER('Model_ of_individuals'!U142), 'Model_ of_individuals'!U142*'Model_ of_individuals'!$K142,"")</f>
        <v/>
      </c>
      <c r="V139" s="17" t="str">
        <f>IF(ISNUMBER('Model_ of_individuals'!V142), 'Model_ of_individuals'!V142*'Model_ of_individuals'!$K142,"")</f>
        <v/>
      </c>
      <c r="W139" s="17" t="str">
        <f>IF(ISNUMBER('Model_ of_individuals'!W142), 'Model_ of_individuals'!W142*'Model_ of_individuals'!$K142,"")</f>
        <v/>
      </c>
      <c r="X139" s="17" t="str">
        <f>IF(ISNUMBER('Model_ of_individuals'!X142), 'Model_ of_individuals'!X142*'Model_ of_individuals'!$K142,"")</f>
        <v/>
      </c>
      <c r="Y139" s="17" t="str">
        <f>IF(ISNUMBER('Model_ of_individuals'!Y142), 'Model_ of_individuals'!Y142*'Model_ of_individuals'!$K142,"")</f>
        <v/>
      </c>
      <c r="Z139" s="17" t="str">
        <f>IF(ISNUMBER('Model_ of_individuals'!Z142), 'Model_ of_individuals'!Z142*'Model_ of_individuals'!$K142,"")</f>
        <v/>
      </c>
      <c r="AA139" s="17" t="str">
        <f>IF(ISNUMBER('Model_ of_individuals'!AA142), 'Model_ of_individuals'!AA142*'Model_ of_individuals'!$K142,"")</f>
        <v/>
      </c>
      <c r="AB139" s="17" t="str">
        <f>IF(ISNUMBER('Model_ of_individuals'!AB142), 'Model_ of_individuals'!AB142*'Model_ of_individuals'!$K142,"")</f>
        <v/>
      </c>
      <c r="AC139" s="106" t="str">
        <f>IF(ISNUMBER('Model_ of_individuals'!AC142), 'Model_ of_individuals'!AC142*'Model_ of_individuals'!$K142,"")</f>
        <v/>
      </c>
    </row>
    <row r="140" spans="1:29" x14ac:dyDescent="0.25">
      <c r="A140" s="518"/>
      <c r="B140" s="504"/>
      <c r="C140" s="107" t="str">
        <f>IF(AND(ISNUMBER(B128), OR('Cost Inputs'!$H$79&lt;&gt;"", 'Cost Inputs'!$I$79&lt;&gt;"", 'Cost Inputs'!$J$79&lt;&gt;"")), _3_4_2, "")</f>
        <v/>
      </c>
      <c r="D140" s="93" t="str">
        <f>IF(AND(C140&lt;&gt;"", 'Cost Inputs'!$G$79&lt;&gt;""), 'Cost Inputs'!$G$79, "")</f>
        <v/>
      </c>
      <c r="E140" s="93" t="str">
        <f>IF(AND(C140&lt;&gt;"", 'Cost Inputs'!$H$79&lt;&gt;""), 'Cost Inputs'!$H$79, "")</f>
        <v/>
      </c>
      <c r="F140" s="93" t="str">
        <f>IF(AND(C140&lt;&gt;"", 'Cost Inputs'!$I$79&lt;&gt;""), 'Cost Inputs'!$I$79, "")</f>
        <v/>
      </c>
      <c r="G140" s="93" t="str">
        <f t="shared" si="8"/>
        <v/>
      </c>
      <c r="H140" s="93" t="str">
        <f>IF(AND(C140&lt;&gt;"", 'Cost Inputs'!$J$79&lt;&gt;""), 'Cost Inputs'!$J$79, "")</f>
        <v/>
      </c>
      <c r="I140" s="93" t="str">
        <f t="shared" si="7"/>
        <v/>
      </c>
      <c r="J140" s="93" t="str">
        <f>IF(AND(C140&lt;&gt;"",('Cost Inputs'!$I$79+'Cost Inputs'!$J$79+'Cost Inputs'!$K$79)&gt;0), 'Cost Inputs'!$I$79+'Cost Inputs'!$J$79+'Cost Inputs'!$K$79, "")</f>
        <v/>
      </c>
      <c r="K140" s="93" t="str">
        <f>IF(AND(C140&lt;&gt;"", 'Cost Inputs'!$N$79&gt;0),'Cost Inputs'!$N$79,"")</f>
        <v/>
      </c>
      <c r="L140" s="93"/>
      <c r="M140" s="109"/>
      <c r="T140" s="107" t="str">
        <f>IF(ISNUMBER('Model_ of_individuals'!T143), 'Model_ of_individuals'!T143*'Model_ of_individuals'!$K143,"")</f>
        <v/>
      </c>
      <c r="U140" s="93" t="str">
        <f>IF(ISNUMBER('Model_ of_individuals'!U143), 'Model_ of_individuals'!U143*'Model_ of_individuals'!$K143,"")</f>
        <v/>
      </c>
      <c r="V140" s="93" t="str">
        <f>IF(ISNUMBER('Model_ of_individuals'!V143), 'Model_ of_individuals'!V143*'Model_ of_individuals'!$K143,"")</f>
        <v/>
      </c>
      <c r="W140" s="93" t="str">
        <f>IF(ISNUMBER('Model_ of_individuals'!W143), 'Model_ of_individuals'!W143*'Model_ of_individuals'!$K143,"")</f>
        <v/>
      </c>
      <c r="X140" s="93" t="str">
        <f>IF(ISNUMBER('Model_ of_individuals'!X143), 'Model_ of_individuals'!X143*'Model_ of_individuals'!$K143,"")</f>
        <v/>
      </c>
      <c r="Y140" s="93" t="str">
        <f>IF(ISNUMBER('Model_ of_individuals'!Y143), 'Model_ of_individuals'!Y143*'Model_ of_individuals'!$K143,"")</f>
        <v/>
      </c>
      <c r="Z140" s="93" t="str">
        <f>IF(ISNUMBER('Model_ of_individuals'!Z143), 'Model_ of_individuals'!Z143*'Model_ of_individuals'!$K143,"")</f>
        <v/>
      </c>
      <c r="AA140" s="93" t="str">
        <f>IF(ISNUMBER('Model_ of_individuals'!AA143), 'Model_ of_individuals'!AA143*'Model_ of_individuals'!$K143,"")</f>
        <v/>
      </c>
      <c r="AB140" s="93" t="str">
        <f>IF(ISNUMBER('Model_ of_individuals'!AB143), 'Model_ of_individuals'!AB143*'Model_ of_individuals'!$K143,"")</f>
        <v/>
      </c>
      <c r="AC140" s="109" t="str">
        <f>IF(ISNUMBER('Model_ of_individuals'!AC143), 'Model_ of_individuals'!AC143*'Model_ of_individuals'!$K143,"")</f>
        <v/>
      </c>
    </row>
    <row r="141" spans="1:29" x14ac:dyDescent="0.25">
      <c r="A141" s="518"/>
      <c r="B141" s="504"/>
      <c r="C141" s="104" t="str">
        <f>IF(AND(ISNUMBER(B128), OR('Cost Inputs'!$H$80&lt;&gt;"", 'Cost Inputs'!$I$80&lt;&gt;"", 'Cost Inputs'!$J$80&lt;&gt;"")),_3_4_3, "")</f>
        <v/>
      </c>
      <c r="D141" s="17" t="str">
        <f>IF(AND(C141&lt;&gt;"", 'Cost Inputs'!$G$80&lt;&gt;""), 'Cost Inputs'!$G$80, "")</f>
        <v/>
      </c>
      <c r="E141" s="17" t="str">
        <f>IF(AND(C141&lt;&gt;"", 'Cost Inputs'!$H$80&lt;&gt;""), 'Cost Inputs'!$H$80, "")</f>
        <v/>
      </c>
      <c r="F141" s="17" t="str">
        <f>IF(AND(C141&lt;&gt;"", 'Cost Inputs'!$I$80&lt;&gt;""), 'Cost Inputs'!$I$80, "")</f>
        <v/>
      </c>
      <c r="G141" s="17" t="str">
        <f t="shared" si="8"/>
        <v/>
      </c>
      <c r="H141" s="17" t="str">
        <f>IF(AND(C141&lt;&gt;"", 'Cost Inputs'!$J$80&lt;&gt;""), 'Cost Inputs'!$J$80, "")</f>
        <v/>
      </c>
      <c r="I141" s="17" t="str">
        <f t="shared" si="7"/>
        <v/>
      </c>
      <c r="J141" s="17" t="str">
        <f>IF(AND(C141&lt;&gt;"",('Cost Inputs'!$I$80+'Cost Inputs'!$J$80+'Cost Inputs'!$K$80)&gt;0), 'Cost Inputs'!$I$80+'Cost Inputs'!$J$80+'Cost Inputs'!$K$80, "")</f>
        <v/>
      </c>
      <c r="K141" s="17" t="str">
        <f>IF(AND(C141&lt;&gt;"", 'Cost Inputs'!$N$80&gt;0),'Cost Inputs'!$N$80,"")</f>
        <v/>
      </c>
      <c r="M141" s="106"/>
      <c r="T141" s="104" t="str">
        <f>IF(ISNUMBER('Model_ of_individuals'!T144), 'Model_ of_individuals'!T144*'Model_ of_individuals'!$K144,"")</f>
        <v/>
      </c>
      <c r="U141" s="17" t="str">
        <f>IF(ISNUMBER('Model_ of_individuals'!U144), 'Model_ of_individuals'!U144*'Model_ of_individuals'!$K144,"")</f>
        <v/>
      </c>
      <c r="V141" s="17" t="str">
        <f>IF(ISNUMBER('Model_ of_individuals'!V144), 'Model_ of_individuals'!V144*'Model_ of_individuals'!$K144,"")</f>
        <v/>
      </c>
      <c r="W141" s="17" t="str">
        <f>IF(ISNUMBER('Model_ of_individuals'!W144), 'Model_ of_individuals'!W144*'Model_ of_individuals'!$K144,"")</f>
        <v/>
      </c>
      <c r="X141" s="17" t="str">
        <f>IF(ISNUMBER('Model_ of_individuals'!X144), 'Model_ of_individuals'!X144*'Model_ of_individuals'!$K144,"")</f>
        <v/>
      </c>
      <c r="Y141" s="17" t="str">
        <f>IF(ISNUMBER('Model_ of_individuals'!Y144), 'Model_ of_individuals'!Y144*'Model_ of_individuals'!$K144,"")</f>
        <v/>
      </c>
      <c r="Z141" s="17" t="str">
        <f>IF(ISNUMBER('Model_ of_individuals'!Z144), 'Model_ of_individuals'!Z144*'Model_ of_individuals'!$K144,"")</f>
        <v/>
      </c>
      <c r="AA141" s="17" t="str">
        <f>IF(ISNUMBER('Model_ of_individuals'!AA144), 'Model_ of_individuals'!AA144*'Model_ of_individuals'!$K144,"")</f>
        <v/>
      </c>
      <c r="AB141" s="17" t="str">
        <f>IF(ISNUMBER('Model_ of_individuals'!AB144), 'Model_ of_individuals'!AB144*'Model_ of_individuals'!$K144,"")</f>
        <v/>
      </c>
      <c r="AC141" s="106" t="str">
        <f>IF(ISNUMBER('Model_ of_individuals'!AC144), 'Model_ of_individuals'!AC144*'Model_ of_individuals'!$K144,"")</f>
        <v/>
      </c>
    </row>
    <row r="142" spans="1:29" x14ac:dyDescent="0.25">
      <c r="A142" s="518"/>
      <c r="B142" s="504"/>
      <c r="C142" s="107" t="str">
        <f>IF(AND(ISNUMBER(B128), OR('Cost Inputs'!$H$81&lt;&gt;"", 'Cost Inputs'!$I$81&lt;&gt;"", 'Cost Inputs'!$J$81&lt;&gt;"")), _3_4_4, "")</f>
        <v/>
      </c>
      <c r="D142" s="93" t="str">
        <f>IF(AND(C142&lt;&gt;"", 'Cost Inputs'!$G$81&lt;&gt;""), 'Cost Inputs'!$G$81, "")</f>
        <v/>
      </c>
      <c r="E142" s="93" t="str">
        <f>IF(AND(C142&lt;&gt;"", 'Cost Inputs'!$H$81&lt;&gt;""), 'Cost Inputs'!$H$81, "")</f>
        <v/>
      </c>
      <c r="F142" s="93" t="str">
        <f>IF(AND(C142&lt;&gt;"", 'Cost Inputs'!$I$81&lt;&gt;""), 'Cost Inputs'!$I$81, "")</f>
        <v/>
      </c>
      <c r="G142" s="93" t="str">
        <f t="shared" si="8"/>
        <v/>
      </c>
      <c r="H142" s="93" t="str">
        <f>IF(AND(C142&lt;&gt;"", 'Cost Inputs'!$J$81&lt;&gt;""), 'Cost Inputs'!$J$81, "")</f>
        <v/>
      </c>
      <c r="I142" s="93" t="str">
        <f t="shared" si="7"/>
        <v/>
      </c>
      <c r="J142" s="93" t="str">
        <f>IF(AND(C142&lt;&gt;"",('Cost Inputs'!$I$81+'Cost Inputs'!$J$81+'Cost Inputs'!$K$81)&gt;0), 'Cost Inputs'!$I$81+'Cost Inputs'!$J$81+'Cost Inputs'!$K$81, "")</f>
        <v/>
      </c>
      <c r="K142" s="93" t="str">
        <f>IF(AND(C142&lt;&gt;"", 'Cost Inputs'!$N$81&gt;0),'Cost Inputs'!$N$81,"")</f>
        <v/>
      </c>
      <c r="L142" s="93"/>
      <c r="M142" s="109"/>
      <c r="T142" s="107" t="str">
        <f>IF(ISNUMBER('Model_ of_individuals'!T145), 'Model_ of_individuals'!T145*'Model_ of_individuals'!$K145,"")</f>
        <v/>
      </c>
      <c r="U142" s="93" t="str">
        <f>IF(ISNUMBER('Model_ of_individuals'!U145), 'Model_ of_individuals'!U145*'Model_ of_individuals'!$K145,"")</f>
        <v/>
      </c>
      <c r="V142" s="93" t="str">
        <f>IF(ISNUMBER('Model_ of_individuals'!V145), 'Model_ of_individuals'!V145*'Model_ of_individuals'!$K145,"")</f>
        <v/>
      </c>
      <c r="W142" s="93" t="str">
        <f>IF(ISNUMBER('Model_ of_individuals'!W145), 'Model_ of_individuals'!W145*'Model_ of_individuals'!$K145,"")</f>
        <v/>
      </c>
      <c r="X142" s="93" t="str">
        <f>IF(ISNUMBER('Model_ of_individuals'!X145), 'Model_ of_individuals'!X145*'Model_ of_individuals'!$K145,"")</f>
        <v/>
      </c>
      <c r="Y142" s="93" t="str">
        <f>IF(ISNUMBER('Model_ of_individuals'!Y145), 'Model_ of_individuals'!Y145*'Model_ of_individuals'!$K145,"")</f>
        <v/>
      </c>
      <c r="Z142" s="93" t="str">
        <f>IF(ISNUMBER('Model_ of_individuals'!Z145), 'Model_ of_individuals'!Z145*'Model_ of_individuals'!$K145,"")</f>
        <v/>
      </c>
      <c r="AA142" s="93" t="str">
        <f>IF(ISNUMBER('Model_ of_individuals'!AA145), 'Model_ of_individuals'!AA145*'Model_ of_individuals'!$K145,"")</f>
        <v/>
      </c>
      <c r="AB142" s="93" t="str">
        <f>IF(ISNUMBER('Model_ of_individuals'!AB145), 'Model_ of_individuals'!AB145*'Model_ of_individuals'!$K145,"")</f>
        <v/>
      </c>
      <c r="AC142" s="109" t="str">
        <f>IF(ISNUMBER('Model_ of_individuals'!AC145), 'Model_ of_individuals'!AC145*'Model_ of_individuals'!$K145,"")</f>
        <v/>
      </c>
    </row>
    <row r="143" spans="1:29" x14ac:dyDescent="0.25">
      <c r="A143" s="518"/>
      <c r="B143" s="504"/>
      <c r="C143" s="104" t="str">
        <f>IF(AND(ISNUMBER(B128), OR('Cost Inputs'!$H$82&lt;&gt;"", 'Cost Inputs'!$I$82&lt;&gt;"", 'Cost Inputs'!$J$82&lt;&gt;"")),_3_4_5, "")</f>
        <v/>
      </c>
      <c r="D143" s="17" t="str">
        <f>IF(AND(C143&lt;&gt;"", 'Cost Inputs'!$G$82&lt;&gt;""), 'Cost Inputs'!$G$82, "")</f>
        <v/>
      </c>
      <c r="E143" s="17" t="str">
        <f>IF(AND(C143&lt;&gt;"", 'Cost Inputs'!$H$82&lt;&gt;""), 'Cost Inputs'!$H$82, "")</f>
        <v/>
      </c>
      <c r="F143" s="17" t="str">
        <f>IF(AND(C143&lt;&gt;"", 'Cost Inputs'!$I$82&lt;&gt;""), 'Cost Inputs'!$I$82, "")</f>
        <v/>
      </c>
      <c r="G143" s="17" t="str">
        <f t="shared" si="8"/>
        <v/>
      </c>
      <c r="H143" s="17" t="str">
        <f>IF(AND(C143&lt;&gt;"", 'Cost Inputs'!$J$82&lt;&gt;""), 'Cost Inputs'!$J$82, "")</f>
        <v/>
      </c>
      <c r="I143" s="17" t="str">
        <f t="shared" si="7"/>
        <v/>
      </c>
      <c r="J143" s="17" t="str">
        <f>IF(AND(C143&lt;&gt;"",('Cost Inputs'!$I$82+'Cost Inputs'!$J$82+'Cost Inputs'!$K$82)&gt;0), 'Cost Inputs'!$I$82+'Cost Inputs'!$J$82+'Cost Inputs'!$K$82, "")</f>
        <v/>
      </c>
      <c r="K143" s="17" t="str">
        <f>IF(AND(C143&lt;&gt;"", 'Cost Inputs'!$N$82&gt;0),'Cost Inputs'!$N$82,"")</f>
        <v/>
      </c>
      <c r="M143" s="106"/>
      <c r="T143" s="104" t="str">
        <f>IF(ISNUMBER('Model_ of_individuals'!T146), 'Model_ of_individuals'!T146*'Model_ of_individuals'!$K146,"")</f>
        <v/>
      </c>
      <c r="U143" s="17" t="str">
        <f>IF(ISNUMBER('Model_ of_individuals'!U146), 'Model_ of_individuals'!U146*'Model_ of_individuals'!$K146,"")</f>
        <v/>
      </c>
      <c r="V143" s="17" t="str">
        <f>IF(ISNUMBER('Model_ of_individuals'!V146), 'Model_ of_individuals'!V146*'Model_ of_individuals'!$K146,"")</f>
        <v/>
      </c>
      <c r="W143" s="17" t="str">
        <f>IF(ISNUMBER('Model_ of_individuals'!W146), 'Model_ of_individuals'!W146*'Model_ of_individuals'!$K146,"")</f>
        <v/>
      </c>
      <c r="X143" s="17" t="str">
        <f>IF(ISNUMBER('Model_ of_individuals'!X146), 'Model_ of_individuals'!X146*'Model_ of_individuals'!$K146,"")</f>
        <v/>
      </c>
      <c r="Y143" s="17" t="str">
        <f>IF(ISNUMBER('Model_ of_individuals'!Y146), 'Model_ of_individuals'!Y146*'Model_ of_individuals'!$K146,"")</f>
        <v/>
      </c>
      <c r="Z143" s="17" t="str">
        <f>IF(ISNUMBER('Model_ of_individuals'!Z146), 'Model_ of_individuals'!Z146*'Model_ of_individuals'!$K146,"")</f>
        <v/>
      </c>
      <c r="AA143" s="17" t="str">
        <f>IF(ISNUMBER('Model_ of_individuals'!AA146), 'Model_ of_individuals'!AA146*'Model_ of_individuals'!$K146,"")</f>
        <v/>
      </c>
      <c r="AB143" s="17" t="str">
        <f>IF(ISNUMBER('Model_ of_individuals'!AB146), 'Model_ of_individuals'!AB146*'Model_ of_individuals'!$K146,"")</f>
        <v/>
      </c>
      <c r="AC143" s="106" t="str">
        <f>IF(ISNUMBER('Model_ of_individuals'!AC146), 'Model_ of_individuals'!AC146*'Model_ of_individuals'!$K146,"")</f>
        <v/>
      </c>
    </row>
    <row r="144" spans="1:29" x14ac:dyDescent="0.25">
      <c r="A144" s="518"/>
      <c r="B144" s="504"/>
      <c r="C144" s="107" t="str">
        <f>IF(AND(ISNUMBER(B128), OR('Cost Inputs'!$H$83&lt;&gt;"", 'Cost Inputs'!$I$83&lt;&gt;"", 'Cost Inputs'!$J$83&lt;&gt;"")),_3_4_6, "")</f>
        <v/>
      </c>
      <c r="D144" s="93" t="str">
        <f>IF(AND(C144&lt;&gt;"", 'Cost Inputs'!$G$83&lt;&gt;""), 'Cost Inputs'!$G$83, "")</f>
        <v/>
      </c>
      <c r="E144" s="93" t="str">
        <f>IF(AND(C144&lt;&gt;"", 'Cost Inputs'!$H$83&lt;&gt;""), 'Cost Inputs'!$H$83, "")</f>
        <v/>
      </c>
      <c r="F144" s="93" t="str">
        <f>IF(AND(C144&lt;&gt;"", 'Cost Inputs'!$I$83&lt;&gt;""), 'Cost Inputs'!$I$83, "")</f>
        <v/>
      </c>
      <c r="G144" s="93" t="str">
        <f t="shared" si="8"/>
        <v/>
      </c>
      <c r="H144" s="93" t="str">
        <f>IF(AND(C144&lt;&gt;"", 'Cost Inputs'!$J$83&lt;&gt;""), 'Cost Inputs'!$J$83, "")</f>
        <v/>
      </c>
      <c r="I144" s="93" t="str">
        <f t="shared" si="7"/>
        <v/>
      </c>
      <c r="J144" s="93" t="str">
        <f>IF(AND(C144&lt;&gt;"",('Cost Inputs'!$I$83+'Cost Inputs'!$J$83+'Cost Inputs'!$K$83)&gt;0), 'Cost Inputs'!$I$83+'Cost Inputs'!$J$83+'Cost Inputs'!$K$83, "")</f>
        <v/>
      </c>
      <c r="K144" s="93" t="str">
        <f>IF(AND(C144&lt;&gt;"", 'Cost Inputs'!$N$83&gt;0),'Cost Inputs'!$N$83,"")</f>
        <v/>
      </c>
      <c r="L144" s="93"/>
      <c r="M144" s="109"/>
      <c r="T144" s="107" t="str">
        <f>IF(ISNUMBER('Model_ of_individuals'!T147), 'Model_ of_individuals'!T147*'Model_ of_individuals'!$K147,"")</f>
        <v/>
      </c>
      <c r="U144" s="93" t="str">
        <f>IF(ISNUMBER('Model_ of_individuals'!U147), 'Model_ of_individuals'!U147*'Model_ of_individuals'!$K147,"")</f>
        <v/>
      </c>
      <c r="V144" s="93" t="str">
        <f>IF(ISNUMBER('Model_ of_individuals'!V147), 'Model_ of_individuals'!V147*'Model_ of_individuals'!$K147,"")</f>
        <v/>
      </c>
      <c r="W144" s="93" t="str">
        <f>IF(ISNUMBER('Model_ of_individuals'!W147), 'Model_ of_individuals'!W147*'Model_ of_individuals'!$K147,"")</f>
        <v/>
      </c>
      <c r="X144" s="93" t="str">
        <f>IF(ISNUMBER('Model_ of_individuals'!X147), 'Model_ of_individuals'!X147*'Model_ of_individuals'!$K147,"")</f>
        <v/>
      </c>
      <c r="Y144" s="93" t="str">
        <f>IF(ISNUMBER('Model_ of_individuals'!Y147), 'Model_ of_individuals'!Y147*'Model_ of_individuals'!$K147,"")</f>
        <v/>
      </c>
      <c r="Z144" s="93" t="str">
        <f>IF(ISNUMBER('Model_ of_individuals'!Z147), 'Model_ of_individuals'!Z147*'Model_ of_individuals'!$K147,"")</f>
        <v/>
      </c>
      <c r="AA144" s="93" t="str">
        <f>IF(ISNUMBER('Model_ of_individuals'!AA147), 'Model_ of_individuals'!AA147*'Model_ of_individuals'!$K147,"")</f>
        <v/>
      </c>
      <c r="AB144" s="93" t="str">
        <f>IF(ISNUMBER('Model_ of_individuals'!AB147), 'Model_ of_individuals'!AB147*'Model_ of_individuals'!$K147,"")</f>
        <v/>
      </c>
      <c r="AC144" s="109" t="str">
        <f>IF(ISNUMBER('Model_ of_individuals'!AC147), 'Model_ of_individuals'!AC147*'Model_ of_individuals'!$K147,"")</f>
        <v/>
      </c>
    </row>
    <row r="145" spans="1:30" x14ac:dyDescent="0.25">
      <c r="A145" s="518"/>
      <c r="B145" s="504"/>
      <c r="C145" s="110" t="str">
        <f>IF(ISNUMBER(B128), _3_5_0,"")</f>
        <v/>
      </c>
      <c r="D145" s="94" t="str">
        <f>IF(AND(B128&lt;&gt;"", OR('Cost Inputs'!$H$84&lt;&gt;"", 'Cost Inputs'!$I$84&lt;&gt;"", 'Cost Inputs'!$J$84&lt;&gt;"")), 'Cost Inputs'!$G$84,"")</f>
        <v/>
      </c>
      <c r="E145" s="94" t="str">
        <f>IF(AND(C145&lt;&gt;"", 'Cost Inputs'!$H$84&lt;&gt;""), 'Cost Inputs'!$H$84, "")</f>
        <v/>
      </c>
      <c r="F145" s="94" t="str">
        <f>IF(AND(C145&lt;&gt;"", 'Cost Inputs'!$I$84&lt;&gt;""), 'Cost Inputs'!$I$84, "")</f>
        <v/>
      </c>
      <c r="G145" s="94" t="str">
        <f t="shared" si="8"/>
        <v/>
      </c>
      <c r="H145" s="94" t="str">
        <f>IF(AND(C145&lt;&gt;"", 'Cost Inputs'!$J$84&lt;&gt;""), 'Cost Inputs'!$J$84, "")</f>
        <v/>
      </c>
      <c r="I145" s="94" t="str">
        <f>IF(AND($E145&lt;&gt;"", $H145&lt;&gt;""), $H145/$E145, "")</f>
        <v/>
      </c>
      <c r="J145" s="94" t="str">
        <f>IF(AND(C145&lt;&gt;"",('Cost Inputs'!$I$84+'Cost Inputs'!$J$84+'Cost Inputs'!$K$84)&gt;0), 'Cost Inputs'!$I$84+'Cost Inputs'!$J$84+'Cost Inputs'!$K$84, "")</f>
        <v/>
      </c>
      <c r="K145" s="94" t="str">
        <f>IF(AND(C145&lt;&gt;"", 'Cost Inputs'!$N$84&gt;0),'Cost Inputs'!$N$84,"")</f>
        <v/>
      </c>
      <c r="L145" s="94"/>
      <c r="M145" s="129" t="str">
        <f>IF(ISNUMBER(B128), 'Breeding Inputs'!D80+'Breeding Inputs'!E80, "")</f>
        <v/>
      </c>
      <c r="T145" s="110" t="str">
        <f>IF(ISNUMBER('Model_ of_individuals'!T149), 'Model_ of_individuals'!T149*'Model_ of_individuals'!$K149,"")</f>
        <v/>
      </c>
      <c r="U145" s="94" t="str">
        <f>IF(ISNUMBER('Model_ of_individuals'!U149), 'Model_ of_individuals'!U149*'Model_ of_individuals'!$K149,"")</f>
        <v/>
      </c>
      <c r="V145" s="94" t="str">
        <f>IF(ISNUMBER('Model_ of_individuals'!V149), 'Model_ of_individuals'!V149*'Model_ of_individuals'!$K149,"")</f>
        <v/>
      </c>
      <c r="W145" s="94" t="str">
        <f>IF(ISNUMBER('Model_ of_individuals'!W149), 'Model_ of_individuals'!W149*'Model_ of_individuals'!$K149,"")</f>
        <v/>
      </c>
      <c r="X145" s="94" t="str">
        <f>IF(ISNUMBER('Model_ of_individuals'!X149), 'Model_ of_individuals'!X149*'Model_ of_individuals'!$K149,"")</f>
        <v/>
      </c>
      <c r="Y145" s="94" t="str">
        <f>IF(ISNUMBER('Model_ of_individuals'!Y149), 'Model_ of_individuals'!Y149*'Model_ of_individuals'!$K149,"")</f>
        <v/>
      </c>
      <c r="Z145" s="94" t="str">
        <f>IF(ISNUMBER('Model_ of_individuals'!Z149), 'Model_ of_individuals'!Z149*'Model_ of_individuals'!$K149,"")</f>
        <v/>
      </c>
      <c r="AA145" s="94" t="str">
        <f>IF(ISNUMBER('Model_ of_individuals'!AA149), 'Model_ of_individuals'!AA149*'Model_ of_individuals'!$K149,"")</f>
        <v/>
      </c>
      <c r="AB145" s="94" t="str">
        <f>IF(ISNUMBER('Model_ of_individuals'!AB149), 'Model_ of_individuals'!AB149*'Model_ of_individuals'!$K149,"")</f>
        <v/>
      </c>
      <c r="AC145" s="103" t="str">
        <f>IF(ISNUMBER('Model_ of_individuals'!AC149), 'Model_ of_individuals'!AC149*'Model_ of_individuals'!$K149,"")</f>
        <v/>
      </c>
    </row>
    <row r="146" spans="1:30" x14ac:dyDescent="0.25">
      <c r="A146" s="518"/>
      <c r="B146" s="504"/>
      <c r="C146" s="104" t="str">
        <f>IF(AND(ISNUMBER(B128), OR('Cost Inputs'!$H$85&lt;&gt;"", 'Cost Inputs'!$I$85&lt;&gt;"", 'Cost Inputs'!$J$85&lt;&gt;"")), _3_5_1, "")</f>
        <v/>
      </c>
      <c r="D146" s="17" t="str">
        <f>IF(AND(C146&lt;&gt;"", 'Cost Inputs'!$G$85&lt;&gt;""), 'Cost Inputs'!$G$85, "")</f>
        <v/>
      </c>
      <c r="E146" s="17" t="str">
        <f>IF(AND(C146&lt;&gt;"", 'Cost Inputs'!$H$85&lt;&gt;""), 'Cost Inputs'!$H$85, "")</f>
        <v/>
      </c>
      <c r="F146" s="17" t="str">
        <f>IF(AND(C146&lt;&gt;"", 'Cost Inputs'!$I$85&lt;&gt;""), 'Cost Inputs'!$I$85, "")</f>
        <v/>
      </c>
      <c r="G146" s="17" t="str">
        <f t="shared" si="8"/>
        <v/>
      </c>
      <c r="H146" s="17" t="str">
        <f>IF(AND(C146&lt;&gt;"", 'Cost Inputs'!$J$85&lt;&gt;""), 'Cost Inputs'!$J$85, "")</f>
        <v/>
      </c>
      <c r="I146" s="17" t="str">
        <f t="shared" si="7"/>
        <v/>
      </c>
      <c r="J146" s="17" t="str">
        <f>IF(AND(C146&lt;&gt;"",('Cost Inputs'!$I$85+'Cost Inputs'!$J$85+'Cost Inputs'!$K$85)&gt;0), 'Cost Inputs'!$I$85+'Cost Inputs'!$J$85+'Cost Inputs'!$K$85, "")</f>
        <v/>
      </c>
      <c r="K146" s="17" t="str">
        <f>IF(AND(C146&lt;&gt;"", 'Cost Inputs'!$N$85&gt;0),'Cost Inputs'!$N$85,"")</f>
        <v/>
      </c>
      <c r="M146" s="106"/>
      <c r="T146" s="104" t="str">
        <f>IF(ISNUMBER('Model_ of_individuals'!T150), 'Model_ of_individuals'!T150*'Model_ of_individuals'!$K150,"")</f>
        <v/>
      </c>
      <c r="U146" s="17" t="str">
        <f>IF(ISNUMBER('Model_ of_individuals'!U150), 'Model_ of_individuals'!U150*'Model_ of_individuals'!$K150,"")</f>
        <v/>
      </c>
      <c r="V146" s="17" t="str">
        <f>IF(ISNUMBER('Model_ of_individuals'!V150), 'Model_ of_individuals'!V150*'Model_ of_individuals'!$K150,"")</f>
        <v/>
      </c>
      <c r="W146" s="17" t="str">
        <f>IF(ISNUMBER('Model_ of_individuals'!W150), 'Model_ of_individuals'!W150*'Model_ of_individuals'!$K150,"")</f>
        <v/>
      </c>
      <c r="X146" s="17" t="str">
        <f>IF(ISNUMBER('Model_ of_individuals'!X150), 'Model_ of_individuals'!X150*'Model_ of_individuals'!$K150,"")</f>
        <v/>
      </c>
      <c r="Y146" s="17" t="str">
        <f>IF(ISNUMBER('Model_ of_individuals'!Y150), 'Model_ of_individuals'!Y150*'Model_ of_individuals'!$K150,"")</f>
        <v/>
      </c>
      <c r="Z146" s="17" t="str">
        <f>IF(ISNUMBER('Model_ of_individuals'!Z150), 'Model_ of_individuals'!Z150*'Model_ of_individuals'!$K150,"")</f>
        <v/>
      </c>
      <c r="AA146" s="17" t="str">
        <f>IF(ISNUMBER('Model_ of_individuals'!AA150), 'Model_ of_individuals'!AA150*'Model_ of_individuals'!$K150,"")</f>
        <v/>
      </c>
      <c r="AB146" s="17" t="str">
        <f>IF(ISNUMBER('Model_ of_individuals'!AB150), 'Model_ of_individuals'!AB150*'Model_ of_individuals'!$K150,"")</f>
        <v/>
      </c>
      <c r="AC146" s="106" t="str">
        <f>IF(ISNUMBER('Model_ of_individuals'!AC150), 'Model_ of_individuals'!AC150*'Model_ of_individuals'!$K150,"")</f>
        <v/>
      </c>
    </row>
    <row r="147" spans="1:30" ht="15.75" thickBot="1" x14ac:dyDescent="0.3">
      <c r="A147" s="518"/>
      <c r="B147" s="505"/>
      <c r="C147" s="111" t="str">
        <f>IF(AND(ISNUMBER(B128), OR('Cost Inputs'!$H$86&lt;&gt;"", 'Cost Inputs'!$I$86&lt;&gt;"", 'Cost Inputs'!$J$86&lt;&gt;"")), _3_5_2, "")</f>
        <v/>
      </c>
      <c r="D147" s="95" t="str">
        <f>IF(AND(C147&lt;&gt;"", 'Cost Inputs'!$G$86&lt;&gt;""), 'Cost Inputs'!$G$86, "")</f>
        <v/>
      </c>
      <c r="E147" s="95" t="str">
        <f>IF(AND(C147&lt;&gt;"", 'Cost Inputs'!$H$86&lt;&gt;""), 'Cost Inputs'!$H$86, "")</f>
        <v/>
      </c>
      <c r="F147" s="95" t="str">
        <f>IF(AND(C147&lt;&gt;"", 'Cost Inputs'!$I$86&lt;&gt;""), 'Cost Inputs'!$I$86, "")</f>
        <v/>
      </c>
      <c r="G147" s="95" t="str">
        <f t="shared" si="8"/>
        <v/>
      </c>
      <c r="H147" s="95" t="str">
        <f>IF(AND(C147&lt;&gt;"", 'Cost Inputs'!$J$86&lt;&gt;""), 'Cost Inputs'!$J$86, "")</f>
        <v/>
      </c>
      <c r="I147" s="95" t="str">
        <f t="shared" si="7"/>
        <v/>
      </c>
      <c r="J147" s="95" t="str">
        <f>IF(AND(C147&lt;&gt;"",('Cost Inputs'!$I$86+'Cost Inputs'!$J$86+'Cost Inputs'!$K$86)&gt;0), 'Cost Inputs'!$I$86+'Cost Inputs'!$J$86+'Cost Inputs'!$K$86, "")</f>
        <v/>
      </c>
      <c r="K147" s="95" t="str">
        <f>IF(AND(C147&lt;&gt;"", 'Cost Inputs'!$N$86&gt;0),'Cost Inputs'!$N$86,"")</f>
        <v/>
      </c>
      <c r="L147" s="95"/>
      <c r="M147" s="113"/>
      <c r="T147" s="111" t="str">
        <f>IF(ISNUMBER('Model_ of_individuals'!T151), 'Model_ of_individuals'!T151*'Model_ of_individuals'!$K151,"")</f>
        <v/>
      </c>
      <c r="U147" s="95" t="str">
        <f>IF(ISNUMBER('Model_ of_individuals'!U151), 'Model_ of_individuals'!U151*'Model_ of_individuals'!$K151,"")</f>
        <v/>
      </c>
      <c r="V147" s="95" t="str">
        <f>IF(ISNUMBER('Model_ of_individuals'!V151), 'Model_ of_individuals'!V151*'Model_ of_individuals'!$K151,"")</f>
        <v/>
      </c>
      <c r="W147" s="95" t="str">
        <f>IF(ISNUMBER('Model_ of_individuals'!W151), 'Model_ of_individuals'!W151*'Model_ of_individuals'!$K151,"")</f>
        <v/>
      </c>
      <c r="X147" s="95" t="str">
        <f>IF(ISNUMBER('Model_ of_individuals'!X151), 'Model_ of_individuals'!X151*'Model_ of_individuals'!$K151,"")</f>
        <v/>
      </c>
      <c r="Y147" s="95" t="str">
        <f>IF(ISNUMBER('Model_ of_individuals'!Y151), 'Model_ of_individuals'!Y151*'Model_ of_individuals'!$K151,"")</f>
        <v/>
      </c>
      <c r="Z147" s="95" t="str">
        <f>IF(ISNUMBER('Model_ of_individuals'!Z151), 'Model_ of_individuals'!Z151*'Model_ of_individuals'!$K151,"")</f>
        <v/>
      </c>
      <c r="AA147" s="95" t="str">
        <f>IF(ISNUMBER('Model_ of_individuals'!AA151), 'Model_ of_individuals'!AA151*'Model_ of_individuals'!$K151,"")</f>
        <v/>
      </c>
      <c r="AB147" s="95" t="str">
        <f>IF(ISNUMBER('Model_ of_individuals'!AB151), 'Model_ of_individuals'!AB151*'Model_ of_individuals'!$K151,"")</f>
        <v/>
      </c>
      <c r="AC147" s="113" t="str">
        <f>IF(ISNUMBER('Model_ of_individuals'!AC151), 'Model_ of_individuals'!AC151*'Model_ of_individuals'!$K151,"")</f>
        <v/>
      </c>
    </row>
    <row r="148" spans="1:30" ht="14.45" customHeight="1" x14ac:dyDescent="0.25">
      <c r="A148" s="518" t="str">
        <f>Third_Stage</f>
        <v>Stage 1 Seedling Test Plots</v>
      </c>
      <c r="B148" s="503" t="str">
        <f>'Breeding Inputs'!B81</f>
        <v/>
      </c>
      <c r="C148" s="116" t="str">
        <f>IF(ISNUMBER(B148), _3_2_0, "")</f>
        <v/>
      </c>
      <c r="D148" s="92" t="str">
        <f>IF(AND(B148&lt;&gt;"", OR('Cost Inputs'!$H$67&lt;&gt;"", 'Cost Inputs'!$I$67&lt;&gt;"", 'Cost Inputs'!$J$67&lt;&gt;"")), 'Cost Inputs'!$G$67,"")</f>
        <v/>
      </c>
      <c r="E148" s="92" t="str">
        <f>IF(AND(C148&lt;&gt;"", 'Cost Inputs'!$H$67&lt;&gt;"", M$145&lt;&gt;"", M$145&gt;0), $E128-('Cost Inputs'!$H$67*M$145), IF(AND(C148&lt;&gt;"", 'Cost Inputs'!$H$67&lt;&gt;""), $E128, ""))</f>
        <v/>
      </c>
      <c r="F148" s="92" t="str">
        <f>IF(AND(C148&lt;&gt;"", 'Cost Inputs'!$I$67&lt;&gt;""), 'Cost Inputs'!$I$67, "")</f>
        <v/>
      </c>
      <c r="G148" s="92" t="str">
        <f t="shared" si="8"/>
        <v/>
      </c>
      <c r="H148" s="92" t="str">
        <f>IF(AND(C148&lt;&gt;"", 'Cost Inputs'!$J$67&lt;&gt;""), 'Cost Inputs'!$J$67, "")</f>
        <v/>
      </c>
      <c r="I148" s="92" t="str">
        <f>IF(AND($E148&lt;&gt;"", $H148&lt;&gt;""), $H148/$E148, "")</f>
        <v/>
      </c>
      <c r="J148" s="92" t="str">
        <f>IF(AND(C148&lt;&gt;"",('Cost Inputs'!$I$67+'Cost Inputs'!$J$67+'Cost Inputs'!$K$67)&gt;0), 'Cost Inputs'!$I$67+'Cost Inputs'!$J$67+'Cost Inputs'!$K$67, "")</f>
        <v/>
      </c>
      <c r="K148" s="92" t="str">
        <f>IF(AND(C148&lt;&gt;"", 'Cost Inputs'!$N$67&gt;0),'Cost Inputs'!$N$67,"")</f>
        <v/>
      </c>
      <c r="L148" s="92"/>
      <c r="M148" s="101"/>
      <c r="U148" s="110" t="str">
        <f>IF(ISNUMBER('Model_ of_individuals'!U152), 'Model_ of_individuals'!U152*'Model_ of_individuals'!$K152,"")</f>
        <v/>
      </c>
      <c r="V148" s="94" t="str">
        <f>IF(ISNUMBER('Model_ of_individuals'!V152), 'Model_ of_individuals'!V152*'Model_ of_individuals'!$K152,"")</f>
        <v/>
      </c>
      <c r="W148" s="94" t="str">
        <f>IF(ISNUMBER('Model_ of_individuals'!W152), 'Model_ of_individuals'!W152*'Model_ of_individuals'!$K152,"")</f>
        <v/>
      </c>
      <c r="X148" s="94" t="str">
        <f>IF(ISNUMBER('Model_ of_individuals'!X152), 'Model_ of_individuals'!X152*'Model_ of_individuals'!$K152,"")</f>
        <v/>
      </c>
      <c r="Y148" s="94" t="str">
        <f>IF(ISNUMBER('Model_ of_individuals'!Y152), 'Model_ of_individuals'!Y152*'Model_ of_individuals'!$K152,"")</f>
        <v/>
      </c>
      <c r="Z148" s="94" t="str">
        <f>IF(ISNUMBER('Model_ of_individuals'!Z152), 'Model_ of_individuals'!Z152*'Model_ of_individuals'!$K152,"")</f>
        <v/>
      </c>
      <c r="AA148" s="94" t="str">
        <f>IF(ISNUMBER('Model_ of_individuals'!AA152), 'Model_ of_individuals'!AA152*'Model_ of_individuals'!$K152,"")</f>
        <v/>
      </c>
      <c r="AB148" s="94" t="str">
        <f>IF(ISNUMBER('Model_ of_individuals'!AB152), 'Model_ of_individuals'!AB152*'Model_ of_individuals'!$K152,"")</f>
        <v/>
      </c>
      <c r="AC148" s="94" t="str">
        <f>IF(ISNUMBER('Model_ of_individuals'!AC152), 'Model_ of_individuals'!AC152*'Model_ of_individuals'!$K152,"")</f>
        <v/>
      </c>
      <c r="AD148" s="103" t="str">
        <f>IF(ISNUMBER('Model_ of_individuals'!AD152), 'Model_ of_individuals'!AD152*'Model_ of_individuals'!$K152,"")</f>
        <v/>
      </c>
    </row>
    <row r="149" spans="1:30" x14ac:dyDescent="0.25">
      <c r="A149" s="518"/>
      <c r="B149" s="504"/>
      <c r="C149" s="104" t="str">
        <f>IF(AND(ISNUMBER(B148), OR('Cost Inputs'!$H$68&lt;&gt;"", 'Cost Inputs'!$I$68&lt;&gt;"", 'Cost Inputs'!$J$68&lt;&gt;"")), _3_2_1, "")</f>
        <v/>
      </c>
      <c r="D149" s="17" t="str">
        <f>IF(AND($C149&lt;&gt;"", 'Cost Inputs'!$G$68&lt;&gt;""), 'Cost Inputs'!$G$68, "")</f>
        <v/>
      </c>
      <c r="E149" s="17" t="str">
        <f>IF(AND(C149&lt;&gt;"", 'Cost Inputs'!$H$68&lt;&gt;"", M$145&lt;&gt;"", M$145&gt;0), $E129-('Cost Inputs'!$H$68*M$145), IF(AND(C149&lt;&gt;"", 'Cost Inputs'!$H$68&lt;&gt;""), $E129, ""))</f>
        <v/>
      </c>
      <c r="F149" s="17" t="str">
        <f>IF(AND(C149&lt;&gt;"", 'Cost Inputs'!$I$68&lt;&gt;""), 'Cost Inputs'!$I$68, "")</f>
        <v/>
      </c>
      <c r="G149" s="17" t="str">
        <f t="shared" si="8"/>
        <v/>
      </c>
      <c r="H149" s="17" t="str">
        <f>IF(AND(C149&lt;&gt;"", 'Cost Inputs'!$J$68&lt;&gt;""), 'Cost Inputs'!$J$68, "")</f>
        <v/>
      </c>
      <c r="I149" s="17" t="str">
        <f t="shared" si="7"/>
        <v/>
      </c>
      <c r="J149" s="17" t="str">
        <f>IF(AND(C149&lt;&gt;"",('Cost Inputs'!$I$68+'Cost Inputs'!$J$68+'Cost Inputs'!$K$68)&gt;0), 'Cost Inputs'!$I$68+'Cost Inputs'!$J$68+'Cost Inputs'!$K$68, "")</f>
        <v/>
      </c>
      <c r="K149" s="17" t="str">
        <f>IF(AND(C149&lt;&gt;"", 'Cost Inputs'!$N$68&gt;0),'Cost Inputs'!$N$68,"")</f>
        <v/>
      </c>
      <c r="M149" s="106"/>
      <c r="U149" s="104" t="str">
        <f>IF(ISNUMBER('Model_ of_individuals'!U153), 'Model_ of_individuals'!U153*'Model_ of_individuals'!$K153,"")</f>
        <v/>
      </c>
      <c r="V149" s="17" t="str">
        <f>IF(ISNUMBER('Model_ of_individuals'!V153), 'Model_ of_individuals'!V153*'Model_ of_individuals'!$K153,"")</f>
        <v/>
      </c>
      <c r="W149" s="17" t="str">
        <f>IF(ISNUMBER('Model_ of_individuals'!W153), 'Model_ of_individuals'!W153*'Model_ of_individuals'!$K153,"")</f>
        <v/>
      </c>
      <c r="X149" s="17" t="str">
        <f>IF(ISNUMBER('Model_ of_individuals'!X153), 'Model_ of_individuals'!X153*'Model_ of_individuals'!$K153,"")</f>
        <v/>
      </c>
      <c r="Y149" s="17" t="str">
        <f>IF(ISNUMBER('Model_ of_individuals'!Y153), 'Model_ of_individuals'!Y153*'Model_ of_individuals'!$K153,"")</f>
        <v/>
      </c>
      <c r="Z149" s="17" t="str">
        <f>IF(ISNUMBER('Model_ of_individuals'!Z153), 'Model_ of_individuals'!Z153*'Model_ of_individuals'!$K153,"")</f>
        <v/>
      </c>
      <c r="AA149" s="17" t="str">
        <f>IF(ISNUMBER('Model_ of_individuals'!AA153), 'Model_ of_individuals'!AA153*'Model_ of_individuals'!$K153,"")</f>
        <v/>
      </c>
      <c r="AB149" s="17" t="str">
        <f>IF(ISNUMBER('Model_ of_individuals'!AB153), 'Model_ of_individuals'!AB153*'Model_ of_individuals'!$K153,"")</f>
        <v/>
      </c>
      <c r="AC149" s="17" t="str">
        <f>IF(ISNUMBER('Model_ of_individuals'!AC153), 'Model_ of_individuals'!AC153*'Model_ of_individuals'!$K153,"")</f>
        <v/>
      </c>
      <c r="AD149" s="106" t="str">
        <f>IF(ISNUMBER('Model_ of_individuals'!AD153), 'Model_ of_individuals'!AD153*'Model_ of_individuals'!$K153,"")</f>
        <v/>
      </c>
    </row>
    <row r="150" spans="1:30" x14ac:dyDescent="0.25">
      <c r="A150" s="518"/>
      <c r="B150" s="504"/>
      <c r="C150" s="107" t="str">
        <f>IF(AND(ISNUMBER(B148), OR('Cost Inputs'!$H$69&lt;&gt;"", 'Cost Inputs'!$I$69&lt;&gt;"", 'Cost Inputs'!$J$69&lt;&gt;"")), _3_2_2, "")</f>
        <v/>
      </c>
      <c r="D150" s="93" t="str">
        <f>IF(AND($C150&lt;&gt;"", 'Cost Inputs'!$G$69&lt;&gt;""), 'Cost Inputs'!$G$69, "")</f>
        <v/>
      </c>
      <c r="E150" s="93" t="str">
        <f>IF(AND(C150&lt;&gt;"", 'Cost Inputs'!$H$69&lt;&gt;"", M$145&lt;&gt;"", M$145&gt;0), $E130-('Cost Inputs'!$H$69*M$145), IF(AND(C150&lt;&gt;"", 'Cost Inputs'!$H$69&lt;&gt;""), $E130, ""))</f>
        <v/>
      </c>
      <c r="F150" s="93" t="str">
        <f>IF(AND(C150&lt;&gt;"", 'Cost Inputs'!$I$69&lt;&gt;""), 'Cost Inputs'!$I$69, "")</f>
        <v/>
      </c>
      <c r="G150" s="93" t="str">
        <f t="shared" si="8"/>
        <v/>
      </c>
      <c r="H150" s="93" t="str">
        <f>IF(AND(C150&lt;&gt;"", 'Cost Inputs'!$J$69&lt;&gt;""), 'Cost Inputs'!$J$69, "")</f>
        <v/>
      </c>
      <c r="I150" s="93" t="str">
        <f t="shared" si="7"/>
        <v/>
      </c>
      <c r="J150" s="93" t="str">
        <f>IF(AND(C150&lt;&gt;"",('Cost Inputs'!$I$69+'Cost Inputs'!$J$69+'Cost Inputs'!$K$69)&gt;0), 'Cost Inputs'!$I$69+'Cost Inputs'!$J$69+'Cost Inputs'!$K$69, "")</f>
        <v/>
      </c>
      <c r="K150" s="93" t="str">
        <f>IF(AND(C150&lt;&gt;"", 'Cost Inputs'!$N$69&gt;0),'Cost Inputs'!$N$69,"")</f>
        <v/>
      </c>
      <c r="L150" s="93"/>
      <c r="M150" s="109"/>
      <c r="U150" s="107" t="str">
        <f>IF(ISNUMBER('Model_ of_individuals'!U154), 'Model_ of_individuals'!U154*'Model_ of_individuals'!$K154,"")</f>
        <v/>
      </c>
      <c r="V150" s="93" t="str">
        <f>IF(ISNUMBER('Model_ of_individuals'!V154), 'Model_ of_individuals'!V154*'Model_ of_individuals'!$K154,"")</f>
        <v/>
      </c>
      <c r="W150" s="93" t="str">
        <f>IF(ISNUMBER('Model_ of_individuals'!W154), 'Model_ of_individuals'!W154*'Model_ of_individuals'!$K154,"")</f>
        <v/>
      </c>
      <c r="X150" s="93" t="str">
        <f>IF(ISNUMBER('Model_ of_individuals'!X154), 'Model_ of_individuals'!X154*'Model_ of_individuals'!$K154,"")</f>
        <v/>
      </c>
      <c r="Y150" s="93" t="str">
        <f>IF(ISNUMBER('Model_ of_individuals'!Y154), 'Model_ of_individuals'!Y154*'Model_ of_individuals'!$K154,"")</f>
        <v/>
      </c>
      <c r="Z150" s="93" t="str">
        <f>IF(ISNUMBER('Model_ of_individuals'!Z154), 'Model_ of_individuals'!Z154*'Model_ of_individuals'!$K154,"")</f>
        <v/>
      </c>
      <c r="AA150" s="93" t="str">
        <f>IF(ISNUMBER('Model_ of_individuals'!AA154), 'Model_ of_individuals'!AA154*'Model_ of_individuals'!$K154,"")</f>
        <v/>
      </c>
      <c r="AB150" s="93" t="str">
        <f>IF(ISNUMBER('Model_ of_individuals'!AB154), 'Model_ of_individuals'!AB154*'Model_ of_individuals'!$K154,"")</f>
        <v/>
      </c>
      <c r="AC150" s="93" t="str">
        <f>IF(ISNUMBER('Model_ of_individuals'!AC154), 'Model_ of_individuals'!AC154*'Model_ of_individuals'!$K154,"")</f>
        <v/>
      </c>
      <c r="AD150" s="109" t="str">
        <f>IF(ISNUMBER('Model_ of_individuals'!AD154), 'Model_ of_individuals'!AD154*'Model_ of_individuals'!$K154,"")</f>
        <v/>
      </c>
    </row>
    <row r="151" spans="1:30" x14ac:dyDescent="0.25">
      <c r="A151" s="518"/>
      <c r="B151" s="504"/>
      <c r="C151" s="104" t="str">
        <f>IF(AND( ISNUMBER(B148), OR('Cost Inputs'!$H$70&lt;&gt;"", 'Cost Inputs'!$I$70&lt;&gt;"", 'Cost Inputs'!$J$70&lt;&gt;"")), _3_2_3, "")</f>
        <v/>
      </c>
      <c r="D151" s="17" t="str">
        <f>IF(AND($C151&lt;&gt;"", 'Cost Inputs'!$G$70&lt;&gt;""), 'Cost Inputs'!$G$70, "")</f>
        <v/>
      </c>
      <c r="E151" s="17" t="str">
        <f>IF(AND(C151&lt;&gt;"", 'Cost Inputs'!$H$70&lt;&gt;"", M$145&lt;&gt;"", M$145&gt;0), $E131-('Cost Inputs'!$H$70*M$145), IF(AND(C151&lt;&gt;"", 'Cost Inputs'!$H$70&lt;&gt;""), $E131, ""))</f>
        <v/>
      </c>
      <c r="F151" s="17" t="str">
        <f>IF(AND(C151&lt;&gt;"", 'Cost Inputs'!$I$70&lt;&gt;""), 'Cost Inputs'!$I$70, "")</f>
        <v/>
      </c>
      <c r="G151" s="17" t="str">
        <f t="shared" si="8"/>
        <v/>
      </c>
      <c r="H151" s="17" t="str">
        <f>IF(AND(C151&lt;&gt;"", 'Cost Inputs'!$J$70&lt;&gt;""), 'Cost Inputs'!$J$70, "")</f>
        <v/>
      </c>
      <c r="I151" s="17" t="str">
        <f t="shared" si="7"/>
        <v/>
      </c>
      <c r="J151" s="17" t="str">
        <f>IF(AND(C151&lt;&gt;"",('Cost Inputs'!$I$70+'Cost Inputs'!$J$70+'Cost Inputs'!$K$70)&gt;0), 'Cost Inputs'!$I$70+'Cost Inputs'!$J$70+'Cost Inputs'!$K$70, "")</f>
        <v/>
      </c>
      <c r="K151" s="17" t="str">
        <f>IF(AND(C151&lt;&gt;"", 'Cost Inputs'!$N$70&gt;0),'Cost Inputs'!$N$70,"")</f>
        <v/>
      </c>
      <c r="M151" s="106"/>
      <c r="U151" s="104" t="str">
        <f>IF(ISNUMBER('Model_ of_individuals'!U155), 'Model_ of_individuals'!U155*'Model_ of_individuals'!$K155,"")</f>
        <v/>
      </c>
      <c r="V151" s="17" t="str">
        <f>IF(ISNUMBER('Model_ of_individuals'!V155), 'Model_ of_individuals'!V155*'Model_ of_individuals'!$K155,"")</f>
        <v/>
      </c>
      <c r="W151" s="17" t="str">
        <f>IF(ISNUMBER('Model_ of_individuals'!W155), 'Model_ of_individuals'!W155*'Model_ of_individuals'!$K155,"")</f>
        <v/>
      </c>
      <c r="X151" s="17" t="str">
        <f>IF(ISNUMBER('Model_ of_individuals'!X155), 'Model_ of_individuals'!X155*'Model_ of_individuals'!$K155,"")</f>
        <v/>
      </c>
      <c r="Y151" s="17" t="str">
        <f>IF(ISNUMBER('Model_ of_individuals'!Y155), 'Model_ of_individuals'!Y155*'Model_ of_individuals'!$K155,"")</f>
        <v/>
      </c>
      <c r="Z151" s="17" t="str">
        <f>IF(ISNUMBER('Model_ of_individuals'!Z155), 'Model_ of_individuals'!Z155*'Model_ of_individuals'!$K155,"")</f>
        <v/>
      </c>
      <c r="AA151" s="17" t="str">
        <f>IF(ISNUMBER('Model_ of_individuals'!AA155), 'Model_ of_individuals'!AA155*'Model_ of_individuals'!$K155,"")</f>
        <v/>
      </c>
      <c r="AB151" s="17" t="str">
        <f>IF(ISNUMBER('Model_ of_individuals'!AB155), 'Model_ of_individuals'!AB155*'Model_ of_individuals'!$K155,"")</f>
        <v/>
      </c>
      <c r="AC151" s="17" t="str">
        <f>IF(ISNUMBER('Model_ of_individuals'!AC155), 'Model_ of_individuals'!AC155*'Model_ of_individuals'!$K155,"")</f>
        <v/>
      </c>
      <c r="AD151" s="106" t="str">
        <f>IF(ISNUMBER('Model_ of_individuals'!AD155), 'Model_ of_individuals'!AD155*'Model_ of_individuals'!$K155,"")</f>
        <v/>
      </c>
    </row>
    <row r="152" spans="1:30" x14ac:dyDescent="0.25">
      <c r="A152" s="518"/>
      <c r="B152" s="504"/>
      <c r="C152" s="107" t="str">
        <f>IF(AND( ISNUMBER(B148), OR('Cost Inputs'!$H$71&lt;&gt;"", 'Cost Inputs'!$I$71&lt;&gt;"", 'Cost Inputs'!$J$71&lt;&gt;"")), _3_2_4, "")</f>
        <v/>
      </c>
      <c r="D152" s="93" t="str">
        <f>IF(AND($C152&lt;&gt;"", 'Cost Inputs'!$G$71&lt;&gt;""), 'Cost Inputs'!$G$71, "")</f>
        <v/>
      </c>
      <c r="E152" s="93" t="str">
        <f>IF(AND(C152&lt;&gt;"", 'Cost Inputs'!$H$71&lt;&gt;"", M$145&lt;&gt;"", M$145&gt;0), $E132-('Cost Inputs'!$H$71*M$145), IF(AND(C152&lt;&gt;"", 'Cost Inputs'!$H$71&lt;&gt;""), $E132, ""))</f>
        <v/>
      </c>
      <c r="F152" s="93" t="str">
        <f>IF(AND(C152&lt;&gt;"", 'Cost Inputs'!$I$71&lt;&gt;""), 'Cost Inputs'!$I$71, "")</f>
        <v/>
      </c>
      <c r="G152" s="93" t="str">
        <f t="shared" si="8"/>
        <v/>
      </c>
      <c r="H152" s="93" t="str">
        <f>IF(AND(C152&lt;&gt;"", 'Cost Inputs'!$J$71&lt;&gt;""), 'Cost Inputs'!$J$71, "")</f>
        <v/>
      </c>
      <c r="I152" s="93" t="str">
        <f t="shared" si="7"/>
        <v/>
      </c>
      <c r="J152" s="93" t="str">
        <f>IF(AND(C152&lt;&gt;"",('Cost Inputs'!$I$71+'Cost Inputs'!$J$71+'Cost Inputs'!$K$71)&gt;0), 'Cost Inputs'!$I$71+'Cost Inputs'!$J$71+'Cost Inputs'!$K$71, "")</f>
        <v/>
      </c>
      <c r="K152" s="93" t="str">
        <f>IF(AND(C152&lt;&gt;"", 'Cost Inputs'!$N$71&gt;0),'Cost Inputs'!$N$71,"")</f>
        <v/>
      </c>
      <c r="L152" s="93"/>
      <c r="M152" s="109"/>
      <c r="U152" s="107" t="str">
        <f>IF(ISNUMBER('Model_ of_individuals'!U156), 'Model_ of_individuals'!U156*'Model_ of_individuals'!$K156,"")</f>
        <v/>
      </c>
      <c r="V152" s="93" t="str">
        <f>IF(ISNUMBER('Model_ of_individuals'!V156), 'Model_ of_individuals'!V156*'Model_ of_individuals'!$K156,"")</f>
        <v/>
      </c>
      <c r="W152" s="93" t="str">
        <f>IF(ISNUMBER('Model_ of_individuals'!W156), 'Model_ of_individuals'!W156*'Model_ of_individuals'!$K156,"")</f>
        <v/>
      </c>
      <c r="X152" s="93" t="str">
        <f>IF(ISNUMBER('Model_ of_individuals'!X156), 'Model_ of_individuals'!X156*'Model_ of_individuals'!$K156,"")</f>
        <v/>
      </c>
      <c r="Y152" s="93" t="str">
        <f>IF(ISNUMBER('Model_ of_individuals'!Y156), 'Model_ of_individuals'!Y156*'Model_ of_individuals'!$K156,"")</f>
        <v/>
      </c>
      <c r="Z152" s="93" t="str">
        <f>IF(ISNUMBER('Model_ of_individuals'!Z156), 'Model_ of_individuals'!Z156*'Model_ of_individuals'!$K156,"")</f>
        <v/>
      </c>
      <c r="AA152" s="93" t="str">
        <f>IF(ISNUMBER('Model_ of_individuals'!AA156), 'Model_ of_individuals'!AA156*'Model_ of_individuals'!$K156,"")</f>
        <v/>
      </c>
      <c r="AB152" s="93" t="str">
        <f>IF(ISNUMBER('Model_ of_individuals'!AB156), 'Model_ of_individuals'!AB156*'Model_ of_individuals'!$K156,"")</f>
        <v/>
      </c>
      <c r="AC152" s="93" t="str">
        <f>IF(ISNUMBER('Model_ of_individuals'!AC156), 'Model_ of_individuals'!AC156*'Model_ of_individuals'!$K156,"")</f>
        <v/>
      </c>
      <c r="AD152" s="109" t="str">
        <f>IF(ISNUMBER('Model_ of_individuals'!AD156), 'Model_ of_individuals'!AD156*'Model_ of_individuals'!$K156,"")</f>
        <v/>
      </c>
    </row>
    <row r="153" spans="1:30" x14ac:dyDescent="0.25">
      <c r="A153" s="518"/>
      <c r="B153" s="504"/>
      <c r="C153" s="110" t="str">
        <f>IF(AND(B148&lt;&gt;"", ISNUMBER(Stage1EvaluationBegins)), IF((INDEX(ProgramYearStage1,MATCH(Stage1EvaluationBegins,Years_in_Stage1,0)))=B148, _3_3_0, IF(AND(B148&lt;&gt;"", C133&lt;&gt;""), _3_3_0, IF(AND(B148&lt;&gt;"", OR(Stage1EvaluationBegins=0, Stage1EvaluationBegins="")),"", ""))),"")</f>
        <v/>
      </c>
      <c r="D153" s="94" t="str">
        <f>IF(AND(B148&lt;&gt;"", OR('Cost Inputs'!$H$72&lt;&gt;"", 'Cost Inputs'!$I$72&lt;&gt;"", 'Cost Inputs'!$J$72&lt;&gt;"")), 'Cost Inputs'!$G$72,"")</f>
        <v/>
      </c>
      <c r="E153" s="94" t="str">
        <f>IF(AND(C153&lt;&gt;"", 'Cost Inputs'!$H$72&lt;&gt;""), 'Cost Inputs'!$H$72, "")</f>
        <v/>
      </c>
      <c r="F153" s="94" t="str">
        <f>IF(AND(C153&lt;&gt;"", 'Cost Inputs'!$I$72&lt;&gt;""), 'Cost Inputs'!$I$72, "")</f>
        <v/>
      </c>
      <c r="G153" s="94" t="str">
        <f t="shared" si="8"/>
        <v/>
      </c>
      <c r="H153" s="94" t="str">
        <f>IF(AND(C153&lt;&gt;"", 'Cost Inputs'!$J$72&lt;&gt;""), 'Cost Inputs'!$J$72, "")</f>
        <v/>
      </c>
      <c r="I153" s="94" t="str">
        <f>IF(AND($E153&lt;&gt;"", $H153&lt;&gt;""), $H153/$E153, "")</f>
        <v/>
      </c>
      <c r="J153" s="94" t="str">
        <f>IF(AND(C153&lt;&gt;"",('Cost Inputs'!$I$72+'Cost Inputs'!$J$72+'Cost Inputs'!$K$72)&gt;0), 'Cost Inputs'!$I$72+'Cost Inputs'!$J$72+'Cost Inputs'!$K$72, "")</f>
        <v/>
      </c>
      <c r="K153" s="94" t="str">
        <f>IF(AND(C153&lt;&gt;"", 'Cost Inputs'!$N$72&gt;0),'Cost Inputs'!$N$72,"")</f>
        <v/>
      </c>
      <c r="L153" s="130" t="str">
        <f>IF(AND($B148&lt;&gt;"", ISNUMBER(Stage1EvaluationBegins)), IF((INDEX(ProgramYearStage1,MATCH(Stage1EvaluationBegins,Years_in_Stage1,0)))=$B148, INDEX(Stage1Evaluation,MATCH(Stage1EvaluationBegins,Years_in_Stage1,0)), IF(AND($B148&lt;&gt;"", $C133&lt;&gt;""), INDEX(Stage1Evaluation,MATCH($B148,ProgramYearStage1,0)), IF(AND(B148&lt;&gt;"", OR(Stage1EvaluationBegins=0, Stage1EvaluationBegins="")),"", ""))),"")</f>
        <v/>
      </c>
      <c r="M153" s="103"/>
      <c r="U153" s="110" t="str">
        <f>IF(ISNUMBER('Model_ of_individuals'!U157), 'Model_ of_individuals'!U157*'Model_ of_individuals'!$K157,"")</f>
        <v/>
      </c>
      <c r="V153" s="94" t="str">
        <f>IF(ISNUMBER('Model_ of_individuals'!V157), 'Model_ of_individuals'!V157*'Model_ of_individuals'!$K157,"")</f>
        <v/>
      </c>
      <c r="W153" s="94" t="str">
        <f>IF(ISNUMBER('Model_ of_individuals'!W157), 'Model_ of_individuals'!W157*'Model_ of_individuals'!$K157,"")</f>
        <v/>
      </c>
      <c r="X153" s="94" t="str">
        <f>IF(ISNUMBER('Model_ of_individuals'!X157), 'Model_ of_individuals'!X157*'Model_ of_individuals'!$K157,"")</f>
        <v/>
      </c>
      <c r="Y153" s="94" t="str">
        <f>IF(ISNUMBER('Model_ of_individuals'!Y157), 'Model_ of_individuals'!Y157*'Model_ of_individuals'!$K157,"")</f>
        <v/>
      </c>
      <c r="Z153" s="94" t="str">
        <f>IF(ISNUMBER('Model_ of_individuals'!Z157), 'Model_ of_individuals'!Z157*'Model_ of_individuals'!$K157,"")</f>
        <v/>
      </c>
      <c r="AA153" s="94" t="str">
        <f>IF(ISNUMBER('Model_ of_individuals'!AA157), 'Model_ of_individuals'!AA157*'Model_ of_individuals'!$K157,"")</f>
        <v/>
      </c>
      <c r="AB153" s="94" t="str">
        <f>IF(ISNUMBER('Model_ of_individuals'!AB157), 'Model_ of_individuals'!AB157*'Model_ of_individuals'!$K157,"")</f>
        <v/>
      </c>
      <c r="AC153" s="94" t="str">
        <f>IF(ISNUMBER('Model_ of_individuals'!AC157), 'Model_ of_individuals'!AC157*'Model_ of_individuals'!$K157,"")</f>
        <v/>
      </c>
      <c r="AD153" s="103" t="str">
        <f>IF(ISNUMBER('Model_ of_individuals'!AD157), 'Model_ of_individuals'!AD157*'Model_ of_individuals'!$K157,"")</f>
        <v/>
      </c>
    </row>
    <row r="154" spans="1:30" x14ac:dyDescent="0.25">
      <c r="A154" s="518"/>
      <c r="B154" s="504"/>
      <c r="C154" s="104" t="str">
        <f>IF(AND(ISNUMBER(B148), C153&lt;&gt;"", OR('Cost Inputs'!$H$73&lt;&gt;"", 'Cost Inputs'!$I$73&lt;&gt;"", 'Cost Inputs'!$J$73&lt;&gt;"")), _3_3_1, "")</f>
        <v/>
      </c>
      <c r="D154" s="17" t="str">
        <f>IF(AND(C154&lt;&gt;"", 'Cost Inputs'!$G$73&lt;&gt;""), 'Cost Inputs'!$G$73, "")</f>
        <v/>
      </c>
      <c r="E154" s="17" t="str">
        <f>IF(AND(C154&lt;&gt;"", 'Cost Inputs'!$H$73&lt;&gt;""), 'Cost Inputs'!$H$73, "")</f>
        <v/>
      </c>
      <c r="F154" s="17" t="str">
        <f>IF(AND(C154&lt;&gt;"", 'Cost Inputs'!$I$73&lt;&gt;""), 'Cost Inputs'!$I$73, "")</f>
        <v/>
      </c>
      <c r="G154" s="17" t="str">
        <f t="shared" si="8"/>
        <v/>
      </c>
      <c r="H154" s="17" t="str">
        <f>IF(AND(C154&lt;&gt;"", 'Cost Inputs'!$J$73&lt;&gt;""), 'Cost Inputs'!$J$73, "")</f>
        <v/>
      </c>
      <c r="I154" s="17" t="str">
        <f t="shared" si="7"/>
        <v/>
      </c>
      <c r="J154" s="17" t="str">
        <f>IF(AND(C154&lt;&gt;"",('Cost Inputs'!$I$73+'Cost Inputs'!$J$73+'Cost Inputs'!$K$73)&gt;0), 'Cost Inputs'!$I$73+'Cost Inputs'!$J$73+'Cost Inputs'!$K$73, "")</f>
        <v/>
      </c>
      <c r="K154" s="17" t="str">
        <f>IF(AND(C154&lt;&gt;"", 'Cost Inputs'!$N$73&gt;0),'Cost Inputs'!$N$73,"")</f>
        <v/>
      </c>
      <c r="M154" s="106"/>
      <c r="U154" s="104" t="str">
        <f>IF(ISNUMBER('Model_ of_individuals'!U158), 'Model_ of_individuals'!U158*'Model_ of_individuals'!$K158,"")</f>
        <v/>
      </c>
      <c r="V154" s="17" t="str">
        <f>IF(ISNUMBER('Model_ of_individuals'!V158), 'Model_ of_individuals'!V158*'Model_ of_individuals'!$K158,"")</f>
        <v/>
      </c>
      <c r="W154" s="17" t="str">
        <f>IF(ISNUMBER('Model_ of_individuals'!W158), 'Model_ of_individuals'!W158*'Model_ of_individuals'!$K158,"")</f>
        <v/>
      </c>
      <c r="X154" s="17" t="str">
        <f>IF(ISNUMBER('Model_ of_individuals'!X158), 'Model_ of_individuals'!X158*'Model_ of_individuals'!$K158,"")</f>
        <v/>
      </c>
      <c r="Y154" s="17" t="str">
        <f>IF(ISNUMBER('Model_ of_individuals'!Y158), 'Model_ of_individuals'!Y158*'Model_ of_individuals'!$K158,"")</f>
        <v/>
      </c>
      <c r="Z154" s="17" t="str">
        <f>IF(ISNUMBER('Model_ of_individuals'!Z158), 'Model_ of_individuals'!Z158*'Model_ of_individuals'!$K158,"")</f>
        <v/>
      </c>
      <c r="AA154" s="17" t="str">
        <f>IF(ISNUMBER('Model_ of_individuals'!AA158), 'Model_ of_individuals'!AA158*'Model_ of_individuals'!$K158,"")</f>
        <v/>
      </c>
      <c r="AB154" s="17" t="str">
        <f>IF(ISNUMBER('Model_ of_individuals'!AB158), 'Model_ of_individuals'!AB158*'Model_ of_individuals'!$K158,"")</f>
        <v/>
      </c>
      <c r="AC154" s="17" t="str">
        <f>IF(ISNUMBER('Model_ of_individuals'!AC158), 'Model_ of_individuals'!AC158*'Model_ of_individuals'!$K158,"")</f>
        <v/>
      </c>
      <c r="AD154" s="106" t="str">
        <f>IF(ISNUMBER('Model_ of_individuals'!AD158), 'Model_ of_individuals'!AD158*'Model_ of_individuals'!$K158,"")</f>
        <v/>
      </c>
    </row>
    <row r="155" spans="1:30" x14ac:dyDescent="0.25">
      <c r="A155" s="518"/>
      <c r="B155" s="504"/>
      <c r="C155" s="107" t="str">
        <f>IF(AND(ISNUMBER(B148), C153&lt;&gt;"", OR('Cost Inputs'!$H$74&lt;&gt;"", 'Cost Inputs'!$I$74&lt;&gt;"", 'Cost Inputs'!$J$74&lt;&gt;"")), _3_3_2, "")</f>
        <v/>
      </c>
      <c r="D155" s="93" t="str">
        <f>IF(AND(C155&lt;&gt;"", 'Cost Inputs'!$G$74&lt;&gt;""), 'Cost Inputs'!$G$74, "")</f>
        <v/>
      </c>
      <c r="E155" s="93" t="str">
        <f>IF(AND(C155&lt;&gt;"", 'Cost Inputs'!$H$74&lt;&gt;""), 'Cost Inputs'!$H$74, "")</f>
        <v/>
      </c>
      <c r="F155" s="93" t="str">
        <f>IF(AND(C155&lt;&gt;"", 'Cost Inputs'!$I$74&lt;&gt;""), 'Cost Inputs'!$I$74, "")</f>
        <v/>
      </c>
      <c r="G155" s="93" t="str">
        <f t="shared" si="8"/>
        <v/>
      </c>
      <c r="H155" s="93" t="str">
        <f>IF(AND(C155&lt;&gt;"", 'Cost Inputs'!$J$74&lt;&gt;""), 'Cost Inputs'!$J$74, "")</f>
        <v/>
      </c>
      <c r="I155" s="93" t="str">
        <f t="shared" si="7"/>
        <v/>
      </c>
      <c r="J155" s="93" t="str">
        <f>IF(AND(C155&lt;&gt;"",('Cost Inputs'!$I$74+'Cost Inputs'!$J$74+'Cost Inputs'!$K$74)&gt;0), 'Cost Inputs'!$I$74+'Cost Inputs'!$J$74+'Cost Inputs'!$K$74, "")</f>
        <v/>
      </c>
      <c r="K155" s="93" t="str">
        <f>IF(AND(C155&lt;&gt;"", 'Cost Inputs'!$N$74&gt;0),'Cost Inputs'!$N$74,"")</f>
        <v/>
      </c>
      <c r="L155" s="93"/>
      <c r="M155" s="109"/>
      <c r="U155" s="107" t="str">
        <f>IF(ISNUMBER('Model_ of_individuals'!U159), 'Model_ of_individuals'!U159*'Model_ of_individuals'!$K159,"")</f>
        <v/>
      </c>
      <c r="V155" s="93" t="str">
        <f>IF(ISNUMBER('Model_ of_individuals'!V159), 'Model_ of_individuals'!V159*'Model_ of_individuals'!$K159,"")</f>
        <v/>
      </c>
      <c r="W155" s="93" t="str">
        <f>IF(ISNUMBER('Model_ of_individuals'!W159), 'Model_ of_individuals'!W159*'Model_ of_individuals'!$K159,"")</f>
        <v/>
      </c>
      <c r="X155" s="93" t="str">
        <f>IF(ISNUMBER('Model_ of_individuals'!X159), 'Model_ of_individuals'!X159*'Model_ of_individuals'!$K159,"")</f>
        <v/>
      </c>
      <c r="Y155" s="93" t="str">
        <f>IF(ISNUMBER('Model_ of_individuals'!Y159), 'Model_ of_individuals'!Y159*'Model_ of_individuals'!$K159,"")</f>
        <v/>
      </c>
      <c r="Z155" s="93" t="str">
        <f>IF(ISNUMBER('Model_ of_individuals'!Z159), 'Model_ of_individuals'!Z159*'Model_ of_individuals'!$K159,"")</f>
        <v/>
      </c>
      <c r="AA155" s="93" t="str">
        <f>IF(ISNUMBER('Model_ of_individuals'!AA159), 'Model_ of_individuals'!AA159*'Model_ of_individuals'!$K159,"")</f>
        <v/>
      </c>
      <c r="AB155" s="93" t="str">
        <f>IF(ISNUMBER('Model_ of_individuals'!AB159), 'Model_ of_individuals'!AB159*'Model_ of_individuals'!$K159,"")</f>
        <v/>
      </c>
      <c r="AC155" s="93" t="str">
        <f>IF(ISNUMBER('Model_ of_individuals'!AC159), 'Model_ of_individuals'!AC159*'Model_ of_individuals'!$K159,"")</f>
        <v/>
      </c>
      <c r="AD155" s="109" t="str">
        <f>IF(ISNUMBER('Model_ of_individuals'!AD159), 'Model_ of_individuals'!AD159*'Model_ of_individuals'!$K159,"")</f>
        <v/>
      </c>
    </row>
    <row r="156" spans="1:30" x14ac:dyDescent="0.25">
      <c r="A156" s="518"/>
      <c r="B156" s="504"/>
      <c r="C156" s="104" t="str">
        <f>IF(AND(ISNUMBER(B148), OR('Cost Inputs'!$H$75&lt;&gt;"", 'Cost Inputs'!$I$75&lt;&gt;"", 'Cost Inputs'!$J$75&lt;&gt;"")), _3_3_3, "")</f>
        <v/>
      </c>
      <c r="D156" s="17" t="str">
        <f>IF(AND(C156&lt;&gt;"", 'Cost Inputs'!$G$75&lt;&gt;""), 'Cost Inputs'!$G$75, "")</f>
        <v/>
      </c>
      <c r="E156" s="17" t="str">
        <f>IF(AND(C156&lt;&gt;"", 'Cost Inputs'!$H$75&lt;&gt;""), 'Cost Inputs'!$H$75, "")</f>
        <v/>
      </c>
      <c r="F156" s="17" t="str">
        <f>IF(AND(C156&lt;&gt;"", 'Cost Inputs'!$I$75&lt;&gt;""), 'Cost Inputs'!$I$75, "")</f>
        <v/>
      </c>
      <c r="G156" s="17" t="str">
        <f t="shared" si="8"/>
        <v/>
      </c>
      <c r="H156" s="17" t="str">
        <f>IF(AND(C156&lt;&gt;"", 'Cost Inputs'!$J$75&lt;&gt;""), 'Cost Inputs'!$J$75, "")</f>
        <v/>
      </c>
      <c r="I156" s="17" t="str">
        <f t="shared" si="7"/>
        <v/>
      </c>
      <c r="J156" s="17" t="str">
        <f>IF(AND(C156&lt;&gt;"",('Cost Inputs'!$I$75+'Cost Inputs'!$J$75+'Cost Inputs'!$K$75)&gt;0), 'Cost Inputs'!$I$75+'Cost Inputs'!$J$75+'Cost Inputs'!$K$75, "")</f>
        <v/>
      </c>
      <c r="K156" s="17" t="str">
        <f>IF(AND(C156&lt;&gt;"", 'Cost Inputs'!$N$75&gt;0),'Cost Inputs'!$N$75,"")</f>
        <v/>
      </c>
      <c r="M156" s="106"/>
      <c r="U156" s="104" t="str">
        <f>IF(ISNUMBER('Model_ of_individuals'!U160), 'Model_ of_individuals'!U160*'Model_ of_individuals'!$K160,"")</f>
        <v/>
      </c>
      <c r="V156" s="17" t="str">
        <f>IF(ISNUMBER('Model_ of_individuals'!V160), 'Model_ of_individuals'!V160*'Model_ of_individuals'!$K160,"")</f>
        <v/>
      </c>
      <c r="W156" s="17" t="str">
        <f>IF(ISNUMBER('Model_ of_individuals'!W160), 'Model_ of_individuals'!W160*'Model_ of_individuals'!$K160,"")</f>
        <v/>
      </c>
      <c r="X156" s="17" t="str">
        <f>IF(ISNUMBER('Model_ of_individuals'!X160), 'Model_ of_individuals'!X160*'Model_ of_individuals'!$K160,"")</f>
        <v/>
      </c>
      <c r="Y156" s="17" t="str">
        <f>IF(ISNUMBER('Model_ of_individuals'!Y160), 'Model_ of_individuals'!Y160*'Model_ of_individuals'!$K160,"")</f>
        <v/>
      </c>
      <c r="Z156" s="17" t="str">
        <f>IF(ISNUMBER('Model_ of_individuals'!Z160), 'Model_ of_individuals'!Z160*'Model_ of_individuals'!$K160,"")</f>
        <v/>
      </c>
      <c r="AA156" s="17" t="str">
        <f>IF(ISNUMBER('Model_ of_individuals'!AA160), 'Model_ of_individuals'!AA160*'Model_ of_individuals'!$K160,"")</f>
        <v/>
      </c>
      <c r="AB156" s="17" t="str">
        <f>IF(ISNUMBER('Model_ of_individuals'!AB160), 'Model_ of_individuals'!AB160*'Model_ of_individuals'!$K160,"")</f>
        <v/>
      </c>
      <c r="AC156" s="17" t="str">
        <f>IF(ISNUMBER('Model_ of_individuals'!AC160), 'Model_ of_individuals'!AC160*'Model_ of_individuals'!$K160,"")</f>
        <v/>
      </c>
      <c r="AD156" s="106" t="str">
        <f>IF(ISNUMBER('Model_ of_individuals'!AD160), 'Model_ of_individuals'!AD160*'Model_ of_individuals'!$K160,"")</f>
        <v/>
      </c>
    </row>
    <row r="157" spans="1:30" x14ac:dyDescent="0.25">
      <c r="A157" s="518"/>
      <c r="B157" s="504"/>
      <c r="C157" s="107" t="str">
        <f>IF(AND(ISNUMBER(B148), OR('Cost Inputs'!$H$76&lt;&gt;"", 'Cost Inputs'!$I$76&lt;&gt;"", 'Cost Inputs'!$J$76&lt;&gt;"")), _3_3_4, "")</f>
        <v/>
      </c>
      <c r="D157" s="93" t="str">
        <f>IF(AND(C157&lt;&gt;"", 'Cost Inputs'!$G$76&lt;&gt;""), 'Cost Inputs'!$G$76, "")</f>
        <v/>
      </c>
      <c r="E157" s="93" t="str">
        <f>IF(AND(C157&lt;&gt;"", 'Cost Inputs'!$H$76&lt;&gt;""), 'Cost Inputs'!$H$76, "")</f>
        <v/>
      </c>
      <c r="F157" s="93" t="str">
        <f>IF(AND(C157&lt;&gt;"", 'Cost Inputs'!$I$76&lt;&gt;""), 'Cost Inputs'!$I$76, "")</f>
        <v/>
      </c>
      <c r="G157" s="93" t="str">
        <f t="shared" si="8"/>
        <v/>
      </c>
      <c r="H157" s="93" t="str">
        <f>IF(AND(C157&lt;&gt;"", 'Cost Inputs'!$J$76&lt;&gt;""), 'Cost Inputs'!$J$76, "")</f>
        <v/>
      </c>
      <c r="I157" s="93" t="str">
        <f t="shared" si="7"/>
        <v/>
      </c>
      <c r="J157" s="93" t="str">
        <f>IF(AND(C157&lt;&gt;"",('Cost Inputs'!$I$76+'Cost Inputs'!$J$76+'Cost Inputs'!$K$76)&gt;0), 'Cost Inputs'!$I$76+'Cost Inputs'!$J$76+'Cost Inputs'!$K$76, "")</f>
        <v/>
      </c>
      <c r="K157" s="93" t="str">
        <f>IF(AND(C157&lt;&gt;"", 'Cost Inputs'!$N$76&gt;0),'Cost Inputs'!$N$76,"")</f>
        <v/>
      </c>
      <c r="L157" s="93"/>
      <c r="M157" s="109"/>
      <c r="U157" s="107" t="str">
        <f>IF(ISNUMBER('Model_ of_individuals'!U161), 'Model_ of_individuals'!U161*'Model_ of_individuals'!$K161,"")</f>
        <v/>
      </c>
      <c r="V157" s="93" t="str">
        <f>IF(ISNUMBER('Model_ of_individuals'!V161), 'Model_ of_individuals'!V161*'Model_ of_individuals'!$K161,"")</f>
        <v/>
      </c>
      <c r="W157" s="93" t="str">
        <f>IF(ISNUMBER('Model_ of_individuals'!W161), 'Model_ of_individuals'!W161*'Model_ of_individuals'!$K161,"")</f>
        <v/>
      </c>
      <c r="X157" s="93" t="str">
        <f>IF(ISNUMBER('Model_ of_individuals'!X161), 'Model_ of_individuals'!X161*'Model_ of_individuals'!$K161,"")</f>
        <v/>
      </c>
      <c r="Y157" s="93" t="str">
        <f>IF(ISNUMBER('Model_ of_individuals'!Y161), 'Model_ of_individuals'!Y161*'Model_ of_individuals'!$K161,"")</f>
        <v/>
      </c>
      <c r="Z157" s="93" t="str">
        <f>IF(ISNUMBER('Model_ of_individuals'!Z161), 'Model_ of_individuals'!Z161*'Model_ of_individuals'!$K161,"")</f>
        <v/>
      </c>
      <c r="AA157" s="93" t="str">
        <f>IF(ISNUMBER('Model_ of_individuals'!AA161), 'Model_ of_individuals'!AA161*'Model_ of_individuals'!$K161,"")</f>
        <v/>
      </c>
      <c r="AB157" s="93" t="str">
        <f>IF(ISNUMBER('Model_ of_individuals'!AB161), 'Model_ of_individuals'!AB161*'Model_ of_individuals'!$K161,"")</f>
        <v/>
      </c>
      <c r="AC157" s="93" t="str">
        <f>IF(ISNUMBER('Model_ of_individuals'!AC161), 'Model_ of_individuals'!AC161*'Model_ of_individuals'!$K161,"")</f>
        <v/>
      </c>
      <c r="AD157" s="109" t="str">
        <f>IF(ISNUMBER('Model_ of_individuals'!AD161), 'Model_ of_individuals'!AD161*'Model_ of_individuals'!$K161,"")</f>
        <v/>
      </c>
    </row>
    <row r="158" spans="1:30" x14ac:dyDescent="0.25">
      <c r="A158" s="518"/>
      <c r="B158" s="504"/>
      <c r="C158" s="110" t="str">
        <f>IF( ISNUMBER(B148), _3_4_0, "")</f>
        <v/>
      </c>
      <c r="D158" s="94" t="str">
        <f>IF(AND(B148&lt;&gt;"", OR('Cost Inputs'!$H$77&lt;&gt;"", 'Cost Inputs'!$I$77&lt;&gt;"", 'Cost Inputs'!$J$77&lt;&gt;"")), 'Cost Inputs'!$G$77,"")</f>
        <v/>
      </c>
      <c r="E158" s="94" t="str">
        <f>IF(AND(C158&lt;&gt;"", 'Cost Inputs'!$H$77&lt;&gt;""), 'Cost Inputs'!$H$77, "")</f>
        <v/>
      </c>
      <c r="F158" s="94" t="str">
        <f>IF(AND(C158&lt;&gt;"", 'Cost Inputs'!$I$77&lt;&gt;""), 'Cost Inputs'!$I$77, "")</f>
        <v/>
      </c>
      <c r="G158" s="94" t="str">
        <f t="shared" si="8"/>
        <v/>
      </c>
      <c r="H158" s="94" t="str">
        <f>IF(AND(C158&lt;&gt;"", 'Cost Inputs'!$J$77&lt;&gt;""), 'Cost Inputs'!$J$77, "")</f>
        <v/>
      </c>
      <c r="I158" s="94" t="str">
        <f>IF(AND($E158&lt;&gt;"", $H158&lt;&gt;""), $H158/$E158, "")</f>
        <v/>
      </c>
      <c r="J158" s="94" t="str">
        <f>IF(AND(C158&lt;&gt;"",('Cost Inputs'!$I$77+'Cost Inputs'!$J$77+'Cost Inputs'!$K$77)&gt;0), 'Cost Inputs'!$I$77+'Cost Inputs'!$J$77+'Cost Inputs'!$K$77, "")</f>
        <v/>
      </c>
      <c r="K158" s="94" t="str">
        <f>IF(AND(C158&lt;&gt;"", 'Cost Inputs'!$N$77&gt;0),'Cost Inputs'!$N$77,"")</f>
        <v/>
      </c>
      <c r="L158" s="94"/>
      <c r="M158" s="103"/>
      <c r="U158" s="110" t="str">
        <f>IF(ISNUMBER('Model_ of_individuals'!U162), 'Model_ of_individuals'!U162*'Model_ of_individuals'!$K162,"")</f>
        <v/>
      </c>
      <c r="V158" s="94" t="str">
        <f>IF(ISNUMBER('Model_ of_individuals'!V162), 'Model_ of_individuals'!V162*'Model_ of_individuals'!$K162,"")</f>
        <v/>
      </c>
      <c r="W158" s="94" t="str">
        <f>IF(ISNUMBER('Model_ of_individuals'!W162), 'Model_ of_individuals'!W162*'Model_ of_individuals'!$K162,"")</f>
        <v/>
      </c>
      <c r="X158" s="94" t="str">
        <f>IF(ISNUMBER('Model_ of_individuals'!X162), 'Model_ of_individuals'!X162*'Model_ of_individuals'!$K162,"")</f>
        <v/>
      </c>
      <c r="Y158" s="94" t="str">
        <f>IF(ISNUMBER('Model_ of_individuals'!Y162), 'Model_ of_individuals'!Y162*'Model_ of_individuals'!$K162,"")</f>
        <v/>
      </c>
      <c r="Z158" s="94" t="str">
        <f>IF(ISNUMBER('Model_ of_individuals'!Z162), 'Model_ of_individuals'!Z162*'Model_ of_individuals'!$K162,"")</f>
        <v/>
      </c>
      <c r="AA158" s="94" t="str">
        <f>IF(ISNUMBER('Model_ of_individuals'!AA162), 'Model_ of_individuals'!AA162*'Model_ of_individuals'!$K162,"")</f>
        <v/>
      </c>
      <c r="AB158" s="94" t="str">
        <f>IF(ISNUMBER('Model_ of_individuals'!AB162), 'Model_ of_individuals'!AB162*'Model_ of_individuals'!$K162,"")</f>
        <v/>
      </c>
      <c r="AC158" s="94" t="str">
        <f>IF(ISNUMBER('Model_ of_individuals'!AC162), 'Model_ of_individuals'!AC162*'Model_ of_individuals'!$K162,"")</f>
        <v/>
      </c>
      <c r="AD158" s="103" t="str">
        <f>IF(ISNUMBER('Model_ of_individuals'!AD162), 'Model_ of_individuals'!AD162*'Model_ of_individuals'!$K162,"")</f>
        <v/>
      </c>
    </row>
    <row r="159" spans="1:30" x14ac:dyDescent="0.25">
      <c r="A159" s="518"/>
      <c r="B159" s="504"/>
      <c r="C159" s="104" t="str">
        <f>IF(AND(ISNUMBER(B148), OR('Cost Inputs'!$H$78&lt;&gt;"", 'Cost Inputs'!$I$78&lt;&gt;"", 'Cost Inputs'!$J$78&lt;&gt;"")), _3_4_1, "")</f>
        <v/>
      </c>
      <c r="D159" s="17" t="str">
        <f>IF(AND(C159&lt;&gt;"", 'Cost Inputs'!$G$78&lt;&gt;""), 'Cost Inputs'!$G$78, "")</f>
        <v/>
      </c>
      <c r="E159" s="17" t="str">
        <f>IF(AND(C159&lt;&gt;"", 'Cost Inputs'!$H$78&lt;&gt;""), 'Cost Inputs'!$H$78, "")</f>
        <v/>
      </c>
      <c r="F159" s="17" t="str">
        <f>IF(AND(C159&lt;&gt;"", 'Cost Inputs'!$I$78&lt;&gt;""), 'Cost Inputs'!$I$78, "")</f>
        <v/>
      </c>
      <c r="G159" s="17" t="str">
        <f t="shared" si="8"/>
        <v/>
      </c>
      <c r="H159" s="17" t="str">
        <f>IF(AND(C159&lt;&gt;"", 'Cost Inputs'!$J$78&lt;&gt;""), 'Cost Inputs'!$J$78, "")</f>
        <v/>
      </c>
      <c r="I159" s="17" t="str">
        <f t="shared" si="7"/>
        <v/>
      </c>
      <c r="J159" s="17" t="str">
        <f>IF(AND(C159&lt;&gt;"",('Cost Inputs'!$I$78+'Cost Inputs'!$J$78+'Cost Inputs'!$K$78)&gt;0), 'Cost Inputs'!$I$78+'Cost Inputs'!$J$78+'Cost Inputs'!$K$78, "")</f>
        <v/>
      </c>
      <c r="K159" s="17" t="str">
        <f>IF(AND(C159&lt;&gt;"", 'Cost Inputs'!$N$78&gt;0),'Cost Inputs'!$N$78,"")</f>
        <v/>
      </c>
      <c r="M159" s="106"/>
      <c r="U159" s="104" t="str">
        <f>IF(ISNUMBER('Model_ of_individuals'!U163), 'Model_ of_individuals'!U163*'Model_ of_individuals'!$K163,"")</f>
        <v/>
      </c>
      <c r="V159" s="17" t="str">
        <f>IF(ISNUMBER('Model_ of_individuals'!V163), 'Model_ of_individuals'!V163*'Model_ of_individuals'!$K163,"")</f>
        <v/>
      </c>
      <c r="W159" s="17" t="str">
        <f>IF(ISNUMBER('Model_ of_individuals'!W163), 'Model_ of_individuals'!W163*'Model_ of_individuals'!$K163,"")</f>
        <v/>
      </c>
      <c r="X159" s="17" t="str">
        <f>IF(ISNUMBER('Model_ of_individuals'!X163), 'Model_ of_individuals'!X163*'Model_ of_individuals'!$K163,"")</f>
        <v/>
      </c>
      <c r="Y159" s="17" t="str">
        <f>IF(ISNUMBER('Model_ of_individuals'!Y163), 'Model_ of_individuals'!Y163*'Model_ of_individuals'!$K163,"")</f>
        <v/>
      </c>
      <c r="Z159" s="17" t="str">
        <f>IF(ISNUMBER('Model_ of_individuals'!Z163), 'Model_ of_individuals'!Z163*'Model_ of_individuals'!$K163,"")</f>
        <v/>
      </c>
      <c r="AA159" s="17" t="str">
        <f>IF(ISNUMBER('Model_ of_individuals'!AA163), 'Model_ of_individuals'!AA163*'Model_ of_individuals'!$K163,"")</f>
        <v/>
      </c>
      <c r="AB159" s="17" t="str">
        <f>IF(ISNUMBER('Model_ of_individuals'!AB163), 'Model_ of_individuals'!AB163*'Model_ of_individuals'!$K163,"")</f>
        <v/>
      </c>
      <c r="AC159" s="17" t="str">
        <f>IF(ISNUMBER('Model_ of_individuals'!AC163), 'Model_ of_individuals'!AC163*'Model_ of_individuals'!$K163,"")</f>
        <v/>
      </c>
      <c r="AD159" s="106" t="str">
        <f>IF(ISNUMBER('Model_ of_individuals'!AD163), 'Model_ of_individuals'!AD163*'Model_ of_individuals'!$K163,"")</f>
        <v/>
      </c>
    </row>
    <row r="160" spans="1:30" x14ac:dyDescent="0.25">
      <c r="A160" s="518"/>
      <c r="B160" s="504"/>
      <c r="C160" s="107" t="str">
        <f>IF(AND(ISNUMBER(B148), OR('Cost Inputs'!$H$79&lt;&gt;"", 'Cost Inputs'!$I$79&lt;&gt;"", 'Cost Inputs'!$J$79&lt;&gt;"")), _3_4_2, "")</f>
        <v/>
      </c>
      <c r="D160" s="93" t="str">
        <f>IF(AND(C160&lt;&gt;"", 'Cost Inputs'!$G$79&lt;&gt;""), 'Cost Inputs'!$G$79, "")</f>
        <v/>
      </c>
      <c r="E160" s="93" t="str">
        <f>IF(AND(C160&lt;&gt;"", 'Cost Inputs'!$H$79&lt;&gt;""), 'Cost Inputs'!$H$79, "")</f>
        <v/>
      </c>
      <c r="F160" s="93" t="str">
        <f>IF(AND(C160&lt;&gt;"", 'Cost Inputs'!$I$79&lt;&gt;""), 'Cost Inputs'!$I$79, "")</f>
        <v/>
      </c>
      <c r="G160" s="93" t="str">
        <f t="shared" si="8"/>
        <v/>
      </c>
      <c r="H160" s="93" t="str">
        <f>IF(AND(C160&lt;&gt;"", 'Cost Inputs'!$J$79&lt;&gt;""), 'Cost Inputs'!$J$79, "")</f>
        <v/>
      </c>
      <c r="I160" s="93" t="str">
        <f t="shared" si="7"/>
        <v/>
      </c>
      <c r="J160" s="93" t="str">
        <f>IF(AND(C160&lt;&gt;"",('Cost Inputs'!$I$79+'Cost Inputs'!$J$79+'Cost Inputs'!$K$79)&gt;0), 'Cost Inputs'!$I$79+'Cost Inputs'!$J$79+'Cost Inputs'!$K$79, "")</f>
        <v/>
      </c>
      <c r="K160" s="93" t="str">
        <f>IF(AND(C160&lt;&gt;"", 'Cost Inputs'!$N$79&gt;0),'Cost Inputs'!$N$79,"")</f>
        <v/>
      </c>
      <c r="L160" s="93"/>
      <c r="M160" s="109"/>
      <c r="U160" s="107" t="str">
        <f>IF(ISNUMBER('Model_ of_individuals'!U164), 'Model_ of_individuals'!U164*'Model_ of_individuals'!$K164,"")</f>
        <v/>
      </c>
      <c r="V160" s="93" t="str">
        <f>IF(ISNUMBER('Model_ of_individuals'!V164), 'Model_ of_individuals'!V164*'Model_ of_individuals'!$K164,"")</f>
        <v/>
      </c>
      <c r="W160" s="93" t="str">
        <f>IF(ISNUMBER('Model_ of_individuals'!W164), 'Model_ of_individuals'!W164*'Model_ of_individuals'!$K164,"")</f>
        <v/>
      </c>
      <c r="X160" s="93" t="str">
        <f>IF(ISNUMBER('Model_ of_individuals'!X164), 'Model_ of_individuals'!X164*'Model_ of_individuals'!$K164,"")</f>
        <v/>
      </c>
      <c r="Y160" s="93" t="str">
        <f>IF(ISNUMBER('Model_ of_individuals'!Y164), 'Model_ of_individuals'!Y164*'Model_ of_individuals'!$K164,"")</f>
        <v/>
      </c>
      <c r="Z160" s="93" t="str">
        <f>IF(ISNUMBER('Model_ of_individuals'!Z164), 'Model_ of_individuals'!Z164*'Model_ of_individuals'!$K164,"")</f>
        <v/>
      </c>
      <c r="AA160" s="93" t="str">
        <f>IF(ISNUMBER('Model_ of_individuals'!AA164), 'Model_ of_individuals'!AA164*'Model_ of_individuals'!$K164,"")</f>
        <v/>
      </c>
      <c r="AB160" s="93" t="str">
        <f>IF(ISNUMBER('Model_ of_individuals'!AB164), 'Model_ of_individuals'!AB164*'Model_ of_individuals'!$K164,"")</f>
        <v/>
      </c>
      <c r="AC160" s="93" t="str">
        <f>IF(ISNUMBER('Model_ of_individuals'!AC164), 'Model_ of_individuals'!AC164*'Model_ of_individuals'!$K164,"")</f>
        <v/>
      </c>
      <c r="AD160" s="109" t="str">
        <f>IF(ISNUMBER('Model_ of_individuals'!AD164), 'Model_ of_individuals'!AD164*'Model_ of_individuals'!$K164,"")</f>
        <v/>
      </c>
    </row>
    <row r="161" spans="1:31" x14ac:dyDescent="0.25">
      <c r="A161" s="518"/>
      <c r="B161" s="504"/>
      <c r="C161" s="104" t="str">
        <f>IF(AND(ISNUMBER(B148), OR('Cost Inputs'!$H$80&lt;&gt;"", 'Cost Inputs'!$I$80&lt;&gt;"", 'Cost Inputs'!$J$80&lt;&gt;"")),_3_4_3, "")</f>
        <v/>
      </c>
      <c r="D161" s="17" t="str">
        <f>IF(AND(C161&lt;&gt;"", 'Cost Inputs'!$G$80&lt;&gt;""), 'Cost Inputs'!$G$80, "")</f>
        <v/>
      </c>
      <c r="E161" s="17" t="str">
        <f>IF(AND(C161&lt;&gt;"", 'Cost Inputs'!$H$80&lt;&gt;""), 'Cost Inputs'!$H$80, "")</f>
        <v/>
      </c>
      <c r="F161" s="17" t="str">
        <f>IF(AND(C161&lt;&gt;"", 'Cost Inputs'!$I$80&lt;&gt;""), 'Cost Inputs'!$I$80, "")</f>
        <v/>
      </c>
      <c r="G161" s="17" t="str">
        <f t="shared" si="8"/>
        <v/>
      </c>
      <c r="H161" s="17" t="str">
        <f>IF(AND(C161&lt;&gt;"", 'Cost Inputs'!$J$80&lt;&gt;""), 'Cost Inputs'!$J$80, "")</f>
        <v/>
      </c>
      <c r="I161" s="17" t="str">
        <f t="shared" si="7"/>
        <v/>
      </c>
      <c r="J161" s="17" t="str">
        <f>IF(AND(C161&lt;&gt;"",('Cost Inputs'!$I$80+'Cost Inputs'!$J$80+'Cost Inputs'!$K$80)&gt;0), 'Cost Inputs'!$I$80+'Cost Inputs'!$J$80+'Cost Inputs'!$K$80, "")</f>
        <v/>
      </c>
      <c r="K161" s="17" t="str">
        <f>IF(AND(C161&lt;&gt;"", 'Cost Inputs'!$N$80&gt;0),'Cost Inputs'!$N$80,"")</f>
        <v/>
      </c>
      <c r="M161" s="106"/>
      <c r="U161" s="104" t="str">
        <f>IF(ISNUMBER('Model_ of_individuals'!U165), 'Model_ of_individuals'!U165*'Model_ of_individuals'!$K165,"")</f>
        <v/>
      </c>
      <c r="V161" s="17" t="str">
        <f>IF(ISNUMBER('Model_ of_individuals'!V165), 'Model_ of_individuals'!V165*'Model_ of_individuals'!$K165,"")</f>
        <v/>
      </c>
      <c r="W161" s="17" t="str">
        <f>IF(ISNUMBER('Model_ of_individuals'!W165), 'Model_ of_individuals'!W165*'Model_ of_individuals'!$K165,"")</f>
        <v/>
      </c>
      <c r="X161" s="17" t="str">
        <f>IF(ISNUMBER('Model_ of_individuals'!X165), 'Model_ of_individuals'!X165*'Model_ of_individuals'!$K165,"")</f>
        <v/>
      </c>
      <c r="Y161" s="17" t="str">
        <f>IF(ISNUMBER('Model_ of_individuals'!Y165), 'Model_ of_individuals'!Y165*'Model_ of_individuals'!$K165,"")</f>
        <v/>
      </c>
      <c r="Z161" s="17" t="str">
        <f>IF(ISNUMBER('Model_ of_individuals'!Z165), 'Model_ of_individuals'!Z165*'Model_ of_individuals'!$K165,"")</f>
        <v/>
      </c>
      <c r="AA161" s="17" t="str">
        <f>IF(ISNUMBER('Model_ of_individuals'!AA165), 'Model_ of_individuals'!AA165*'Model_ of_individuals'!$K165,"")</f>
        <v/>
      </c>
      <c r="AB161" s="17" t="str">
        <f>IF(ISNUMBER('Model_ of_individuals'!AB165), 'Model_ of_individuals'!AB165*'Model_ of_individuals'!$K165,"")</f>
        <v/>
      </c>
      <c r="AC161" s="17" t="str">
        <f>IF(ISNUMBER('Model_ of_individuals'!AC165), 'Model_ of_individuals'!AC165*'Model_ of_individuals'!$K165,"")</f>
        <v/>
      </c>
      <c r="AD161" s="106" t="str">
        <f>IF(ISNUMBER('Model_ of_individuals'!AD165), 'Model_ of_individuals'!AD165*'Model_ of_individuals'!$K165,"")</f>
        <v/>
      </c>
    </row>
    <row r="162" spans="1:31" x14ac:dyDescent="0.25">
      <c r="A162" s="518"/>
      <c r="B162" s="504"/>
      <c r="C162" s="107" t="str">
        <f>IF(AND(ISNUMBER(B148), OR('Cost Inputs'!$H$81&lt;&gt;"", 'Cost Inputs'!$I$81&lt;&gt;"", 'Cost Inputs'!$J$81&lt;&gt;"")), _3_4_4, "")</f>
        <v/>
      </c>
      <c r="D162" s="93" t="str">
        <f>IF(AND(C162&lt;&gt;"", 'Cost Inputs'!$G$81&lt;&gt;""), 'Cost Inputs'!$G$81, "")</f>
        <v/>
      </c>
      <c r="E162" s="93" t="str">
        <f>IF(AND(C162&lt;&gt;"", 'Cost Inputs'!$H$81&lt;&gt;""), 'Cost Inputs'!$H$81, "")</f>
        <v/>
      </c>
      <c r="F162" s="93" t="str">
        <f>IF(AND(C162&lt;&gt;"", 'Cost Inputs'!$I$81&lt;&gt;""), 'Cost Inputs'!$I$81, "")</f>
        <v/>
      </c>
      <c r="G162" s="93" t="str">
        <f t="shared" si="8"/>
        <v/>
      </c>
      <c r="H162" s="93" t="str">
        <f>IF(AND(C162&lt;&gt;"", 'Cost Inputs'!$J$81&lt;&gt;""), 'Cost Inputs'!$J$81, "")</f>
        <v/>
      </c>
      <c r="I162" s="93" t="str">
        <f t="shared" si="7"/>
        <v/>
      </c>
      <c r="J162" s="93" t="str">
        <f>IF(AND(C162&lt;&gt;"",('Cost Inputs'!$I$81+'Cost Inputs'!$J$81+'Cost Inputs'!$K$81)&gt;0), 'Cost Inputs'!$I$81+'Cost Inputs'!$J$81+'Cost Inputs'!$K$81, "")</f>
        <v/>
      </c>
      <c r="K162" s="93" t="str">
        <f>IF(AND(C162&lt;&gt;"", 'Cost Inputs'!$N$81&gt;0),'Cost Inputs'!$N$81,"")</f>
        <v/>
      </c>
      <c r="L162" s="93"/>
      <c r="M162" s="109"/>
      <c r="U162" s="107" t="str">
        <f>IF(ISNUMBER('Model_ of_individuals'!U166), 'Model_ of_individuals'!U166*'Model_ of_individuals'!$K166,"")</f>
        <v/>
      </c>
      <c r="V162" s="93" t="str">
        <f>IF(ISNUMBER('Model_ of_individuals'!V166), 'Model_ of_individuals'!V166*'Model_ of_individuals'!$K166,"")</f>
        <v/>
      </c>
      <c r="W162" s="93" t="str">
        <f>IF(ISNUMBER('Model_ of_individuals'!W166), 'Model_ of_individuals'!W166*'Model_ of_individuals'!$K166,"")</f>
        <v/>
      </c>
      <c r="X162" s="93" t="str">
        <f>IF(ISNUMBER('Model_ of_individuals'!X166), 'Model_ of_individuals'!X166*'Model_ of_individuals'!$K166,"")</f>
        <v/>
      </c>
      <c r="Y162" s="93" t="str">
        <f>IF(ISNUMBER('Model_ of_individuals'!Y166), 'Model_ of_individuals'!Y166*'Model_ of_individuals'!$K166,"")</f>
        <v/>
      </c>
      <c r="Z162" s="93" t="str">
        <f>IF(ISNUMBER('Model_ of_individuals'!Z166), 'Model_ of_individuals'!Z166*'Model_ of_individuals'!$K166,"")</f>
        <v/>
      </c>
      <c r="AA162" s="93" t="str">
        <f>IF(ISNUMBER('Model_ of_individuals'!AA166), 'Model_ of_individuals'!AA166*'Model_ of_individuals'!$K166,"")</f>
        <v/>
      </c>
      <c r="AB162" s="93" t="str">
        <f>IF(ISNUMBER('Model_ of_individuals'!AB166), 'Model_ of_individuals'!AB166*'Model_ of_individuals'!$K166,"")</f>
        <v/>
      </c>
      <c r="AC162" s="93" t="str">
        <f>IF(ISNUMBER('Model_ of_individuals'!AC166), 'Model_ of_individuals'!AC166*'Model_ of_individuals'!$K166,"")</f>
        <v/>
      </c>
      <c r="AD162" s="109" t="str">
        <f>IF(ISNUMBER('Model_ of_individuals'!AD166), 'Model_ of_individuals'!AD166*'Model_ of_individuals'!$K166,"")</f>
        <v/>
      </c>
    </row>
    <row r="163" spans="1:31" x14ac:dyDescent="0.25">
      <c r="A163" s="518"/>
      <c r="B163" s="504"/>
      <c r="C163" s="104" t="str">
        <f>IF(AND(ISNUMBER(B148), OR('Cost Inputs'!$H$82&lt;&gt;"", 'Cost Inputs'!$I$82&lt;&gt;"", 'Cost Inputs'!$J$82&lt;&gt;"")),_3_4_5, "")</f>
        <v/>
      </c>
      <c r="D163" s="17" t="str">
        <f>IF(AND(C163&lt;&gt;"", 'Cost Inputs'!$G$82&lt;&gt;""), 'Cost Inputs'!$G$82, "")</f>
        <v/>
      </c>
      <c r="E163" s="17" t="str">
        <f>IF(AND(C163&lt;&gt;"", 'Cost Inputs'!$H$82&lt;&gt;""), 'Cost Inputs'!$H$82, "")</f>
        <v/>
      </c>
      <c r="F163" s="17" t="str">
        <f>IF(AND(C163&lt;&gt;"", 'Cost Inputs'!$I$82&lt;&gt;""), 'Cost Inputs'!$I$82, "")</f>
        <v/>
      </c>
      <c r="G163" s="17" t="str">
        <f t="shared" si="8"/>
        <v/>
      </c>
      <c r="H163" s="17" t="str">
        <f>IF(AND(C163&lt;&gt;"", 'Cost Inputs'!$J$82&lt;&gt;""), 'Cost Inputs'!$J$82, "")</f>
        <v/>
      </c>
      <c r="I163" s="17" t="str">
        <f t="shared" si="7"/>
        <v/>
      </c>
      <c r="J163" s="17" t="str">
        <f>IF(AND(C163&lt;&gt;"",('Cost Inputs'!$I$82+'Cost Inputs'!$J$82+'Cost Inputs'!$K$82)&gt;0), 'Cost Inputs'!$I$82+'Cost Inputs'!$J$82+'Cost Inputs'!$K$82, "")</f>
        <v/>
      </c>
      <c r="K163" s="17" t="str">
        <f>IF(AND(C163&lt;&gt;"", 'Cost Inputs'!$N$82&gt;0),'Cost Inputs'!$N$82,"")</f>
        <v/>
      </c>
      <c r="M163" s="106"/>
      <c r="U163" s="104" t="str">
        <f>IF(ISNUMBER('Model_ of_individuals'!U167), 'Model_ of_individuals'!U167*'Model_ of_individuals'!$K167,"")</f>
        <v/>
      </c>
      <c r="V163" s="17" t="str">
        <f>IF(ISNUMBER('Model_ of_individuals'!V167), 'Model_ of_individuals'!V167*'Model_ of_individuals'!$K167,"")</f>
        <v/>
      </c>
      <c r="W163" s="17" t="str">
        <f>IF(ISNUMBER('Model_ of_individuals'!W167), 'Model_ of_individuals'!W167*'Model_ of_individuals'!$K167,"")</f>
        <v/>
      </c>
      <c r="X163" s="17" t="str">
        <f>IF(ISNUMBER('Model_ of_individuals'!X167), 'Model_ of_individuals'!X167*'Model_ of_individuals'!$K167,"")</f>
        <v/>
      </c>
      <c r="Y163" s="17" t="str">
        <f>IF(ISNUMBER('Model_ of_individuals'!Y167), 'Model_ of_individuals'!Y167*'Model_ of_individuals'!$K167,"")</f>
        <v/>
      </c>
      <c r="Z163" s="17" t="str">
        <f>IF(ISNUMBER('Model_ of_individuals'!Z167), 'Model_ of_individuals'!Z167*'Model_ of_individuals'!$K167,"")</f>
        <v/>
      </c>
      <c r="AA163" s="17" t="str">
        <f>IF(ISNUMBER('Model_ of_individuals'!AA167), 'Model_ of_individuals'!AA167*'Model_ of_individuals'!$K167,"")</f>
        <v/>
      </c>
      <c r="AB163" s="17" t="str">
        <f>IF(ISNUMBER('Model_ of_individuals'!AB167), 'Model_ of_individuals'!AB167*'Model_ of_individuals'!$K167,"")</f>
        <v/>
      </c>
      <c r="AC163" s="17" t="str">
        <f>IF(ISNUMBER('Model_ of_individuals'!AC167), 'Model_ of_individuals'!AC167*'Model_ of_individuals'!$K167,"")</f>
        <v/>
      </c>
      <c r="AD163" s="106" t="str">
        <f>IF(ISNUMBER('Model_ of_individuals'!AD167), 'Model_ of_individuals'!AD167*'Model_ of_individuals'!$K167,"")</f>
        <v/>
      </c>
    </row>
    <row r="164" spans="1:31" x14ac:dyDescent="0.25">
      <c r="A164" s="518"/>
      <c r="B164" s="504"/>
      <c r="C164" s="107" t="str">
        <f>IF(AND(ISNUMBER(B148), OR('Cost Inputs'!$H$83&lt;&gt;"", 'Cost Inputs'!$I$83&lt;&gt;"", 'Cost Inputs'!$J$83&lt;&gt;"")),_3_4_6, "")</f>
        <v/>
      </c>
      <c r="D164" s="93" t="str">
        <f>IF(AND(C164&lt;&gt;"", 'Cost Inputs'!$G$83&lt;&gt;""), 'Cost Inputs'!$G$83, "")</f>
        <v/>
      </c>
      <c r="E164" s="93" t="str">
        <f>IF(AND(C164&lt;&gt;"", 'Cost Inputs'!$H$83&lt;&gt;""), 'Cost Inputs'!$H$83, "")</f>
        <v/>
      </c>
      <c r="F164" s="93" t="str">
        <f>IF(AND(C164&lt;&gt;"", 'Cost Inputs'!$I$83&lt;&gt;""), 'Cost Inputs'!$I$83, "")</f>
        <v/>
      </c>
      <c r="G164" s="93" t="str">
        <f t="shared" si="8"/>
        <v/>
      </c>
      <c r="H164" s="93" t="str">
        <f>IF(AND(C164&lt;&gt;"", 'Cost Inputs'!$J$83&lt;&gt;""), 'Cost Inputs'!$J$83, "")</f>
        <v/>
      </c>
      <c r="I164" s="93" t="str">
        <f t="shared" si="7"/>
        <v/>
      </c>
      <c r="J164" s="93" t="str">
        <f>IF(AND(C164&lt;&gt;"",('Cost Inputs'!$I$83+'Cost Inputs'!$J$83+'Cost Inputs'!$K$83)&gt;0), 'Cost Inputs'!$I$83+'Cost Inputs'!$J$83+'Cost Inputs'!$K$83, "")</f>
        <v/>
      </c>
      <c r="K164" s="93" t="str">
        <f>IF(AND(C164&lt;&gt;"", 'Cost Inputs'!$N$83&gt;0),'Cost Inputs'!$N$83,"")</f>
        <v/>
      </c>
      <c r="L164" s="93"/>
      <c r="M164" s="109"/>
      <c r="U164" s="107" t="str">
        <f>IF(ISNUMBER('Model_ of_individuals'!U168), 'Model_ of_individuals'!U168*'Model_ of_individuals'!$K168,"")</f>
        <v/>
      </c>
      <c r="V164" s="93" t="str">
        <f>IF(ISNUMBER('Model_ of_individuals'!V168), 'Model_ of_individuals'!V168*'Model_ of_individuals'!$K168,"")</f>
        <v/>
      </c>
      <c r="W164" s="93" t="str">
        <f>IF(ISNUMBER('Model_ of_individuals'!W168), 'Model_ of_individuals'!W168*'Model_ of_individuals'!$K168,"")</f>
        <v/>
      </c>
      <c r="X164" s="93" t="str">
        <f>IF(ISNUMBER('Model_ of_individuals'!X168), 'Model_ of_individuals'!X168*'Model_ of_individuals'!$K168,"")</f>
        <v/>
      </c>
      <c r="Y164" s="93" t="str">
        <f>IF(ISNUMBER('Model_ of_individuals'!Y168), 'Model_ of_individuals'!Y168*'Model_ of_individuals'!$K168,"")</f>
        <v/>
      </c>
      <c r="Z164" s="93" t="str">
        <f>IF(ISNUMBER('Model_ of_individuals'!Z168), 'Model_ of_individuals'!Z168*'Model_ of_individuals'!$K168,"")</f>
        <v/>
      </c>
      <c r="AA164" s="93" t="str">
        <f>IF(ISNUMBER('Model_ of_individuals'!AA168), 'Model_ of_individuals'!AA168*'Model_ of_individuals'!$K168,"")</f>
        <v/>
      </c>
      <c r="AB164" s="93" t="str">
        <f>IF(ISNUMBER('Model_ of_individuals'!AB168), 'Model_ of_individuals'!AB168*'Model_ of_individuals'!$K168,"")</f>
        <v/>
      </c>
      <c r="AC164" s="93" t="str">
        <f>IF(ISNUMBER('Model_ of_individuals'!AC168), 'Model_ of_individuals'!AC168*'Model_ of_individuals'!$K168,"")</f>
        <v/>
      </c>
      <c r="AD164" s="109" t="str">
        <f>IF(ISNUMBER('Model_ of_individuals'!AD168), 'Model_ of_individuals'!AD168*'Model_ of_individuals'!$K168,"")</f>
        <v/>
      </c>
    </row>
    <row r="165" spans="1:31" x14ac:dyDescent="0.25">
      <c r="A165" s="518"/>
      <c r="B165" s="504"/>
      <c r="C165" s="110" t="str">
        <f>IF(ISNUMBER(B148), _3_5_0,"")</f>
        <v/>
      </c>
      <c r="D165" s="94" t="str">
        <f>IF(AND(B148&lt;&gt;"", OR('Cost Inputs'!$H$84&lt;&gt;"", 'Cost Inputs'!$I$84&lt;&gt;"", 'Cost Inputs'!$J$84&lt;&gt;"")), 'Cost Inputs'!$G$84,"")</f>
        <v/>
      </c>
      <c r="E165" s="94" t="str">
        <f>IF(AND(C165&lt;&gt;"", 'Cost Inputs'!$H$84&lt;&gt;""), 'Cost Inputs'!$H$84, "")</f>
        <v/>
      </c>
      <c r="F165" s="94" t="str">
        <f>IF(AND(C165&lt;&gt;"", 'Cost Inputs'!$I$84&lt;&gt;""), 'Cost Inputs'!$I$84, "")</f>
        <v/>
      </c>
      <c r="G165" s="94" t="str">
        <f t="shared" si="8"/>
        <v/>
      </c>
      <c r="H165" s="94" t="str">
        <f>IF(AND(C165&lt;&gt;"", 'Cost Inputs'!$J$84&lt;&gt;""), 'Cost Inputs'!$J$84, "")</f>
        <v/>
      </c>
      <c r="I165" s="94" t="str">
        <f>IF(AND($E165&lt;&gt;"", $H165&lt;&gt;""), $H165/$E165, "")</f>
        <v/>
      </c>
      <c r="J165" s="94" t="str">
        <f>IF(AND(C165&lt;&gt;"",('Cost Inputs'!$I$84+'Cost Inputs'!$J$84+'Cost Inputs'!$K$84)&gt;0), 'Cost Inputs'!$I$84+'Cost Inputs'!$J$84+'Cost Inputs'!$K$84, "")</f>
        <v/>
      </c>
      <c r="K165" s="94" t="str">
        <f>IF(AND(C165&lt;&gt;"", 'Cost Inputs'!$N$84&gt;0),'Cost Inputs'!$N$84,"")</f>
        <v/>
      </c>
      <c r="L165" s="94"/>
      <c r="M165" s="129" t="str">
        <f>IF(ISNUMBER(B148), 'Breeding Inputs'!D81+'Breeding Inputs'!E81, "")</f>
        <v/>
      </c>
      <c r="U165" s="110" t="str">
        <f>IF(ISNUMBER('Model_ of_individuals'!U170), 'Model_ of_individuals'!U170*'Model_ of_individuals'!$K170,"")</f>
        <v/>
      </c>
      <c r="V165" s="94" t="str">
        <f>IF(ISNUMBER('Model_ of_individuals'!V170), 'Model_ of_individuals'!V170*'Model_ of_individuals'!$K170,"")</f>
        <v/>
      </c>
      <c r="W165" s="94" t="str">
        <f>IF(ISNUMBER('Model_ of_individuals'!W170), 'Model_ of_individuals'!W170*'Model_ of_individuals'!$K170,"")</f>
        <v/>
      </c>
      <c r="X165" s="94" t="str">
        <f>IF(ISNUMBER('Model_ of_individuals'!X170), 'Model_ of_individuals'!X170*'Model_ of_individuals'!$K170,"")</f>
        <v/>
      </c>
      <c r="Y165" s="94" t="str">
        <f>IF(ISNUMBER('Model_ of_individuals'!Y170), 'Model_ of_individuals'!Y170*'Model_ of_individuals'!$K170,"")</f>
        <v/>
      </c>
      <c r="Z165" s="94" t="str">
        <f>IF(ISNUMBER('Model_ of_individuals'!Z170), 'Model_ of_individuals'!Z170*'Model_ of_individuals'!$K170,"")</f>
        <v/>
      </c>
      <c r="AA165" s="94" t="str">
        <f>IF(ISNUMBER('Model_ of_individuals'!AA170), 'Model_ of_individuals'!AA170*'Model_ of_individuals'!$K170,"")</f>
        <v/>
      </c>
      <c r="AB165" s="94" t="str">
        <f>IF(ISNUMBER('Model_ of_individuals'!AB170), 'Model_ of_individuals'!AB170*'Model_ of_individuals'!$K170,"")</f>
        <v/>
      </c>
      <c r="AC165" s="94" t="str">
        <f>IF(ISNUMBER('Model_ of_individuals'!AC170), 'Model_ of_individuals'!AC170*'Model_ of_individuals'!$K170,"")</f>
        <v/>
      </c>
      <c r="AD165" s="103" t="str">
        <f>IF(ISNUMBER('Model_ of_individuals'!AD170), 'Model_ of_individuals'!AD170*'Model_ of_individuals'!$K170,"")</f>
        <v/>
      </c>
    </row>
    <row r="166" spans="1:31" x14ac:dyDescent="0.25">
      <c r="A166" s="518"/>
      <c r="B166" s="504"/>
      <c r="C166" s="104" t="str">
        <f>IF(AND(ISNUMBER(B148), OR('Cost Inputs'!$H$85&lt;&gt;"", 'Cost Inputs'!$I$85&lt;&gt;"", 'Cost Inputs'!$J$85&lt;&gt;"")), _3_5_1, "")</f>
        <v/>
      </c>
      <c r="D166" s="17" t="str">
        <f>IF(AND(C166&lt;&gt;"", 'Cost Inputs'!$G$85&lt;&gt;""), 'Cost Inputs'!$G$85, "")</f>
        <v/>
      </c>
      <c r="E166" s="17" t="str">
        <f>IF(AND(C166&lt;&gt;"", 'Cost Inputs'!$H$85&lt;&gt;""), 'Cost Inputs'!$H$85, "")</f>
        <v/>
      </c>
      <c r="F166" s="17" t="str">
        <f>IF(AND(C166&lt;&gt;"", 'Cost Inputs'!$I$85&lt;&gt;""), 'Cost Inputs'!$I$85, "")</f>
        <v/>
      </c>
      <c r="G166" s="17" t="str">
        <f t="shared" si="8"/>
        <v/>
      </c>
      <c r="H166" s="17" t="str">
        <f>IF(AND(C166&lt;&gt;"", 'Cost Inputs'!$J$85&lt;&gt;""), 'Cost Inputs'!$J$85, "")</f>
        <v/>
      </c>
      <c r="I166" s="17" t="str">
        <f t="shared" si="7"/>
        <v/>
      </c>
      <c r="J166" s="17" t="str">
        <f>IF(AND(C166&lt;&gt;"",('Cost Inputs'!$I$85+'Cost Inputs'!$J$85+'Cost Inputs'!$K$85)&gt;0), 'Cost Inputs'!$I$85+'Cost Inputs'!$J$85+'Cost Inputs'!$K$85, "")</f>
        <v/>
      </c>
      <c r="K166" s="17" t="str">
        <f>IF(AND(C166&lt;&gt;"", 'Cost Inputs'!$N$85&gt;0),'Cost Inputs'!$N$85,"")</f>
        <v/>
      </c>
      <c r="M166" s="106"/>
      <c r="U166" s="104" t="str">
        <f>IF(ISNUMBER('Model_ of_individuals'!U171), 'Model_ of_individuals'!U171*'Model_ of_individuals'!$K171,"")</f>
        <v/>
      </c>
      <c r="V166" s="17" t="str">
        <f>IF(ISNUMBER('Model_ of_individuals'!V171), 'Model_ of_individuals'!V171*'Model_ of_individuals'!$K171,"")</f>
        <v/>
      </c>
      <c r="W166" s="17" t="str">
        <f>IF(ISNUMBER('Model_ of_individuals'!W171), 'Model_ of_individuals'!W171*'Model_ of_individuals'!$K171,"")</f>
        <v/>
      </c>
      <c r="X166" s="17" t="str">
        <f>IF(ISNUMBER('Model_ of_individuals'!X171), 'Model_ of_individuals'!X171*'Model_ of_individuals'!$K171,"")</f>
        <v/>
      </c>
      <c r="Y166" s="17" t="str">
        <f>IF(ISNUMBER('Model_ of_individuals'!Y171), 'Model_ of_individuals'!Y171*'Model_ of_individuals'!$K171,"")</f>
        <v/>
      </c>
      <c r="Z166" s="17" t="str">
        <f>IF(ISNUMBER('Model_ of_individuals'!Z171), 'Model_ of_individuals'!Z171*'Model_ of_individuals'!$K171,"")</f>
        <v/>
      </c>
      <c r="AA166" s="17" t="str">
        <f>IF(ISNUMBER('Model_ of_individuals'!AA171), 'Model_ of_individuals'!AA171*'Model_ of_individuals'!$K171,"")</f>
        <v/>
      </c>
      <c r="AB166" s="17" t="str">
        <f>IF(ISNUMBER('Model_ of_individuals'!AB171), 'Model_ of_individuals'!AB171*'Model_ of_individuals'!$K171,"")</f>
        <v/>
      </c>
      <c r="AC166" s="17" t="str">
        <f>IF(ISNUMBER('Model_ of_individuals'!AC171), 'Model_ of_individuals'!AC171*'Model_ of_individuals'!$K171,"")</f>
        <v/>
      </c>
      <c r="AD166" s="106" t="str">
        <f>IF(ISNUMBER('Model_ of_individuals'!AD171), 'Model_ of_individuals'!AD171*'Model_ of_individuals'!$K171,"")</f>
        <v/>
      </c>
    </row>
    <row r="167" spans="1:31" ht="15.75" thickBot="1" x14ac:dyDescent="0.3">
      <c r="A167" s="518"/>
      <c r="B167" s="505"/>
      <c r="C167" s="111" t="str">
        <f>IF(AND(ISNUMBER(B148), OR('Cost Inputs'!$H$86&lt;&gt;"", 'Cost Inputs'!$I$86&lt;&gt;"", 'Cost Inputs'!$J$86&lt;&gt;"")), _3_5_2, "")</f>
        <v/>
      </c>
      <c r="D167" s="95" t="str">
        <f>IF(AND(C167&lt;&gt;"", 'Cost Inputs'!$G$86&lt;&gt;""), 'Cost Inputs'!$G$86, "")</f>
        <v/>
      </c>
      <c r="E167" s="95" t="str">
        <f>IF(AND(C167&lt;&gt;"", 'Cost Inputs'!$H$86&lt;&gt;""), 'Cost Inputs'!$H$86, "")</f>
        <v/>
      </c>
      <c r="F167" s="95" t="str">
        <f>IF(AND(C167&lt;&gt;"", 'Cost Inputs'!$I$86&lt;&gt;""), 'Cost Inputs'!$I$86, "")</f>
        <v/>
      </c>
      <c r="G167" s="95" t="str">
        <f t="shared" si="8"/>
        <v/>
      </c>
      <c r="H167" s="95" t="str">
        <f>IF(AND(C167&lt;&gt;"", 'Cost Inputs'!$J$86&lt;&gt;""), 'Cost Inputs'!$J$86, "")</f>
        <v/>
      </c>
      <c r="I167" s="95" t="str">
        <f t="shared" si="7"/>
        <v/>
      </c>
      <c r="J167" s="95" t="str">
        <f>IF(AND(C167&lt;&gt;"",('Cost Inputs'!$I$86+'Cost Inputs'!$J$86+'Cost Inputs'!$K$86)&gt;0), 'Cost Inputs'!$I$86+'Cost Inputs'!$J$86+'Cost Inputs'!$K$86, "")</f>
        <v/>
      </c>
      <c r="K167" s="95" t="str">
        <f>IF(AND(C167&lt;&gt;"", 'Cost Inputs'!$N$86&gt;0),'Cost Inputs'!$N$86,"")</f>
        <v/>
      </c>
      <c r="L167" s="95"/>
      <c r="M167" s="113"/>
      <c r="U167" s="111" t="str">
        <f>IF(ISNUMBER('Model_ of_individuals'!U172), 'Model_ of_individuals'!U172*'Model_ of_individuals'!$K172,"")</f>
        <v/>
      </c>
      <c r="V167" s="95" t="str">
        <f>IF(ISNUMBER('Model_ of_individuals'!V172), 'Model_ of_individuals'!V172*'Model_ of_individuals'!$K172,"")</f>
        <v/>
      </c>
      <c r="W167" s="95" t="str">
        <f>IF(ISNUMBER('Model_ of_individuals'!W172), 'Model_ of_individuals'!W172*'Model_ of_individuals'!$K172,"")</f>
        <v/>
      </c>
      <c r="X167" s="95" t="str">
        <f>IF(ISNUMBER('Model_ of_individuals'!X172), 'Model_ of_individuals'!X172*'Model_ of_individuals'!$K172,"")</f>
        <v/>
      </c>
      <c r="Y167" s="95" t="str">
        <f>IF(ISNUMBER('Model_ of_individuals'!Y172), 'Model_ of_individuals'!Y172*'Model_ of_individuals'!$K172,"")</f>
        <v/>
      </c>
      <c r="Z167" s="95" t="str">
        <f>IF(ISNUMBER('Model_ of_individuals'!Z172), 'Model_ of_individuals'!Z172*'Model_ of_individuals'!$K172,"")</f>
        <v/>
      </c>
      <c r="AA167" s="95" t="str">
        <f>IF(ISNUMBER('Model_ of_individuals'!AA172), 'Model_ of_individuals'!AA172*'Model_ of_individuals'!$K172,"")</f>
        <v/>
      </c>
      <c r="AB167" s="95" t="str">
        <f>IF(ISNUMBER('Model_ of_individuals'!AB172), 'Model_ of_individuals'!AB172*'Model_ of_individuals'!$K172,"")</f>
        <v/>
      </c>
      <c r="AC167" s="95" t="str">
        <f>IF(ISNUMBER('Model_ of_individuals'!AC172), 'Model_ of_individuals'!AC172*'Model_ of_individuals'!$K172,"")</f>
        <v/>
      </c>
      <c r="AD167" s="113" t="str">
        <f>IF(ISNUMBER('Model_ of_individuals'!AD172), 'Model_ of_individuals'!AD172*'Model_ of_individuals'!$K172,"")</f>
        <v/>
      </c>
    </row>
    <row r="168" spans="1:31" ht="14.45" customHeight="1" x14ac:dyDescent="0.25">
      <c r="A168" s="518" t="str">
        <f>Third_Stage</f>
        <v>Stage 1 Seedling Test Plots</v>
      </c>
      <c r="B168" s="503" t="str">
        <f>'Breeding Inputs'!B82</f>
        <v/>
      </c>
      <c r="C168" s="116" t="str">
        <f>IF(ISNUMBER(B168), _3_2_0, "")</f>
        <v/>
      </c>
      <c r="D168" s="92" t="str">
        <f>IF(AND(B168&lt;&gt;"", OR('Cost Inputs'!$H$67&lt;&gt;"", 'Cost Inputs'!$I$67&lt;&gt;"", 'Cost Inputs'!$J$67&lt;&gt;"")), 'Cost Inputs'!$G$67,"")</f>
        <v/>
      </c>
      <c r="E168" s="92" t="str">
        <f>IF(AND(C168&lt;&gt;"", 'Cost Inputs'!$H$67&lt;&gt;"", M$165&lt;&gt;"", M$165&gt;0), $E148-('Cost Inputs'!$H$67*M$165), IF(AND(C168&lt;&gt;"", 'Cost Inputs'!$H$67&lt;&gt;""), $E148, ""))</f>
        <v/>
      </c>
      <c r="F168" s="92" t="str">
        <f>IF(AND(C168&lt;&gt;"", 'Cost Inputs'!$I$67&lt;&gt;""), 'Cost Inputs'!$I$67, "")</f>
        <v/>
      </c>
      <c r="G168" s="92" t="str">
        <f t="shared" si="8"/>
        <v/>
      </c>
      <c r="H168" s="92" t="str">
        <f>IF(AND(C168&lt;&gt;"", 'Cost Inputs'!$J$67&lt;&gt;""), 'Cost Inputs'!$J$67, "")</f>
        <v/>
      </c>
      <c r="I168" s="92" t="str">
        <f>IF(AND($E168&lt;&gt;"", $H168&lt;&gt;""), $H168/$E168, "")</f>
        <v/>
      </c>
      <c r="J168" s="92" t="str">
        <f>IF(AND(C168&lt;&gt;"",('Cost Inputs'!$I$67+'Cost Inputs'!$J$67+'Cost Inputs'!$K$67)&gt;0), 'Cost Inputs'!$I$67+'Cost Inputs'!$J$67+'Cost Inputs'!$K$67, "")</f>
        <v/>
      </c>
      <c r="K168" s="92" t="str">
        <f>IF(AND(C168&lt;&gt;"", 'Cost Inputs'!$N$67&gt;0),'Cost Inputs'!$N$67,"")</f>
        <v/>
      </c>
      <c r="L168" s="92"/>
      <c r="M168" s="101"/>
      <c r="V168" s="110" t="str">
        <f>IF(ISNUMBER('Model_ of_individuals'!V173), 'Model_ of_individuals'!V173*'Model_ of_individuals'!$K173,"")</f>
        <v/>
      </c>
      <c r="W168" s="94" t="str">
        <f>IF(ISNUMBER('Model_ of_individuals'!W173), 'Model_ of_individuals'!W173*'Model_ of_individuals'!$K173,"")</f>
        <v/>
      </c>
      <c r="X168" s="94" t="str">
        <f>IF(ISNUMBER('Model_ of_individuals'!X173), 'Model_ of_individuals'!X173*'Model_ of_individuals'!$K173,"")</f>
        <v/>
      </c>
      <c r="Y168" s="94" t="str">
        <f>IF(ISNUMBER('Model_ of_individuals'!Y173), 'Model_ of_individuals'!Y173*'Model_ of_individuals'!$K173,"")</f>
        <v/>
      </c>
      <c r="Z168" s="94" t="str">
        <f>IF(ISNUMBER('Model_ of_individuals'!Z173), 'Model_ of_individuals'!Z173*'Model_ of_individuals'!$K173,"")</f>
        <v/>
      </c>
      <c r="AA168" s="94" t="str">
        <f>IF(ISNUMBER('Model_ of_individuals'!AA173), 'Model_ of_individuals'!AA173*'Model_ of_individuals'!$K173,"")</f>
        <v/>
      </c>
      <c r="AB168" s="94" t="str">
        <f>IF(ISNUMBER('Model_ of_individuals'!AB173), 'Model_ of_individuals'!AB173*'Model_ of_individuals'!$K173,"")</f>
        <v/>
      </c>
      <c r="AC168" s="94" t="str">
        <f>IF(ISNUMBER('Model_ of_individuals'!AC173), 'Model_ of_individuals'!AC173*'Model_ of_individuals'!$K173,"")</f>
        <v/>
      </c>
      <c r="AD168" s="94" t="str">
        <f>IF(ISNUMBER('Model_ of_individuals'!AD173), 'Model_ of_individuals'!AD173*'Model_ of_individuals'!$K173,"")</f>
        <v/>
      </c>
      <c r="AE168" s="103" t="str">
        <f>IF(ISNUMBER('Model_ of_individuals'!AE173), 'Model_ of_individuals'!AE173*'Model_ of_individuals'!$K173,"")</f>
        <v/>
      </c>
    </row>
    <row r="169" spans="1:31" x14ac:dyDescent="0.25">
      <c r="A169" s="518"/>
      <c r="B169" s="504"/>
      <c r="C169" s="104" t="str">
        <f>IF(AND(ISNUMBER(B168), OR('Cost Inputs'!$H$68&lt;&gt;"", 'Cost Inputs'!$I$68&lt;&gt;"", 'Cost Inputs'!$J$68&lt;&gt;"")), _3_2_1, "")</f>
        <v/>
      </c>
      <c r="D169" s="17" t="str">
        <f>IF(AND($C169&lt;&gt;"", 'Cost Inputs'!$G$68&lt;&gt;""), 'Cost Inputs'!$G$68, "")</f>
        <v/>
      </c>
      <c r="E169" s="17" t="str">
        <f>IF(AND(C169&lt;&gt;"", 'Cost Inputs'!$H$68&lt;&gt;"", M$165&lt;&gt;"", M$165&gt;0), $E149-('Cost Inputs'!$H$68*M$165), IF(AND(C169&lt;&gt;"", 'Cost Inputs'!$H$68&lt;&gt;""), $E149, ""))</f>
        <v/>
      </c>
      <c r="F169" s="17" t="str">
        <f>IF(AND(C169&lt;&gt;"", 'Cost Inputs'!$I$68&lt;&gt;""), 'Cost Inputs'!$I$68, "")</f>
        <v/>
      </c>
      <c r="G169" s="17" t="str">
        <f t="shared" si="8"/>
        <v/>
      </c>
      <c r="H169" s="17" t="str">
        <f>IF(AND(C169&lt;&gt;"", 'Cost Inputs'!$J$68&lt;&gt;""), 'Cost Inputs'!$J$68, "")</f>
        <v/>
      </c>
      <c r="I169" s="17" t="str">
        <f t="shared" si="7"/>
        <v/>
      </c>
      <c r="J169" s="17" t="str">
        <f>IF(AND(C169&lt;&gt;"",('Cost Inputs'!$I$68+'Cost Inputs'!$J$68+'Cost Inputs'!$K$68)&gt;0), 'Cost Inputs'!$I$68+'Cost Inputs'!$J$68+'Cost Inputs'!$K$68, "")</f>
        <v/>
      </c>
      <c r="K169" s="17" t="str">
        <f>IF(AND(C169&lt;&gt;"", 'Cost Inputs'!$N$68&gt;0),'Cost Inputs'!$N$68,"")</f>
        <v/>
      </c>
      <c r="M169" s="106"/>
      <c r="V169" s="104" t="str">
        <f>IF(ISNUMBER('Model_ of_individuals'!V174), 'Model_ of_individuals'!V174*'Model_ of_individuals'!$K174,"")</f>
        <v/>
      </c>
      <c r="W169" s="17" t="str">
        <f>IF(ISNUMBER('Model_ of_individuals'!W174), 'Model_ of_individuals'!W174*'Model_ of_individuals'!$K174,"")</f>
        <v/>
      </c>
      <c r="X169" s="17" t="str">
        <f>IF(ISNUMBER('Model_ of_individuals'!X174), 'Model_ of_individuals'!X174*'Model_ of_individuals'!$K174,"")</f>
        <v/>
      </c>
      <c r="Y169" s="17" t="str">
        <f>IF(ISNUMBER('Model_ of_individuals'!Y174), 'Model_ of_individuals'!Y174*'Model_ of_individuals'!$K174,"")</f>
        <v/>
      </c>
      <c r="Z169" s="17" t="str">
        <f>IF(ISNUMBER('Model_ of_individuals'!Z174), 'Model_ of_individuals'!Z174*'Model_ of_individuals'!$K174,"")</f>
        <v/>
      </c>
      <c r="AA169" s="17" t="str">
        <f>IF(ISNUMBER('Model_ of_individuals'!AA174), 'Model_ of_individuals'!AA174*'Model_ of_individuals'!$K174,"")</f>
        <v/>
      </c>
      <c r="AB169" s="17" t="str">
        <f>IF(ISNUMBER('Model_ of_individuals'!AB174), 'Model_ of_individuals'!AB174*'Model_ of_individuals'!$K174,"")</f>
        <v/>
      </c>
      <c r="AC169" s="17" t="str">
        <f>IF(ISNUMBER('Model_ of_individuals'!AC174), 'Model_ of_individuals'!AC174*'Model_ of_individuals'!$K174,"")</f>
        <v/>
      </c>
      <c r="AD169" s="17" t="str">
        <f>IF(ISNUMBER('Model_ of_individuals'!AD174), 'Model_ of_individuals'!AD174*'Model_ of_individuals'!$K174,"")</f>
        <v/>
      </c>
      <c r="AE169" s="106" t="str">
        <f>IF(ISNUMBER('Model_ of_individuals'!AE174), 'Model_ of_individuals'!AE174*'Model_ of_individuals'!$K174,"")</f>
        <v/>
      </c>
    </row>
    <row r="170" spans="1:31" x14ac:dyDescent="0.25">
      <c r="A170" s="518"/>
      <c r="B170" s="504"/>
      <c r="C170" s="107" t="str">
        <f>IF(AND(ISNUMBER(B168), OR('Cost Inputs'!$H$69&lt;&gt;"", 'Cost Inputs'!$I$69&lt;&gt;"", 'Cost Inputs'!$J$69&lt;&gt;"")), _3_2_2, "")</f>
        <v/>
      </c>
      <c r="D170" s="93" t="str">
        <f>IF(AND($C170&lt;&gt;"", 'Cost Inputs'!$G$69&lt;&gt;""), 'Cost Inputs'!$G$69, "")</f>
        <v/>
      </c>
      <c r="E170" s="93" t="str">
        <f>IF(AND(C170&lt;&gt;"", 'Cost Inputs'!$H$69&lt;&gt;"", M$165&lt;&gt;"", M$165&gt;0), $E150-('Cost Inputs'!$H$69*M$165), IF(AND(C170&lt;&gt;"", 'Cost Inputs'!$H$69&lt;&gt;""), $E150, ""))</f>
        <v/>
      </c>
      <c r="F170" s="93" t="str">
        <f>IF(AND(C170&lt;&gt;"", 'Cost Inputs'!$I$69&lt;&gt;""), 'Cost Inputs'!$I$69, "")</f>
        <v/>
      </c>
      <c r="G170" s="93" t="str">
        <f t="shared" si="8"/>
        <v/>
      </c>
      <c r="H170" s="93" t="str">
        <f>IF(AND(C170&lt;&gt;"", 'Cost Inputs'!$J$69&lt;&gt;""), 'Cost Inputs'!$J$69, "")</f>
        <v/>
      </c>
      <c r="I170" s="93" t="str">
        <f t="shared" si="7"/>
        <v/>
      </c>
      <c r="J170" s="93" t="str">
        <f>IF(AND(C170&lt;&gt;"",('Cost Inputs'!$I$69+'Cost Inputs'!$J$69+'Cost Inputs'!$K$69)&gt;0), 'Cost Inputs'!$I$69+'Cost Inputs'!$J$69+'Cost Inputs'!$K$69, "")</f>
        <v/>
      </c>
      <c r="K170" s="93" t="str">
        <f>IF(AND(C170&lt;&gt;"", 'Cost Inputs'!$N$69&gt;0),'Cost Inputs'!$N$69,"")</f>
        <v/>
      </c>
      <c r="L170" s="93"/>
      <c r="M170" s="109"/>
      <c r="V170" s="107" t="str">
        <f>IF(ISNUMBER('Model_ of_individuals'!V175), 'Model_ of_individuals'!V175*'Model_ of_individuals'!$K175,"")</f>
        <v/>
      </c>
      <c r="W170" s="93" t="str">
        <f>IF(ISNUMBER('Model_ of_individuals'!W175), 'Model_ of_individuals'!W175*'Model_ of_individuals'!$K175,"")</f>
        <v/>
      </c>
      <c r="X170" s="93" t="str">
        <f>IF(ISNUMBER('Model_ of_individuals'!X175), 'Model_ of_individuals'!X175*'Model_ of_individuals'!$K175,"")</f>
        <v/>
      </c>
      <c r="Y170" s="93" t="str">
        <f>IF(ISNUMBER('Model_ of_individuals'!Y175), 'Model_ of_individuals'!Y175*'Model_ of_individuals'!$K175,"")</f>
        <v/>
      </c>
      <c r="Z170" s="93" t="str">
        <f>IF(ISNUMBER('Model_ of_individuals'!Z175), 'Model_ of_individuals'!Z175*'Model_ of_individuals'!$K175,"")</f>
        <v/>
      </c>
      <c r="AA170" s="93" t="str">
        <f>IF(ISNUMBER('Model_ of_individuals'!AA175), 'Model_ of_individuals'!AA175*'Model_ of_individuals'!$K175,"")</f>
        <v/>
      </c>
      <c r="AB170" s="93" t="str">
        <f>IF(ISNUMBER('Model_ of_individuals'!AB175), 'Model_ of_individuals'!AB175*'Model_ of_individuals'!$K175,"")</f>
        <v/>
      </c>
      <c r="AC170" s="93" t="str">
        <f>IF(ISNUMBER('Model_ of_individuals'!AC175), 'Model_ of_individuals'!AC175*'Model_ of_individuals'!$K175,"")</f>
        <v/>
      </c>
      <c r="AD170" s="93" t="str">
        <f>IF(ISNUMBER('Model_ of_individuals'!AD175), 'Model_ of_individuals'!AD175*'Model_ of_individuals'!$K175,"")</f>
        <v/>
      </c>
      <c r="AE170" s="109" t="str">
        <f>IF(ISNUMBER('Model_ of_individuals'!AE175), 'Model_ of_individuals'!AE175*'Model_ of_individuals'!$K175,"")</f>
        <v/>
      </c>
    </row>
    <row r="171" spans="1:31" x14ac:dyDescent="0.25">
      <c r="A171" s="518"/>
      <c r="B171" s="504"/>
      <c r="C171" s="104" t="str">
        <f>IF(AND( ISNUMBER(B168), OR('Cost Inputs'!$H$70&lt;&gt;"", 'Cost Inputs'!$I$70&lt;&gt;"", 'Cost Inputs'!$J$70&lt;&gt;"")), _3_2_3, "")</f>
        <v/>
      </c>
      <c r="D171" s="17" t="str">
        <f>IF(AND($C171&lt;&gt;"", 'Cost Inputs'!$G$70&lt;&gt;""), 'Cost Inputs'!$G$70, "")</f>
        <v/>
      </c>
      <c r="E171" s="17" t="str">
        <f>IF(AND(C171&lt;&gt;"", 'Cost Inputs'!$H$70&lt;&gt;"", M$165&lt;&gt;"", M$165&gt;0), $E151-('Cost Inputs'!$H$70*M$165), IF(AND(C171&lt;&gt;"", 'Cost Inputs'!$H$70&lt;&gt;""), $E151, ""))</f>
        <v/>
      </c>
      <c r="F171" s="17" t="str">
        <f>IF(AND(C171&lt;&gt;"", 'Cost Inputs'!$I$70&lt;&gt;""), 'Cost Inputs'!$I$70, "")</f>
        <v/>
      </c>
      <c r="G171" s="17" t="str">
        <f t="shared" si="8"/>
        <v/>
      </c>
      <c r="H171" s="17" t="str">
        <f>IF(AND(C171&lt;&gt;"", 'Cost Inputs'!$J$70&lt;&gt;""), 'Cost Inputs'!$J$70, "")</f>
        <v/>
      </c>
      <c r="I171" s="17" t="str">
        <f t="shared" si="7"/>
        <v/>
      </c>
      <c r="J171" s="17" t="str">
        <f>IF(AND(C171&lt;&gt;"",('Cost Inputs'!$I$70+'Cost Inputs'!$J$70+'Cost Inputs'!$K$70)&gt;0), 'Cost Inputs'!$I$70+'Cost Inputs'!$J$70+'Cost Inputs'!$K$70, "")</f>
        <v/>
      </c>
      <c r="K171" s="17" t="str">
        <f>IF(AND(C171&lt;&gt;"", 'Cost Inputs'!$N$70&gt;0),'Cost Inputs'!$N$70,"")</f>
        <v/>
      </c>
      <c r="M171" s="106"/>
      <c r="V171" s="104" t="str">
        <f>IF(ISNUMBER('Model_ of_individuals'!V176), 'Model_ of_individuals'!V176*'Model_ of_individuals'!$K176,"")</f>
        <v/>
      </c>
      <c r="W171" s="17" t="str">
        <f>IF(ISNUMBER('Model_ of_individuals'!W176), 'Model_ of_individuals'!W176*'Model_ of_individuals'!$K176,"")</f>
        <v/>
      </c>
      <c r="X171" s="17" t="str">
        <f>IF(ISNUMBER('Model_ of_individuals'!X176), 'Model_ of_individuals'!X176*'Model_ of_individuals'!$K176,"")</f>
        <v/>
      </c>
      <c r="Y171" s="17" t="str">
        <f>IF(ISNUMBER('Model_ of_individuals'!Y176), 'Model_ of_individuals'!Y176*'Model_ of_individuals'!$K176,"")</f>
        <v/>
      </c>
      <c r="Z171" s="17" t="str">
        <f>IF(ISNUMBER('Model_ of_individuals'!Z176), 'Model_ of_individuals'!Z176*'Model_ of_individuals'!$K176,"")</f>
        <v/>
      </c>
      <c r="AA171" s="17" t="str">
        <f>IF(ISNUMBER('Model_ of_individuals'!AA176), 'Model_ of_individuals'!AA176*'Model_ of_individuals'!$K176,"")</f>
        <v/>
      </c>
      <c r="AB171" s="17" t="str">
        <f>IF(ISNUMBER('Model_ of_individuals'!AB176), 'Model_ of_individuals'!AB176*'Model_ of_individuals'!$K176,"")</f>
        <v/>
      </c>
      <c r="AC171" s="17" t="str">
        <f>IF(ISNUMBER('Model_ of_individuals'!AC176), 'Model_ of_individuals'!AC176*'Model_ of_individuals'!$K176,"")</f>
        <v/>
      </c>
      <c r="AD171" s="17" t="str">
        <f>IF(ISNUMBER('Model_ of_individuals'!AD176), 'Model_ of_individuals'!AD176*'Model_ of_individuals'!$K176,"")</f>
        <v/>
      </c>
      <c r="AE171" s="106" t="str">
        <f>IF(ISNUMBER('Model_ of_individuals'!AE176), 'Model_ of_individuals'!AE176*'Model_ of_individuals'!$K176,"")</f>
        <v/>
      </c>
    </row>
    <row r="172" spans="1:31" x14ac:dyDescent="0.25">
      <c r="A172" s="518"/>
      <c r="B172" s="504"/>
      <c r="C172" s="107" t="str">
        <f>IF(AND( ISNUMBER(B168), OR('Cost Inputs'!$H$71&lt;&gt;"", 'Cost Inputs'!$I$71&lt;&gt;"", 'Cost Inputs'!$J$71&lt;&gt;"")), _3_2_4, "")</f>
        <v/>
      </c>
      <c r="D172" s="93" t="str">
        <f>IF(AND($C172&lt;&gt;"", 'Cost Inputs'!$G$71&lt;&gt;""), 'Cost Inputs'!$G$71, "")</f>
        <v/>
      </c>
      <c r="E172" s="93" t="str">
        <f>IF(AND(C172&lt;&gt;"", 'Cost Inputs'!$H$71&lt;&gt;"", M$165&lt;&gt;"", M$165&gt;0), $E152-('Cost Inputs'!$H$71*M$165), IF(AND(C172&lt;&gt;"", 'Cost Inputs'!$H$71&lt;&gt;""), $E152, ""))</f>
        <v/>
      </c>
      <c r="F172" s="93" t="str">
        <f>IF(AND(C172&lt;&gt;"", 'Cost Inputs'!$I$71&lt;&gt;""), 'Cost Inputs'!$I$71, "")</f>
        <v/>
      </c>
      <c r="G172" s="93" t="str">
        <f t="shared" si="8"/>
        <v/>
      </c>
      <c r="H172" s="93" t="str">
        <f>IF(AND(C172&lt;&gt;"", 'Cost Inputs'!$J$71&lt;&gt;""), 'Cost Inputs'!$J$71, "")</f>
        <v/>
      </c>
      <c r="I172" s="93" t="str">
        <f t="shared" si="7"/>
        <v/>
      </c>
      <c r="J172" s="93" t="str">
        <f>IF(AND(C172&lt;&gt;"",('Cost Inputs'!$I$71+'Cost Inputs'!$J$71+'Cost Inputs'!$K$71)&gt;0), 'Cost Inputs'!$I$71+'Cost Inputs'!$J$71+'Cost Inputs'!$K$71, "")</f>
        <v/>
      </c>
      <c r="K172" s="93" t="str">
        <f>IF(AND(C172&lt;&gt;"", 'Cost Inputs'!$N$71&gt;0),'Cost Inputs'!$N$71,"")</f>
        <v/>
      </c>
      <c r="L172" s="93"/>
      <c r="M172" s="109"/>
      <c r="V172" s="107" t="str">
        <f>IF(ISNUMBER('Model_ of_individuals'!V177), 'Model_ of_individuals'!V177*'Model_ of_individuals'!$K177,"")</f>
        <v/>
      </c>
      <c r="W172" s="93" t="str">
        <f>IF(ISNUMBER('Model_ of_individuals'!W177), 'Model_ of_individuals'!W177*'Model_ of_individuals'!$K177,"")</f>
        <v/>
      </c>
      <c r="X172" s="93" t="str">
        <f>IF(ISNUMBER('Model_ of_individuals'!X177), 'Model_ of_individuals'!X177*'Model_ of_individuals'!$K177,"")</f>
        <v/>
      </c>
      <c r="Y172" s="93" t="str">
        <f>IF(ISNUMBER('Model_ of_individuals'!Y177), 'Model_ of_individuals'!Y177*'Model_ of_individuals'!$K177,"")</f>
        <v/>
      </c>
      <c r="Z172" s="93" t="str">
        <f>IF(ISNUMBER('Model_ of_individuals'!Z177), 'Model_ of_individuals'!Z177*'Model_ of_individuals'!$K177,"")</f>
        <v/>
      </c>
      <c r="AA172" s="93" t="str">
        <f>IF(ISNUMBER('Model_ of_individuals'!AA177), 'Model_ of_individuals'!AA177*'Model_ of_individuals'!$K177,"")</f>
        <v/>
      </c>
      <c r="AB172" s="93" t="str">
        <f>IF(ISNUMBER('Model_ of_individuals'!AB177), 'Model_ of_individuals'!AB177*'Model_ of_individuals'!$K177,"")</f>
        <v/>
      </c>
      <c r="AC172" s="93" t="str">
        <f>IF(ISNUMBER('Model_ of_individuals'!AC177), 'Model_ of_individuals'!AC177*'Model_ of_individuals'!$K177,"")</f>
        <v/>
      </c>
      <c r="AD172" s="93" t="str">
        <f>IF(ISNUMBER('Model_ of_individuals'!AD177), 'Model_ of_individuals'!AD177*'Model_ of_individuals'!$K177,"")</f>
        <v/>
      </c>
      <c r="AE172" s="109" t="str">
        <f>IF(ISNUMBER('Model_ of_individuals'!AE177), 'Model_ of_individuals'!AE177*'Model_ of_individuals'!$K177,"")</f>
        <v/>
      </c>
    </row>
    <row r="173" spans="1:31" x14ac:dyDescent="0.25">
      <c r="A173" s="518"/>
      <c r="B173" s="504"/>
      <c r="C173" s="110" t="str">
        <f>IF(AND(B168&lt;&gt;"", ISNUMBER(Stage1EvaluationBegins)), IF((INDEX(ProgramYearStage1,MATCH(Stage1EvaluationBegins,Years_in_Stage1,0)))=B168, _3_3_0, IF(AND(B168&lt;&gt;"", C153&lt;&gt;""), _3_3_0, IF(AND(B168&lt;&gt;"", OR(Stage1EvaluationBegins=0, Stage1EvaluationBegins="")),"", ""))),"")</f>
        <v/>
      </c>
      <c r="D173" s="94" t="str">
        <f>IF(AND(B168&lt;&gt;"", OR('Cost Inputs'!$H$72&lt;&gt;"", 'Cost Inputs'!$I$72&lt;&gt;"", 'Cost Inputs'!$J$72&lt;&gt;"")), 'Cost Inputs'!$G$72,"")</f>
        <v/>
      </c>
      <c r="E173" s="94" t="str">
        <f>IF(AND(C173&lt;&gt;"", 'Cost Inputs'!$H$72&lt;&gt;""), 'Cost Inputs'!$H$72, "")</f>
        <v/>
      </c>
      <c r="F173" s="94" t="str">
        <f>IF(AND(C173&lt;&gt;"", 'Cost Inputs'!$I$72&lt;&gt;""), 'Cost Inputs'!$I$72, "")</f>
        <v/>
      </c>
      <c r="G173" s="94" t="str">
        <f t="shared" si="8"/>
        <v/>
      </c>
      <c r="H173" s="94" t="str">
        <f>IF(AND(C173&lt;&gt;"", 'Cost Inputs'!$J$72&lt;&gt;""), 'Cost Inputs'!$J$72, "")</f>
        <v/>
      </c>
      <c r="I173" s="94" t="str">
        <f>IF(AND($E173&lt;&gt;"", $H173&lt;&gt;""), $H173/$E173, "")</f>
        <v/>
      </c>
      <c r="J173" s="94" t="str">
        <f>IF(AND(C173&lt;&gt;"",('Cost Inputs'!$I$72+'Cost Inputs'!$J$72+'Cost Inputs'!$K$72)&gt;0), 'Cost Inputs'!$I$72+'Cost Inputs'!$J$72+'Cost Inputs'!$K$72, "")</f>
        <v/>
      </c>
      <c r="K173" s="94" t="str">
        <f>IF(AND(C173&lt;&gt;"", 'Cost Inputs'!$N$72&gt;0),'Cost Inputs'!$N$72,"")</f>
        <v/>
      </c>
      <c r="L173" s="130" t="str">
        <f>IF(AND($B168&lt;&gt;"", ISNUMBER(Stage1EvaluationBegins)), IF((INDEX(ProgramYearStage1,MATCH(Stage1EvaluationBegins,Years_in_Stage1,0)))=$B168, INDEX(Stage1Evaluation,MATCH(Stage1EvaluationBegins,Years_in_Stage1,0)), IF(AND($B168&lt;&gt;"", $C153&lt;&gt;""), INDEX(Stage1Evaluation,MATCH($B168,ProgramYearStage1,0)), IF(AND(B168&lt;&gt;"", OR(Stage1EvaluationBegins=0, Stage1EvaluationBegins="")),"", ""))),"")</f>
        <v/>
      </c>
      <c r="M173" s="103"/>
      <c r="V173" s="110" t="str">
        <f>IF(ISNUMBER('Model_ of_individuals'!V178), 'Model_ of_individuals'!V178*'Model_ of_individuals'!$K178,"")</f>
        <v/>
      </c>
      <c r="W173" s="94" t="str">
        <f>IF(ISNUMBER('Model_ of_individuals'!W178), 'Model_ of_individuals'!W178*'Model_ of_individuals'!$K178,"")</f>
        <v/>
      </c>
      <c r="X173" s="94" t="str">
        <f>IF(ISNUMBER('Model_ of_individuals'!X178), 'Model_ of_individuals'!X178*'Model_ of_individuals'!$K178,"")</f>
        <v/>
      </c>
      <c r="Y173" s="94" t="str">
        <f>IF(ISNUMBER('Model_ of_individuals'!Y178), 'Model_ of_individuals'!Y178*'Model_ of_individuals'!$K178,"")</f>
        <v/>
      </c>
      <c r="Z173" s="94" t="str">
        <f>IF(ISNUMBER('Model_ of_individuals'!Z178), 'Model_ of_individuals'!Z178*'Model_ of_individuals'!$K178,"")</f>
        <v/>
      </c>
      <c r="AA173" s="94" t="str">
        <f>IF(ISNUMBER('Model_ of_individuals'!AA178), 'Model_ of_individuals'!AA178*'Model_ of_individuals'!$K178,"")</f>
        <v/>
      </c>
      <c r="AB173" s="94" t="str">
        <f>IF(ISNUMBER('Model_ of_individuals'!AB178), 'Model_ of_individuals'!AB178*'Model_ of_individuals'!$K178,"")</f>
        <v/>
      </c>
      <c r="AC173" s="94" t="str">
        <f>IF(ISNUMBER('Model_ of_individuals'!AC178), 'Model_ of_individuals'!AC178*'Model_ of_individuals'!$K178,"")</f>
        <v/>
      </c>
      <c r="AD173" s="94" t="str">
        <f>IF(ISNUMBER('Model_ of_individuals'!AD178), 'Model_ of_individuals'!AD178*'Model_ of_individuals'!$K178,"")</f>
        <v/>
      </c>
      <c r="AE173" s="103" t="str">
        <f>IF(ISNUMBER('Model_ of_individuals'!AE178), 'Model_ of_individuals'!AE178*'Model_ of_individuals'!$K178,"")</f>
        <v/>
      </c>
    </row>
    <row r="174" spans="1:31" x14ac:dyDescent="0.25">
      <c r="A174" s="518"/>
      <c r="B174" s="504"/>
      <c r="C174" s="104" t="str">
        <f>IF(AND(ISNUMBER(B168), C173&lt;&gt;"", OR('Cost Inputs'!$H$73&lt;&gt;"", 'Cost Inputs'!$I$73&lt;&gt;"", 'Cost Inputs'!$J$73&lt;&gt;"")), _3_3_1, "")</f>
        <v/>
      </c>
      <c r="D174" s="17" t="str">
        <f>IF(AND(C174&lt;&gt;"", 'Cost Inputs'!$G$73&lt;&gt;""), 'Cost Inputs'!$G$73, "")</f>
        <v/>
      </c>
      <c r="E174" s="17" t="str">
        <f>IF(AND(C174&lt;&gt;"", 'Cost Inputs'!$H$73&lt;&gt;""), 'Cost Inputs'!$H$73, "")</f>
        <v/>
      </c>
      <c r="F174" s="17" t="str">
        <f>IF(AND(C174&lt;&gt;"", 'Cost Inputs'!$I$73&lt;&gt;""), 'Cost Inputs'!$I$73, "")</f>
        <v/>
      </c>
      <c r="G174" s="17" t="str">
        <f t="shared" si="8"/>
        <v/>
      </c>
      <c r="H174" s="17" t="str">
        <f>IF(AND(C174&lt;&gt;"", 'Cost Inputs'!$J$73&lt;&gt;""), 'Cost Inputs'!$J$73, "")</f>
        <v/>
      </c>
      <c r="I174" s="17" t="str">
        <f t="shared" si="7"/>
        <v/>
      </c>
      <c r="J174" s="17" t="str">
        <f>IF(AND(C174&lt;&gt;"",('Cost Inputs'!$I$73+'Cost Inputs'!$J$73+'Cost Inputs'!$K$73)&gt;0), 'Cost Inputs'!$I$73+'Cost Inputs'!$J$73+'Cost Inputs'!$K$73, "")</f>
        <v/>
      </c>
      <c r="K174" s="17" t="str">
        <f>IF(AND(C174&lt;&gt;"", 'Cost Inputs'!$N$73&gt;0),'Cost Inputs'!$N$73,"")</f>
        <v/>
      </c>
      <c r="M174" s="106"/>
      <c r="V174" s="104" t="str">
        <f>IF(ISNUMBER('Model_ of_individuals'!V179), 'Model_ of_individuals'!V179*'Model_ of_individuals'!$K179,"")</f>
        <v/>
      </c>
      <c r="W174" s="17" t="str">
        <f>IF(ISNUMBER('Model_ of_individuals'!W179), 'Model_ of_individuals'!W179*'Model_ of_individuals'!$K179,"")</f>
        <v/>
      </c>
      <c r="X174" s="17" t="str">
        <f>IF(ISNUMBER('Model_ of_individuals'!X179), 'Model_ of_individuals'!X179*'Model_ of_individuals'!$K179,"")</f>
        <v/>
      </c>
      <c r="Y174" s="17" t="str">
        <f>IF(ISNUMBER('Model_ of_individuals'!Y179), 'Model_ of_individuals'!Y179*'Model_ of_individuals'!$K179,"")</f>
        <v/>
      </c>
      <c r="Z174" s="17" t="str">
        <f>IF(ISNUMBER('Model_ of_individuals'!Z179), 'Model_ of_individuals'!Z179*'Model_ of_individuals'!$K179,"")</f>
        <v/>
      </c>
      <c r="AA174" s="17" t="str">
        <f>IF(ISNUMBER('Model_ of_individuals'!AA179), 'Model_ of_individuals'!AA179*'Model_ of_individuals'!$K179,"")</f>
        <v/>
      </c>
      <c r="AB174" s="17" t="str">
        <f>IF(ISNUMBER('Model_ of_individuals'!AB179), 'Model_ of_individuals'!AB179*'Model_ of_individuals'!$K179,"")</f>
        <v/>
      </c>
      <c r="AC174" s="17" t="str">
        <f>IF(ISNUMBER('Model_ of_individuals'!AC179), 'Model_ of_individuals'!AC179*'Model_ of_individuals'!$K179,"")</f>
        <v/>
      </c>
      <c r="AD174" s="17" t="str">
        <f>IF(ISNUMBER('Model_ of_individuals'!AD179), 'Model_ of_individuals'!AD179*'Model_ of_individuals'!$K179,"")</f>
        <v/>
      </c>
      <c r="AE174" s="106" t="str">
        <f>IF(ISNUMBER('Model_ of_individuals'!AE179), 'Model_ of_individuals'!AE179*'Model_ of_individuals'!$K179,"")</f>
        <v/>
      </c>
    </row>
    <row r="175" spans="1:31" x14ac:dyDescent="0.25">
      <c r="A175" s="518"/>
      <c r="B175" s="504"/>
      <c r="C175" s="107" t="str">
        <f>IF(AND(ISNUMBER(B168), C173&lt;&gt;"", OR('Cost Inputs'!$H$74&lt;&gt;"", 'Cost Inputs'!$I$74&lt;&gt;"", 'Cost Inputs'!$J$74&lt;&gt;"")), _3_3_2, "")</f>
        <v/>
      </c>
      <c r="D175" s="93" t="str">
        <f>IF(AND(C175&lt;&gt;"", 'Cost Inputs'!$G$74&lt;&gt;""), 'Cost Inputs'!$G$74, "")</f>
        <v/>
      </c>
      <c r="E175" s="93" t="str">
        <f>IF(AND(C175&lt;&gt;"", 'Cost Inputs'!$H$74&lt;&gt;""), 'Cost Inputs'!$H$74, "")</f>
        <v/>
      </c>
      <c r="F175" s="93" t="str">
        <f>IF(AND(C175&lt;&gt;"", 'Cost Inputs'!$I$74&lt;&gt;""), 'Cost Inputs'!$I$74, "")</f>
        <v/>
      </c>
      <c r="G175" s="93" t="str">
        <f t="shared" si="8"/>
        <v/>
      </c>
      <c r="H175" s="93" t="str">
        <f>IF(AND(C175&lt;&gt;"", 'Cost Inputs'!$J$74&lt;&gt;""), 'Cost Inputs'!$J$74, "")</f>
        <v/>
      </c>
      <c r="I175" s="93" t="str">
        <f t="shared" si="7"/>
        <v/>
      </c>
      <c r="J175" s="93" t="str">
        <f>IF(AND(C175&lt;&gt;"",('Cost Inputs'!$I$74+'Cost Inputs'!$J$74+'Cost Inputs'!$K$74)&gt;0), 'Cost Inputs'!$I$74+'Cost Inputs'!$J$74+'Cost Inputs'!$K$74, "")</f>
        <v/>
      </c>
      <c r="K175" s="93" t="str">
        <f>IF(AND(C175&lt;&gt;"", 'Cost Inputs'!$N$74&gt;0),'Cost Inputs'!$N$74,"")</f>
        <v/>
      </c>
      <c r="L175" s="93"/>
      <c r="M175" s="109"/>
      <c r="V175" s="107" t="str">
        <f>IF(ISNUMBER('Model_ of_individuals'!V180), 'Model_ of_individuals'!V180*'Model_ of_individuals'!$K180,"")</f>
        <v/>
      </c>
      <c r="W175" s="93" t="str">
        <f>IF(ISNUMBER('Model_ of_individuals'!W180), 'Model_ of_individuals'!W180*'Model_ of_individuals'!$K180,"")</f>
        <v/>
      </c>
      <c r="X175" s="93" t="str">
        <f>IF(ISNUMBER('Model_ of_individuals'!X180), 'Model_ of_individuals'!X180*'Model_ of_individuals'!$K180,"")</f>
        <v/>
      </c>
      <c r="Y175" s="93" t="str">
        <f>IF(ISNUMBER('Model_ of_individuals'!Y180), 'Model_ of_individuals'!Y180*'Model_ of_individuals'!$K180,"")</f>
        <v/>
      </c>
      <c r="Z175" s="93" t="str">
        <f>IF(ISNUMBER('Model_ of_individuals'!Z180), 'Model_ of_individuals'!Z180*'Model_ of_individuals'!$K180,"")</f>
        <v/>
      </c>
      <c r="AA175" s="93" t="str">
        <f>IF(ISNUMBER('Model_ of_individuals'!AA180), 'Model_ of_individuals'!AA180*'Model_ of_individuals'!$K180,"")</f>
        <v/>
      </c>
      <c r="AB175" s="93" t="str">
        <f>IF(ISNUMBER('Model_ of_individuals'!AB180), 'Model_ of_individuals'!AB180*'Model_ of_individuals'!$K180,"")</f>
        <v/>
      </c>
      <c r="AC175" s="93" t="str">
        <f>IF(ISNUMBER('Model_ of_individuals'!AC180), 'Model_ of_individuals'!AC180*'Model_ of_individuals'!$K180,"")</f>
        <v/>
      </c>
      <c r="AD175" s="93" t="str">
        <f>IF(ISNUMBER('Model_ of_individuals'!AD180), 'Model_ of_individuals'!AD180*'Model_ of_individuals'!$K180,"")</f>
        <v/>
      </c>
      <c r="AE175" s="109" t="str">
        <f>IF(ISNUMBER('Model_ of_individuals'!AE180), 'Model_ of_individuals'!AE180*'Model_ of_individuals'!$K180,"")</f>
        <v/>
      </c>
    </row>
    <row r="176" spans="1:31" x14ac:dyDescent="0.25">
      <c r="A176" s="518"/>
      <c r="B176" s="504"/>
      <c r="C176" s="104" t="str">
        <f>IF(AND(ISNUMBER(B168), OR('Cost Inputs'!$H$75&lt;&gt;"", 'Cost Inputs'!$I$75&lt;&gt;"", 'Cost Inputs'!$J$75&lt;&gt;"")), _3_3_3, "")</f>
        <v/>
      </c>
      <c r="D176" s="17" t="str">
        <f>IF(AND(C176&lt;&gt;"", 'Cost Inputs'!$G$75&lt;&gt;""), 'Cost Inputs'!$G$75, "")</f>
        <v/>
      </c>
      <c r="E176" s="17" t="str">
        <f>IF(AND(C176&lt;&gt;"", 'Cost Inputs'!$H$75&lt;&gt;""), 'Cost Inputs'!$H$75, "")</f>
        <v/>
      </c>
      <c r="F176" s="17" t="str">
        <f>IF(AND(C176&lt;&gt;"", 'Cost Inputs'!$I$75&lt;&gt;""), 'Cost Inputs'!$I$75, "")</f>
        <v/>
      </c>
      <c r="G176" s="17" t="str">
        <f t="shared" si="8"/>
        <v/>
      </c>
      <c r="H176" s="17" t="str">
        <f>IF(AND(C176&lt;&gt;"", 'Cost Inputs'!$J$75&lt;&gt;""), 'Cost Inputs'!$J$75, "")</f>
        <v/>
      </c>
      <c r="I176" s="17" t="str">
        <f t="shared" si="7"/>
        <v/>
      </c>
      <c r="J176" s="17" t="str">
        <f>IF(AND(C176&lt;&gt;"",('Cost Inputs'!$I$75+'Cost Inputs'!$J$75+'Cost Inputs'!$K$75)&gt;0), 'Cost Inputs'!$I$75+'Cost Inputs'!$J$75+'Cost Inputs'!$K$75, "")</f>
        <v/>
      </c>
      <c r="K176" s="17" t="str">
        <f>IF(AND(C176&lt;&gt;"", 'Cost Inputs'!$N$75&gt;0),'Cost Inputs'!$N$75,"")</f>
        <v/>
      </c>
      <c r="M176" s="106"/>
      <c r="V176" s="104" t="str">
        <f>IF(ISNUMBER('Model_ of_individuals'!V181), 'Model_ of_individuals'!V181*'Model_ of_individuals'!$K181,"")</f>
        <v/>
      </c>
      <c r="W176" s="17" t="str">
        <f>IF(ISNUMBER('Model_ of_individuals'!W181), 'Model_ of_individuals'!W181*'Model_ of_individuals'!$K181,"")</f>
        <v/>
      </c>
      <c r="X176" s="17" t="str">
        <f>IF(ISNUMBER('Model_ of_individuals'!X181), 'Model_ of_individuals'!X181*'Model_ of_individuals'!$K181,"")</f>
        <v/>
      </c>
      <c r="Y176" s="17" t="str">
        <f>IF(ISNUMBER('Model_ of_individuals'!Y181), 'Model_ of_individuals'!Y181*'Model_ of_individuals'!$K181,"")</f>
        <v/>
      </c>
      <c r="Z176" s="17" t="str">
        <f>IF(ISNUMBER('Model_ of_individuals'!Z181), 'Model_ of_individuals'!Z181*'Model_ of_individuals'!$K181,"")</f>
        <v/>
      </c>
      <c r="AA176" s="17" t="str">
        <f>IF(ISNUMBER('Model_ of_individuals'!AA181), 'Model_ of_individuals'!AA181*'Model_ of_individuals'!$K181,"")</f>
        <v/>
      </c>
      <c r="AB176" s="17" t="str">
        <f>IF(ISNUMBER('Model_ of_individuals'!AB181), 'Model_ of_individuals'!AB181*'Model_ of_individuals'!$K181,"")</f>
        <v/>
      </c>
      <c r="AC176" s="17" t="str">
        <f>IF(ISNUMBER('Model_ of_individuals'!AC181), 'Model_ of_individuals'!AC181*'Model_ of_individuals'!$K181,"")</f>
        <v/>
      </c>
      <c r="AD176" s="17" t="str">
        <f>IF(ISNUMBER('Model_ of_individuals'!AD181), 'Model_ of_individuals'!AD181*'Model_ of_individuals'!$K181,"")</f>
        <v/>
      </c>
      <c r="AE176" s="106" t="str">
        <f>IF(ISNUMBER('Model_ of_individuals'!AE181), 'Model_ of_individuals'!AE181*'Model_ of_individuals'!$K181,"")</f>
        <v/>
      </c>
    </row>
    <row r="177" spans="1:32" x14ac:dyDescent="0.25">
      <c r="A177" s="518"/>
      <c r="B177" s="504"/>
      <c r="C177" s="107" t="str">
        <f>IF(AND(ISNUMBER(B168), OR('Cost Inputs'!$H$76&lt;&gt;"", 'Cost Inputs'!$I$76&lt;&gt;"", 'Cost Inputs'!$J$76&lt;&gt;"")), _3_3_4, "")</f>
        <v/>
      </c>
      <c r="D177" s="93" t="str">
        <f>IF(AND(C177&lt;&gt;"", 'Cost Inputs'!$G$76&lt;&gt;""), 'Cost Inputs'!$G$76, "")</f>
        <v/>
      </c>
      <c r="E177" s="93" t="str">
        <f>IF(AND(C177&lt;&gt;"", 'Cost Inputs'!$H$76&lt;&gt;""), 'Cost Inputs'!$H$76, "")</f>
        <v/>
      </c>
      <c r="F177" s="93" t="str">
        <f>IF(AND(C177&lt;&gt;"", 'Cost Inputs'!$I$76&lt;&gt;""), 'Cost Inputs'!$I$76, "")</f>
        <v/>
      </c>
      <c r="G177" s="93" t="str">
        <f t="shared" si="8"/>
        <v/>
      </c>
      <c r="H177" s="93" t="str">
        <f>IF(AND(C177&lt;&gt;"", 'Cost Inputs'!$J$76&lt;&gt;""), 'Cost Inputs'!$J$76, "")</f>
        <v/>
      </c>
      <c r="I177" s="93" t="str">
        <f t="shared" si="7"/>
        <v/>
      </c>
      <c r="J177" s="93" t="str">
        <f>IF(AND(C177&lt;&gt;"",('Cost Inputs'!$I$76+'Cost Inputs'!$J$76+'Cost Inputs'!$K$76)&gt;0), 'Cost Inputs'!$I$76+'Cost Inputs'!$J$76+'Cost Inputs'!$K$76, "")</f>
        <v/>
      </c>
      <c r="K177" s="93" t="str">
        <f>IF(AND(C177&lt;&gt;"", 'Cost Inputs'!$N$76&gt;0),'Cost Inputs'!$N$76,"")</f>
        <v/>
      </c>
      <c r="L177" s="93"/>
      <c r="M177" s="109"/>
      <c r="V177" s="107" t="str">
        <f>IF(ISNUMBER('Model_ of_individuals'!V182), 'Model_ of_individuals'!V182*'Model_ of_individuals'!$K182,"")</f>
        <v/>
      </c>
      <c r="W177" s="93" t="str">
        <f>IF(ISNUMBER('Model_ of_individuals'!W182), 'Model_ of_individuals'!W182*'Model_ of_individuals'!$K182,"")</f>
        <v/>
      </c>
      <c r="X177" s="93" t="str">
        <f>IF(ISNUMBER('Model_ of_individuals'!X182), 'Model_ of_individuals'!X182*'Model_ of_individuals'!$K182,"")</f>
        <v/>
      </c>
      <c r="Y177" s="93" t="str">
        <f>IF(ISNUMBER('Model_ of_individuals'!Y182), 'Model_ of_individuals'!Y182*'Model_ of_individuals'!$K182,"")</f>
        <v/>
      </c>
      <c r="Z177" s="93" t="str">
        <f>IF(ISNUMBER('Model_ of_individuals'!Z182), 'Model_ of_individuals'!Z182*'Model_ of_individuals'!$K182,"")</f>
        <v/>
      </c>
      <c r="AA177" s="93" t="str">
        <f>IF(ISNUMBER('Model_ of_individuals'!AA182), 'Model_ of_individuals'!AA182*'Model_ of_individuals'!$K182,"")</f>
        <v/>
      </c>
      <c r="AB177" s="93" t="str">
        <f>IF(ISNUMBER('Model_ of_individuals'!AB182), 'Model_ of_individuals'!AB182*'Model_ of_individuals'!$K182,"")</f>
        <v/>
      </c>
      <c r="AC177" s="93" t="str">
        <f>IF(ISNUMBER('Model_ of_individuals'!AC182), 'Model_ of_individuals'!AC182*'Model_ of_individuals'!$K182,"")</f>
        <v/>
      </c>
      <c r="AD177" s="93" t="str">
        <f>IF(ISNUMBER('Model_ of_individuals'!AD182), 'Model_ of_individuals'!AD182*'Model_ of_individuals'!$K182,"")</f>
        <v/>
      </c>
      <c r="AE177" s="109" t="str">
        <f>IF(ISNUMBER('Model_ of_individuals'!AE182), 'Model_ of_individuals'!AE182*'Model_ of_individuals'!$K182,"")</f>
        <v/>
      </c>
    </row>
    <row r="178" spans="1:32" x14ac:dyDescent="0.25">
      <c r="A178" s="518"/>
      <c r="B178" s="504"/>
      <c r="C178" s="110" t="str">
        <f>IF( ISNUMBER(B168), _3_4_0, "")</f>
        <v/>
      </c>
      <c r="D178" s="94" t="str">
        <f>IF(AND(B168&lt;&gt;"", OR('Cost Inputs'!$H$77&lt;&gt;"", 'Cost Inputs'!$I$77&lt;&gt;"", 'Cost Inputs'!$J$77&lt;&gt;"")), 'Cost Inputs'!$G$77,"")</f>
        <v/>
      </c>
      <c r="E178" s="94" t="str">
        <f>IF(AND(C178&lt;&gt;"", 'Cost Inputs'!$H$77&lt;&gt;""), 'Cost Inputs'!$H$77, "")</f>
        <v/>
      </c>
      <c r="F178" s="94" t="str">
        <f>IF(AND(C178&lt;&gt;"", 'Cost Inputs'!$I$77&lt;&gt;""), 'Cost Inputs'!$I$77, "")</f>
        <v/>
      </c>
      <c r="G178" s="94" t="str">
        <f t="shared" si="8"/>
        <v/>
      </c>
      <c r="H178" s="94" t="str">
        <f>IF(AND(C178&lt;&gt;"", 'Cost Inputs'!$J$77&lt;&gt;""), 'Cost Inputs'!$J$77, "")</f>
        <v/>
      </c>
      <c r="I178" s="94" t="str">
        <f>IF(AND($E178&lt;&gt;"", $H178&lt;&gt;""), $H178/$E178, "")</f>
        <v/>
      </c>
      <c r="J178" s="94" t="str">
        <f>IF(AND(C178&lt;&gt;"",('Cost Inputs'!$I$77+'Cost Inputs'!$J$77+'Cost Inputs'!$K$77)&gt;0), 'Cost Inputs'!$I$77+'Cost Inputs'!$J$77+'Cost Inputs'!$K$77, "")</f>
        <v/>
      </c>
      <c r="K178" s="94" t="str">
        <f>IF(AND(C178&lt;&gt;"", 'Cost Inputs'!$N$77&gt;0),'Cost Inputs'!$N$77,"")</f>
        <v/>
      </c>
      <c r="L178" s="94"/>
      <c r="M178" s="103"/>
      <c r="V178" s="110" t="str">
        <f>IF(ISNUMBER('Model_ of_individuals'!V183), 'Model_ of_individuals'!V183*'Model_ of_individuals'!$K183,"")</f>
        <v/>
      </c>
      <c r="W178" s="94" t="str">
        <f>IF(ISNUMBER('Model_ of_individuals'!W183), 'Model_ of_individuals'!W183*'Model_ of_individuals'!$K183,"")</f>
        <v/>
      </c>
      <c r="X178" s="94" t="str">
        <f>IF(ISNUMBER('Model_ of_individuals'!X183), 'Model_ of_individuals'!X183*'Model_ of_individuals'!$K183,"")</f>
        <v/>
      </c>
      <c r="Y178" s="94" t="str">
        <f>IF(ISNUMBER('Model_ of_individuals'!Y183), 'Model_ of_individuals'!Y183*'Model_ of_individuals'!$K183,"")</f>
        <v/>
      </c>
      <c r="Z178" s="94" t="str">
        <f>IF(ISNUMBER('Model_ of_individuals'!Z183), 'Model_ of_individuals'!Z183*'Model_ of_individuals'!$K183,"")</f>
        <v/>
      </c>
      <c r="AA178" s="94" t="str">
        <f>IF(ISNUMBER('Model_ of_individuals'!AA183), 'Model_ of_individuals'!AA183*'Model_ of_individuals'!$K183,"")</f>
        <v/>
      </c>
      <c r="AB178" s="94" t="str">
        <f>IF(ISNUMBER('Model_ of_individuals'!AB183), 'Model_ of_individuals'!AB183*'Model_ of_individuals'!$K183,"")</f>
        <v/>
      </c>
      <c r="AC178" s="94" t="str">
        <f>IF(ISNUMBER('Model_ of_individuals'!AC183), 'Model_ of_individuals'!AC183*'Model_ of_individuals'!$K183,"")</f>
        <v/>
      </c>
      <c r="AD178" s="94" t="str">
        <f>IF(ISNUMBER('Model_ of_individuals'!AD183), 'Model_ of_individuals'!AD183*'Model_ of_individuals'!$K183,"")</f>
        <v/>
      </c>
      <c r="AE178" s="103" t="str">
        <f>IF(ISNUMBER('Model_ of_individuals'!AE183), 'Model_ of_individuals'!AE183*'Model_ of_individuals'!$K183,"")</f>
        <v/>
      </c>
    </row>
    <row r="179" spans="1:32" x14ac:dyDescent="0.25">
      <c r="A179" s="518"/>
      <c r="B179" s="504"/>
      <c r="C179" s="104" t="str">
        <f>IF(AND(ISNUMBER(B168), OR('Cost Inputs'!$H$78&lt;&gt;"", 'Cost Inputs'!$I$78&lt;&gt;"", 'Cost Inputs'!$J$78&lt;&gt;"")), _3_4_1, "")</f>
        <v/>
      </c>
      <c r="D179" s="17" t="str">
        <f>IF(AND(C179&lt;&gt;"", 'Cost Inputs'!$G$78&lt;&gt;""), 'Cost Inputs'!$G$78, "")</f>
        <v/>
      </c>
      <c r="E179" s="17" t="str">
        <f>IF(AND(C179&lt;&gt;"", 'Cost Inputs'!$H$78&lt;&gt;""), 'Cost Inputs'!$H$78, "")</f>
        <v/>
      </c>
      <c r="F179" s="17" t="str">
        <f>IF(AND(C179&lt;&gt;"", 'Cost Inputs'!$I$78&lt;&gt;""), 'Cost Inputs'!$I$78, "")</f>
        <v/>
      </c>
      <c r="G179" s="17" t="str">
        <f t="shared" si="8"/>
        <v/>
      </c>
      <c r="H179" s="17" t="str">
        <f>IF(AND(C179&lt;&gt;"", 'Cost Inputs'!$J$78&lt;&gt;""), 'Cost Inputs'!$J$78, "")</f>
        <v/>
      </c>
      <c r="I179" s="17" t="str">
        <f t="shared" si="7"/>
        <v/>
      </c>
      <c r="J179" s="17" t="str">
        <f>IF(AND(C179&lt;&gt;"",('Cost Inputs'!$I$78+'Cost Inputs'!$J$78+'Cost Inputs'!$K$78)&gt;0), 'Cost Inputs'!$I$78+'Cost Inputs'!$J$78+'Cost Inputs'!$K$78, "")</f>
        <v/>
      </c>
      <c r="K179" s="17" t="str">
        <f>IF(AND(C179&lt;&gt;"", 'Cost Inputs'!$N$78&gt;0),'Cost Inputs'!$N$78,"")</f>
        <v/>
      </c>
      <c r="M179" s="106"/>
      <c r="V179" s="104" t="str">
        <f>IF(ISNUMBER('Model_ of_individuals'!V184), 'Model_ of_individuals'!V184*'Model_ of_individuals'!$K184,"")</f>
        <v/>
      </c>
      <c r="W179" s="17" t="str">
        <f>IF(ISNUMBER('Model_ of_individuals'!W184), 'Model_ of_individuals'!W184*'Model_ of_individuals'!$K184,"")</f>
        <v/>
      </c>
      <c r="X179" s="17" t="str">
        <f>IF(ISNUMBER('Model_ of_individuals'!X184), 'Model_ of_individuals'!X184*'Model_ of_individuals'!$K184,"")</f>
        <v/>
      </c>
      <c r="Y179" s="17" t="str">
        <f>IF(ISNUMBER('Model_ of_individuals'!Y184), 'Model_ of_individuals'!Y184*'Model_ of_individuals'!$K184,"")</f>
        <v/>
      </c>
      <c r="Z179" s="17" t="str">
        <f>IF(ISNUMBER('Model_ of_individuals'!Z184), 'Model_ of_individuals'!Z184*'Model_ of_individuals'!$K184,"")</f>
        <v/>
      </c>
      <c r="AA179" s="17" t="str">
        <f>IF(ISNUMBER('Model_ of_individuals'!AA184), 'Model_ of_individuals'!AA184*'Model_ of_individuals'!$K184,"")</f>
        <v/>
      </c>
      <c r="AB179" s="17" t="str">
        <f>IF(ISNUMBER('Model_ of_individuals'!AB184), 'Model_ of_individuals'!AB184*'Model_ of_individuals'!$K184,"")</f>
        <v/>
      </c>
      <c r="AC179" s="17" t="str">
        <f>IF(ISNUMBER('Model_ of_individuals'!AC184), 'Model_ of_individuals'!AC184*'Model_ of_individuals'!$K184,"")</f>
        <v/>
      </c>
      <c r="AD179" s="17" t="str">
        <f>IF(ISNUMBER('Model_ of_individuals'!AD184), 'Model_ of_individuals'!AD184*'Model_ of_individuals'!$K184,"")</f>
        <v/>
      </c>
      <c r="AE179" s="106" t="str">
        <f>IF(ISNUMBER('Model_ of_individuals'!AE184), 'Model_ of_individuals'!AE184*'Model_ of_individuals'!$K184,"")</f>
        <v/>
      </c>
    </row>
    <row r="180" spans="1:32" x14ac:dyDescent="0.25">
      <c r="A180" s="518"/>
      <c r="B180" s="504"/>
      <c r="C180" s="107" t="str">
        <f>IF(AND(ISNUMBER(B168), OR('Cost Inputs'!$H$79&lt;&gt;"", 'Cost Inputs'!$I$79&lt;&gt;"", 'Cost Inputs'!$J$79&lt;&gt;"")), _3_4_2, "")</f>
        <v/>
      </c>
      <c r="D180" s="93" t="str">
        <f>IF(AND(C180&lt;&gt;"", 'Cost Inputs'!$G$79&lt;&gt;""), 'Cost Inputs'!$G$79, "")</f>
        <v/>
      </c>
      <c r="E180" s="93" t="str">
        <f>IF(AND(C180&lt;&gt;"", 'Cost Inputs'!$H$79&lt;&gt;""), 'Cost Inputs'!$H$79, "")</f>
        <v/>
      </c>
      <c r="F180" s="93" t="str">
        <f>IF(AND(C180&lt;&gt;"", 'Cost Inputs'!$I$79&lt;&gt;""), 'Cost Inputs'!$I$79, "")</f>
        <v/>
      </c>
      <c r="G180" s="93" t="str">
        <f t="shared" si="8"/>
        <v/>
      </c>
      <c r="H180" s="93" t="str">
        <f>IF(AND(C180&lt;&gt;"", 'Cost Inputs'!$J$79&lt;&gt;""), 'Cost Inputs'!$J$79, "")</f>
        <v/>
      </c>
      <c r="I180" s="93" t="str">
        <f t="shared" si="7"/>
        <v/>
      </c>
      <c r="J180" s="93" t="str">
        <f>IF(AND(C180&lt;&gt;"",('Cost Inputs'!$I$79+'Cost Inputs'!$J$79+'Cost Inputs'!$K$79)&gt;0), 'Cost Inputs'!$I$79+'Cost Inputs'!$J$79+'Cost Inputs'!$K$79, "")</f>
        <v/>
      </c>
      <c r="K180" s="93" t="str">
        <f>IF(AND(C180&lt;&gt;"", 'Cost Inputs'!$N$79&gt;0),'Cost Inputs'!$N$79,"")</f>
        <v/>
      </c>
      <c r="L180" s="93"/>
      <c r="M180" s="109"/>
      <c r="V180" s="107" t="str">
        <f>IF(ISNUMBER('Model_ of_individuals'!V185), 'Model_ of_individuals'!V185*'Model_ of_individuals'!$K185,"")</f>
        <v/>
      </c>
      <c r="W180" s="93" t="str">
        <f>IF(ISNUMBER('Model_ of_individuals'!W185), 'Model_ of_individuals'!W185*'Model_ of_individuals'!$K185,"")</f>
        <v/>
      </c>
      <c r="X180" s="93" t="str">
        <f>IF(ISNUMBER('Model_ of_individuals'!X185), 'Model_ of_individuals'!X185*'Model_ of_individuals'!$K185,"")</f>
        <v/>
      </c>
      <c r="Y180" s="93" t="str">
        <f>IF(ISNUMBER('Model_ of_individuals'!Y185), 'Model_ of_individuals'!Y185*'Model_ of_individuals'!$K185,"")</f>
        <v/>
      </c>
      <c r="Z180" s="93" t="str">
        <f>IF(ISNUMBER('Model_ of_individuals'!Z185), 'Model_ of_individuals'!Z185*'Model_ of_individuals'!$K185,"")</f>
        <v/>
      </c>
      <c r="AA180" s="93" t="str">
        <f>IF(ISNUMBER('Model_ of_individuals'!AA185), 'Model_ of_individuals'!AA185*'Model_ of_individuals'!$K185,"")</f>
        <v/>
      </c>
      <c r="AB180" s="93" t="str">
        <f>IF(ISNUMBER('Model_ of_individuals'!AB185), 'Model_ of_individuals'!AB185*'Model_ of_individuals'!$K185,"")</f>
        <v/>
      </c>
      <c r="AC180" s="93" t="str">
        <f>IF(ISNUMBER('Model_ of_individuals'!AC185), 'Model_ of_individuals'!AC185*'Model_ of_individuals'!$K185,"")</f>
        <v/>
      </c>
      <c r="AD180" s="93" t="str">
        <f>IF(ISNUMBER('Model_ of_individuals'!AD185), 'Model_ of_individuals'!AD185*'Model_ of_individuals'!$K185,"")</f>
        <v/>
      </c>
      <c r="AE180" s="109" t="str">
        <f>IF(ISNUMBER('Model_ of_individuals'!AE185), 'Model_ of_individuals'!AE185*'Model_ of_individuals'!$K185,"")</f>
        <v/>
      </c>
    </row>
    <row r="181" spans="1:32" x14ac:dyDescent="0.25">
      <c r="A181" s="518"/>
      <c r="B181" s="504"/>
      <c r="C181" s="104" t="str">
        <f>IF(AND(ISNUMBER(B168), OR('Cost Inputs'!$H$80&lt;&gt;"", 'Cost Inputs'!$I$80&lt;&gt;"", 'Cost Inputs'!$J$80&lt;&gt;"")),_3_4_3, "")</f>
        <v/>
      </c>
      <c r="D181" s="17" t="str">
        <f>IF(AND(C181&lt;&gt;"", 'Cost Inputs'!$G$80&lt;&gt;""), 'Cost Inputs'!$G$80, "")</f>
        <v/>
      </c>
      <c r="E181" s="17" t="str">
        <f>IF(AND(C181&lt;&gt;"", 'Cost Inputs'!$H$80&lt;&gt;""), 'Cost Inputs'!$H$80, "")</f>
        <v/>
      </c>
      <c r="F181" s="17" t="str">
        <f>IF(AND(C181&lt;&gt;"", 'Cost Inputs'!$I$80&lt;&gt;""), 'Cost Inputs'!$I$80, "")</f>
        <v/>
      </c>
      <c r="G181" s="17" t="str">
        <f t="shared" si="8"/>
        <v/>
      </c>
      <c r="H181" s="17" t="str">
        <f>IF(AND(C181&lt;&gt;"", 'Cost Inputs'!$J$80&lt;&gt;""), 'Cost Inputs'!$J$80, "")</f>
        <v/>
      </c>
      <c r="I181" s="17" t="str">
        <f t="shared" si="7"/>
        <v/>
      </c>
      <c r="J181" s="17" t="str">
        <f>IF(AND(C181&lt;&gt;"",('Cost Inputs'!$I$80+'Cost Inputs'!$J$80+'Cost Inputs'!$K$80)&gt;0), 'Cost Inputs'!$I$80+'Cost Inputs'!$J$80+'Cost Inputs'!$K$80, "")</f>
        <v/>
      </c>
      <c r="K181" s="17" t="str">
        <f>IF(AND(C181&lt;&gt;"", 'Cost Inputs'!$N$80&gt;0),'Cost Inputs'!$N$80,"")</f>
        <v/>
      </c>
      <c r="M181" s="106"/>
      <c r="V181" s="104" t="str">
        <f>IF(ISNUMBER('Model_ of_individuals'!V186), 'Model_ of_individuals'!V186*'Model_ of_individuals'!$K186,"")</f>
        <v/>
      </c>
      <c r="W181" s="17" t="str">
        <f>IF(ISNUMBER('Model_ of_individuals'!W186), 'Model_ of_individuals'!W186*'Model_ of_individuals'!$K186,"")</f>
        <v/>
      </c>
      <c r="X181" s="17" t="str">
        <f>IF(ISNUMBER('Model_ of_individuals'!X186), 'Model_ of_individuals'!X186*'Model_ of_individuals'!$K186,"")</f>
        <v/>
      </c>
      <c r="Y181" s="17" t="str">
        <f>IF(ISNUMBER('Model_ of_individuals'!Y186), 'Model_ of_individuals'!Y186*'Model_ of_individuals'!$K186,"")</f>
        <v/>
      </c>
      <c r="Z181" s="17" t="str">
        <f>IF(ISNUMBER('Model_ of_individuals'!Z186), 'Model_ of_individuals'!Z186*'Model_ of_individuals'!$K186,"")</f>
        <v/>
      </c>
      <c r="AA181" s="17" t="str">
        <f>IF(ISNUMBER('Model_ of_individuals'!AA186), 'Model_ of_individuals'!AA186*'Model_ of_individuals'!$K186,"")</f>
        <v/>
      </c>
      <c r="AB181" s="17" t="str">
        <f>IF(ISNUMBER('Model_ of_individuals'!AB186), 'Model_ of_individuals'!AB186*'Model_ of_individuals'!$K186,"")</f>
        <v/>
      </c>
      <c r="AC181" s="17" t="str">
        <f>IF(ISNUMBER('Model_ of_individuals'!AC186), 'Model_ of_individuals'!AC186*'Model_ of_individuals'!$K186,"")</f>
        <v/>
      </c>
      <c r="AD181" s="17" t="str">
        <f>IF(ISNUMBER('Model_ of_individuals'!AD186), 'Model_ of_individuals'!AD186*'Model_ of_individuals'!$K186,"")</f>
        <v/>
      </c>
      <c r="AE181" s="106" t="str">
        <f>IF(ISNUMBER('Model_ of_individuals'!AE186), 'Model_ of_individuals'!AE186*'Model_ of_individuals'!$K186,"")</f>
        <v/>
      </c>
    </row>
    <row r="182" spans="1:32" x14ac:dyDescent="0.25">
      <c r="A182" s="518"/>
      <c r="B182" s="504"/>
      <c r="C182" s="107" t="str">
        <f>IF(AND(ISNUMBER(B168), OR('Cost Inputs'!$H$81&lt;&gt;"", 'Cost Inputs'!$I$81&lt;&gt;"", 'Cost Inputs'!$J$81&lt;&gt;"")), _3_4_4, "")</f>
        <v/>
      </c>
      <c r="D182" s="93" t="str">
        <f>IF(AND(C182&lt;&gt;"", 'Cost Inputs'!$G$81&lt;&gt;""), 'Cost Inputs'!$G$81, "")</f>
        <v/>
      </c>
      <c r="E182" s="93" t="str">
        <f>IF(AND(C182&lt;&gt;"", 'Cost Inputs'!$H$81&lt;&gt;""), 'Cost Inputs'!$H$81, "")</f>
        <v/>
      </c>
      <c r="F182" s="93" t="str">
        <f>IF(AND(C182&lt;&gt;"", 'Cost Inputs'!$I$81&lt;&gt;""), 'Cost Inputs'!$I$81, "")</f>
        <v/>
      </c>
      <c r="G182" s="93" t="str">
        <f t="shared" si="8"/>
        <v/>
      </c>
      <c r="H182" s="93" t="str">
        <f>IF(AND(C182&lt;&gt;"", 'Cost Inputs'!$J$81&lt;&gt;""), 'Cost Inputs'!$J$81, "")</f>
        <v/>
      </c>
      <c r="I182" s="93" t="str">
        <f t="shared" si="7"/>
        <v/>
      </c>
      <c r="J182" s="93" t="str">
        <f>IF(AND(C182&lt;&gt;"",('Cost Inputs'!$I$81+'Cost Inputs'!$J$81+'Cost Inputs'!$K$81)&gt;0), 'Cost Inputs'!$I$81+'Cost Inputs'!$J$81+'Cost Inputs'!$K$81, "")</f>
        <v/>
      </c>
      <c r="K182" s="93" t="str">
        <f>IF(AND(C182&lt;&gt;"", 'Cost Inputs'!$N$81&gt;0),'Cost Inputs'!$N$81,"")</f>
        <v/>
      </c>
      <c r="L182" s="93"/>
      <c r="M182" s="109"/>
      <c r="V182" s="107" t="str">
        <f>IF(ISNUMBER('Model_ of_individuals'!V187), 'Model_ of_individuals'!V187*'Model_ of_individuals'!$K187,"")</f>
        <v/>
      </c>
      <c r="W182" s="93" t="str">
        <f>IF(ISNUMBER('Model_ of_individuals'!W187), 'Model_ of_individuals'!W187*'Model_ of_individuals'!$K187,"")</f>
        <v/>
      </c>
      <c r="X182" s="93" t="str">
        <f>IF(ISNUMBER('Model_ of_individuals'!X187), 'Model_ of_individuals'!X187*'Model_ of_individuals'!$K187,"")</f>
        <v/>
      </c>
      <c r="Y182" s="93" t="str">
        <f>IF(ISNUMBER('Model_ of_individuals'!Y187), 'Model_ of_individuals'!Y187*'Model_ of_individuals'!$K187,"")</f>
        <v/>
      </c>
      <c r="Z182" s="93" t="str">
        <f>IF(ISNUMBER('Model_ of_individuals'!Z187), 'Model_ of_individuals'!Z187*'Model_ of_individuals'!$K187,"")</f>
        <v/>
      </c>
      <c r="AA182" s="93" t="str">
        <f>IF(ISNUMBER('Model_ of_individuals'!AA187), 'Model_ of_individuals'!AA187*'Model_ of_individuals'!$K187,"")</f>
        <v/>
      </c>
      <c r="AB182" s="93" t="str">
        <f>IF(ISNUMBER('Model_ of_individuals'!AB187), 'Model_ of_individuals'!AB187*'Model_ of_individuals'!$K187,"")</f>
        <v/>
      </c>
      <c r="AC182" s="93" t="str">
        <f>IF(ISNUMBER('Model_ of_individuals'!AC187), 'Model_ of_individuals'!AC187*'Model_ of_individuals'!$K187,"")</f>
        <v/>
      </c>
      <c r="AD182" s="93" t="str">
        <f>IF(ISNUMBER('Model_ of_individuals'!AD187), 'Model_ of_individuals'!AD187*'Model_ of_individuals'!$K187,"")</f>
        <v/>
      </c>
      <c r="AE182" s="109" t="str">
        <f>IF(ISNUMBER('Model_ of_individuals'!AE187), 'Model_ of_individuals'!AE187*'Model_ of_individuals'!$K187,"")</f>
        <v/>
      </c>
    </row>
    <row r="183" spans="1:32" x14ac:dyDescent="0.25">
      <c r="A183" s="518"/>
      <c r="B183" s="504"/>
      <c r="C183" s="104" t="str">
        <f>IF(AND(ISNUMBER(B168), OR('Cost Inputs'!$H$82&lt;&gt;"", 'Cost Inputs'!$I$82&lt;&gt;"", 'Cost Inputs'!$J$82&lt;&gt;"")),_3_4_5, "")</f>
        <v/>
      </c>
      <c r="D183" s="17" t="str">
        <f>IF(AND(C183&lt;&gt;"", 'Cost Inputs'!$G$82&lt;&gt;""), 'Cost Inputs'!$G$82, "")</f>
        <v/>
      </c>
      <c r="E183" s="17" t="str">
        <f>IF(AND(C183&lt;&gt;"", 'Cost Inputs'!$H$82&lt;&gt;""), 'Cost Inputs'!$H$82, "")</f>
        <v/>
      </c>
      <c r="F183" s="17" t="str">
        <f>IF(AND(C183&lt;&gt;"", 'Cost Inputs'!$I$82&lt;&gt;""), 'Cost Inputs'!$I$82, "")</f>
        <v/>
      </c>
      <c r="G183" s="17" t="str">
        <f t="shared" si="8"/>
        <v/>
      </c>
      <c r="H183" s="17" t="str">
        <f>IF(AND(C183&lt;&gt;"", 'Cost Inputs'!$J$82&lt;&gt;""), 'Cost Inputs'!$J$82, "")</f>
        <v/>
      </c>
      <c r="I183" s="17" t="str">
        <f t="shared" si="7"/>
        <v/>
      </c>
      <c r="J183" s="17" t="str">
        <f>IF(AND(C183&lt;&gt;"",('Cost Inputs'!$I$82+'Cost Inputs'!$J$82+'Cost Inputs'!$K$82)&gt;0), 'Cost Inputs'!$I$82+'Cost Inputs'!$J$82+'Cost Inputs'!$K$82, "")</f>
        <v/>
      </c>
      <c r="K183" s="17" t="str">
        <f>IF(AND(C183&lt;&gt;"", 'Cost Inputs'!$N$82&gt;0),'Cost Inputs'!$N$82,"")</f>
        <v/>
      </c>
      <c r="M183" s="106"/>
      <c r="V183" s="104" t="str">
        <f>IF(ISNUMBER('Model_ of_individuals'!V188), 'Model_ of_individuals'!V188*'Model_ of_individuals'!$K188,"")</f>
        <v/>
      </c>
      <c r="W183" s="17" t="str">
        <f>IF(ISNUMBER('Model_ of_individuals'!W188), 'Model_ of_individuals'!W188*'Model_ of_individuals'!$K188,"")</f>
        <v/>
      </c>
      <c r="X183" s="17" t="str">
        <f>IF(ISNUMBER('Model_ of_individuals'!X188), 'Model_ of_individuals'!X188*'Model_ of_individuals'!$K188,"")</f>
        <v/>
      </c>
      <c r="Y183" s="17" t="str">
        <f>IF(ISNUMBER('Model_ of_individuals'!Y188), 'Model_ of_individuals'!Y188*'Model_ of_individuals'!$K188,"")</f>
        <v/>
      </c>
      <c r="Z183" s="17" t="str">
        <f>IF(ISNUMBER('Model_ of_individuals'!Z188), 'Model_ of_individuals'!Z188*'Model_ of_individuals'!$K188,"")</f>
        <v/>
      </c>
      <c r="AA183" s="17" t="str">
        <f>IF(ISNUMBER('Model_ of_individuals'!AA188), 'Model_ of_individuals'!AA188*'Model_ of_individuals'!$K188,"")</f>
        <v/>
      </c>
      <c r="AB183" s="17" t="str">
        <f>IF(ISNUMBER('Model_ of_individuals'!AB188), 'Model_ of_individuals'!AB188*'Model_ of_individuals'!$K188,"")</f>
        <v/>
      </c>
      <c r="AC183" s="17" t="str">
        <f>IF(ISNUMBER('Model_ of_individuals'!AC188), 'Model_ of_individuals'!AC188*'Model_ of_individuals'!$K188,"")</f>
        <v/>
      </c>
      <c r="AD183" s="17" t="str">
        <f>IF(ISNUMBER('Model_ of_individuals'!AD188), 'Model_ of_individuals'!AD188*'Model_ of_individuals'!$K188,"")</f>
        <v/>
      </c>
      <c r="AE183" s="106" t="str">
        <f>IF(ISNUMBER('Model_ of_individuals'!AE188), 'Model_ of_individuals'!AE188*'Model_ of_individuals'!$K188,"")</f>
        <v/>
      </c>
    </row>
    <row r="184" spans="1:32" x14ac:dyDescent="0.25">
      <c r="A184" s="518"/>
      <c r="B184" s="504"/>
      <c r="C184" s="107" t="str">
        <f>IF(AND(ISNUMBER(B168), OR('Cost Inputs'!$H$83&lt;&gt;"", 'Cost Inputs'!$I$83&lt;&gt;"", 'Cost Inputs'!$J$83&lt;&gt;"")),_3_4_6, "")</f>
        <v/>
      </c>
      <c r="D184" s="93" t="str">
        <f>IF(AND(C184&lt;&gt;"", 'Cost Inputs'!$G$83&lt;&gt;""), 'Cost Inputs'!$G$83, "")</f>
        <v/>
      </c>
      <c r="E184" s="93" t="str">
        <f>IF(AND(C184&lt;&gt;"", 'Cost Inputs'!$H$83&lt;&gt;""), 'Cost Inputs'!$H$83, "")</f>
        <v/>
      </c>
      <c r="F184" s="93" t="str">
        <f>IF(AND(C184&lt;&gt;"", 'Cost Inputs'!$I$83&lt;&gt;""), 'Cost Inputs'!$I$83, "")</f>
        <v/>
      </c>
      <c r="G184" s="93" t="str">
        <f t="shared" si="8"/>
        <v/>
      </c>
      <c r="H184" s="93" t="str">
        <f>IF(AND(C184&lt;&gt;"", 'Cost Inputs'!$J$83&lt;&gt;""), 'Cost Inputs'!$J$83, "")</f>
        <v/>
      </c>
      <c r="I184" s="93" t="str">
        <f t="shared" si="7"/>
        <v/>
      </c>
      <c r="J184" s="93" t="str">
        <f>IF(AND(C184&lt;&gt;"",('Cost Inputs'!$I$83+'Cost Inputs'!$J$83+'Cost Inputs'!$K$83)&gt;0), 'Cost Inputs'!$I$83+'Cost Inputs'!$J$83+'Cost Inputs'!$K$83, "")</f>
        <v/>
      </c>
      <c r="K184" s="93" t="str">
        <f>IF(AND(C184&lt;&gt;"", 'Cost Inputs'!$N$83&gt;0),'Cost Inputs'!$N$83,"")</f>
        <v/>
      </c>
      <c r="L184" s="93"/>
      <c r="M184" s="109"/>
      <c r="V184" s="107" t="str">
        <f>IF(ISNUMBER('Model_ of_individuals'!V189), 'Model_ of_individuals'!V189*'Model_ of_individuals'!$K189,"")</f>
        <v/>
      </c>
      <c r="W184" s="93" t="str">
        <f>IF(ISNUMBER('Model_ of_individuals'!W189), 'Model_ of_individuals'!W189*'Model_ of_individuals'!$K189,"")</f>
        <v/>
      </c>
      <c r="X184" s="93" t="str">
        <f>IF(ISNUMBER('Model_ of_individuals'!X189), 'Model_ of_individuals'!X189*'Model_ of_individuals'!$K189,"")</f>
        <v/>
      </c>
      <c r="Y184" s="93" t="str">
        <f>IF(ISNUMBER('Model_ of_individuals'!Y189), 'Model_ of_individuals'!Y189*'Model_ of_individuals'!$K189,"")</f>
        <v/>
      </c>
      <c r="Z184" s="93" t="str">
        <f>IF(ISNUMBER('Model_ of_individuals'!Z189), 'Model_ of_individuals'!Z189*'Model_ of_individuals'!$K189,"")</f>
        <v/>
      </c>
      <c r="AA184" s="93" t="str">
        <f>IF(ISNUMBER('Model_ of_individuals'!AA189), 'Model_ of_individuals'!AA189*'Model_ of_individuals'!$K189,"")</f>
        <v/>
      </c>
      <c r="AB184" s="93" t="str">
        <f>IF(ISNUMBER('Model_ of_individuals'!AB189), 'Model_ of_individuals'!AB189*'Model_ of_individuals'!$K189,"")</f>
        <v/>
      </c>
      <c r="AC184" s="93" t="str">
        <f>IF(ISNUMBER('Model_ of_individuals'!AC189), 'Model_ of_individuals'!AC189*'Model_ of_individuals'!$K189,"")</f>
        <v/>
      </c>
      <c r="AD184" s="93" t="str">
        <f>IF(ISNUMBER('Model_ of_individuals'!AD189), 'Model_ of_individuals'!AD189*'Model_ of_individuals'!$K189,"")</f>
        <v/>
      </c>
      <c r="AE184" s="109" t="str">
        <f>IF(ISNUMBER('Model_ of_individuals'!AE189), 'Model_ of_individuals'!AE189*'Model_ of_individuals'!$K189,"")</f>
        <v/>
      </c>
    </row>
    <row r="185" spans="1:32" x14ac:dyDescent="0.25">
      <c r="A185" s="518"/>
      <c r="B185" s="504"/>
      <c r="C185" s="110" t="str">
        <f>IF(ISNUMBER(B168), _3_5_0,"")</f>
        <v/>
      </c>
      <c r="D185" s="94" t="str">
        <f>IF(AND(B168&lt;&gt;"", OR('Cost Inputs'!$H$84&lt;&gt;"", 'Cost Inputs'!$I$84&lt;&gt;"", 'Cost Inputs'!$J$84&lt;&gt;"")), 'Cost Inputs'!$G$84,"")</f>
        <v/>
      </c>
      <c r="E185" s="94" t="str">
        <f>IF(AND(C185&lt;&gt;"", 'Cost Inputs'!$H$84&lt;&gt;""), 'Cost Inputs'!$H$84, "")</f>
        <v/>
      </c>
      <c r="F185" s="94" t="str">
        <f>IF(AND(C185&lt;&gt;"", 'Cost Inputs'!$I$84&lt;&gt;""), 'Cost Inputs'!$I$84, "")</f>
        <v/>
      </c>
      <c r="G185" s="94" t="str">
        <f t="shared" si="8"/>
        <v/>
      </c>
      <c r="H185" s="94" t="str">
        <f>IF(AND(C185&lt;&gt;"", 'Cost Inputs'!$J$84&lt;&gt;""), 'Cost Inputs'!$J$84, "")</f>
        <v/>
      </c>
      <c r="I185" s="94" t="str">
        <f>IF(AND($E185&lt;&gt;"", $H185&lt;&gt;""), $H185/$E185, "")</f>
        <v/>
      </c>
      <c r="J185" s="94" t="str">
        <f>IF(AND(C185&lt;&gt;"",('Cost Inputs'!$I$84+'Cost Inputs'!$J$84+'Cost Inputs'!$K$84)&gt;0), 'Cost Inputs'!$I$84+'Cost Inputs'!$J$84+'Cost Inputs'!$K$84, "")</f>
        <v/>
      </c>
      <c r="K185" s="94" t="str">
        <f>IF(AND(C185&lt;&gt;"", 'Cost Inputs'!$N$84&gt;0),'Cost Inputs'!$N$84,"")</f>
        <v/>
      </c>
      <c r="L185" s="94"/>
      <c r="M185" s="129" t="str">
        <f>IF(ISNUMBER(B168), 'Breeding Inputs'!D82+'Breeding Inputs'!E82, "")</f>
        <v/>
      </c>
      <c r="V185" s="110" t="str">
        <f>IF(ISNUMBER('Model_ of_individuals'!V191), 'Model_ of_individuals'!V191*'Model_ of_individuals'!$K191,"")</f>
        <v/>
      </c>
      <c r="W185" s="94" t="str">
        <f>IF(ISNUMBER('Model_ of_individuals'!W191), 'Model_ of_individuals'!W191*'Model_ of_individuals'!$K191,"")</f>
        <v/>
      </c>
      <c r="X185" s="94" t="str">
        <f>IF(ISNUMBER('Model_ of_individuals'!X191), 'Model_ of_individuals'!X191*'Model_ of_individuals'!$K191,"")</f>
        <v/>
      </c>
      <c r="Y185" s="94" t="str">
        <f>IF(ISNUMBER('Model_ of_individuals'!Y191), 'Model_ of_individuals'!Y191*'Model_ of_individuals'!$K191,"")</f>
        <v/>
      </c>
      <c r="Z185" s="94" t="str">
        <f>IF(ISNUMBER('Model_ of_individuals'!Z191), 'Model_ of_individuals'!Z191*'Model_ of_individuals'!$K191,"")</f>
        <v/>
      </c>
      <c r="AA185" s="94" t="str">
        <f>IF(ISNUMBER('Model_ of_individuals'!AA191), 'Model_ of_individuals'!AA191*'Model_ of_individuals'!$K191,"")</f>
        <v/>
      </c>
      <c r="AB185" s="94" t="str">
        <f>IF(ISNUMBER('Model_ of_individuals'!AB191), 'Model_ of_individuals'!AB191*'Model_ of_individuals'!$K191,"")</f>
        <v/>
      </c>
      <c r="AC185" s="94" t="str">
        <f>IF(ISNUMBER('Model_ of_individuals'!AC191), 'Model_ of_individuals'!AC191*'Model_ of_individuals'!$K191,"")</f>
        <v/>
      </c>
      <c r="AD185" s="94" t="str">
        <f>IF(ISNUMBER('Model_ of_individuals'!AD191), 'Model_ of_individuals'!AD191*'Model_ of_individuals'!$K191,"")</f>
        <v/>
      </c>
      <c r="AE185" s="103" t="str">
        <f>IF(ISNUMBER('Model_ of_individuals'!AE191), 'Model_ of_individuals'!AE191*'Model_ of_individuals'!$K191,"")</f>
        <v/>
      </c>
    </row>
    <row r="186" spans="1:32" x14ac:dyDescent="0.25">
      <c r="A186" s="518"/>
      <c r="B186" s="504"/>
      <c r="C186" s="104" t="str">
        <f>IF(AND(ISNUMBER(B168), OR('Cost Inputs'!$H$85&lt;&gt;"", 'Cost Inputs'!$I$85&lt;&gt;"", 'Cost Inputs'!$J$85&lt;&gt;"")), _3_5_1, "")</f>
        <v/>
      </c>
      <c r="D186" s="17" t="str">
        <f>IF(AND(C186&lt;&gt;"", 'Cost Inputs'!$G$85&lt;&gt;""), 'Cost Inputs'!$G$85, "")</f>
        <v/>
      </c>
      <c r="E186" s="17" t="str">
        <f>IF(AND(C186&lt;&gt;"", 'Cost Inputs'!$H$85&lt;&gt;""), 'Cost Inputs'!$H$85, "")</f>
        <v/>
      </c>
      <c r="F186" s="17" t="str">
        <f>IF(AND(C186&lt;&gt;"", 'Cost Inputs'!$I$85&lt;&gt;""), 'Cost Inputs'!$I$85, "")</f>
        <v/>
      </c>
      <c r="G186" s="17" t="str">
        <f t="shared" si="8"/>
        <v/>
      </c>
      <c r="H186" s="17" t="str">
        <f>IF(AND(C186&lt;&gt;"", 'Cost Inputs'!$J$85&lt;&gt;""), 'Cost Inputs'!$J$85, "")</f>
        <v/>
      </c>
      <c r="I186" s="17" t="str">
        <f t="shared" si="7"/>
        <v/>
      </c>
      <c r="J186" s="17" t="str">
        <f>IF(AND(C186&lt;&gt;"",('Cost Inputs'!$I$85+'Cost Inputs'!$J$85+'Cost Inputs'!$K$85)&gt;0), 'Cost Inputs'!$I$85+'Cost Inputs'!$J$85+'Cost Inputs'!$K$85, "")</f>
        <v/>
      </c>
      <c r="K186" s="17" t="str">
        <f>IF(AND(C186&lt;&gt;"", 'Cost Inputs'!$N$85&gt;0),'Cost Inputs'!$N$85,"")</f>
        <v/>
      </c>
      <c r="M186" s="106"/>
      <c r="V186" s="104" t="str">
        <f>IF(ISNUMBER('Model_ of_individuals'!V192), 'Model_ of_individuals'!V192*'Model_ of_individuals'!$K192,"")</f>
        <v/>
      </c>
      <c r="W186" s="17" t="str">
        <f>IF(ISNUMBER('Model_ of_individuals'!W192), 'Model_ of_individuals'!W192*'Model_ of_individuals'!$K192,"")</f>
        <v/>
      </c>
      <c r="X186" s="17" t="str">
        <f>IF(ISNUMBER('Model_ of_individuals'!X192), 'Model_ of_individuals'!X192*'Model_ of_individuals'!$K192,"")</f>
        <v/>
      </c>
      <c r="Y186" s="17" t="str">
        <f>IF(ISNUMBER('Model_ of_individuals'!Y192), 'Model_ of_individuals'!Y192*'Model_ of_individuals'!$K192,"")</f>
        <v/>
      </c>
      <c r="Z186" s="17" t="str">
        <f>IF(ISNUMBER('Model_ of_individuals'!Z192), 'Model_ of_individuals'!Z192*'Model_ of_individuals'!$K192,"")</f>
        <v/>
      </c>
      <c r="AA186" s="17" t="str">
        <f>IF(ISNUMBER('Model_ of_individuals'!AA192), 'Model_ of_individuals'!AA192*'Model_ of_individuals'!$K192,"")</f>
        <v/>
      </c>
      <c r="AB186" s="17" t="str">
        <f>IF(ISNUMBER('Model_ of_individuals'!AB192), 'Model_ of_individuals'!AB192*'Model_ of_individuals'!$K192,"")</f>
        <v/>
      </c>
      <c r="AC186" s="17" t="str">
        <f>IF(ISNUMBER('Model_ of_individuals'!AC192), 'Model_ of_individuals'!AC192*'Model_ of_individuals'!$K192,"")</f>
        <v/>
      </c>
      <c r="AD186" s="17" t="str">
        <f>IF(ISNUMBER('Model_ of_individuals'!AD192), 'Model_ of_individuals'!AD192*'Model_ of_individuals'!$K192,"")</f>
        <v/>
      </c>
      <c r="AE186" s="106" t="str">
        <f>IF(ISNUMBER('Model_ of_individuals'!AE192), 'Model_ of_individuals'!AE192*'Model_ of_individuals'!$K192,"")</f>
        <v/>
      </c>
    </row>
    <row r="187" spans="1:32" ht="15.75" thickBot="1" x14ac:dyDescent="0.3">
      <c r="A187" s="518"/>
      <c r="B187" s="505"/>
      <c r="C187" s="111" t="str">
        <f>IF(AND(ISNUMBER(B168), OR('Cost Inputs'!$H$86&lt;&gt;"", 'Cost Inputs'!$I$86&lt;&gt;"", 'Cost Inputs'!$J$86&lt;&gt;"")), _3_5_2, "")</f>
        <v/>
      </c>
      <c r="D187" s="95" t="str">
        <f>IF(AND(C187&lt;&gt;"", 'Cost Inputs'!$G$86&lt;&gt;""), 'Cost Inputs'!$G$86, "")</f>
        <v/>
      </c>
      <c r="E187" s="95" t="str">
        <f>IF(AND(C187&lt;&gt;"", 'Cost Inputs'!$H$86&lt;&gt;""), 'Cost Inputs'!$H$86, "")</f>
        <v/>
      </c>
      <c r="F187" s="95" t="str">
        <f>IF(AND(C187&lt;&gt;"", 'Cost Inputs'!$I$86&lt;&gt;""), 'Cost Inputs'!$I$86, "")</f>
        <v/>
      </c>
      <c r="G187" s="95" t="str">
        <f t="shared" si="8"/>
        <v/>
      </c>
      <c r="H187" s="95" t="str">
        <f>IF(AND(C187&lt;&gt;"", 'Cost Inputs'!$J$86&lt;&gt;""), 'Cost Inputs'!$J$86, "")</f>
        <v/>
      </c>
      <c r="I187" s="95" t="str">
        <f t="shared" si="7"/>
        <v/>
      </c>
      <c r="J187" s="95" t="str">
        <f>IF(AND(C187&lt;&gt;"",('Cost Inputs'!$I$86+'Cost Inputs'!$J$86+'Cost Inputs'!$K$86)&gt;0), 'Cost Inputs'!$I$86+'Cost Inputs'!$J$86+'Cost Inputs'!$K$86, "")</f>
        <v/>
      </c>
      <c r="K187" s="95" t="str">
        <f>IF(AND(C187&lt;&gt;"", 'Cost Inputs'!$N$86&gt;0),'Cost Inputs'!$N$86,"")</f>
        <v/>
      </c>
      <c r="L187" s="95"/>
      <c r="M187" s="113"/>
      <c r="V187" s="111" t="str">
        <f>IF(ISNUMBER('Model_ of_individuals'!V193), 'Model_ of_individuals'!V193*'Model_ of_individuals'!$K193,"")</f>
        <v/>
      </c>
      <c r="W187" s="95" t="str">
        <f>IF(ISNUMBER('Model_ of_individuals'!W193), 'Model_ of_individuals'!W193*'Model_ of_individuals'!$K193,"")</f>
        <v/>
      </c>
      <c r="X187" s="95" t="str">
        <f>IF(ISNUMBER('Model_ of_individuals'!X193), 'Model_ of_individuals'!X193*'Model_ of_individuals'!$K193,"")</f>
        <v/>
      </c>
      <c r="Y187" s="95" t="str">
        <f>IF(ISNUMBER('Model_ of_individuals'!Y193), 'Model_ of_individuals'!Y193*'Model_ of_individuals'!$K193,"")</f>
        <v/>
      </c>
      <c r="Z187" s="95" t="str">
        <f>IF(ISNUMBER('Model_ of_individuals'!Z193), 'Model_ of_individuals'!Z193*'Model_ of_individuals'!$K193,"")</f>
        <v/>
      </c>
      <c r="AA187" s="95" t="str">
        <f>IF(ISNUMBER('Model_ of_individuals'!AA193), 'Model_ of_individuals'!AA193*'Model_ of_individuals'!$K193,"")</f>
        <v/>
      </c>
      <c r="AB187" s="95" t="str">
        <f>IF(ISNUMBER('Model_ of_individuals'!AB193), 'Model_ of_individuals'!AB193*'Model_ of_individuals'!$K193,"")</f>
        <v/>
      </c>
      <c r="AC187" s="95" t="str">
        <f>IF(ISNUMBER('Model_ of_individuals'!AC193), 'Model_ of_individuals'!AC193*'Model_ of_individuals'!$K193,"")</f>
        <v/>
      </c>
      <c r="AD187" s="95" t="str">
        <f>IF(ISNUMBER('Model_ of_individuals'!AD193), 'Model_ of_individuals'!AD193*'Model_ of_individuals'!$K193,"")</f>
        <v/>
      </c>
      <c r="AE187" s="113" t="str">
        <f>IF(ISNUMBER('Model_ of_individuals'!AE193), 'Model_ of_individuals'!AE193*'Model_ of_individuals'!$K193,"")</f>
        <v/>
      </c>
    </row>
    <row r="188" spans="1:32" ht="14.45" customHeight="1" x14ac:dyDescent="0.25">
      <c r="A188" s="518" t="str">
        <f>Third_Stage</f>
        <v>Stage 1 Seedling Test Plots</v>
      </c>
      <c r="B188" s="503" t="str">
        <f>'Breeding Inputs'!B83</f>
        <v/>
      </c>
      <c r="C188" s="116" t="str">
        <f>IF(ISNUMBER(B188), _3_2_0, "")</f>
        <v/>
      </c>
      <c r="D188" s="92" t="str">
        <f>IF(AND(B188&lt;&gt;"", OR('Cost Inputs'!$H$67&lt;&gt;"", 'Cost Inputs'!$I$67&lt;&gt;"", 'Cost Inputs'!$J$67&lt;&gt;"")), 'Cost Inputs'!$G$67,"")</f>
        <v/>
      </c>
      <c r="E188" s="92" t="str">
        <f>IF(AND(C188&lt;&gt;"", 'Cost Inputs'!$H$67&lt;&gt;"", M$185&lt;&gt;"", M$185&gt;0), $E168-('Cost Inputs'!$H$67*M$185), IF(AND(C188&lt;&gt;"", 'Cost Inputs'!$H$67&lt;&gt;""), $E168, ""))</f>
        <v/>
      </c>
      <c r="F188" s="92" t="str">
        <f>IF(AND(C188&lt;&gt;"", 'Cost Inputs'!$I$67&lt;&gt;""), 'Cost Inputs'!$I$67, "")</f>
        <v/>
      </c>
      <c r="G188" s="92" t="str">
        <f t="shared" si="8"/>
        <v/>
      </c>
      <c r="H188" s="92" t="str">
        <f>IF(AND(C188&lt;&gt;"", 'Cost Inputs'!$J$67&lt;&gt;""), 'Cost Inputs'!$J$67, "")</f>
        <v/>
      </c>
      <c r="I188" s="92" t="str">
        <f>IF(AND($E188&lt;&gt;"", $H188&lt;&gt;""), $H188/$E188, "")</f>
        <v/>
      </c>
      <c r="J188" s="92" t="str">
        <f>IF(AND(C188&lt;&gt;"",('Cost Inputs'!$I$67+'Cost Inputs'!$J$67+'Cost Inputs'!$K$67)&gt;0), 'Cost Inputs'!$I$67+'Cost Inputs'!$J$67+'Cost Inputs'!$K$67, "")</f>
        <v/>
      </c>
      <c r="K188" s="92" t="str">
        <f>IF(AND(C188&lt;&gt;"", 'Cost Inputs'!$N$67&gt;0),'Cost Inputs'!$N$67,"")</f>
        <v/>
      </c>
      <c r="L188" s="92"/>
      <c r="M188" s="101"/>
      <c r="W188" s="110" t="str">
        <f>IF(ISNUMBER('Model_ of_individuals'!W194), 'Model_ of_individuals'!W194*'Model_ of_individuals'!$K194,"")</f>
        <v/>
      </c>
      <c r="X188" s="94" t="str">
        <f>IF(ISNUMBER('Model_ of_individuals'!X194), 'Model_ of_individuals'!X194*'Model_ of_individuals'!$K194,"")</f>
        <v/>
      </c>
      <c r="Y188" s="94" t="str">
        <f>IF(ISNUMBER('Model_ of_individuals'!Y194), 'Model_ of_individuals'!Y194*'Model_ of_individuals'!$K194,"")</f>
        <v/>
      </c>
      <c r="Z188" s="94" t="str">
        <f>IF(ISNUMBER('Model_ of_individuals'!Z194), 'Model_ of_individuals'!Z194*'Model_ of_individuals'!$K194,"")</f>
        <v/>
      </c>
      <c r="AA188" s="94" t="str">
        <f>IF(ISNUMBER('Model_ of_individuals'!AA194), 'Model_ of_individuals'!AA194*'Model_ of_individuals'!$K194,"")</f>
        <v/>
      </c>
      <c r="AB188" s="94" t="str">
        <f>IF(ISNUMBER('Model_ of_individuals'!AB194), 'Model_ of_individuals'!AB194*'Model_ of_individuals'!$K194,"")</f>
        <v/>
      </c>
      <c r="AC188" s="94" t="str">
        <f>IF(ISNUMBER('Model_ of_individuals'!AC194), 'Model_ of_individuals'!AC194*'Model_ of_individuals'!$K194,"")</f>
        <v/>
      </c>
      <c r="AD188" s="94" t="str">
        <f>IF(ISNUMBER('Model_ of_individuals'!AD194), 'Model_ of_individuals'!AD194*'Model_ of_individuals'!$K194,"")</f>
        <v/>
      </c>
      <c r="AE188" s="94" t="str">
        <f>IF(ISNUMBER('Model_ of_individuals'!AE194), 'Model_ of_individuals'!AE194*'Model_ of_individuals'!$K194,"")</f>
        <v/>
      </c>
      <c r="AF188" s="103" t="str">
        <f>IF(ISNUMBER('Model_ of_individuals'!AF194), 'Model_ of_individuals'!AF194*'Model_ of_individuals'!$K194,"")</f>
        <v/>
      </c>
    </row>
    <row r="189" spans="1:32" x14ac:dyDescent="0.25">
      <c r="A189" s="518"/>
      <c r="B189" s="504"/>
      <c r="C189" s="104" t="str">
        <f>IF(AND(ISNUMBER(B188), OR('Cost Inputs'!$H$68&lt;&gt;"", 'Cost Inputs'!$I$68&lt;&gt;"", 'Cost Inputs'!$J$68&lt;&gt;"")), _3_2_1, "")</f>
        <v/>
      </c>
      <c r="D189" s="17" t="str">
        <f>IF(AND($C189&lt;&gt;"", 'Cost Inputs'!$G$68&lt;&gt;""), 'Cost Inputs'!$G$68, "")</f>
        <v/>
      </c>
      <c r="E189" s="17" t="str">
        <f>IF(AND(C189&lt;&gt;"", 'Cost Inputs'!$H$68&lt;&gt;"", M$185&lt;&gt;"", M$185&gt;0), $E169-('Cost Inputs'!$H$68*M$185), IF(AND(C189&lt;&gt;"", 'Cost Inputs'!$H$68&lt;&gt;""), $E169, ""))</f>
        <v/>
      </c>
      <c r="F189" s="17" t="str">
        <f>IF(AND(C189&lt;&gt;"", 'Cost Inputs'!$I$68&lt;&gt;""), 'Cost Inputs'!$I$68, "")</f>
        <v/>
      </c>
      <c r="G189" s="17" t="str">
        <f t="shared" si="8"/>
        <v/>
      </c>
      <c r="H189" s="17" t="str">
        <f>IF(AND(C189&lt;&gt;"", 'Cost Inputs'!$J$68&lt;&gt;""), 'Cost Inputs'!$J$68, "")</f>
        <v/>
      </c>
      <c r="I189" s="17" t="str">
        <f t="shared" si="7"/>
        <v/>
      </c>
      <c r="J189" s="17" t="str">
        <f>IF(AND(C189&lt;&gt;"",('Cost Inputs'!$I$68+'Cost Inputs'!$J$68+'Cost Inputs'!$K$68)&gt;0), 'Cost Inputs'!$I$68+'Cost Inputs'!$J$68+'Cost Inputs'!$K$68, "")</f>
        <v/>
      </c>
      <c r="K189" s="17" t="str">
        <f>IF(AND(C189&lt;&gt;"", 'Cost Inputs'!$N$68&gt;0),'Cost Inputs'!$N$68,"")</f>
        <v/>
      </c>
      <c r="M189" s="106"/>
      <c r="W189" s="104" t="str">
        <f>IF(ISNUMBER('Model_ of_individuals'!W195), 'Model_ of_individuals'!W195*'Model_ of_individuals'!$K195,"")</f>
        <v/>
      </c>
      <c r="X189" s="17" t="str">
        <f>IF(ISNUMBER('Model_ of_individuals'!X195), 'Model_ of_individuals'!X195*'Model_ of_individuals'!$K195,"")</f>
        <v/>
      </c>
      <c r="Y189" s="17" t="str">
        <f>IF(ISNUMBER('Model_ of_individuals'!Y195), 'Model_ of_individuals'!Y195*'Model_ of_individuals'!$K195,"")</f>
        <v/>
      </c>
      <c r="Z189" s="17" t="str">
        <f>IF(ISNUMBER('Model_ of_individuals'!Z195), 'Model_ of_individuals'!Z195*'Model_ of_individuals'!$K195,"")</f>
        <v/>
      </c>
      <c r="AA189" s="17" t="str">
        <f>IF(ISNUMBER('Model_ of_individuals'!AA195), 'Model_ of_individuals'!AA195*'Model_ of_individuals'!$K195,"")</f>
        <v/>
      </c>
      <c r="AB189" s="17" t="str">
        <f>IF(ISNUMBER('Model_ of_individuals'!AB195), 'Model_ of_individuals'!AB195*'Model_ of_individuals'!$K195,"")</f>
        <v/>
      </c>
      <c r="AC189" s="17" t="str">
        <f>IF(ISNUMBER('Model_ of_individuals'!AC195), 'Model_ of_individuals'!AC195*'Model_ of_individuals'!$K195,"")</f>
        <v/>
      </c>
      <c r="AD189" s="17" t="str">
        <f>IF(ISNUMBER('Model_ of_individuals'!AD195), 'Model_ of_individuals'!AD195*'Model_ of_individuals'!$K195,"")</f>
        <v/>
      </c>
      <c r="AE189" s="17" t="str">
        <f>IF(ISNUMBER('Model_ of_individuals'!AE195), 'Model_ of_individuals'!AE195*'Model_ of_individuals'!$K195,"")</f>
        <v/>
      </c>
      <c r="AF189" s="106" t="str">
        <f>IF(ISNUMBER('Model_ of_individuals'!AF195), 'Model_ of_individuals'!AF195*'Model_ of_individuals'!$K195,"")</f>
        <v/>
      </c>
    </row>
    <row r="190" spans="1:32" x14ac:dyDescent="0.25">
      <c r="A190" s="518"/>
      <c r="B190" s="504"/>
      <c r="C190" s="107" t="str">
        <f>IF(AND(ISNUMBER(B188), OR('Cost Inputs'!$H$69&lt;&gt;"", 'Cost Inputs'!$I$69&lt;&gt;"", 'Cost Inputs'!$J$69&lt;&gt;"")), _3_2_2, "")</f>
        <v/>
      </c>
      <c r="D190" s="93" t="str">
        <f>IF(AND($C190&lt;&gt;"", 'Cost Inputs'!$G$69&lt;&gt;""), 'Cost Inputs'!$G$69, "")</f>
        <v/>
      </c>
      <c r="E190" s="93" t="str">
        <f>IF(AND(C190&lt;&gt;"", 'Cost Inputs'!$H$69&lt;&gt;"", M$185&lt;&gt;"", M$185&gt;0), $E170-('Cost Inputs'!$H$69*M$185), IF(AND(C190&lt;&gt;"", 'Cost Inputs'!$H$69&lt;&gt;""), $E170, ""))</f>
        <v/>
      </c>
      <c r="F190" s="93" t="str">
        <f>IF(AND(C190&lt;&gt;"", 'Cost Inputs'!$I$69&lt;&gt;""), 'Cost Inputs'!$I$69, "")</f>
        <v/>
      </c>
      <c r="G190" s="93" t="str">
        <f t="shared" si="8"/>
        <v/>
      </c>
      <c r="H190" s="93" t="str">
        <f>IF(AND(C190&lt;&gt;"", 'Cost Inputs'!$J$69&lt;&gt;""), 'Cost Inputs'!$J$69, "")</f>
        <v/>
      </c>
      <c r="I190" s="93" t="str">
        <f t="shared" si="7"/>
        <v/>
      </c>
      <c r="J190" s="93" t="str">
        <f>IF(AND(C190&lt;&gt;"",('Cost Inputs'!$I$69+'Cost Inputs'!$J$69+'Cost Inputs'!$K$69)&gt;0), 'Cost Inputs'!$I$69+'Cost Inputs'!$J$69+'Cost Inputs'!$K$69, "")</f>
        <v/>
      </c>
      <c r="K190" s="93" t="str">
        <f>IF(AND(C190&lt;&gt;"", 'Cost Inputs'!$N$69&gt;0),'Cost Inputs'!$N$69,"")</f>
        <v/>
      </c>
      <c r="L190" s="93"/>
      <c r="M190" s="109"/>
      <c r="W190" s="107" t="str">
        <f>IF(ISNUMBER('Model_ of_individuals'!W196), 'Model_ of_individuals'!W196*'Model_ of_individuals'!$K196,"")</f>
        <v/>
      </c>
      <c r="X190" s="93" t="str">
        <f>IF(ISNUMBER('Model_ of_individuals'!X196), 'Model_ of_individuals'!X196*'Model_ of_individuals'!$K196,"")</f>
        <v/>
      </c>
      <c r="Y190" s="93" t="str">
        <f>IF(ISNUMBER('Model_ of_individuals'!Y196), 'Model_ of_individuals'!Y196*'Model_ of_individuals'!$K196,"")</f>
        <v/>
      </c>
      <c r="Z190" s="93" t="str">
        <f>IF(ISNUMBER('Model_ of_individuals'!Z196), 'Model_ of_individuals'!Z196*'Model_ of_individuals'!$K196,"")</f>
        <v/>
      </c>
      <c r="AA190" s="93" t="str">
        <f>IF(ISNUMBER('Model_ of_individuals'!AA196), 'Model_ of_individuals'!AA196*'Model_ of_individuals'!$K196,"")</f>
        <v/>
      </c>
      <c r="AB190" s="93" t="str">
        <f>IF(ISNUMBER('Model_ of_individuals'!AB196), 'Model_ of_individuals'!AB196*'Model_ of_individuals'!$K196,"")</f>
        <v/>
      </c>
      <c r="AC190" s="93" t="str">
        <f>IF(ISNUMBER('Model_ of_individuals'!AC196), 'Model_ of_individuals'!AC196*'Model_ of_individuals'!$K196,"")</f>
        <v/>
      </c>
      <c r="AD190" s="93" t="str">
        <f>IF(ISNUMBER('Model_ of_individuals'!AD196), 'Model_ of_individuals'!AD196*'Model_ of_individuals'!$K196,"")</f>
        <v/>
      </c>
      <c r="AE190" s="93" t="str">
        <f>IF(ISNUMBER('Model_ of_individuals'!AE196), 'Model_ of_individuals'!AE196*'Model_ of_individuals'!$K196,"")</f>
        <v/>
      </c>
      <c r="AF190" s="109" t="str">
        <f>IF(ISNUMBER('Model_ of_individuals'!AF196), 'Model_ of_individuals'!AF196*'Model_ of_individuals'!$K196,"")</f>
        <v/>
      </c>
    </row>
    <row r="191" spans="1:32" x14ac:dyDescent="0.25">
      <c r="A191" s="518"/>
      <c r="B191" s="504"/>
      <c r="C191" s="104" t="str">
        <f>IF(AND( ISNUMBER(B188), OR('Cost Inputs'!$H$70&lt;&gt;"", 'Cost Inputs'!$I$70&lt;&gt;"", 'Cost Inputs'!$J$70&lt;&gt;"")), _3_2_3, "")</f>
        <v/>
      </c>
      <c r="D191" s="17" t="str">
        <f>IF(AND($C191&lt;&gt;"", 'Cost Inputs'!$G$70&lt;&gt;""), 'Cost Inputs'!$G$70, "")</f>
        <v/>
      </c>
      <c r="E191" s="17" t="str">
        <f>IF(AND(C191&lt;&gt;"", 'Cost Inputs'!$H$70&lt;&gt;"", M$185&lt;&gt;"", M$185&gt;0), $E171-('Cost Inputs'!$H$70*M$185), IF(AND(C191&lt;&gt;"", 'Cost Inputs'!$H$70&lt;&gt;""), $E171, ""))</f>
        <v/>
      </c>
      <c r="F191" s="17" t="str">
        <f>IF(AND(C191&lt;&gt;"", 'Cost Inputs'!$I$70&lt;&gt;""), 'Cost Inputs'!$I$70, "")</f>
        <v/>
      </c>
      <c r="G191" s="17" t="str">
        <f t="shared" si="8"/>
        <v/>
      </c>
      <c r="H191" s="17" t="str">
        <f>IF(AND(C191&lt;&gt;"", 'Cost Inputs'!$J$70&lt;&gt;""), 'Cost Inputs'!$J$70, "")</f>
        <v/>
      </c>
      <c r="I191" s="17" t="str">
        <f t="shared" si="7"/>
        <v/>
      </c>
      <c r="J191" s="17" t="str">
        <f>IF(AND(C191&lt;&gt;"",('Cost Inputs'!$I$70+'Cost Inputs'!$J$70+'Cost Inputs'!$K$70)&gt;0), 'Cost Inputs'!$I$70+'Cost Inputs'!$J$70+'Cost Inputs'!$K$70, "")</f>
        <v/>
      </c>
      <c r="K191" s="17" t="str">
        <f>IF(AND(C191&lt;&gt;"", 'Cost Inputs'!$N$70&gt;0),'Cost Inputs'!$N$70,"")</f>
        <v/>
      </c>
      <c r="M191" s="106"/>
      <c r="W191" s="104" t="str">
        <f>IF(ISNUMBER('Model_ of_individuals'!W197), 'Model_ of_individuals'!W197*'Model_ of_individuals'!$K197,"")</f>
        <v/>
      </c>
      <c r="X191" s="17" t="str">
        <f>IF(ISNUMBER('Model_ of_individuals'!X197), 'Model_ of_individuals'!X197*'Model_ of_individuals'!$K197,"")</f>
        <v/>
      </c>
      <c r="Y191" s="17" t="str">
        <f>IF(ISNUMBER('Model_ of_individuals'!Y197), 'Model_ of_individuals'!Y197*'Model_ of_individuals'!$K197,"")</f>
        <v/>
      </c>
      <c r="Z191" s="17" t="str">
        <f>IF(ISNUMBER('Model_ of_individuals'!Z197), 'Model_ of_individuals'!Z197*'Model_ of_individuals'!$K197,"")</f>
        <v/>
      </c>
      <c r="AA191" s="17" t="str">
        <f>IF(ISNUMBER('Model_ of_individuals'!AA197), 'Model_ of_individuals'!AA197*'Model_ of_individuals'!$K197,"")</f>
        <v/>
      </c>
      <c r="AB191" s="17" t="str">
        <f>IF(ISNUMBER('Model_ of_individuals'!AB197), 'Model_ of_individuals'!AB197*'Model_ of_individuals'!$K197,"")</f>
        <v/>
      </c>
      <c r="AC191" s="17" t="str">
        <f>IF(ISNUMBER('Model_ of_individuals'!AC197), 'Model_ of_individuals'!AC197*'Model_ of_individuals'!$K197,"")</f>
        <v/>
      </c>
      <c r="AD191" s="17" t="str">
        <f>IF(ISNUMBER('Model_ of_individuals'!AD197), 'Model_ of_individuals'!AD197*'Model_ of_individuals'!$K197,"")</f>
        <v/>
      </c>
      <c r="AE191" s="17" t="str">
        <f>IF(ISNUMBER('Model_ of_individuals'!AE197), 'Model_ of_individuals'!AE197*'Model_ of_individuals'!$K197,"")</f>
        <v/>
      </c>
      <c r="AF191" s="106" t="str">
        <f>IF(ISNUMBER('Model_ of_individuals'!AF197), 'Model_ of_individuals'!AF197*'Model_ of_individuals'!$K197,"")</f>
        <v/>
      </c>
    </row>
    <row r="192" spans="1:32" x14ac:dyDescent="0.25">
      <c r="A192" s="518"/>
      <c r="B192" s="504"/>
      <c r="C192" s="107" t="str">
        <f>IF(AND( ISNUMBER(B188), OR('Cost Inputs'!$H$71&lt;&gt;"", 'Cost Inputs'!$I$71&lt;&gt;"", 'Cost Inputs'!$J$71&lt;&gt;"")), _3_2_4, "")</f>
        <v/>
      </c>
      <c r="D192" s="93" t="str">
        <f>IF(AND($C192&lt;&gt;"", 'Cost Inputs'!$G$71&lt;&gt;""), 'Cost Inputs'!$G$71, "")</f>
        <v/>
      </c>
      <c r="E192" s="93" t="str">
        <f>IF(AND(C192&lt;&gt;"", 'Cost Inputs'!$H$71&lt;&gt;"", M$185&lt;&gt;"", M$185&gt;0), $E172-('Cost Inputs'!$H$71*M$185), IF(AND(C192&lt;&gt;"", 'Cost Inputs'!$H$71&lt;&gt;""), $E172, ""))</f>
        <v/>
      </c>
      <c r="F192" s="93" t="str">
        <f>IF(AND(C192&lt;&gt;"", 'Cost Inputs'!$I$71&lt;&gt;""), 'Cost Inputs'!$I$71, "")</f>
        <v/>
      </c>
      <c r="G192" s="93" t="str">
        <f t="shared" si="8"/>
        <v/>
      </c>
      <c r="H192" s="93" t="str">
        <f>IF(AND(C192&lt;&gt;"", 'Cost Inputs'!$J$71&lt;&gt;""), 'Cost Inputs'!$J$71, "")</f>
        <v/>
      </c>
      <c r="I192" s="93" t="str">
        <f t="shared" si="7"/>
        <v/>
      </c>
      <c r="J192" s="93" t="str">
        <f>IF(AND(C192&lt;&gt;"",('Cost Inputs'!$I$71+'Cost Inputs'!$J$71+'Cost Inputs'!$K$71)&gt;0), 'Cost Inputs'!$I$71+'Cost Inputs'!$J$71+'Cost Inputs'!$K$71, "")</f>
        <v/>
      </c>
      <c r="K192" s="93" t="str">
        <f>IF(AND(C192&lt;&gt;"", 'Cost Inputs'!$N$71&gt;0),'Cost Inputs'!$N$71,"")</f>
        <v/>
      </c>
      <c r="L192" s="93"/>
      <c r="M192" s="109"/>
      <c r="W192" s="107" t="str">
        <f>IF(ISNUMBER('Model_ of_individuals'!W198), 'Model_ of_individuals'!W198*'Model_ of_individuals'!$K198,"")</f>
        <v/>
      </c>
      <c r="X192" s="93" t="str">
        <f>IF(ISNUMBER('Model_ of_individuals'!X198), 'Model_ of_individuals'!X198*'Model_ of_individuals'!$K198,"")</f>
        <v/>
      </c>
      <c r="Y192" s="93" t="str">
        <f>IF(ISNUMBER('Model_ of_individuals'!Y198), 'Model_ of_individuals'!Y198*'Model_ of_individuals'!$K198,"")</f>
        <v/>
      </c>
      <c r="Z192" s="93" t="str">
        <f>IF(ISNUMBER('Model_ of_individuals'!Z198), 'Model_ of_individuals'!Z198*'Model_ of_individuals'!$K198,"")</f>
        <v/>
      </c>
      <c r="AA192" s="93" t="str">
        <f>IF(ISNUMBER('Model_ of_individuals'!AA198), 'Model_ of_individuals'!AA198*'Model_ of_individuals'!$K198,"")</f>
        <v/>
      </c>
      <c r="AB192" s="93" t="str">
        <f>IF(ISNUMBER('Model_ of_individuals'!AB198), 'Model_ of_individuals'!AB198*'Model_ of_individuals'!$K198,"")</f>
        <v/>
      </c>
      <c r="AC192" s="93" t="str">
        <f>IF(ISNUMBER('Model_ of_individuals'!AC198), 'Model_ of_individuals'!AC198*'Model_ of_individuals'!$K198,"")</f>
        <v/>
      </c>
      <c r="AD192" s="93" t="str">
        <f>IF(ISNUMBER('Model_ of_individuals'!AD198), 'Model_ of_individuals'!AD198*'Model_ of_individuals'!$K198,"")</f>
        <v/>
      </c>
      <c r="AE192" s="93" t="str">
        <f>IF(ISNUMBER('Model_ of_individuals'!AE198), 'Model_ of_individuals'!AE198*'Model_ of_individuals'!$K198,"")</f>
        <v/>
      </c>
      <c r="AF192" s="109" t="str">
        <f>IF(ISNUMBER('Model_ of_individuals'!AF198), 'Model_ of_individuals'!AF198*'Model_ of_individuals'!$K198,"")</f>
        <v/>
      </c>
    </row>
    <row r="193" spans="1:33" x14ac:dyDescent="0.25">
      <c r="A193" s="518"/>
      <c r="B193" s="504"/>
      <c r="C193" s="110" t="str">
        <f>IF(AND(B188&lt;&gt;"", ISNUMBER(Stage1EvaluationBegins)), IF((INDEX(ProgramYearStage1,MATCH(Stage1EvaluationBegins,Years_in_Stage1,0)))=B188, _3_3_0, IF(AND(B188&lt;&gt;"", C173&lt;&gt;""), _3_3_0, IF(AND(B188&lt;&gt;"", OR(Stage1EvaluationBegins=0, Stage1EvaluationBegins="")),"", ""))),"")</f>
        <v/>
      </c>
      <c r="D193" s="94" t="str">
        <f>IF(AND(B188&lt;&gt;"", OR('Cost Inputs'!$H$72&lt;&gt;"", 'Cost Inputs'!$I$72&lt;&gt;"", 'Cost Inputs'!$J$72&lt;&gt;"")), 'Cost Inputs'!$G$72,"")</f>
        <v/>
      </c>
      <c r="E193" s="94" t="str">
        <f>IF(AND(C193&lt;&gt;"", 'Cost Inputs'!$H$72&lt;&gt;""), 'Cost Inputs'!$H$72, "")</f>
        <v/>
      </c>
      <c r="F193" s="94" t="str">
        <f>IF(AND(C193&lt;&gt;"", 'Cost Inputs'!$I$72&lt;&gt;""), 'Cost Inputs'!$I$72, "")</f>
        <v/>
      </c>
      <c r="G193" s="94" t="str">
        <f t="shared" si="8"/>
        <v/>
      </c>
      <c r="H193" s="94" t="str">
        <f>IF(AND(C193&lt;&gt;"", 'Cost Inputs'!$J$72&lt;&gt;""), 'Cost Inputs'!$J$72, "")</f>
        <v/>
      </c>
      <c r="I193" s="94" t="str">
        <f>IF(AND($E193&lt;&gt;"", $H193&lt;&gt;""), $H193/$E193, "")</f>
        <v/>
      </c>
      <c r="J193" s="94" t="str">
        <f>IF(AND(C193&lt;&gt;"",('Cost Inputs'!$I$72+'Cost Inputs'!$J$72+'Cost Inputs'!$K$72)&gt;0), 'Cost Inputs'!$I$72+'Cost Inputs'!$J$72+'Cost Inputs'!$K$72, "")</f>
        <v/>
      </c>
      <c r="K193" s="94" t="str">
        <f>IF(AND(C193&lt;&gt;"", 'Cost Inputs'!$N$72&gt;0),'Cost Inputs'!$N$72,"")</f>
        <v/>
      </c>
      <c r="L193" s="130" t="str">
        <f>IF(AND($B188&lt;&gt;"", ISNUMBER(Stage1EvaluationBegins)), IF((INDEX(ProgramYearStage1,MATCH(Stage1EvaluationBegins,Years_in_Stage1,0)))=$B188, INDEX(Stage1Evaluation,MATCH(Stage1EvaluationBegins,Years_in_Stage1,0)), IF(AND($B188&lt;&gt;"", $C173&lt;&gt;""), INDEX(Stage1Evaluation,MATCH($B188,ProgramYearStage1,0)), IF(AND(B188&lt;&gt;"", OR(Stage1EvaluationBegins=0, Stage1EvaluationBegins="")),"", ""))),"")</f>
        <v/>
      </c>
      <c r="M193" s="103"/>
      <c r="W193" s="110" t="str">
        <f>IF(ISNUMBER('Model_ of_individuals'!W199), 'Model_ of_individuals'!W199*'Model_ of_individuals'!$K199,"")</f>
        <v/>
      </c>
      <c r="X193" s="94" t="str">
        <f>IF(ISNUMBER('Model_ of_individuals'!X199), 'Model_ of_individuals'!X199*'Model_ of_individuals'!$K199,"")</f>
        <v/>
      </c>
      <c r="Y193" s="94" t="str">
        <f>IF(ISNUMBER('Model_ of_individuals'!Y199), 'Model_ of_individuals'!Y199*'Model_ of_individuals'!$K199,"")</f>
        <v/>
      </c>
      <c r="Z193" s="94" t="str">
        <f>IF(ISNUMBER('Model_ of_individuals'!Z199), 'Model_ of_individuals'!Z199*'Model_ of_individuals'!$K199,"")</f>
        <v/>
      </c>
      <c r="AA193" s="94" t="str">
        <f>IF(ISNUMBER('Model_ of_individuals'!AA199), 'Model_ of_individuals'!AA199*'Model_ of_individuals'!$K199,"")</f>
        <v/>
      </c>
      <c r="AB193" s="94" t="str">
        <f>IF(ISNUMBER('Model_ of_individuals'!AB199), 'Model_ of_individuals'!AB199*'Model_ of_individuals'!$K199,"")</f>
        <v/>
      </c>
      <c r="AC193" s="94" t="str">
        <f>IF(ISNUMBER('Model_ of_individuals'!AC199), 'Model_ of_individuals'!AC199*'Model_ of_individuals'!$K199,"")</f>
        <v/>
      </c>
      <c r="AD193" s="94" t="str">
        <f>IF(ISNUMBER('Model_ of_individuals'!AD199), 'Model_ of_individuals'!AD199*'Model_ of_individuals'!$K199,"")</f>
        <v/>
      </c>
      <c r="AE193" s="94" t="str">
        <f>IF(ISNUMBER('Model_ of_individuals'!AE199), 'Model_ of_individuals'!AE199*'Model_ of_individuals'!$K199,"")</f>
        <v/>
      </c>
      <c r="AF193" s="103" t="str">
        <f>IF(ISNUMBER('Model_ of_individuals'!AF199), 'Model_ of_individuals'!AF199*'Model_ of_individuals'!$K199,"")</f>
        <v/>
      </c>
    </row>
    <row r="194" spans="1:33" x14ac:dyDescent="0.25">
      <c r="A194" s="518"/>
      <c r="B194" s="504"/>
      <c r="C194" s="104" t="str">
        <f>IF(AND(ISNUMBER(B188), C193&lt;&gt;"", OR('Cost Inputs'!$H$73&lt;&gt;"", 'Cost Inputs'!$I$73&lt;&gt;"", 'Cost Inputs'!$J$73&lt;&gt;"")), _3_3_1, "")</f>
        <v/>
      </c>
      <c r="D194" s="17" t="str">
        <f>IF(AND(C194&lt;&gt;"", 'Cost Inputs'!$G$73&lt;&gt;""), 'Cost Inputs'!$G$73, "")</f>
        <v/>
      </c>
      <c r="E194" s="17" t="str">
        <f>IF(AND(C194&lt;&gt;"", 'Cost Inputs'!$H$73&lt;&gt;""), 'Cost Inputs'!$H$73, "")</f>
        <v/>
      </c>
      <c r="F194" s="17" t="str">
        <f>IF(AND(C194&lt;&gt;"", 'Cost Inputs'!$I$73&lt;&gt;""), 'Cost Inputs'!$I$73, "")</f>
        <v/>
      </c>
      <c r="G194" s="17" t="str">
        <f t="shared" si="8"/>
        <v/>
      </c>
      <c r="H194" s="17" t="str">
        <f>IF(AND(C194&lt;&gt;"", 'Cost Inputs'!$J$73&lt;&gt;""), 'Cost Inputs'!$J$73, "")</f>
        <v/>
      </c>
      <c r="I194" s="17" t="str">
        <f t="shared" ref="I194:I207" si="9">IF(AND($E194&lt;&gt;"", $H194&lt;&gt;""), $H194/$E194, "")</f>
        <v/>
      </c>
      <c r="J194" s="17" t="str">
        <f>IF(AND(C194&lt;&gt;"",('Cost Inputs'!$I$73+'Cost Inputs'!$J$73+'Cost Inputs'!$K$73)&gt;0), 'Cost Inputs'!$I$73+'Cost Inputs'!$J$73+'Cost Inputs'!$K$73, "")</f>
        <v/>
      </c>
      <c r="K194" s="17" t="str">
        <f>IF(AND(C194&lt;&gt;"", 'Cost Inputs'!$N$73&gt;0),'Cost Inputs'!$N$73,"")</f>
        <v/>
      </c>
      <c r="M194" s="106"/>
      <c r="W194" s="104" t="str">
        <f>IF(ISNUMBER('Model_ of_individuals'!W200), 'Model_ of_individuals'!W200*'Model_ of_individuals'!$K200,"")</f>
        <v/>
      </c>
      <c r="X194" s="17" t="str">
        <f>IF(ISNUMBER('Model_ of_individuals'!X200), 'Model_ of_individuals'!X200*'Model_ of_individuals'!$K200,"")</f>
        <v/>
      </c>
      <c r="Y194" s="17" t="str">
        <f>IF(ISNUMBER('Model_ of_individuals'!Y200), 'Model_ of_individuals'!Y200*'Model_ of_individuals'!$K200,"")</f>
        <v/>
      </c>
      <c r="Z194" s="17" t="str">
        <f>IF(ISNUMBER('Model_ of_individuals'!Z200), 'Model_ of_individuals'!Z200*'Model_ of_individuals'!$K200,"")</f>
        <v/>
      </c>
      <c r="AA194" s="17" t="str">
        <f>IF(ISNUMBER('Model_ of_individuals'!AA200), 'Model_ of_individuals'!AA200*'Model_ of_individuals'!$K200,"")</f>
        <v/>
      </c>
      <c r="AB194" s="17" t="str">
        <f>IF(ISNUMBER('Model_ of_individuals'!AB200), 'Model_ of_individuals'!AB200*'Model_ of_individuals'!$K200,"")</f>
        <v/>
      </c>
      <c r="AC194" s="17" t="str">
        <f>IF(ISNUMBER('Model_ of_individuals'!AC200), 'Model_ of_individuals'!AC200*'Model_ of_individuals'!$K200,"")</f>
        <v/>
      </c>
      <c r="AD194" s="17" t="str">
        <f>IF(ISNUMBER('Model_ of_individuals'!AD200), 'Model_ of_individuals'!AD200*'Model_ of_individuals'!$K200,"")</f>
        <v/>
      </c>
      <c r="AE194" s="17" t="str">
        <f>IF(ISNUMBER('Model_ of_individuals'!AE200), 'Model_ of_individuals'!AE200*'Model_ of_individuals'!$K200,"")</f>
        <v/>
      </c>
      <c r="AF194" s="106" t="str">
        <f>IF(ISNUMBER('Model_ of_individuals'!AF200), 'Model_ of_individuals'!AF200*'Model_ of_individuals'!$K200,"")</f>
        <v/>
      </c>
    </row>
    <row r="195" spans="1:33" x14ac:dyDescent="0.25">
      <c r="A195" s="518"/>
      <c r="B195" s="504"/>
      <c r="C195" s="107" t="str">
        <f>IF(AND(ISNUMBER(B188), C193&lt;&gt;"", OR('Cost Inputs'!$H$74&lt;&gt;"", 'Cost Inputs'!$I$74&lt;&gt;"", 'Cost Inputs'!$J$74&lt;&gt;"")), _3_3_2, "")</f>
        <v/>
      </c>
      <c r="D195" s="93" t="str">
        <f>IF(AND(C195&lt;&gt;"", 'Cost Inputs'!$G$74&lt;&gt;""), 'Cost Inputs'!$G$74, "")</f>
        <v/>
      </c>
      <c r="E195" s="93" t="str">
        <f>IF(AND(C195&lt;&gt;"", 'Cost Inputs'!$H$74&lt;&gt;""), 'Cost Inputs'!$H$74, "")</f>
        <v/>
      </c>
      <c r="F195" s="93" t="str">
        <f>IF(AND(C195&lt;&gt;"", 'Cost Inputs'!$I$74&lt;&gt;""), 'Cost Inputs'!$I$74, "")</f>
        <v/>
      </c>
      <c r="G195" s="93" t="str">
        <f t="shared" si="8"/>
        <v/>
      </c>
      <c r="H195" s="93" t="str">
        <f>IF(AND(C195&lt;&gt;"", 'Cost Inputs'!$J$74&lt;&gt;""), 'Cost Inputs'!$J$74, "")</f>
        <v/>
      </c>
      <c r="I195" s="93" t="str">
        <f t="shared" si="9"/>
        <v/>
      </c>
      <c r="J195" s="93" t="str">
        <f>IF(AND(C195&lt;&gt;"",('Cost Inputs'!$I$74+'Cost Inputs'!$J$74+'Cost Inputs'!$K$74)&gt;0), 'Cost Inputs'!$I$74+'Cost Inputs'!$J$74+'Cost Inputs'!$K$74, "")</f>
        <v/>
      </c>
      <c r="K195" s="93" t="str">
        <f>IF(AND(C195&lt;&gt;"", 'Cost Inputs'!$N$74&gt;0),'Cost Inputs'!$N$74,"")</f>
        <v/>
      </c>
      <c r="L195" s="93"/>
      <c r="M195" s="109"/>
      <c r="W195" s="107" t="str">
        <f>IF(ISNUMBER('Model_ of_individuals'!W201), 'Model_ of_individuals'!W201*'Model_ of_individuals'!$K201,"")</f>
        <v/>
      </c>
      <c r="X195" s="93" t="str">
        <f>IF(ISNUMBER('Model_ of_individuals'!X201), 'Model_ of_individuals'!X201*'Model_ of_individuals'!$K201,"")</f>
        <v/>
      </c>
      <c r="Y195" s="93" t="str">
        <f>IF(ISNUMBER('Model_ of_individuals'!Y201), 'Model_ of_individuals'!Y201*'Model_ of_individuals'!$K201,"")</f>
        <v/>
      </c>
      <c r="Z195" s="93" t="str">
        <f>IF(ISNUMBER('Model_ of_individuals'!Z201), 'Model_ of_individuals'!Z201*'Model_ of_individuals'!$K201,"")</f>
        <v/>
      </c>
      <c r="AA195" s="93" t="str">
        <f>IF(ISNUMBER('Model_ of_individuals'!AA201), 'Model_ of_individuals'!AA201*'Model_ of_individuals'!$K201,"")</f>
        <v/>
      </c>
      <c r="AB195" s="93" t="str">
        <f>IF(ISNUMBER('Model_ of_individuals'!AB201), 'Model_ of_individuals'!AB201*'Model_ of_individuals'!$K201,"")</f>
        <v/>
      </c>
      <c r="AC195" s="93" t="str">
        <f>IF(ISNUMBER('Model_ of_individuals'!AC201), 'Model_ of_individuals'!AC201*'Model_ of_individuals'!$K201,"")</f>
        <v/>
      </c>
      <c r="AD195" s="93" t="str">
        <f>IF(ISNUMBER('Model_ of_individuals'!AD201), 'Model_ of_individuals'!AD201*'Model_ of_individuals'!$K201,"")</f>
        <v/>
      </c>
      <c r="AE195" s="93" t="str">
        <f>IF(ISNUMBER('Model_ of_individuals'!AE201), 'Model_ of_individuals'!AE201*'Model_ of_individuals'!$K201,"")</f>
        <v/>
      </c>
      <c r="AF195" s="109" t="str">
        <f>IF(ISNUMBER('Model_ of_individuals'!AF201), 'Model_ of_individuals'!AF201*'Model_ of_individuals'!$K201,"")</f>
        <v/>
      </c>
    </row>
    <row r="196" spans="1:33" x14ac:dyDescent="0.25">
      <c r="A196" s="518"/>
      <c r="B196" s="504"/>
      <c r="C196" s="104" t="str">
        <f>IF(AND(ISNUMBER(B188), OR('Cost Inputs'!$H$75&lt;&gt;"", 'Cost Inputs'!$I$75&lt;&gt;"", 'Cost Inputs'!$J$75&lt;&gt;"")), _3_3_3, "")</f>
        <v/>
      </c>
      <c r="D196" s="17" t="str">
        <f>IF(AND(C196&lt;&gt;"", 'Cost Inputs'!$G$75&lt;&gt;""), 'Cost Inputs'!$G$75, "")</f>
        <v/>
      </c>
      <c r="E196" s="17" t="str">
        <f>IF(AND(C196&lt;&gt;"", 'Cost Inputs'!$H$75&lt;&gt;""), 'Cost Inputs'!$H$75, "")</f>
        <v/>
      </c>
      <c r="F196" s="17" t="str">
        <f>IF(AND(C196&lt;&gt;"", 'Cost Inputs'!$I$75&lt;&gt;""), 'Cost Inputs'!$I$75, "")</f>
        <v/>
      </c>
      <c r="G196" s="17" t="str">
        <f t="shared" si="8"/>
        <v/>
      </c>
      <c r="H196" s="17" t="str">
        <f>IF(AND(C196&lt;&gt;"", 'Cost Inputs'!$J$75&lt;&gt;""), 'Cost Inputs'!$J$75, "")</f>
        <v/>
      </c>
      <c r="I196" s="17" t="str">
        <f t="shared" si="9"/>
        <v/>
      </c>
      <c r="J196" s="17" t="str">
        <f>IF(AND(C196&lt;&gt;"",('Cost Inputs'!$I$75+'Cost Inputs'!$J$75+'Cost Inputs'!$K$75)&gt;0), 'Cost Inputs'!$I$75+'Cost Inputs'!$J$75+'Cost Inputs'!$K$75, "")</f>
        <v/>
      </c>
      <c r="K196" s="17" t="str">
        <f>IF(AND(C196&lt;&gt;"", 'Cost Inputs'!$N$75&gt;0),'Cost Inputs'!$N$75,"")</f>
        <v/>
      </c>
      <c r="M196" s="106"/>
      <c r="W196" s="104" t="str">
        <f>IF(ISNUMBER('Model_ of_individuals'!W202), 'Model_ of_individuals'!W202*'Model_ of_individuals'!$K202,"")</f>
        <v/>
      </c>
      <c r="X196" s="17" t="str">
        <f>IF(ISNUMBER('Model_ of_individuals'!X202), 'Model_ of_individuals'!X202*'Model_ of_individuals'!$K202,"")</f>
        <v/>
      </c>
      <c r="Y196" s="17" t="str">
        <f>IF(ISNUMBER('Model_ of_individuals'!Y202), 'Model_ of_individuals'!Y202*'Model_ of_individuals'!$K202,"")</f>
        <v/>
      </c>
      <c r="Z196" s="17" t="str">
        <f>IF(ISNUMBER('Model_ of_individuals'!Z202), 'Model_ of_individuals'!Z202*'Model_ of_individuals'!$K202,"")</f>
        <v/>
      </c>
      <c r="AA196" s="17" t="str">
        <f>IF(ISNUMBER('Model_ of_individuals'!AA202), 'Model_ of_individuals'!AA202*'Model_ of_individuals'!$K202,"")</f>
        <v/>
      </c>
      <c r="AB196" s="17" t="str">
        <f>IF(ISNUMBER('Model_ of_individuals'!AB202), 'Model_ of_individuals'!AB202*'Model_ of_individuals'!$K202,"")</f>
        <v/>
      </c>
      <c r="AC196" s="17" t="str">
        <f>IF(ISNUMBER('Model_ of_individuals'!AC202), 'Model_ of_individuals'!AC202*'Model_ of_individuals'!$K202,"")</f>
        <v/>
      </c>
      <c r="AD196" s="17" t="str">
        <f>IF(ISNUMBER('Model_ of_individuals'!AD202), 'Model_ of_individuals'!AD202*'Model_ of_individuals'!$K202,"")</f>
        <v/>
      </c>
      <c r="AE196" s="17" t="str">
        <f>IF(ISNUMBER('Model_ of_individuals'!AE202), 'Model_ of_individuals'!AE202*'Model_ of_individuals'!$K202,"")</f>
        <v/>
      </c>
      <c r="AF196" s="106" t="str">
        <f>IF(ISNUMBER('Model_ of_individuals'!AF202), 'Model_ of_individuals'!AF202*'Model_ of_individuals'!$K202,"")</f>
        <v/>
      </c>
    </row>
    <row r="197" spans="1:33" x14ac:dyDescent="0.25">
      <c r="A197" s="518"/>
      <c r="B197" s="504"/>
      <c r="C197" s="107" t="str">
        <f>IF(AND(ISNUMBER(B188), OR('Cost Inputs'!$H$76&lt;&gt;"", 'Cost Inputs'!$I$76&lt;&gt;"", 'Cost Inputs'!$J$76&lt;&gt;"")), _3_3_4, "")</f>
        <v/>
      </c>
      <c r="D197" s="93" t="str">
        <f>IF(AND(C197&lt;&gt;"", 'Cost Inputs'!$G$76&lt;&gt;""), 'Cost Inputs'!$G$76, "")</f>
        <v/>
      </c>
      <c r="E197" s="93" t="str">
        <f>IF(AND(C197&lt;&gt;"", 'Cost Inputs'!$H$76&lt;&gt;""), 'Cost Inputs'!$H$76, "")</f>
        <v/>
      </c>
      <c r="F197" s="93" t="str">
        <f>IF(AND(C197&lt;&gt;"", 'Cost Inputs'!$I$76&lt;&gt;""), 'Cost Inputs'!$I$76, "")</f>
        <v/>
      </c>
      <c r="G197" s="93" t="str">
        <f t="shared" ref="G197:G260" si="10">IF(AND($E197&lt;&gt;"", $E197&gt;0, F197&lt;&gt;""), F197/$E197, "")</f>
        <v/>
      </c>
      <c r="H197" s="93" t="str">
        <f>IF(AND(C197&lt;&gt;"", 'Cost Inputs'!$J$76&lt;&gt;""), 'Cost Inputs'!$J$76, "")</f>
        <v/>
      </c>
      <c r="I197" s="93" t="str">
        <f t="shared" si="9"/>
        <v/>
      </c>
      <c r="J197" s="93" t="str">
        <f>IF(AND(C197&lt;&gt;"",('Cost Inputs'!$I$76+'Cost Inputs'!$J$76+'Cost Inputs'!$K$76)&gt;0), 'Cost Inputs'!$I$76+'Cost Inputs'!$J$76+'Cost Inputs'!$K$76, "")</f>
        <v/>
      </c>
      <c r="K197" s="93" t="str">
        <f>IF(AND(C197&lt;&gt;"", 'Cost Inputs'!$N$76&gt;0),'Cost Inputs'!$N$76,"")</f>
        <v/>
      </c>
      <c r="L197" s="93"/>
      <c r="M197" s="109"/>
      <c r="W197" s="107" t="str">
        <f>IF(ISNUMBER('Model_ of_individuals'!W203), 'Model_ of_individuals'!W203*'Model_ of_individuals'!$K203,"")</f>
        <v/>
      </c>
      <c r="X197" s="93" t="str">
        <f>IF(ISNUMBER('Model_ of_individuals'!X203), 'Model_ of_individuals'!X203*'Model_ of_individuals'!$K203,"")</f>
        <v/>
      </c>
      <c r="Y197" s="93" t="str">
        <f>IF(ISNUMBER('Model_ of_individuals'!Y203), 'Model_ of_individuals'!Y203*'Model_ of_individuals'!$K203,"")</f>
        <v/>
      </c>
      <c r="Z197" s="93" t="str">
        <f>IF(ISNUMBER('Model_ of_individuals'!Z203), 'Model_ of_individuals'!Z203*'Model_ of_individuals'!$K203,"")</f>
        <v/>
      </c>
      <c r="AA197" s="93" t="str">
        <f>IF(ISNUMBER('Model_ of_individuals'!AA203), 'Model_ of_individuals'!AA203*'Model_ of_individuals'!$K203,"")</f>
        <v/>
      </c>
      <c r="AB197" s="93" t="str">
        <f>IF(ISNUMBER('Model_ of_individuals'!AB203), 'Model_ of_individuals'!AB203*'Model_ of_individuals'!$K203,"")</f>
        <v/>
      </c>
      <c r="AC197" s="93" t="str">
        <f>IF(ISNUMBER('Model_ of_individuals'!AC203), 'Model_ of_individuals'!AC203*'Model_ of_individuals'!$K203,"")</f>
        <v/>
      </c>
      <c r="AD197" s="93" t="str">
        <f>IF(ISNUMBER('Model_ of_individuals'!AD203), 'Model_ of_individuals'!AD203*'Model_ of_individuals'!$K203,"")</f>
        <v/>
      </c>
      <c r="AE197" s="93" t="str">
        <f>IF(ISNUMBER('Model_ of_individuals'!AE203), 'Model_ of_individuals'!AE203*'Model_ of_individuals'!$K203,"")</f>
        <v/>
      </c>
      <c r="AF197" s="109" t="str">
        <f>IF(ISNUMBER('Model_ of_individuals'!AF203), 'Model_ of_individuals'!AF203*'Model_ of_individuals'!$K203,"")</f>
        <v/>
      </c>
    </row>
    <row r="198" spans="1:33" x14ac:dyDescent="0.25">
      <c r="A198" s="518"/>
      <c r="B198" s="504"/>
      <c r="C198" s="110" t="str">
        <f>IF( ISNUMBER(B188), _3_4_0, "")</f>
        <v/>
      </c>
      <c r="D198" s="94" t="str">
        <f>IF(AND(B188&lt;&gt;"", OR('Cost Inputs'!$H$77&lt;&gt;"", 'Cost Inputs'!$I$77&lt;&gt;"", 'Cost Inputs'!$J$77&lt;&gt;"")), 'Cost Inputs'!$G$77,"")</f>
        <v/>
      </c>
      <c r="E198" s="94" t="str">
        <f>IF(AND(C198&lt;&gt;"", 'Cost Inputs'!$H$77&lt;&gt;""), 'Cost Inputs'!$H$77, "")</f>
        <v/>
      </c>
      <c r="F198" s="94" t="str">
        <f>IF(AND(C198&lt;&gt;"", 'Cost Inputs'!$I$77&lt;&gt;""), 'Cost Inputs'!$I$77, "")</f>
        <v/>
      </c>
      <c r="G198" s="94" t="str">
        <f t="shared" si="10"/>
        <v/>
      </c>
      <c r="H198" s="94" t="str">
        <f>IF(AND(C198&lt;&gt;"", 'Cost Inputs'!$J$77&lt;&gt;""), 'Cost Inputs'!$J$77, "")</f>
        <v/>
      </c>
      <c r="I198" s="94" t="str">
        <f>IF(AND($E198&lt;&gt;"", $H198&lt;&gt;""), $H198/$E198, "")</f>
        <v/>
      </c>
      <c r="J198" s="94" t="str">
        <f>IF(AND(C198&lt;&gt;"",('Cost Inputs'!$I$77+'Cost Inputs'!$J$77+'Cost Inputs'!$K$77)&gt;0), 'Cost Inputs'!$I$77+'Cost Inputs'!$J$77+'Cost Inputs'!$K$77, "")</f>
        <v/>
      </c>
      <c r="K198" s="94" t="str">
        <f>IF(AND(C198&lt;&gt;"", 'Cost Inputs'!$N$77&gt;0),'Cost Inputs'!$N$77,"")</f>
        <v/>
      </c>
      <c r="L198" s="94"/>
      <c r="M198" s="103"/>
      <c r="W198" s="110" t="str">
        <f>IF(ISNUMBER('Model_ of_individuals'!W204), 'Model_ of_individuals'!W204*'Model_ of_individuals'!$K204,"")</f>
        <v/>
      </c>
      <c r="X198" s="94" t="str">
        <f>IF(ISNUMBER('Model_ of_individuals'!X204), 'Model_ of_individuals'!X204*'Model_ of_individuals'!$K204,"")</f>
        <v/>
      </c>
      <c r="Y198" s="94" t="str">
        <f>IF(ISNUMBER('Model_ of_individuals'!Y204), 'Model_ of_individuals'!Y204*'Model_ of_individuals'!$K204,"")</f>
        <v/>
      </c>
      <c r="Z198" s="94" t="str">
        <f>IF(ISNUMBER('Model_ of_individuals'!Z204), 'Model_ of_individuals'!Z204*'Model_ of_individuals'!$K204,"")</f>
        <v/>
      </c>
      <c r="AA198" s="94" t="str">
        <f>IF(ISNUMBER('Model_ of_individuals'!AA204), 'Model_ of_individuals'!AA204*'Model_ of_individuals'!$K204,"")</f>
        <v/>
      </c>
      <c r="AB198" s="94" t="str">
        <f>IF(ISNUMBER('Model_ of_individuals'!AB204), 'Model_ of_individuals'!AB204*'Model_ of_individuals'!$K204,"")</f>
        <v/>
      </c>
      <c r="AC198" s="94" t="str">
        <f>IF(ISNUMBER('Model_ of_individuals'!AC204), 'Model_ of_individuals'!AC204*'Model_ of_individuals'!$K204,"")</f>
        <v/>
      </c>
      <c r="AD198" s="94" t="str">
        <f>IF(ISNUMBER('Model_ of_individuals'!AD204), 'Model_ of_individuals'!AD204*'Model_ of_individuals'!$K204,"")</f>
        <v/>
      </c>
      <c r="AE198" s="94" t="str">
        <f>IF(ISNUMBER('Model_ of_individuals'!AE204), 'Model_ of_individuals'!AE204*'Model_ of_individuals'!$K204,"")</f>
        <v/>
      </c>
      <c r="AF198" s="103" t="str">
        <f>IF(ISNUMBER('Model_ of_individuals'!AF204), 'Model_ of_individuals'!AF204*'Model_ of_individuals'!$K204,"")</f>
        <v/>
      </c>
    </row>
    <row r="199" spans="1:33" x14ac:dyDescent="0.25">
      <c r="A199" s="518"/>
      <c r="B199" s="504"/>
      <c r="C199" s="104" t="str">
        <f>IF(AND(ISNUMBER(B188), OR('Cost Inputs'!$H$78&lt;&gt;"", 'Cost Inputs'!$I$78&lt;&gt;"", 'Cost Inputs'!$J$78&lt;&gt;"")), _3_4_1, "")</f>
        <v/>
      </c>
      <c r="D199" s="17" t="str">
        <f>IF(AND(C199&lt;&gt;"", 'Cost Inputs'!$G$78&lt;&gt;""), 'Cost Inputs'!$G$78, "")</f>
        <v/>
      </c>
      <c r="E199" s="17" t="str">
        <f>IF(AND(C199&lt;&gt;"", 'Cost Inputs'!$H$78&lt;&gt;""), 'Cost Inputs'!$H$78, "")</f>
        <v/>
      </c>
      <c r="F199" s="17" t="str">
        <f>IF(AND(C199&lt;&gt;"", 'Cost Inputs'!$I$78&lt;&gt;""), 'Cost Inputs'!$I$78, "")</f>
        <v/>
      </c>
      <c r="G199" s="17" t="str">
        <f t="shared" si="10"/>
        <v/>
      </c>
      <c r="H199" s="17" t="str">
        <f>IF(AND(C199&lt;&gt;"", 'Cost Inputs'!$J$78&lt;&gt;""), 'Cost Inputs'!$J$78, "")</f>
        <v/>
      </c>
      <c r="I199" s="17" t="str">
        <f t="shared" si="9"/>
        <v/>
      </c>
      <c r="J199" s="17" t="str">
        <f>IF(AND(C199&lt;&gt;"",('Cost Inputs'!$I$78+'Cost Inputs'!$J$78+'Cost Inputs'!$K$78)&gt;0), 'Cost Inputs'!$I$78+'Cost Inputs'!$J$78+'Cost Inputs'!$K$78, "")</f>
        <v/>
      </c>
      <c r="K199" s="17" t="str">
        <f>IF(AND(C199&lt;&gt;"", 'Cost Inputs'!$N$78&gt;0),'Cost Inputs'!$N$78,"")</f>
        <v/>
      </c>
      <c r="M199" s="106"/>
      <c r="W199" s="104" t="str">
        <f>IF(ISNUMBER('Model_ of_individuals'!W205), 'Model_ of_individuals'!W205*'Model_ of_individuals'!$K205,"")</f>
        <v/>
      </c>
      <c r="X199" s="17" t="str">
        <f>IF(ISNUMBER('Model_ of_individuals'!X205), 'Model_ of_individuals'!X205*'Model_ of_individuals'!$K205,"")</f>
        <v/>
      </c>
      <c r="Y199" s="17" t="str">
        <f>IF(ISNUMBER('Model_ of_individuals'!Y205), 'Model_ of_individuals'!Y205*'Model_ of_individuals'!$K205,"")</f>
        <v/>
      </c>
      <c r="Z199" s="17" t="str">
        <f>IF(ISNUMBER('Model_ of_individuals'!Z205), 'Model_ of_individuals'!Z205*'Model_ of_individuals'!$K205,"")</f>
        <v/>
      </c>
      <c r="AA199" s="17" t="str">
        <f>IF(ISNUMBER('Model_ of_individuals'!AA205), 'Model_ of_individuals'!AA205*'Model_ of_individuals'!$K205,"")</f>
        <v/>
      </c>
      <c r="AB199" s="17" t="str">
        <f>IF(ISNUMBER('Model_ of_individuals'!AB205), 'Model_ of_individuals'!AB205*'Model_ of_individuals'!$K205,"")</f>
        <v/>
      </c>
      <c r="AC199" s="17" t="str">
        <f>IF(ISNUMBER('Model_ of_individuals'!AC205), 'Model_ of_individuals'!AC205*'Model_ of_individuals'!$K205,"")</f>
        <v/>
      </c>
      <c r="AD199" s="17" t="str">
        <f>IF(ISNUMBER('Model_ of_individuals'!AD205), 'Model_ of_individuals'!AD205*'Model_ of_individuals'!$K205,"")</f>
        <v/>
      </c>
      <c r="AE199" s="17" t="str">
        <f>IF(ISNUMBER('Model_ of_individuals'!AE205), 'Model_ of_individuals'!AE205*'Model_ of_individuals'!$K205,"")</f>
        <v/>
      </c>
      <c r="AF199" s="106" t="str">
        <f>IF(ISNUMBER('Model_ of_individuals'!AF205), 'Model_ of_individuals'!AF205*'Model_ of_individuals'!$K205,"")</f>
        <v/>
      </c>
    </row>
    <row r="200" spans="1:33" x14ac:dyDescent="0.25">
      <c r="A200" s="518"/>
      <c r="B200" s="504"/>
      <c r="C200" s="107" t="str">
        <f>IF(AND(ISNUMBER(B188), OR('Cost Inputs'!$H$79&lt;&gt;"", 'Cost Inputs'!$I$79&lt;&gt;"", 'Cost Inputs'!$J$79&lt;&gt;"")), _3_4_2, "")</f>
        <v/>
      </c>
      <c r="D200" s="93" t="str">
        <f>IF(AND(C200&lt;&gt;"", 'Cost Inputs'!$G$79&lt;&gt;""), 'Cost Inputs'!$G$79, "")</f>
        <v/>
      </c>
      <c r="E200" s="93" t="str">
        <f>IF(AND(C200&lt;&gt;"", 'Cost Inputs'!$H$79&lt;&gt;""), 'Cost Inputs'!$H$79, "")</f>
        <v/>
      </c>
      <c r="F200" s="93" t="str">
        <f>IF(AND(C200&lt;&gt;"", 'Cost Inputs'!$I$79&lt;&gt;""), 'Cost Inputs'!$I$79, "")</f>
        <v/>
      </c>
      <c r="G200" s="93" t="str">
        <f t="shared" si="10"/>
        <v/>
      </c>
      <c r="H200" s="93" t="str">
        <f>IF(AND(C200&lt;&gt;"", 'Cost Inputs'!$J$79&lt;&gt;""), 'Cost Inputs'!$J$79, "")</f>
        <v/>
      </c>
      <c r="I200" s="93" t="str">
        <f t="shared" si="9"/>
        <v/>
      </c>
      <c r="J200" s="93" t="str">
        <f>IF(AND(C200&lt;&gt;"",('Cost Inputs'!$I$79+'Cost Inputs'!$J$79+'Cost Inputs'!$K$79)&gt;0), 'Cost Inputs'!$I$79+'Cost Inputs'!$J$79+'Cost Inputs'!$K$79, "")</f>
        <v/>
      </c>
      <c r="K200" s="93" t="str">
        <f>IF(AND(C200&lt;&gt;"", 'Cost Inputs'!$N$79&gt;0),'Cost Inputs'!$N$79,"")</f>
        <v/>
      </c>
      <c r="L200" s="93"/>
      <c r="M200" s="109"/>
      <c r="W200" s="107" t="str">
        <f>IF(ISNUMBER('Model_ of_individuals'!W206), 'Model_ of_individuals'!W206*'Model_ of_individuals'!$K206,"")</f>
        <v/>
      </c>
      <c r="X200" s="93" t="str">
        <f>IF(ISNUMBER('Model_ of_individuals'!X206), 'Model_ of_individuals'!X206*'Model_ of_individuals'!$K206,"")</f>
        <v/>
      </c>
      <c r="Y200" s="93" t="str">
        <f>IF(ISNUMBER('Model_ of_individuals'!Y206), 'Model_ of_individuals'!Y206*'Model_ of_individuals'!$K206,"")</f>
        <v/>
      </c>
      <c r="Z200" s="93" t="str">
        <f>IF(ISNUMBER('Model_ of_individuals'!Z206), 'Model_ of_individuals'!Z206*'Model_ of_individuals'!$K206,"")</f>
        <v/>
      </c>
      <c r="AA200" s="93" t="str">
        <f>IF(ISNUMBER('Model_ of_individuals'!AA206), 'Model_ of_individuals'!AA206*'Model_ of_individuals'!$K206,"")</f>
        <v/>
      </c>
      <c r="AB200" s="93" t="str">
        <f>IF(ISNUMBER('Model_ of_individuals'!AB206), 'Model_ of_individuals'!AB206*'Model_ of_individuals'!$K206,"")</f>
        <v/>
      </c>
      <c r="AC200" s="93" t="str">
        <f>IF(ISNUMBER('Model_ of_individuals'!AC206), 'Model_ of_individuals'!AC206*'Model_ of_individuals'!$K206,"")</f>
        <v/>
      </c>
      <c r="AD200" s="93" t="str">
        <f>IF(ISNUMBER('Model_ of_individuals'!AD206), 'Model_ of_individuals'!AD206*'Model_ of_individuals'!$K206,"")</f>
        <v/>
      </c>
      <c r="AE200" s="93" t="str">
        <f>IF(ISNUMBER('Model_ of_individuals'!AE206), 'Model_ of_individuals'!AE206*'Model_ of_individuals'!$K206,"")</f>
        <v/>
      </c>
      <c r="AF200" s="109" t="str">
        <f>IF(ISNUMBER('Model_ of_individuals'!AF206), 'Model_ of_individuals'!AF206*'Model_ of_individuals'!$K206,"")</f>
        <v/>
      </c>
    </row>
    <row r="201" spans="1:33" x14ac:dyDescent="0.25">
      <c r="A201" s="518"/>
      <c r="B201" s="504"/>
      <c r="C201" s="104" t="str">
        <f>IF(AND(ISNUMBER(B188), OR('Cost Inputs'!$H$80&lt;&gt;"", 'Cost Inputs'!$I$80&lt;&gt;"", 'Cost Inputs'!$J$80&lt;&gt;"")),_3_4_3, "")</f>
        <v/>
      </c>
      <c r="D201" s="17" t="str">
        <f>IF(AND(C201&lt;&gt;"", 'Cost Inputs'!$G$80&lt;&gt;""), 'Cost Inputs'!$G$80, "")</f>
        <v/>
      </c>
      <c r="E201" s="17" t="str">
        <f>IF(AND(C201&lt;&gt;"", 'Cost Inputs'!$H$80&lt;&gt;""), 'Cost Inputs'!$H$80, "")</f>
        <v/>
      </c>
      <c r="F201" s="17" t="str">
        <f>IF(AND(C201&lt;&gt;"", 'Cost Inputs'!$I$80&lt;&gt;""), 'Cost Inputs'!$I$80, "")</f>
        <v/>
      </c>
      <c r="G201" s="17" t="str">
        <f t="shared" si="10"/>
        <v/>
      </c>
      <c r="H201" s="17" t="str">
        <f>IF(AND(C201&lt;&gt;"", 'Cost Inputs'!$J$80&lt;&gt;""), 'Cost Inputs'!$J$80, "")</f>
        <v/>
      </c>
      <c r="I201" s="17" t="str">
        <f t="shared" si="9"/>
        <v/>
      </c>
      <c r="J201" s="17" t="str">
        <f>IF(AND(C201&lt;&gt;"",('Cost Inputs'!$I$80+'Cost Inputs'!$J$80+'Cost Inputs'!$K$80)&gt;0), 'Cost Inputs'!$I$80+'Cost Inputs'!$J$80+'Cost Inputs'!$K$80, "")</f>
        <v/>
      </c>
      <c r="K201" s="17" t="str">
        <f>IF(AND(C201&lt;&gt;"", 'Cost Inputs'!$N$80&gt;0),'Cost Inputs'!$N$80,"")</f>
        <v/>
      </c>
      <c r="M201" s="106"/>
      <c r="W201" s="104" t="str">
        <f>IF(ISNUMBER('Model_ of_individuals'!W207), 'Model_ of_individuals'!W207*'Model_ of_individuals'!$K207,"")</f>
        <v/>
      </c>
      <c r="X201" s="17" t="str">
        <f>IF(ISNUMBER('Model_ of_individuals'!X207), 'Model_ of_individuals'!X207*'Model_ of_individuals'!$K207,"")</f>
        <v/>
      </c>
      <c r="Y201" s="17" t="str">
        <f>IF(ISNUMBER('Model_ of_individuals'!Y207), 'Model_ of_individuals'!Y207*'Model_ of_individuals'!$K207,"")</f>
        <v/>
      </c>
      <c r="Z201" s="17" t="str">
        <f>IF(ISNUMBER('Model_ of_individuals'!Z207), 'Model_ of_individuals'!Z207*'Model_ of_individuals'!$K207,"")</f>
        <v/>
      </c>
      <c r="AA201" s="17" t="str">
        <f>IF(ISNUMBER('Model_ of_individuals'!AA207), 'Model_ of_individuals'!AA207*'Model_ of_individuals'!$K207,"")</f>
        <v/>
      </c>
      <c r="AB201" s="17" t="str">
        <f>IF(ISNUMBER('Model_ of_individuals'!AB207), 'Model_ of_individuals'!AB207*'Model_ of_individuals'!$K207,"")</f>
        <v/>
      </c>
      <c r="AC201" s="17" t="str">
        <f>IF(ISNUMBER('Model_ of_individuals'!AC207), 'Model_ of_individuals'!AC207*'Model_ of_individuals'!$K207,"")</f>
        <v/>
      </c>
      <c r="AD201" s="17" t="str">
        <f>IF(ISNUMBER('Model_ of_individuals'!AD207), 'Model_ of_individuals'!AD207*'Model_ of_individuals'!$K207,"")</f>
        <v/>
      </c>
      <c r="AE201" s="17" t="str">
        <f>IF(ISNUMBER('Model_ of_individuals'!AE207), 'Model_ of_individuals'!AE207*'Model_ of_individuals'!$K207,"")</f>
        <v/>
      </c>
      <c r="AF201" s="106" t="str">
        <f>IF(ISNUMBER('Model_ of_individuals'!AF207), 'Model_ of_individuals'!AF207*'Model_ of_individuals'!$K207,"")</f>
        <v/>
      </c>
    </row>
    <row r="202" spans="1:33" x14ac:dyDescent="0.25">
      <c r="A202" s="518"/>
      <c r="B202" s="504"/>
      <c r="C202" s="107" t="str">
        <f>IF(AND(ISNUMBER(B188), OR('Cost Inputs'!$H$81&lt;&gt;"", 'Cost Inputs'!$I$81&lt;&gt;"", 'Cost Inputs'!$J$81&lt;&gt;"")), _3_4_4, "")</f>
        <v/>
      </c>
      <c r="D202" s="93" t="str">
        <f>IF(AND(C202&lt;&gt;"", 'Cost Inputs'!$G$81&lt;&gt;""), 'Cost Inputs'!$G$81, "")</f>
        <v/>
      </c>
      <c r="E202" s="93" t="str">
        <f>IF(AND(C202&lt;&gt;"", 'Cost Inputs'!$H$81&lt;&gt;""), 'Cost Inputs'!$H$81, "")</f>
        <v/>
      </c>
      <c r="F202" s="93" t="str">
        <f>IF(AND(C202&lt;&gt;"", 'Cost Inputs'!$I$81&lt;&gt;""), 'Cost Inputs'!$I$81, "")</f>
        <v/>
      </c>
      <c r="G202" s="93" t="str">
        <f t="shared" si="10"/>
        <v/>
      </c>
      <c r="H202" s="93" t="str">
        <f>IF(AND(C202&lt;&gt;"", 'Cost Inputs'!$J$81&lt;&gt;""), 'Cost Inputs'!$J$81, "")</f>
        <v/>
      </c>
      <c r="I202" s="93" t="str">
        <f t="shared" si="9"/>
        <v/>
      </c>
      <c r="J202" s="93" t="str">
        <f>IF(AND(C202&lt;&gt;"",('Cost Inputs'!$I$81+'Cost Inputs'!$J$81+'Cost Inputs'!$K$81)&gt;0), 'Cost Inputs'!$I$81+'Cost Inputs'!$J$81+'Cost Inputs'!$K$81, "")</f>
        <v/>
      </c>
      <c r="K202" s="93" t="str">
        <f>IF(AND(C202&lt;&gt;"", 'Cost Inputs'!$N$81&gt;0),'Cost Inputs'!$N$81,"")</f>
        <v/>
      </c>
      <c r="L202" s="93"/>
      <c r="M202" s="109"/>
      <c r="W202" s="107" t="str">
        <f>IF(ISNUMBER('Model_ of_individuals'!W208), 'Model_ of_individuals'!W208*'Model_ of_individuals'!$K208,"")</f>
        <v/>
      </c>
      <c r="X202" s="93" t="str">
        <f>IF(ISNUMBER('Model_ of_individuals'!X208), 'Model_ of_individuals'!X208*'Model_ of_individuals'!$K208,"")</f>
        <v/>
      </c>
      <c r="Y202" s="93" t="str">
        <f>IF(ISNUMBER('Model_ of_individuals'!Y208), 'Model_ of_individuals'!Y208*'Model_ of_individuals'!$K208,"")</f>
        <v/>
      </c>
      <c r="Z202" s="93" t="str">
        <f>IF(ISNUMBER('Model_ of_individuals'!Z208), 'Model_ of_individuals'!Z208*'Model_ of_individuals'!$K208,"")</f>
        <v/>
      </c>
      <c r="AA202" s="93" t="str">
        <f>IF(ISNUMBER('Model_ of_individuals'!AA208), 'Model_ of_individuals'!AA208*'Model_ of_individuals'!$K208,"")</f>
        <v/>
      </c>
      <c r="AB202" s="93" t="str">
        <f>IF(ISNUMBER('Model_ of_individuals'!AB208), 'Model_ of_individuals'!AB208*'Model_ of_individuals'!$K208,"")</f>
        <v/>
      </c>
      <c r="AC202" s="93" t="str">
        <f>IF(ISNUMBER('Model_ of_individuals'!AC208), 'Model_ of_individuals'!AC208*'Model_ of_individuals'!$K208,"")</f>
        <v/>
      </c>
      <c r="AD202" s="93" t="str">
        <f>IF(ISNUMBER('Model_ of_individuals'!AD208), 'Model_ of_individuals'!AD208*'Model_ of_individuals'!$K208,"")</f>
        <v/>
      </c>
      <c r="AE202" s="93" t="str">
        <f>IF(ISNUMBER('Model_ of_individuals'!AE208), 'Model_ of_individuals'!AE208*'Model_ of_individuals'!$K208,"")</f>
        <v/>
      </c>
      <c r="AF202" s="109" t="str">
        <f>IF(ISNUMBER('Model_ of_individuals'!AF208), 'Model_ of_individuals'!AF208*'Model_ of_individuals'!$K208,"")</f>
        <v/>
      </c>
    </row>
    <row r="203" spans="1:33" x14ac:dyDescent="0.25">
      <c r="A203" s="518"/>
      <c r="B203" s="504"/>
      <c r="C203" s="104" t="str">
        <f>IF(AND(ISNUMBER(B188), OR('Cost Inputs'!$H$82&lt;&gt;"", 'Cost Inputs'!$I$82&lt;&gt;"", 'Cost Inputs'!$J$82&lt;&gt;"")),_3_4_5, "")</f>
        <v/>
      </c>
      <c r="D203" s="17" t="str">
        <f>IF(AND(C203&lt;&gt;"", 'Cost Inputs'!$G$82&lt;&gt;""), 'Cost Inputs'!$G$82, "")</f>
        <v/>
      </c>
      <c r="E203" s="17" t="str">
        <f>IF(AND(C203&lt;&gt;"", 'Cost Inputs'!$H$82&lt;&gt;""), 'Cost Inputs'!$H$82, "")</f>
        <v/>
      </c>
      <c r="F203" s="17" t="str">
        <f>IF(AND(C203&lt;&gt;"", 'Cost Inputs'!$I$82&lt;&gt;""), 'Cost Inputs'!$I$82, "")</f>
        <v/>
      </c>
      <c r="G203" s="17" t="str">
        <f t="shared" si="10"/>
        <v/>
      </c>
      <c r="H203" s="17" t="str">
        <f>IF(AND(C203&lt;&gt;"", 'Cost Inputs'!$J$82&lt;&gt;""), 'Cost Inputs'!$J$82, "")</f>
        <v/>
      </c>
      <c r="I203" s="17" t="str">
        <f t="shared" si="9"/>
        <v/>
      </c>
      <c r="J203" s="17" t="str">
        <f>IF(AND(C203&lt;&gt;"",('Cost Inputs'!$I$82+'Cost Inputs'!$J$82+'Cost Inputs'!$K$82)&gt;0), 'Cost Inputs'!$I$82+'Cost Inputs'!$J$82+'Cost Inputs'!$K$82, "")</f>
        <v/>
      </c>
      <c r="K203" s="17" t="str">
        <f>IF(AND(C203&lt;&gt;"", 'Cost Inputs'!$N$82&gt;0),'Cost Inputs'!$N$82,"")</f>
        <v/>
      </c>
      <c r="M203" s="106"/>
      <c r="W203" s="104" t="str">
        <f>IF(ISNUMBER('Model_ of_individuals'!W209), 'Model_ of_individuals'!W209*'Model_ of_individuals'!$K209,"")</f>
        <v/>
      </c>
      <c r="X203" s="17" t="str">
        <f>IF(ISNUMBER('Model_ of_individuals'!X209), 'Model_ of_individuals'!X209*'Model_ of_individuals'!$K209,"")</f>
        <v/>
      </c>
      <c r="Y203" s="17" t="str">
        <f>IF(ISNUMBER('Model_ of_individuals'!Y209), 'Model_ of_individuals'!Y209*'Model_ of_individuals'!$K209,"")</f>
        <v/>
      </c>
      <c r="Z203" s="17" t="str">
        <f>IF(ISNUMBER('Model_ of_individuals'!Z209), 'Model_ of_individuals'!Z209*'Model_ of_individuals'!$K209,"")</f>
        <v/>
      </c>
      <c r="AA203" s="17" t="str">
        <f>IF(ISNUMBER('Model_ of_individuals'!AA209), 'Model_ of_individuals'!AA209*'Model_ of_individuals'!$K209,"")</f>
        <v/>
      </c>
      <c r="AB203" s="17" t="str">
        <f>IF(ISNUMBER('Model_ of_individuals'!AB209), 'Model_ of_individuals'!AB209*'Model_ of_individuals'!$K209,"")</f>
        <v/>
      </c>
      <c r="AC203" s="17" t="str">
        <f>IF(ISNUMBER('Model_ of_individuals'!AC209), 'Model_ of_individuals'!AC209*'Model_ of_individuals'!$K209,"")</f>
        <v/>
      </c>
      <c r="AD203" s="17" t="str">
        <f>IF(ISNUMBER('Model_ of_individuals'!AD209), 'Model_ of_individuals'!AD209*'Model_ of_individuals'!$K209,"")</f>
        <v/>
      </c>
      <c r="AE203" s="17" t="str">
        <f>IF(ISNUMBER('Model_ of_individuals'!AE209), 'Model_ of_individuals'!AE209*'Model_ of_individuals'!$K209,"")</f>
        <v/>
      </c>
      <c r="AF203" s="106" t="str">
        <f>IF(ISNUMBER('Model_ of_individuals'!AF209), 'Model_ of_individuals'!AF209*'Model_ of_individuals'!$K209,"")</f>
        <v/>
      </c>
    </row>
    <row r="204" spans="1:33" x14ac:dyDescent="0.25">
      <c r="A204" s="518"/>
      <c r="B204" s="504"/>
      <c r="C204" s="107" t="str">
        <f>IF(AND(ISNUMBER(B188), OR('Cost Inputs'!$H$83&lt;&gt;"", 'Cost Inputs'!$I$83&lt;&gt;"", 'Cost Inputs'!$J$83&lt;&gt;"")),_3_4_6, "")</f>
        <v/>
      </c>
      <c r="D204" s="93" t="str">
        <f>IF(AND(C204&lt;&gt;"", 'Cost Inputs'!$G$83&lt;&gt;""), 'Cost Inputs'!$G$83, "")</f>
        <v/>
      </c>
      <c r="E204" s="93" t="str">
        <f>IF(AND(C204&lt;&gt;"", 'Cost Inputs'!$H$83&lt;&gt;""), 'Cost Inputs'!$H$83, "")</f>
        <v/>
      </c>
      <c r="F204" s="93" t="str">
        <f>IF(AND(C204&lt;&gt;"", 'Cost Inputs'!$I$83&lt;&gt;""), 'Cost Inputs'!$I$83, "")</f>
        <v/>
      </c>
      <c r="G204" s="93" t="str">
        <f t="shared" si="10"/>
        <v/>
      </c>
      <c r="H204" s="93" t="str">
        <f>IF(AND(C204&lt;&gt;"", 'Cost Inputs'!$J$83&lt;&gt;""), 'Cost Inputs'!$J$83, "")</f>
        <v/>
      </c>
      <c r="I204" s="93" t="str">
        <f t="shared" si="9"/>
        <v/>
      </c>
      <c r="J204" s="93" t="str">
        <f>IF(AND(C204&lt;&gt;"",('Cost Inputs'!$I$83+'Cost Inputs'!$J$83+'Cost Inputs'!$K$83)&gt;0), 'Cost Inputs'!$I$83+'Cost Inputs'!$J$83+'Cost Inputs'!$K$83, "")</f>
        <v/>
      </c>
      <c r="K204" s="93" t="str">
        <f>IF(AND(C204&lt;&gt;"", 'Cost Inputs'!$N$83&gt;0),'Cost Inputs'!$N$83,"")</f>
        <v/>
      </c>
      <c r="L204" s="93"/>
      <c r="M204" s="109"/>
      <c r="W204" s="107" t="str">
        <f>IF(ISNUMBER('Model_ of_individuals'!W210), 'Model_ of_individuals'!W210*'Model_ of_individuals'!$K210,"")</f>
        <v/>
      </c>
      <c r="X204" s="93" t="str">
        <f>IF(ISNUMBER('Model_ of_individuals'!X210), 'Model_ of_individuals'!X210*'Model_ of_individuals'!$K210,"")</f>
        <v/>
      </c>
      <c r="Y204" s="93" t="str">
        <f>IF(ISNUMBER('Model_ of_individuals'!Y210), 'Model_ of_individuals'!Y210*'Model_ of_individuals'!$K210,"")</f>
        <v/>
      </c>
      <c r="Z204" s="93" t="str">
        <f>IF(ISNUMBER('Model_ of_individuals'!Z210), 'Model_ of_individuals'!Z210*'Model_ of_individuals'!$K210,"")</f>
        <v/>
      </c>
      <c r="AA204" s="93" t="str">
        <f>IF(ISNUMBER('Model_ of_individuals'!AA210), 'Model_ of_individuals'!AA210*'Model_ of_individuals'!$K210,"")</f>
        <v/>
      </c>
      <c r="AB204" s="93" t="str">
        <f>IF(ISNUMBER('Model_ of_individuals'!AB210), 'Model_ of_individuals'!AB210*'Model_ of_individuals'!$K210,"")</f>
        <v/>
      </c>
      <c r="AC204" s="93" t="str">
        <f>IF(ISNUMBER('Model_ of_individuals'!AC210), 'Model_ of_individuals'!AC210*'Model_ of_individuals'!$K210,"")</f>
        <v/>
      </c>
      <c r="AD204" s="93" t="str">
        <f>IF(ISNUMBER('Model_ of_individuals'!AD210), 'Model_ of_individuals'!AD210*'Model_ of_individuals'!$K210,"")</f>
        <v/>
      </c>
      <c r="AE204" s="93" t="str">
        <f>IF(ISNUMBER('Model_ of_individuals'!AE210), 'Model_ of_individuals'!AE210*'Model_ of_individuals'!$K210,"")</f>
        <v/>
      </c>
      <c r="AF204" s="109" t="str">
        <f>IF(ISNUMBER('Model_ of_individuals'!AF210), 'Model_ of_individuals'!AF210*'Model_ of_individuals'!$K210,"")</f>
        <v/>
      </c>
    </row>
    <row r="205" spans="1:33" x14ac:dyDescent="0.25">
      <c r="A205" s="518"/>
      <c r="B205" s="504"/>
      <c r="C205" s="110" t="str">
        <f>IF(ISNUMBER(B188), _3_5_0,"")</f>
        <v/>
      </c>
      <c r="D205" s="94" t="str">
        <f>IF(AND(B188&lt;&gt;"", OR('Cost Inputs'!$H$84&lt;&gt;"", 'Cost Inputs'!$I$84&lt;&gt;"", 'Cost Inputs'!$J$84&lt;&gt;"")), 'Cost Inputs'!$G$84,"")</f>
        <v/>
      </c>
      <c r="E205" s="94" t="str">
        <f>IF(AND(C205&lt;&gt;"", 'Cost Inputs'!$H$84&lt;&gt;""), 'Cost Inputs'!$H$84, "")</f>
        <v/>
      </c>
      <c r="F205" s="94" t="str">
        <f>IF(AND(C205&lt;&gt;"", 'Cost Inputs'!$I$84&lt;&gt;""), 'Cost Inputs'!$I$84, "")</f>
        <v/>
      </c>
      <c r="G205" s="94" t="str">
        <f t="shared" si="10"/>
        <v/>
      </c>
      <c r="H205" s="94" t="str">
        <f>IF(AND(C205&lt;&gt;"", 'Cost Inputs'!$J$84&lt;&gt;""), 'Cost Inputs'!$J$84, "")</f>
        <v/>
      </c>
      <c r="I205" s="94" t="str">
        <f>IF(AND($E205&lt;&gt;"", $H205&lt;&gt;""), $H205/$E205, "")</f>
        <v/>
      </c>
      <c r="J205" s="94" t="str">
        <f>IF(AND(C205&lt;&gt;"",('Cost Inputs'!$I$84+'Cost Inputs'!$J$84+'Cost Inputs'!$K$84)&gt;0), 'Cost Inputs'!$I$84+'Cost Inputs'!$J$84+'Cost Inputs'!$K$84, "")</f>
        <v/>
      </c>
      <c r="K205" s="94" t="str">
        <f>IF(AND(C205&lt;&gt;"", 'Cost Inputs'!$N$84&gt;0),'Cost Inputs'!$N$84,"")</f>
        <v/>
      </c>
      <c r="L205" s="94"/>
      <c r="M205" s="129" t="str">
        <f>IF(ISNUMBER(B188), 'Breeding Inputs'!D83+'Breeding Inputs'!E83, "")</f>
        <v/>
      </c>
      <c r="W205" s="110" t="str">
        <f>IF(ISNUMBER('Model_ of_individuals'!W212), 'Model_ of_individuals'!W212*'Model_ of_individuals'!$K212,"")</f>
        <v/>
      </c>
      <c r="X205" s="94" t="str">
        <f>IF(ISNUMBER('Model_ of_individuals'!X212), 'Model_ of_individuals'!X212*'Model_ of_individuals'!$K212,"")</f>
        <v/>
      </c>
      <c r="Y205" s="94" t="str">
        <f>IF(ISNUMBER('Model_ of_individuals'!Y212), 'Model_ of_individuals'!Y212*'Model_ of_individuals'!$K212,"")</f>
        <v/>
      </c>
      <c r="Z205" s="94" t="str">
        <f>IF(ISNUMBER('Model_ of_individuals'!Z212), 'Model_ of_individuals'!Z212*'Model_ of_individuals'!$K212,"")</f>
        <v/>
      </c>
      <c r="AA205" s="94" t="str">
        <f>IF(ISNUMBER('Model_ of_individuals'!AA212), 'Model_ of_individuals'!AA212*'Model_ of_individuals'!$K212,"")</f>
        <v/>
      </c>
      <c r="AB205" s="94" t="str">
        <f>IF(ISNUMBER('Model_ of_individuals'!AB212), 'Model_ of_individuals'!AB212*'Model_ of_individuals'!$K212,"")</f>
        <v/>
      </c>
      <c r="AC205" s="94" t="str">
        <f>IF(ISNUMBER('Model_ of_individuals'!AC212), 'Model_ of_individuals'!AC212*'Model_ of_individuals'!$K212,"")</f>
        <v/>
      </c>
      <c r="AD205" s="94" t="str">
        <f>IF(ISNUMBER('Model_ of_individuals'!AD212), 'Model_ of_individuals'!AD212*'Model_ of_individuals'!$K212,"")</f>
        <v/>
      </c>
      <c r="AE205" s="94" t="str">
        <f>IF(ISNUMBER('Model_ of_individuals'!AE212), 'Model_ of_individuals'!AE212*'Model_ of_individuals'!$K212,"")</f>
        <v/>
      </c>
      <c r="AF205" s="103" t="str">
        <f>IF(ISNUMBER('Model_ of_individuals'!AF212), 'Model_ of_individuals'!AF212*'Model_ of_individuals'!$K212,"")</f>
        <v/>
      </c>
    </row>
    <row r="206" spans="1:33" x14ac:dyDescent="0.25">
      <c r="A206" s="518"/>
      <c r="B206" s="504"/>
      <c r="C206" s="104" t="str">
        <f>IF(AND(ISNUMBER(B188), OR('Cost Inputs'!$H$85&lt;&gt;"", 'Cost Inputs'!$I$85&lt;&gt;"", 'Cost Inputs'!$J$85&lt;&gt;"")), _3_5_1, "")</f>
        <v/>
      </c>
      <c r="D206" s="17" t="str">
        <f>IF(AND(C206&lt;&gt;"", 'Cost Inputs'!$G$85&lt;&gt;""), 'Cost Inputs'!$G$85, "")</f>
        <v/>
      </c>
      <c r="E206" s="17" t="str">
        <f>IF(AND(C206&lt;&gt;"", 'Cost Inputs'!$H$85&lt;&gt;""), 'Cost Inputs'!$H$85, "")</f>
        <v/>
      </c>
      <c r="F206" s="17" t="str">
        <f>IF(AND(C206&lt;&gt;"", 'Cost Inputs'!$I$85&lt;&gt;""), 'Cost Inputs'!$I$85, "")</f>
        <v/>
      </c>
      <c r="G206" s="17" t="str">
        <f t="shared" si="10"/>
        <v/>
      </c>
      <c r="H206" s="17" t="str">
        <f>IF(AND(C206&lt;&gt;"", 'Cost Inputs'!$J$85&lt;&gt;""), 'Cost Inputs'!$J$85, "")</f>
        <v/>
      </c>
      <c r="I206" s="17" t="str">
        <f t="shared" si="9"/>
        <v/>
      </c>
      <c r="J206" s="17" t="str">
        <f>IF(AND(C206&lt;&gt;"",('Cost Inputs'!$I$85+'Cost Inputs'!$J$85+'Cost Inputs'!$K$85)&gt;0), 'Cost Inputs'!$I$85+'Cost Inputs'!$J$85+'Cost Inputs'!$K$85, "")</f>
        <v/>
      </c>
      <c r="K206" s="17" t="str">
        <f>IF(AND(C206&lt;&gt;"", 'Cost Inputs'!$N$85&gt;0),'Cost Inputs'!$N$85,"")</f>
        <v/>
      </c>
      <c r="M206" s="106"/>
      <c r="W206" s="104" t="str">
        <f>IF(ISNUMBER('Model_ of_individuals'!W213), 'Model_ of_individuals'!W213*'Model_ of_individuals'!$K213,"")</f>
        <v/>
      </c>
      <c r="X206" s="17" t="str">
        <f>IF(ISNUMBER('Model_ of_individuals'!X213), 'Model_ of_individuals'!X213*'Model_ of_individuals'!$K213,"")</f>
        <v/>
      </c>
      <c r="Y206" s="17" t="str">
        <f>IF(ISNUMBER('Model_ of_individuals'!Y213), 'Model_ of_individuals'!Y213*'Model_ of_individuals'!$K213,"")</f>
        <v/>
      </c>
      <c r="Z206" s="17" t="str">
        <f>IF(ISNUMBER('Model_ of_individuals'!Z213), 'Model_ of_individuals'!Z213*'Model_ of_individuals'!$K213,"")</f>
        <v/>
      </c>
      <c r="AA206" s="17" t="str">
        <f>IF(ISNUMBER('Model_ of_individuals'!AA213), 'Model_ of_individuals'!AA213*'Model_ of_individuals'!$K213,"")</f>
        <v/>
      </c>
      <c r="AB206" s="17" t="str">
        <f>IF(ISNUMBER('Model_ of_individuals'!AB213), 'Model_ of_individuals'!AB213*'Model_ of_individuals'!$K213,"")</f>
        <v/>
      </c>
      <c r="AC206" s="17" t="str">
        <f>IF(ISNUMBER('Model_ of_individuals'!AC213), 'Model_ of_individuals'!AC213*'Model_ of_individuals'!$K213,"")</f>
        <v/>
      </c>
      <c r="AD206" s="17" t="str">
        <f>IF(ISNUMBER('Model_ of_individuals'!AD213), 'Model_ of_individuals'!AD213*'Model_ of_individuals'!$K213,"")</f>
        <v/>
      </c>
      <c r="AE206" s="17" t="str">
        <f>IF(ISNUMBER('Model_ of_individuals'!AE213), 'Model_ of_individuals'!AE213*'Model_ of_individuals'!$K213,"")</f>
        <v/>
      </c>
      <c r="AF206" s="106" t="str">
        <f>IF(ISNUMBER('Model_ of_individuals'!AF213), 'Model_ of_individuals'!AF213*'Model_ of_individuals'!$K213,"")</f>
        <v/>
      </c>
    </row>
    <row r="207" spans="1:33" ht="15.75" thickBot="1" x14ac:dyDescent="0.3">
      <c r="A207" s="518"/>
      <c r="B207" s="505"/>
      <c r="C207" s="111" t="str">
        <f>IF(AND(ISNUMBER(B188), OR('Cost Inputs'!$H$86&lt;&gt;"", 'Cost Inputs'!$I$86&lt;&gt;"", 'Cost Inputs'!$J$86&lt;&gt;"")), _3_5_2, "")</f>
        <v/>
      </c>
      <c r="D207" s="95" t="str">
        <f>IF(AND(C207&lt;&gt;"", 'Cost Inputs'!$G$86&lt;&gt;""), 'Cost Inputs'!$G$86, "")</f>
        <v/>
      </c>
      <c r="E207" s="95" t="str">
        <f>IF(AND(C207&lt;&gt;"", 'Cost Inputs'!$H$86&lt;&gt;""), 'Cost Inputs'!$H$86, "")</f>
        <v/>
      </c>
      <c r="F207" s="95" t="str">
        <f>IF(AND(C207&lt;&gt;"", 'Cost Inputs'!$I$86&lt;&gt;""), 'Cost Inputs'!$I$86, "")</f>
        <v/>
      </c>
      <c r="G207" s="95" t="str">
        <f t="shared" si="10"/>
        <v/>
      </c>
      <c r="H207" s="95" t="str">
        <f>IF(AND(C207&lt;&gt;"", 'Cost Inputs'!$J$86&lt;&gt;""), 'Cost Inputs'!$J$86, "")</f>
        <v/>
      </c>
      <c r="I207" s="95" t="str">
        <f t="shared" si="9"/>
        <v/>
      </c>
      <c r="J207" s="95" t="str">
        <f>IF(AND(C207&lt;&gt;"",('Cost Inputs'!$I$86+'Cost Inputs'!$J$86+'Cost Inputs'!$K$86)&gt;0), 'Cost Inputs'!$I$86+'Cost Inputs'!$J$86+'Cost Inputs'!$K$86, "")</f>
        <v/>
      </c>
      <c r="K207" s="95" t="str">
        <f>IF(AND(C207&lt;&gt;"", 'Cost Inputs'!$N$86&gt;0),'Cost Inputs'!$N$86,"")</f>
        <v/>
      </c>
      <c r="L207" s="95"/>
      <c r="M207" s="113"/>
      <c r="W207" s="111" t="str">
        <f>IF(ISNUMBER('Model_ of_individuals'!W214), 'Model_ of_individuals'!W214*'Model_ of_individuals'!$K214,"")</f>
        <v/>
      </c>
      <c r="X207" s="95" t="str">
        <f>IF(ISNUMBER('Model_ of_individuals'!X214), 'Model_ of_individuals'!X214*'Model_ of_individuals'!$K214,"")</f>
        <v/>
      </c>
      <c r="Y207" s="95" t="str">
        <f>IF(ISNUMBER('Model_ of_individuals'!Y214), 'Model_ of_individuals'!Y214*'Model_ of_individuals'!$K214,"")</f>
        <v/>
      </c>
      <c r="Z207" s="95" t="str">
        <f>IF(ISNUMBER('Model_ of_individuals'!Z214), 'Model_ of_individuals'!Z214*'Model_ of_individuals'!$K214,"")</f>
        <v/>
      </c>
      <c r="AA207" s="95" t="str">
        <f>IF(ISNUMBER('Model_ of_individuals'!AA214), 'Model_ of_individuals'!AA214*'Model_ of_individuals'!$K214,"")</f>
        <v/>
      </c>
      <c r="AB207" s="95" t="str">
        <f>IF(ISNUMBER('Model_ of_individuals'!AB214), 'Model_ of_individuals'!AB214*'Model_ of_individuals'!$K214,"")</f>
        <v/>
      </c>
      <c r="AC207" s="95" t="str">
        <f>IF(ISNUMBER('Model_ of_individuals'!AC214), 'Model_ of_individuals'!AC214*'Model_ of_individuals'!$K214,"")</f>
        <v/>
      </c>
      <c r="AD207" s="95" t="str">
        <f>IF(ISNUMBER('Model_ of_individuals'!AD214), 'Model_ of_individuals'!AD214*'Model_ of_individuals'!$K214,"")</f>
        <v/>
      </c>
      <c r="AE207" s="95" t="str">
        <f>IF(ISNUMBER('Model_ of_individuals'!AE214), 'Model_ of_individuals'!AE214*'Model_ of_individuals'!$K214,"")</f>
        <v/>
      </c>
      <c r="AF207" s="113" t="str">
        <f>IF(ISNUMBER('Model_ of_individuals'!AF214), 'Model_ of_individuals'!AF214*'Model_ of_individuals'!$K214,"")</f>
        <v/>
      </c>
    </row>
    <row r="208" spans="1:33" ht="14.45" customHeight="1" x14ac:dyDescent="0.25">
      <c r="A208" s="518" t="str">
        <f>Third_Stage</f>
        <v>Stage 1 Seedling Test Plots</v>
      </c>
      <c r="B208" s="503" t="str">
        <f>'Breeding Inputs'!B84</f>
        <v/>
      </c>
      <c r="C208" s="116" t="str">
        <f>IF(ISNUMBER(B208), _3_2_0, "")</f>
        <v/>
      </c>
      <c r="D208" s="92" t="str">
        <f>IF(AND(B208&lt;&gt;"", OR('Cost Inputs'!$H$67&lt;&gt;"", 'Cost Inputs'!$I$67&lt;&gt;"", 'Cost Inputs'!$J$67&lt;&gt;"")), 'Cost Inputs'!$G$67,"")</f>
        <v/>
      </c>
      <c r="E208" s="92" t="str">
        <f>IF(AND(C208&lt;&gt;"", 'Cost Inputs'!$H$67&lt;&gt;"", M$205&lt;&gt;"", M$205&gt;0), $E188-('Cost Inputs'!$H$67*M$205), IF(AND(C208&lt;&gt;"", 'Cost Inputs'!$H$67&lt;&gt;""), $E188, ""))</f>
        <v/>
      </c>
      <c r="F208" s="92" t="str">
        <f>IF(AND(C208&lt;&gt;"", 'Cost Inputs'!$I$67&lt;&gt;""), 'Cost Inputs'!$I$67, "")</f>
        <v/>
      </c>
      <c r="G208" s="92" t="str">
        <f t="shared" si="10"/>
        <v/>
      </c>
      <c r="H208" s="92" t="str">
        <f>IF(AND(C208&lt;&gt;"", 'Cost Inputs'!$J$67&lt;&gt;""), 'Cost Inputs'!$J$67, "")</f>
        <v/>
      </c>
      <c r="I208" s="92" t="str">
        <f>IF(AND($E208&lt;&gt;"", $H208&lt;&gt;""), $H208/$E208, "")</f>
        <v/>
      </c>
      <c r="J208" s="92" t="str">
        <f>IF(AND(C208&lt;&gt;"",('Cost Inputs'!$I$67+'Cost Inputs'!$J$67+'Cost Inputs'!$K$67)&gt;0), 'Cost Inputs'!$I$67+'Cost Inputs'!$J$67+'Cost Inputs'!$K$67, "")</f>
        <v/>
      </c>
      <c r="K208" s="92" t="str">
        <f>IF(AND(C208&lt;&gt;"", 'Cost Inputs'!$N$67&gt;0),'Cost Inputs'!$N$67,"")</f>
        <v/>
      </c>
      <c r="L208" s="92"/>
      <c r="M208" s="101"/>
      <c r="X208" s="110" t="str">
        <f>IF(ISNUMBER('Model_ of_individuals'!X215), 'Model_ of_individuals'!X215*'Model_ of_individuals'!$K215,"")</f>
        <v/>
      </c>
      <c r="Y208" s="94" t="str">
        <f>IF(ISNUMBER('Model_ of_individuals'!Y215), 'Model_ of_individuals'!Y215*'Model_ of_individuals'!$K215,"")</f>
        <v/>
      </c>
      <c r="Z208" s="94" t="str">
        <f>IF(ISNUMBER('Model_ of_individuals'!Z215), 'Model_ of_individuals'!Z215*'Model_ of_individuals'!$K215,"")</f>
        <v/>
      </c>
      <c r="AA208" s="94" t="str">
        <f>IF(ISNUMBER('Model_ of_individuals'!AA215), 'Model_ of_individuals'!AA215*'Model_ of_individuals'!$K215,"")</f>
        <v/>
      </c>
      <c r="AB208" s="94" t="str">
        <f>IF(ISNUMBER('Model_ of_individuals'!AB215), 'Model_ of_individuals'!AB215*'Model_ of_individuals'!$K215,"")</f>
        <v/>
      </c>
      <c r="AC208" s="94" t="str">
        <f>IF(ISNUMBER('Model_ of_individuals'!AC215), 'Model_ of_individuals'!AC215*'Model_ of_individuals'!$K215,"")</f>
        <v/>
      </c>
      <c r="AD208" s="94" t="str">
        <f>IF(ISNUMBER('Model_ of_individuals'!AD215), 'Model_ of_individuals'!AD215*'Model_ of_individuals'!$K215,"")</f>
        <v/>
      </c>
      <c r="AE208" s="94" t="str">
        <f>IF(ISNUMBER('Model_ of_individuals'!AE215), 'Model_ of_individuals'!AE215*'Model_ of_individuals'!$K215,"")</f>
        <v/>
      </c>
      <c r="AF208" s="94" t="str">
        <f>IF(ISNUMBER('Model_ of_individuals'!AF215), 'Model_ of_individuals'!AF215*'Model_ of_individuals'!$K215,"")</f>
        <v/>
      </c>
      <c r="AG208" s="103" t="str">
        <f>IF(ISNUMBER('Model_ of_individuals'!AG215), 'Model_ of_individuals'!AG215*'Model_ of_individuals'!$K215,"")</f>
        <v/>
      </c>
    </row>
    <row r="209" spans="1:33" x14ac:dyDescent="0.25">
      <c r="A209" s="518"/>
      <c r="B209" s="504"/>
      <c r="C209" s="104" t="str">
        <f>IF(AND(ISNUMBER(B208), OR('Cost Inputs'!$H$68&lt;&gt;"", 'Cost Inputs'!$I$68&lt;&gt;"", 'Cost Inputs'!$J$68&lt;&gt;"")), _3_2_1, "")</f>
        <v/>
      </c>
      <c r="D209" s="17" t="str">
        <f>IF(AND($C209&lt;&gt;"", 'Cost Inputs'!$G$68&lt;&gt;""), 'Cost Inputs'!$G$68, "")</f>
        <v/>
      </c>
      <c r="E209" s="17" t="str">
        <f>IF(AND(C209&lt;&gt;"", 'Cost Inputs'!$H$68&lt;&gt;"", M$205&lt;&gt;"", M$205&gt;0), $E189-('Cost Inputs'!$H$68*M$205), IF(AND(C209&lt;&gt;"", 'Cost Inputs'!$H$68&lt;&gt;""), $E189, ""))</f>
        <v/>
      </c>
      <c r="F209" s="17" t="str">
        <f>IF(AND(C209&lt;&gt;"", 'Cost Inputs'!$I$68&lt;&gt;""), 'Cost Inputs'!$I$68, "")</f>
        <v/>
      </c>
      <c r="G209" s="17" t="str">
        <f t="shared" si="10"/>
        <v/>
      </c>
      <c r="H209" s="17" t="str">
        <f>IF(AND(C209&lt;&gt;"", 'Cost Inputs'!$J$68&lt;&gt;""), 'Cost Inputs'!$J$68, "")</f>
        <v/>
      </c>
      <c r="I209" s="17" t="str">
        <f t="shared" ref="I209:I232" si="11">IF(AND($E209&lt;&gt;"", $H209&lt;&gt;""), $H209/$E209, "")</f>
        <v/>
      </c>
      <c r="J209" s="17" t="str">
        <f>IF(AND(C209&lt;&gt;"",('Cost Inputs'!$I$68+'Cost Inputs'!$J$68+'Cost Inputs'!$K$68)&gt;0), 'Cost Inputs'!$I$68+'Cost Inputs'!$J$68+'Cost Inputs'!$K$68, "")</f>
        <v/>
      </c>
      <c r="K209" s="17" t="str">
        <f>IF(AND(C209&lt;&gt;"", 'Cost Inputs'!$N$68&gt;0),'Cost Inputs'!$N$68,"")</f>
        <v/>
      </c>
      <c r="M209" s="106"/>
      <c r="X209" s="104" t="str">
        <f>IF(ISNUMBER('Model_ of_individuals'!X216), 'Model_ of_individuals'!X216*'Model_ of_individuals'!$K216,"")</f>
        <v/>
      </c>
      <c r="Y209" s="17" t="str">
        <f>IF(ISNUMBER('Model_ of_individuals'!Y216), 'Model_ of_individuals'!Y216*'Model_ of_individuals'!$K216,"")</f>
        <v/>
      </c>
      <c r="Z209" s="17" t="str">
        <f>IF(ISNUMBER('Model_ of_individuals'!Z216), 'Model_ of_individuals'!Z216*'Model_ of_individuals'!$K216,"")</f>
        <v/>
      </c>
      <c r="AA209" s="17" t="str">
        <f>IF(ISNUMBER('Model_ of_individuals'!AA216), 'Model_ of_individuals'!AA216*'Model_ of_individuals'!$K216,"")</f>
        <v/>
      </c>
      <c r="AB209" s="17" t="str">
        <f>IF(ISNUMBER('Model_ of_individuals'!AB216), 'Model_ of_individuals'!AB216*'Model_ of_individuals'!$K216,"")</f>
        <v/>
      </c>
      <c r="AC209" s="17" t="str">
        <f>IF(ISNUMBER('Model_ of_individuals'!AC216), 'Model_ of_individuals'!AC216*'Model_ of_individuals'!$K216,"")</f>
        <v/>
      </c>
      <c r="AD209" s="17" t="str">
        <f>IF(ISNUMBER('Model_ of_individuals'!AD216), 'Model_ of_individuals'!AD216*'Model_ of_individuals'!$K216,"")</f>
        <v/>
      </c>
      <c r="AE209" s="17" t="str">
        <f>IF(ISNUMBER('Model_ of_individuals'!AE216), 'Model_ of_individuals'!AE216*'Model_ of_individuals'!$K216,"")</f>
        <v/>
      </c>
      <c r="AF209" s="17" t="str">
        <f>IF(ISNUMBER('Model_ of_individuals'!AF216), 'Model_ of_individuals'!AF216*'Model_ of_individuals'!$K216,"")</f>
        <v/>
      </c>
      <c r="AG209" s="106" t="str">
        <f>IF(ISNUMBER('Model_ of_individuals'!AG216), 'Model_ of_individuals'!AG216*'Model_ of_individuals'!$K216,"")</f>
        <v/>
      </c>
    </row>
    <row r="210" spans="1:33" x14ac:dyDescent="0.25">
      <c r="A210" s="518"/>
      <c r="B210" s="504"/>
      <c r="C210" s="107" t="str">
        <f>IF(AND(ISNUMBER(B208), OR('Cost Inputs'!$H$69&lt;&gt;"", 'Cost Inputs'!$I$69&lt;&gt;"", 'Cost Inputs'!$J$69&lt;&gt;"")), _3_2_2, "")</f>
        <v/>
      </c>
      <c r="D210" s="93" t="str">
        <f>IF(AND($C210&lt;&gt;"", 'Cost Inputs'!$G$69&lt;&gt;""), 'Cost Inputs'!$G$69, "")</f>
        <v/>
      </c>
      <c r="E210" s="93" t="str">
        <f>IF(AND(C210&lt;&gt;"", 'Cost Inputs'!$H$69&lt;&gt;"", M$205&lt;&gt;"", M$205&gt;0), $E190-('Cost Inputs'!$H$69*M$205), IF(AND(C210&lt;&gt;"", 'Cost Inputs'!$H$69&lt;&gt;""), $E190, ""))</f>
        <v/>
      </c>
      <c r="F210" s="93" t="str">
        <f>IF(AND(C210&lt;&gt;"", 'Cost Inputs'!$I$69&lt;&gt;""), 'Cost Inputs'!$I$69, "")</f>
        <v/>
      </c>
      <c r="G210" s="93" t="str">
        <f t="shared" si="10"/>
        <v/>
      </c>
      <c r="H210" s="93" t="str">
        <f>IF(AND(C210&lt;&gt;"", 'Cost Inputs'!$J$69&lt;&gt;""), 'Cost Inputs'!$J$69, "")</f>
        <v/>
      </c>
      <c r="I210" s="93" t="str">
        <f t="shared" si="11"/>
        <v/>
      </c>
      <c r="J210" s="93" t="str">
        <f>IF(AND(C210&lt;&gt;"",('Cost Inputs'!$I$69+'Cost Inputs'!$J$69+'Cost Inputs'!$K$69)&gt;0), 'Cost Inputs'!$I$69+'Cost Inputs'!$J$69+'Cost Inputs'!$K$69, "")</f>
        <v/>
      </c>
      <c r="K210" s="93" t="str">
        <f>IF(AND(C210&lt;&gt;"", 'Cost Inputs'!$N$69&gt;0),'Cost Inputs'!$N$69,"")</f>
        <v/>
      </c>
      <c r="L210" s="93"/>
      <c r="M210" s="109"/>
      <c r="X210" s="107" t="str">
        <f>IF(ISNUMBER('Model_ of_individuals'!X217), 'Model_ of_individuals'!X217*'Model_ of_individuals'!$K217,"")</f>
        <v/>
      </c>
      <c r="Y210" s="93" t="str">
        <f>IF(ISNUMBER('Model_ of_individuals'!Y217), 'Model_ of_individuals'!Y217*'Model_ of_individuals'!$K217,"")</f>
        <v/>
      </c>
      <c r="Z210" s="93" t="str">
        <f>IF(ISNUMBER('Model_ of_individuals'!Z217), 'Model_ of_individuals'!Z217*'Model_ of_individuals'!$K217,"")</f>
        <v/>
      </c>
      <c r="AA210" s="93" t="str">
        <f>IF(ISNUMBER('Model_ of_individuals'!AA217), 'Model_ of_individuals'!AA217*'Model_ of_individuals'!$K217,"")</f>
        <v/>
      </c>
      <c r="AB210" s="93" t="str">
        <f>IF(ISNUMBER('Model_ of_individuals'!AB217), 'Model_ of_individuals'!AB217*'Model_ of_individuals'!$K217,"")</f>
        <v/>
      </c>
      <c r="AC210" s="93" t="str">
        <f>IF(ISNUMBER('Model_ of_individuals'!AC217), 'Model_ of_individuals'!AC217*'Model_ of_individuals'!$K217,"")</f>
        <v/>
      </c>
      <c r="AD210" s="93" t="str">
        <f>IF(ISNUMBER('Model_ of_individuals'!AD217), 'Model_ of_individuals'!AD217*'Model_ of_individuals'!$K217,"")</f>
        <v/>
      </c>
      <c r="AE210" s="93" t="str">
        <f>IF(ISNUMBER('Model_ of_individuals'!AE217), 'Model_ of_individuals'!AE217*'Model_ of_individuals'!$K217,"")</f>
        <v/>
      </c>
      <c r="AF210" s="93" t="str">
        <f>IF(ISNUMBER('Model_ of_individuals'!AF217), 'Model_ of_individuals'!AF217*'Model_ of_individuals'!$K217,"")</f>
        <v/>
      </c>
      <c r="AG210" s="109" t="str">
        <f>IF(ISNUMBER('Model_ of_individuals'!AG217), 'Model_ of_individuals'!AG217*'Model_ of_individuals'!$K217,"")</f>
        <v/>
      </c>
    </row>
    <row r="211" spans="1:33" x14ac:dyDescent="0.25">
      <c r="A211" s="518"/>
      <c r="B211" s="504"/>
      <c r="C211" s="104" t="str">
        <f>IF(AND( ISNUMBER(B208), OR('Cost Inputs'!$H$70&lt;&gt;"", 'Cost Inputs'!$I$70&lt;&gt;"", 'Cost Inputs'!$J$70&lt;&gt;"")), _3_2_3, "")</f>
        <v/>
      </c>
      <c r="D211" s="17" t="str">
        <f>IF(AND($C211&lt;&gt;"", 'Cost Inputs'!$G$70&lt;&gt;""), 'Cost Inputs'!$G$70, "")</f>
        <v/>
      </c>
      <c r="E211" s="17" t="str">
        <f>IF(AND(C211&lt;&gt;"", 'Cost Inputs'!$H$70&lt;&gt;"", M$205&lt;&gt;"", M$205&gt;0), $E191-('Cost Inputs'!$H$70*M$205), IF(AND(C211&lt;&gt;"", 'Cost Inputs'!$H$70&lt;&gt;""), $E191, ""))</f>
        <v/>
      </c>
      <c r="F211" s="17" t="str">
        <f>IF(AND(C211&lt;&gt;"", 'Cost Inputs'!$I$70&lt;&gt;""), 'Cost Inputs'!$I$70, "")</f>
        <v/>
      </c>
      <c r="G211" s="17" t="str">
        <f t="shared" si="10"/>
        <v/>
      </c>
      <c r="H211" s="17" t="str">
        <f>IF(AND(C211&lt;&gt;"", 'Cost Inputs'!$J$70&lt;&gt;""), 'Cost Inputs'!$J$70, "")</f>
        <v/>
      </c>
      <c r="I211" s="17" t="str">
        <f t="shared" si="11"/>
        <v/>
      </c>
      <c r="J211" s="17" t="str">
        <f>IF(AND(C211&lt;&gt;"",('Cost Inputs'!$I$70+'Cost Inputs'!$J$70+'Cost Inputs'!$K$70)&gt;0), 'Cost Inputs'!$I$70+'Cost Inputs'!$J$70+'Cost Inputs'!$K$70, "")</f>
        <v/>
      </c>
      <c r="K211" s="17" t="str">
        <f>IF(AND(C211&lt;&gt;"", 'Cost Inputs'!$N$70&gt;0),'Cost Inputs'!$N$70,"")</f>
        <v/>
      </c>
      <c r="M211" s="106"/>
      <c r="X211" s="104" t="str">
        <f>IF(ISNUMBER('Model_ of_individuals'!X218), 'Model_ of_individuals'!X218*'Model_ of_individuals'!$K218,"")</f>
        <v/>
      </c>
      <c r="Y211" s="17" t="str">
        <f>IF(ISNUMBER('Model_ of_individuals'!Y218), 'Model_ of_individuals'!Y218*'Model_ of_individuals'!$K218,"")</f>
        <v/>
      </c>
      <c r="Z211" s="17" t="str">
        <f>IF(ISNUMBER('Model_ of_individuals'!Z218), 'Model_ of_individuals'!Z218*'Model_ of_individuals'!$K218,"")</f>
        <v/>
      </c>
      <c r="AA211" s="17" t="str">
        <f>IF(ISNUMBER('Model_ of_individuals'!AA218), 'Model_ of_individuals'!AA218*'Model_ of_individuals'!$K218,"")</f>
        <v/>
      </c>
      <c r="AB211" s="17" t="str">
        <f>IF(ISNUMBER('Model_ of_individuals'!AB218), 'Model_ of_individuals'!AB218*'Model_ of_individuals'!$K218,"")</f>
        <v/>
      </c>
      <c r="AC211" s="17" t="str">
        <f>IF(ISNUMBER('Model_ of_individuals'!AC218), 'Model_ of_individuals'!AC218*'Model_ of_individuals'!$K218,"")</f>
        <v/>
      </c>
      <c r="AD211" s="17" t="str">
        <f>IF(ISNUMBER('Model_ of_individuals'!AD218), 'Model_ of_individuals'!AD218*'Model_ of_individuals'!$K218,"")</f>
        <v/>
      </c>
      <c r="AE211" s="17" t="str">
        <f>IF(ISNUMBER('Model_ of_individuals'!AE218), 'Model_ of_individuals'!AE218*'Model_ of_individuals'!$K218,"")</f>
        <v/>
      </c>
      <c r="AF211" s="17" t="str">
        <f>IF(ISNUMBER('Model_ of_individuals'!AF218), 'Model_ of_individuals'!AF218*'Model_ of_individuals'!$K218,"")</f>
        <v/>
      </c>
      <c r="AG211" s="106" t="str">
        <f>IF(ISNUMBER('Model_ of_individuals'!AG218), 'Model_ of_individuals'!AG218*'Model_ of_individuals'!$K218,"")</f>
        <v/>
      </c>
    </row>
    <row r="212" spans="1:33" x14ac:dyDescent="0.25">
      <c r="A212" s="518"/>
      <c r="B212" s="504"/>
      <c r="C212" s="107" t="str">
        <f>IF(AND( ISNUMBER(B208), OR('Cost Inputs'!$H$71&lt;&gt;"", 'Cost Inputs'!$I$71&lt;&gt;"", 'Cost Inputs'!$J$71&lt;&gt;"")), _3_2_4, "")</f>
        <v/>
      </c>
      <c r="D212" s="93" t="str">
        <f>IF(AND($C212&lt;&gt;"", 'Cost Inputs'!$G$71&lt;&gt;""), 'Cost Inputs'!$G$71, "")</f>
        <v/>
      </c>
      <c r="E212" s="93" t="str">
        <f>IF(AND(C212&lt;&gt;"", 'Cost Inputs'!$H$71&lt;&gt;"", M$205&lt;&gt;"", M$205&gt;0), $E192-('Cost Inputs'!$H$71*M$205), IF(AND(C212&lt;&gt;"", 'Cost Inputs'!$H$71&lt;&gt;""), $E192, ""))</f>
        <v/>
      </c>
      <c r="F212" s="93" t="str">
        <f>IF(AND(C212&lt;&gt;"", 'Cost Inputs'!$I$71&lt;&gt;""), 'Cost Inputs'!$I$71, "")</f>
        <v/>
      </c>
      <c r="G212" s="93" t="str">
        <f t="shared" si="10"/>
        <v/>
      </c>
      <c r="H212" s="93" t="str">
        <f>IF(AND(C212&lt;&gt;"", 'Cost Inputs'!$J$71&lt;&gt;""), 'Cost Inputs'!$J$71, "")</f>
        <v/>
      </c>
      <c r="I212" s="93" t="str">
        <f t="shared" si="11"/>
        <v/>
      </c>
      <c r="J212" s="93" t="str">
        <f>IF(AND(C212&lt;&gt;"",('Cost Inputs'!$I$71+'Cost Inputs'!$J$71+'Cost Inputs'!$K$71)&gt;0), 'Cost Inputs'!$I$71+'Cost Inputs'!$J$71+'Cost Inputs'!$K$71, "")</f>
        <v/>
      </c>
      <c r="K212" s="93" t="str">
        <f>IF(AND(C212&lt;&gt;"", 'Cost Inputs'!$N$71&gt;0),'Cost Inputs'!$N$71,"")</f>
        <v/>
      </c>
      <c r="L212" s="93"/>
      <c r="M212" s="109"/>
      <c r="X212" s="107" t="str">
        <f>IF(ISNUMBER('Model_ of_individuals'!X219), 'Model_ of_individuals'!X219*'Model_ of_individuals'!$K219,"")</f>
        <v/>
      </c>
      <c r="Y212" s="93" t="str">
        <f>IF(ISNUMBER('Model_ of_individuals'!Y219), 'Model_ of_individuals'!Y219*'Model_ of_individuals'!$K219,"")</f>
        <v/>
      </c>
      <c r="Z212" s="93" t="str">
        <f>IF(ISNUMBER('Model_ of_individuals'!Z219), 'Model_ of_individuals'!Z219*'Model_ of_individuals'!$K219,"")</f>
        <v/>
      </c>
      <c r="AA212" s="93" t="str">
        <f>IF(ISNUMBER('Model_ of_individuals'!AA219), 'Model_ of_individuals'!AA219*'Model_ of_individuals'!$K219,"")</f>
        <v/>
      </c>
      <c r="AB212" s="93" t="str">
        <f>IF(ISNUMBER('Model_ of_individuals'!AB219), 'Model_ of_individuals'!AB219*'Model_ of_individuals'!$K219,"")</f>
        <v/>
      </c>
      <c r="AC212" s="93" t="str">
        <f>IF(ISNUMBER('Model_ of_individuals'!AC219), 'Model_ of_individuals'!AC219*'Model_ of_individuals'!$K219,"")</f>
        <v/>
      </c>
      <c r="AD212" s="93" t="str">
        <f>IF(ISNUMBER('Model_ of_individuals'!AD219), 'Model_ of_individuals'!AD219*'Model_ of_individuals'!$K219,"")</f>
        <v/>
      </c>
      <c r="AE212" s="93" t="str">
        <f>IF(ISNUMBER('Model_ of_individuals'!AE219), 'Model_ of_individuals'!AE219*'Model_ of_individuals'!$K219,"")</f>
        <v/>
      </c>
      <c r="AF212" s="93" t="str">
        <f>IF(ISNUMBER('Model_ of_individuals'!AF219), 'Model_ of_individuals'!AF219*'Model_ of_individuals'!$K219,"")</f>
        <v/>
      </c>
      <c r="AG212" s="109" t="str">
        <f>IF(ISNUMBER('Model_ of_individuals'!AG219), 'Model_ of_individuals'!AG219*'Model_ of_individuals'!$K219,"")</f>
        <v/>
      </c>
    </row>
    <row r="213" spans="1:33" x14ac:dyDescent="0.25">
      <c r="A213" s="518"/>
      <c r="B213" s="504"/>
      <c r="C213" s="110" t="str">
        <f>IF(AND(B208&lt;&gt;"", ISNUMBER(Stage1EvaluationBegins)), IF((INDEX(ProgramYearStage1,MATCH(Stage1EvaluationBegins,Years_in_Stage1,0)))=B208, _3_3_0, IF(AND(B208&lt;&gt;"", C193&lt;&gt;""), _3_3_0, IF(AND(B208&lt;&gt;"", OR(Stage1EvaluationBegins=0, Stage1EvaluationBegins="")),"", ""))),"")</f>
        <v/>
      </c>
      <c r="D213" s="94" t="str">
        <f>IF(AND(B208&lt;&gt;"", OR('Cost Inputs'!$H$72&lt;&gt;"", 'Cost Inputs'!$I$72&lt;&gt;"", 'Cost Inputs'!$J$72&lt;&gt;"")), 'Cost Inputs'!$G$72,"")</f>
        <v/>
      </c>
      <c r="E213" s="94" t="str">
        <f>IF(AND(C213&lt;&gt;"", 'Cost Inputs'!$H$72&lt;&gt;""), 'Cost Inputs'!$H$72, "")</f>
        <v/>
      </c>
      <c r="F213" s="94" t="str">
        <f>IF(AND(C213&lt;&gt;"", 'Cost Inputs'!$I$72&lt;&gt;""), 'Cost Inputs'!$I$72, "")</f>
        <v/>
      </c>
      <c r="G213" s="94" t="str">
        <f t="shared" si="10"/>
        <v/>
      </c>
      <c r="H213" s="94" t="str">
        <f>IF(AND(C213&lt;&gt;"", 'Cost Inputs'!$J$72&lt;&gt;""), 'Cost Inputs'!$J$72, "")</f>
        <v/>
      </c>
      <c r="I213" s="94" t="str">
        <f>IF(AND($E213&lt;&gt;"", $H213&lt;&gt;""), $H213/$E213, "")</f>
        <v/>
      </c>
      <c r="J213" s="94" t="str">
        <f>IF(AND(C213&lt;&gt;"",('Cost Inputs'!$I$72+'Cost Inputs'!$J$72+'Cost Inputs'!$K$72)&gt;0), 'Cost Inputs'!$I$72+'Cost Inputs'!$J$72+'Cost Inputs'!$K$72, "")</f>
        <v/>
      </c>
      <c r="K213" s="94" t="str">
        <f>IF(AND(C213&lt;&gt;"", 'Cost Inputs'!$N$72&gt;0),'Cost Inputs'!$N$72,"")</f>
        <v/>
      </c>
      <c r="L213" s="130" t="str">
        <f>IF(AND($B208&lt;&gt;"", ISNUMBER(Stage1EvaluationBegins)), IF((INDEX(ProgramYearStage1,MATCH(Stage1EvaluationBegins,Years_in_Stage1,0)))=$B208, INDEX(Stage1Evaluation,MATCH(Stage1EvaluationBegins,Years_in_Stage1,0)), IF(AND($B208&lt;&gt;"", $C193&lt;&gt;""), INDEX(Stage1Evaluation,MATCH($B208,ProgramYearStage1,0)), IF(AND(B208&lt;&gt;"", OR(Stage1EvaluationBegins=0, Stage1EvaluationBegins="")),"", ""))),"")</f>
        <v/>
      </c>
      <c r="M213" s="103"/>
      <c r="X213" s="110" t="str">
        <f>IF(ISNUMBER('Model_ of_individuals'!X220), 'Model_ of_individuals'!X220*'Model_ of_individuals'!$K220,"")</f>
        <v/>
      </c>
      <c r="Y213" s="94" t="str">
        <f>IF(ISNUMBER('Model_ of_individuals'!Y220), 'Model_ of_individuals'!Y220*'Model_ of_individuals'!$K220,"")</f>
        <v/>
      </c>
      <c r="Z213" s="94" t="str">
        <f>IF(ISNUMBER('Model_ of_individuals'!Z220), 'Model_ of_individuals'!Z220*'Model_ of_individuals'!$K220,"")</f>
        <v/>
      </c>
      <c r="AA213" s="94" t="str">
        <f>IF(ISNUMBER('Model_ of_individuals'!AA220), 'Model_ of_individuals'!AA220*'Model_ of_individuals'!$K220,"")</f>
        <v/>
      </c>
      <c r="AB213" s="94" t="str">
        <f>IF(ISNUMBER('Model_ of_individuals'!AB220), 'Model_ of_individuals'!AB220*'Model_ of_individuals'!$K220,"")</f>
        <v/>
      </c>
      <c r="AC213" s="94" t="str">
        <f>IF(ISNUMBER('Model_ of_individuals'!AC220), 'Model_ of_individuals'!AC220*'Model_ of_individuals'!$K220,"")</f>
        <v/>
      </c>
      <c r="AD213" s="94" t="str">
        <f>IF(ISNUMBER('Model_ of_individuals'!AD220), 'Model_ of_individuals'!AD220*'Model_ of_individuals'!$K220,"")</f>
        <v/>
      </c>
      <c r="AE213" s="94" t="str">
        <f>IF(ISNUMBER('Model_ of_individuals'!AE220), 'Model_ of_individuals'!AE220*'Model_ of_individuals'!$K220,"")</f>
        <v/>
      </c>
      <c r="AF213" s="94" t="str">
        <f>IF(ISNUMBER('Model_ of_individuals'!AF220), 'Model_ of_individuals'!AF220*'Model_ of_individuals'!$K220,"")</f>
        <v/>
      </c>
      <c r="AG213" s="103" t="str">
        <f>IF(ISNUMBER('Model_ of_individuals'!AG220), 'Model_ of_individuals'!AG220*'Model_ of_individuals'!$K220,"")</f>
        <v/>
      </c>
    </row>
    <row r="214" spans="1:33" x14ac:dyDescent="0.25">
      <c r="A214" s="518"/>
      <c r="B214" s="504"/>
      <c r="C214" s="104" t="str">
        <f>IF(AND(ISNUMBER(B208), C213&lt;&gt;"", OR('Cost Inputs'!$H$73&lt;&gt;"", 'Cost Inputs'!$I$73&lt;&gt;"", 'Cost Inputs'!$J$73&lt;&gt;"")), _3_3_1, "")</f>
        <v/>
      </c>
      <c r="D214" s="17" t="str">
        <f>IF(AND(C214&lt;&gt;"", 'Cost Inputs'!$G$73&lt;&gt;""), 'Cost Inputs'!$G$73, "")</f>
        <v/>
      </c>
      <c r="E214" s="17" t="str">
        <f>IF(AND(C214&lt;&gt;"", 'Cost Inputs'!$H$73&lt;&gt;""), 'Cost Inputs'!$H$73, "")</f>
        <v/>
      </c>
      <c r="F214" s="17" t="str">
        <f>IF(AND(C214&lt;&gt;"", 'Cost Inputs'!$I$73&lt;&gt;""), 'Cost Inputs'!$I$73, "")</f>
        <v/>
      </c>
      <c r="G214" s="17" t="str">
        <f t="shared" si="10"/>
        <v/>
      </c>
      <c r="H214" s="17" t="str">
        <f>IF(AND(C214&lt;&gt;"", 'Cost Inputs'!$J$73&lt;&gt;""), 'Cost Inputs'!$J$73, "")</f>
        <v/>
      </c>
      <c r="I214" s="17" t="str">
        <f t="shared" ref="I214:I227" si="12">IF(AND($E214&lt;&gt;"", $H214&lt;&gt;""), $H214/$E214, "")</f>
        <v/>
      </c>
      <c r="J214" s="17" t="str">
        <f>IF(AND(C214&lt;&gt;"",('Cost Inputs'!$I$73+'Cost Inputs'!$J$73+'Cost Inputs'!$K$73)&gt;0), 'Cost Inputs'!$I$73+'Cost Inputs'!$J$73+'Cost Inputs'!$K$73, "")</f>
        <v/>
      </c>
      <c r="K214" s="17" t="str">
        <f>IF(AND(C214&lt;&gt;"", 'Cost Inputs'!$N$73&gt;0),'Cost Inputs'!$N$73,"")</f>
        <v/>
      </c>
      <c r="M214" s="106"/>
      <c r="X214" s="104" t="str">
        <f>IF(ISNUMBER('Model_ of_individuals'!X221), 'Model_ of_individuals'!X221*'Model_ of_individuals'!$K221,"")</f>
        <v/>
      </c>
      <c r="Y214" s="17" t="str">
        <f>IF(ISNUMBER('Model_ of_individuals'!Y221), 'Model_ of_individuals'!Y221*'Model_ of_individuals'!$K221,"")</f>
        <v/>
      </c>
      <c r="Z214" s="17" t="str">
        <f>IF(ISNUMBER('Model_ of_individuals'!Z221), 'Model_ of_individuals'!Z221*'Model_ of_individuals'!$K221,"")</f>
        <v/>
      </c>
      <c r="AA214" s="17" t="str">
        <f>IF(ISNUMBER('Model_ of_individuals'!AA221), 'Model_ of_individuals'!AA221*'Model_ of_individuals'!$K221,"")</f>
        <v/>
      </c>
      <c r="AB214" s="17" t="str">
        <f>IF(ISNUMBER('Model_ of_individuals'!AB221), 'Model_ of_individuals'!AB221*'Model_ of_individuals'!$K221,"")</f>
        <v/>
      </c>
      <c r="AC214" s="17" t="str">
        <f>IF(ISNUMBER('Model_ of_individuals'!AC221), 'Model_ of_individuals'!AC221*'Model_ of_individuals'!$K221,"")</f>
        <v/>
      </c>
      <c r="AD214" s="17" t="str">
        <f>IF(ISNUMBER('Model_ of_individuals'!AD221), 'Model_ of_individuals'!AD221*'Model_ of_individuals'!$K221,"")</f>
        <v/>
      </c>
      <c r="AE214" s="17" t="str">
        <f>IF(ISNUMBER('Model_ of_individuals'!AE221), 'Model_ of_individuals'!AE221*'Model_ of_individuals'!$K221,"")</f>
        <v/>
      </c>
      <c r="AF214" s="17" t="str">
        <f>IF(ISNUMBER('Model_ of_individuals'!AF221), 'Model_ of_individuals'!AF221*'Model_ of_individuals'!$K221,"")</f>
        <v/>
      </c>
      <c r="AG214" s="106" t="str">
        <f>IF(ISNUMBER('Model_ of_individuals'!AG221), 'Model_ of_individuals'!AG221*'Model_ of_individuals'!$K221,"")</f>
        <v/>
      </c>
    </row>
    <row r="215" spans="1:33" x14ac:dyDescent="0.25">
      <c r="A215" s="518"/>
      <c r="B215" s="504"/>
      <c r="C215" s="107" t="str">
        <f>IF(AND(ISNUMBER(B208), C213&lt;&gt;"", OR('Cost Inputs'!$H$74&lt;&gt;"", 'Cost Inputs'!$I$74&lt;&gt;"", 'Cost Inputs'!$J$74&lt;&gt;"")), _3_3_2, "")</f>
        <v/>
      </c>
      <c r="D215" s="93" t="str">
        <f>IF(AND(C215&lt;&gt;"", 'Cost Inputs'!$G$74&lt;&gt;""), 'Cost Inputs'!$G$74, "")</f>
        <v/>
      </c>
      <c r="E215" s="93" t="str">
        <f>IF(AND(C215&lt;&gt;"", 'Cost Inputs'!$H$74&lt;&gt;""), 'Cost Inputs'!$H$74, "")</f>
        <v/>
      </c>
      <c r="F215" s="93" t="str">
        <f>IF(AND(C215&lt;&gt;"", 'Cost Inputs'!$I$74&lt;&gt;""), 'Cost Inputs'!$I$74, "")</f>
        <v/>
      </c>
      <c r="G215" s="93" t="str">
        <f t="shared" si="10"/>
        <v/>
      </c>
      <c r="H215" s="93" t="str">
        <f>IF(AND(C215&lt;&gt;"", 'Cost Inputs'!$J$74&lt;&gt;""), 'Cost Inputs'!$J$74, "")</f>
        <v/>
      </c>
      <c r="I215" s="93" t="str">
        <f t="shared" si="12"/>
        <v/>
      </c>
      <c r="J215" s="93" t="str">
        <f>IF(AND(C215&lt;&gt;"",('Cost Inputs'!$I$74+'Cost Inputs'!$J$74+'Cost Inputs'!$K$74)&gt;0), 'Cost Inputs'!$I$74+'Cost Inputs'!$J$74+'Cost Inputs'!$K$74, "")</f>
        <v/>
      </c>
      <c r="K215" s="93" t="str">
        <f>IF(AND(C215&lt;&gt;"", 'Cost Inputs'!$N$74&gt;0),'Cost Inputs'!$N$74,"")</f>
        <v/>
      </c>
      <c r="L215" s="93"/>
      <c r="M215" s="109"/>
      <c r="X215" s="107" t="str">
        <f>IF(ISNUMBER('Model_ of_individuals'!X222), 'Model_ of_individuals'!X222*'Model_ of_individuals'!$K222,"")</f>
        <v/>
      </c>
      <c r="Y215" s="93" t="str">
        <f>IF(ISNUMBER('Model_ of_individuals'!Y222), 'Model_ of_individuals'!Y222*'Model_ of_individuals'!$K222,"")</f>
        <v/>
      </c>
      <c r="Z215" s="93" t="str">
        <f>IF(ISNUMBER('Model_ of_individuals'!Z222), 'Model_ of_individuals'!Z222*'Model_ of_individuals'!$K222,"")</f>
        <v/>
      </c>
      <c r="AA215" s="93" t="str">
        <f>IF(ISNUMBER('Model_ of_individuals'!AA222), 'Model_ of_individuals'!AA222*'Model_ of_individuals'!$K222,"")</f>
        <v/>
      </c>
      <c r="AB215" s="93" t="str">
        <f>IF(ISNUMBER('Model_ of_individuals'!AB222), 'Model_ of_individuals'!AB222*'Model_ of_individuals'!$K222,"")</f>
        <v/>
      </c>
      <c r="AC215" s="93" t="str">
        <f>IF(ISNUMBER('Model_ of_individuals'!AC222), 'Model_ of_individuals'!AC222*'Model_ of_individuals'!$K222,"")</f>
        <v/>
      </c>
      <c r="AD215" s="93" t="str">
        <f>IF(ISNUMBER('Model_ of_individuals'!AD222), 'Model_ of_individuals'!AD222*'Model_ of_individuals'!$K222,"")</f>
        <v/>
      </c>
      <c r="AE215" s="93" t="str">
        <f>IF(ISNUMBER('Model_ of_individuals'!AE222), 'Model_ of_individuals'!AE222*'Model_ of_individuals'!$K222,"")</f>
        <v/>
      </c>
      <c r="AF215" s="93" t="str">
        <f>IF(ISNUMBER('Model_ of_individuals'!AF222), 'Model_ of_individuals'!AF222*'Model_ of_individuals'!$K222,"")</f>
        <v/>
      </c>
      <c r="AG215" s="109" t="str">
        <f>IF(ISNUMBER('Model_ of_individuals'!AG222), 'Model_ of_individuals'!AG222*'Model_ of_individuals'!$K222,"")</f>
        <v/>
      </c>
    </row>
    <row r="216" spans="1:33" x14ac:dyDescent="0.25">
      <c r="A216" s="518"/>
      <c r="B216" s="504"/>
      <c r="C216" s="104" t="str">
        <f>IF(AND(ISNUMBER(B208), OR('Cost Inputs'!$H$75&lt;&gt;"", 'Cost Inputs'!$I$75&lt;&gt;"", 'Cost Inputs'!$J$75&lt;&gt;"")), _3_3_3, "")</f>
        <v/>
      </c>
      <c r="D216" s="17" t="str">
        <f>IF(AND(C216&lt;&gt;"", 'Cost Inputs'!$G$75&lt;&gt;""), 'Cost Inputs'!$G$75, "")</f>
        <v/>
      </c>
      <c r="E216" s="17" t="str">
        <f>IF(AND(C216&lt;&gt;"", 'Cost Inputs'!$H$75&lt;&gt;""), 'Cost Inputs'!$H$75, "")</f>
        <v/>
      </c>
      <c r="F216" s="17" t="str">
        <f>IF(AND(C216&lt;&gt;"", 'Cost Inputs'!$I$75&lt;&gt;""), 'Cost Inputs'!$I$75, "")</f>
        <v/>
      </c>
      <c r="G216" s="17" t="str">
        <f t="shared" si="10"/>
        <v/>
      </c>
      <c r="H216" s="17" t="str">
        <f>IF(AND(C216&lt;&gt;"", 'Cost Inputs'!$J$75&lt;&gt;""), 'Cost Inputs'!$J$75, "")</f>
        <v/>
      </c>
      <c r="I216" s="17" t="str">
        <f t="shared" si="12"/>
        <v/>
      </c>
      <c r="J216" s="17" t="str">
        <f>IF(AND(C216&lt;&gt;"",('Cost Inputs'!$I$75+'Cost Inputs'!$J$75+'Cost Inputs'!$K$75)&gt;0), 'Cost Inputs'!$I$75+'Cost Inputs'!$J$75+'Cost Inputs'!$K$75, "")</f>
        <v/>
      </c>
      <c r="K216" s="17" t="str">
        <f>IF(AND(C216&lt;&gt;"", 'Cost Inputs'!$N$75&gt;0),'Cost Inputs'!$N$75,"")</f>
        <v/>
      </c>
      <c r="M216" s="106"/>
      <c r="X216" s="104" t="str">
        <f>IF(ISNUMBER('Model_ of_individuals'!X223), 'Model_ of_individuals'!X223*'Model_ of_individuals'!$K223,"")</f>
        <v/>
      </c>
      <c r="Y216" s="17" t="str">
        <f>IF(ISNUMBER('Model_ of_individuals'!Y223), 'Model_ of_individuals'!Y223*'Model_ of_individuals'!$K223,"")</f>
        <v/>
      </c>
      <c r="Z216" s="17" t="str">
        <f>IF(ISNUMBER('Model_ of_individuals'!Z223), 'Model_ of_individuals'!Z223*'Model_ of_individuals'!$K223,"")</f>
        <v/>
      </c>
      <c r="AA216" s="17" t="str">
        <f>IF(ISNUMBER('Model_ of_individuals'!AA223), 'Model_ of_individuals'!AA223*'Model_ of_individuals'!$K223,"")</f>
        <v/>
      </c>
      <c r="AB216" s="17" t="str">
        <f>IF(ISNUMBER('Model_ of_individuals'!AB223), 'Model_ of_individuals'!AB223*'Model_ of_individuals'!$K223,"")</f>
        <v/>
      </c>
      <c r="AC216" s="17" t="str">
        <f>IF(ISNUMBER('Model_ of_individuals'!AC223), 'Model_ of_individuals'!AC223*'Model_ of_individuals'!$K223,"")</f>
        <v/>
      </c>
      <c r="AD216" s="17" t="str">
        <f>IF(ISNUMBER('Model_ of_individuals'!AD223), 'Model_ of_individuals'!AD223*'Model_ of_individuals'!$K223,"")</f>
        <v/>
      </c>
      <c r="AE216" s="17" t="str">
        <f>IF(ISNUMBER('Model_ of_individuals'!AE223), 'Model_ of_individuals'!AE223*'Model_ of_individuals'!$K223,"")</f>
        <v/>
      </c>
      <c r="AF216" s="17" t="str">
        <f>IF(ISNUMBER('Model_ of_individuals'!AF223), 'Model_ of_individuals'!AF223*'Model_ of_individuals'!$K223,"")</f>
        <v/>
      </c>
      <c r="AG216" s="106" t="str">
        <f>IF(ISNUMBER('Model_ of_individuals'!AG223), 'Model_ of_individuals'!AG223*'Model_ of_individuals'!$K223,"")</f>
        <v/>
      </c>
    </row>
    <row r="217" spans="1:33" x14ac:dyDescent="0.25">
      <c r="A217" s="518"/>
      <c r="B217" s="504"/>
      <c r="C217" s="107" t="str">
        <f>IF(AND(ISNUMBER(B208), OR('Cost Inputs'!$H$76&lt;&gt;"", 'Cost Inputs'!$I$76&lt;&gt;"", 'Cost Inputs'!$J$76&lt;&gt;"")), _3_3_4, "")</f>
        <v/>
      </c>
      <c r="D217" s="93" t="str">
        <f>IF(AND(C217&lt;&gt;"", 'Cost Inputs'!$G$76&lt;&gt;""), 'Cost Inputs'!$G$76, "")</f>
        <v/>
      </c>
      <c r="E217" s="93" t="str">
        <f>IF(AND(C217&lt;&gt;"", 'Cost Inputs'!$H$76&lt;&gt;""), 'Cost Inputs'!$H$76, "")</f>
        <v/>
      </c>
      <c r="F217" s="93" t="str">
        <f>IF(AND(C217&lt;&gt;"", 'Cost Inputs'!$I$76&lt;&gt;""), 'Cost Inputs'!$I$76, "")</f>
        <v/>
      </c>
      <c r="G217" s="93" t="str">
        <f t="shared" si="10"/>
        <v/>
      </c>
      <c r="H217" s="93" t="str">
        <f>IF(AND(C217&lt;&gt;"", 'Cost Inputs'!$J$76&lt;&gt;""), 'Cost Inputs'!$J$76, "")</f>
        <v/>
      </c>
      <c r="I217" s="93" t="str">
        <f t="shared" si="12"/>
        <v/>
      </c>
      <c r="J217" s="93" t="str">
        <f>IF(AND(C217&lt;&gt;"",('Cost Inputs'!$I$76+'Cost Inputs'!$J$76+'Cost Inputs'!$K$76)&gt;0), 'Cost Inputs'!$I$76+'Cost Inputs'!$J$76+'Cost Inputs'!$K$76, "")</f>
        <v/>
      </c>
      <c r="K217" s="93" t="str">
        <f>IF(AND(C217&lt;&gt;"", 'Cost Inputs'!$N$76&gt;0),'Cost Inputs'!$N$76,"")</f>
        <v/>
      </c>
      <c r="L217" s="93"/>
      <c r="M217" s="109"/>
      <c r="X217" s="107" t="str">
        <f>IF(ISNUMBER('Model_ of_individuals'!X224), 'Model_ of_individuals'!X224*'Model_ of_individuals'!$K224,"")</f>
        <v/>
      </c>
      <c r="Y217" s="93" t="str">
        <f>IF(ISNUMBER('Model_ of_individuals'!Y224), 'Model_ of_individuals'!Y224*'Model_ of_individuals'!$K224,"")</f>
        <v/>
      </c>
      <c r="Z217" s="93" t="str">
        <f>IF(ISNUMBER('Model_ of_individuals'!Z224), 'Model_ of_individuals'!Z224*'Model_ of_individuals'!$K224,"")</f>
        <v/>
      </c>
      <c r="AA217" s="93" t="str">
        <f>IF(ISNUMBER('Model_ of_individuals'!AA224), 'Model_ of_individuals'!AA224*'Model_ of_individuals'!$K224,"")</f>
        <v/>
      </c>
      <c r="AB217" s="93" t="str">
        <f>IF(ISNUMBER('Model_ of_individuals'!AB224), 'Model_ of_individuals'!AB224*'Model_ of_individuals'!$K224,"")</f>
        <v/>
      </c>
      <c r="AC217" s="93" t="str">
        <f>IF(ISNUMBER('Model_ of_individuals'!AC224), 'Model_ of_individuals'!AC224*'Model_ of_individuals'!$K224,"")</f>
        <v/>
      </c>
      <c r="AD217" s="93" t="str">
        <f>IF(ISNUMBER('Model_ of_individuals'!AD224), 'Model_ of_individuals'!AD224*'Model_ of_individuals'!$K224,"")</f>
        <v/>
      </c>
      <c r="AE217" s="93" t="str">
        <f>IF(ISNUMBER('Model_ of_individuals'!AE224), 'Model_ of_individuals'!AE224*'Model_ of_individuals'!$K224,"")</f>
        <v/>
      </c>
      <c r="AF217" s="93" t="str">
        <f>IF(ISNUMBER('Model_ of_individuals'!AF224), 'Model_ of_individuals'!AF224*'Model_ of_individuals'!$K224,"")</f>
        <v/>
      </c>
      <c r="AG217" s="109" t="str">
        <f>IF(ISNUMBER('Model_ of_individuals'!AG224), 'Model_ of_individuals'!AG224*'Model_ of_individuals'!$K224,"")</f>
        <v/>
      </c>
    </row>
    <row r="218" spans="1:33" x14ac:dyDescent="0.25">
      <c r="A218" s="518"/>
      <c r="B218" s="504"/>
      <c r="C218" s="110" t="str">
        <f>IF( ISNUMBER(B208), _3_4_0, "")</f>
        <v/>
      </c>
      <c r="D218" s="94" t="str">
        <f>IF(AND(B208&lt;&gt;"", OR('Cost Inputs'!$H$77&lt;&gt;"", 'Cost Inputs'!$I$77&lt;&gt;"", 'Cost Inputs'!$J$77&lt;&gt;"")), 'Cost Inputs'!$G$77,"")</f>
        <v/>
      </c>
      <c r="E218" s="94" t="str">
        <f>IF(AND(C218&lt;&gt;"", 'Cost Inputs'!$H$77&lt;&gt;""), 'Cost Inputs'!$H$77, "")</f>
        <v/>
      </c>
      <c r="F218" s="94" t="str">
        <f>IF(AND(C218&lt;&gt;"", 'Cost Inputs'!$I$77&lt;&gt;""), 'Cost Inputs'!$I$77, "")</f>
        <v/>
      </c>
      <c r="G218" s="94" t="str">
        <f t="shared" si="10"/>
        <v/>
      </c>
      <c r="H218" s="94" t="str">
        <f>IF(AND(C218&lt;&gt;"", 'Cost Inputs'!$J$77&lt;&gt;""), 'Cost Inputs'!$J$77, "")</f>
        <v/>
      </c>
      <c r="I218" s="94" t="str">
        <f>IF(AND($E218&lt;&gt;"", $H218&lt;&gt;""), $H218/$E218, "")</f>
        <v/>
      </c>
      <c r="J218" s="94" t="str">
        <f>IF(AND(C218&lt;&gt;"",('Cost Inputs'!$I$77+'Cost Inputs'!$J$77+'Cost Inputs'!$K$77)&gt;0), 'Cost Inputs'!$I$77+'Cost Inputs'!$J$77+'Cost Inputs'!$K$77, "")</f>
        <v/>
      </c>
      <c r="K218" s="94" t="str">
        <f>IF(AND(C218&lt;&gt;"", 'Cost Inputs'!$N$77&gt;0),'Cost Inputs'!$N$77,"")</f>
        <v/>
      </c>
      <c r="L218" s="94"/>
      <c r="M218" s="103"/>
      <c r="X218" s="110" t="str">
        <f>IF(ISNUMBER('Model_ of_individuals'!X225), 'Model_ of_individuals'!X225*'Model_ of_individuals'!$K225,"")</f>
        <v/>
      </c>
      <c r="Y218" s="94" t="str">
        <f>IF(ISNUMBER('Model_ of_individuals'!Y225), 'Model_ of_individuals'!Y225*'Model_ of_individuals'!$K225,"")</f>
        <v/>
      </c>
      <c r="Z218" s="94" t="str">
        <f>IF(ISNUMBER('Model_ of_individuals'!Z225), 'Model_ of_individuals'!Z225*'Model_ of_individuals'!$K225,"")</f>
        <v/>
      </c>
      <c r="AA218" s="94" t="str">
        <f>IF(ISNUMBER('Model_ of_individuals'!AA225), 'Model_ of_individuals'!AA225*'Model_ of_individuals'!$K225,"")</f>
        <v/>
      </c>
      <c r="AB218" s="94" t="str">
        <f>IF(ISNUMBER('Model_ of_individuals'!AB225), 'Model_ of_individuals'!AB225*'Model_ of_individuals'!$K225,"")</f>
        <v/>
      </c>
      <c r="AC218" s="94" t="str">
        <f>IF(ISNUMBER('Model_ of_individuals'!AC225), 'Model_ of_individuals'!AC225*'Model_ of_individuals'!$K225,"")</f>
        <v/>
      </c>
      <c r="AD218" s="94" t="str">
        <f>IF(ISNUMBER('Model_ of_individuals'!AD225), 'Model_ of_individuals'!AD225*'Model_ of_individuals'!$K225,"")</f>
        <v/>
      </c>
      <c r="AE218" s="94" t="str">
        <f>IF(ISNUMBER('Model_ of_individuals'!AE225), 'Model_ of_individuals'!AE225*'Model_ of_individuals'!$K225,"")</f>
        <v/>
      </c>
      <c r="AF218" s="94" t="str">
        <f>IF(ISNUMBER('Model_ of_individuals'!AF225), 'Model_ of_individuals'!AF225*'Model_ of_individuals'!$K225,"")</f>
        <v/>
      </c>
      <c r="AG218" s="103" t="str">
        <f>IF(ISNUMBER('Model_ of_individuals'!AG225), 'Model_ of_individuals'!AG225*'Model_ of_individuals'!$K225,"")</f>
        <v/>
      </c>
    </row>
    <row r="219" spans="1:33" x14ac:dyDescent="0.25">
      <c r="A219" s="518"/>
      <c r="B219" s="504"/>
      <c r="C219" s="104" t="str">
        <f>IF(AND(ISNUMBER(B208), OR('Cost Inputs'!$H$78&lt;&gt;"", 'Cost Inputs'!$I$78&lt;&gt;"", 'Cost Inputs'!$J$78&lt;&gt;"")), _3_4_1, "")</f>
        <v/>
      </c>
      <c r="D219" s="17" t="str">
        <f>IF(AND(C219&lt;&gt;"", 'Cost Inputs'!$G$78&lt;&gt;""), 'Cost Inputs'!$G$78, "")</f>
        <v/>
      </c>
      <c r="E219" s="17" t="str">
        <f>IF(AND(C219&lt;&gt;"", 'Cost Inputs'!$H$78&lt;&gt;""), 'Cost Inputs'!$H$78, "")</f>
        <v/>
      </c>
      <c r="F219" s="17" t="str">
        <f>IF(AND(C219&lt;&gt;"", 'Cost Inputs'!$I$78&lt;&gt;""), 'Cost Inputs'!$I$78, "")</f>
        <v/>
      </c>
      <c r="G219" s="17" t="str">
        <f t="shared" si="10"/>
        <v/>
      </c>
      <c r="H219" s="17" t="str">
        <f>IF(AND(C219&lt;&gt;"", 'Cost Inputs'!$J$78&lt;&gt;""), 'Cost Inputs'!$J$78, "")</f>
        <v/>
      </c>
      <c r="I219" s="17" t="str">
        <f t="shared" si="12"/>
        <v/>
      </c>
      <c r="J219" s="17" t="str">
        <f>IF(AND(C219&lt;&gt;"",('Cost Inputs'!$I$78+'Cost Inputs'!$J$78+'Cost Inputs'!$K$78)&gt;0), 'Cost Inputs'!$I$78+'Cost Inputs'!$J$78+'Cost Inputs'!$K$78, "")</f>
        <v/>
      </c>
      <c r="K219" s="17" t="str">
        <f>IF(AND(C219&lt;&gt;"", 'Cost Inputs'!$N$78&gt;0),'Cost Inputs'!$N$78,"")</f>
        <v/>
      </c>
      <c r="M219" s="106"/>
      <c r="X219" s="104" t="str">
        <f>IF(ISNUMBER('Model_ of_individuals'!X226), 'Model_ of_individuals'!X226*'Model_ of_individuals'!$K226,"")</f>
        <v/>
      </c>
      <c r="Y219" s="17" t="str">
        <f>IF(ISNUMBER('Model_ of_individuals'!Y226), 'Model_ of_individuals'!Y226*'Model_ of_individuals'!$K226,"")</f>
        <v/>
      </c>
      <c r="Z219" s="17" t="str">
        <f>IF(ISNUMBER('Model_ of_individuals'!Z226), 'Model_ of_individuals'!Z226*'Model_ of_individuals'!$K226,"")</f>
        <v/>
      </c>
      <c r="AA219" s="17" t="str">
        <f>IF(ISNUMBER('Model_ of_individuals'!AA226), 'Model_ of_individuals'!AA226*'Model_ of_individuals'!$K226,"")</f>
        <v/>
      </c>
      <c r="AB219" s="17" t="str">
        <f>IF(ISNUMBER('Model_ of_individuals'!AB226), 'Model_ of_individuals'!AB226*'Model_ of_individuals'!$K226,"")</f>
        <v/>
      </c>
      <c r="AC219" s="17" t="str">
        <f>IF(ISNUMBER('Model_ of_individuals'!AC226), 'Model_ of_individuals'!AC226*'Model_ of_individuals'!$K226,"")</f>
        <v/>
      </c>
      <c r="AD219" s="17" t="str">
        <f>IF(ISNUMBER('Model_ of_individuals'!AD226), 'Model_ of_individuals'!AD226*'Model_ of_individuals'!$K226,"")</f>
        <v/>
      </c>
      <c r="AE219" s="17" t="str">
        <f>IF(ISNUMBER('Model_ of_individuals'!AE226), 'Model_ of_individuals'!AE226*'Model_ of_individuals'!$K226,"")</f>
        <v/>
      </c>
      <c r="AF219" s="17" t="str">
        <f>IF(ISNUMBER('Model_ of_individuals'!AF226), 'Model_ of_individuals'!AF226*'Model_ of_individuals'!$K226,"")</f>
        <v/>
      </c>
      <c r="AG219" s="106" t="str">
        <f>IF(ISNUMBER('Model_ of_individuals'!AG226), 'Model_ of_individuals'!AG226*'Model_ of_individuals'!$K226,"")</f>
        <v/>
      </c>
    </row>
    <row r="220" spans="1:33" x14ac:dyDescent="0.25">
      <c r="A220" s="518"/>
      <c r="B220" s="504"/>
      <c r="C220" s="107" t="str">
        <f>IF(AND(ISNUMBER(B208), OR('Cost Inputs'!$H$79&lt;&gt;"", 'Cost Inputs'!$I$79&lt;&gt;"", 'Cost Inputs'!$J$79&lt;&gt;"")), _3_4_2, "")</f>
        <v/>
      </c>
      <c r="D220" s="93" t="str">
        <f>IF(AND(C220&lt;&gt;"", 'Cost Inputs'!$G$79&lt;&gt;""), 'Cost Inputs'!$G$79, "")</f>
        <v/>
      </c>
      <c r="E220" s="93" t="str">
        <f>IF(AND(C220&lt;&gt;"", 'Cost Inputs'!$H$79&lt;&gt;""), 'Cost Inputs'!$H$79, "")</f>
        <v/>
      </c>
      <c r="F220" s="93" t="str">
        <f>IF(AND(C220&lt;&gt;"", 'Cost Inputs'!$I$79&lt;&gt;""), 'Cost Inputs'!$I$79, "")</f>
        <v/>
      </c>
      <c r="G220" s="93" t="str">
        <f t="shared" si="10"/>
        <v/>
      </c>
      <c r="H220" s="93" t="str">
        <f>IF(AND(C220&lt;&gt;"", 'Cost Inputs'!$J$79&lt;&gt;""), 'Cost Inputs'!$J$79, "")</f>
        <v/>
      </c>
      <c r="I220" s="93" t="str">
        <f t="shared" si="12"/>
        <v/>
      </c>
      <c r="J220" s="93" t="str">
        <f>IF(AND(C220&lt;&gt;"",('Cost Inputs'!$I$79+'Cost Inputs'!$J$79+'Cost Inputs'!$K$79)&gt;0), 'Cost Inputs'!$I$79+'Cost Inputs'!$J$79+'Cost Inputs'!$K$79, "")</f>
        <v/>
      </c>
      <c r="K220" s="93" t="str">
        <f>IF(AND(C220&lt;&gt;"", 'Cost Inputs'!$N$79&gt;0),'Cost Inputs'!$N$79,"")</f>
        <v/>
      </c>
      <c r="L220" s="93"/>
      <c r="M220" s="109"/>
      <c r="X220" s="107" t="str">
        <f>IF(ISNUMBER('Model_ of_individuals'!X227), 'Model_ of_individuals'!X227*'Model_ of_individuals'!$K227,"")</f>
        <v/>
      </c>
      <c r="Y220" s="93" t="str">
        <f>IF(ISNUMBER('Model_ of_individuals'!Y227), 'Model_ of_individuals'!Y227*'Model_ of_individuals'!$K227,"")</f>
        <v/>
      </c>
      <c r="Z220" s="93" t="str">
        <f>IF(ISNUMBER('Model_ of_individuals'!Z227), 'Model_ of_individuals'!Z227*'Model_ of_individuals'!$K227,"")</f>
        <v/>
      </c>
      <c r="AA220" s="93" t="str">
        <f>IF(ISNUMBER('Model_ of_individuals'!AA227), 'Model_ of_individuals'!AA227*'Model_ of_individuals'!$K227,"")</f>
        <v/>
      </c>
      <c r="AB220" s="93" t="str">
        <f>IF(ISNUMBER('Model_ of_individuals'!AB227), 'Model_ of_individuals'!AB227*'Model_ of_individuals'!$K227,"")</f>
        <v/>
      </c>
      <c r="AC220" s="93" t="str">
        <f>IF(ISNUMBER('Model_ of_individuals'!AC227), 'Model_ of_individuals'!AC227*'Model_ of_individuals'!$K227,"")</f>
        <v/>
      </c>
      <c r="AD220" s="93" t="str">
        <f>IF(ISNUMBER('Model_ of_individuals'!AD227), 'Model_ of_individuals'!AD227*'Model_ of_individuals'!$K227,"")</f>
        <v/>
      </c>
      <c r="AE220" s="93" t="str">
        <f>IF(ISNUMBER('Model_ of_individuals'!AE227), 'Model_ of_individuals'!AE227*'Model_ of_individuals'!$K227,"")</f>
        <v/>
      </c>
      <c r="AF220" s="93" t="str">
        <f>IF(ISNUMBER('Model_ of_individuals'!AF227), 'Model_ of_individuals'!AF227*'Model_ of_individuals'!$K227,"")</f>
        <v/>
      </c>
      <c r="AG220" s="109" t="str">
        <f>IF(ISNUMBER('Model_ of_individuals'!AG227), 'Model_ of_individuals'!AG227*'Model_ of_individuals'!$K227,"")</f>
        <v/>
      </c>
    </row>
    <row r="221" spans="1:33" x14ac:dyDescent="0.25">
      <c r="A221" s="518"/>
      <c r="B221" s="504"/>
      <c r="C221" s="104" t="str">
        <f>IF(AND(ISNUMBER(B208), OR('Cost Inputs'!$H$80&lt;&gt;"", 'Cost Inputs'!$I$80&lt;&gt;"", 'Cost Inputs'!$J$80&lt;&gt;"")),_3_4_3, "")</f>
        <v/>
      </c>
      <c r="D221" s="17" t="str">
        <f>IF(AND(C221&lt;&gt;"", 'Cost Inputs'!$G$80&lt;&gt;""), 'Cost Inputs'!$G$80, "")</f>
        <v/>
      </c>
      <c r="E221" s="17" t="str">
        <f>IF(AND(C221&lt;&gt;"", 'Cost Inputs'!$H$80&lt;&gt;""), 'Cost Inputs'!$H$80, "")</f>
        <v/>
      </c>
      <c r="F221" s="17" t="str">
        <f>IF(AND(C221&lt;&gt;"", 'Cost Inputs'!$I$80&lt;&gt;""), 'Cost Inputs'!$I$80, "")</f>
        <v/>
      </c>
      <c r="G221" s="17" t="str">
        <f t="shared" si="10"/>
        <v/>
      </c>
      <c r="H221" s="17" t="str">
        <f>IF(AND(C221&lt;&gt;"", 'Cost Inputs'!$J$80&lt;&gt;""), 'Cost Inputs'!$J$80, "")</f>
        <v/>
      </c>
      <c r="I221" s="17" t="str">
        <f t="shared" si="12"/>
        <v/>
      </c>
      <c r="J221" s="17" t="str">
        <f>IF(AND(C221&lt;&gt;"",('Cost Inputs'!$I$80+'Cost Inputs'!$J$80+'Cost Inputs'!$K$80)&gt;0), 'Cost Inputs'!$I$80+'Cost Inputs'!$J$80+'Cost Inputs'!$K$80, "")</f>
        <v/>
      </c>
      <c r="K221" s="17" t="str">
        <f>IF(AND(C221&lt;&gt;"", 'Cost Inputs'!$N$80&gt;0),'Cost Inputs'!$N$80,"")</f>
        <v/>
      </c>
      <c r="M221" s="106"/>
      <c r="X221" s="104" t="str">
        <f>IF(ISNUMBER('Model_ of_individuals'!X228), 'Model_ of_individuals'!X228*'Model_ of_individuals'!$K228,"")</f>
        <v/>
      </c>
      <c r="Y221" s="17" t="str">
        <f>IF(ISNUMBER('Model_ of_individuals'!Y228), 'Model_ of_individuals'!Y228*'Model_ of_individuals'!$K228,"")</f>
        <v/>
      </c>
      <c r="Z221" s="17" t="str">
        <f>IF(ISNUMBER('Model_ of_individuals'!Z228), 'Model_ of_individuals'!Z228*'Model_ of_individuals'!$K228,"")</f>
        <v/>
      </c>
      <c r="AA221" s="17" t="str">
        <f>IF(ISNUMBER('Model_ of_individuals'!AA228), 'Model_ of_individuals'!AA228*'Model_ of_individuals'!$K228,"")</f>
        <v/>
      </c>
      <c r="AB221" s="17" t="str">
        <f>IF(ISNUMBER('Model_ of_individuals'!AB228), 'Model_ of_individuals'!AB228*'Model_ of_individuals'!$K228,"")</f>
        <v/>
      </c>
      <c r="AC221" s="17" t="str">
        <f>IF(ISNUMBER('Model_ of_individuals'!AC228), 'Model_ of_individuals'!AC228*'Model_ of_individuals'!$K228,"")</f>
        <v/>
      </c>
      <c r="AD221" s="17" t="str">
        <f>IF(ISNUMBER('Model_ of_individuals'!AD228), 'Model_ of_individuals'!AD228*'Model_ of_individuals'!$K228,"")</f>
        <v/>
      </c>
      <c r="AE221" s="17" t="str">
        <f>IF(ISNUMBER('Model_ of_individuals'!AE228), 'Model_ of_individuals'!AE228*'Model_ of_individuals'!$K228,"")</f>
        <v/>
      </c>
      <c r="AF221" s="17" t="str">
        <f>IF(ISNUMBER('Model_ of_individuals'!AF228), 'Model_ of_individuals'!AF228*'Model_ of_individuals'!$K228,"")</f>
        <v/>
      </c>
      <c r="AG221" s="106" t="str">
        <f>IF(ISNUMBER('Model_ of_individuals'!AG228), 'Model_ of_individuals'!AG228*'Model_ of_individuals'!$K228,"")</f>
        <v/>
      </c>
    </row>
    <row r="222" spans="1:33" x14ac:dyDescent="0.25">
      <c r="A222" s="518"/>
      <c r="B222" s="504"/>
      <c r="C222" s="107" t="str">
        <f>IF(AND(ISNUMBER(B208), OR('Cost Inputs'!$H$81&lt;&gt;"", 'Cost Inputs'!$I$81&lt;&gt;"", 'Cost Inputs'!$J$81&lt;&gt;"")), _3_4_4, "")</f>
        <v/>
      </c>
      <c r="D222" s="93" t="str">
        <f>IF(AND(C222&lt;&gt;"", 'Cost Inputs'!$G$81&lt;&gt;""), 'Cost Inputs'!$G$81, "")</f>
        <v/>
      </c>
      <c r="E222" s="93" t="str">
        <f>IF(AND(C222&lt;&gt;"", 'Cost Inputs'!$H$81&lt;&gt;""), 'Cost Inputs'!$H$81, "")</f>
        <v/>
      </c>
      <c r="F222" s="93" t="str">
        <f>IF(AND(C222&lt;&gt;"", 'Cost Inputs'!$I$81&lt;&gt;""), 'Cost Inputs'!$I$81, "")</f>
        <v/>
      </c>
      <c r="G222" s="93" t="str">
        <f t="shared" si="10"/>
        <v/>
      </c>
      <c r="H222" s="93" t="str">
        <f>IF(AND(C222&lt;&gt;"", 'Cost Inputs'!$J$81&lt;&gt;""), 'Cost Inputs'!$J$81, "")</f>
        <v/>
      </c>
      <c r="I222" s="93" t="str">
        <f t="shared" si="12"/>
        <v/>
      </c>
      <c r="J222" s="93" t="str">
        <f>IF(AND(C222&lt;&gt;"",('Cost Inputs'!$I$81+'Cost Inputs'!$J$81+'Cost Inputs'!$K$81)&gt;0), 'Cost Inputs'!$I$81+'Cost Inputs'!$J$81+'Cost Inputs'!$K$81, "")</f>
        <v/>
      </c>
      <c r="K222" s="93" t="str">
        <f>IF(AND(C222&lt;&gt;"", 'Cost Inputs'!$N$81&gt;0),'Cost Inputs'!$N$81,"")</f>
        <v/>
      </c>
      <c r="L222" s="93"/>
      <c r="M222" s="109"/>
      <c r="X222" s="107" t="str">
        <f>IF(ISNUMBER('Model_ of_individuals'!X229), 'Model_ of_individuals'!X229*'Model_ of_individuals'!$K229,"")</f>
        <v/>
      </c>
      <c r="Y222" s="93" t="str">
        <f>IF(ISNUMBER('Model_ of_individuals'!Y229), 'Model_ of_individuals'!Y229*'Model_ of_individuals'!$K229,"")</f>
        <v/>
      </c>
      <c r="Z222" s="93" t="str">
        <f>IF(ISNUMBER('Model_ of_individuals'!Z229), 'Model_ of_individuals'!Z229*'Model_ of_individuals'!$K229,"")</f>
        <v/>
      </c>
      <c r="AA222" s="93" t="str">
        <f>IF(ISNUMBER('Model_ of_individuals'!AA229), 'Model_ of_individuals'!AA229*'Model_ of_individuals'!$K229,"")</f>
        <v/>
      </c>
      <c r="AB222" s="93" t="str">
        <f>IF(ISNUMBER('Model_ of_individuals'!AB229), 'Model_ of_individuals'!AB229*'Model_ of_individuals'!$K229,"")</f>
        <v/>
      </c>
      <c r="AC222" s="93" t="str">
        <f>IF(ISNUMBER('Model_ of_individuals'!AC229), 'Model_ of_individuals'!AC229*'Model_ of_individuals'!$K229,"")</f>
        <v/>
      </c>
      <c r="AD222" s="93" t="str">
        <f>IF(ISNUMBER('Model_ of_individuals'!AD229), 'Model_ of_individuals'!AD229*'Model_ of_individuals'!$K229,"")</f>
        <v/>
      </c>
      <c r="AE222" s="93" t="str">
        <f>IF(ISNUMBER('Model_ of_individuals'!AE229), 'Model_ of_individuals'!AE229*'Model_ of_individuals'!$K229,"")</f>
        <v/>
      </c>
      <c r="AF222" s="93" t="str">
        <f>IF(ISNUMBER('Model_ of_individuals'!AF229), 'Model_ of_individuals'!AF229*'Model_ of_individuals'!$K229,"")</f>
        <v/>
      </c>
      <c r="AG222" s="109" t="str">
        <f>IF(ISNUMBER('Model_ of_individuals'!AG229), 'Model_ of_individuals'!AG229*'Model_ of_individuals'!$K229,"")</f>
        <v/>
      </c>
    </row>
    <row r="223" spans="1:33" x14ac:dyDescent="0.25">
      <c r="A223" s="518"/>
      <c r="B223" s="504"/>
      <c r="C223" s="104" t="str">
        <f>IF(AND(ISNUMBER(B208), OR('Cost Inputs'!$H$82&lt;&gt;"", 'Cost Inputs'!$I$82&lt;&gt;"", 'Cost Inputs'!$J$82&lt;&gt;"")),_3_4_5, "")</f>
        <v/>
      </c>
      <c r="D223" s="17" t="str">
        <f>IF(AND(C223&lt;&gt;"", 'Cost Inputs'!$G$82&lt;&gt;""), 'Cost Inputs'!$G$82, "")</f>
        <v/>
      </c>
      <c r="E223" s="17" t="str">
        <f>IF(AND(C223&lt;&gt;"", 'Cost Inputs'!$H$82&lt;&gt;""), 'Cost Inputs'!$H$82, "")</f>
        <v/>
      </c>
      <c r="F223" s="17" t="str">
        <f>IF(AND(C223&lt;&gt;"", 'Cost Inputs'!$I$82&lt;&gt;""), 'Cost Inputs'!$I$82, "")</f>
        <v/>
      </c>
      <c r="G223" s="17" t="str">
        <f t="shared" si="10"/>
        <v/>
      </c>
      <c r="H223" s="17" t="str">
        <f>IF(AND(C223&lt;&gt;"", 'Cost Inputs'!$J$82&lt;&gt;""), 'Cost Inputs'!$J$82, "")</f>
        <v/>
      </c>
      <c r="I223" s="17" t="str">
        <f t="shared" si="12"/>
        <v/>
      </c>
      <c r="J223" s="17" t="str">
        <f>IF(AND(C223&lt;&gt;"",('Cost Inputs'!$I$82+'Cost Inputs'!$J$82+'Cost Inputs'!$K$82)&gt;0), 'Cost Inputs'!$I$82+'Cost Inputs'!$J$82+'Cost Inputs'!$K$82, "")</f>
        <v/>
      </c>
      <c r="K223" s="17" t="str">
        <f>IF(AND(C223&lt;&gt;"", 'Cost Inputs'!$N$82&gt;0),'Cost Inputs'!$N$82,"")</f>
        <v/>
      </c>
      <c r="M223" s="106"/>
      <c r="X223" s="104" t="str">
        <f>IF(ISNUMBER('Model_ of_individuals'!X230), 'Model_ of_individuals'!X230*'Model_ of_individuals'!$K230,"")</f>
        <v/>
      </c>
      <c r="Y223" s="17" t="str">
        <f>IF(ISNUMBER('Model_ of_individuals'!Y230), 'Model_ of_individuals'!Y230*'Model_ of_individuals'!$K230,"")</f>
        <v/>
      </c>
      <c r="Z223" s="17" t="str">
        <f>IF(ISNUMBER('Model_ of_individuals'!Z230), 'Model_ of_individuals'!Z230*'Model_ of_individuals'!$K230,"")</f>
        <v/>
      </c>
      <c r="AA223" s="17" t="str">
        <f>IF(ISNUMBER('Model_ of_individuals'!AA230), 'Model_ of_individuals'!AA230*'Model_ of_individuals'!$K230,"")</f>
        <v/>
      </c>
      <c r="AB223" s="17" t="str">
        <f>IF(ISNUMBER('Model_ of_individuals'!AB230), 'Model_ of_individuals'!AB230*'Model_ of_individuals'!$K230,"")</f>
        <v/>
      </c>
      <c r="AC223" s="17" t="str">
        <f>IF(ISNUMBER('Model_ of_individuals'!AC230), 'Model_ of_individuals'!AC230*'Model_ of_individuals'!$K230,"")</f>
        <v/>
      </c>
      <c r="AD223" s="17" t="str">
        <f>IF(ISNUMBER('Model_ of_individuals'!AD230), 'Model_ of_individuals'!AD230*'Model_ of_individuals'!$K230,"")</f>
        <v/>
      </c>
      <c r="AE223" s="17" t="str">
        <f>IF(ISNUMBER('Model_ of_individuals'!AE230), 'Model_ of_individuals'!AE230*'Model_ of_individuals'!$K230,"")</f>
        <v/>
      </c>
      <c r="AF223" s="17" t="str">
        <f>IF(ISNUMBER('Model_ of_individuals'!AF230), 'Model_ of_individuals'!AF230*'Model_ of_individuals'!$K230,"")</f>
        <v/>
      </c>
      <c r="AG223" s="106" t="str">
        <f>IF(ISNUMBER('Model_ of_individuals'!AG230), 'Model_ of_individuals'!AG230*'Model_ of_individuals'!$K230,"")</f>
        <v/>
      </c>
    </row>
    <row r="224" spans="1:33" x14ac:dyDescent="0.25">
      <c r="A224" s="518"/>
      <c r="B224" s="504"/>
      <c r="C224" s="107" t="str">
        <f>IF(AND(ISNUMBER(B208), OR('Cost Inputs'!$H$83&lt;&gt;"", 'Cost Inputs'!$I$83&lt;&gt;"", 'Cost Inputs'!$J$83&lt;&gt;"")),_3_4_6, "")</f>
        <v/>
      </c>
      <c r="D224" s="93" t="str">
        <f>IF(AND(C224&lt;&gt;"", 'Cost Inputs'!$G$83&lt;&gt;""), 'Cost Inputs'!$G$83, "")</f>
        <v/>
      </c>
      <c r="E224" s="93" t="str">
        <f>IF(AND(C224&lt;&gt;"", 'Cost Inputs'!$H$83&lt;&gt;""), 'Cost Inputs'!$H$83, "")</f>
        <v/>
      </c>
      <c r="F224" s="93" t="str">
        <f>IF(AND(C224&lt;&gt;"", 'Cost Inputs'!$I$83&lt;&gt;""), 'Cost Inputs'!$I$83, "")</f>
        <v/>
      </c>
      <c r="G224" s="93" t="str">
        <f t="shared" si="10"/>
        <v/>
      </c>
      <c r="H224" s="93" t="str">
        <f>IF(AND(C224&lt;&gt;"", 'Cost Inputs'!$J$83&lt;&gt;""), 'Cost Inputs'!$J$83, "")</f>
        <v/>
      </c>
      <c r="I224" s="93" t="str">
        <f t="shared" si="12"/>
        <v/>
      </c>
      <c r="J224" s="93" t="str">
        <f>IF(AND(C224&lt;&gt;"",('Cost Inputs'!$I$83+'Cost Inputs'!$J$83+'Cost Inputs'!$K$83)&gt;0), 'Cost Inputs'!$I$83+'Cost Inputs'!$J$83+'Cost Inputs'!$K$83, "")</f>
        <v/>
      </c>
      <c r="K224" s="93" t="str">
        <f>IF(AND(C224&lt;&gt;"", 'Cost Inputs'!$N$83&gt;0),'Cost Inputs'!$N$83,"")</f>
        <v/>
      </c>
      <c r="L224" s="93"/>
      <c r="M224" s="109"/>
      <c r="X224" s="107" t="str">
        <f>IF(ISNUMBER('Model_ of_individuals'!X231), 'Model_ of_individuals'!X231*'Model_ of_individuals'!$K231,"")</f>
        <v/>
      </c>
      <c r="Y224" s="93" t="str">
        <f>IF(ISNUMBER('Model_ of_individuals'!Y231), 'Model_ of_individuals'!Y231*'Model_ of_individuals'!$K231,"")</f>
        <v/>
      </c>
      <c r="Z224" s="93" t="str">
        <f>IF(ISNUMBER('Model_ of_individuals'!Z231), 'Model_ of_individuals'!Z231*'Model_ of_individuals'!$K231,"")</f>
        <v/>
      </c>
      <c r="AA224" s="93" t="str">
        <f>IF(ISNUMBER('Model_ of_individuals'!AA231), 'Model_ of_individuals'!AA231*'Model_ of_individuals'!$K231,"")</f>
        <v/>
      </c>
      <c r="AB224" s="93" t="str">
        <f>IF(ISNUMBER('Model_ of_individuals'!AB231), 'Model_ of_individuals'!AB231*'Model_ of_individuals'!$K231,"")</f>
        <v/>
      </c>
      <c r="AC224" s="93" t="str">
        <f>IF(ISNUMBER('Model_ of_individuals'!AC231), 'Model_ of_individuals'!AC231*'Model_ of_individuals'!$K231,"")</f>
        <v/>
      </c>
      <c r="AD224" s="93" t="str">
        <f>IF(ISNUMBER('Model_ of_individuals'!AD231), 'Model_ of_individuals'!AD231*'Model_ of_individuals'!$K231,"")</f>
        <v/>
      </c>
      <c r="AE224" s="93" t="str">
        <f>IF(ISNUMBER('Model_ of_individuals'!AE231), 'Model_ of_individuals'!AE231*'Model_ of_individuals'!$K231,"")</f>
        <v/>
      </c>
      <c r="AF224" s="93" t="str">
        <f>IF(ISNUMBER('Model_ of_individuals'!AF231), 'Model_ of_individuals'!AF231*'Model_ of_individuals'!$K231,"")</f>
        <v/>
      </c>
      <c r="AG224" s="109" t="str">
        <f>IF(ISNUMBER('Model_ of_individuals'!AG231), 'Model_ of_individuals'!AG231*'Model_ of_individuals'!$K231,"")</f>
        <v/>
      </c>
    </row>
    <row r="225" spans="1:34" x14ac:dyDescent="0.25">
      <c r="A225" s="518"/>
      <c r="B225" s="504"/>
      <c r="C225" s="110" t="str">
        <f>IF(ISNUMBER(B208), _3_5_0,"")</f>
        <v/>
      </c>
      <c r="D225" s="94" t="str">
        <f>IF(AND(B208&lt;&gt;"", OR('Cost Inputs'!$H$84&lt;&gt;"", 'Cost Inputs'!$I$84&lt;&gt;"", 'Cost Inputs'!$J$84&lt;&gt;"")), 'Cost Inputs'!$G$84,"")</f>
        <v/>
      </c>
      <c r="E225" s="94" t="str">
        <f>IF(AND(C225&lt;&gt;"", 'Cost Inputs'!$H$84&lt;&gt;""), 'Cost Inputs'!$H$84, "")</f>
        <v/>
      </c>
      <c r="F225" s="94" t="str">
        <f>IF(AND(C225&lt;&gt;"", 'Cost Inputs'!$I$84&lt;&gt;""), 'Cost Inputs'!$I$84, "")</f>
        <v/>
      </c>
      <c r="G225" s="102" t="str">
        <f t="shared" si="10"/>
        <v/>
      </c>
      <c r="H225" s="94" t="str">
        <f>IF(AND(C225&lt;&gt;"", 'Cost Inputs'!$J$84&lt;&gt;""), 'Cost Inputs'!$J$84, "")</f>
        <v/>
      </c>
      <c r="I225" s="94" t="str">
        <f>IF(AND($E225&lt;&gt;"", $H225&lt;&gt;""), $H225/$E225, "")</f>
        <v/>
      </c>
      <c r="J225" s="94" t="str">
        <f>IF(AND(C225&lt;&gt;"",('Cost Inputs'!$I$84+'Cost Inputs'!$J$84+'Cost Inputs'!$K$84)&gt;0), 'Cost Inputs'!$I$84+'Cost Inputs'!$J$84+'Cost Inputs'!$K$84, "")</f>
        <v/>
      </c>
      <c r="K225" s="102" t="str">
        <f>IF(AND(C225&lt;&gt;"", 'Cost Inputs'!$N$84&gt;0),'Cost Inputs'!$N$84,"")</f>
        <v/>
      </c>
      <c r="L225" s="94"/>
      <c r="M225" s="129" t="str">
        <f>IF(ISNUMBER(B208), 'Breeding Inputs'!D84+'Breeding Inputs'!E84, "")</f>
        <v/>
      </c>
      <c r="X225" s="110" t="str">
        <f>IF(ISNUMBER('Model_ of_individuals'!X233), 'Model_ of_individuals'!X233*'Model_ of_individuals'!$K233,"")</f>
        <v/>
      </c>
      <c r="Y225" s="94" t="str">
        <f>IF(ISNUMBER('Model_ of_individuals'!Y233), 'Model_ of_individuals'!Y233*'Model_ of_individuals'!$K233,"")</f>
        <v/>
      </c>
      <c r="Z225" s="94" t="str">
        <f>IF(ISNUMBER('Model_ of_individuals'!Z233), 'Model_ of_individuals'!Z233*'Model_ of_individuals'!$K233,"")</f>
        <v/>
      </c>
      <c r="AA225" s="94" t="str">
        <f>IF(ISNUMBER('Model_ of_individuals'!AA233), 'Model_ of_individuals'!AA233*'Model_ of_individuals'!$K233,"")</f>
        <v/>
      </c>
      <c r="AB225" s="94" t="str">
        <f>IF(ISNUMBER('Model_ of_individuals'!AB233), 'Model_ of_individuals'!AB233*'Model_ of_individuals'!$K233,"")</f>
        <v/>
      </c>
      <c r="AC225" s="94" t="str">
        <f>IF(ISNUMBER('Model_ of_individuals'!AC233), 'Model_ of_individuals'!AC233*'Model_ of_individuals'!$K233,"")</f>
        <v/>
      </c>
      <c r="AD225" s="94" t="str">
        <f>IF(ISNUMBER('Model_ of_individuals'!AD233), 'Model_ of_individuals'!AD233*'Model_ of_individuals'!$K233,"")</f>
        <v/>
      </c>
      <c r="AE225" s="94" t="str">
        <f>IF(ISNUMBER('Model_ of_individuals'!AE233), 'Model_ of_individuals'!AE233*'Model_ of_individuals'!$K233,"")</f>
        <v/>
      </c>
      <c r="AF225" s="94" t="str">
        <f>IF(ISNUMBER('Model_ of_individuals'!AF233), 'Model_ of_individuals'!AF233*'Model_ of_individuals'!$K233,"")</f>
        <v/>
      </c>
      <c r="AG225" s="103" t="str">
        <f>IF(ISNUMBER('Model_ of_individuals'!AG233), 'Model_ of_individuals'!AG233*'Model_ of_individuals'!$K233,"")</f>
        <v/>
      </c>
    </row>
    <row r="226" spans="1:34" x14ac:dyDescent="0.25">
      <c r="A226" s="518"/>
      <c r="B226" s="504"/>
      <c r="C226" s="104" t="str">
        <f>IF(AND(ISNUMBER(B208), OR('Cost Inputs'!$H$85&lt;&gt;"", 'Cost Inputs'!$I$85&lt;&gt;"", 'Cost Inputs'!$J$85&lt;&gt;"")), _3_5_1, "")</f>
        <v/>
      </c>
      <c r="D226" s="17" t="str">
        <f>IF(AND(C226&lt;&gt;"", 'Cost Inputs'!$G$85&lt;&gt;""), 'Cost Inputs'!$G$85, "")</f>
        <v/>
      </c>
      <c r="E226" s="17" t="str">
        <f>IF(AND(C226&lt;&gt;"", 'Cost Inputs'!$H$85&lt;&gt;""), 'Cost Inputs'!$H$85, "")</f>
        <v/>
      </c>
      <c r="F226" s="17" t="str">
        <f>IF(AND(C226&lt;&gt;"", 'Cost Inputs'!$I$85&lt;&gt;""), 'Cost Inputs'!$I$85, "")</f>
        <v/>
      </c>
      <c r="G226" s="17" t="str">
        <f t="shared" si="10"/>
        <v/>
      </c>
      <c r="H226" s="17" t="str">
        <f>IF(AND(C226&lt;&gt;"", 'Cost Inputs'!$J$85&lt;&gt;""), 'Cost Inputs'!$J$85, "")</f>
        <v/>
      </c>
      <c r="I226" s="17" t="str">
        <f t="shared" si="12"/>
        <v/>
      </c>
      <c r="J226" s="17" t="str">
        <f>IF(AND(C226&lt;&gt;"",('Cost Inputs'!$I$85+'Cost Inputs'!$J$85+'Cost Inputs'!$K$85)&gt;0), 'Cost Inputs'!$I$85+'Cost Inputs'!$J$85+'Cost Inputs'!$K$85, "")</f>
        <v/>
      </c>
      <c r="K226" s="17" t="str">
        <f>IF(AND(C226&lt;&gt;"", 'Cost Inputs'!$N$85&gt;0),'Cost Inputs'!$N$85,"")</f>
        <v/>
      </c>
      <c r="M226" s="106"/>
      <c r="X226" s="104" t="str">
        <f>IF(ISNUMBER('Model_ of_individuals'!X234), 'Model_ of_individuals'!X234*'Model_ of_individuals'!$K234,"")</f>
        <v/>
      </c>
      <c r="Y226" s="17" t="str">
        <f>IF(ISNUMBER('Model_ of_individuals'!Y234), 'Model_ of_individuals'!Y234*'Model_ of_individuals'!$K234,"")</f>
        <v/>
      </c>
      <c r="Z226" s="17" t="str">
        <f>IF(ISNUMBER('Model_ of_individuals'!Z234), 'Model_ of_individuals'!Z234*'Model_ of_individuals'!$K234,"")</f>
        <v/>
      </c>
      <c r="AA226" s="17" t="str">
        <f>IF(ISNUMBER('Model_ of_individuals'!AA234), 'Model_ of_individuals'!AA234*'Model_ of_individuals'!$K234,"")</f>
        <v/>
      </c>
      <c r="AB226" s="17" t="str">
        <f>IF(ISNUMBER('Model_ of_individuals'!AB234), 'Model_ of_individuals'!AB234*'Model_ of_individuals'!$K234,"")</f>
        <v/>
      </c>
      <c r="AC226" s="17" t="str">
        <f>IF(ISNUMBER('Model_ of_individuals'!AC234), 'Model_ of_individuals'!AC234*'Model_ of_individuals'!$K234,"")</f>
        <v/>
      </c>
      <c r="AD226" s="17" t="str">
        <f>IF(ISNUMBER('Model_ of_individuals'!AD234), 'Model_ of_individuals'!AD234*'Model_ of_individuals'!$K234,"")</f>
        <v/>
      </c>
      <c r="AE226" s="17" t="str">
        <f>IF(ISNUMBER('Model_ of_individuals'!AE234), 'Model_ of_individuals'!AE234*'Model_ of_individuals'!$K234,"")</f>
        <v/>
      </c>
      <c r="AF226" s="17" t="str">
        <f>IF(ISNUMBER('Model_ of_individuals'!AF234), 'Model_ of_individuals'!AF234*'Model_ of_individuals'!$K234,"")</f>
        <v/>
      </c>
      <c r="AG226" s="106" t="str">
        <f>IF(ISNUMBER('Model_ of_individuals'!AG234), 'Model_ of_individuals'!AG234*'Model_ of_individuals'!$K234,"")</f>
        <v/>
      </c>
    </row>
    <row r="227" spans="1:34" ht="15.75" thickBot="1" x14ac:dyDescent="0.3">
      <c r="A227" s="518"/>
      <c r="B227" s="505"/>
      <c r="C227" s="111" t="str">
        <f>IF(AND(ISNUMBER(B208), OR('Cost Inputs'!$H$86&lt;&gt;"", 'Cost Inputs'!$I$86&lt;&gt;"", 'Cost Inputs'!$J$86&lt;&gt;"")), _3_5_2, "")</f>
        <v/>
      </c>
      <c r="D227" s="95" t="str">
        <f>IF(AND(C227&lt;&gt;"", 'Cost Inputs'!$G$86&lt;&gt;""), 'Cost Inputs'!$G$86, "")</f>
        <v/>
      </c>
      <c r="E227" s="95" t="str">
        <f>IF(AND(C227&lt;&gt;"", 'Cost Inputs'!$H$86&lt;&gt;""), 'Cost Inputs'!$H$86, "")</f>
        <v/>
      </c>
      <c r="F227" s="95" t="str">
        <f>IF(AND(C227&lt;&gt;"", 'Cost Inputs'!$I$86&lt;&gt;""), 'Cost Inputs'!$I$86, "")</f>
        <v/>
      </c>
      <c r="G227" s="95" t="str">
        <f t="shared" si="10"/>
        <v/>
      </c>
      <c r="H227" s="95" t="str">
        <f>IF(AND(C227&lt;&gt;"", 'Cost Inputs'!$J$86&lt;&gt;""), 'Cost Inputs'!$J$86, "")</f>
        <v/>
      </c>
      <c r="I227" s="95" t="str">
        <f t="shared" si="12"/>
        <v/>
      </c>
      <c r="J227" s="95" t="str">
        <f>IF(AND(C227&lt;&gt;"",('Cost Inputs'!$I$86+'Cost Inputs'!$J$86+'Cost Inputs'!$K$86)&gt;0), 'Cost Inputs'!$I$86+'Cost Inputs'!$J$86+'Cost Inputs'!$K$86, "")</f>
        <v/>
      </c>
      <c r="K227" s="95" t="str">
        <f>IF(AND(C227&lt;&gt;"", 'Cost Inputs'!$N$86&gt;0),'Cost Inputs'!$N$86,"")</f>
        <v/>
      </c>
      <c r="L227" s="95"/>
      <c r="M227" s="113"/>
      <c r="X227" s="111" t="str">
        <f>IF(ISNUMBER('Model_ of_individuals'!X235), 'Model_ of_individuals'!X235*'Model_ of_individuals'!$K235,"")</f>
        <v/>
      </c>
      <c r="Y227" s="95" t="str">
        <f>IF(ISNUMBER('Model_ of_individuals'!Y235), 'Model_ of_individuals'!Y235*'Model_ of_individuals'!$K235,"")</f>
        <v/>
      </c>
      <c r="Z227" s="95" t="str">
        <f>IF(ISNUMBER('Model_ of_individuals'!Z235), 'Model_ of_individuals'!Z235*'Model_ of_individuals'!$K235,"")</f>
        <v/>
      </c>
      <c r="AA227" s="95" t="str">
        <f>IF(ISNUMBER('Model_ of_individuals'!AA235), 'Model_ of_individuals'!AA235*'Model_ of_individuals'!$K235,"")</f>
        <v/>
      </c>
      <c r="AB227" s="95" t="str">
        <f>IF(ISNUMBER('Model_ of_individuals'!AB235), 'Model_ of_individuals'!AB235*'Model_ of_individuals'!$K235,"")</f>
        <v/>
      </c>
      <c r="AC227" s="95" t="str">
        <f>IF(ISNUMBER('Model_ of_individuals'!AC235), 'Model_ of_individuals'!AC235*'Model_ of_individuals'!$K235,"")</f>
        <v/>
      </c>
      <c r="AD227" s="95" t="str">
        <f>IF(ISNUMBER('Model_ of_individuals'!AD235), 'Model_ of_individuals'!AD235*'Model_ of_individuals'!$K235,"")</f>
        <v/>
      </c>
      <c r="AE227" s="95" t="str">
        <f>IF(ISNUMBER('Model_ of_individuals'!AE235), 'Model_ of_individuals'!AE235*'Model_ of_individuals'!$K235,"")</f>
        <v/>
      </c>
      <c r="AF227" s="95" t="str">
        <f>IF(ISNUMBER('Model_ of_individuals'!AF235), 'Model_ of_individuals'!AF235*'Model_ of_individuals'!$K235,"")</f>
        <v/>
      </c>
      <c r="AG227" s="113" t="str">
        <f>IF(ISNUMBER('Model_ of_individuals'!AG235), 'Model_ of_individuals'!AG235*'Model_ of_individuals'!$K235,"")</f>
        <v/>
      </c>
    </row>
    <row r="228" spans="1:34" ht="14.45" customHeight="1" x14ac:dyDescent="0.25">
      <c r="A228" s="518" t="str">
        <f>Third_Stage</f>
        <v>Stage 1 Seedling Test Plots</v>
      </c>
      <c r="B228" s="503" t="str">
        <f>'Breeding Inputs'!B85</f>
        <v/>
      </c>
      <c r="C228" s="116" t="str">
        <f>IF(ISNUMBER(B228), _3_2_0, "")</f>
        <v/>
      </c>
      <c r="D228" s="92" t="str">
        <f>IF(AND(B228&lt;&gt;"", OR('Cost Inputs'!$H$67&lt;&gt;"", 'Cost Inputs'!$I$67&lt;&gt;"", 'Cost Inputs'!$J$67&lt;&gt;"")), 'Cost Inputs'!$G$67,"")</f>
        <v/>
      </c>
      <c r="E228" s="92" t="str">
        <f>IF(AND(C228&lt;&gt;"", 'Cost Inputs'!$H$67&lt;&gt;"", M$225&lt;&gt;"", M$225&gt;0), $E208-('Cost Inputs'!$H$67*M$225), IF(AND(C228&lt;&gt;"", 'Cost Inputs'!$H$67&lt;&gt;""), $E208, ""))</f>
        <v/>
      </c>
      <c r="F228" s="92" t="str">
        <f>IF(AND(C228&lt;&gt;"", 'Cost Inputs'!$I$67&lt;&gt;""), 'Cost Inputs'!$I$67, "")</f>
        <v/>
      </c>
      <c r="G228" s="92" t="str">
        <f t="shared" si="10"/>
        <v/>
      </c>
      <c r="H228" s="92" t="str">
        <f>IF(AND(C228&lt;&gt;"", 'Cost Inputs'!$J$67&lt;&gt;""), 'Cost Inputs'!$J$67, "")</f>
        <v/>
      </c>
      <c r="I228" s="92" t="str">
        <f>IF(AND($E228&lt;&gt;"", $H228&lt;&gt;""), $H228/$E228, "")</f>
        <v/>
      </c>
      <c r="J228" s="92" t="str">
        <f>IF(AND(C228&lt;&gt;"",('Cost Inputs'!$I$67+'Cost Inputs'!$J$67+'Cost Inputs'!$K$67)&gt;0), 'Cost Inputs'!$I$67+'Cost Inputs'!$J$67+'Cost Inputs'!$K$67, "")</f>
        <v/>
      </c>
      <c r="K228" s="92" t="str">
        <f>IF(AND(C228&lt;&gt;"", 'Cost Inputs'!$N$67&gt;0),'Cost Inputs'!$N$67,"")</f>
        <v/>
      </c>
      <c r="L228" s="92"/>
      <c r="M228" s="101"/>
      <c r="Y228" s="110" t="str">
        <f>IF(ISNUMBER('Model_ of_individuals'!Y236), 'Model_ of_individuals'!Y236*'Model_ of_individuals'!$K236,"")</f>
        <v/>
      </c>
      <c r="Z228" s="94" t="str">
        <f>IF(ISNUMBER('Model_ of_individuals'!Z236), 'Model_ of_individuals'!Z236*'Model_ of_individuals'!$K236,"")</f>
        <v/>
      </c>
      <c r="AA228" s="94" t="str">
        <f>IF(ISNUMBER('Model_ of_individuals'!AA236), 'Model_ of_individuals'!AA236*'Model_ of_individuals'!$K236,"")</f>
        <v/>
      </c>
      <c r="AB228" s="94" t="str">
        <f>IF(ISNUMBER('Model_ of_individuals'!AB236), 'Model_ of_individuals'!AB236*'Model_ of_individuals'!$K236,"")</f>
        <v/>
      </c>
      <c r="AC228" s="94" t="str">
        <f>IF(ISNUMBER('Model_ of_individuals'!AC236), 'Model_ of_individuals'!AC236*'Model_ of_individuals'!$K236,"")</f>
        <v/>
      </c>
      <c r="AD228" s="94" t="str">
        <f>IF(ISNUMBER('Model_ of_individuals'!AD236), 'Model_ of_individuals'!AD236*'Model_ of_individuals'!$K236,"")</f>
        <v/>
      </c>
      <c r="AE228" s="94" t="str">
        <f>IF(ISNUMBER('Model_ of_individuals'!AE236), 'Model_ of_individuals'!AE236*'Model_ of_individuals'!$K236,"")</f>
        <v/>
      </c>
      <c r="AF228" s="94" t="str">
        <f>IF(ISNUMBER('Model_ of_individuals'!AF236), 'Model_ of_individuals'!AF236*'Model_ of_individuals'!$K236,"")</f>
        <v/>
      </c>
      <c r="AG228" s="94" t="str">
        <f>IF(ISNUMBER('Model_ of_individuals'!AG236), 'Model_ of_individuals'!AG236*'Model_ of_individuals'!$K236,"")</f>
        <v/>
      </c>
      <c r="AH228" s="103" t="str">
        <f>IF(ISNUMBER('Model_ of_individuals'!AH236), 'Model_ of_individuals'!AH236*'Model_ of_individuals'!$K236,"")</f>
        <v/>
      </c>
    </row>
    <row r="229" spans="1:34" x14ac:dyDescent="0.25">
      <c r="A229" s="518"/>
      <c r="B229" s="504"/>
      <c r="C229" s="104" t="str">
        <f>IF(AND(ISNUMBER(B228), OR('Cost Inputs'!$H$68&lt;&gt;"", 'Cost Inputs'!$I$68&lt;&gt;"", 'Cost Inputs'!$J$68&lt;&gt;"")), _3_2_1, "")</f>
        <v/>
      </c>
      <c r="D229" s="17" t="str">
        <f>IF(AND($C229&lt;&gt;"", 'Cost Inputs'!$G$68&lt;&gt;""), 'Cost Inputs'!$G$68, "")</f>
        <v/>
      </c>
      <c r="E229" s="17" t="str">
        <f>IF(AND(C229&lt;&gt;"", 'Cost Inputs'!$H$68&lt;&gt;"", M$225&lt;&gt;"", M$225&gt;0), $E209-('Cost Inputs'!$H$68*M$225), IF(AND(C229&lt;&gt;"", 'Cost Inputs'!$H$68&lt;&gt;""), $E209, ""))</f>
        <v/>
      </c>
      <c r="F229" s="17" t="str">
        <f>IF(AND(C229&lt;&gt;"", 'Cost Inputs'!$I$68&lt;&gt;""), 'Cost Inputs'!$I$68, "")</f>
        <v/>
      </c>
      <c r="G229" s="17" t="str">
        <f t="shared" si="10"/>
        <v/>
      </c>
      <c r="H229" s="17" t="str">
        <f>IF(AND(C229&lt;&gt;"", 'Cost Inputs'!$J$68&lt;&gt;""), 'Cost Inputs'!$J$68, "")</f>
        <v/>
      </c>
      <c r="I229" s="17" t="str">
        <f t="shared" si="11"/>
        <v/>
      </c>
      <c r="J229" s="17" t="str">
        <f>IF(AND(C229&lt;&gt;"",('Cost Inputs'!$I$68+'Cost Inputs'!$J$68+'Cost Inputs'!$K$68)&gt;0), 'Cost Inputs'!$I$68+'Cost Inputs'!$J$68+'Cost Inputs'!$K$68, "")</f>
        <v/>
      </c>
      <c r="K229" s="17" t="str">
        <f>IF(AND(C229&lt;&gt;"", 'Cost Inputs'!$N$68&gt;0),'Cost Inputs'!$N$68,"")</f>
        <v/>
      </c>
      <c r="M229" s="106"/>
      <c r="Y229" s="104" t="str">
        <f>IF(ISNUMBER('Model_ of_individuals'!Y237), 'Model_ of_individuals'!Y237*'Model_ of_individuals'!$K237,"")</f>
        <v/>
      </c>
      <c r="Z229" s="17" t="str">
        <f>IF(ISNUMBER('Model_ of_individuals'!Z237), 'Model_ of_individuals'!Z237*'Model_ of_individuals'!$K237,"")</f>
        <v/>
      </c>
      <c r="AA229" s="17" t="str">
        <f>IF(ISNUMBER('Model_ of_individuals'!AA237), 'Model_ of_individuals'!AA237*'Model_ of_individuals'!$K237,"")</f>
        <v/>
      </c>
      <c r="AB229" s="17" t="str">
        <f>IF(ISNUMBER('Model_ of_individuals'!AB237), 'Model_ of_individuals'!AB237*'Model_ of_individuals'!$K237,"")</f>
        <v/>
      </c>
      <c r="AC229" s="17" t="str">
        <f>IF(ISNUMBER('Model_ of_individuals'!AC237), 'Model_ of_individuals'!AC237*'Model_ of_individuals'!$K237,"")</f>
        <v/>
      </c>
      <c r="AD229" s="17" t="str">
        <f>IF(ISNUMBER('Model_ of_individuals'!AD237), 'Model_ of_individuals'!AD237*'Model_ of_individuals'!$K237,"")</f>
        <v/>
      </c>
      <c r="AE229" s="17" t="str">
        <f>IF(ISNUMBER('Model_ of_individuals'!AE237), 'Model_ of_individuals'!AE237*'Model_ of_individuals'!$K237,"")</f>
        <v/>
      </c>
      <c r="AF229" s="17" t="str">
        <f>IF(ISNUMBER('Model_ of_individuals'!AF237), 'Model_ of_individuals'!AF237*'Model_ of_individuals'!$K237,"")</f>
        <v/>
      </c>
      <c r="AG229" s="17" t="str">
        <f>IF(ISNUMBER('Model_ of_individuals'!AG237), 'Model_ of_individuals'!AG237*'Model_ of_individuals'!$K237,"")</f>
        <v/>
      </c>
      <c r="AH229" s="106" t="str">
        <f>IF(ISNUMBER('Model_ of_individuals'!AH237), 'Model_ of_individuals'!AH237*'Model_ of_individuals'!$K237,"")</f>
        <v/>
      </c>
    </row>
    <row r="230" spans="1:34" x14ac:dyDescent="0.25">
      <c r="A230" s="518"/>
      <c r="B230" s="504"/>
      <c r="C230" s="107" t="str">
        <f>IF(AND(ISNUMBER(B228), OR('Cost Inputs'!$H$69&lt;&gt;"", 'Cost Inputs'!$I$69&lt;&gt;"", 'Cost Inputs'!$J$69&lt;&gt;"")), _3_2_2, "")</f>
        <v/>
      </c>
      <c r="D230" s="93" t="str">
        <f>IF(AND($C230&lt;&gt;"", 'Cost Inputs'!$G$69&lt;&gt;""), 'Cost Inputs'!$G$69, "")</f>
        <v/>
      </c>
      <c r="E230" s="93" t="str">
        <f>IF(AND(C230&lt;&gt;"", 'Cost Inputs'!$H$69&lt;&gt;"", M$225&lt;&gt;"", M$225&gt;0), $E210-('Cost Inputs'!$H$69*M$225), IF(AND(C230&lt;&gt;"", 'Cost Inputs'!$H$69&lt;&gt;""), $E210, ""))</f>
        <v/>
      </c>
      <c r="F230" s="93" t="str">
        <f>IF(AND(C230&lt;&gt;"", 'Cost Inputs'!$I$69&lt;&gt;""), 'Cost Inputs'!$I$69, "")</f>
        <v/>
      </c>
      <c r="G230" s="93" t="str">
        <f t="shared" si="10"/>
        <v/>
      </c>
      <c r="H230" s="93" t="str">
        <f>IF(AND(C230&lt;&gt;"", 'Cost Inputs'!$J$69&lt;&gt;""), 'Cost Inputs'!$J$69, "")</f>
        <v/>
      </c>
      <c r="I230" s="93" t="str">
        <f t="shared" si="11"/>
        <v/>
      </c>
      <c r="J230" s="93" t="str">
        <f>IF(AND(C230&lt;&gt;"",('Cost Inputs'!$I$69+'Cost Inputs'!$J$69+'Cost Inputs'!$K$69)&gt;0), 'Cost Inputs'!$I$69+'Cost Inputs'!$J$69+'Cost Inputs'!$K$69, "")</f>
        <v/>
      </c>
      <c r="K230" s="93" t="str">
        <f>IF(AND(C230&lt;&gt;"", 'Cost Inputs'!$N$69&gt;0),'Cost Inputs'!$N$69,"")</f>
        <v/>
      </c>
      <c r="L230" s="93"/>
      <c r="M230" s="109"/>
      <c r="Y230" s="107" t="str">
        <f>IF(ISNUMBER('Model_ of_individuals'!Y238), 'Model_ of_individuals'!Y238*'Model_ of_individuals'!$K238,"")</f>
        <v/>
      </c>
      <c r="Z230" s="93" t="str">
        <f>IF(ISNUMBER('Model_ of_individuals'!Z238), 'Model_ of_individuals'!Z238*'Model_ of_individuals'!$K238,"")</f>
        <v/>
      </c>
      <c r="AA230" s="93" t="str">
        <f>IF(ISNUMBER('Model_ of_individuals'!AA238), 'Model_ of_individuals'!AA238*'Model_ of_individuals'!$K238,"")</f>
        <v/>
      </c>
      <c r="AB230" s="93" t="str">
        <f>IF(ISNUMBER('Model_ of_individuals'!AB238), 'Model_ of_individuals'!AB238*'Model_ of_individuals'!$K238,"")</f>
        <v/>
      </c>
      <c r="AC230" s="93" t="str">
        <f>IF(ISNUMBER('Model_ of_individuals'!AC238), 'Model_ of_individuals'!AC238*'Model_ of_individuals'!$K238,"")</f>
        <v/>
      </c>
      <c r="AD230" s="93" t="str">
        <f>IF(ISNUMBER('Model_ of_individuals'!AD238), 'Model_ of_individuals'!AD238*'Model_ of_individuals'!$K238,"")</f>
        <v/>
      </c>
      <c r="AE230" s="93" t="str">
        <f>IF(ISNUMBER('Model_ of_individuals'!AE238), 'Model_ of_individuals'!AE238*'Model_ of_individuals'!$K238,"")</f>
        <v/>
      </c>
      <c r="AF230" s="93" t="str">
        <f>IF(ISNUMBER('Model_ of_individuals'!AF238), 'Model_ of_individuals'!AF238*'Model_ of_individuals'!$K238,"")</f>
        <v/>
      </c>
      <c r="AG230" s="93" t="str">
        <f>IF(ISNUMBER('Model_ of_individuals'!AG238), 'Model_ of_individuals'!AG238*'Model_ of_individuals'!$K238,"")</f>
        <v/>
      </c>
      <c r="AH230" s="109" t="str">
        <f>IF(ISNUMBER('Model_ of_individuals'!AH238), 'Model_ of_individuals'!AH238*'Model_ of_individuals'!$K238,"")</f>
        <v/>
      </c>
    </row>
    <row r="231" spans="1:34" x14ac:dyDescent="0.25">
      <c r="A231" s="518"/>
      <c r="B231" s="504"/>
      <c r="C231" s="104" t="str">
        <f>IF(AND( ISNUMBER(B228), OR('Cost Inputs'!$H$70&lt;&gt;"", 'Cost Inputs'!$I$70&lt;&gt;"", 'Cost Inputs'!$J$70&lt;&gt;"")), _3_2_3, "")</f>
        <v/>
      </c>
      <c r="D231" s="17" t="str">
        <f>IF(AND($C231&lt;&gt;"", 'Cost Inputs'!$G$70&lt;&gt;""), 'Cost Inputs'!$G$70, "")</f>
        <v/>
      </c>
      <c r="E231" s="17" t="str">
        <f>IF(AND(C231&lt;&gt;"", 'Cost Inputs'!$H$70&lt;&gt;"", M$225&lt;&gt;"", M$225&gt;0), $E211-('Cost Inputs'!$H$70*M$225), IF(AND(C231&lt;&gt;"", 'Cost Inputs'!$H$70&lt;&gt;""), $E211, ""))</f>
        <v/>
      </c>
      <c r="F231" s="17" t="str">
        <f>IF(AND(C231&lt;&gt;"", 'Cost Inputs'!$I$70&lt;&gt;""), 'Cost Inputs'!$I$70, "")</f>
        <v/>
      </c>
      <c r="G231" s="17" t="str">
        <f t="shared" si="10"/>
        <v/>
      </c>
      <c r="H231" s="17" t="str">
        <f>IF(AND(C231&lt;&gt;"", 'Cost Inputs'!$J$70&lt;&gt;""), 'Cost Inputs'!$J$70, "")</f>
        <v/>
      </c>
      <c r="I231" s="17" t="str">
        <f t="shared" si="11"/>
        <v/>
      </c>
      <c r="J231" s="17" t="str">
        <f>IF(AND(C231&lt;&gt;"",('Cost Inputs'!$I$70+'Cost Inputs'!$J$70+'Cost Inputs'!$K$70)&gt;0), 'Cost Inputs'!$I$70+'Cost Inputs'!$J$70+'Cost Inputs'!$K$70, "")</f>
        <v/>
      </c>
      <c r="K231" s="17" t="str">
        <f>IF(AND(C231&lt;&gt;"", 'Cost Inputs'!$N$70&gt;0),'Cost Inputs'!$N$70,"")</f>
        <v/>
      </c>
      <c r="M231" s="106"/>
      <c r="Y231" s="104" t="str">
        <f>IF(ISNUMBER('Model_ of_individuals'!Y239), 'Model_ of_individuals'!Y239*'Model_ of_individuals'!$K239,"")</f>
        <v/>
      </c>
      <c r="Z231" s="17" t="str">
        <f>IF(ISNUMBER('Model_ of_individuals'!Z239), 'Model_ of_individuals'!Z239*'Model_ of_individuals'!$K239,"")</f>
        <v/>
      </c>
      <c r="AA231" s="17" t="str">
        <f>IF(ISNUMBER('Model_ of_individuals'!AA239), 'Model_ of_individuals'!AA239*'Model_ of_individuals'!$K239,"")</f>
        <v/>
      </c>
      <c r="AB231" s="17" t="str">
        <f>IF(ISNUMBER('Model_ of_individuals'!AB239), 'Model_ of_individuals'!AB239*'Model_ of_individuals'!$K239,"")</f>
        <v/>
      </c>
      <c r="AC231" s="17" t="str">
        <f>IF(ISNUMBER('Model_ of_individuals'!AC239), 'Model_ of_individuals'!AC239*'Model_ of_individuals'!$K239,"")</f>
        <v/>
      </c>
      <c r="AD231" s="17" t="str">
        <f>IF(ISNUMBER('Model_ of_individuals'!AD239), 'Model_ of_individuals'!AD239*'Model_ of_individuals'!$K239,"")</f>
        <v/>
      </c>
      <c r="AE231" s="17" t="str">
        <f>IF(ISNUMBER('Model_ of_individuals'!AE239), 'Model_ of_individuals'!AE239*'Model_ of_individuals'!$K239,"")</f>
        <v/>
      </c>
      <c r="AF231" s="17" t="str">
        <f>IF(ISNUMBER('Model_ of_individuals'!AF239), 'Model_ of_individuals'!AF239*'Model_ of_individuals'!$K239,"")</f>
        <v/>
      </c>
      <c r="AG231" s="17" t="str">
        <f>IF(ISNUMBER('Model_ of_individuals'!AG239), 'Model_ of_individuals'!AG239*'Model_ of_individuals'!$K239,"")</f>
        <v/>
      </c>
      <c r="AH231" s="106" t="str">
        <f>IF(ISNUMBER('Model_ of_individuals'!AH239), 'Model_ of_individuals'!AH239*'Model_ of_individuals'!$K239,"")</f>
        <v/>
      </c>
    </row>
    <row r="232" spans="1:34" x14ac:dyDescent="0.25">
      <c r="A232" s="518"/>
      <c r="B232" s="504"/>
      <c r="C232" s="107" t="str">
        <f>IF(AND( ISNUMBER(B228), OR('Cost Inputs'!$H$71&lt;&gt;"", 'Cost Inputs'!$I$71&lt;&gt;"", 'Cost Inputs'!$J$71&lt;&gt;"")), _3_2_4, "")</f>
        <v/>
      </c>
      <c r="D232" s="93" t="str">
        <f>IF(AND($C232&lt;&gt;"", 'Cost Inputs'!$G$71&lt;&gt;""), 'Cost Inputs'!$G$71, "")</f>
        <v/>
      </c>
      <c r="E232" s="93" t="str">
        <f>IF(AND(C232&lt;&gt;"", 'Cost Inputs'!$H$71&lt;&gt;"", M$225&lt;&gt;"", M$225&gt;0), $E212-('Cost Inputs'!$H$71*M$225), IF(AND(C232&lt;&gt;"", 'Cost Inputs'!$H$71&lt;&gt;""), $E212, ""))</f>
        <v/>
      </c>
      <c r="F232" s="93" t="str">
        <f>IF(AND(C232&lt;&gt;"", 'Cost Inputs'!$I$71&lt;&gt;""), 'Cost Inputs'!$I$71, "")</f>
        <v/>
      </c>
      <c r="G232" s="93" t="str">
        <f t="shared" si="10"/>
        <v/>
      </c>
      <c r="H232" s="93" t="str">
        <f>IF(AND(C232&lt;&gt;"", 'Cost Inputs'!$J$71&lt;&gt;""), 'Cost Inputs'!$J$71, "")</f>
        <v/>
      </c>
      <c r="I232" s="93" t="str">
        <f t="shared" si="11"/>
        <v/>
      </c>
      <c r="J232" s="93" t="str">
        <f>IF(AND(C232&lt;&gt;"",('Cost Inputs'!$I$71+'Cost Inputs'!$J$71+'Cost Inputs'!$K$71)&gt;0), 'Cost Inputs'!$I$71+'Cost Inputs'!$J$71+'Cost Inputs'!$K$71, "")</f>
        <v/>
      </c>
      <c r="K232" s="93" t="str">
        <f>IF(AND(C232&lt;&gt;"", 'Cost Inputs'!$N$71&gt;0),'Cost Inputs'!$N$71,"")</f>
        <v/>
      </c>
      <c r="L232" s="93"/>
      <c r="M232" s="109"/>
      <c r="Y232" s="107" t="str">
        <f>IF(ISNUMBER('Model_ of_individuals'!Y240), 'Model_ of_individuals'!Y240*'Model_ of_individuals'!$K240,"")</f>
        <v/>
      </c>
      <c r="Z232" s="93" t="str">
        <f>IF(ISNUMBER('Model_ of_individuals'!Z240), 'Model_ of_individuals'!Z240*'Model_ of_individuals'!$K240,"")</f>
        <v/>
      </c>
      <c r="AA232" s="93" t="str">
        <f>IF(ISNUMBER('Model_ of_individuals'!AA240), 'Model_ of_individuals'!AA240*'Model_ of_individuals'!$K240,"")</f>
        <v/>
      </c>
      <c r="AB232" s="93" t="str">
        <f>IF(ISNUMBER('Model_ of_individuals'!AB240), 'Model_ of_individuals'!AB240*'Model_ of_individuals'!$K240,"")</f>
        <v/>
      </c>
      <c r="AC232" s="93" t="str">
        <f>IF(ISNUMBER('Model_ of_individuals'!AC240), 'Model_ of_individuals'!AC240*'Model_ of_individuals'!$K240,"")</f>
        <v/>
      </c>
      <c r="AD232" s="93" t="str">
        <f>IF(ISNUMBER('Model_ of_individuals'!AD240), 'Model_ of_individuals'!AD240*'Model_ of_individuals'!$K240,"")</f>
        <v/>
      </c>
      <c r="AE232" s="93" t="str">
        <f>IF(ISNUMBER('Model_ of_individuals'!AE240), 'Model_ of_individuals'!AE240*'Model_ of_individuals'!$K240,"")</f>
        <v/>
      </c>
      <c r="AF232" s="93" t="str">
        <f>IF(ISNUMBER('Model_ of_individuals'!AF240), 'Model_ of_individuals'!AF240*'Model_ of_individuals'!$K240,"")</f>
        <v/>
      </c>
      <c r="AG232" s="93" t="str">
        <f>IF(ISNUMBER('Model_ of_individuals'!AG240), 'Model_ of_individuals'!AG240*'Model_ of_individuals'!$K240,"")</f>
        <v/>
      </c>
      <c r="AH232" s="109" t="str">
        <f>IF(ISNUMBER('Model_ of_individuals'!AH240), 'Model_ of_individuals'!AH240*'Model_ of_individuals'!$K240,"")</f>
        <v/>
      </c>
    </row>
    <row r="233" spans="1:34" x14ac:dyDescent="0.25">
      <c r="A233" s="518"/>
      <c r="B233" s="504"/>
      <c r="C233" s="110" t="str">
        <f>IF(AND(B228&lt;&gt;"", ISNUMBER(Stage1EvaluationBegins)), IF((INDEX(ProgramYearStage1,MATCH(Stage1EvaluationBegins,Years_in_Stage1,0)))=B228, _3_3_0, IF(AND(B228&lt;&gt;"", C213&lt;&gt;""), _3_3_0, IF(AND(B228&lt;&gt;"", OR(Stage1EvaluationBegins=0, Stage1EvaluationBegins="")),"", ""))),"")</f>
        <v/>
      </c>
      <c r="D233" s="94" t="str">
        <f>IF(AND(B228&lt;&gt;"", OR('Cost Inputs'!$H$72&lt;&gt;"", 'Cost Inputs'!$I$72&lt;&gt;"", 'Cost Inputs'!$J$72&lt;&gt;"")), 'Cost Inputs'!$G$72,"")</f>
        <v/>
      </c>
      <c r="E233" s="94" t="str">
        <f>IF(AND(C233&lt;&gt;"", 'Cost Inputs'!$H$72&lt;&gt;""), 'Cost Inputs'!$H$72, "")</f>
        <v/>
      </c>
      <c r="F233" s="94" t="str">
        <f>IF(AND(C233&lt;&gt;"", 'Cost Inputs'!$I$72&lt;&gt;""), 'Cost Inputs'!$I$72, "")</f>
        <v/>
      </c>
      <c r="G233" s="94" t="str">
        <f t="shared" si="10"/>
        <v/>
      </c>
      <c r="H233" s="94" t="str">
        <f>IF(AND(C233&lt;&gt;"", 'Cost Inputs'!$J$72&lt;&gt;""), 'Cost Inputs'!$J$72, "")</f>
        <v/>
      </c>
      <c r="I233" s="94" t="str">
        <f>IF(AND($E233&lt;&gt;"", $H233&lt;&gt;""), $H233/$E233, "")</f>
        <v/>
      </c>
      <c r="J233" s="94" t="str">
        <f>IF(AND(C233&lt;&gt;"",('Cost Inputs'!$I$72+'Cost Inputs'!$J$72+'Cost Inputs'!$K$72)&gt;0), 'Cost Inputs'!$I$72+'Cost Inputs'!$J$72+'Cost Inputs'!$K$72, "")</f>
        <v/>
      </c>
      <c r="K233" s="94" t="str">
        <f>IF(AND(C233&lt;&gt;"", 'Cost Inputs'!$N$72&gt;0),'Cost Inputs'!$N$72,"")</f>
        <v/>
      </c>
      <c r="L233" s="130" t="str">
        <f>IF(AND($B228&lt;&gt;"", ISNUMBER(Stage1EvaluationBegins)), IF((INDEX(ProgramYearStage1,MATCH(Stage1EvaluationBegins,Years_in_Stage1,0)))=$B228, INDEX(Stage1Evaluation,MATCH(Stage1EvaluationBegins,Years_in_Stage1,0)), IF(AND($B228&lt;&gt;"", $C213&lt;&gt;""), INDEX(Stage1Evaluation,MATCH($B228,ProgramYearStage1,0)), IF(AND(B228&lt;&gt;"", OR(Stage1EvaluationBegins=0, Stage1EvaluationBegins="")),"", ""))),"")</f>
        <v/>
      </c>
      <c r="M233" s="103"/>
      <c r="Y233" s="110" t="str">
        <f>IF(ISNUMBER('Model_ of_individuals'!Y241), 'Model_ of_individuals'!Y241*'Model_ of_individuals'!$K241,"")</f>
        <v/>
      </c>
      <c r="Z233" s="94" t="str">
        <f>IF(ISNUMBER('Model_ of_individuals'!Z241), 'Model_ of_individuals'!Z241*'Model_ of_individuals'!$K241,"")</f>
        <v/>
      </c>
      <c r="AA233" s="94" t="str">
        <f>IF(ISNUMBER('Model_ of_individuals'!AA241), 'Model_ of_individuals'!AA241*'Model_ of_individuals'!$K241,"")</f>
        <v/>
      </c>
      <c r="AB233" s="94" t="str">
        <f>IF(ISNUMBER('Model_ of_individuals'!AB241), 'Model_ of_individuals'!AB241*'Model_ of_individuals'!$K241,"")</f>
        <v/>
      </c>
      <c r="AC233" s="94" t="str">
        <f>IF(ISNUMBER('Model_ of_individuals'!AC241), 'Model_ of_individuals'!AC241*'Model_ of_individuals'!$K241,"")</f>
        <v/>
      </c>
      <c r="AD233" s="94" t="str">
        <f>IF(ISNUMBER('Model_ of_individuals'!AD241), 'Model_ of_individuals'!AD241*'Model_ of_individuals'!$K241,"")</f>
        <v/>
      </c>
      <c r="AE233" s="94" t="str">
        <f>IF(ISNUMBER('Model_ of_individuals'!AE241), 'Model_ of_individuals'!AE241*'Model_ of_individuals'!$K241,"")</f>
        <v/>
      </c>
      <c r="AF233" s="94" t="str">
        <f>IF(ISNUMBER('Model_ of_individuals'!AF241), 'Model_ of_individuals'!AF241*'Model_ of_individuals'!$K241,"")</f>
        <v/>
      </c>
      <c r="AG233" s="94" t="str">
        <f>IF(ISNUMBER('Model_ of_individuals'!AG241), 'Model_ of_individuals'!AG241*'Model_ of_individuals'!$K241,"")</f>
        <v/>
      </c>
      <c r="AH233" s="103" t="str">
        <f>IF(ISNUMBER('Model_ of_individuals'!AH241), 'Model_ of_individuals'!AH241*'Model_ of_individuals'!$K241,"")</f>
        <v/>
      </c>
    </row>
    <row r="234" spans="1:34" x14ac:dyDescent="0.25">
      <c r="A234" s="518"/>
      <c r="B234" s="504"/>
      <c r="C234" s="104" t="str">
        <f>IF(AND(ISNUMBER(B228), C233&lt;&gt;"", OR('Cost Inputs'!$H$73&lt;&gt;"", 'Cost Inputs'!$I$73&lt;&gt;"", 'Cost Inputs'!$J$73&lt;&gt;"")), _3_3_1, "")</f>
        <v/>
      </c>
      <c r="D234" s="17" t="str">
        <f>IF(AND(C234&lt;&gt;"", 'Cost Inputs'!$G$73&lt;&gt;""), 'Cost Inputs'!$G$73, "")</f>
        <v/>
      </c>
      <c r="E234" s="17" t="str">
        <f>IF(AND(C234&lt;&gt;"", 'Cost Inputs'!$H$73&lt;&gt;""), 'Cost Inputs'!$H$73, "")</f>
        <v/>
      </c>
      <c r="F234" s="17" t="str">
        <f>IF(AND(C234&lt;&gt;"", 'Cost Inputs'!$I$73&lt;&gt;""), 'Cost Inputs'!$I$73, "")</f>
        <v/>
      </c>
      <c r="G234" s="17" t="str">
        <f t="shared" si="10"/>
        <v/>
      </c>
      <c r="H234" s="17" t="str">
        <f>IF(AND(C234&lt;&gt;"", 'Cost Inputs'!$J$73&lt;&gt;""), 'Cost Inputs'!$J$73, "")</f>
        <v/>
      </c>
      <c r="I234" s="17" t="str">
        <f t="shared" ref="I234:I247" si="13">IF(AND($E234&lt;&gt;"", $H234&lt;&gt;""), $H234/$E234, "")</f>
        <v/>
      </c>
      <c r="J234" s="17" t="str">
        <f>IF(AND(C234&lt;&gt;"",('Cost Inputs'!$I$73+'Cost Inputs'!$J$73+'Cost Inputs'!$K$73)&gt;0), 'Cost Inputs'!$I$73+'Cost Inputs'!$J$73+'Cost Inputs'!$K$73, "")</f>
        <v/>
      </c>
      <c r="K234" s="17" t="str">
        <f>IF(AND(C234&lt;&gt;"", 'Cost Inputs'!$N$73&gt;0),'Cost Inputs'!$N$73,"")</f>
        <v/>
      </c>
      <c r="M234" s="106"/>
      <c r="Y234" s="104" t="str">
        <f>IF(ISNUMBER('Model_ of_individuals'!Y242), 'Model_ of_individuals'!Y242*'Model_ of_individuals'!$K242,"")</f>
        <v/>
      </c>
      <c r="Z234" s="17" t="str">
        <f>IF(ISNUMBER('Model_ of_individuals'!Z242), 'Model_ of_individuals'!Z242*'Model_ of_individuals'!$K242,"")</f>
        <v/>
      </c>
      <c r="AA234" s="17" t="str">
        <f>IF(ISNUMBER('Model_ of_individuals'!AA242), 'Model_ of_individuals'!AA242*'Model_ of_individuals'!$K242,"")</f>
        <v/>
      </c>
      <c r="AB234" s="17" t="str">
        <f>IF(ISNUMBER('Model_ of_individuals'!AB242), 'Model_ of_individuals'!AB242*'Model_ of_individuals'!$K242,"")</f>
        <v/>
      </c>
      <c r="AC234" s="17" t="str">
        <f>IF(ISNUMBER('Model_ of_individuals'!AC242), 'Model_ of_individuals'!AC242*'Model_ of_individuals'!$K242,"")</f>
        <v/>
      </c>
      <c r="AD234" s="17" t="str">
        <f>IF(ISNUMBER('Model_ of_individuals'!AD242), 'Model_ of_individuals'!AD242*'Model_ of_individuals'!$K242,"")</f>
        <v/>
      </c>
      <c r="AE234" s="17" t="str">
        <f>IF(ISNUMBER('Model_ of_individuals'!AE242), 'Model_ of_individuals'!AE242*'Model_ of_individuals'!$K242,"")</f>
        <v/>
      </c>
      <c r="AF234" s="17" t="str">
        <f>IF(ISNUMBER('Model_ of_individuals'!AF242), 'Model_ of_individuals'!AF242*'Model_ of_individuals'!$K242,"")</f>
        <v/>
      </c>
      <c r="AG234" s="17" t="str">
        <f>IF(ISNUMBER('Model_ of_individuals'!AG242), 'Model_ of_individuals'!AG242*'Model_ of_individuals'!$K242,"")</f>
        <v/>
      </c>
      <c r="AH234" s="106" t="str">
        <f>IF(ISNUMBER('Model_ of_individuals'!AH242), 'Model_ of_individuals'!AH242*'Model_ of_individuals'!$K242,"")</f>
        <v/>
      </c>
    </row>
    <row r="235" spans="1:34" x14ac:dyDescent="0.25">
      <c r="A235" s="518"/>
      <c r="B235" s="504"/>
      <c r="C235" s="107" t="str">
        <f>IF(AND(ISNUMBER(B228), C233&lt;&gt;"", OR('Cost Inputs'!$H$74&lt;&gt;"", 'Cost Inputs'!$I$74&lt;&gt;"", 'Cost Inputs'!$J$74&lt;&gt;"")), _3_3_2, "")</f>
        <v/>
      </c>
      <c r="D235" s="93" t="str">
        <f>IF(AND(C235&lt;&gt;"", 'Cost Inputs'!$G$74&lt;&gt;""), 'Cost Inputs'!$G$74, "")</f>
        <v/>
      </c>
      <c r="E235" s="93" t="str">
        <f>IF(AND(C235&lt;&gt;"", 'Cost Inputs'!$H$74&lt;&gt;""), 'Cost Inputs'!$H$74, "")</f>
        <v/>
      </c>
      <c r="F235" s="93" t="str">
        <f>IF(AND(C235&lt;&gt;"", 'Cost Inputs'!$I$74&lt;&gt;""), 'Cost Inputs'!$I$74, "")</f>
        <v/>
      </c>
      <c r="G235" s="93" t="str">
        <f t="shared" si="10"/>
        <v/>
      </c>
      <c r="H235" s="93" t="str">
        <f>IF(AND(C235&lt;&gt;"", 'Cost Inputs'!$J$74&lt;&gt;""), 'Cost Inputs'!$J$74, "")</f>
        <v/>
      </c>
      <c r="I235" s="93" t="str">
        <f t="shared" si="13"/>
        <v/>
      </c>
      <c r="J235" s="93" t="str">
        <f>IF(AND(C235&lt;&gt;"",('Cost Inputs'!$I$74+'Cost Inputs'!$J$74+'Cost Inputs'!$K$74)&gt;0), 'Cost Inputs'!$I$74+'Cost Inputs'!$J$74+'Cost Inputs'!$K$74, "")</f>
        <v/>
      </c>
      <c r="K235" s="93" t="str">
        <f>IF(AND(C235&lt;&gt;"", 'Cost Inputs'!$N$74&gt;0),'Cost Inputs'!$N$74,"")</f>
        <v/>
      </c>
      <c r="L235" s="93"/>
      <c r="M235" s="109"/>
      <c r="Y235" s="107" t="str">
        <f>IF(ISNUMBER('Model_ of_individuals'!Y243), 'Model_ of_individuals'!Y243*'Model_ of_individuals'!$K243,"")</f>
        <v/>
      </c>
      <c r="Z235" s="93" t="str">
        <f>IF(ISNUMBER('Model_ of_individuals'!Z243), 'Model_ of_individuals'!Z243*'Model_ of_individuals'!$K243,"")</f>
        <v/>
      </c>
      <c r="AA235" s="93" t="str">
        <f>IF(ISNUMBER('Model_ of_individuals'!AA243), 'Model_ of_individuals'!AA243*'Model_ of_individuals'!$K243,"")</f>
        <v/>
      </c>
      <c r="AB235" s="93" t="str">
        <f>IF(ISNUMBER('Model_ of_individuals'!AB243), 'Model_ of_individuals'!AB243*'Model_ of_individuals'!$K243,"")</f>
        <v/>
      </c>
      <c r="AC235" s="93" t="str">
        <f>IF(ISNUMBER('Model_ of_individuals'!AC243), 'Model_ of_individuals'!AC243*'Model_ of_individuals'!$K243,"")</f>
        <v/>
      </c>
      <c r="AD235" s="93" t="str">
        <f>IF(ISNUMBER('Model_ of_individuals'!AD243), 'Model_ of_individuals'!AD243*'Model_ of_individuals'!$K243,"")</f>
        <v/>
      </c>
      <c r="AE235" s="93" t="str">
        <f>IF(ISNUMBER('Model_ of_individuals'!AE243), 'Model_ of_individuals'!AE243*'Model_ of_individuals'!$K243,"")</f>
        <v/>
      </c>
      <c r="AF235" s="93" t="str">
        <f>IF(ISNUMBER('Model_ of_individuals'!AF243), 'Model_ of_individuals'!AF243*'Model_ of_individuals'!$K243,"")</f>
        <v/>
      </c>
      <c r="AG235" s="93" t="str">
        <f>IF(ISNUMBER('Model_ of_individuals'!AG243), 'Model_ of_individuals'!AG243*'Model_ of_individuals'!$K243,"")</f>
        <v/>
      </c>
      <c r="AH235" s="109" t="str">
        <f>IF(ISNUMBER('Model_ of_individuals'!AH243), 'Model_ of_individuals'!AH243*'Model_ of_individuals'!$K243,"")</f>
        <v/>
      </c>
    </row>
    <row r="236" spans="1:34" x14ac:dyDescent="0.25">
      <c r="A236" s="518"/>
      <c r="B236" s="504"/>
      <c r="C236" s="104" t="str">
        <f>IF(AND(ISNUMBER(B228), OR('Cost Inputs'!$H$75&lt;&gt;"", 'Cost Inputs'!$I$75&lt;&gt;"", 'Cost Inputs'!$J$75&lt;&gt;"")), _3_3_3, "")</f>
        <v/>
      </c>
      <c r="D236" s="17" t="str">
        <f>IF(AND(C236&lt;&gt;"", 'Cost Inputs'!$G$75&lt;&gt;""), 'Cost Inputs'!$G$75, "")</f>
        <v/>
      </c>
      <c r="E236" s="17" t="str">
        <f>IF(AND(C236&lt;&gt;"", 'Cost Inputs'!$H$75&lt;&gt;""), 'Cost Inputs'!$H$75, "")</f>
        <v/>
      </c>
      <c r="F236" s="17" t="str">
        <f>IF(AND(C236&lt;&gt;"", 'Cost Inputs'!$I$75&lt;&gt;""), 'Cost Inputs'!$I$75, "")</f>
        <v/>
      </c>
      <c r="G236" s="17" t="str">
        <f t="shared" si="10"/>
        <v/>
      </c>
      <c r="H236" s="17" t="str">
        <f>IF(AND(C236&lt;&gt;"", 'Cost Inputs'!$J$75&lt;&gt;""), 'Cost Inputs'!$J$75, "")</f>
        <v/>
      </c>
      <c r="I236" s="17" t="str">
        <f t="shared" si="13"/>
        <v/>
      </c>
      <c r="J236" s="17" t="str">
        <f>IF(AND(C236&lt;&gt;"",('Cost Inputs'!$I$75+'Cost Inputs'!$J$75+'Cost Inputs'!$K$75)&gt;0), 'Cost Inputs'!$I$75+'Cost Inputs'!$J$75+'Cost Inputs'!$K$75, "")</f>
        <v/>
      </c>
      <c r="K236" s="17" t="str">
        <f>IF(AND(C236&lt;&gt;"", 'Cost Inputs'!$N$75&gt;0),'Cost Inputs'!$N$75,"")</f>
        <v/>
      </c>
      <c r="M236" s="106"/>
      <c r="Y236" s="104" t="str">
        <f>IF(ISNUMBER('Model_ of_individuals'!Y244), 'Model_ of_individuals'!Y244*'Model_ of_individuals'!$K244,"")</f>
        <v/>
      </c>
      <c r="Z236" s="17" t="str">
        <f>IF(ISNUMBER('Model_ of_individuals'!Z244), 'Model_ of_individuals'!Z244*'Model_ of_individuals'!$K244,"")</f>
        <v/>
      </c>
      <c r="AA236" s="17" t="str">
        <f>IF(ISNUMBER('Model_ of_individuals'!AA244), 'Model_ of_individuals'!AA244*'Model_ of_individuals'!$K244,"")</f>
        <v/>
      </c>
      <c r="AB236" s="17" t="str">
        <f>IF(ISNUMBER('Model_ of_individuals'!AB244), 'Model_ of_individuals'!AB244*'Model_ of_individuals'!$K244,"")</f>
        <v/>
      </c>
      <c r="AC236" s="17" t="str">
        <f>IF(ISNUMBER('Model_ of_individuals'!AC244), 'Model_ of_individuals'!AC244*'Model_ of_individuals'!$K244,"")</f>
        <v/>
      </c>
      <c r="AD236" s="17" t="str">
        <f>IF(ISNUMBER('Model_ of_individuals'!AD244), 'Model_ of_individuals'!AD244*'Model_ of_individuals'!$K244,"")</f>
        <v/>
      </c>
      <c r="AE236" s="17" t="str">
        <f>IF(ISNUMBER('Model_ of_individuals'!AE244), 'Model_ of_individuals'!AE244*'Model_ of_individuals'!$K244,"")</f>
        <v/>
      </c>
      <c r="AF236" s="17" t="str">
        <f>IF(ISNUMBER('Model_ of_individuals'!AF244), 'Model_ of_individuals'!AF244*'Model_ of_individuals'!$K244,"")</f>
        <v/>
      </c>
      <c r="AG236" s="17" t="str">
        <f>IF(ISNUMBER('Model_ of_individuals'!AG244), 'Model_ of_individuals'!AG244*'Model_ of_individuals'!$K244,"")</f>
        <v/>
      </c>
      <c r="AH236" s="106" t="str">
        <f>IF(ISNUMBER('Model_ of_individuals'!AH244), 'Model_ of_individuals'!AH244*'Model_ of_individuals'!$K244,"")</f>
        <v/>
      </c>
    </row>
    <row r="237" spans="1:34" x14ac:dyDescent="0.25">
      <c r="A237" s="518"/>
      <c r="B237" s="504"/>
      <c r="C237" s="107" t="str">
        <f>IF(AND(ISNUMBER(B228), OR('Cost Inputs'!$H$76&lt;&gt;"", 'Cost Inputs'!$I$76&lt;&gt;"", 'Cost Inputs'!$J$76&lt;&gt;"")), _3_3_4, "")</f>
        <v/>
      </c>
      <c r="D237" s="93" t="str">
        <f>IF(AND(C237&lt;&gt;"", 'Cost Inputs'!$G$76&lt;&gt;""), 'Cost Inputs'!$G$76, "")</f>
        <v/>
      </c>
      <c r="E237" s="93" t="str">
        <f>IF(AND(C237&lt;&gt;"", 'Cost Inputs'!$H$76&lt;&gt;""), 'Cost Inputs'!$H$76, "")</f>
        <v/>
      </c>
      <c r="F237" s="93" t="str">
        <f>IF(AND(C237&lt;&gt;"", 'Cost Inputs'!$I$76&lt;&gt;""), 'Cost Inputs'!$I$76, "")</f>
        <v/>
      </c>
      <c r="G237" s="93" t="str">
        <f t="shared" si="10"/>
        <v/>
      </c>
      <c r="H237" s="93" t="str">
        <f>IF(AND(C237&lt;&gt;"", 'Cost Inputs'!$J$76&lt;&gt;""), 'Cost Inputs'!$J$76, "")</f>
        <v/>
      </c>
      <c r="I237" s="93" t="str">
        <f t="shared" si="13"/>
        <v/>
      </c>
      <c r="J237" s="93" t="str">
        <f>IF(AND(C237&lt;&gt;"",('Cost Inputs'!$I$76+'Cost Inputs'!$J$76+'Cost Inputs'!$K$76)&gt;0), 'Cost Inputs'!$I$76+'Cost Inputs'!$J$76+'Cost Inputs'!$K$76, "")</f>
        <v/>
      </c>
      <c r="K237" s="93" t="str">
        <f>IF(AND(C237&lt;&gt;"", 'Cost Inputs'!$N$76&gt;0),'Cost Inputs'!$N$76,"")</f>
        <v/>
      </c>
      <c r="L237" s="93"/>
      <c r="M237" s="109"/>
      <c r="Y237" s="107" t="str">
        <f>IF(ISNUMBER('Model_ of_individuals'!Y245), 'Model_ of_individuals'!Y245*'Model_ of_individuals'!$K245,"")</f>
        <v/>
      </c>
      <c r="Z237" s="93" t="str">
        <f>IF(ISNUMBER('Model_ of_individuals'!Z245), 'Model_ of_individuals'!Z245*'Model_ of_individuals'!$K245,"")</f>
        <v/>
      </c>
      <c r="AA237" s="93" t="str">
        <f>IF(ISNUMBER('Model_ of_individuals'!AA245), 'Model_ of_individuals'!AA245*'Model_ of_individuals'!$K245,"")</f>
        <v/>
      </c>
      <c r="AB237" s="93" t="str">
        <f>IF(ISNUMBER('Model_ of_individuals'!AB245), 'Model_ of_individuals'!AB245*'Model_ of_individuals'!$K245,"")</f>
        <v/>
      </c>
      <c r="AC237" s="93" t="str">
        <f>IF(ISNUMBER('Model_ of_individuals'!AC245), 'Model_ of_individuals'!AC245*'Model_ of_individuals'!$K245,"")</f>
        <v/>
      </c>
      <c r="AD237" s="93" t="str">
        <f>IF(ISNUMBER('Model_ of_individuals'!AD245), 'Model_ of_individuals'!AD245*'Model_ of_individuals'!$K245,"")</f>
        <v/>
      </c>
      <c r="AE237" s="93" t="str">
        <f>IF(ISNUMBER('Model_ of_individuals'!AE245), 'Model_ of_individuals'!AE245*'Model_ of_individuals'!$K245,"")</f>
        <v/>
      </c>
      <c r="AF237" s="93" t="str">
        <f>IF(ISNUMBER('Model_ of_individuals'!AF245), 'Model_ of_individuals'!AF245*'Model_ of_individuals'!$K245,"")</f>
        <v/>
      </c>
      <c r="AG237" s="93" t="str">
        <f>IF(ISNUMBER('Model_ of_individuals'!AG245), 'Model_ of_individuals'!AG245*'Model_ of_individuals'!$K245,"")</f>
        <v/>
      </c>
      <c r="AH237" s="109" t="str">
        <f>IF(ISNUMBER('Model_ of_individuals'!AH245), 'Model_ of_individuals'!AH245*'Model_ of_individuals'!$K245,"")</f>
        <v/>
      </c>
    </row>
    <row r="238" spans="1:34" x14ac:dyDescent="0.25">
      <c r="A238" s="518"/>
      <c r="B238" s="504"/>
      <c r="C238" s="110" t="str">
        <f>IF( ISNUMBER(B228), _3_4_0, "")</f>
        <v/>
      </c>
      <c r="D238" s="94" t="str">
        <f>IF(AND(B228&lt;&gt;"", OR('Cost Inputs'!$H$77&lt;&gt;"", 'Cost Inputs'!$I$77&lt;&gt;"", 'Cost Inputs'!$J$77&lt;&gt;"")), 'Cost Inputs'!$G$77,"")</f>
        <v/>
      </c>
      <c r="E238" s="94" t="str">
        <f>IF(AND(C238&lt;&gt;"", 'Cost Inputs'!$H$77&lt;&gt;""), 'Cost Inputs'!$H$77, "")</f>
        <v/>
      </c>
      <c r="F238" s="94" t="str">
        <f>IF(AND(C238&lt;&gt;"", 'Cost Inputs'!$I$77&lt;&gt;""), 'Cost Inputs'!$I$77, "")</f>
        <v/>
      </c>
      <c r="G238" s="94" t="str">
        <f t="shared" si="10"/>
        <v/>
      </c>
      <c r="H238" s="94" t="str">
        <f>IF(AND(C238&lt;&gt;"", 'Cost Inputs'!$J$77&lt;&gt;""), 'Cost Inputs'!$J$77, "")</f>
        <v/>
      </c>
      <c r="I238" s="94" t="str">
        <f>IF(AND($E238&lt;&gt;"", $H238&lt;&gt;""), $H238/$E238, "")</f>
        <v/>
      </c>
      <c r="J238" s="94" t="str">
        <f>IF(AND(C238&lt;&gt;"",('Cost Inputs'!$I$77+'Cost Inputs'!$J$77+'Cost Inputs'!$K$77)&gt;0), 'Cost Inputs'!$I$77+'Cost Inputs'!$J$77+'Cost Inputs'!$K$77, "")</f>
        <v/>
      </c>
      <c r="K238" s="94" t="str">
        <f>IF(AND(C238&lt;&gt;"", 'Cost Inputs'!$N$77&gt;0),'Cost Inputs'!$N$77,"")</f>
        <v/>
      </c>
      <c r="L238" s="94"/>
      <c r="M238" s="103"/>
      <c r="Y238" s="110" t="str">
        <f>IF(ISNUMBER('Model_ of_individuals'!Y246), 'Model_ of_individuals'!Y246*'Model_ of_individuals'!$K246,"")</f>
        <v/>
      </c>
      <c r="Z238" s="94" t="str">
        <f>IF(ISNUMBER('Model_ of_individuals'!Z246), 'Model_ of_individuals'!Z246*'Model_ of_individuals'!$K246,"")</f>
        <v/>
      </c>
      <c r="AA238" s="94" t="str">
        <f>IF(ISNUMBER('Model_ of_individuals'!AA246), 'Model_ of_individuals'!AA246*'Model_ of_individuals'!$K246,"")</f>
        <v/>
      </c>
      <c r="AB238" s="94" t="str">
        <f>IF(ISNUMBER('Model_ of_individuals'!AB246), 'Model_ of_individuals'!AB246*'Model_ of_individuals'!$K246,"")</f>
        <v/>
      </c>
      <c r="AC238" s="94" t="str">
        <f>IF(ISNUMBER('Model_ of_individuals'!AC246), 'Model_ of_individuals'!AC246*'Model_ of_individuals'!$K246,"")</f>
        <v/>
      </c>
      <c r="AD238" s="94" t="str">
        <f>IF(ISNUMBER('Model_ of_individuals'!AD246), 'Model_ of_individuals'!AD246*'Model_ of_individuals'!$K246,"")</f>
        <v/>
      </c>
      <c r="AE238" s="94" t="str">
        <f>IF(ISNUMBER('Model_ of_individuals'!AE246), 'Model_ of_individuals'!AE246*'Model_ of_individuals'!$K246,"")</f>
        <v/>
      </c>
      <c r="AF238" s="94" t="str">
        <f>IF(ISNUMBER('Model_ of_individuals'!AF246), 'Model_ of_individuals'!AF246*'Model_ of_individuals'!$K246,"")</f>
        <v/>
      </c>
      <c r="AG238" s="94" t="str">
        <f>IF(ISNUMBER('Model_ of_individuals'!AG246), 'Model_ of_individuals'!AG246*'Model_ of_individuals'!$K246,"")</f>
        <v/>
      </c>
      <c r="AH238" s="103" t="str">
        <f>IF(ISNUMBER('Model_ of_individuals'!AH246), 'Model_ of_individuals'!AH246*'Model_ of_individuals'!$K246,"")</f>
        <v/>
      </c>
    </row>
    <row r="239" spans="1:34" x14ac:dyDescent="0.25">
      <c r="A239" s="518"/>
      <c r="B239" s="504"/>
      <c r="C239" s="104" t="str">
        <f>IF(AND(ISNUMBER(B228), OR('Cost Inputs'!$H$78&lt;&gt;"", 'Cost Inputs'!$I$78&lt;&gt;"", 'Cost Inputs'!$J$78&lt;&gt;"")), _3_4_1, "")</f>
        <v/>
      </c>
      <c r="D239" s="17" t="str">
        <f>IF(AND(C239&lt;&gt;"", 'Cost Inputs'!$G$78&lt;&gt;""), 'Cost Inputs'!$G$78, "")</f>
        <v/>
      </c>
      <c r="E239" s="17" t="str">
        <f>IF(AND(C239&lt;&gt;"", 'Cost Inputs'!$H$78&lt;&gt;""), 'Cost Inputs'!$H$78, "")</f>
        <v/>
      </c>
      <c r="F239" s="17" t="str">
        <f>IF(AND(C239&lt;&gt;"", 'Cost Inputs'!$I$78&lt;&gt;""), 'Cost Inputs'!$I$78, "")</f>
        <v/>
      </c>
      <c r="G239" s="17" t="str">
        <f t="shared" si="10"/>
        <v/>
      </c>
      <c r="H239" s="17" t="str">
        <f>IF(AND(C239&lt;&gt;"", 'Cost Inputs'!$J$78&lt;&gt;""), 'Cost Inputs'!$J$78, "")</f>
        <v/>
      </c>
      <c r="I239" s="17" t="str">
        <f t="shared" si="13"/>
        <v/>
      </c>
      <c r="J239" s="17" t="str">
        <f>IF(AND(C239&lt;&gt;"",('Cost Inputs'!$I$78+'Cost Inputs'!$J$78+'Cost Inputs'!$K$78)&gt;0), 'Cost Inputs'!$I$78+'Cost Inputs'!$J$78+'Cost Inputs'!$K$78, "")</f>
        <v/>
      </c>
      <c r="K239" s="17" t="str">
        <f>IF(AND(C239&lt;&gt;"", 'Cost Inputs'!$N$78&gt;0),'Cost Inputs'!$N$78,"")</f>
        <v/>
      </c>
      <c r="M239" s="106"/>
      <c r="Y239" s="104" t="str">
        <f>IF(ISNUMBER('Model_ of_individuals'!Y247), 'Model_ of_individuals'!Y247*'Model_ of_individuals'!$K247,"")</f>
        <v/>
      </c>
      <c r="Z239" s="17" t="str">
        <f>IF(ISNUMBER('Model_ of_individuals'!Z247), 'Model_ of_individuals'!Z247*'Model_ of_individuals'!$K247,"")</f>
        <v/>
      </c>
      <c r="AA239" s="17" t="str">
        <f>IF(ISNUMBER('Model_ of_individuals'!AA247), 'Model_ of_individuals'!AA247*'Model_ of_individuals'!$K247,"")</f>
        <v/>
      </c>
      <c r="AB239" s="17" t="str">
        <f>IF(ISNUMBER('Model_ of_individuals'!AB247), 'Model_ of_individuals'!AB247*'Model_ of_individuals'!$K247,"")</f>
        <v/>
      </c>
      <c r="AC239" s="17" t="str">
        <f>IF(ISNUMBER('Model_ of_individuals'!AC247), 'Model_ of_individuals'!AC247*'Model_ of_individuals'!$K247,"")</f>
        <v/>
      </c>
      <c r="AD239" s="17" t="str">
        <f>IF(ISNUMBER('Model_ of_individuals'!AD247), 'Model_ of_individuals'!AD247*'Model_ of_individuals'!$K247,"")</f>
        <v/>
      </c>
      <c r="AE239" s="17" t="str">
        <f>IF(ISNUMBER('Model_ of_individuals'!AE247), 'Model_ of_individuals'!AE247*'Model_ of_individuals'!$K247,"")</f>
        <v/>
      </c>
      <c r="AF239" s="17" t="str">
        <f>IF(ISNUMBER('Model_ of_individuals'!AF247), 'Model_ of_individuals'!AF247*'Model_ of_individuals'!$K247,"")</f>
        <v/>
      </c>
      <c r="AG239" s="17" t="str">
        <f>IF(ISNUMBER('Model_ of_individuals'!AG247), 'Model_ of_individuals'!AG247*'Model_ of_individuals'!$K247,"")</f>
        <v/>
      </c>
      <c r="AH239" s="106" t="str">
        <f>IF(ISNUMBER('Model_ of_individuals'!AH247), 'Model_ of_individuals'!AH247*'Model_ of_individuals'!$K247,"")</f>
        <v/>
      </c>
    </row>
    <row r="240" spans="1:34" x14ac:dyDescent="0.25">
      <c r="A240" s="518"/>
      <c r="B240" s="504"/>
      <c r="C240" s="107" t="str">
        <f>IF(AND(ISNUMBER(B228), OR('Cost Inputs'!$H$79&lt;&gt;"", 'Cost Inputs'!$I$79&lt;&gt;"", 'Cost Inputs'!$J$79&lt;&gt;"")), _3_4_2, "")</f>
        <v/>
      </c>
      <c r="D240" s="93" t="str">
        <f>IF(AND(C240&lt;&gt;"", 'Cost Inputs'!$G$79&lt;&gt;""), 'Cost Inputs'!$G$79, "")</f>
        <v/>
      </c>
      <c r="E240" s="93" t="str">
        <f>IF(AND(C240&lt;&gt;"", 'Cost Inputs'!$H$79&lt;&gt;""), 'Cost Inputs'!$H$79, "")</f>
        <v/>
      </c>
      <c r="F240" s="93" t="str">
        <f>IF(AND(C240&lt;&gt;"", 'Cost Inputs'!$I$79&lt;&gt;""), 'Cost Inputs'!$I$79, "")</f>
        <v/>
      </c>
      <c r="G240" s="93" t="str">
        <f t="shared" si="10"/>
        <v/>
      </c>
      <c r="H240" s="93" t="str">
        <f>IF(AND(C240&lt;&gt;"", 'Cost Inputs'!$J$79&lt;&gt;""), 'Cost Inputs'!$J$79, "")</f>
        <v/>
      </c>
      <c r="I240" s="93" t="str">
        <f t="shared" si="13"/>
        <v/>
      </c>
      <c r="J240" s="93" t="str">
        <f>IF(AND(C240&lt;&gt;"",('Cost Inputs'!$I$79+'Cost Inputs'!$J$79+'Cost Inputs'!$K$79)&gt;0), 'Cost Inputs'!$I$79+'Cost Inputs'!$J$79+'Cost Inputs'!$K$79, "")</f>
        <v/>
      </c>
      <c r="K240" s="93" t="str">
        <f>IF(AND(C240&lt;&gt;"", 'Cost Inputs'!$N$79&gt;0),'Cost Inputs'!$N$79,"")</f>
        <v/>
      </c>
      <c r="L240" s="93"/>
      <c r="M240" s="109"/>
      <c r="Y240" s="107" t="str">
        <f>IF(ISNUMBER('Model_ of_individuals'!Y248), 'Model_ of_individuals'!Y248*'Model_ of_individuals'!$K248,"")</f>
        <v/>
      </c>
      <c r="Z240" s="93" t="str">
        <f>IF(ISNUMBER('Model_ of_individuals'!Z248), 'Model_ of_individuals'!Z248*'Model_ of_individuals'!$K248,"")</f>
        <v/>
      </c>
      <c r="AA240" s="93" t="str">
        <f>IF(ISNUMBER('Model_ of_individuals'!AA248), 'Model_ of_individuals'!AA248*'Model_ of_individuals'!$K248,"")</f>
        <v/>
      </c>
      <c r="AB240" s="93" t="str">
        <f>IF(ISNUMBER('Model_ of_individuals'!AB248), 'Model_ of_individuals'!AB248*'Model_ of_individuals'!$K248,"")</f>
        <v/>
      </c>
      <c r="AC240" s="93" t="str">
        <f>IF(ISNUMBER('Model_ of_individuals'!AC248), 'Model_ of_individuals'!AC248*'Model_ of_individuals'!$K248,"")</f>
        <v/>
      </c>
      <c r="AD240" s="93" t="str">
        <f>IF(ISNUMBER('Model_ of_individuals'!AD248), 'Model_ of_individuals'!AD248*'Model_ of_individuals'!$K248,"")</f>
        <v/>
      </c>
      <c r="AE240" s="93" t="str">
        <f>IF(ISNUMBER('Model_ of_individuals'!AE248), 'Model_ of_individuals'!AE248*'Model_ of_individuals'!$K248,"")</f>
        <v/>
      </c>
      <c r="AF240" s="93" t="str">
        <f>IF(ISNUMBER('Model_ of_individuals'!AF248), 'Model_ of_individuals'!AF248*'Model_ of_individuals'!$K248,"")</f>
        <v/>
      </c>
      <c r="AG240" s="93" t="str">
        <f>IF(ISNUMBER('Model_ of_individuals'!AG248), 'Model_ of_individuals'!AG248*'Model_ of_individuals'!$K248,"")</f>
        <v/>
      </c>
      <c r="AH240" s="109" t="str">
        <f>IF(ISNUMBER('Model_ of_individuals'!AH248), 'Model_ of_individuals'!AH248*'Model_ of_individuals'!$K248,"")</f>
        <v/>
      </c>
    </row>
    <row r="241" spans="1:35" x14ac:dyDescent="0.25">
      <c r="A241" s="518"/>
      <c r="B241" s="504"/>
      <c r="C241" s="104" t="str">
        <f>IF(AND(ISNUMBER(B228), OR('Cost Inputs'!$H$80&lt;&gt;"", 'Cost Inputs'!$I$80&lt;&gt;"", 'Cost Inputs'!$J$80&lt;&gt;"")),_3_4_3, "")</f>
        <v/>
      </c>
      <c r="D241" s="17" t="str">
        <f>IF(AND(C241&lt;&gt;"", 'Cost Inputs'!$G$80&lt;&gt;""), 'Cost Inputs'!$G$80, "")</f>
        <v/>
      </c>
      <c r="E241" s="17" t="str">
        <f>IF(AND(C241&lt;&gt;"", 'Cost Inputs'!$H$80&lt;&gt;""), 'Cost Inputs'!$H$80, "")</f>
        <v/>
      </c>
      <c r="F241" s="17" t="str">
        <f>IF(AND(C241&lt;&gt;"", 'Cost Inputs'!$I$80&lt;&gt;""), 'Cost Inputs'!$I$80, "")</f>
        <v/>
      </c>
      <c r="G241" s="17" t="str">
        <f t="shared" si="10"/>
        <v/>
      </c>
      <c r="H241" s="17" t="str">
        <f>IF(AND(C241&lt;&gt;"", 'Cost Inputs'!$J$80&lt;&gt;""), 'Cost Inputs'!$J$80, "")</f>
        <v/>
      </c>
      <c r="I241" s="17" t="str">
        <f t="shared" si="13"/>
        <v/>
      </c>
      <c r="J241" s="17" t="str">
        <f>IF(AND(C241&lt;&gt;"",('Cost Inputs'!$I$80+'Cost Inputs'!$J$80+'Cost Inputs'!$K$80)&gt;0), 'Cost Inputs'!$I$80+'Cost Inputs'!$J$80+'Cost Inputs'!$K$80, "")</f>
        <v/>
      </c>
      <c r="K241" s="17" t="str">
        <f>IF(AND(C241&lt;&gt;"", 'Cost Inputs'!$N$80&gt;0),'Cost Inputs'!$N$80,"")</f>
        <v/>
      </c>
      <c r="M241" s="106"/>
      <c r="Y241" s="104" t="str">
        <f>IF(ISNUMBER('Model_ of_individuals'!Y249), 'Model_ of_individuals'!Y249*'Model_ of_individuals'!$K249,"")</f>
        <v/>
      </c>
      <c r="Z241" s="17" t="str">
        <f>IF(ISNUMBER('Model_ of_individuals'!Z249), 'Model_ of_individuals'!Z249*'Model_ of_individuals'!$K249,"")</f>
        <v/>
      </c>
      <c r="AA241" s="17" t="str">
        <f>IF(ISNUMBER('Model_ of_individuals'!AA249), 'Model_ of_individuals'!AA249*'Model_ of_individuals'!$K249,"")</f>
        <v/>
      </c>
      <c r="AB241" s="17" t="str">
        <f>IF(ISNUMBER('Model_ of_individuals'!AB249), 'Model_ of_individuals'!AB249*'Model_ of_individuals'!$K249,"")</f>
        <v/>
      </c>
      <c r="AC241" s="17" t="str">
        <f>IF(ISNUMBER('Model_ of_individuals'!AC249), 'Model_ of_individuals'!AC249*'Model_ of_individuals'!$K249,"")</f>
        <v/>
      </c>
      <c r="AD241" s="17" t="str">
        <f>IF(ISNUMBER('Model_ of_individuals'!AD249), 'Model_ of_individuals'!AD249*'Model_ of_individuals'!$K249,"")</f>
        <v/>
      </c>
      <c r="AE241" s="17" t="str">
        <f>IF(ISNUMBER('Model_ of_individuals'!AE249), 'Model_ of_individuals'!AE249*'Model_ of_individuals'!$K249,"")</f>
        <v/>
      </c>
      <c r="AF241" s="17" t="str">
        <f>IF(ISNUMBER('Model_ of_individuals'!AF249), 'Model_ of_individuals'!AF249*'Model_ of_individuals'!$K249,"")</f>
        <v/>
      </c>
      <c r="AG241" s="17" t="str">
        <f>IF(ISNUMBER('Model_ of_individuals'!AG249), 'Model_ of_individuals'!AG249*'Model_ of_individuals'!$K249,"")</f>
        <v/>
      </c>
      <c r="AH241" s="106" t="str">
        <f>IF(ISNUMBER('Model_ of_individuals'!AH249), 'Model_ of_individuals'!AH249*'Model_ of_individuals'!$K249,"")</f>
        <v/>
      </c>
    </row>
    <row r="242" spans="1:35" x14ac:dyDescent="0.25">
      <c r="A242" s="518"/>
      <c r="B242" s="504"/>
      <c r="C242" s="107" t="str">
        <f>IF(AND(ISNUMBER(B228), OR('Cost Inputs'!$H$81&lt;&gt;"", 'Cost Inputs'!$I$81&lt;&gt;"", 'Cost Inputs'!$J$81&lt;&gt;"")), _3_4_4, "")</f>
        <v/>
      </c>
      <c r="D242" s="93" t="str">
        <f>IF(AND(C242&lt;&gt;"", 'Cost Inputs'!$G$81&lt;&gt;""), 'Cost Inputs'!$G$81, "")</f>
        <v/>
      </c>
      <c r="E242" s="93" t="str">
        <f>IF(AND(C242&lt;&gt;"", 'Cost Inputs'!$H$81&lt;&gt;""), 'Cost Inputs'!$H$81, "")</f>
        <v/>
      </c>
      <c r="F242" s="93" t="str">
        <f>IF(AND(C242&lt;&gt;"", 'Cost Inputs'!$I$81&lt;&gt;""), 'Cost Inputs'!$I$81, "")</f>
        <v/>
      </c>
      <c r="G242" s="93" t="str">
        <f t="shared" si="10"/>
        <v/>
      </c>
      <c r="H242" s="93" t="str">
        <f>IF(AND(C242&lt;&gt;"", 'Cost Inputs'!$J$81&lt;&gt;""), 'Cost Inputs'!$J$81, "")</f>
        <v/>
      </c>
      <c r="I242" s="93" t="str">
        <f t="shared" si="13"/>
        <v/>
      </c>
      <c r="J242" s="93" t="str">
        <f>IF(AND(C242&lt;&gt;"",('Cost Inputs'!$I$81+'Cost Inputs'!$J$81+'Cost Inputs'!$K$81)&gt;0), 'Cost Inputs'!$I$81+'Cost Inputs'!$J$81+'Cost Inputs'!$K$81, "")</f>
        <v/>
      </c>
      <c r="K242" s="93" t="str">
        <f>IF(AND(C242&lt;&gt;"", 'Cost Inputs'!$N$81&gt;0),'Cost Inputs'!$N$81,"")</f>
        <v/>
      </c>
      <c r="L242" s="93"/>
      <c r="M242" s="109"/>
      <c r="Y242" s="107" t="str">
        <f>IF(ISNUMBER('Model_ of_individuals'!Y250), 'Model_ of_individuals'!Y250*'Model_ of_individuals'!$K250,"")</f>
        <v/>
      </c>
      <c r="Z242" s="93" t="str">
        <f>IF(ISNUMBER('Model_ of_individuals'!Z250), 'Model_ of_individuals'!Z250*'Model_ of_individuals'!$K250,"")</f>
        <v/>
      </c>
      <c r="AA242" s="93" t="str">
        <f>IF(ISNUMBER('Model_ of_individuals'!AA250), 'Model_ of_individuals'!AA250*'Model_ of_individuals'!$K250,"")</f>
        <v/>
      </c>
      <c r="AB242" s="93" t="str">
        <f>IF(ISNUMBER('Model_ of_individuals'!AB250), 'Model_ of_individuals'!AB250*'Model_ of_individuals'!$K250,"")</f>
        <v/>
      </c>
      <c r="AC242" s="93" t="str">
        <f>IF(ISNUMBER('Model_ of_individuals'!AC250), 'Model_ of_individuals'!AC250*'Model_ of_individuals'!$K250,"")</f>
        <v/>
      </c>
      <c r="AD242" s="93" t="str">
        <f>IF(ISNUMBER('Model_ of_individuals'!AD250), 'Model_ of_individuals'!AD250*'Model_ of_individuals'!$K250,"")</f>
        <v/>
      </c>
      <c r="AE242" s="93" t="str">
        <f>IF(ISNUMBER('Model_ of_individuals'!AE250), 'Model_ of_individuals'!AE250*'Model_ of_individuals'!$K250,"")</f>
        <v/>
      </c>
      <c r="AF242" s="93" t="str">
        <f>IF(ISNUMBER('Model_ of_individuals'!AF250), 'Model_ of_individuals'!AF250*'Model_ of_individuals'!$K250,"")</f>
        <v/>
      </c>
      <c r="AG242" s="93" t="str">
        <f>IF(ISNUMBER('Model_ of_individuals'!AG250), 'Model_ of_individuals'!AG250*'Model_ of_individuals'!$K250,"")</f>
        <v/>
      </c>
      <c r="AH242" s="109" t="str">
        <f>IF(ISNUMBER('Model_ of_individuals'!AH250), 'Model_ of_individuals'!AH250*'Model_ of_individuals'!$K250,"")</f>
        <v/>
      </c>
    </row>
    <row r="243" spans="1:35" x14ac:dyDescent="0.25">
      <c r="A243" s="518"/>
      <c r="B243" s="504"/>
      <c r="C243" s="104" t="str">
        <f>IF(AND(ISNUMBER(B228), OR('Cost Inputs'!$H$82&lt;&gt;"", 'Cost Inputs'!$I$82&lt;&gt;"", 'Cost Inputs'!$J$82&lt;&gt;"")),_3_4_5, "")</f>
        <v/>
      </c>
      <c r="D243" s="17" t="str">
        <f>IF(AND(C243&lt;&gt;"", 'Cost Inputs'!$G$82&lt;&gt;""), 'Cost Inputs'!$G$82, "")</f>
        <v/>
      </c>
      <c r="E243" s="17" t="str">
        <f>IF(AND(C243&lt;&gt;"", 'Cost Inputs'!$H$82&lt;&gt;""), 'Cost Inputs'!$H$82, "")</f>
        <v/>
      </c>
      <c r="F243" s="17" t="str">
        <f>IF(AND(C243&lt;&gt;"", 'Cost Inputs'!$I$82&lt;&gt;""), 'Cost Inputs'!$I$82, "")</f>
        <v/>
      </c>
      <c r="G243" s="17" t="str">
        <f t="shared" si="10"/>
        <v/>
      </c>
      <c r="H243" s="17" t="str">
        <f>IF(AND(C243&lt;&gt;"", 'Cost Inputs'!$J$82&lt;&gt;""), 'Cost Inputs'!$J$82, "")</f>
        <v/>
      </c>
      <c r="I243" s="17" t="str">
        <f t="shared" si="13"/>
        <v/>
      </c>
      <c r="J243" s="17" t="str">
        <f>IF(AND(C243&lt;&gt;"",('Cost Inputs'!$I$82+'Cost Inputs'!$J$82+'Cost Inputs'!$K$82)&gt;0), 'Cost Inputs'!$I$82+'Cost Inputs'!$J$82+'Cost Inputs'!$K$82, "")</f>
        <v/>
      </c>
      <c r="K243" s="17" t="str">
        <f>IF(AND(C243&lt;&gt;"", 'Cost Inputs'!$N$82&gt;0),'Cost Inputs'!$N$82,"")</f>
        <v/>
      </c>
      <c r="M243" s="106"/>
      <c r="Y243" s="104" t="str">
        <f>IF(ISNUMBER('Model_ of_individuals'!Y251), 'Model_ of_individuals'!Y251*'Model_ of_individuals'!$K251,"")</f>
        <v/>
      </c>
      <c r="Z243" s="17" t="str">
        <f>IF(ISNUMBER('Model_ of_individuals'!Z251), 'Model_ of_individuals'!Z251*'Model_ of_individuals'!$K251,"")</f>
        <v/>
      </c>
      <c r="AA243" s="17" t="str">
        <f>IF(ISNUMBER('Model_ of_individuals'!AA251), 'Model_ of_individuals'!AA251*'Model_ of_individuals'!$K251,"")</f>
        <v/>
      </c>
      <c r="AB243" s="17" t="str">
        <f>IF(ISNUMBER('Model_ of_individuals'!AB251), 'Model_ of_individuals'!AB251*'Model_ of_individuals'!$K251,"")</f>
        <v/>
      </c>
      <c r="AC243" s="17" t="str">
        <f>IF(ISNUMBER('Model_ of_individuals'!AC251), 'Model_ of_individuals'!AC251*'Model_ of_individuals'!$K251,"")</f>
        <v/>
      </c>
      <c r="AD243" s="17" t="str">
        <f>IF(ISNUMBER('Model_ of_individuals'!AD251), 'Model_ of_individuals'!AD251*'Model_ of_individuals'!$K251,"")</f>
        <v/>
      </c>
      <c r="AE243" s="17" t="str">
        <f>IF(ISNUMBER('Model_ of_individuals'!AE251), 'Model_ of_individuals'!AE251*'Model_ of_individuals'!$K251,"")</f>
        <v/>
      </c>
      <c r="AF243" s="17" t="str">
        <f>IF(ISNUMBER('Model_ of_individuals'!AF251), 'Model_ of_individuals'!AF251*'Model_ of_individuals'!$K251,"")</f>
        <v/>
      </c>
      <c r="AG243" s="17" t="str">
        <f>IF(ISNUMBER('Model_ of_individuals'!AG251), 'Model_ of_individuals'!AG251*'Model_ of_individuals'!$K251,"")</f>
        <v/>
      </c>
      <c r="AH243" s="106" t="str">
        <f>IF(ISNUMBER('Model_ of_individuals'!AH251), 'Model_ of_individuals'!AH251*'Model_ of_individuals'!$K251,"")</f>
        <v/>
      </c>
    </row>
    <row r="244" spans="1:35" x14ac:dyDescent="0.25">
      <c r="A244" s="518"/>
      <c r="B244" s="504"/>
      <c r="C244" s="107" t="str">
        <f>IF(AND(ISNUMBER(B228), OR('Cost Inputs'!$H$83&lt;&gt;"", 'Cost Inputs'!$I$83&lt;&gt;"", 'Cost Inputs'!$J$83&lt;&gt;"")),_3_4_6, "")</f>
        <v/>
      </c>
      <c r="D244" s="93" t="str">
        <f>IF(AND(C244&lt;&gt;"", 'Cost Inputs'!$G$83&lt;&gt;""), 'Cost Inputs'!$G$83, "")</f>
        <v/>
      </c>
      <c r="E244" s="93" t="str">
        <f>IF(AND(C244&lt;&gt;"", 'Cost Inputs'!$H$83&lt;&gt;""), 'Cost Inputs'!$H$83, "")</f>
        <v/>
      </c>
      <c r="F244" s="93" t="str">
        <f>IF(AND(C244&lt;&gt;"", 'Cost Inputs'!$I$83&lt;&gt;""), 'Cost Inputs'!$I$83, "")</f>
        <v/>
      </c>
      <c r="G244" s="93" t="str">
        <f t="shared" si="10"/>
        <v/>
      </c>
      <c r="H244" s="93" t="str">
        <f>IF(AND(C244&lt;&gt;"", 'Cost Inputs'!$J$83&lt;&gt;""), 'Cost Inputs'!$J$83, "")</f>
        <v/>
      </c>
      <c r="I244" s="93" t="str">
        <f t="shared" si="13"/>
        <v/>
      </c>
      <c r="J244" s="93" t="str">
        <f>IF(AND(C244&lt;&gt;"",('Cost Inputs'!$I$83+'Cost Inputs'!$J$83+'Cost Inputs'!$K$83)&gt;0), 'Cost Inputs'!$I$83+'Cost Inputs'!$J$83+'Cost Inputs'!$K$83, "")</f>
        <v/>
      </c>
      <c r="K244" s="93" t="str">
        <f>IF(AND(C244&lt;&gt;"", 'Cost Inputs'!$N$83&gt;0),'Cost Inputs'!$N$83,"")</f>
        <v/>
      </c>
      <c r="L244" s="93"/>
      <c r="M244" s="109"/>
      <c r="Y244" s="107" t="str">
        <f>IF(ISNUMBER('Model_ of_individuals'!Y252), 'Model_ of_individuals'!Y252*'Model_ of_individuals'!$K252,"")</f>
        <v/>
      </c>
      <c r="Z244" s="93" t="str">
        <f>IF(ISNUMBER('Model_ of_individuals'!Z252), 'Model_ of_individuals'!Z252*'Model_ of_individuals'!$K252,"")</f>
        <v/>
      </c>
      <c r="AA244" s="93" t="str">
        <f>IF(ISNUMBER('Model_ of_individuals'!AA252), 'Model_ of_individuals'!AA252*'Model_ of_individuals'!$K252,"")</f>
        <v/>
      </c>
      <c r="AB244" s="93" t="str">
        <f>IF(ISNUMBER('Model_ of_individuals'!AB252), 'Model_ of_individuals'!AB252*'Model_ of_individuals'!$K252,"")</f>
        <v/>
      </c>
      <c r="AC244" s="93" t="str">
        <f>IF(ISNUMBER('Model_ of_individuals'!AC252), 'Model_ of_individuals'!AC252*'Model_ of_individuals'!$K252,"")</f>
        <v/>
      </c>
      <c r="AD244" s="93" t="str">
        <f>IF(ISNUMBER('Model_ of_individuals'!AD252), 'Model_ of_individuals'!AD252*'Model_ of_individuals'!$K252,"")</f>
        <v/>
      </c>
      <c r="AE244" s="93" t="str">
        <f>IF(ISNUMBER('Model_ of_individuals'!AE252), 'Model_ of_individuals'!AE252*'Model_ of_individuals'!$K252,"")</f>
        <v/>
      </c>
      <c r="AF244" s="93" t="str">
        <f>IF(ISNUMBER('Model_ of_individuals'!AF252), 'Model_ of_individuals'!AF252*'Model_ of_individuals'!$K252,"")</f>
        <v/>
      </c>
      <c r="AG244" s="93" t="str">
        <f>IF(ISNUMBER('Model_ of_individuals'!AG252), 'Model_ of_individuals'!AG252*'Model_ of_individuals'!$K252,"")</f>
        <v/>
      </c>
      <c r="AH244" s="109" t="str">
        <f>IF(ISNUMBER('Model_ of_individuals'!AH252), 'Model_ of_individuals'!AH252*'Model_ of_individuals'!$K252,"")</f>
        <v/>
      </c>
    </row>
    <row r="245" spans="1:35" x14ac:dyDescent="0.25">
      <c r="A245" s="518"/>
      <c r="B245" s="504"/>
      <c r="C245" s="110" t="str">
        <f>IF(ISNUMBER(B228), _3_5_0,"")</f>
        <v/>
      </c>
      <c r="D245" s="94" t="str">
        <f>IF(AND(B228&lt;&gt;"", OR('Cost Inputs'!$H$84&lt;&gt;"", 'Cost Inputs'!$I$84&lt;&gt;"", 'Cost Inputs'!$J$84&lt;&gt;"")), 'Cost Inputs'!$G$84,"")</f>
        <v/>
      </c>
      <c r="E245" s="94" t="str">
        <f>IF(AND(C245&lt;&gt;"", 'Cost Inputs'!$H$84&lt;&gt;""), 'Cost Inputs'!$H$84, "")</f>
        <v/>
      </c>
      <c r="F245" s="94" t="str">
        <f>IF(AND(C245&lt;&gt;"", 'Cost Inputs'!$I$84&lt;&gt;""), 'Cost Inputs'!$I$84, "")</f>
        <v/>
      </c>
      <c r="G245" s="94" t="str">
        <f t="shared" si="10"/>
        <v/>
      </c>
      <c r="H245" s="94" t="str">
        <f>IF(AND(C245&lt;&gt;"", 'Cost Inputs'!$J$84&lt;&gt;""), 'Cost Inputs'!$J$84, "")</f>
        <v/>
      </c>
      <c r="I245" s="94" t="str">
        <f>IF(AND($E245&lt;&gt;"", $H245&lt;&gt;""), $H245/$E245, "")</f>
        <v/>
      </c>
      <c r="J245" s="94" t="str">
        <f>IF(AND(C245&lt;&gt;"",('Cost Inputs'!$I$84+'Cost Inputs'!$J$84+'Cost Inputs'!$K$84)&gt;0), 'Cost Inputs'!$I$84+'Cost Inputs'!$J$84+'Cost Inputs'!$K$84, "")</f>
        <v/>
      </c>
      <c r="K245" s="94" t="str">
        <f>IF(AND(C245&lt;&gt;"", 'Cost Inputs'!$N$84&gt;0),'Cost Inputs'!$N$84,"")</f>
        <v/>
      </c>
      <c r="L245" s="94"/>
      <c r="M245" s="129" t="str">
        <f>IF(ISNUMBER(B228), 'Breeding Inputs'!D85+'Breeding Inputs'!E85, "")</f>
        <v/>
      </c>
      <c r="Y245" s="110" t="str">
        <f>IF(ISNUMBER('Model_ of_individuals'!Y254), 'Model_ of_individuals'!Y254*'Model_ of_individuals'!$K254,"")</f>
        <v/>
      </c>
      <c r="Z245" s="94" t="str">
        <f>IF(ISNUMBER('Model_ of_individuals'!Z254), 'Model_ of_individuals'!Z254*'Model_ of_individuals'!$K254,"")</f>
        <v/>
      </c>
      <c r="AA245" s="94" t="str">
        <f>IF(ISNUMBER('Model_ of_individuals'!AA254), 'Model_ of_individuals'!AA254*'Model_ of_individuals'!$K254,"")</f>
        <v/>
      </c>
      <c r="AB245" s="94" t="str">
        <f>IF(ISNUMBER('Model_ of_individuals'!AB254), 'Model_ of_individuals'!AB254*'Model_ of_individuals'!$K254,"")</f>
        <v/>
      </c>
      <c r="AC245" s="94" t="str">
        <f>IF(ISNUMBER('Model_ of_individuals'!AC254), 'Model_ of_individuals'!AC254*'Model_ of_individuals'!$K254,"")</f>
        <v/>
      </c>
      <c r="AD245" s="94" t="str">
        <f>IF(ISNUMBER('Model_ of_individuals'!AD254), 'Model_ of_individuals'!AD254*'Model_ of_individuals'!$K254,"")</f>
        <v/>
      </c>
      <c r="AE245" s="94" t="str">
        <f>IF(ISNUMBER('Model_ of_individuals'!AE254), 'Model_ of_individuals'!AE254*'Model_ of_individuals'!$K254,"")</f>
        <v/>
      </c>
      <c r="AF245" s="94" t="str">
        <f>IF(ISNUMBER('Model_ of_individuals'!AF254), 'Model_ of_individuals'!AF254*'Model_ of_individuals'!$K254,"")</f>
        <v/>
      </c>
      <c r="AG245" s="94" t="str">
        <f>IF(ISNUMBER('Model_ of_individuals'!AG254), 'Model_ of_individuals'!AG254*'Model_ of_individuals'!$K254,"")</f>
        <v/>
      </c>
      <c r="AH245" s="103" t="str">
        <f>IF(ISNUMBER('Model_ of_individuals'!AH254), 'Model_ of_individuals'!AH254*'Model_ of_individuals'!$K254,"")</f>
        <v/>
      </c>
    </row>
    <row r="246" spans="1:35" x14ac:dyDescent="0.25">
      <c r="A246" s="518"/>
      <c r="B246" s="504"/>
      <c r="C246" s="104" t="str">
        <f>IF(AND(ISNUMBER(B228), OR('Cost Inputs'!$H$85&lt;&gt;"", 'Cost Inputs'!$I$85&lt;&gt;"", 'Cost Inputs'!$J$85&lt;&gt;"")), _3_5_1, "")</f>
        <v/>
      </c>
      <c r="D246" s="17" t="str">
        <f>IF(AND(C246&lt;&gt;"", 'Cost Inputs'!$G$85&lt;&gt;""), 'Cost Inputs'!$G$85, "")</f>
        <v/>
      </c>
      <c r="E246" s="17" t="str">
        <f>IF(AND(C246&lt;&gt;"", 'Cost Inputs'!$H$85&lt;&gt;""), 'Cost Inputs'!$H$85, "")</f>
        <v/>
      </c>
      <c r="F246" s="17" t="str">
        <f>IF(AND(C246&lt;&gt;"", 'Cost Inputs'!$I$85&lt;&gt;""), 'Cost Inputs'!$I$85, "")</f>
        <v/>
      </c>
      <c r="G246" s="17" t="str">
        <f t="shared" si="10"/>
        <v/>
      </c>
      <c r="H246" s="17" t="str">
        <f>IF(AND(C246&lt;&gt;"", 'Cost Inputs'!$J$85&lt;&gt;""), 'Cost Inputs'!$J$85, "")</f>
        <v/>
      </c>
      <c r="I246" s="17" t="str">
        <f t="shared" si="13"/>
        <v/>
      </c>
      <c r="J246" s="17" t="str">
        <f>IF(AND(C246&lt;&gt;"",('Cost Inputs'!$I$85+'Cost Inputs'!$J$85+'Cost Inputs'!$K$85)&gt;0), 'Cost Inputs'!$I$85+'Cost Inputs'!$J$85+'Cost Inputs'!$K$85, "")</f>
        <v/>
      </c>
      <c r="K246" s="17" t="str">
        <f>IF(AND(C246&lt;&gt;"", 'Cost Inputs'!$N$85&gt;0),'Cost Inputs'!$N$85,"")</f>
        <v/>
      </c>
      <c r="M246" s="106"/>
      <c r="Y246" s="104" t="str">
        <f>IF(ISNUMBER('Model_ of_individuals'!Y255), 'Model_ of_individuals'!Y255*'Model_ of_individuals'!$K255,"")</f>
        <v/>
      </c>
      <c r="Z246" s="17" t="str">
        <f>IF(ISNUMBER('Model_ of_individuals'!Z255), 'Model_ of_individuals'!Z255*'Model_ of_individuals'!$K255,"")</f>
        <v/>
      </c>
      <c r="AA246" s="17" t="str">
        <f>IF(ISNUMBER('Model_ of_individuals'!AA255), 'Model_ of_individuals'!AA255*'Model_ of_individuals'!$K255,"")</f>
        <v/>
      </c>
      <c r="AB246" s="17" t="str">
        <f>IF(ISNUMBER('Model_ of_individuals'!AB255), 'Model_ of_individuals'!AB255*'Model_ of_individuals'!$K255,"")</f>
        <v/>
      </c>
      <c r="AC246" s="17" t="str">
        <f>IF(ISNUMBER('Model_ of_individuals'!AC255), 'Model_ of_individuals'!AC255*'Model_ of_individuals'!$K255,"")</f>
        <v/>
      </c>
      <c r="AD246" s="17" t="str">
        <f>IF(ISNUMBER('Model_ of_individuals'!AD255), 'Model_ of_individuals'!AD255*'Model_ of_individuals'!$K255,"")</f>
        <v/>
      </c>
      <c r="AE246" s="17" t="str">
        <f>IF(ISNUMBER('Model_ of_individuals'!AE255), 'Model_ of_individuals'!AE255*'Model_ of_individuals'!$K255,"")</f>
        <v/>
      </c>
      <c r="AF246" s="17" t="str">
        <f>IF(ISNUMBER('Model_ of_individuals'!AF255), 'Model_ of_individuals'!AF255*'Model_ of_individuals'!$K255,"")</f>
        <v/>
      </c>
      <c r="AG246" s="17" t="str">
        <f>IF(ISNUMBER('Model_ of_individuals'!AG255), 'Model_ of_individuals'!AG255*'Model_ of_individuals'!$K255,"")</f>
        <v/>
      </c>
      <c r="AH246" s="106" t="str">
        <f>IF(ISNUMBER('Model_ of_individuals'!AH255), 'Model_ of_individuals'!AH255*'Model_ of_individuals'!$K255,"")</f>
        <v/>
      </c>
    </row>
    <row r="247" spans="1:35" ht="15.75" thickBot="1" x14ac:dyDescent="0.3">
      <c r="A247" s="518"/>
      <c r="B247" s="505"/>
      <c r="C247" s="111" t="str">
        <f>IF(AND(ISNUMBER(B228), OR('Cost Inputs'!$H$86&lt;&gt;"", 'Cost Inputs'!$I$86&lt;&gt;"", 'Cost Inputs'!$J$86&lt;&gt;"")), _3_5_2, "")</f>
        <v/>
      </c>
      <c r="D247" s="95" t="str">
        <f>IF(AND(C247&lt;&gt;"", 'Cost Inputs'!$G$86&lt;&gt;""), 'Cost Inputs'!$G$86, "")</f>
        <v/>
      </c>
      <c r="E247" s="95" t="str">
        <f>IF(AND(C247&lt;&gt;"", 'Cost Inputs'!$H$86&lt;&gt;""), 'Cost Inputs'!$H$86, "")</f>
        <v/>
      </c>
      <c r="F247" s="95" t="str">
        <f>IF(AND(C247&lt;&gt;"", 'Cost Inputs'!$I$86&lt;&gt;""), 'Cost Inputs'!$I$86, "")</f>
        <v/>
      </c>
      <c r="G247" s="95" t="str">
        <f t="shared" si="10"/>
        <v/>
      </c>
      <c r="H247" s="95" t="str">
        <f>IF(AND(C247&lt;&gt;"", 'Cost Inputs'!$J$86&lt;&gt;""), 'Cost Inputs'!$J$86, "")</f>
        <v/>
      </c>
      <c r="I247" s="95" t="str">
        <f t="shared" si="13"/>
        <v/>
      </c>
      <c r="J247" s="95" t="str">
        <f>IF(AND(C247&lt;&gt;"",('Cost Inputs'!$I$86+'Cost Inputs'!$J$86+'Cost Inputs'!$K$86)&gt;0), 'Cost Inputs'!$I$86+'Cost Inputs'!$J$86+'Cost Inputs'!$K$86, "")</f>
        <v/>
      </c>
      <c r="K247" s="95" t="str">
        <f>IF(AND(C247&lt;&gt;"", 'Cost Inputs'!$N$86&gt;0),'Cost Inputs'!$N$86,"")</f>
        <v/>
      </c>
      <c r="L247" s="95"/>
      <c r="M247" s="113"/>
      <c r="Y247" s="111" t="str">
        <f>IF(ISNUMBER('Model_ of_individuals'!Y256), 'Model_ of_individuals'!Y256*'Model_ of_individuals'!$K256,"")</f>
        <v/>
      </c>
      <c r="Z247" s="95" t="str">
        <f>IF(ISNUMBER('Model_ of_individuals'!Z256), 'Model_ of_individuals'!Z256*'Model_ of_individuals'!$K256,"")</f>
        <v/>
      </c>
      <c r="AA247" s="95" t="str">
        <f>IF(ISNUMBER('Model_ of_individuals'!AA256), 'Model_ of_individuals'!AA256*'Model_ of_individuals'!$K256,"")</f>
        <v/>
      </c>
      <c r="AB247" s="95" t="str">
        <f>IF(ISNUMBER('Model_ of_individuals'!AB256), 'Model_ of_individuals'!AB256*'Model_ of_individuals'!$K256,"")</f>
        <v/>
      </c>
      <c r="AC247" s="95" t="str">
        <f>IF(ISNUMBER('Model_ of_individuals'!AC256), 'Model_ of_individuals'!AC256*'Model_ of_individuals'!$K256,"")</f>
        <v/>
      </c>
      <c r="AD247" s="95" t="str">
        <f>IF(ISNUMBER('Model_ of_individuals'!AD256), 'Model_ of_individuals'!AD256*'Model_ of_individuals'!$K256,"")</f>
        <v/>
      </c>
      <c r="AE247" s="95" t="str">
        <f>IF(ISNUMBER('Model_ of_individuals'!AE256), 'Model_ of_individuals'!AE256*'Model_ of_individuals'!$K256,"")</f>
        <v/>
      </c>
      <c r="AF247" s="95" t="str">
        <f>IF(ISNUMBER('Model_ of_individuals'!AF256), 'Model_ of_individuals'!AF256*'Model_ of_individuals'!$K256,"")</f>
        <v/>
      </c>
      <c r="AG247" s="95" t="str">
        <f>IF(ISNUMBER('Model_ of_individuals'!AG256), 'Model_ of_individuals'!AG256*'Model_ of_individuals'!$K256,"")</f>
        <v/>
      </c>
      <c r="AH247" s="113" t="str">
        <f>IF(ISNUMBER('Model_ of_individuals'!AH256), 'Model_ of_individuals'!AH256*'Model_ of_individuals'!$K256,"")</f>
        <v/>
      </c>
    </row>
    <row r="248" spans="1:35" ht="14.45" customHeight="1" x14ac:dyDescent="0.25">
      <c r="A248" s="518" t="str">
        <f>Third_Stage</f>
        <v>Stage 1 Seedling Test Plots</v>
      </c>
      <c r="B248" s="503" t="str">
        <f>'Breeding Inputs'!B86</f>
        <v/>
      </c>
      <c r="C248" s="116" t="str">
        <f>IF(ISNUMBER(B248), _3_2_0, "")</f>
        <v/>
      </c>
      <c r="D248" s="92" t="str">
        <f>IF(AND(B248&lt;&gt;"", OR('Cost Inputs'!$H$67&lt;&gt;"", 'Cost Inputs'!$I$67&lt;&gt;"", 'Cost Inputs'!$J$67&lt;&gt;"")), 'Cost Inputs'!$G$67,"")</f>
        <v/>
      </c>
      <c r="E248" s="92" t="str">
        <f>IF(AND(C248&lt;&gt;"", 'Cost Inputs'!$H$67&lt;&gt;"", M$245&lt;&gt;"", M$245&gt;0), $E228-('Cost Inputs'!$H$67*M$245), IF(AND(C248&lt;&gt;"", 'Cost Inputs'!$H$67&lt;&gt;""), $E228, ""))</f>
        <v/>
      </c>
      <c r="F248" s="92" t="str">
        <f>IF(AND(C248&lt;&gt;"", 'Cost Inputs'!$I$67&lt;&gt;""), 'Cost Inputs'!$I$67, "")</f>
        <v/>
      </c>
      <c r="G248" s="92" t="str">
        <f t="shared" si="10"/>
        <v/>
      </c>
      <c r="H248" s="92" t="str">
        <f>IF(AND(C248&lt;&gt;"", 'Cost Inputs'!$J$67&lt;&gt;""), 'Cost Inputs'!$J$67, "")</f>
        <v/>
      </c>
      <c r="I248" s="92" t="str">
        <f>IF(AND($E248&lt;&gt;"", $H248&lt;&gt;""), $H248/$E248, "")</f>
        <v/>
      </c>
      <c r="J248" s="92" t="str">
        <f>IF(AND(C248&lt;&gt;"",('Cost Inputs'!$I$67+'Cost Inputs'!$J$67+'Cost Inputs'!$K$67)&gt;0), 'Cost Inputs'!$I$67+'Cost Inputs'!$J$67+'Cost Inputs'!$K$67, "")</f>
        <v/>
      </c>
      <c r="K248" s="92" t="str">
        <f>IF(AND(C248&lt;&gt;"", 'Cost Inputs'!$N$67&gt;0),'Cost Inputs'!$N$67,"")</f>
        <v/>
      </c>
      <c r="L248" s="92"/>
      <c r="M248" s="101"/>
      <c r="Z248" s="110" t="str">
        <f>IF(ISNUMBER('Model_ of_individuals'!Z257), 'Model_ of_individuals'!Z257*'Model_ of_individuals'!$K257,"")</f>
        <v/>
      </c>
      <c r="AA248" s="94" t="str">
        <f>IF(ISNUMBER('Model_ of_individuals'!AA257), 'Model_ of_individuals'!AA257*'Model_ of_individuals'!$K257,"")</f>
        <v/>
      </c>
      <c r="AB248" s="94" t="str">
        <f>IF(ISNUMBER('Model_ of_individuals'!AB257), 'Model_ of_individuals'!AB257*'Model_ of_individuals'!$K257,"")</f>
        <v/>
      </c>
      <c r="AC248" s="94" t="str">
        <f>IF(ISNUMBER('Model_ of_individuals'!AC257), 'Model_ of_individuals'!AC257*'Model_ of_individuals'!$K257,"")</f>
        <v/>
      </c>
      <c r="AD248" s="94" t="str">
        <f>IF(ISNUMBER('Model_ of_individuals'!AD257), 'Model_ of_individuals'!AD257*'Model_ of_individuals'!$K257,"")</f>
        <v/>
      </c>
      <c r="AE248" s="94" t="str">
        <f>IF(ISNUMBER('Model_ of_individuals'!AE257), 'Model_ of_individuals'!AE257*'Model_ of_individuals'!$K257,"")</f>
        <v/>
      </c>
      <c r="AF248" s="94" t="str">
        <f>IF(ISNUMBER('Model_ of_individuals'!AF257), 'Model_ of_individuals'!AF257*'Model_ of_individuals'!$K257,"")</f>
        <v/>
      </c>
      <c r="AG248" s="94" t="str">
        <f>IF(ISNUMBER('Model_ of_individuals'!AG257), 'Model_ of_individuals'!AG257*'Model_ of_individuals'!$K257,"")</f>
        <v/>
      </c>
      <c r="AH248" s="94" t="str">
        <f>IF(ISNUMBER('Model_ of_individuals'!AH257), 'Model_ of_individuals'!AH257*'Model_ of_individuals'!$K257,"")</f>
        <v/>
      </c>
      <c r="AI248" s="103" t="str">
        <f>IF(ISNUMBER('Model_ of_individuals'!AI257), 'Model_ of_individuals'!AI257*'Model_ of_individuals'!$K257,"")</f>
        <v/>
      </c>
    </row>
    <row r="249" spans="1:35" x14ac:dyDescent="0.25">
      <c r="A249" s="518"/>
      <c r="B249" s="504"/>
      <c r="C249" s="104" t="str">
        <f>IF(AND(ISNUMBER(B248), OR('Cost Inputs'!$H$68&lt;&gt;"", 'Cost Inputs'!$I$68&lt;&gt;"", 'Cost Inputs'!$J$68&lt;&gt;"")), _3_2_1, "")</f>
        <v/>
      </c>
      <c r="D249" s="17" t="str">
        <f>IF(AND($C249&lt;&gt;"", 'Cost Inputs'!$G$68&lt;&gt;""), 'Cost Inputs'!$G$68, "")</f>
        <v/>
      </c>
      <c r="E249" s="17" t="str">
        <f>IF(AND(C249&lt;&gt;"", 'Cost Inputs'!$H$68&lt;&gt;"", M$245&lt;&gt;"", M$245&gt;0), $E229-('Cost Inputs'!$H$68*M$245), IF(AND(C249&lt;&gt;"", 'Cost Inputs'!$H$68&lt;&gt;""), $E229, ""))</f>
        <v/>
      </c>
      <c r="F249" s="17" t="str">
        <f>IF(AND(C249&lt;&gt;"", 'Cost Inputs'!$I$68&lt;&gt;""), 'Cost Inputs'!$I$68, "")</f>
        <v/>
      </c>
      <c r="G249" s="17" t="str">
        <f t="shared" si="10"/>
        <v/>
      </c>
      <c r="H249" s="17" t="str">
        <f>IF(AND(C249&lt;&gt;"", 'Cost Inputs'!$J$68&lt;&gt;""), 'Cost Inputs'!$J$68, "")</f>
        <v/>
      </c>
      <c r="I249" s="17" t="str">
        <f t="shared" ref="I249:I252" si="14">IF(AND($E249&lt;&gt;"", $H249&lt;&gt;""), $H249/$E249, "")</f>
        <v/>
      </c>
      <c r="J249" s="17" t="str">
        <f>IF(AND(C249&lt;&gt;"",('Cost Inputs'!$I$68+'Cost Inputs'!$J$68+'Cost Inputs'!$K$68)&gt;0), 'Cost Inputs'!$I$68+'Cost Inputs'!$J$68+'Cost Inputs'!$K$68, "")</f>
        <v/>
      </c>
      <c r="K249" s="17" t="str">
        <f>IF(AND(C249&lt;&gt;"", 'Cost Inputs'!$N$68&gt;0),'Cost Inputs'!$N$68,"")</f>
        <v/>
      </c>
      <c r="M249" s="106"/>
      <c r="Z249" s="104" t="str">
        <f>IF(ISNUMBER('Model_ of_individuals'!Z258), 'Model_ of_individuals'!Z258*'Model_ of_individuals'!$K258,"")</f>
        <v/>
      </c>
      <c r="AA249" s="17" t="str">
        <f>IF(ISNUMBER('Model_ of_individuals'!AA258), 'Model_ of_individuals'!AA258*'Model_ of_individuals'!$K258,"")</f>
        <v/>
      </c>
      <c r="AB249" s="17" t="str">
        <f>IF(ISNUMBER('Model_ of_individuals'!AB258), 'Model_ of_individuals'!AB258*'Model_ of_individuals'!$K258,"")</f>
        <v/>
      </c>
      <c r="AC249" s="17" t="str">
        <f>IF(ISNUMBER('Model_ of_individuals'!AC258), 'Model_ of_individuals'!AC258*'Model_ of_individuals'!$K258,"")</f>
        <v/>
      </c>
      <c r="AD249" s="17" t="str">
        <f>IF(ISNUMBER('Model_ of_individuals'!AD258), 'Model_ of_individuals'!AD258*'Model_ of_individuals'!$K258,"")</f>
        <v/>
      </c>
      <c r="AE249" s="17" t="str">
        <f>IF(ISNUMBER('Model_ of_individuals'!AE258), 'Model_ of_individuals'!AE258*'Model_ of_individuals'!$K258,"")</f>
        <v/>
      </c>
      <c r="AF249" s="17" t="str">
        <f>IF(ISNUMBER('Model_ of_individuals'!AF258), 'Model_ of_individuals'!AF258*'Model_ of_individuals'!$K258,"")</f>
        <v/>
      </c>
      <c r="AG249" s="17" t="str">
        <f>IF(ISNUMBER('Model_ of_individuals'!AG258), 'Model_ of_individuals'!AG258*'Model_ of_individuals'!$K258,"")</f>
        <v/>
      </c>
      <c r="AH249" s="17" t="str">
        <f>IF(ISNUMBER('Model_ of_individuals'!AH258), 'Model_ of_individuals'!AH258*'Model_ of_individuals'!$K258,"")</f>
        <v/>
      </c>
      <c r="AI249" s="106" t="str">
        <f>IF(ISNUMBER('Model_ of_individuals'!AI258), 'Model_ of_individuals'!AI258*'Model_ of_individuals'!$K258,"")</f>
        <v/>
      </c>
    </row>
    <row r="250" spans="1:35" x14ac:dyDescent="0.25">
      <c r="A250" s="518"/>
      <c r="B250" s="504"/>
      <c r="C250" s="107" t="str">
        <f>IF(AND(ISNUMBER(B248), OR('Cost Inputs'!$H$69&lt;&gt;"", 'Cost Inputs'!$I$69&lt;&gt;"", 'Cost Inputs'!$J$69&lt;&gt;"")), _3_2_2, "")</f>
        <v/>
      </c>
      <c r="D250" s="93" t="str">
        <f>IF(AND($C250&lt;&gt;"", 'Cost Inputs'!$G$69&lt;&gt;""), 'Cost Inputs'!$G$69, "")</f>
        <v/>
      </c>
      <c r="E250" s="93" t="str">
        <f>IF(AND(C250&lt;&gt;"", 'Cost Inputs'!$H$69&lt;&gt;"", M$245&lt;&gt;"", M$245&gt;0), $E230-('Cost Inputs'!$H$69*M$245), IF(AND(C250&lt;&gt;"", 'Cost Inputs'!$H$69&lt;&gt;""), $E230, ""))</f>
        <v/>
      </c>
      <c r="F250" s="93" t="str">
        <f>IF(AND(C250&lt;&gt;"", 'Cost Inputs'!$I$69&lt;&gt;""), 'Cost Inputs'!$I$69, "")</f>
        <v/>
      </c>
      <c r="G250" s="93" t="str">
        <f t="shared" si="10"/>
        <v/>
      </c>
      <c r="H250" s="93" t="str">
        <f>IF(AND(C250&lt;&gt;"", 'Cost Inputs'!$J$69&lt;&gt;""), 'Cost Inputs'!$J$69, "")</f>
        <v/>
      </c>
      <c r="I250" s="93" t="str">
        <f t="shared" si="14"/>
        <v/>
      </c>
      <c r="J250" s="93" t="str">
        <f>IF(AND(C250&lt;&gt;"",('Cost Inputs'!$I$69+'Cost Inputs'!$J$69+'Cost Inputs'!$K$69)&gt;0), 'Cost Inputs'!$I$69+'Cost Inputs'!$J$69+'Cost Inputs'!$K$69, "")</f>
        <v/>
      </c>
      <c r="K250" s="93" t="str">
        <f>IF(AND(C250&lt;&gt;"", 'Cost Inputs'!$N$69&gt;0),'Cost Inputs'!$N$69,"")</f>
        <v/>
      </c>
      <c r="L250" s="93"/>
      <c r="M250" s="109"/>
      <c r="Z250" s="107" t="str">
        <f>IF(ISNUMBER('Model_ of_individuals'!Z259), 'Model_ of_individuals'!Z259*'Model_ of_individuals'!$K259,"")</f>
        <v/>
      </c>
      <c r="AA250" s="93" t="str">
        <f>IF(ISNUMBER('Model_ of_individuals'!AA259), 'Model_ of_individuals'!AA259*'Model_ of_individuals'!$K259,"")</f>
        <v/>
      </c>
      <c r="AB250" s="93" t="str">
        <f>IF(ISNUMBER('Model_ of_individuals'!AB259), 'Model_ of_individuals'!AB259*'Model_ of_individuals'!$K259,"")</f>
        <v/>
      </c>
      <c r="AC250" s="93" t="str">
        <f>IF(ISNUMBER('Model_ of_individuals'!AC259), 'Model_ of_individuals'!AC259*'Model_ of_individuals'!$K259,"")</f>
        <v/>
      </c>
      <c r="AD250" s="93" t="str">
        <f>IF(ISNUMBER('Model_ of_individuals'!AD259), 'Model_ of_individuals'!AD259*'Model_ of_individuals'!$K259,"")</f>
        <v/>
      </c>
      <c r="AE250" s="93" t="str">
        <f>IF(ISNUMBER('Model_ of_individuals'!AE259), 'Model_ of_individuals'!AE259*'Model_ of_individuals'!$K259,"")</f>
        <v/>
      </c>
      <c r="AF250" s="93" t="str">
        <f>IF(ISNUMBER('Model_ of_individuals'!AF259), 'Model_ of_individuals'!AF259*'Model_ of_individuals'!$K259,"")</f>
        <v/>
      </c>
      <c r="AG250" s="93" t="str">
        <f>IF(ISNUMBER('Model_ of_individuals'!AG259), 'Model_ of_individuals'!AG259*'Model_ of_individuals'!$K259,"")</f>
        <v/>
      </c>
      <c r="AH250" s="93" t="str">
        <f>IF(ISNUMBER('Model_ of_individuals'!AH259), 'Model_ of_individuals'!AH259*'Model_ of_individuals'!$K259,"")</f>
        <v/>
      </c>
      <c r="AI250" s="109" t="str">
        <f>IF(ISNUMBER('Model_ of_individuals'!AI259), 'Model_ of_individuals'!AI259*'Model_ of_individuals'!$K259,"")</f>
        <v/>
      </c>
    </row>
    <row r="251" spans="1:35" x14ac:dyDescent="0.25">
      <c r="A251" s="518"/>
      <c r="B251" s="504"/>
      <c r="C251" s="104" t="str">
        <f>IF(AND( ISNUMBER(B248), OR('Cost Inputs'!$H$70&lt;&gt;"", 'Cost Inputs'!$I$70&lt;&gt;"", 'Cost Inputs'!$J$70&lt;&gt;"")), _3_2_3, "")</f>
        <v/>
      </c>
      <c r="D251" s="17" t="str">
        <f>IF(AND($C251&lt;&gt;"", 'Cost Inputs'!$G$70&lt;&gt;""), 'Cost Inputs'!$G$70, "")</f>
        <v/>
      </c>
      <c r="E251" s="17" t="str">
        <f>IF(AND(C251&lt;&gt;"", 'Cost Inputs'!$H$70&lt;&gt;"", M$245&lt;&gt;"", M$245&gt;0), $E231-('Cost Inputs'!$H$70*M$245), IF(AND(C251&lt;&gt;"", 'Cost Inputs'!$H$70&lt;&gt;""), $E231, ""))</f>
        <v/>
      </c>
      <c r="F251" s="17" t="str">
        <f>IF(AND(C251&lt;&gt;"", 'Cost Inputs'!$I$70&lt;&gt;""), 'Cost Inputs'!$I$70, "")</f>
        <v/>
      </c>
      <c r="G251" s="17" t="str">
        <f t="shared" si="10"/>
        <v/>
      </c>
      <c r="H251" s="17" t="str">
        <f>IF(AND(C251&lt;&gt;"", 'Cost Inputs'!$J$70&lt;&gt;""), 'Cost Inputs'!$J$70, "")</f>
        <v/>
      </c>
      <c r="I251" s="17" t="str">
        <f t="shared" si="14"/>
        <v/>
      </c>
      <c r="J251" s="17" t="str">
        <f>IF(AND(C251&lt;&gt;"",('Cost Inputs'!$I$70+'Cost Inputs'!$J$70+'Cost Inputs'!$K$70)&gt;0), 'Cost Inputs'!$I$70+'Cost Inputs'!$J$70+'Cost Inputs'!$K$70, "")</f>
        <v/>
      </c>
      <c r="K251" s="17" t="str">
        <f>IF(AND(C251&lt;&gt;"", 'Cost Inputs'!$N$70&gt;0),'Cost Inputs'!$N$70,"")</f>
        <v/>
      </c>
      <c r="M251" s="106"/>
      <c r="Z251" s="104" t="str">
        <f>IF(ISNUMBER('Model_ of_individuals'!Z260), 'Model_ of_individuals'!Z260*'Model_ of_individuals'!$K260,"")</f>
        <v/>
      </c>
      <c r="AA251" s="17" t="str">
        <f>IF(ISNUMBER('Model_ of_individuals'!AA260), 'Model_ of_individuals'!AA260*'Model_ of_individuals'!$K260,"")</f>
        <v/>
      </c>
      <c r="AB251" s="17" t="str">
        <f>IF(ISNUMBER('Model_ of_individuals'!AB260), 'Model_ of_individuals'!AB260*'Model_ of_individuals'!$K260,"")</f>
        <v/>
      </c>
      <c r="AC251" s="17" t="str">
        <f>IF(ISNUMBER('Model_ of_individuals'!AC260), 'Model_ of_individuals'!AC260*'Model_ of_individuals'!$K260,"")</f>
        <v/>
      </c>
      <c r="AD251" s="17" t="str">
        <f>IF(ISNUMBER('Model_ of_individuals'!AD260), 'Model_ of_individuals'!AD260*'Model_ of_individuals'!$K260,"")</f>
        <v/>
      </c>
      <c r="AE251" s="17" t="str">
        <f>IF(ISNUMBER('Model_ of_individuals'!AE260), 'Model_ of_individuals'!AE260*'Model_ of_individuals'!$K260,"")</f>
        <v/>
      </c>
      <c r="AF251" s="17" t="str">
        <f>IF(ISNUMBER('Model_ of_individuals'!AF260), 'Model_ of_individuals'!AF260*'Model_ of_individuals'!$K260,"")</f>
        <v/>
      </c>
      <c r="AG251" s="17" t="str">
        <f>IF(ISNUMBER('Model_ of_individuals'!AG260), 'Model_ of_individuals'!AG260*'Model_ of_individuals'!$K260,"")</f>
        <v/>
      </c>
      <c r="AH251" s="17" t="str">
        <f>IF(ISNUMBER('Model_ of_individuals'!AH260), 'Model_ of_individuals'!AH260*'Model_ of_individuals'!$K260,"")</f>
        <v/>
      </c>
      <c r="AI251" s="106" t="str">
        <f>IF(ISNUMBER('Model_ of_individuals'!AI260), 'Model_ of_individuals'!AI260*'Model_ of_individuals'!$K260,"")</f>
        <v/>
      </c>
    </row>
    <row r="252" spans="1:35" x14ac:dyDescent="0.25">
      <c r="A252" s="518"/>
      <c r="B252" s="504"/>
      <c r="C252" s="107" t="str">
        <f>IF(AND( ISNUMBER(B248), OR('Cost Inputs'!$H$71&lt;&gt;"", 'Cost Inputs'!$I$71&lt;&gt;"", 'Cost Inputs'!$J$71&lt;&gt;"")), _3_2_4, "")</f>
        <v/>
      </c>
      <c r="D252" s="93" t="str">
        <f>IF(AND($C252&lt;&gt;"", 'Cost Inputs'!$G$71&lt;&gt;""), 'Cost Inputs'!$G$71, "")</f>
        <v/>
      </c>
      <c r="E252" s="93" t="str">
        <f>IF(AND(C252&lt;&gt;"", 'Cost Inputs'!$H$71&lt;&gt;"", M$245&lt;&gt;"", M$245&gt;0), $E232-('Cost Inputs'!$H$71*M$245), IF(AND(C252&lt;&gt;"", 'Cost Inputs'!$H$71&lt;&gt;""), $E232, ""))</f>
        <v/>
      </c>
      <c r="F252" s="93" t="str">
        <f>IF(AND(C252&lt;&gt;"", 'Cost Inputs'!$I$71&lt;&gt;""), 'Cost Inputs'!$I$71, "")</f>
        <v/>
      </c>
      <c r="G252" s="93" t="str">
        <f t="shared" si="10"/>
        <v/>
      </c>
      <c r="H252" s="93" t="str">
        <f>IF(AND(C252&lt;&gt;"", 'Cost Inputs'!$J$71&lt;&gt;""), 'Cost Inputs'!$J$71, "")</f>
        <v/>
      </c>
      <c r="I252" s="93" t="str">
        <f t="shared" si="14"/>
        <v/>
      </c>
      <c r="J252" s="93" t="str">
        <f>IF(AND(C252&lt;&gt;"",('Cost Inputs'!$I$71+'Cost Inputs'!$J$71+'Cost Inputs'!$K$71)&gt;0), 'Cost Inputs'!$I$71+'Cost Inputs'!$J$71+'Cost Inputs'!$K$71, "")</f>
        <v/>
      </c>
      <c r="K252" s="93" t="str">
        <f>IF(AND(C252&lt;&gt;"", 'Cost Inputs'!$N$71&gt;0),'Cost Inputs'!$N$71,"")</f>
        <v/>
      </c>
      <c r="L252" s="93"/>
      <c r="M252" s="109"/>
      <c r="Z252" s="107" t="str">
        <f>IF(ISNUMBER('Model_ of_individuals'!Z261), 'Model_ of_individuals'!Z261*'Model_ of_individuals'!$K261,"")</f>
        <v/>
      </c>
      <c r="AA252" s="93" t="str">
        <f>IF(ISNUMBER('Model_ of_individuals'!AA261), 'Model_ of_individuals'!AA261*'Model_ of_individuals'!$K261,"")</f>
        <v/>
      </c>
      <c r="AB252" s="93" t="str">
        <f>IF(ISNUMBER('Model_ of_individuals'!AB261), 'Model_ of_individuals'!AB261*'Model_ of_individuals'!$K261,"")</f>
        <v/>
      </c>
      <c r="AC252" s="93" t="str">
        <f>IF(ISNUMBER('Model_ of_individuals'!AC261), 'Model_ of_individuals'!AC261*'Model_ of_individuals'!$K261,"")</f>
        <v/>
      </c>
      <c r="AD252" s="93" t="str">
        <f>IF(ISNUMBER('Model_ of_individuals'!AD261), 'Model_ of_individuals'!AD261*'Model_ of_individuals'!$K261,"")</f>
        <v/>
      </c>
      <c r="AE252" s="93" t="str">
        <f>IF(ISNUMBER('Model_ of_individuals'!AE261), 'Model_ of_individuals'!AE261*'Model_ of_individuals'!$K261,"")</f>
        <v/>
      </c>
      <c r="AF252" s="93" t="str">
        <f>IF(ISNUMBER('Model_ of_individuals'!AF261), 'Model_ of_individuals'!AF261*'Model_ of_individuals'!$K261,"")</f>
        <v/>
      </c>
      <c r="AG252" s="93" t="str">
        <f>IF(ISNUMBER('Model_ of_individuals'!AG261), 'Model_ of_individuals'!AG261*'Model_ of_individuals'!$K261,"")</f>
        <v/>
      </c>
      <c r="AH252" s="93" t="str">
        <f>IF(ISNUMBER('Model_ of_individuals'!AH261), 'Model_ of_individuals'!AH261*'Model_ of_individuals'!$K261,"")</f>
        <v/>
      </c>
      <c r="AI252" s="109" t="str">
        <f>IF(ISNUMBER('Model_ of_individuals'!AI261), 'Model_ of_individuals'!AI261*'Model_ of_individuals'!$K261,"")</f>
        <v/>
      </c>
    </row>
    <row r="253" spans="1:35" x14ac:dyDescent="0.25">
      <c r="A253" s="518"/>
      <c r="B253" s="504"/>
      <c r="C253" s="110" t="str">
        <f>IF(AND(B248&lt;&gt;"", ISNUMBER(Stage1EvaluationBegins)), IF((INDEX(ProgramYearStage1,MATCH(Stage1EvaluationBegins,Years_in_Stage1,0)))=B248, _3_3_0, IF(AND(B248&lt;&gt;"", C233&lt;&gt;""), _3_3_0, IF(AND(B248&lt;&gt;"", OR(Stage1EvaluationBegins=0, Stage1EvaluationBegins="")),"", ""))),"")</f>
        <v/>
      </c>
      <c r="D253" s="94" t="str">
        <f>IF(AND(B248&lt;&gt;"", OR('Cost Inputs'!$H$72&lt;&gt;"", 'Cost Inputs'!$I$72&lt;&gt;"", 'Cost Inputs'!$J$72&lt;&gt;"")), 'Cost Inputs'!$G$72,"")</f>
        <v/>
      </c>
      <c r="E253" s="94" t="str">
        <f>IF(AND(C253&lt;&gt;"", 'Cost Inputs'!$H$72&lt;&gt;""), 'Cost Inputs'!$H$72, "")</f>
        <v/>
      </c>
      <c r="F253" s="94" t="str">
        <f>IF(AND(C253&lt;&gt;"", 'Cost Inputs'!$I$72&lt;&gt;""), 'Cost Inputs'!$I$72, "")</f>
        <v/>
      </c>
      <c r="G253" s="94" t="str">
        <f t="shared" si="10"/>
        <v/>
      </c>
      <c r="H253" s="94" t="str">
        <f>IF(AND(C253&lt;&gt;"", 'Cost Inputs'!$J$72&lt;&gt;""), 'Cost Inputs'!$J$72, "")</f>
        <v/>
      </c>
      <c r="I253" s="94" t="str">
        <f>IF(AND($E253&lt;&gt;"", $H253&lt;&gt;""), $H253/$E253, "")</f>
        <v/>
      </c>
      <c r="J253" s="94" t="str">
        <f>IF(AND(C253&lt;&gt;"",('Cost Inputs'!$I$72+'Cost Inputs'!$J$72+'Cost Inputs'!$K$72)&gt;0), 'Cost Inputs'!$I$72+'Cost Inputs'!$J$72+'Cost Inputs'!$K$72, "")</f>
        <v/>
      </c>
      <c r="K253" s="94" t="str">
        <f>IF(AND(C253&lt;&gt;"", 'Cost Inputs'!$N$72&gt;0),'Cost Inputs'!$N$72,"")</f>
        <v/>
      </c>
      <c r="L253" s="130" t="str">
        <f>IF(AND($B248&lt;&gt;"", ISNUMBER(Stage1EvaluationBegins)), IF((INDEX(ProgramYearStage1,MATCH(Stage1EvaluationBegins,Years_in_Stage1,0)))=$B248, INDEX(Stage1Evaluation,MATCH(Stage1EvaluationBegins,Years_in_Stage1,0)), IF(AND($B248&lt;&gt;"", $C233&lt;&gt;""), INDEX(Stage1Evaluation,MATCH($B248,ProgramYearStage1,0)), IF(AND(B248&lt;&gt;"", OR(Stage1EvaluationBegins=0, Stage1EvaluationBegins="")),"", ""))),"")</f>
        <v/>
      </c>
      <c r="M253" s="103"/>
      <c r="Z253" s="110" t="str">
        <f>IF(ISNUMBER('Model_ of_individuals'!Z262), 'Model_ of_individuals'!Z262*'Model_ of_individuals'!$K262,"")</f>
        <v/>
      </c>
      <c r="AA253" s="94" t="str">
        <f>IF(ISNUMBER('Model_ of_individuals'!AA262), 'Model_ of_individuals'!AA262*'Model_ of_individuals'!$K262,"")</f>
        <v/>
      </c>
      <c r="AB253" s="94" t="str">
        <f>IF(ISNUMBER('Model_ of_individuals'!AB262), 'Model_ of_individuals'!AB262*'Model_ of_individuals'!$K262,"")</f>
        <v/>
      </c>
      <c r="AC253" s="94" t="str">
        <f>IF(ISNUMBER('Model_ of_individuals'!AC262), 'Model_ of_individuals'!AC262*'Model_ of_individuals'!$K262,"")</f>
        <v/>
      </c>
      <c r="AD253" s="94" t="str">
        <f>IF(ISNUMBER('Model_ of_individuals'!AD262), 'Model_ of_individuals'!AD262*'Model_ of_individuals'!$K262,"")</f>
        <v/>
      </c>
      <c r="AE253" s="94" t="str">
        <f>IF(ISNUMBER('Model_ of_individuals'!AE262), 'Model_ of_individuals'!AE262*'Model_ of_individuals'!$K262,"")</f>
        <v/>
      </c>
      <c r="AF253" s="94" t="str">
        <f>IF(ISNUMBER('Model_ of_individuals'!AF262), 'Model_ of_individuals'!AF262*'Model_ of_individuals'!$K262,"")</f>
        <v/>
      </c>
      <c r="AG253" s="94" t="str">
        <f>IF(ISNUMBER('Model_ of_individuals'!AG262), 'Model_ of_individuals'!AG262*'Model_ of_individuals'!$K262,"")</f>
        <v/>
      </c>
      <c r="AH253" s="94" t="str">
        <f>IF(ISNUMBER('Model_ of_individuals'!AH262), 'Model_ of_individuals'!AH262*'Model_ of_individuals'!$K262,"")</f>
        <v/>
      </c>
      <c r="AI253" s="103" t="str">
        <f>IF(ISNUMBER('Model_ of_individuals'!AI262), 'Model_ of_individuals'!AI262*'Model_ of_individuals'!$K262,"")</f>
        <v/>
      </c>
    </row>
    <row r="254" spans="1:35" x14ac:dyDescent="0.25">
      <c r="A254" s="518"/>
      <c r="B254" s="504"/>
      <c r="C254" s="104" t="str">
        <f>IF(AND(ISNUMBER(B248), C253&lt;&gt;"", OR('Cost Inputs'!$H$73&lt;&gt;"", 'Cost Inputs'!$I$73&lt;&gt;"", 'Cost Inputs'!$J$73&lt;&gt;"")), _3_3_1, "")</f>
        <v/>
      </c>
      <c r="D254" s="17" t="str">
        <f>IF(AND(C254&lt;&gt;"", 'Cost Inputs'!$G$73&lt;&gt;""), 'Cost Inputs'!$G$73, "")</f>
        <v/>
      </c>
      <c r="E254" s="17" t="str">
        <f>IF(AND(C254&lt;&gt;"", 'Cost Inputs'!$H$73&lt;&gt;""), 'Cost Inputs'!$H$73, "")</f>
        <v/>
      </c>
      <c r="F254" s="17" t="str">
        <f>IF(AND(C254&lt;&gt;"", 'Cost Inputs'!$I$73&lt;&gt;""), 'Cost Inputs'!$I$73, "")</f>
        <v/>
      </c>
      <c r="G254" s="17" t="str">
        <f t="shared" si="10"/>
        <v/>
      </c>
      <c r="H254" s="17" t="str">
        <f>IF(AND(C254&lt;&gt;"", 'Cost Inputs'!$J$73&lt;&gt;""), 'Cost Inputs'!$J$73, "")</f>
        <v/>
      </c>
      <c r="I254" s="17" t="str">
        <f t="shared" ref="I254:I267" si="15">IF(AND($E254&lt;&gt;"", $H254&lt;&gt;""), $H254/$E254, "")</f>
        <v/>
      </c>
      <c r="J254" s="17" t="str">
        <f>IF(AND(C254&lt;&gt;"",('Cost Inputs'!$I$73+'Cost Inputs'!$J$73+'Cost Inputs'!$K$73)&gt;0), 'Cost Inputs'!$I$73+'Cost Inputs'!$J$73+'Cost Inputs'!$K$73, "")</f>
        <v/>
      </c>
      <c r="K254" s="17" t="str">
        <f>IF(AND(C254&lt;&gt;"", 'Cost Inputs'!$N$73&gt;0),'Cost Inputs'!$N$73,"")</f>
        <v/>
      </c>
      <c r="M254" s="106"/>
      <c r="Z254" s="104" t="str">
        <f>IF(ISNUMBER('Model_ of_individuals'!Z263), 'Model_ of_individuals'!Z263*'Model_ of_individuals'!$K263,"")</f>
        <v/>
      </c>
      <c r="AA254" s="17" t="str">
        <f>IF(ISNUMBER('Model_ of_individuals'!AA263), 'Model_ of_individuals'!AA263*'Model_ of_individuals'!$K263,"")</f>
        <v/>
      </c>
      <c r="AB254" s="17" t="str">
        <f>IF(ISNUMBER('Model_ of_individuals'!AB263), 'Model_ of_individuals'!AB263*'Model_ of_individuals'!$K263,"")</f>
        <v/>
      </c>
      <c r="AC254" s="17" t="str">
        <f>IF(ISNUMBER('Model_ of_individuals'!AC263), 'Model_ of_individuals'!AC263*'Model_ of_individuals'!$K263,"")</f>
        <v/>
      </c>
      <c r="AD254" s="17" t="str">
        <f>IF(ISNUMBER('Model_ of_individuals'!AD263), 'Model_ of_individuals'!AD263*'Model_ of_individuals'!$K263,"")</f>
        <v/>
      </c>
      <c r="AE254" s="17" t="str">
        <f>IF(ISNUMBER('Model_ of_individuals'!AE263), 'Model_ of_individuals'!AE263*'Model_ of_individuals'!$K263,"")</f>
        <v/>
      </c>
      <c r="AF254" s="17" t="str">
        <f>IF(ISNUMBER('Model_ of_individuals'!AF263), 'Model_ of_individuals'!AF263*'Model_ of_individuals'!$K263,"")</f>
        <v/>
      </c>
      <c r="AG254" s="17" t="str">
        <f>IF(ISNUMBER('Model_ of_individuals'!AG263), 'Model_ of_individuals'!AG263*'Model_ of_individuals'!$K263,"")</f>
        <v/>
      </c>
      <c r="AH254" s="17" t="str">
        <f>IF(ISNUMBER('Model_ of_individuals'!AH263), 'Model_ of_individuals'!AH263*'Model_ of_individuals'!$K263,"")</f>
        <v/>
      </c>
      <c r="AI254" s="106" t="str">
        <f>IF(ISNUMBER('Model_ of_individuals'!AI263), 'Model_ of_individuals'!AI263*'Model_ of_individuals'!$K263,"")</f>
        <v/>
      </c>
    </row>
    <row r="255" spans="1:35" x14ac:dyDescent="0.25">
      <c r="A255" s="518"/>
      <c r="B255" s="504"/>
      <c r="C255" s="107" t="str">
        <f>IF(AND(ISNUMBER(B248), C253&lt;&gt;"", OR('Cost Inputs'!$H$74&lt;&gt;"", 'Cost Inputs'!$I$74&lt;&gt;"", 'Cost Inputs'!$J$74&lt;&gt;"")), _3_3_2, "")</f>
        <v/>
      </c>
      <c r="D255" s="93" t="str">
        <f>IF(AND(C255&lt;&gt;"", 'Cost Inputs'!$G$74&lt;&gt;""), 'Cost Inputs'!$G$74, "")</f>
        <v/>
      </c>
      <c r="E255" s="93" t="str">
        <f>IF(AND(C255&lt;&gt;"", 'Cost Inputs'!$H$74&lt;&gt;""), 'Cost Inputs'!$H$74, "")</f>
        <v/>
      </c>
      <c r="F255" s="93" t="str">
        <f>IF(AND(C255&lt;&gt;"", 'Cost Inputs'!$I$74&lt;&gt;""), 'Cost Inputs'!$I$74, "")</f>
        <v/>
      </c>
      <c r="G255" s="93" t="str">
        <f t="shared" si="10"/>
        <v/>
      </c>
      <c r="H255" s="93" t="str">
        <f>IF(AND(C255&lt;&gt;"", 'Cost Inputs'!$J$74&lt;&gt;""), 'Cost Inputs'!$J$74, "")</f>
        <v/>
      </c>
      <c r="I255" s="93" t="str">
        <f t="shared" si="15"/>
        <v/>
      </c>
      <c r="J255" s="93" t="str">
        <f>IF(AND(C255&lt;&gt;"",('Cost Inputs'!$I$74+'Cost Inputs'!$J$74+'Cost Inputs'!$K$74)&gt;0), 'Cost Inputs'!$I$74+'Cost Inputs'!$J$74+'Cost Inputs'!$K$74, "")</f>
        <v/>
      </c>
      <c r="K255" s="93" t="str">
        <f>IF(AND(C255&lt;&gt;"", 'Cost Inputs'!$N$74&gt;0),'Cost Inputs'!$N$74,"")</f>
        <v/>
      </c>
      <c r="L255" s="93"/>
      <c r="M255" s="109"/>
      <c r="Z255" s="107" t="str">
        <f>IF(ISNUMBER('Model_ of_individuals'!Z264), 'Model_ of_individuals'!Z264*'Model_ of_individuals'!$K264,"")</f>
        <v/>
      </c>
      <c r="AA255" s="93" t="str">
        <f>IF(ISNUMBER('Model_ of_individuals'!AA264), 'Model_ of_individuals'!AA264*'Model_ of_individuals'!$K264,"")</f>
        <v/>
      </c>
      <c r="AB255" s="93" t="str">
        <f>IF(ISNUMBER('Model_ of_individuals'!AB264), 'Model_ of_individuals'!AB264*'Model_ of_individuals'!$K264,"")</f>
        <v/>
      </c>
      <c r="AC255" s="93" t="str">
        <f>IF(ISNUMBER('Model_ of_individuals'!AC264), 'Model_ of_individuals'!AC264*'Model_ of_individuals'!$K264,"")</f>
        <v/>
      </c>
      <c r="AD255" s="93" t="str">
        <f>IF(ISNUMBER('Model_ of_individuals'!AD264), 'Model_ of_individuals'!AD264*'Model_ of_individuals'!$K264,"")</f>
        <v/>
      </c>
      <c r="AE255" s="93" t="str">
        <f>IF(ISNUMBER('Model_ of_individuals'!AE264), 'Model_ of_individuals'!AE264*'Model_ of_individuals'!$K264,"")</f>
        <v/>
      </c>
      <c r="AF255" s="93" t="str">
        <f>IF(ISNUMBER('Model_ of_individuals'!AF264), 'Model_ of_individuals'!AF264*'Model_ of_individuals'!$K264,"")</f>
        <v/>
      </c>
      <c r="AG255" s="93" t="str">
        <f>IF(ISNUMBER('Model_ of_individuals'!AG264), 'Model_ of_individuals'!AG264*'Model_ of_individuals'!$K264,"")</f>
        <v/>
      </c>
      <c r="AH255" s="93" t="str">
        <f>IF(ISNUMBER('Model_ of_individuals'!AH264), 'Model_ of_individuals'!AH264*'Model_ of_individuals'!$K264,"")</f>
        <v/>
      </c>
      <c r="AI255" s="109" t="str">
        <f>IF(ISNUMBER('Model_ of_individuals'!AI264), 'Model_ of_individuals'!AI264*'Model_ of_individuals'!$K264,"")</f>
        <v/>
      </c>
    </row>
    <row r="256" spans="1:35" x14ac:dyDescent="0.25">
      <c r="A256" s="518"/>
      <c r="B256" s="504"/>
      <c r="C256" s="104" t="str">
        <f>IF(AND(ISNUMBER(B248), OR('Cost Inputs'!$H$75&lt;&gt;"", 'Cost Inputs'!$I$75&lt;&gt;"", 'Cost Inputs'!$J$75&lt;&gt;"")), _3_3_3, "")</f>
        <v/>
      </c>
      <c r="D256" s="17" t="str">
        <f>IF(AND(C256&lt;&gt;"", 'Cost Inputs'!$G$75&lt;&gt;""), 'Cost Inputs'!$G$75, "")</f>
        <v/>
      </c>
      <c r="E256" s="17" t="str">
        <f>IF(AND(C256&lt;&gt;"", 'Cost Inputs'!$H$75&lt;&gt;""), 'Cost Inputs'!$H$75, "")</f>
        <v/>
      </c>
      <c r="F256" s="17" t="str">
        <f>IF(AND(C256&lt;&gt;"", 'Cost Inputs'!$I$75&lt;&gt;""), 'Cost Inputs'!$I$75, "")</f>
        <v/>
      </c>
      <c r="G256" s="17" t="str">
        <f t="shared" si="10"/>
        <v/>
      </c>
      <c r="H256" s="17" t="str">
        <f>IF(AND(C256&lt;&gt;"", 'Cost Inputs'!$J$75&lt;&gt;""), 'Cost Inputs'!$J$75, "")</f>
        <v/>
      </c>
      <c r="I256" s="17" t="str">
        <f t="shared" si="15"/>
        <v/>
      </c>
      <c r="J256" s="17" t="str">
        <f>IF(AND(C256&lt;&gt;"",('Cost Inputs'!$I$75+'Cost Inputs'!$J$75+'Cost Inputs'!$K$75)&gt;0), 'Cost Inputs'!$I$75+'Cost Inputs'!$J$75+'Cost Inputs'!$K$75, "")</f>
        <v/>
      </c>
      <c r="K256" s="17" t="str">
        <f>IF(AND(C256&lt;&gt;"", 'Cost Inputs'!$N$75&gt;0),'Cost Inputs'!$N$75,"")</f>
        <v/>
      </c>
      <c r="M256" s="106"/>
      <c r="Z256" s="104" t="str">
        <f>IF(ISNUMBER('Model_ of_individuals'!Z265), 'Model_ of_individuals'!Z265*'Model_ of_individuals'!$K265,"")</f>
        <v/>
      </c>
      <c r="AA256" s="17" t="str">
        <f>IF(ISNUMBER('Model_ of_individuals'!AA265), 'Model_ of_individuals'!AA265*'Model_ of_individuals'!$K265,"")</f>
        <v/>
      </c>
      <c r="AB256" s="17" t="str">
        <f>IF(ISNUMBER('Model_ of_individuals'!AB265), 'Model_ of_individuals'!AB265*'Model_ of_individuals'!$K265,"")</f>
        <v/>
      </c>
      <c r="AC256" s="17" t="str">
        <f>IF(ISNUMBER('Model_ of_individuals'!AC265), 'Model_ of_individuals'!AC265*'Model_ of_individuals'!$K265,"")</f>
        <v/>
      </c>
      <c r="AD256" s="17" t="str">
        <f>IF(ISNUMBER('Model_ of_individuals'!AD265), 'Model_ of_individuals'!AD265*'Model_ of_individuals'!$K265,"")</f>
        <v/>
      </c>
      <c r="AE256" s="17" t="str">
        <f>IF(ISNUMBER('Model_ of_individuals'!AE265), 'Model_ of_individuals'!AE265*'Model_ of_individuals'!$K265,"")</f>
        <v/>
      </c>
      <c r="AF256" s="17" t="str">
        <f>IF(ISNUMBER('Model_ of_individuals'!AF265), 'Model_ of_individuals'!AF265*'Model_ of_individuals'!$K265,"")</f>
        <v/>
      </c>
      <c r="AG256" s="17" t="str">
        <f>IF(ISNUMBER('Model_ of_individuals'!AG265), 'Model_ of_individuals'!AG265*'Model_ of_individuals'!$K265,"")</f>
        <v/>
      </c>
      <c r="AH256" s="17" t="str">
        <f>IF(ISNUMBER('Model_ of_individuals'!AH265), 'Model_ of_individuals'!AH265*'Model_ of_individuals'!$K265,"")</f>
        <v/>
      </c>
      <c r="AI256" s="106" t="str">
        <f>IF(ISNUMBER('Model_ of_individuals'!AI265), 'Model_ of_individuals'!AI265*'Model_ of_individuals'!$K265,"")</f>
        <v/>
      </c>
    </row>
    <row r="257" spans="1:46" x14ac:dyDescent="0.25">
      <c r="A257" s="518"/>
      <c r="B257" s="504"/>
      <c r="C257" s="107" t="str">
        <f>IF(AND(ISNUMBER(B248), OR('Cost Inputs'!$H$76&lt;&gt;"", 'Cost Inputs'!$I$76&lt;&gt;"", 'Cost Inputs'!$J$76&lt;&gt;"")), _3_3_4, "")</f>
        <v/>
      </c>
      <c r="D257" s="93" t="str">
        <f>IF(AND(C257&lt;&gt;"", 'Cost Inputs'!$G$76&lt;&gt;""), 'Cost Inputs'!$G$76, "")</f>
        <v/>
      </c>
      <c r="E257" s="93" t="str">
        <f>IF(AND(C257&lt;&gt;"", 'Cost Inputs'!$H$76&lt;&gt;""), 'Cost Inputs'!$H$76, "")</f>
        <v/>
      </c>
      <c r="F257" s="93" t="str">
        <f>IF(AND(C257&lt;&gt;"", 'Cost Inputs'!$I$76&lt;&gt;""), 'Cost Inputs'!$I$76, "")</f>
        <v/>
      </c>
      <c r="G257" s="93" t="str">
        <f t="shared" si="10"/>
        <v/>
      </c>
      <c r="H257" s="93" t="str">
        <f>IF(AND(C257&lt;&gt;"", 'Cost Inputs'!$J$76&lt;&gt;""), 'Cost Inputs'!$J$76, "")</f>
        <v/>
      </c>
      <c r="I257" s="93" t="str">
        <f t="shared" si="15"/>
        <v/>
      </c>
      <c r="J257" s="93" t="str">
        <f>IF(AND(C257&lt;&gt;"",('Cost Inputs'!$I$76+'Cost Inputs'!$J$76+'Cost Inputs'!$K$76)&gt;0), 'Cost Inputs'!$I$76+'Cost Inputs'!$J$76+'Cost Inputs'!$K$76, "")</f>
        <v/>
      </c>
      <c r="K257" s="93" t="str">
        <f>IF(AND(C257&lt;&gt;"", 'Cost Inputs'!$N$76&gt;0),'Cost Inputs'!$N$76,"")</f>
        <v/>
      </c>
      <c r="L257" s="93"/>
      <c r="M257" s="109"/>
      <c r="Z257" s="107" t="str">
        <f>IF(ISNUMBER('Model_ of_individuals'!Z266), 'Model_ of_individuals'!Z266*'Model_ of_individuals'!$K266,"")</f>
        <v/>
      </c>
      <c r="AA257" s="93" t="str">
        <f>IF(ISNUMBER('Model_ of_individuals'!AA266), 'Model_ of_individuals'!AA266*'Model_ of_individuals'!$K266,"")</f>
        <v/>
      </c>
      <c r="AB257" s="93" t="str">
        <f>IF(ISNUMBER('Model_ of_individuals'!AB266), 'Model_ of_individuals'!AB266*'Model_ of_individuals'!$K266,"")</f>
        <v/>
      </c>
      <c r="AC257" s="93" t="str">
        <f>IF(ISNUMBER('Model_ of_individuals'!AC266), 'Model_ of_individuals'!AC266*'Model_ of_individuals'!$K266,"")</f>
        <v/>
      </c>
      <c r="AD257" s="93" t="str">
        <f>IF(ISNUMBER('Model_ of_individuals'!AD266), 'Model_ of_individuals'!AD266*'Model_ of_individuals'!$K266,"")</f>
        <v/>
      </c>
      <c r="AE257" s="93" t="str">
        <f>IF(ISNUMBER('Model_ of_individuals'!AE266), 'Model_ of_individuals'!AE266*'Model_ of_individuals'!$K266,"")</f>
        <v/>
      </c>
      <c r="AF257" s="93" t="str">
        <f>IF(ISNUMBER('Model_ of_individuals'!AF266), 'Model_ of_individuals'!AF266*'Model_ of_individuals'!$K266,"")</f>
        <v/>
      </c>
      <c r="AG257" s="93" t="str">
        <f>IF(ISNUMBER('Model_ of_individuals'!AG266), 'Model_ of_individuals'!AG266*'Model_ of_individuals'!$K266,"")</f>
        <v/>
      </c>
      <c r="AH257" s="93" t="str">
        <f>IF(ISNUMBER('Model_ of_individuals'!AH266), 'Model_ of_individuals'!AH266*'Model_ of_individuals'!$K266,"")</f>
        <v/>
      </c>
      <c r="AI257" s="109" t="str">
        <f>IF(ISNUMBER('Model_ of_individuals'!AI266), 'Model_ of_individuals'!AI266*'Model_ of_individuals'!$K266,"")</f>
        <v/>
      </c>
    </row>
    <row r="258" spans="1:46" x14ac:dyDescent="0.25">
      <c r="A258" s="518"/>
      <c r="B258" s="504"/>
      <c r="C258" s="110" t="str">
        <f>IF( ISNUMBER(B248), _3_4_0, "")</f>
        <v/>
      </c>
      <c r="D258" s="94" t="str">
        <f>IF(AND(B248&lt;&gt;"", OR('Cost Inputs'!$H$77&lt;&gt;"", 'Cost Inputs'!$I$77&lt;&gt;"", 'Cost Inputs'!$J$77&lt;&gt;"")), 'Cost Inputs'!$G$77,"")</f>
        <v/>
      </c>
      <c r="E258" s="94" t="str">
        <f>IF(AND(C258&lt;&gt;"", 'Cost Inputs'!$H$77&lt;&gt;""), 'Cost Inputs'!$H$77, "")</f>
        <v/>
      </c>
      <c r="F258" s="94" t="str">
        <f>IF(AND(C258&lt;&gt;"", 'Cost Inputs'!$I$77&lt;&gt;""), 'Cost Inputs'!$I$77, "")</f>
        <v/>
      </c>
      <c r="G258" s="94" t="str">
        <f t="shared" si="10"/>
        <v/>
      </c>
      <c r="H258" s="94" t="str">
        <f>IF(AND(C258&lt;&gt;"", 'Cost Inputs'!$J$77&lt;&gt;""), 'Cost Inputs'!$J$77, "")</f>
        <v/>
      </c>
      <c r="I258" s="94" t="str">
        <f>IF(AND($E258&lt;&gt;"", $H258&lt;&gt;""), $H258/$E258, "")</f>
        <v/>
      </c>
      <c r="J258" s="94" t="str">
        <f>IF(AND(C258&lt;&gt;"",('Cost Inputs'!$I$77+'Cost Inputs'!$J$77+'Cost Inputs'!$K$77)&gt;0), 'Cost Inputs'!$I$77+'Cost Inputs'!$J$77+'Cost Inputs'!$K$77, "")</f>
        <v/>
      </c>
      <c r="K258" s="94" t="str">
        <f>IF(AND(C258&lt;&gt;"", 'Cost Inputs'!$N$77&gt;0),'Cost Inputs'!$N$77,"")</f>
        <v/>
      </c>
      <c r="L258" s="94"/>
      <c r="M258" s="103"/>
      <c r="Z258" s="110" t="str">
        <f>IF(ISNUMBER('Model_ of_individuals'!Z267), 'Model_ of_individuals'!Z267*'Model_ of_individuals'!$K267,"")</f>
        <v/>
      </c>
      <c r="AA258" s="94" t="str">
        <f>IF(ISNUMBER('Model_ of_individuals'!AA267), 'Model_ of_individuals'!AA267*'Model_ of_individuals'!$K267,"")</f>
        <v/>
      </c>
      <c r="AB258" s="94" t="str">
        <f>IF(ISNUMBER('Model_ of_individuals'!AB267), 'Model_ of_individuals'!AB267*'Model_ of_individuals'!$K267,"")</f>
        <v/>
      </c>
      <c r="AC258" s="94" t="str">
        <f>IF(ISNUMBER('Model_ of_individuals'!AC267), 'Model_ of_individuals'!AC267*'Model_ of_individuals'!$K267,"")</f>
        <v/>
      </c>
      <c r="AD258" s="94" t="str">
        <f>IF(ISNUMBER('Model_ of_individuals'!AD267), 'Model_ of_individuals'!AD267*'Model_ of_individuals'!$K267,"")</f>
        <v/>
      </c>
      <c r="AE258" s="94" t="str">
        <f>IF(ISNUMBER('Model_ of_individuals'!AE267), 'Model_ of_individuals'!AE267*'Model_ of_individuals'!$K267,"")</f>
        <v/>
      </c>
      <c r="AF258" s="94" t="str">
        <f>IF(ISNUMBER('Model_ of_individuals'!AF267), 'Model_ of_individuals'!AF267*'Model_ of_individuals'!$K267,"")</f>
        <v/>
      </c>
      <c r="AG258" s="94" t="str">
        <f>IF(ISNUMBER('Model_ of_individuals'!AG267), 'Model_ of_individuals'!AG267*'Model_ of_individuals'!$K267,"")</f>
        <v/>
      </c>
      <c r="AH258" s="94" t="str">
        <f>IF(ISNUMBER('Model_ of_individuals'!AH267), 'Model_ of_individuals'!AH267*'Model_ of_individuals'!$K267,"")</f>
        <v/>
      </c>
      <c r="AI258" s="103" t="str">
        <f>IF(ISNUMBER('Model_ of_individuals'!AI267), 'Model_ of_individuals'!AI267*'Model_ of_individuals'!$K267,"")</f>
        <v/>
      </c>
    </row>
    <row r="259" spans="1:46" x14ac:dyDescent="0.25">
      <c r="A259" s="518"/>
      <c r="B259" s="504"/>
      <c r="C259" s="104" t="str">
        <f>IF(AND(ISNUMBER(B248), OR('Cost Inputs'!$H$78&lt;&gt;"", 'Cost Inputs'!$I$78&lt;&gt;"", 'Cost Inputs'!$J$78&lt;&gt;"")), _3_4_1, "")</f>
        <v/>
      </c>
      <c r="D259" s="17" t="str">
        <f>IF(AND(C259&lt;&gt;"", 'Cost Inputs'!$G$78&lt;&gt;""), 'Cost Inputs'!$G$78, "")</f>
        <v/>
      </c>
      <c r="E259" s="17" t="str">
        <f>IF(AND(C259&lt;&gt;"", 'Cost Inputs'!$H$78&lt;&gt;""), 'Cost Inputs'!$H$78, "")</f>
        <v/>
      </c>
      <c r="F259" s="17" t="str">
        <f>IF(AND(C259&lt;&gt;"", 'Cost Inputs'!$I$78&lt;&gt;""), 'Cost Inputs'!$I$78, "")</f>
        <v/>
      </c>
      <c r="G259" s="17" t="str">
        <f t="shared" si="10"/>
        <v/>
      </c>
      <c r="H259" s="17" t="str">
        <f>IF(AND(C259&lt;&gt;"", 'Cost Inputs'!$J$78&lt;&gt;""), 'Cost Inputs'!$J$78, "")</f>
        <v/>
      </c>
      <c r="I259" s="17" t="str">
        <f t="shared" si="15"/>
        <v/>
      </c>
      <c r="J259" s="17" t="str">
        <f>IF(AND(C259&lt;&gt;"",('Cost Inputs'!$I$78+'Cost Inputs'!$J$78+'Cost Inputs'!$K$78)&gt;0), 'Cost Inputs'!$I$78+'Cost Inputs'!$J$78+'Cost Inputs'!$K$78, "")</f>
        <v/>
      </c>
      <c r="K259" s="17" t="str">
        <f>IF(AND(C259&lt;&gt;"", 'Cost Inputs'!$N$78&gt;0),'Cost Inputs'!$N$78,"")</f>
        <v/>
      </c>
      <c r="M259" s="106"/>
      <c r="Z259" s="104" t="str">
        <f>IF(ISNUMBER('Model_ of_individuals'!Z268), 'Model_ of_individuals'!Z268*'Model_ of_individuals'!$K268,"")</f>
        <v/>
      </c>
      <c r="AA259" s="17" t="str">
        <f>IF(ISNUMBER('Model_ of_individuals'!AA268), 'Model_ of_individuals'!AA268*'Model_ of_individuals'!$K268,"")</f>
        <v/>
      </c>
      <c r="AB259" s="17" t="str">
        <f>IF(ISNUMBER('Model_ of_individuals'!AB268), 'Model_ of_individuals'!AB268*'Model_ of_individuals'!$K268,"")</f>
        <v/>
      </c>
      <c r="AC259" s="17" t="str">
        <f>IF(ISNUMBER('Model_ of_individuals'!AC268), 'Model_ of_individuals'!AC268*'Model_ of_individuals'!$K268,"")</f>
        <v/>
      </c>
      <c r="AD259" s="17" t="str">
        <f>IF(ISNUMBER('Model_ of_individuals'!AD268), 'Model_ of_individuals'!AD268*'Model_ of_individuals'!$K268,"")</f>
        <v/>
      </c>
      <c r="AE259" s="17" t="str">
        <f>IF(ISNUMBER('Model_ of_individuals'!AE268), 'Model_ of_individuals'!AE268*'Model_ of_individuals'!$K268,"")</f>
        <v/>
      </c>
      <c r="AF259" s="17" t="str">
        <f>IF(ISNUMBER('Model_ of_individuals'!AF268), 'Model_ of_individuals'!AF268*'Model_ of_individuals'!$K268,"")</f>
        <v/>
      </c>
      <c r="AG259" s="17" t="str">
        <f>IF(ISNUMBER('Model_ of_individuals'!AG268), 'Model_ of_individuals'!AG268*'Model_ of_individuals'!$K268,"")</f>
        <v/>
      </c>
      <c r="AH259" s="17" t="str">
        <f>IF(ISNUMBER('Model_ of_individuals'!AH268), 'Model_ of_individuals'!AH268*'Model_ of_individuals'!$K268,"")</f>
        <v/>
      </c>
      <c r="AI259" s="106" t="str">
        <f>IF(ISNUMBER('Model_ of_individuals'!AI268), 'Model_ of_individuals'!AI268*'Model_ of_individuals'!$K268,"")</f>
        <v/>
      </c>
    </row>
    <row r="260" spans="1:46" x14ac:dyDescent="0.25">
      <c r="A260" s="518"/>
      <c r="B260" s="504"/>
      <c r="C260" s="107" t="str">
        <f>IF(AND(ISNUMBER(B248), OR('Cost Inputs'!$H$79&lt;&gt;"", 'Cost Inputs'!$I$79&lt;&gt;"", 'Cost Inputs'!$J$79&lt;&gt;"")), _3_4_2, "")</f>
        <v/>
      </c>
      <c r="D260" s="93" t="str">
        <f>IF(AND(C260&lt;&gt;"", 'Cost Inputs'!$G$79&lt;&gt;""), 'Cost Inputs'!$G$79, "")</f>
        <v/>
      </c>
      <c r="E260" s="93" t="str">
        <f>IF(AND(C260&lt;&gt;"", 'Cost Inputs'!$H$79&lt;&gt;""), 'Cost Inputs'!$H$79, "")</f>
        <v/>
      </c>
      <c r="F260" s="93" t="str">
        <f>IF(AND(C260&lt;&gt;"", 'Cost Inputs'!$I$79&lt;&gt;""), 'Cost Inputs'!$I$79, "")</f>
        <v/>
      </c>
      <c r="G260" s="93" t="str">
        <f t="shared" si="10"/>
        <v/>
      </c>
      <c r="H260" s="93" t="str">
        <f>IF(AND(C260&lt;&gt;"", 'Cost Inputs'!$J$79&lt;&gt;""), 'Cost Inputs'!$J$79, "")</f>
        <v/>
      </c>
      <c r="I260" s="93" t="str">
        <f t="shared" si="15"/>
        <v/>
      </c>
      <c r="J260" s="93" t="str">
        <f>IF(AND(C260&lt;&gt;"",('Cost Inputs'!$I$79+'Cost Inputs'!$J$79+'Cost Inputs'!$K$79)&gt;0), 'Cost Inputs'!$I$79+'Cost Inputs'!$J$79+'Cost Inputs'!$K$79, "")</f>
        <v/>
      </c>
      <c r="K260" s="93" t="str">
        <f>IF(AND(C260&lt;&gt;"", 'Cost Inputs'!$N$79&gt;0),'Cost Inputs'!$N$79,"")</f>
        <v/>
      </c>
      <c r="L260" s="93"/>
      <c r="M260" s="109"/>
      <c r="Z260" s="107" t="str">
        <f>IF(ISNUMBER('Model_ of_individuals'!Z269), 'Model_ of_individuals'!Z269*'Model_ of_individuals'!$K269,"")</f>
        <v/>
      </c>
      <c r="AA260" s="93" t="str">
        <f>IF(ISNUMBER('Model_ of_individuals'!AA269), 'Model_ of_individuals'!AA269*'Model_ of_individuals'!$K269,"")</f>
        <v/>
      </c>
      <c r="AB260" s="93" t="str">
        <f>IF(ISNUMBER('Model_ of_individuals'!AB269), 'Model_ of_individuals'!AB269*'Model_ of_individuals'!$K269,"")</f>
        <v/>
      </c>
      <c r="AC260" s="93" t="str">
        <f>IF(ISNUMBER('Model_ of_individuals'!AC269), 'Model_ of_individuals'!AC269*'Model_ of_individuals'!$K269,"")</f>
        <v/>
      </c>
      <c r="AD260" s="93" t="str">
        <f>IF(ISNUMBER('Model_ of_individuals'!AD269), 'Model_ of_individuals'!AD269*'Model_ of_individuals'!$K269,"")</f>
        <v/>
      </c>
      <c r="AE260" s="93" t="str">
        <f>IF(ISNUMBER('Model_ of_individuals'!AE269), 'Model_ of_individuals'!AE269*'Model_ of_individuals'!$K269,"")</f>
        <v/>
      </c>
      <c r="AF260" s="93" t="str">
        <f>IF(ISNUMBER('Model_ of_individuals'!AF269), 'Model_ of_individuals'!AF269*'Model_ of_individuals'!$K269,"")</f>
        <v/>
      </c>
      <c r="AG260" s="93" t="str">
        <f>IF(ISNUMBER('Model_ of_individuals'!AG269), 'Model_ of_individuals'!AG269*'Model_ of_individuals'!$K269,"")</f>
        <v/>
      </c>
      <c r="AH260" s="93" t="str">
        <f>IF(ISNUMBER('Model_ of_individuals'!AH269), 'Model_ of_individuals'!AH269*'Model_ of_individuals'!$K269,"")</f>
        <v/>
      </c>
      <c r="AI260" s="109" t="str">
        <f>IF(ISNUMBER('Model_ of_individuals'!AI269), 'Model_ of_individuals'!AI269*'Model_ of_individuals'!$K269,"")</f>
        <v/>
      </c>
    </row>
    <row r="261" spans="1:46" x14ac:dyDescent="0.25">
      <c r="A261" s="518"/>
      <c r="B261" s="504"/>
      <c r="C261" s="104" t="str">
        <f>IF(AND(ISNUMBER(B248), OR('Cost Inputs'!$H$80&lt;&gt;"", 'Cost Inputs'!$I$80&lt;&gt;"", 'Cost Inputs'!$J$80&lt;&gt;"")),_3_4_3, "")</f>
        <v/>
      </c>
      <c r="D261" s="17" t="str">
        <f>IF(AND(C261&lt;&gt;"", 'Cost Inputs'!$G$80&lt;&gt;""), 'Cost Inputs'!$G$80, "")</f>
        <v/>
      </c>
      <c r="E261" s="17" t="str">
        <f>IF(AND(C261&lt;&gt;"", 'Cost Inputs'!$H$80&lt;&gt;""), 'Cost Inputs'!$H$80, "")</f>
        <v/>
      </c>
      <c r="F261" s="17" t="str">
        <f>IF(AND(C261&lt;&gt;"", 'Cost Inputs'!$I$80&lt;&gt;""), 'Cost Inputs'!$I$80, "")</f>
        <v/>
      </c>
      <c r="G261" s="17" t="str">
        <f t="shared" ref="G261:G326" si="16">IF(AND($E261&lt;&gt;"", $E261&gt;0, F261&lt;&gt;""), F261/$E261, "")</f>
        <v/>
      </c>
      <c r="H261" s="17" t="str">
        <f>IF(AND(C261&lt;&gt;"", 'Cost Inputs'!$J$80&lt;&gt;""), 'Cost Inputs'!$J$80, "")</f>
        <v/>
      </c>
      <c r="I261" s="17" t="str">
        <f t="shared" si="15"/>
        <v/>
      </c>
      <c r="J261" s="17" t="str">
        <f>IF(AND(C261&lt;&gt;"",('Cost Inputs'!$I$80+'Cost Inputs'!$J$80+'Cost Inputs'!$K$80)&gt;0), 'Cost Inputs'!$I$80+'Cost Inputs'!$J$80+'Cost Inputs'!$K$80, "")</f>
        <v/>
      </c>
      <c r="K261" s="17" t="str">
        <f>IF(AND(C261&lt;&gt;"", 'Cost Inputs'!$N$80&gt;0),'Cost Inputs'!$N$80,"")</f>
        <v/>
      </c>
      <c r="M261" s="106"/>
      <c r="Z261" s="104" t="str">
        <f>IF(ISNUMBER('Model_ of_individuals'!Z270), 'Model_ of_individuals'!Z270*'Model_ of_individuals'!$K270,"")</f>
        <v/>
      </c>
      <c r="AA261" s="17" t="str">
        <f>IF(ISNUMBER('Model_ of_individuals'!AA270), 'Model_ of_individuals'!AA270*'Model_ of_individuals'!$K270,"")</f>
        <v/>
      </c>
      <c r="AB261" s="17" t="str">
        <f>IF(ISNUMBER('Model_ of_individuals'!AB270), 'Model_ of_individuals'!AB270*'Model_ of_individuals'!$K270,"")</f>
        <v/>
      </c>
      <c r="AC261" s="17" t="str">
        <f>IF(ISNUMBER('Model_ of_individuals'!AC270), 'Model_ of_individuals'!AC270*'Model_ of_individuals'!$K270,"")</f>
        <v/>
      </c>
      <c r="AD261" s="17" t="str">
        <f>IF(ISNUMBER('Model_ of_individuals'!AD270), 'Model_ of_individuals'!AD270*'Model_ of_individuals'!$K270,"")</f>
        <v/>
      </c>
      <c r="AE261" s="17" t="str">
        <f>IF(ISNUMBER('Model_ of_individuals'!AE270), 'Model_ of_individuals'!AE270*'Model_ of_individuals'!$K270,"")</f>
        <v/>
      </c>
      <c r="AF261" s="17" t="str">
        <f>IF(ISNUMBER('Model_ of_individuals'!AF270), 'Model_ of_individuals'!AF270*'Model_ of_individuals'!$K270,"")</f>
        <v/>
      </c>
      <c r="AG261" s="17" t="str">
        <f>IF(ISNUMBER('Model_ of_individuals'!AG270), 'Model_ of_individuals'!AG270*'Model_ of_individuals'!$K270,"")</f>
        <v/>
      </c>
      <c r="AH261" s="17" t="str">
        <f>IF(ISNUMBER('Model_ of_individuals'!AH270), 'Model_ of_individuals'!AH270*'Model_ of_individuals'!$K270,"")</f>
        <v/>
      </c>
      <c r="AI261" s="106" t="str">
        <f>IF(ISNUMBER('Model_ of_individuals'!AI270), 'Model_ of_individuals'!AI270*'Model_ of_individuals'!$K270,"")</f>
        <v/>
      </c>
    </row>
    <row r="262" spans="1:46" x14ac:dyDescent="0.25">
      <c r="A262" s="518"/>
      <c r="B262" s="504"/>
      <c r="C262" s="107" t="str">
        <f>IF(AND(ISNUMBER(B248), OR('Cost Inputs'!$H$81&lt;&gt;"", 'Cost Inputs'!$I$81&lt;&gt;"", 'Cost Inputs'!$J$81&lt;&gt;"")), _3_4_4, "")</f>
        <v/>
      </c>
      <c r="D262" s="93" t="str">
        <f>IF(AND(C262&lt;&gt;"", 'Cost Inputs'!$G$81&lt;&gt;""), 'Cost Inputs'!$G$81, "")</f>
        <v/>
      </c>
      <c r="E262" s="93" t="str">
        <f>IF(AND(C262&lt;&gt;"", 'Cost Inputs'!$H$81&lt;&gt;""), 'Cost Inputs'!$H$81, "")</f>
        <v/>
      </c>
      <c r="F262" s="93" t="str">
        <f>IF(AND(C262&lt;&gt;"", 'Cost Inputs'!$I$81&lt;&gt;""), 'Cost Inputs'!$I$81, "")</f>
        <v/>
      </c>
      <c r="G262" s="93" t="str">
        <f t="shared" si="16"/>
        <v/>
      </c>
      <c r="H262" s="93" t="str">
        <f>IF(AND(C262&lt;&gt;"", 'Cost Inputs'!$J$81&lt;&gt;""), 'Cost Inputs'!$J$81, "")</f>
        <v/>
      </c>
      <c r="I262" s="93" t="str">
        <f t="shared" si="15"/>
        <v/>
      </c>
      <c r="J262" s="93" t="str">
        <f>IF(AND(C262&lt;&gt;"",('Cost Inputs'!$I$81+'Cost Inputs'!$J$81+'Cost Inputs'!$K$81)&gt;0), 'Cost Inputs'!$I$81+'Cost Inputs'!$J$81+'Cost Inputs'!$K$81, "")</f>
        <v/>
      </c>
      <c r="K262" s="93" t="str">
        <f>IF(AND(C262&lt;&gt;"", 'Cost Inputs'!$N$81&gt;0),'Cost Inputs'!$N$81,"")</f>
        <v/>
      </c>
      <c r="L262" s="93"/>
      <c r="M262" s="109"/>
      <c r="Z262" s="107" t="str">
        <f>IF(ISNUMBER('Model_ of_individuals'!Z271), 'Model_ of_individuals'!Z271*'Model_ of_individuals'!$K271,"")</f>
        <v/>
      </c>
      <c r="AA262" s="93" t="str">
        <f>IF(ISNUMBER('Model_ of_individuals'!AA271), 'Model_ of_individuals'!AA271*'Model_ of_individuals'!$K271,"")</f>
        <v/>
      </c>
      <c r="AB262" s="93" t="str">
        <f>IF(ISNUMBER('Model_ of_individuals'!AB271), 'Model_ of_individuals'!AB271*'Model_ of_individuals'!$K271,"")</f>
        <v/>
      </c>
      <c r="AC262" s="93" t="str">
        <f>IF(ISNUMBER('Model_ of_individuals'!AC271), 'Model_ of_individuals'!AC271*'Model_ of_individuals'!$K271,"")</f>
        <v/>
      </c>
      <c r="AD262" s="93" t="str">
        <f>IF(ISNUMBER('Model_ of_individuals'!AD271), 'Model_ of_individuals'!AD271*'Model_ of_individuals'!$K271,"")</f>
        <v/>
      </c>
      <c r="AE262" s="93" t="str">
        <f>IF(ISNUMBER('Model_ of_individuals'!AE271), 'Model_ of_individuals'!AE271*'Model_ of_individuals'!$K271,"")</f>
        <v/>
      </c>
      <c r="AF262" s="93" t="str">
        <f>IF(ISNUMBER('Model_ of_individuals'!AF271), 'Model_ of_individuals'!AF271*'Model_ of_individuals'!$K271,"")</f>
        <v/>
      </c>
      <c r="AG262" s="93" t="str">
        <f>IF(ISNUMBER('Model_ of_individuals'!AG271), 'Model_ of_individuals'!AG271*'Model_ of_individuals'!$K271,"")</f>
        <v/>
      </c>
      <c r="AH262" s="93" t="str">
        <f>IF(ISNUMBER('Model_ of_individuals'!AH271), 'Model_ of_individuals'!AH271*'Model_ of_individuals'!$K271,"")</f>
        <v/>
      </c>
      <c r="AI262" s="109" t="str">
        <f>IF(ISNUMBER('Model_ of_individuals'!AI271), 'Model_ of_individuals'!AI271*'Model_ of_individuals'!$K271,"")</f>
        <v/>
      </c>
    </row>
    <row r="263" spans="1:46" x14ac:dyDescent="0.25">
      <c r="A263" s="518"/>
      <c r="B263" s="504"/>
      <c r="C263" s="104" t="str">
        <f>IF(AND(ISNUMBER(B248), OR('Cost Inputs'!$H$82&lt;&gt;"", 'Cost Inputs'!$I$82&lt;&gt;"", 'Cost Inputs'!$J$82&lt;&gt;"")),_3_4_5, "")</f>
        <v/>
      </c>
      <c r="D263" s="17" t="str">
        <f>IF(AND(C263&lt;&gt;"", 'Cost Inputs'!$G$82&lt;&gt;""), 'Cost Inputs'!$G$82, "")</f>
        <v/>
      </c>
      <c r="E263" s="17" t="str">
        <f>IF(AND(C263&lt;&gt;"", 'Cost Inputs'!$H$82&lt;&gt;""), 'Cost Inputs'!$H$82, "")</f>
        <v/>
      </c>
      <c r="F263" s="17" t="str">
        <f>IF(AND(C263&lt;&gt;"", 'Cost Inputs'!$I$82&lt;&gt;""), 'Cost Inputs'!$I$82, "")</f>
        <v/>
      </c>
      <c r="G263" s="17" t="str">
        <f t="shared" si="16"/>
        <v/>
      </c>
      <c r="H263" s="17" t="str">
        <f>IF(AND(C263&lt;&gt;"", 'Cost Inputs'!$J$82&lt;&gt;""), 'Cost Inputs'!$J$82, "")</f>
        <v/>
      </c>
      <c r="I263" s="17" t="str">
        <f t="shared" si="15"/>
        <v/>
      </c>
      <c r="J263" s="17" t="str">
        <f>IF(AND(C263&lt;&gt;"",('Cost Inputs'!$I$82+'Cost Inputs'!$J$82+'Cost Inputs'!$K$82)&gt;0), 'Cost Inputs'!$I$82+'Cost Inputs'!$J$82+'Cost Inputs'!$K$82, "")</f>
        <v/>
      </c>
      <c r="K263" s="17" t="str">
        <f>IF(AND(C263&lt;&gt;"", 'Cost Inputs'!$N$82&gt;0),'Cost Inputs'!$N$82,"")</f>
        <v/>
      </c>
      <c r="M263" s="106"/>
      <c r="Z263" s="104" t="str">
        <f>IF(ISNUMBER('Model_ of_individuals'!Z272), 'Model_ of_individuals'!Z272*'Model_ of_individuals'!$K272,"")</f>
        <v/>
      </c>
      <c r="AA263" s="17" t="str">
        <f>IF(ISNUMBER('Model_ of_individuals'!AA272), 'Model_ of_individuals'!AA272*'Model_ of_individuals'!$K272,"")</f>
        <v/>
      </c>
      <c r="AB263" s="17" t="str">
        <f>IF(ISNUMBER('Model_ of_individuals'!AB272), 'Model_ of_individuals'!AB272*'Model_ of_individuals'!$K272,"")</f>
        <v/>
      </c>
      <c r="AC263" s="17" t="str">
        <f>IF(ISNUMBER('Model_ of_individuals'!AC272), 'Model_ of_individuals'!AC272*'Model_ of_individuals'!$K272,"")</f>
        <v/>
      </c>
      <c r="AD263" s="17" t="str">
        <f>IF(ISNUMBER('Model_ of_individuals'!AD272), 'Model_ of_individuals'!AD272*'Model_ of_individuals'!$K272,"")</f>
        <v/>
      </c>
      <c r="AE263" s="17" t="str">
        <f>IF(ISNUMBER('Model_ of_individuals'!AE272), 'Model_ of_individuals'!AE272*'Model_ of_individuals'!$K272,"")</f>
        <v/>
      </c>
      <c r="AF263" s="17" t="str">
        <f>IF(ISNUMBER('Model_ of_individuals'!AF272), 'Model_ of_individuals'!AF272*'Model_ of_individuals'!$K272,"")</f>
        <v/>
      </c>
      <c r="AG263" s="17" t="str">
        <f>IF(ISNUMBER('Model_ of_individuals'!AG272), 'Model_ of_individuals'!AG272*'Model_ of_individuals'!$K272,"")</f>
        <v/>
      </c>
      <c r="AH263" s="17" t="str">
        <f>IF(ISNUMBER('Model_ of_individuals'!AH272), 'Model_ of_individuals'!AH272*'Model_ of_individuals'!$K272,"")</f>
        <v/>
      </c>
      <c r="AI263" s="106" t="str">
        <f>IF(ISNUMBER('Model_ of_individuals'!AI272), 'Model_ of_individuals'!AI272*'Model_ of_individuals'!$K272,"")</f>
        <v/>
      </c>
    </row>
    <row r="264" spans="1:46" x14ac:dyDescent="0.25">
      <c r="A264" s="518"/>
      <c r="B264" s="504"/>
      <c r="C264" s="107" t="str">
        <f>IF(AND(ISNUMBER(B248), OR('Cost Inputs'!$H$83&lt;&gt;"", 'Cost Inputs'!$I$83&lt;&gt;"", 'Cost Inputs'!$J$83&lt;&gt;"")),_3_4_6, "")</f>
        <v/>
      </c>
      <c r="D264" s="93" t="str">
        <f>IF(AND(C264&lt;&gt;"", 'Cost Inputs'!$G$83&lt;&gt;""), 'Cost Inputs'!$G$83, "")</f>
        <v/>
      </c>
      <c r="E264" s="93" t="str">
        <f>IF(AND(C264&lt;&gt;"", 'Cost Inputs'!$H$83&lt;&gt;""), 'Cost Inputs'!$H$83, "")</f>
        <v/>
      </c>
      <c r="F264" s="93" t="str">
        <f>IF(AND(C264&lt;&gt;"", 'Cost Inputs'!$I$83&lt;&gt;""), 'Cost Inputs'!$I$83, "")</f>
        <v/>
      </c>
      <c r="G264" s="93" t="str">
        <f t="shared" si="16"/>
        <v/>
      </c>
      <c r="H264" s="93" t="str">
        <f>IF(AND(C264&lt;&gt;"", 'Cost Inputs'!$J$83&lt;&gt;""), 'Cost Inputs'!$J$83, "")</f>
        <v/>
      </c>
      <c r="I264" s="93" t="str">
        <f t="shared" si="15"/>
        <v/>
      </c>
      <c r="J264" s="93" t="str">
        <f>IF(AND(C264&lt;&gt;"",('Cost Inputs'!$I$83+'Cost Inputs'!$J$83+'Cost Inputs'!$K$83)&gt;0), 'Cost Inputs'!$I$83+'Cost Inputs'!$J$83+'Cost Inputs'!$K$83, "")</f>
        <v/>
      </c>
      <c r="K264" s="93" t="str">
        <f>IF(AND(C264&lt;&gt;"", 'Cost Inputs'!$N$83&gt;0),'Cost Inputs'!$N$83,"")</f>
        <v/>
      </c>
      <c r="L264" s="93"/>
      <c r="M264" s="109"/>
      <c r="Z264" s="107" t="str">
        <f>IF(ISNUMBER('Model_ of_individuals'!Z273), 'Model_ of_individuals'!Z273*'Model_ of_individuals'!$K273,"")</f>
        <v/>
      </c>
      <c r="AA264" s="93" t="str">
        <f>IF(ISNUMBER('Model_ of_individuals'!AA273), 'Model_ of_individuals'!AA273*'Model_ of_individuals'!$K273,"")</f>
        <v/>
      </c>
      <c r="AB264" s="93" t="str">
        <f>IF(ISNUMBER('Model_ of_individuals'!AB273), 'Model_ of_individuals'!AB273*'Model_ of_individuals'!$K273,"")</f>
        <v/>
      </c>
      <c r="AC264" s="93" t="str">
        <f>IF(ISNUMBER('Model_ of_individuals'!AC273), 'Model_ of_individuals'!AC273*'Model_ of_individuals'!$K273,"")</f>
        <v/>
      </c>
      <c r="AD264" s="93" t="str">
        <f>IF(ISNUMBER('Model_ of_individuals'!AD273), 'Model_ of_individuals'!AD273*'Model_ of_individuals'!$K273,"")</f>
        <v/>
      </c>
      <c r="AE264" s="93" t="str">
        <f>IF(ISNUMBER('Model_ of_individuals'!AE273), 'Model_ of_individuals'!AE273*'Model_ of_individuals'!$K273,"")</f>
        <v/>
      </c>
      <c r="AF264" s="93" t="str">
        <f>IF(ISNUMBER('Model_ of_individuals'!AF273), 'Model_ of_individuals'!AF273*'Model_ of_individuals'!$K273,"")</f>
        <v/>
      </c>
      <c r="AG264" s="93" t="str">
        <f>IF(ISNUMBER('Model_ of_individuals'!AG273), 'Model_ of_individuals'!AG273*'Model_ of_individuals'!$K273,"")</f>
        <v/>
      </c>
      <c r="AH264" s="93" t="str">
        <f>IF(ISNUMBER('Model_ of_individuals'!AH273), 'Model_ of_individuals'!AH273*'Model_ of_individuals'!$K273,"")</f>
        <v/>
      </c>
      <c r="AI264" s="109" t="str">
        <f>IF(ISNUMBER('Model_ of_individuals'!AI273), 'Model_ of_individuals'!AI273*'Model_ of_individuals'!$K273,"")</f>
        <v/>
      </c>
    </row>
    <row r="265" spans="1:46" x14ac:dyDescent="0.25">
      <c r="A265" s="518"/>
      <c r="B265" s="504"/>
      <c r="C265" s="110" t="str">
        <f>IF(ISNUMBER(B248), _3_5_0,"")</f>
        <v/>
      </c>
      <c r="D265" s="94" t="str">
        <f>IF(AND(B248&lt;&gt;"", OR('Cost Inputs'!$H$84&lt;&gt;"", 'Cost Inputs'!$I$84&lt;&gt;"", 'Cost Inputs'!$J$84&lt;&gt;"")), 'Cost Inputs'!$G$84,"")</f>
        <v/>
      </c>
      <c r="E265" s="94" t="str">
        <f>IF(AND(C265&lt;&gt;"", 'Cost Inputs'!$H$84&lt;&gt;""), 'Cost Inputs'!$H$84, "")</f>
        <v/>
      </c>
      <c r="F265" s="94" t="str">
        <f>IF(AND(C265&lt;&gt;"", 'Cost Inputs'!$I$84&lt;&gt;""), 'Cost Inputs'!$I$84, "")</f>
        <v/>
      </c>
      <c r="G265" s="94" t="str">
        <f t="shared" si="16"/>
        <v/>
      </c>
      <c r="H265" s="94" t="str">
        <f>IF(AND(C265&lt;&gt;"", 'Cost Inputs'!$J$84&lt;&gt;""), 'Cost Inputs'!$J$84, "")</f>
        <v/>
      </c>
      <c r="I265" s="94" t="str">
        <f>IF(AND($E265&lt;&gt;"", $H265&lt;&gt;""), $H265/$E265, "")</f>
        <v/>
      </c>
      <c r="J265" s="94" t="str">
        <f>IF(AND(C265&lt;&gt;"",('Cost Inputs'!$I$84+'Cost Inputs'!$J$84+'Cost Inputs'!$K$84)&gt;0), 'Cost Inputs'!$I$84+'Cost Inputs'!$J$84+'Cost Inputs'!$K$84, "")</f>
        <v/>
      </c>
      <c r="K265" s="94" t="str">
        <f>IF(AND(C265&lt;&gt;"", 'Cost Inputs'!$N$84&gt;0),'Cost Inputs'!$N$84,"")</f>
        <v/>
      </c>
      <c r="L265" s="94"/>
      <c r="M265" s="129" t="str">
        <f>IF(ISNUMBER(B248), 'Breeding Inputs'!D86+'Breeding Inputs'!E86, "")</f>
        <v/>
      </c>
      <c r="Z265" s="110" t="str">
        <f>IF(ISNUMBER('Model_ of_individuals'!Z275), 'Model_ of_individuals'!Z275*'Model_ of_individuals'!$K275,"")</f>
        <v/>
      </c>
      <c r="AA265" s="94" t="str">
        <f>IF(ISNUMBER('Model_ of_individuals'!AA275), 'Model_ of_individuals'!AA275*'Model_ of_individuals'!$K275,"")</f>
        <v/>
      </c>
      <c r="AB265" s="94" t="str">
        <f>IF(ISNUMBER('Model_ of_individuals'!AB275), 'Model_ of_individuals'!AB275*'Model_ of_individuals'!$K275,"")</f>
        <v/>
      </c>
      <c r="AC265" s="94" t="str">
        <f>IF(ISNUMBER('Model_ of_individuals'!AC275), 'Model_ of_individuals'!AC275*'Model_ of_individuals'!$K275,"")</f>
        <v/>
      </c>
      <c r="AD265" s="94" t="str">
        <f>IF(ISNUMBER('Model_ of_individuals'!AD275), 'Model_ of_individuals'!AD275*'Model_ of_individuals'!$K275,"")</f>
        <v/>
      </c>
      <c r="AE265" s="94" t="str">
        <f>IF(ISNUMBER('Model_ of_individuals'!AE275), 'Model_ of_individuals'!AE275*'Model_ of_individuals'!$K275,"")</f>
        <v/>
      </c>
      <c r="AF265" s="94" t="str">
        <f>IF(ISNUMBER('Model_ of_individuals'!AF275), 'Model_ of_individuals'!AF275*'Model_ of_individuals'!$K275,"")</f>
        <v/>
      </c>
      <c r="AG265" s="94" t="str">
        <f>IF(ISNUMBER('Model_ of_individuals'!AG275), 'Model_ of_individuals'!AG275*'Model_ of_individuals'!$K275,"")</f>
        <v/>
      </c>
      <c r="AH265" s="94" t="str">
        <f>IF(ISNUMBER('Model_ of_individuals'!AH275), 'Model_ of_individuals'!AH275*'Model_ of_individuals'!$K275,"")</f>
        <v/>
      </c>
      <c r="AI265" s="103" t="str">
        <f>IF(ISNUMBER('Model_ of_individuals'!AI275), 'Model_ of_individuals'!AI275*'Model_ of_individuals'!$K275,"")</f>
        <v/>
      </c>
    </row>
    <row r="266" spans="1:46" x14ac:dyDescent="0.25">
      <c r="A266" s="518"/>
      <c r="B266" s="504"/>
      <c r="C266" s="104" t="str">
        <f>IF(AND(ISNUMBER(B248), OR('Cost Inputs'!$H$85&lt;&gt;"", 'Cost Inputs'!$I$85&lt;&gt;"", 'Cost Inputs'!$J$85&lt;&gt;"")), _3_5_1, "")</f>
        <v/>
      </c>
      <c r="D266" s="17" t="str">
        <f>IF(AND(C266&lt;&gt;"", 'Cost Inputs'!$G$85&lt;&gt;""), 'Cost Inputs'!$G$85, "")</f>
        <v/>
      </c>
      <c r="E266" s="17" t="str">
        <f>IF(AND(C266&lt;&gt;"", 'Cost Inputs'!$H$85&lt;&gt;""), 'Cost Inputs'!$H$85, "")</f>
        <v/>
      </c>
      <c r="F266" s="17" t="str">
        <f>IF(AND(C266&lt;&gt;"", 'Cost Inputs'!$I$85&lt;&gt;""), 'Cost Inputs'!$I$85, "")</f>
        <v/>
      </c>
      <c r="G266" s="17" t="str">
        <f t="shared" si="16"/>
        <v/>
      </c>
      <c r="H266" s="17" t="str">
        <f>IF(AND(C266&lt;&gt;"", 'Cost Inputs'!$J$85&lt;&gt;""), 'Cost Inputs'!$J$85, "")</f>
        <v/>
      </c>
      <c r="I266" s="17" t="str">
        <f t="shared" si="15"/>
        <v/>
      </c>
      <c r="J266" s="17" t="str">
        <f>IF(AND(C266&lt;&gt;"",('Cost Inputs'!$I$85+'Cost Inputs'!$J$85+'Cost Inputs'!$K$85)&gt;0), 'Cost Inputs'!$I$85+'Cost Inputs'!$J$85+'Cost Inputs'!$K$85, "")</f>
        <v/>
      </c>
      <c r="K266" s="17" t="str">
        <f>IF(AND(C266&lt;&gt;"", 'Cost Inputs'!$N$85&gt;0),'Cost Inputs'!$N$85,"")</f>
        <v/>
      </c>
      <c r="M266" s="106"/>
      <c r="Z266" s="104" t="str">
        <f>IF(ISNUMBER('Model_ of_individuals'!Z276), 'Model_ of_individuals'!Z276*'Model_ of_individuals'!$K276,"")</f>
        <v/>
      </c>
      <c r="AA266" s="17" t="str">
        <f>IF(ISNUMBER('Model_ of_individuals'!AA276), 'Model_ of_individuals'!AA276*'Model_ of_individuals'!$K276,"")</f>
        <v/>
      </c>
      <c r="AB266" s="17" t="str">
        <f>IF(ISNUMBER('Model_ of_individuals'!AB276), 'Model_ of_individuals'!AB276*'Model_ of_individuals'!$K276,"")</f>
        <v/>
      </c>
      <c r="AC266" s="17" t="str">
        <f>IF(ISNUMBER('Model_ of_individuals'!AC276), 'Model_ of_individuals'!AC276*'Model_ of_individuals'!$K276,"")</f>
        <v/>
      </c>
      <c r="AD266" s="17" t="str">
        <f>IF(ISNUMBER('Model_ of_individuals'!AD276), 'Model_ of_individuals'!AD276*'Model_ of_individuals'!$K276,"")</f>
        <v/>
      </c>
      <c r="AE266" s="17" t="str">
        <f>IF(ISNUMBER('Model_ of_individuals'!AE276), 'Model_ of_individuals'!AE276*'Model_ of_individuals'!$K276,"")</f>
        <v/>
      </c>
      <c r="AF266" s="17" t="str">
        <f>IF(ISNUMBER('Model_ of_individuals'!AF276), 'Model_ of_individuals'!AF276*'Model_ of_individuals'!$K276,"")</f>
        <v/>
      </c>
      <c r="AG266" s="17" t="str">
        <f>IF(ISNUMBER('Model_ of_individuals'!AG276), 'Model_ of_individuals'!AG276*'Model_ of_individuals'!$K276,"")</f>
        <v/>
      </c>
      <c r="AH266" s="17" t="str">
        <f>IF(ISNUMBER('Model_ of_individuals'!AH276), 'Model_ of_individuals'!AH276*'Model_ of_individuals'!$K276,"")</f>
        <v/>
      </c>
      <c r="AI266" s="106" t="str">
        <f>IF(ISNUMBER('Model_ of_individuals'!AI276), 'Model_ of_individuals'!AI276*'Model_ of_individuals'!$K276,"")</f>
        <v/>
      </c>
    </row>
    <row r="267" spans="1:46" ht="15.75" thickBot="1" x14ac:dyDescent="0.3">
      <c r="A267" s="518"/>
      <c r="B267" s="504"/>
      <c r="C267" s="107" t="str">
        <f>IF(AND(ISNUMBER(B248), OR('Cost Inputs'!$H$86&lt;&gt;"", 'Cost Inputs'!$I$86&lt;&gt;"", 'Cost Inputs'!$J$86&lt;&gt;"")), _3_5_2, "")</f>
        <v/>
      </c>
      <c r="D267" s="93" t="str">
        <f>IF(AND(C267&lt;&gt;"", 'Cost Inputs'!$G$86&lt;&gt;""), 'Cost Inputs'!$G$86, "")</f>
        <v/>
      </c>
      <c r="E267" s="93" t="str">
        <f>IF(AND(C267&lt;&gt;"", 'Cost Inputs'!$H$86&lt;&gt;""), 'Cost Inputs'!$H$86, "")</f>
        <v/>
      </c>
      <c r="F267" s="93" t="str">
        <f>IF(AND(C267&lt;&gt;"", 'Cost Inputs'!$I$86&lt;&gt;""), 'Cost Inputs'!$I$86, "")</f>
        <v/>
      </c>
      <c r="G267" s="93" t="str">
        <f t="shared" si="16"/>
        <v/>
      </c>
      <c r="H267" s="93" t="str">
        <f>IF(AND(C267&lt;&gt;"", 'Cost Inputs'!$J$86&lt;&gt;""), 'Cost Inputs'!$J$86, "")</f>
        <v/>
      </c>
      <c r="I267" s="93" t="str">
        <f t="shared" si="15"/>
        <v/>
      </c>
      <c r="J267" s="93" t="str">
        <f>IF(AND(C267&lt;&gt;"",('Cost Inputs'!$I$86+'Cost Inputs'!$J$86+'Cost Inputs'!$K$86)&gt;0), 'Cost Inputs'!$I$86+'Cost Inputs'!$J$86+'Cost Inputs'!$K$86, "")</f>
        <v/>
      </c>
      <c r="K267" s="93" t="str">
        <f>IF(AND(C267&lt;&gt;"", 'Cost Inputs'!$N$86&gt;0),'Cost Inputs'!$N$86,"")</f>
        <v/>
      </c>
      <c r="L267" s="93"/>
      <c r="M267" s="109"/>
      <c r="Z267" s="107" t="str">
        <f>IF(ISNUMBER('Model_ of_individuals'!Z277), 'Model_ of_individuals'!Z277*'Model_ of_individuals'!$K277,"")</f>
        <v/>
      </c>
      <c r="AA267" s="93" t="str">
        <f>IF(ISNUMBER('Model_ of_individuals'!AA277), 'Model_ of_individuals'!AA277*'Model_ of_individuals'!$K277,"")</f>
        <v/>
      </c>
      <c r="AB267" s="93" t="str">
        <f>IF(ISNUMBER('Model_ of_individuals'!AB277), 'Model_ of_individuals'!AB277*'Model_ of_individuals'!$K277,"")</f>
        <v/>
      </c>
      <c r="AC267" s="93" t="str">
        <f>IF(ISNUMBER('Model_ of_individuals'!AC277), 'Model_ of_individuals'!AC277*'Model_ of_individuals'!$K277,"")</f>
        <v/>
      </c>
      <c r="AD267" s="93" t="str">
        <f>IF(ISNUMBER('Model_ of_individuals'!AD277), 'Model_ of_individuals'!AD277*'Model_ of_individuals'!$K277,"")</f>
        <v/>
      </c>
      <c r="AE267" s="93" t="str">
        <f>IF(ISNUMBER('Model_ of_individuals'!AE277), 'Model_ of_individuals'!AE277*'Model_ of_individuals'!$K277,"")</f>
        <v/>
      </c>
      <c r="AF267" s="93" t="str">
        <f>IF(ISNUMBER('Model_ of_individuals'!AF277), 'Model_ of_individuals'!AF277*'Model_ of_individuals'!$K277,"")</f>
        <v/>
      </c>
      <c r="AG267" s="93" t="str">
        <f>IF(ISNUMBER('Model_ of_individuals'!AG277), 'Model_ of_individuals'!AG277*'Model_ of_individuals'!$K277,"")</f>
        <v/>
      </c>
      <c r="AH267" s="93" t="str">
        <f>IF(ISNUMBER('Model_ of_individuals'!AH277), 'Model_ of_individuals'!AH277*'Model_ of_individuals'!$K277,"")</f>
        <v/>
      </c>
      <c r="AI267" s="109" t="str">
        <f>IF(ISNUMBER('Model_ of_individuals'!AI277), 'Model_ of_individuals'!AI277*'Model_ of_individuals'!$K277,"")</f>
        <v/>
      </c>
    </row>
    <row r="268" spans="1:46" ht="44.45" customHeight="1" thickBot="1" x14ac:dyDescent="0.3">
      <c r="A268" s="98"/>
      <c r="B268" s="99"/>
      <c r="C268" s="114"/>
      <c r="D268" s="114"/>
      <c r="E268" s="114"/>
      <c r="F268" s="114"/>
      <c r="G268" s="114" t="str">
        <f t="shared" si="16"/>
        <v/>
      </c>
      <c r="H268" s="114"/>
      <c r="I268" s="114"/>
      <c r="J268" s="114"/>
      <c r="K268" s="114"/>
      <c r="L268" s="114"/>
      <c r="M268" s="115"/>
      <c r="O268" s="136" t="str">
        <f>'Breeding Inputs'!$B89</f>
        <v/>
      </c>
      <c r="P268" s="136" t="e">
        <f>O268+1</f>
        <v>#VALUE!</v>
      </c>
      <c r="Q268" s="136" t="e">
        <f t="shared" ref="Q268:X268" si="17">P268+1</f>
        <v>#VALUE!</v>
      </c>
      <c r="R268" s="136" t="e">
        <f t="shared" si="17"/>
        <v>#VALUE!</v>
      </c>
      <c r="S268" s="136" t="e">
        <f t="shared" si="17"/>
        <v>#VALUE!</v>
      </c>
      <c r="T268" s="136" t="e">
        <f t="shared" si="17"/>
        <v>#VALUE!</v>
      </c>
      <c r="U268" s="136" t="e">
        <f t="shared" si="17"/>
        <v>#VALUE!</v>
      </c>
      <c r="V268" s="136" t="e">
        <f t="shared" si="17"/>
        <v>#VALUE!</v>
      </c>
      <c r="W268" s="136" t="e">
        <f t="shared" si="17"/>
        <v>#VALUE!</v>
      </c>
      <c r="X268" s="136" t="e">
        <f t="shared" si="17"/>
        <v>#VALUE!</v>
      </c>
      <c r="Y268" s="136" t="e">
        <f>X268+1</f>
        <v>#VALUE!</v>
      </c>
      <c r="Z268" s="136" t="e">
        <f t="shared" ref="Z268:AR268" si="18">Y268+1</f>
        <v>#VALUE!</v>
      </c>
      <c r="AA268" s="136" t="e">
        <f t="shared" si="18"/>
        <v>#VALUE!</v>
      </c>
      <c r="AB268" s="136" t="e">
        <f t="shared" si="18"/>
        <v>#VALUE!</v>
      </c>
      <c r="AC268" s="136" t="e">
        <f t="shared" si="18"/>
        <v>#VALUE!</v>
      </c>
      <c r="AD268" s="136" t="e">
        <f t="shared" si="18"/>
        <v>#VALUE!</v>
      </c>
      <c r="AE268" s="136" t="e">
        <f t="shared" si="18"/>
        <v>#VALUE!</v>
      </c>
      <c r="AF268" s="136" t="e">
        <f t="shared" si="18"/>
        <v>#VALUE!</v>
      </c>
      <c r="AG268" s="136" t="e">
        <f t="shared" si="18"/>
        <v>#VALUE!</v>
      </c>
      <c r="AH268" s="136" t="e">
        <f t="shared" si="18"/>
        <v>#VALUE!</v>
      </c>
      <c r="AI268" s="136" t="e">
        <f t="shared" si="18"/>
        <v>#VALUE!</v>
      </c>
      <c r="AJ268" s="136" t="e">
        <f t="shared" si="18"/>
        <v>#VALUE!</v>
      </c>
      <c r="AK268" s="136" t="e">
        <f t="shared" si="18"/>
        <v>#VALUE!</v>
      </c>
      <c r="AL268" s="136" t="e">
        <f t="shared" si="18"/>
        <v>#VALUE!</v>
      </c>
      <c r="AM268" s="136" t="e">
        <f t="shared" si="18"/>
        <v>#VALUE!</v>
      </c>
      <c r="AN268" s="136" t="e">
        <f t="shared" si="18"/>
        <v>#VALUE!</v>
      </c>
      <c r="AO268" s="136" t="e">
        <f t="shared" si="18"/>
        <v>#VALUE!</v>
      </c>
      <c r="AP268" s="136" t="e">
        <f t="shared" si="18"/>
        <v>#VALUE!</v>
      </c>
      <c r="AQ268" s="136" t="e">
        <f t="shared" si="18"/>
        <v>#VALUE!</v>
      </c>
      <c r="AR268" s="136" t="e">
        <f t="shared" si="18"/>
        <v>#VALUE!</v>
      </c>
    </row>
    <row r="269" spans="1:46" ht="16.899999999999999" customHeight="1" thickBot="1" x14ac:dyDescent="0.3">
      <c r="A269" s="13"/>
      <c r="B269" s="13"/>
      <c r="C269" s="267"/>
      <c r="D269" s="267"/>
      <c r="E269" s="267"/>
      <c r="F269" s="267"/>
      <c r="G269" s="267"/>
      <c r="H269" s="267"/>
      <c r="I269" s="267"/>
      <c r="J269" s="267"/>
      <c r="K269" s="267"/>
      <c r="L269" s="267"/>
      <c r="M269" s="268"/>
      <c r="O269" s="136" t="e">
        <f t="shared" ref="O269:AR269" ca="1" si="19">IF(AND(Cultivar_1_Program_Year_Selection=O268, Cultivar_2_Program_Year_Selection=O268, Cultivar_3_Program_Year_Selection=O268),123,
IF(AND(Cultivar_1_Program_Year_Selection=O268,  Cultivar_2_Program_Year_Selection=O268),12,
IF(AND(Cultivar_1_Program_Year_Selection=O268, Cultivar_3_Program_Year_Selection=O268), 13,
IF(AND(Cultivar_2_Program_Year_Selection=O268, Cultivar_3_Program_Year_Selection=O268), 23,
IF(Cultivar_1_Program_Year_Selection=O268, 1,
IF(Cultivar_2_Program_Year_Selection=O268, 2,
IF(Cultivar_3_Program_Year_Selection=O268, 3,"")))))))</f>
        <v>#VALUE!</v>
      </c>
      <c r="P269" s="136" t="e">
        <f t="shared" ca="1" si="19"/>
        <v>#VALUE!</v>
      </c>
      <c r="Q269" s="136" t="e">
        <f t="shared" ca="1" si="19"/>
        <v>#VALUE!</v>
      </c>
      <c r="R269" s="136" t="e">
        <f t="shared" ca="1" si="19"/>
        <v>#VALUE!</v>
      </c>
      <c r="S269" s="136" t="e">
        <f t="shared" ca="1" si="19"/>
        <v>#VALUE!</v>
      </c>
      <c r="T269" s="136" t="e">
        <f t="shared" ca="1" si="19"/>
        <v>#VALUE!</v>
      </c>
      <c r="U269" s="136" t="e">
        <f t="shared" ca="1" si="19"/>
        <v>#VALUE!</v>
      </c>
      <c r="V269" s="136" t="e">
        <f t="shared" ca="1" si="19"/>
        <v>#VALUE!</v>
      </c>
      <c r="W269" s="136" t="e">
        <f t="shared" ca="1" si="19"/>
        <v>#VALUE!</v>
      </c>
      <c r="X269" s="136" t="e">
        <f t="shared" ca="1" si="19"/>
        <v>#VALUE!</v>
      </c>
      <c r="Y269" s="136" t="e">
        <f t="shared" ca="1" si="19"/>
        <v>#VALUE!</v>
      </c>
      <c r="Z269" s="136" t="e">
        <f t="shared" ca="1" si="19"/>
        <v>#VALUE!</v>
      </c>
      <c r="AA269" s="136" t="e">
        <f t="shared" ca="1" si="19"/>
        <v>#VALUE!</v>
      </c>
      <c r="AB269" s="136" t="e">
        <f t="shared" ca="1" si="19"/>
        <v>#VALUE!</v>
      </c>
      <c r="AC269" s="136" t="e">
        <f t="shared" ca="1" si="19"/>
        <v>#VALUE!</v>
      </c>
      <c r="AD269" s="136" t="e">
        <f t="shared" ca="1" si="19"/>
        <v>#VALUE!</v>
      </c>
      <c r="AE269" s="136" t="e">
        <f t="shared" ca="1" si="19"/>
        <v>#VALUE!</v>
      </c>
      <c r="AF269" s="136" t="e">
        <f t="shared" ca="1" si="19"/>
        <v>#VALUE!</v>
      </c>
      <c r="AG269" s="136" t="e">
        <f t="shared" ca="1" si="19"/>
        <v>#VALUE!</v>
      </c>
      <c r="AH269" s="136" t="e">
        <f t="shared" ca="1" si="19"/>
        <v>#VALUE!</v>
      </c>
      <c r="AI269" s="136" t="e">
        <f t="shared" ca="1" si="19"/>
        <v>#VALUE!</v>
      </c>
      <c r="AJ269" s="136" t="e">
        <f t="shared" ca="1" si="19"/>
        <v>#VALUE!</v>
      </c>
      <c r="AK269" s="136" t="e">
        <f t="shared" ca="1" si="19"/>
        <v>#VALUE!</v>
      </c>
      <c r="AL269" s="136" t="e">
        <f t="shared" ca="1" si="19"/>
        <v>#VALUE!</v>
      </c>
      <c r="AM269" s="136" t="e">
        <f t="shared" ca="1" si="19"/>
        <v>#VALUE!</v>
      </c>
      <c r="AN269" s="136" t="e">
        <f t="shared" ca="1" si="19"/>
        <v>#VALUE!</v>
      </c>
      <c r="AO269" s="136" t="e">
        <f t="shared" ca="1" si="19"/>
        <v>#VALUE!</v>
      </c>
      <c r="AP269" s="136" t="e">
        <f t="shared" ca="1" si="19"/>
        <v>#VALUE!</v>
      </c>
      <c r="AQ269" s="136" t="e">
        <f t="shared" ca="1" si="19"/>
        <v>#VALUE!</v>
      </c>
      <c r="AR269" s="136" t="e">
        <f t="shared" ca="1" si="19"/>
        <v>#VALUE!</v>
      </c>
    </row>
    <row r="270" spans="1:46" x14ac:dyDescent="0.25">
      <c r="A270" s="518" t="str">
        <f>Fourth_Stage</f>
        <v>Stage 2 Clonal Test Plots</v>
      </c>
      <c r="B270" s="504" t="str">
        <f>'Breeding Inputs'!B89</f>
        <v/>
      </c>
      <c r="C270" s="520" t="str">
        <f>IF(ISNUMBER(B270), _4_1_0, "")</f>
        <v/>
      </c>
      <c r="D270" s="92" t="str">
        <f>IF(AND(C270&lt;&gt;"", 'Cost Inputs'!$G$88&lt;&gt;""), 'Cost Inputs'!$G$88, "")</f>
        <v/>
      </c>
      <c r="E270" s="92" t="str">
        <f>IF(AND(C270&lt;&gt;"", 'Cost Inputs'!$H$88&lt;&gt;""), 'Cost Inputs'!$H$88, "")</f>
        <v/>
      </c>
      <c r="F270" s="522" t="str">
        <f>IF(AND(C270&lt;&gt;"", 'Cost Inputs'!$I$88&lt;&gt;""), 'Cost Inputs'!$I$88, "")</f>
        <v/>
      </c>
      <c r="G270" s="100" t="str">
        <f t="shared" si="16"/>
        <v/>
      </c>
      <c r="H270" s="522" t="str">
        <f>IF(AND(C270&lt;&gt;"", 'Cost Inputs'!$J$88&lt;&gt;""), 'Cost Inputs'!$J$88, "")</f>
        <v/>
      </c>
      <c r="I270" s="100" t="str">
        <f>IF($C270&lt;&gt;"",IF(AND($E270&lt;&gt;"",H270&lt;&gt;""), H270/$E270, 0),"")</f>
        <v/>
      </c>
      <c r="J270" s="522" t="str">
        <f>IF(AND(C270&lt;&gt;"",('Cost Inputs'!$I$88+'Cost Inputs'!$J$88+'Cost Inputs'!$K$88)&gt;0), 'Cost Inputs'!$I$88+'Cost Inputs'!$J$88+'Cost Inputs'!$K$88, "")</f>
        <v/>
      </c>
      <c r="K270" s="100" t="str">
        <f>IF($C270&lt;&gt;"",IF(AND($E270&lt;&gt;"",J270&lt;&gt;""), J270/$E270, 0),"")</f>
        <v/>
      </c>
      <c r="L270" s="524" t="str">
        <f>IF(AND($B270&lt;&gt;"", 'Breeding Inputs'!$C$89&lt;&gt;""), INDEX('Breeding Inputs'!$C$89:$C$98, MATCH($B270,'Breeding Inputs'!$B$89:$B$98,0)), IF($B270="", "", 0%))</f>
        <v/>
      </c>
      <c r="M270" s="524" t="str">
        <f>IF(AND(B270&lt;&gt;"", 'Breeding Inputs'!$D$89&lt;&gt;""), INDEX('Breeding Inputs'!$D$89:$D$98, MATCH(B270,'Breeding Inputs'!$B$89:$B$98,0))+INDEX('Breeding Inputs'!$E$89:$E$98, MATCH(B270,'Breeding Inputs'!$B$89:$B$98,0)), IF(B270="", "", 0%))</f>
        <v/>
      </c>
      <c r="O270" s="496" t="str">
        <f>IF(ISNUMBER('Model_ of_individuals'!O280), 'Model_ of_individuals'!O280*'Model_ of_individuals'!$K280,"")</f>
        <v/>
      </c>
      <c r="P270" s="496" t="str">
        <f>IF(ISNUMBER('Model_ of_individuals'!P280), 'Model_ of_individuals'!P280*'Model_ of_individuals'!$K280,"")</f>
        <v/>
      </c>
      <c r="Q270" s="496" t="str">
        <f>IF(ISNUMBER('Model_ of_individuals'!Q280), 'Model_ of_individuals'!Q280*'Model_ of_individuals'!$K280,"")</f>
        <v/>
      </c>
      <c r="R270" s="496" t="str">
        <f>IF(ISNUMBER('Model_ of_individuals'!R280), 'Model_ of_individuals'!R280*'Model_ of_individuals'!$K280,"")</f>
        <v/>
      </c>
      <c r="S270" s="496" t="str">
        <f>IF(ISNUMBER('Model_ of_individuals'!S280), 'Model_ of_individuals'!S280*'Model_ of_individuals'!$K280,"")</f>
        <v/>
      </c>
      <c r="T270" s="496" t="str">
        <f>IF(ISNUMBER('Model_ of_individuals'!T280), 'Model_ of_individuals'!T280*'Model_ of_individuals'!$K280,"")</f>
        <v/>
      </c>
      <c r="U270" s="496" t="str">
        <f>IF(ISNUMBER('Model_ of_individuals'!U280), 'Model_ of_individuals'!U280*'Model_ of_individuals'!$K280,"")</f>
        <v/>
      </c>
      <c r="V270" s="496" t="str">
        <f>IF(ISNUMBER('Model_ of_individuals'!V280), 'Model_ of_individuals'!V280*'Model_ of_individuals'!$K280,"")</f>
        <v/>
      </c>
      <c r="W270" s="496" t="str">
        <f>IF(ISNUMBER('Model_ of_individuals'!W280), 'Model_ of_individuals'!W280*'Model_ of_individuals'!$K280,"")</f>
        <v/>
      </c>
      <c r="X270" s="496" t="str">
        <f>IF(ISNUMBER('Model_ of_individuals'!X280), 'Model_ of_individuals'!X280*'Model_ of_individuals'!$K280,"")</f>
        <v/>
      </c>
      <c r="Y270" s="496" t="str">
        <f>IF(ISNUMBER('Model_ of_individuals'!Y280), 'Model_ of_individuals'!Y280*'Model_ of_individuals'!$K280,"")</f>
        <v/>
      </c>
      <c r="Z270" s="496" t="str">
        <f>IF(ISNUMBER('Model_ of_individuals'!Z280), 'Model_ of_individuals'!Z280*'Model_ of_individuals'!$K280,"")</f>
        <v/>
      </c>
      <c r="AA270" s="496" t="str">
        <f>IF(ISNUMBER('Model_ of_individuals'!AA280), 'Model_ of_individuals'!AA280*'Model_ of_individuals'!$K280,"")</f>
        <v/>
      </c>
      <c r="AB270" s="496" t="str">
        <f>IF(ISNUMBER('Model_ of_individuals'!AB280), 'Model_ of_individuals'!AB280*'Model_ of_individuals'!$K280,"")</f>
        <v/>
      </c>
      <c r="AC270" s="496" t="str">
        <f>IF(ISNUMBER('Model_ of_individuals'!AC280), 'Model_ of_individuals'!AC280*'Model_ of_individuals'!$K280,"")</f>
        <v/>
      </c>
      <c r="AD270" s="496" t="str">
        <f>IF(ISNUMBER('Model_ of_individuals'!AD280), 'Model_ of_individuals'!AD280*'Model_ of_individuals'!$K280,"")</f>
        <v/>
      </c>
      <c r="AE270" s="496" t="str">
        <f>IF(ISNUMBER('Model_ of_individuals'!AE280), 'Model_ of_individuals'!AE280*'Model_ of_individuals'!$K280,"")</f>
        <v/>
      </c>
      <c r="AF270" s="496" t="str">
        <f>IF(ISNUMBER('Model_ of_individuals'!AF280), 'Model_ of_individuals'!AF280*'Model_ of_individuals'!$K280,"")</f>
        <v/>
      </c>
      <c r="AG270" s="496" t="str">
        <f>IF(ISNUMBER('Model_ of_individuals'!AG280), 'Model_ of_individuals'!AG280*'Model_ of_individuals'!$K280,"")</f>
        <v/>
      </c>
      <c r="AH270" s="496" t="str">
        <f>IF(ISNUMBER('Model_ of_individuals'!AH280), 'Model_ of_individuals'!AH280*'Model_ of_individuals'!$K280,"")</f>
        <v/>
      </c>
      <c r="AI270" s="496" t="str">
        <f>IF(ISNUMBER('Model_ of_individuals'!AI280), 'Model_ of_individuals'!AI280*'Model_ of_individuals'!$K280,"")</f>
        <v/>
      </c>
      <c r="AJ270" s="496" t="str">
        <f>IF(ISNUMBER('Model_ of_individuals'!AJ280), 'Model_ of_individuals'!AJ280*'Model_ of_individuals'!$K280,"")</f>
        <v/>
      </c>
      <c r="AK270" s="496" t="str">
        <f>IF(ISNUMBER('Model_ of_individuals'!AK280), 'Model_ of_individuals'!AK280*'Model_ of_individuals'!$K280,"")</f>
        <v/>
      </c>
      <c r="AL270" s="496" t="str">
        <f>IF(ISNUMBER('Model_ of_individuals'!AL280), 'Model_ of_individuals'!AL280*'Model_ of_individuals'!$K280,"")</f>
        <v/>
      </c>
      <c r="AM270" s="496" t="str">
        <f>IF(ISNUMBER('Model_ of_individuals'!AM280), 'Model_ of_individuals'!AM280*'Model_ of_individuals'!$K280,"")</f>
        <v/>
      </c>
      <c r="AN270" s="496" t="str">
        <f>IF(ISNUMBER('Model_ of_individuals'!AN280), 'Model_ of_individuals'!AN280*'Model_ of_individuals'!$K280,"")</f>
        <v/>
      </c>
      <c r="AO270" s="496" t="str">
        <f>IF(ISNUMBER('Model_ of_individuals'!AO280), 'Model_ of_individuals'!AO280*'Model_ of_individuals'!$K280,"")</f>
        <v/>
      </c>
      <c r="AP270" s="496" t="str">
        <f>IF(ISNUMBER('Model_ of_individuals'!AP280), 'Model_ of_individuals'!AP280*'Model_ of_individuals'!$K280,"")</f>
        <v/>
      </c>
      <c r="AQ270" s="496" t="str">
        <f>IF(ISNUMBER('Model_ of_individuals'!AQ280), 'Model_ of_individuals'!AQ280*'Model_ of_individuals'!$K280,"")</f>
        <v/>
      </c>
      <c r="AR270" s="496" t="str">
        <f>IF(ISNUMBER('Model_ of_individuals'!AR280), 'Model_ of_individuals'!AR280*'Model_ of_individuals'!$K280,"")</f>
        <v/>
      </c>
    </row>
    <row r="271" spans="1:46" x14ac:dyDescent="0.25">
      <c r="A271" s="518"/>
      <c r="B271" s="504"/>
      <c r="C271" s="521"/>
      <c r="D271" s="94" t="str">
        <f>IF(AND(C270&lt;&gt;"", 'Cost Inputs'!$G$89&lt;&gt;""), 'Cost Inputs'!$G$89, "")</f>
        <v/>
      </c>
      <c r="E271" s="94" t="str">
        <f>IF(AND(C270&lt;&gt;"", 'Cost Inputs'!$H$89&lt;&gt;""), 'Cost Inputs'!$H$89, "")</f>
        <v/>
      </c>
      <c r="F271" s="492" t="str">
        <f>IF(AND(C271&lt;&gt;"", 'Cost Inputs'!$I$86&lt;&gt;""), 'Cost Inputs'!$I$86, "")</f>
        <v/>
      </c>
      <c r="G271" s="102" t="str">
        <f t="shared" si="16"/>
        <v/>
      </c>
      <c r="H271" s="492" t="str">
        <f>IF(AND(C271&lt;&gt;"", 'Cost Inputs'!$J$86&lt;&gt;""), 'Cost Inputs'!$J$86, "")</f>
        <v/>
      </c>
      <c r="I271" s="102" t="str">
        <f>IF($C270&lt;&gt;"", IF(AND($E271&lt;&gt;"", H270&lt;&gt;""), H270/($E270*$E271), 0), "")</f>
        <v/>
      </c>
      <c r="J271" s="492" t="str">
        <f>IF(AND(C271&lt;&gt;"",('Cost Inputs'!$I$86+'Cost Inputs'!$J$86+'Cost Inputs'!$K$86)&gt;0), 'Cost Inputs'!$I$86+'Cost Inputs'!$J$86+'Cost Inputs'!$K$86, "")</f>
        <v/>
      </c>
      <c r="K271" s="102" t="str">
        <f>IF($C270&lt;&gt;"", IF(AND($E271&lt;&gt;"", J270&lt;&gt;""), J270/($E270*$E271), 0), "")</f>
        <v/>
      </c>
      <c r="L271" s="525"/>
      <c r="M271" s="525"/>
      <c r="N271" s="137"/>
      <c r="O271" s="496" t="str">
        <f>IF(ISNUMBER('Model_ of_individuals'!O281), 'Model_ of_individuals'!O281*'Model_ of_individuals'!$K281,"")</f>
        <v/>
      </c>
      <c r="P271" s="496" t="str">
        <f>IF(ISNUMBER('Model_ of_individuals'!P281), 'Model_ of_individuals'!P281*'Model_ of_individuals'!$K281,"")</f>
        <v/>
      </c>
      <c r="Q271" s="496" t="str">
        <f>IF(ISNUMBER('Model_ of_individuals'!Q281), 'Model_ of_individuals'!Q281*'Model_ of_individuals'!$K281,"")</f>
        <v/>
      </c>
      <c r="R271" s="496" t="str">
        <f>IF(ISNUMBER('Model_ of_individuals'!R281), 'Model_ of_individuals'!R281*'Model_ of_individuals'!$K281,"")</f>
        <v/>
      </c>
      <c r="S271" s="496" t="str">
        <f>IF(ISNUMBER('Model_ of_individuals'!S281), 'Model_ of_individuals'!S281*'Model_ of_individuals'!$K281,"")</f>
        <v/>
      </c>
      <c r="T271" s="496" t="str">
        <f>IF(ISNUMBER('Model_ of_individuals'!T281), 'Model_ of_individuals'!T281*'Model_ of_individuals'!$K281,"")</f>
        <v/>
      </c>
      <c r="U271" s="496" t="str">
        <f>IF(ISNUMBER('Model_ of_individuals'!U281), 'Model_ of_individuals'!U281*'Model_ of_individuals'!$K281,"")</f>
        <v/>
      </c>
      <c r="V271" s="496" t="str">
        <f>IF(ISNUMBER('Model_ of_individuals'!V281), 'Model_ of_individuals'!V281*'Model_ of_individuals'!$K281,"")</f>
        <v/>
      </c>
      <c r="W271" s="496" t="str">
        <f>IF(ISNUMBER('Model_ of_individuals'!W281), 'Model_ of_individuals'!W281*'Model_ of_individuals'!$K281,"")</f>
        <v/>
      </c>
      <c r="X271" s="496" t="str">
        <f>IF(ISNUMBER('Model_ of_individuals'!X281), 'Model_ of_individuals'!X281*'Model_ of_individuals'!$K281,"")</f>
        <v/>
      </c>
      <c r="Y271" s="496" t="str">
        <f>IF(ISNUMBER('Model_ of_individuals'!Y281), 'Model_ of_individuals'!Y281*'Model_ of_individuals'!$K281,"")</f>
        <v/>
      </c>
      <c r="Z271" s="496" t="str">
        <f>IF(ISNUMBER('Model_ of_individuals'!Z281), 'Model_ of_individuals'!Z281*'Model_ of_individuals'!$K281,"")</f>
        <v/>
      </c>
      <c r="AA271" s="496" t="str">
        <f>IF(ISNUMBER('Model_ of_individuals'!AA281), 'Model_ of_individuals'!AA281*'Model_ of_individuals'!$K281,"")</f>
        <v/>
      </c>
      <c r="AB271" s="496" t="str">
        <f>IF(ISNUMBER('Model_ of_individuals'!AB281), 'Model_ of_individuals'!AB281*'Model_ of_individuals'!$K281,"")</f>
        <v/>
      </c>
      <c r="AC271" s="496" t="str">
        <f>IF(ISNUMBER('Model_ of_individuals'!AC281), 'Model_ of_individuals'!AC281*'Model_ of_individuals'!$K281,"")</f>
        <v/>
      </c>
      <c r="AD271" s="496" t="str">
        <f>IF(ISNUMBER('Model_ of_individuals'!AD281), 'Model_ of_individuals'!AD281*'Model_ of_individuals'!$K281,"")</f>
        <v/>
      </c>
      <c r="AE271" s="496" t="str">
        <f>IF(ISNUMBER('Model_ of_individuals'!AE281), 'Model_ of_individuals'!AE281*'Model_ of_individuals'!$K281,"")</f>
        <v/>
      </c>
      <c r="AF271" s="496" t="str">
        <f>IF(ISNUMBER('Model_ of_individuals'!AF281), 'Model_ of_individuals'!AF281*'Model_ of_individuals'!$K281,"")</f>
        <v/>
      </c>
      <c r="AG271" s="496" t="str">
        <f>IF(ISNUMBER('Model_ of_individuals'!AG281), 'Model_ of_individuals'!AG281*'Model_ of_individuals'!$K281,"")</f>
        <v/>
      </c>
      <c r="AH271" s="496" t="str">
        <f>IF(ISNUMBER('Model_ of_individuals'!AH281), 'Model_ of_individuals'!AH281*'Model_ of_individuals'!$K281,"")</f>
        <v/>
      </c>
      <c r="AI271" s="496" t="str">
        <f>IF(ISNUMBER('Model_ of_individuals'!AI281), 'Model_ of_individuals'!AI281*'Model_ of_individuals'!$K281,"")</f>
        <v/>
      </c>
      <c r="AJ271" s="496" t="str">
        <f>IF(ISNUMBER('Model_ of_individuals'!AJ281), 'Model_ of_individuals'!AJ281*'Model_ of_individuals'!$K281,"")</f>
        <v/>
      </c>
      <c r="AK271" s="496" t="str">
        <f>IF(ISNUMBER('Model_ of_individuals'!AK281), 'Model_ of_individuals'!AK281*'Model_ of_individuals'!$K281,"")</f>
        <v/>
      </c>
      <c r="AL271" s="496" t="str">
        <f>IF(ISNUMBER('Model_ of_individuals'!AL281), 'Model_ of_individuals'!AL281*'Model_ of_individuals'!$K281,"")</f>
        <v/>
      </c>
      <c r="AM271" s="496" t="str">
        <f>IF(ISNUMBER('Model_ of_individuals'!AM281), 'Model_ of_individuals'!AM281*'Model_ of_individuals'!$K281,"")</f>
        <v/>
      </c>
      <c r="AN271" s="496" t="str">
        <f>IF(ISNUMBER('Model_ of_individuals'!AN281), 'Model_ of_individuals'!AN281*'Model_ of_individuals'!$K281,"")</f>
        <v/>
      </c>
      <c r="AO271" s="496" t="str">
        <f>IF(ISNUMBER('Model_ of_individuals'!AO281), 'Model_ of_individuals'!AO281*'Model_ of_individuals'!$K281,"")</f>
        <v/>
      </c>
      <c r="AP271" s="496" t="str">
        <f>IF(ISNUMBER('Model_ of_individuals'!AP281), 'Model_ of_individuals'!AP281*'Model_ of_individuals'!$K281,"")</f>
        <v/>
      </c>
      <c r="AQ271" s="496" t="str">
        <f>IF(ISNUMBER('Model_ of_individuals'!AQ281), 'Model_ of_individuals'!AQ281*'Model_ of_individuals'!$K281,"")</f>
        <v/>
      </c>
      <c r="AR271" s="496" t="str">
        <f>IF(ISNUMBER('Model_ of_individuals'!AR281), 'Model_ of_individuals'!AR281*'Model_ of_individuals'!$K281,"")</f>
        <v/>
      </c>
      <c r="AT271" s="137"/>
    </row>
    <row r="272" spans="1:46" x14ac:dyDescent="0.25">
      <c r="A272" s="518"/>
      <c r="B272" s="504"/>
      <c r="C272" s="376" t="str">
        <f>IF(AND(ISNUMBER(B270), OR('Cost Inputs'!H90&lt;&gt;"", 'Cost Inputs'!I90&lt;&gt;"", 'Cost Inputs'!J90&lt;&gt;"")), _4_1_1, "")</f>
        <v/>
      </c>
      <c r="D272" s="17" t="str">
        <f>IF(AND(C272&lt;&gt;"", 'Cost Inputs'!G90&lt;&gt;""), 'Cost Inputs'!G90, "")</f>
        <v/>
      </c>
      <c r="E272" s="17" t="str">
        <f>IF(AND(C272&lt;&gt;"", 'Cost Inputs'!H90&lt;&gt;""), 'Cost Inputs'!H90, "")</f>
        <v/>
      </c>
      <c r="F272" s="493" t="str">
        <f>IF(AND(C272&lt;&gt;"", 'Cost Inputs'!I90&lt;&gt;""), 'Cost Inputs'!I90, "")</f>
        <v/>
      </c>
      <c r="G272" s="105" t="str">
        <f t="shared" si="16"/>
        <v/>
      </c>
      <c r="H272" s="493" t="str">
        <f>IF(AND(C272&lt;&gt;"", 'Cost Inputs'!J90&lt;&gt;""), 'Cost Inputs'!J90, "")</f>
        <v/>
      </c>
      <c r="I272" s="105" t="str">
        <f>IF($C272&lt;&gt;"", IF(AND($E272&lt;&gt;"", H272&lt;&gt;""), H272/$E272, 0),"")</f>
        <v/>
      </c>
      <c r="J272" s="493" t="str">
        <f>IF(AND(C272&lt;&gt;"",('Cost Inputs'!I90+'Cost Inputs'!J90+'Cost Inputs'!K90)&gt;0), 'Cost Inputs'!I90+'Cost Inputs'!J90+'Cost Inputs'!K90, "")</f>
        <v/>
      </c>
      <c r="K272" s="105" t="str">
        <f>IF($C272&lt;&gt;"",IF(AND($E272&lt;&gt;"",J272&lt;&gt;""), J272/$E272, 0),"")</f>
        <v/>
      </c>
      <c r="L272" s="525"/>
      <c r="M272" s="525"/>
      <c r="O272" s="497" t="str">
        <f>IF(ISNUMBER('Model_ of_individuals'!O282), 'Model_ of_individuals'!O282*'Model_ of_individuals'!$K282,"")</f>
        <v/>
      </c>
      <c r="P272" s="497" t="str">
        <f>IF(ISNUMBER('Model_ of_individuals'!P282), 'Model_ of_individuals'!P282*'Model_ of_individuals'!$K282,"")</f>
        <v/>
      </c>
      <c r="Q272" s="497" t="str">
        <f>IF(ISNUMBER('Model_ of_individuals'!Q282), 'Model_ of_individuals'!Q282*'Model_ of_individuals'!$K282,"")</f>
        <v/>
      </c>
      <c r="R272" s="497" t="str">
        <f>IF(ISNUMBER('Model_ of_individuals'!R282), 'Model_ of_individuals'!R282*'Model_ of_individuals'!$K282,"")</f>
        <v/>
      </c>
      <c r="S272" s="497" t="str">
        <f>IF(ISNUMBER('Model_ of_individuals'!S282), 'Model_ of_individuals'!S282*'Model_ of_individuals'!$K282,"")</f>
        <v/>
      </c>
      <c r="T272" s="497" t="str">
        <f>IF(ISNUMBER('Model_ of_individuals'!T282), 'Model_ of_individuals'!T282*'Model_ of_individuals'!$K282,"")</f>
        <v/>
      </c>
      <c r="U272" s="497" t="str">
        <f>IF(ISNUMBER('Model_ of_individuals'!U282), 'Model_ of_individuals'!U282*'Model_ of_individuals'!$K282,"")</f>
        <v/>
      </c>
      <c r="V272" s="497" t="str">
        <f>IF(ISNUMBER('Model_ of_individuals'!V282), 'Model_ of_individuals'!V282*'Model_ of_individuals'!$K282,"")</f>
        <v/>
      </c>
      <c r="W272" s="497" t="str">
        <f>IF(ISNUMBER('Model_ of_individuals'!W282), 'Model_ of_individuals'!W282*'Model_ of_individuals'!$K282,"")</f>
        <v/>
      </c>
      <c r="X272" s="497" t="str">
        <f>IF(ISNUMBER('Model_ of_individuals'!X282), 'Model_ of_individuals'!X282*'Model_ of_individuals'!$K282,"")</f>
        <v/>
      </c>
      <c r="Y272" s="497" t="str">
        <f>IF(ISNUMBER('Model_ of_individuals'!Y282), 'Model_ of_individuals'!Y282*'Model_ of_individuals'!$K282,"")</f>
        <v/>
      </c>
      <c r="Z272" s="497" t="str">
        <f>IF(ISNUMBER('Model_ of_individuals'!Z282), 'Model_ of_individuals'!Z282*'Model_ of_individuals'!$K282,"")</f>
        <v/>
      </c>
      <c r="AA272" s="497" t="str">
        <f>IF(ISNUMBER('Model_ of_individuals'!AA282), 'Model_ of_individuals'!AA282*'Model_ of_individuals'!$K282,"")</f>
        <v/>
      </c>
      <c r="AB272" s="497" t="str">
        <f>IF(ISNUMBER('Model_ of_individuals'!AB282), 'Model_ of_individuals'!AB282*'Model_ of_individuals'!$K282,"")</f>
        <v/>
      </c>
      <c r="AC272" s="497" t="str">
        <f>IF(ISNUMBER('Model_ of_individuals'!AC282), 'Model_ of_individuals'!AC282*'Model_ of_individuals'!$K282,"")</f>
        <v/>
      </c>
      <c r="AD272" s="497" t="str">
        <f>IF(ISNUMBER('Model_ of_individuals'!AD282), 'Model_ of_individuals'!AD282*'Model_ of_individuals'!$K282,"")</f>
        <v/>
      </c>
      <c r="AE272" s="497" t="str">
        <f>IF(ISNUMBER('Model_ of_individuals'!AE282), 'Model_ of_individuals'!AE282*'Model_ of_individuals'!$K282,"")</f>
        <v/>
      </c>
      <c r="AF272" s="497" t="str">
        <f>IF(ISNUMBER('Model_ of_individuals'!AF282), 'Model_ of_individuals'!AF282*'Model_ of_individuals'!$K282,"")</f>
        <v/>
      </c>
      <c r="AG272" s="497" t="str">
        <f>IF(ISNUMBER('Model_ of_individuals'!AG282), 'Model_ of_individuals'!AG282*'Model_ of_individuals'!$K282,"")</f>
        <v/>
      </c>
      <c r="AH272" s="497" t="str">
        <f>IF(ISNUMBER('Model_ of_individuals'!AH282), 'Model_ of_individuals'!AH282*'Model_ of_individuals'!$K282,"")</f>
        <v/>
      </c>
      <c r="AI272" s="497" t="str">
        <f>IF(ISNUMBER('Model_ of_individuals'!AI282), 'Model_ of_individuals'!AI282*'Model_ of_individuals'!$K282,"")</f>
        <v/>
      </c>
      <c r="AJ272" s="497" t="str">
        <f>IF(ISNUMBER('Model_ of_individuals'!AJ282), 'Model_ of_individuals'!AJ282*'Model_ of_individuals'!$K282,"")</f>
        <v/>
      </c>
      <c r="AK272" s="497" t="str">
        <f>IF(ISNUMBER('Model_ of_individuals'!AK282), 'Model_ of_individuals'!AK282*'Model_ of_individuals'!$K282,"")</f>
        <v/>
      </c>
      <c r="AL272" s="497" t="str">
        <f>IF(ISNUMBER('Model_ of_individuals'!AL282), 'Model_ of_individuals'!AL282*'Model_ of_individuals'!$K282,"")</f>
        <v/>
      </c>
      <c r="AM272" s="497" t="str">
        <f>IF(ISNUMBER('Model_ of_individuals'!AM282), 'Model_ of_individuals'!AM282*'Model_ of_individuals'!$K282,"")</f>
        <v/>
      </c>
      <c r="AN272" s="497" t="str">
        <f>IF(ISNUMBER('Model_ of_individuals'!AN282), 'Model_ of_individuals'!AN282*'Model_ of_individuals'!$K282,"")</f>
        <v/>
      </c>
      <c r="AO272" s="497" t="str">
        <f>IF(ISNUMBER('Model_ of_individuals'!AO282), 'Model_ of_individuals'!AO282*'Model_ of_individuals'!$K282,"")</f>
        <v/>
      </c>
      <c r="AP272" s="497" t="str">
        <f>IF(ISNUMBER('Model_ of_individuals'!AP282), 'Model_ of_individuals'!AP282*'Model_ of_individuals'!$K282,"")</f>
        <v/>
      </c>
      <c r="AQ272" s="497" t="str">
        <f>IF(ISNUMBER('Model_ of_individuals'!AQ282), 'Model_ of_individuals'!AQ282*'Model_ of_individuals'!$K282,"")</f>
        <v/>
      </c>
      <c r="AR272" s="497" t="str">
        <f>IF(ISNUMBER('Model_ of_individuals'!AR282), 'Model_ of_individuals'!AR282*'Model_ of_individuals'!$K282,"")</f>
        <v/>
      </c>
    </row>
    <row r="273" spans="1:45" x14ac:dyDescent="0.25">
      <c r="A273" s="518"/>
      <c r="B273" s="504"/>
      <c r="C273" s="376" t="str">
        <f>IF(AND(ISNUMBER(B254), OR('Cost Inputs'!$H$85&lt;&gt;"", 'Cost Inputs'!$I$85&lt;&gt;"", 'Cost Inputs'!$J$85&lt;&gt;"")), _3_5_1, "")</f>
        <v/>
      </c>
      <c r="D273" s="17" t="str">
        <f>IF(AND(C272&lt;&gt;"", 'Cost Inputs'!G91&lt;&gt;""), 'Cost Inputs'!G91, "")</f>
        <v/>
      </c>
      <c r="E273" s="17" t="str">
        <f>IF(AND(C272&lt;&gt;"", 'Cost Inputs'!H91&lt;&gt;""), 'Cost Inputs'!H91, "")</f>
        <v/>
      </c>
      <c r="F273" s="493"/>
      <c r="G273" s="105" t="str">
        <f t="shared" si="16"/>
        <v/>
      </c>
      <c r="H273" s="493"/>
      <c r="I273" s="105" t="str">
        <f>IF($C272&lt;&gt;"", IF(AND($E273&lt;&gt;"", H272&lt;&gt;""), H272/($E272*$E273), 0), "")</f>
        <v/>
      </c>
      <c r="J273" s="493" t="str">
        <f>IF(AND(C273&lt;&gt;"",('Cost Inputs'!$I$86+'Cost Inputs'!$J$86+'Cost Inputs'!$K$86)&gt;0), 'Cost Inputs'!$I$86+'Cost Inputs'!$J$86+'Cost Inputs'!$K$86, "")</f>
        <v/>
      </c>
      <c r="K273" s="105" t="str">
        <f>IF($C272&lt;&gt;"", IF(AND($E273&lt;&gt;"", J272&lt;&gt;""), J272/($E272*$E273), 0), "")</f>
        <v/>
      </c>
      <c r="L273" s="525"/>
      <c r="M273" s="525"/>
      <c r="O273" s="497" t="str">
        <f>IF(ISNUMBER('Model_ of_individuals'!O283), 'Model_ of_individuals'!O283*'Model_ of_individuals'!$K283,"")</f>
        <v/>
      </c>
      <c r="P273" s="497" t="str">
        <f>IF(ISNUMBER('Model_ of_individuals'!P283), 'Model_ of_individuals'!P283*'Model_ of_individuals'!$K283,"")</f>
        <v/>
      </c>
      <c r="Q273" s="497" t="str">
        <f>IF(ISNUMBER('Model_ of_individuals'!Q283), 'Model_ of_individuals'!Q283*'Model_ of_individuals'!$K283,"")</f>
        <v/>
      </c>
      <c r="R273" s="497" t="str">
        <f>IF(ISNUMBER('Model_ of_individuals'!R283), 'Model_ of_individuals'!R283*'Model_ of_individuals'!$K283,"")</f>
        <v/>
      </c>
      <c r="S273" s="497" t="str">
        <f>IF(ISNUMBER('Model_ of_individuals'!S283), 'Model_ of_individuals'!S283*'Model_ of_individuals'!$K283,"")</f>
        <v/>
      </c>
      <c r="T273" s="497" t="str">
        <f>IF(ISNUMBER('Model_ of_individuals'!T283), 'Model_ of_individuals'!T283*'Model_ of_individuals'!$K283,"")</f>
        <v/>
      </c>
      <c r="U273" s="497" t="str">
        <f>IF(ISNUMBER('Model_ of_individuals'!U283), 'Model_ of_individuals'!U283*'Model_ of_individuals'!$K283,"")</f>
        <v/>
      </c>
      <c r="V273" s="497" t="str">
        <f>IF(ISNUMBER('Model_ of_individuals'!V283), 'Model_ of_individuals'!V283*'Model_ of_individuals'!$K283,"")</f>
        <v/>
      </c>
      <c r="W273" s="497" t="str">
        <f>IF(ISNUMBER('Model_ of_individuals'!W283), 'Model_ of_individuals'!W283*'Model_ of_individuals'!$K283,"")</f>
        <v/>
      </c>
      <c r="X273" s="497" t="str">
        <f>IF(ISNUMBER('Model_ of_individuals'!X283), 'Model_ of_individuals'!X283*'Model_ of_individuals'!$K283,"")</f>
        <v/>
      </c>
      <c r="Y273" s="497" t="str">
        <f>IF(ISNUMBER('Model_ of_individuals'!Y283), 'Model_ of_individuals'!Y283*'Model_ of_individuals'!$K283,"")</f>
        <v/>
      </c>
      <c r="Z273" s="497" t="str">
        <f>IF(ISNUMBER('Model_ of_individuals'!Z283), 'Model_ of_individuals'!Z283*'Model_ of_individuals'!$K283,"")</f>
        <v/>
      </c>
      <c r="AA273" s="497" t="str">
        <f>IF(ISNUMBER('Model_ of_individuals'!AA283), 'Model_ of_individuals'!AA283*'Model_ of_individuals'!$K283,"")</f>
        <v/>
      </c>
      <c r="AB273" s="497" t="str">
        <f>IF(ISNUMBER('Model_ of_individuals'!AB283), 'Model_ of_individuals'!AB283*'Model_ of_individuals'!$K283,"")</f>
        <v/>
      </c>
      <c r="AC273" s="497" t="str">
        <f>IF(ISNUMBER('Model_ of_individuals'!AC283), 'Model_ of_individuals'!AC283*'Model_ of_individuals'!$K283,"")</f>
        <v/>
      </c>
      <c r="AD273" s="497" t="str">
        <f>IF(ISNUMBER('Model_ of_individuals'!AD283), 'Model_ of_individuals'!AD283*'Model_ of_individuals'!$K283,"")</f>
        <v/>
      </c>
      <c r="AE273" s="497" t="str">
        <f>IF(ISNUMBER('Model_ of_individuals'!AE283), 'Model_ of_individuals'!AE283*'Model_ of_individuals'!$K283,"")</f>
        <v/>
      </c>
      <c r="AF273" s="497" t="str">
        <f>IF(ISNUMBER('Model_ of_individuals'!AF283), 'Model_ of_individuals'!AF283*'Model_ of_individuals'!$K283,"")</f>
        <v/>
      </c>
      <c r="AG273" s="497" t="str">
        <f>IF(ISNUMBER('Model_ of_individuals'!AG283), 'Model_ of_individuals'!AG283*'Model_ of_individuals'!$K283,"")</f>
        <v/>
      </c>
      <c r="AH273" s="497" t="str">
        <f>IF(ISNUMBER('Model_ of_individuals'!AH283), 'Model_ of_individuals'!AH283*'Model_ of_individuals'!$K283,"")</f>
        <v/>
      </c>
      <c r="AI273" s="497" t="str">
        <f>IF(ISNUMBER('Model_ of_individuals'!AI283), 'Model_ of_individuals'!AI283*'Model_ of_individuals'!$K283,"")</f>
        <v/>
      </c>
      <c r="AJ273" s="497" t="str">
        <f>IF(ISNUMBER('Model_ of_individuals'!AJ283), 'Model_ of_individuals'!AJ283*'Model_ of_individuals'!$K283,"")</f>
        <v/>
      </c>
      <c r="AK273" s="497" t="str">
        <f>IF(ISNUMBER('Model_ of_individuals'!AK283), 'Model_ of_individuals'!AK283*'Model_ of_individuals'!$K283,"")</f>
        <v/>
      </c>
      <c r="AL273" s="497" t="str">
        <f>IF(ISNUMBER('Model_ of_individuals'!AL283), 'Model_ of_individuals'!AL283*'Model_ of_individuals'!$K283,"")</f>
        <v/>
      </c>
      <c r="AM273" s="497" t="str">
        <f>IF(ISNUMBER('Model_ of_individuals'!AM283), 'Model_ of_individuals'!AM283*'Model_ of_individuals'!$K283,"")</f>
        <v/>
      </c>
      <c r="AN273" s="497" t="str">
        <f>IF(ISNUMBER('Model_ of_individuals'!AN283), 'Model_ of_individuals'!AN283*'Model_ of_individuals'!$K283,"")</f>
        <v/>
      </c>
      <c r="AO273" s="497" t="str">
        <f>IF(ISNUMBER('Model_ of_individuals'!AO283), 'Model_ of_individuals'!AO283*'Model_ of_individuals'!$K283,"")</f>
        <v/>
      </c>
      <c r="AP273" s="497" t="str">
        <f>IF(ISNUMBER('Model_ of_individuals'!AP283), 'Model_ of_individuals'!AP283*'Model_ of_individuals'!$K283,"")</f>
        <v/>
      </c>
      <c r="AQ273" s="497" t="str">
        <f>IF(ISNUMBER('Model_ of_individuals'!AQ283), 'Model_ of_individuals'!AQ283*'Model_ of_individuals'!$K283,"")</f>
        <v/>
      </c>
      <c r="AR273" s="497" t="str">
        <f>IF(ISNUMBER('Model_ of_individuals'!AR283), 'Model_ of_individuals'!AR283*'Model_ of_individuals'!$K283,"")</f>
        <v/>
      </c>
    </row>
    <row r="274" spans="1:45" x14ac:dyDescent="0.25">
      <c r="A274" s="518"/>
      <c r="B274" s="504"/>
      <c r="C274" s="523" t="str">
        <f>IF(AND(ISNUMBER(B270), OR('Cost Inputs'!$H$92&lt;&gt;"", 'Cost Inputs'!$I$92&lt;&gt;"", 'Cost Inputs'!$J$92&lt;&gt;"")), _4_1_2, "")</f>
        <v/>
      </c>
      <c r="D274" s="93" t="str">
        <f>IF(AND(C274&lt;&gt;"", 'Cost Inputs'!G92&lt;&gt;""), 'Cost Inputs'!G92, "")</f>
        <v/>
      </c>
      <c r="E274" s="93" t="str">
        <f>IF(AND(C274&lt;&gt;"", 'Cost Inputs'!H92&lt;&gt;""), 'Cost Inputs'!H92, "")</f>
        <v/>
      </c>
      <c r="F274" s="494" t="str">
        <f>IF(AND(C274&lt;&gt;"", 'Cost Inputs'!I92&lt;&gt;""), 'Cost Inputs'!I92, "")</f>
        <v/>
      </c>
      <c r="G274" s="108" t="str">
        <f t="shared" si="16"/>
        <v/>
      </c>
      <c r="H274" s="494" t="str">
        <f>IF(AND(C274&lt;&gt;"", 'Cost Inputs'!J92&lt;&gt;""), 'Cost Inputs'!J92, "")</f>
        <v/>
      </c>
      <c r="I274" s="108" t="str">
        <f>IF($C274&lt;&gt;"", IF(AND($E274&lt;&gt;"", H274&lt;&gt;""), H274/$E274, 0),"")</f>
        <v/>
      </c>
      <c r="J274" s="494" t="str">
        <f>IF(AND(C274&lt;&gt;"",('Cost Inputs'!I92+'Cost Inputs'!J92+'Cost Inputs'!K92)&gt;0), 'Cost Inputs'!I92+'Cost Inputs'!J92+'Cost Inputs'!K92, "")</f>
        <v/>
      </c>
      <c r="K274" s="108" t="str">
        <f>IF($C274&lt;&gt;"",IF(AND($E274&lt;&gt;"",J274&lt;&gt;""), J274/$E274, 0),"")</f>
        <v/>
      </c>
      <c r="L274" s="525"/>
      <c r="M274" s="525"/>
      <c r="O274" s="519" t="str">
        <f>IF(ISNUMBER('Model_ of_individuals'!O284), 'Model_ of_individuals'!O284*'Model_ of_individuals'!$K284,"")</f>
        <v/>
      </c>
      <c r="P274" s="519" t="str">
        <f>IF(ISNUMBER('Model_ of_individuals'!P284), 'Model_ of_individuals'!P284*'Model_ of_individuals'!$K284,"")</f>
        <v/>
      </c>
      <c r="Q274" s="519" t="str">
        <f>IF(ISNUMBER('Model_ of_individuals'!Q284), 'Model_ of_individuals'!Q284*'Model_ of_individuals'!$K284,"")</f>
        <v/>
      </c>
      <c r="R274" s="519" t="str">
        <f>IF(ISNUMBER('Model_ of_individuals'!R284), 'Model_ of_individuals'!R284*'Model_ of_individuals'!$K284,"")</f>
        <v/>
      </c>
      <c r="S274" s="519" t="str">
        <f>IF(ISNUMBER('Model_ of_individuals'!S284), 'Model_ of_individuals'!S284*'Model_ of_individuals'!$K284,"")</f>
        <v/>
      </c>
      <c r="T274" s="519" t="str">
        <f>IF(ISNUMBER('Model_ of_individuals'!T284), 'Model_ of_individuals'!T284*'Model_ of_individuals'!$K284,"")</f>
        <v/>
      </c>
      <c r="U274" s="519" t="str">
        <f>IF(ISNUMBER('Model_ of_individuals'!U284), 'Model_ of_individuals'!U284*'Model_ of_individuals'!$K284,"")</f>
        <v/>
      </c>
      <c r="V274" s="519" t="str">
        <f>IF(ISNUMBER('Model_ of_individuals'!V284), 'Model_ of_individuals'!V284*'Model_ of_individuals'!$K284,"")</f>
        <v/>
      </c>
      <c r="W274" s="519" t="str">
        <f>IF(ISNUMBER('Model_ of_individuals'!W284), 'Model_ of_individuals'!W284*'Model_ of_individuals'!$K284,"")</f>
        <v/>
      </c>
      <c r="X274" s="519" t="str">
        <f>IF(ISNUMBER('Model_ of_individuals'!X284), 'Model_ of_individuals'!X284*'Model_ of_individuals'!$K284,"")</f>
        <v/>
      </c>
      <c r="Y274" s="519" t="str">
        <f>IF(ISNUMBER('Model_ of_individuals'!Y284), 'Model_ of_individuals'!Y284*'Model_ of_individuals'!$K284,"")</f>
        <v/>
      </c>
      <c r="Z274" s="519" t="str">
        <f>IF(ISNUMBER('Model_ of_individuals'!Z284), 'Model_ of_individuals'!Z284*'Model_ of_individuals'!$K284,"")</f>
        <v/>
      </c>
      <c r="AA274" s="519" t="str">
        <f>IF(ISNUMBER('Model_ of_individuals'!AA284), 'Model_ of_individuals'!AA284*'Model_ of_individuals'!$K284,"")</f>
        <v/>
      </c>
      <c r="AB274" s="519" t="str">
        <f>IF(ISNUMBER('Model_ of_individuals'!AB284), 'Model_ of_individuals'!AB284*'Model_ of_individuals'!$K284,"")</f>
        <v/>
      </c>
      <c r="AC274" s="519" t="str">
        <f>IF(ISNUMBER('Model_ of_individuals'!AC284), 'Model_ of_individuals'!AC284*'Model_ of_individuals'!$K284,"")</f>
        <v/>
      </c>
      <c r="AD274" s="519" t="str">
        <f>IF(ISNUMBER('Model_ of_individuals'!AD284), 'Model_ of_individuals'!AD284*'Model_ of_individuals'!$K284,"")</f>
        <v/>
      </c>
      <c r="AE274" s="519" t="str">
        <f>IF(ISNUMBER('Model_ of_individuals'!AE284), 'Model_ of_individuals'!AE284*'Model_ of_individuals'!$K284,"")</f>
        <v/>
      </c>
      <c r="AF274" s="519" t="str">
        <f>IF(ISNUMBER('Model_ of_individuals'!AF284), 'Model_ of_individuals'!AF284*'Model_ of_individuals'!$K284,"")</f>
        <v/>
      </c>
      <c r="AG274" s="519" t="str">
        <f>IF(ISNUMBER('Model_ of_individuals'!AG284), 'Model_ of_individuals'!AG284*'Model_ of_individuals'!$K284,"")</f>
        <v/>
      </c>
      <c r="AH274" s="519" t="str">
        <f>IF(ISNUMBER('Model_ of_individuals'!AH284), 'Model_ of_individuals'!AH284*'Model_ of_individuals'!$K284,"")</f>
        <v/>
      </c>
      <c r="AI274" s="519" t="str">
        <f>IF(ISNUMBER('Model_ of_individuals'!AI284), 'Model_ of_individuals'!AI284*'Model_ of_individuals'!$K284,"")</f>
        <v/>
      </c>
      <c r="AJ274" s="519" t="str">
        <f>IF(ISNUMBER('Model_ of_individuals'!AJ284), 'Model_ of_individuals'!AJ284*'Model_ of_individuals'!$K284,"")</f>
        <v/>
      </c>
      <c r="AK274" s="519" t="str">
        <f>IF(ISNUMBER('Model_ of_individuals'!AK284), 'Model_ of_individuals'!AK284*'Model_ of_individuals'!$K284,"")</f>
        <v/>
      </c>
      <c r="AL274" s="519" t="str">
        <f>IF(ISNUMBER('Model_ of_individuals'!AL284), 'Model_ of_individuals'!AL284*'Model_ of_individuals'!$K284,"")</f>
        <v/>
      </c>
      <c r="AM274" s="519" t="str">
        <f>IF(ISNUMBER('Model_ of_individuals'!AM284), 'Model_ of_individuals'!AM284*'Model_ of_individuals'!$K284,"")</f>
        <v/>
      </c>
      <c r="AN274" s="519" t="str">
        <f>IF(ISNUMBER('Model_ of_individuals'!AN284), 'Model_ of_individuals'!AN284*'Model_ of_individuals'!$K284,"")</f>
        <v/>
      </c>
      <c r="AO274" s="519" t="str">
        <f>IF(ISNUMBER('Model_ of_individuals'!AO284), 'Model_ of_individuals'!AO284*'Model_ of_individuals'!$K284,"")</f>
        <v/>
      </c>
      <c r="AP274" s="519" t="str">
        <f>IF(ISNUMBER('Model_ of_individuals'!AP284), 'Model_ of_individuals'!AP284*'Model_ of_individuals'!$K284,"")</f>
        <v/>
      </c>
      <c r="AQ274" s="519" t="str">
        <f>IF(ISNUMBER('Model_ of_individuals'!AQ284), 'Model_ of_individuals'!AQ284*'Model_ of_individuals'!$K284,"")</f>
        <v/>
      </c>
      <c r="AR274" s="519" t="str">
        <f>IF(ISNUMBER('Model_ of_individuals'!AR284), 'Model_ of_individuals'!AR284*'Model_ of_individuals'!$K284,"")</f>
        <v/>
      </c>
    </row>
    <row r="275" spans="1:45" x14ac:dyDescent="0.25">
      <c r="A275" s="518"/>
      <c r="B275" s="504"/>
      <c r="C275" s="523"/>
      <c r="D275" s="93" t="str">
        <f>IF(AND(C274&lt;&gt;"", 'Cost Inputs'!G93&lt;&gt;""), 'Cost Inputs'!G93, "")</f>
        <v/>
      </c>
      <c r="E275" s="93" t="str">
        <f>IF(AND(C274&lt;&gt;"", 'Cost Inputs'!H93&lt;&gt;""), 'Cost Inputs'!H93, "")</f>
        <v/>
      </c>
      <c r="F275" s="494"/>
      <c r="G275" s="108" t="str">
        <f t="shared" si="16"/>
        <v/>
      </c>
      <c r="H275" s="494"/>
      <c r="I275" s="108" t="str">
        <f>IF($C274&lt;&gt;"", IF(AND($E275&lt;&gt;"", H274&lt;&gt;""), H274/($E274*$E275), 0), "")</f>
        <v/>
      </c>
      <c r="J275" s="494"/>
      <c r="K275" s="108" t="str">
        <f>IF($C274&lt;&gt;"", IF(AND($E275&lt;&gt;"", J274&lt;&gt;""), J274/($E274*$E275), 0), "")</f>
        <v/>
      </c>
      <c r="L275" s="525"/>
      <c r="M275" s="525"/>
      <c r="O275" s="519" t="str">
        <f>IF(ISNUMBER('Model_ of_individuals'!O285), 'Model_ of_individuals'!O285*'Model_ of_individuals'!$K285,"")</f>
        <v/>
      </c>
      <c r="P275" s="519" t="str">
        <f>IF(ISNUMBER('Model_ of_individuals'!P285), 'Model_ of_individuals'!P285*'Model_ of_individuals'!$K285,"")</f>
        <v/>
      </c>
      <c r="Q275" s="519" t="str">
        <f>IF(ISNUMBER('Model_ of_individuals'!Q285), 'Model_ of_individuals'!Q285*'Model_ of_individuals'!$K285,"")</f>
        <v/>
      </c>
      <c r="R275" s="519" t="str">
        <f>IF(ISNUMBER('Model_ of_individuals'!R285), 'Model_ of_individuals'!R285*'Model_ of_individuals'!$K285,"")</f>
        <v/>
      </c>
      <c r="S275" s="519" t="str">
        <f>IF(ISNUMBER('Model_ of_individuals'!S285), 'Model_ of_individuals'!S285*'Model_ of_individuals'!$K285,"")</f>
        <v/>
      </c>
      <c r="T275" s="519" t="str">
        <f>IF(ISNUMBER('Model_ of_individuals'!T285), 'Model_ of_individuals'!T285*'Model_ of_individuals'!$K285,"")</f>
        <v/>
      </c>
      <c r="U275" s="519" t="str">
        <f>IF(ISNUMBER('Model_ of_individuals'!U285), 'Model_ of_individuals'!U285*'Model_ of_individuals'!$K285,"")</f>
        <v/>
      </c>
      <c r="V275" s="519" t="str">
        <f>IF(ISNUMBER('Model_ of_individuals'!V285), 'Model_ of_individuals'!V285*'Model_ of_individuals'!$K285,"")</f>
        <v/>
      </c>
      <c r="W275" s="519" t="str">
        <f>IF(ISNUMBER('Model_ of_individuals'!W285), 'Model_ of_individuals'!W285*'Model_ of_individuals'!$K285,"")</f>
        <v/>
      </c>
      <c r="X275" s="519" t="str">
        <f>IF(ISNUMBER('Model_ of_individuals'!X285), 'Model_ of_individuals'!X285*'Model_ of_individuals'!$K285,"")</f>
        <v/>
      </c>
      <c r="Y275" s="519" t="str">
        <f>IF(ISNUMBER('Model_ of_individuals'!Y285), 'Model_ of_individuals'!Y285*'Model_ of_individuals'!$K285,"")</f>
        <v/>
      </c>
      <c r="Z275" s="519" t="str">
        <f>IF(ISNUMBER('Model_ of_individuals'!Z285), 'Model_ of_individuals'!Z285*'Model_ of_individuals'!$K285,"")</f>
        <v/>
      </c>
      <c r="AA275" s="519" t="str">
        <f>IF(ISNUMBER('Model_ of_individuals'!AA285), 'Model_ of_individuals'!AA285*'Model_ of_individuals'!$K285,"")</f>
        <v/>
      </c>
      <c r="AB275" s="519" t="str">
        <f>IF(ISNUMBER('Model_ of_individuals'!AB285), 'Model_ of_individuals'!AB285*'Model_ of_individuals'!$K285,"")</f>
        <v/>
      </c>
      <c r="AC275" s="519" t="str">
        <f>IF(ISNUMBER('Model_ of_individuals'!AC285), 'Model_ of_individuals'!AC285*'Model_ of_individuals'!$K285,"")</f>
        <v/>
      </c>
      <c r="AD275" s="519" t="str">
        <f>IF(ISNUMBER('Model_ of_individuals'!AD285), 'Model_ of_individuals'!AD285*'Model_ of_individuals'!$K285,"")</f>
        <v/>
      </c>
      <c r="AE275" s="519" t="str">
        <f>IF(ISNUMBER('Model_ of_individuals'!AE285), 'Model_ of_individuals'!AE285*'Model_ of_individuals'!$K285,"")</f>
        <v/>
      </c>
      <c r="AF275" s="519" t="str">
        <f>IF(ISNUMBER('Model_ of_individuals'!AF285), 'Model_ of_individuals'!AF285*'Model_ of_individuals'!$K285,"")</f>
        <v/>
      </c>
      <c r="AG275" s="519" t="str">
        <f>IF(ISNUMBER('Model_ of_individuals'!AG285), 'Model_ of_individuals'!AG285*'Model_ of_individuals'!$K285,"")</f>
        <v/>
      </c>
      <c r="AH275" s="519" t="str">
        <f>IF(ISNUMBER('Model_ of_individuals'!AH285), 'Model_ of_individuals'!AH285*'Model_ of_individuals'!$K285,"")</f>
        <v/>
      </c>
      <c r="AI275" s="519" t="str">
        <f>IF(ISNUMBER('Model_ of_individuals'!AI285), 'Model_ of_individuals'!AI285*'Model_ of_individuals'!$K285,"")</f>
        <v/>
      </c>
      <c r="AJ275" s="519" t="str">
        <f>IF(ISNUMBER('Model_ of_individuals'!AJ285), 'Model_ of_individuals'!AJ285*'Model_ of_individuals'!$K285,"")</f>
        <v/>
      </c>
      <c r="AK275" s="519" t="str">
        <f>IF(ISNUMBER('Model_ of_individuals'!AK285), 'Model_ of_individuals'!AK285*'Model_ of_individuals'!$K285,"")</f>
        <v/>
      </c>
      <c r="AL275" s="519" t="str">
        <f>IF(ISNUMBER('Model_ of_individuals'!AL285), 'Model_ of_individuals'!AL285*'Model_ of_individuals'!$K285,"")</f>
        <v/>
      </c>
      <c r="AM275" s="519" t="str">
        <f>IF(ISNUMBER('Model_ of_individuals'!AM285), 'Model_ of_individuals'!AM285*'Model_ of_individuals'!$K285,"")</f>
        <v/>
      </c>
      <c r="AN275" s="519" t="str">
        <f>IF(ISNUMBER('Model_ of_individuals'!AN285), 'Model_ of_individuals'!AN285*'Model_ of_individuals'!$K285,"")</f>
        <v/>
      </c>
      <c r="AO275" s="519" t="str">
        <f>IF(ISNUMBER('Model_ of_individuals'!AO285), 'Model_ of_individuals'!AO285*'Model_ of_individuals'!$K285,"")</f>
        <v/>
      </c>
      <c r="AP275" s="519" t="str">
        <f>IF(ISNUMBER('Model_ of_individuals'!AP285), 'Model_ of_individuals'!AP285*'Model_ of_individuals'!$K285,"")</f>
        <v/>
      </c>
      <c r="AQ275" s="519" t="str">
        <f>IF(ISNUMBER('Model_ of_individuals'!AQ285), 'Model_ of_individuals'!AQ285*'Model_ of_individuals'!$K285,"")</f>
        <v/>
      </c>
      <c r="AR275" s="519" t="str">
        <f>IF(ISNUMBER('Model_ of_individuals'!AR285), 'Model_ of_individuals'!AR285*'Model_ of_individuals'!$K285,"")</f>
        <v/>
      </c>
    </row>
    <row r="276" spans="1:45" x14ac:dyDescent="0.25">
      <c r="A276" s="518"/>
      <c r="B276" s="504"/>
      <c r="C276" s="376" t="str">
        <f>IF(AND(ISNUMBER(B270), OR('Cost Inputs'!$H$94&lt;&gt;"", 'Cost Inputs'!$I$94&lt;&gt;"", 'Cost Inputs'!$J$94&lt;&gt;"")), _4_1_3, "")</f>
        <v/>
      </c>
      <c r="D276" s="17" t="str">
        <f>IF(AND(C276&lt;&gt;"", 'Cost Inputs'!G94&lt;&gt;""), 'Cost Inputs'!G94, "")</f>
        <v/>
      </c>
      <c r="E276" s="17" t="str">
        <f>IF(AND(C276&lt;&gt;"", 'Cost Inputs'!H94&lt;&gt;""), 'Cost Inputs'!H94, "")</f>
        <v/>
      </c>
      <c r="F276" s="493" t="str">
        <f>IF(AND(C276&lt;&gt;"", 'Cost Inputs'!I94&lt;&gt;""), 'Cost Inputs'!I94, "")</f>
        <v/>
      </c>
      <c r="G276" s="105" t="str">
        <f t="shared" si="16"/>
        <v/>
      </c>
      <c r="H276" s="493" t="str">
        <f>IF(AND(C276&lt;&gt;"", 'Cost Inputs'!J94&lt;&gt;""), 'Cost Inputs'!J94, "")</f>
        <v/>
      </c>
      <c r="I276" s="105" t="str">
        <f>IF($C276&lt;&gt;"", IF(AND($E276&lt;&gt;"", H276&lt;&gt;""), H276/$E276, 0),"")</f>
        <v/>
      </c>
      <c r="J276" s="493" t="str">
        <f>IF(AND(C276&lt;&gt;"",('Cost Inputs'!I94+'Cost Inputs'!J94+'Cost Inputs'!K94)&gt;0), 'Cost Inputs'!I94+'Cost Inputs'!J94+'Cost Inputs'!K94, "")</f>
        <v/>
      </c>
      <c r="K276" s="105" t="str">
        <f>IF($C276&lt;&gt;"",IF(AND($E276&lt;&gt;"",J276&lt;&gt;""), J276/$E276, 0),"")</f>
        <v/>
      </c>
      <c r="L276" s="525"/>
      <c r="M276" s="525"/>
      <c r="O276" s="497" t="str">
        <f>IF(ISNUMBER('Model_ of_individuals'!O286), 'Model_ of_individuals'!O286*'Model_ of_individuals'!$K286,"")</f>
        <v/>
      </c>
      <c r="P276" s="497" t="str">
        <f>IF(ISNUMBER('Model_ of_individuals'!P286), 'Model_ of_individuals'!P286*'Model_ of_individuals'!$K286,"")</f>
        <v/>
      </c>
      <c r="Q276" s="497" t="str">
        <f>IF(ISNUMBER('Model_ of_individuals'!Q286), 'Model_ of_individuals'!Q286*'Model_ of_individuals'!$K286,"")</f>
        <v/>
      </c>
      <c r="R276" s="497" t="str">
        <f>IF(ISNUMBER('Model_ of_individuals'!R286), 'Model_ of_individuals'!R286*'Model_ of_individuals'!$K286,"")</f>
        <v/>
      </c>
      <c r="S276" s="497" t="str">
        <f>IF(ISNUMBER('Model_ of_individuals'!S286), 'Model_ of_individuals'!S286*'Model_ of_individuals'!$K286,"")</f>
        <v/>
      </c>
      <c r="T276" s="497" t="str">
        <f>IF(ISNUMBER('Model_ of_individuals'!T286), 'Model_ of_individuals'!T286*'Model_ of_individuals'!$K286,"")</f>
        <v/>
      </c>
      <c r="U276" s="497" t="str">
        <f>IF(ISNUMBER('Model_ of_individuals'!U286), 'Model_ of_individuals'!U286*'Model_ of_individuals'!$K286,"")</f>
        <v/>
      </c>
      <c r="V276" s="497" t="str">
        <f>IF(ISNUMBER('Model_ of_individuals'!V286), 'Model_ of_individuals'!V286*'Model_ of_individuals'!$K286,"")</f>
        <v/>
      </c>
      <c r="W276" s="497" t="str">
        <f>IF(ISNUMBER('Model_ of_individuals'!W286), 'Model_ of_individuals'!W286*'Model_ of_individuals'!$K286,"")</f>
        <v/>
      </c>
      <c r="X276" s="497" t="str">
        <f>IF(ISNUMBER('Model_ of_individuals'!X286), 'Model_ of_individuals'!X286*'Model_ of_individuals'!$K286,"")</f>
        <v/>
      </c>
      <c r="Y276" s="497" t="str">
        <f>IF(ISNUMBER('Model_ of_individuals'!Y286), 'Model_ of_individuals'!Y286*'Model_ of_individuals'!$K286,"")</f>
        <v/>
      </c>
      <c r="Z276" s="497" t="str">
        <f>IF(ISNUMBER('Model_ of_individuals'!Z286), 'Model_ of_individuals'!Z286*'Model_ of_individuals'!$K286,"")</f>
        <v/>
      </c>
      <c r="AA276" s="497" t="str">
        <f>IF(ISNUMBER('Model_ of_individuals'!AA286), 'Model_ of_individuals'!AA286*'Model_ of_individuals'!$K286,"")</f>
        <v/>
      </c>
      <c r="AB276" s="497" t="str">
        <f>IF(ISNUMBER('Model_ of_individuals'!AB286), 'Model_ of_individuals'!AB286*'Model_ of_individuals'!$K286,"")</f>
        <v/>
      </c>
      <c r="AC276" s="497" t="str">
        <f>IF(ISNUMBER('Model_ of_individuals'!AC286), 'Model_ of_individuals'!AC286*'Model_ of_individuals'!$K286,"")</f>
        <v/>
      </c>
      <c r="AD276" s="497" t="str">
        <f>IF(ISNUMBER('Model_ of_individuals'!AD286), 'Model_ of_individuals'!AD286*'Model_ of_individuals'!$K286,"")</f>
        <v/>
      </c>
      <c r="AE276" s="497" t="str">
        <f>IF(ISNUMBER('Model_ of_individuals'!AE286), 'Model_ of_individuals'!AE286*'Model_ of_individuals'!$K286,"")</f>
        <v/>
      </c>
      <c r="AF276" s="497" t="str">
        <f>IF(ISNUMBER('Model_ of_individuals'!AF286), 'Model_ of_individuals'!AF286*'Model_ of_individuals'!$K286,"")</f>
        <v/>
      </c>
      <c r="AG276" s="497" t="str">
        <f>IF(ISNUMBER('Model_ of_individuals'!AG286), 'Model_ of_individuals'!AG286*'Model_ of_individuals'!$K286,"")</f>
        <v/>
      </c>
      <c r="AH276" s="497" t="str">
        <f>IF(ISNUMBER('Model_ of_individuals'!AH286), 'Model_ of_individuals'!AH286*'Model_ of_individuals'!$K286,"")</f>
        <v/>
      </c>
      <c r="AI276" s="497" t="str">
        <f>IF(ISNUMBER('Model_ of_individuals'!AI286), 'Model_ of_individuals'!AI286*'Model_ of_individuals'!$K286,"")</f>
        <v/>
      </c>
      <c r="AJ276" s="497" t="str">
        <f>IF(ISNUMBER('Model_ of_individuals'!AJ286), 'Model_ of_individuals'!AJ286*'Model_ of_individuals'!$K286,"")</f>
        <v/>
      </c>
      <c r="AK276" s="497" t="str">
        <f>IF(ISNUMBER('Model_ of_individuals'!AK286), 'Model_ of_individuals'!AK286*'Model_ of_individuals'!$K286,"")</f>
        <v/>
      </c>
      <c r="AL276" s="497" t="str">
        <f>IF(ISNUMBER('Model_ of_individuals'!AL286), 'Model_ of_individuals'!AL286*'Model_ of_individuals'!$K286,"")</f>
        <v/>
      </c>
      <c r="AM276" s="497" t="str">
        <f>IF(ISNUMBER('Model_ of_individuals'!AM286), 'Model_ of_individuals'!AM286*'Model_ of_individuals'!$K286,"")</f>
        <v/>
      </c>
      <c r="AN276" s="497" t="str">
        <f>IF(ISNUMBER('Model_ of_individuals'!AN286), 'Model_ of_individuals'!AN286*'Model_ of_individuals'!$K286,"")</f>
        <v/>
      </c>
      <c r="AO276" s="497" t="str">
        <f>IF(ISNUMBER('Model_ of_individuals'!AO286), 'Model_ of_individuals'!AO286*'Model_ of_individuals'!$K286,"")</f>
        <v/>
      </c>
      <c r="AP276" s="497" t="str">
        <f>IF(ISNUMBER('Model_ of_individuals'!AP286), 'Model_ of_individuals'!AP286*'Model_ of_individuals'!$K286,"")</f>
        <v/>
      </c>
      <c r="AQ276" s="497" t="str">
        <f>IF(ISNUMBER('Model_ of_individuals'!AQ286), 'Model_ of_individuals'!AQ286*'Model_ of_individuals'!$K286,"")</f>
        <v/>
      </c>
      <c r="AR276" s="497" t="str">
        <f>IF(ISNUMBER('Model_ of_individuals'!AR286), 'Model_ of_individuals'!AR286*'Model_ of_individuals'!$K286,"")</f>
        <v/>
      </c>
    </row>
    <row r="277" spans="1:45" x14ac:dyDescent="0.25">
      <c r="A277" s="518"/>
      <c r="B277" s="504"/>
      <c r="C277" s="376"/>
      <c r="D277" s="17" t="str">
        <f>IF(AND(C276&lt;&gt;"", 'Cost Inputs'!G95&lt;&gt;""), 'Cost Inputs'!G95, "")</f>
        <v/>
      </c>
      <c r="E277" s="17" t="str">
        <f>IF(AND(C276&lt;&gt;"", 'Cost Inputs'!H95&lt;&gt;""), 'Cost Inputs'!H95, "")</f>
        <v/>
      </c>
      <c r="F277" s="493"/>
      <c r="G277" s="105" t="str">
        <f t="shared" si="16"/>
        <v/>
      </c>
      <c r="H277" s="493"/>
      <c r="I277" s="105" t="str">
        <f>IF($C276&lt;&gt;"", IF(AND($E277&lt;&gt;"", H276&lt;&gt;""), H276/($E276*$E277), 0), "")</f>
        <v/>
      </c>
      <c r="J277" s="493"/>
      <c r="K277" s="105" t="str">
        <f>IF($C276&lt;&gt;"", IF(AND($E277&lt;&gt;"", J276&lt;&gt;""), J276/($E276*$E277), 0), "")</f>
        <v/>
      </c>
      <c r="L277" s="525"/>
      <c r="M277" s="525"/>
      <c r="O277" s="497" t="str">
        <f>IF(ISNUMBER('Model_ of_individuals'!O287), 'Model_ of_individuals'!O287*'Model_ of_individuals'!$K287,"")</f>
        <v/>
      </c>
      <c r="P277" s="497" t="str">
        <f>IF(ISNUMBER('Model_ of_individuals'!P287), 'Model_ of_individuals'!P287*'Model_ of_individuals'!$K287,"")</f>
        <v/>
      </c>
      <c r="Q277" s="497" t="str">
        <f>IF(ISNUMBER('Model_ of_individuals'!Q287), 'Model_ of_individuals'!Q287*'Model_ of_individuals'!$K287,"")</f>
        <v/>
      </c>
      <c r="R277" s="497" t="str">
        <f>IF(ISNUMBER('Model_ of_individuals'!R287), 'Model_ of_individuals'!R287*'Model_ of_individuals'!$K287,"")</f>
        <v/>
      </c>
      <c r="S277" s="497" t="str">
        <f>IF(ISNUMBER('Model_ of_individuals'!S287), 'Model_ of_individuals'!S287*'Model_ of_individuals'!$K287,"")</f>
        <v/>
      </c>
      <c r="T277" s="497" t="str">
        <f>IF(ISNUMBER('Model_ of_individuals'!T287), 'Model_ of_individuals'!T287*'Model_ of_individuals'!$K287,"")</f>
        <v/>
      </c>
      <c r="U277" s="497" t="str">
        <f>IF(ISNUMBER('Model_ of_individuals'!U287), 'Model_ of_individuals'!U287*'Model_ of_individuals'!$K287,"")</f>
        <v/>
      </c>
      <c r="V277" s="497" t="str">
        <f>IF(ISNUMBER('Model_ of_individuals'!V287), 'Model_ of_individuals'!V287*'Model_ of_individuals'!$K287,"")</f>
        <v/>
      </c>
      <c r="W277" s="497" t="str">
        <f>IF(ISNUMBER('Model_ of_individuals'!W287), 'Model_ of_individuals'!W287*'Model_ of_individuals'!$K287,"")</f>
        <v/>
      </c>
      <c r="X277" s="497" t="str">
        <f>IF(ISNUMBER('Model_ of_individuals'!X287), 'Model_ of_individuals'!X287*'Model_ of_individuals'!$K287,"")</f>
        <v/>
      </c>
      <c r="Y277" s="497" t="str">
        <f>IF(ISNUMBER('Model_ of_individuals'!Y287), 'Model_ of_individuals'!Y287*'Model_ of_individuals'!$K287,"")</f>
        <v/>
      </c>
      <c r="Z277" s="497" t="str">
        <f>IF(ISNUMBER('Model_ of_individuals'!Z287), 'Model_ of_individuals'!Z287*'Model_ of_individuals'!$K287,"")</f>
        <v/>
      </c>
      <c r="AA277" s="497" t="str">
        <f>IF(ISNUMBER('Model_ of_individuals'!AA287), 'Model_ of_individuals'!AA287*'Model_ of_individuals'!$K287,"")</f>
        <v/>
      </c>
      <c r="AB277" s="497" t="str">
        <f>IF(ISNUMBER('Model_ of_individuals'!AB287), 'Model_ of_individuals'!AB287*'Model_ of_individuals'!$K287,"")</f>
        <v/>
      </c>
      <c r="AC277" s="497" t="str">
        <f>IF(ISNUMBER('Model_ of_individuals'!AC287), 'Model_ of_individuals'!AC287*'Model_ of_individuals'!$K287,"")</f>
        <v/>
      </c>
      <c r="AD277" s="497" t="str">
        <f>IF(ISNUMBER('Model_ of_individuals'!AD287), 'Model_ of_individuals'!AD287*'Model_ of_individuals'!$K287,"")</f>
        <v/>
      </c>
      <c r="AE277" s="497" t="str">
        <f>IF(ISNUMBER('Model_ of_individuals'!AE287), 'Model_ of_individuals'!AE287*'Model_ of_individuals'!$K287,"")</f>
        <v/>
      </c>
      <c r="AF277" s="497" t="str">
        <f>IF(ISNUMBER('Model_ of_individuals'!AF287), 'Model_ of_individuals'!AF287*'Model_ of_individuals'!$K287,"")</f>
        <v/>
      </c>
      <c r="AG277" s="497" t="str">
        <f>IF(ISNUMBER('Model_ of_individuals'!AG287), 'Model_ of_individuals'!AG287*'Model_ of_individuals'!$K287,"")</f>
        <v/>
      </c>
      <c r="AH277" s="497" t="str">
        <f>IF(ISNUMBER('Model_ of_individuals'!AH287), 'Model_ of_individuals'!AH287*'Model_ of_individuals'!$K287,"")</f>
        <v/>
      </c>
      <c r="AI277" s="497" t="str">
        <f>IF(ISNUMBER('Model_ of_individuals'!AI287), 'Model_ of_individuals'!AI287*'Model_ of_individuals'!$K287,"")</f>
        <v/>
      </c>
      <c r="AJ277" s="497" t="str">
        <f>IF(ISNUMBER('Model_ of_individuals'!AJ287), 'Model_ of_individuals'!AJ287*'Model_ of_individuals'!$K287,"")</f>
        <v/>
      </c>
      <c r="AK277" s="497" t="str">
        <f>IF(ISNUMBER('Model_ of_individuals'!AK287), 'Model_ of_individuals'!AK287*'Model_ of_individuals'!$K287,"")</f>
        <v/>
      </c>
      <c r="AL277" s="497" t="str">
        <f>IF(ISNUMBER('Model_ of_individuals'!AL287), 'Model_ of_individuals'!AL287*'Model_ of_individuals'!$K287,"")</f>
        <v/>
      </c>
      <c r="AM277" s="497" t="str">
        <f>IF(ISNUMBER('Model_ of_individuals'!AM287), 'Model_ of_individuals'!AM287*'Model_ of_individuals'!$K287,"")</f>
        <v/>
      </c>
      <c r="AN277" s="497" t="str">
        <f>IF(ISNUMBER('Model_ of_individuals'!AN287), 'Model_ of_individuals'!AN287*'Model_ of_individuals'!$K287,"")</f>
        <v/>
      </c>
      <c r="AO277" s="497" t="str">
        <f>IF(ISNUMBER('Model_ of_individuals'!AO287), 'Model_ of_individuals'!AO287*'Model_ of_individuals'!$K287,"")</f>
        <v/>
      </c>
      <c r="AP277" s="497" t="str">
        <f>IF(ISNUMBER('Model_ of_individuals'!AP287), 'Model_ of_individuals'!AP287*'Model_ of_individuals'!$K287,"")</f>
        <v/>
      </c>
      <c r="AQ277" s="497" t="str">
        <f>IF(ISNUMBER('Model_ of_individuals'!AQ287), 'Model_ of_individuals'!AQ287*'Model_ of_individuals'!$K287,"")</f>
        <v/>
      </c>
      <c r="AR277" s="497" t="str">
        <f>IF(ISNUMBER('Model_ of_individuals'!AR287), 'Model_ of_individuals'!AR287*'Model_ of_individuals'!$K287,"")</f>
        <v/>
      </c>
    </row>
    <row r="278" spans="1:45" x14ac:dyDescent="0.25">
      <c r="A278" s="518"/>
      <c r="B278" s="504"/>
      <c r="C278" s="107" t="str">
        <f>IF(AND(ISNUMBER(B270), OR('Cost Inputs'!H96&lt;&gt;"", 'Cost Inputs'!I96&lt;&gt;"", 'Cost Inputs'!J96&lt;&gt;"")), _4_1_4, "")</f>
        <v/>
      </c>
      <c r="D278" s="93" t="str">
        <f>IF(AND(C278&lt;&gt;"", 'Cost Inputs'!G96&lt;&gt;""), 'Cost Inputs'!G96, "")</f>
        <v/>
      </c>
      <c r="E278" s="93" t="str">
        <f>IF(AND(C278&lt;&gt;"", 'Cost Inputs'!H96&lt;&gt;""), 'Cost Inputs'!H96, "")</f>
        <v/>
      </c>
      <c r="F278" s="93" t="str">
        <f>IF(AND(C278&lt;&gt;"", 'Cost Inputs'!I96&lt;&gt;""), 'Cost Inputs'!I96, "")</f>
        <v/>
      </c>
      <c r="G278" s="108" t="str">
        <f t="shared" si="16"/>
        <v/>
      </c>
      <c r="H278" s="93" t="str">
        <f>IF(AND(C278&lt;&gt;"", 'Cost Inputs'!J96&lt;&gt;""), 'Cost Inputs'!J96, "")</f>
        <v/>
      </c>
      <c r="I278" s="108" t="str">
        <f>IF($C278&lt;&gt;"", IF(AND($E278&lt;&gt;"", H278&lt;&gt;""), H278/$E278, 0),"")</f>
        <v/>
      </c>
      <c r="J278" s="93" t="str">
        <f>IF(AND(C278&lt;&gt;"",('Cost Inputs'!I96+'Cost Inputs'!J96+'Cost Inputs'!K96)&gt;0), 'Cost Inputs'!I96+'Cost Inputs'!J96+'Cost Inputs'!K96, "")</f>
        <v/>
      </c>
      <c r="K278" s="108" t="str">
        <f>IF($C278&lt;&gt;"", IF(AND($E278&lt;&gt;"", J278&lt;&gt;""), J278/$E278, 0),"")</f>
        <v/>
      </c>
      <c r="L278" s="525"/>
      <c r="M278" s="525"/>
      <c r="O278" s="108" t="str">
        <f>IF(ISNUMBER('Model_ of_individuals'!O288), 'Model_ of_individuals'!O288*'Model_ of_individuals'!$K288,"")</f>
        <v/>
      </c>
      <c r="P278" s="108" t="str">
        <f>IF(ISNUMBER('Model_ of_individuals'!P288), 'Model_ of_individuals'!P288*'Model_ of_individuals'!$K288,"")</f>
        <v/>
      </c>
      <c r="Q278" s="108" t="str">
        <f>IF(ISNUMBER('Model_ of_individuals'!Q288), 'Model_ of_individuals'!Q288*'Model_ of_individuals'!$K288,"")</f>
        <v/>
      </c>
      <c r="R278" s="108" t="str">
        <f>IF(ISNUMBER('Model_ of_individuals'!R288), 'Model_ of_individuals'!R288*'Model_ of_individuals'!$K288,"")</f>
        <v/>
      </c>
      <c r="S278" s="108" t="str">
        <f>IF(ISNUMBER('Model_ of_individuals'!S288), 'Model_ of_individuals'!S288*'Model_ of_individuals'!$K288,"")</f>
        <v/>
      </c>
      <c r="T278" s="108" t="str">
        <f>IF(ISNUMBER('Model_ of_individuals'!T288), 'Model_ of_individuals'!T288*'Model_ of_individuals'!$K288,"")</f>
        <v/>
      </c>
      <c r="U278" s="108" t="str">
        <f>IF(ISNUMBER('Model_ of_individuals'!U288), 'Model_ of_individuals'!U288*'Model_ of_individuals'!$K288,"")</f>
        <v/>
      </c>
      <c r="V278" s="108" t="str">
        <f>IF(ISNUMBER('Model_ of_individuals'!V288), 'Model_ of_individuals'!V288*'Model_ of_individuals'!$K288,"")</f>
        <v/>
      </c>
      <c r="W278" s="108" t="str">
        <f>IF(ISNUMBER('Model_ of_individuals'!W288), 'Model_ of_individuals'!W288*'Model_ of_individuals'!$K288,"")</f>
        <v/>
      </c>
      <c r="X278" s="108" t="str">
        <f>IF(ISNUMBER('Model_ of_individuals'!X288), 'Model_ of_individuals'!X288*'Model_ of_individuals'!$K288,"")</f>
        <v/>
      </c>
      <c r="Y278" s="108" t="str">
        <f>IF(ISNUMBER('Model_ of_individuals'!Y288), 'Model_ of_individuals'!Y288*'Model_ of_individuals'!$K288,"")</f>
        <v/>
      </c>
      <c r="Z278" s="108" t="str">
        <f>IF(ISNUMBER('Model_ of_individuals'!Z288), 'Model_ of_individuals'!Z288*'Model_ of_individuals'!$K288,"")</f>
        <v/>
      </c>
      <c r="AA278" s="108" t="str">
        <f>IF(ISNUMBER('Model_ of_individuals'!AA288), 'Model_ of_individuals'!AA288*'Model_ of_individuals'!$K288,"")</f>
        <v/>
      </c>
      <c r="AB278" s="108" t="str">
        <f>IF(ISNUMBER('Model_ of_individuals'!AB288), 'Model_ of_individuals'!AB288*'Model_ of_individuals'!$K288,"")</f>
        <v/>
      </c>
      <c r="AC278" s="108" t="str">
        <f>IF(ISNUMBER('Model_ of_individuals'!AC288), 'Model_ of_individuals'!AC288*'Model_ of_individuals'!$K288,"")</f>
        <v/>
      </c>
      <c r="AD278" s="108" t="str">
        <f>IF(ISNUMBER('Model_ of_individuals'!AD288), 'Model_ of_individuals'!AD288*'Model_ of_individuals'!$K288,"")</f>
        <v/>
      </c>
      <c r="AE278" s="108" t="str">
        <f>IF(ISNUMBER('Model_ of_individuals'!AE288), 'Model_ of_individuals'!AE288*'Model_ of_individuals'!$K288,"")</f>
        <v/>
      </c>
      <c r="AF278" s="108" t="str">
        <f>IF(ISNUMBER('Model_ of_individuals'!AF288), 'Model_ of_individuals'!AF288*'Model_ of_individuals'!$K288,"")</f>
        <v/>
      </c>
      <c r="AG278" s="108" t="str">
        <f>IF(ISNUMBER('Model_ of_individuals'!AG288), 'Model_ of_individuals'!AG288*'Model_ of_individuals'!$K288,"")</f>
        <v/>
      </c>
      <c r="AH278" s="108" t="str">
        <f>IF(ISNUMBER('Model_ of_individuals'!AH288), 'Model_ of_individuals'!AH288*'Model_ of_individuals'!$K288,"")</f>
        <v/>
      </c>
      <c r="AI278" s="108" t="str">
        <f>IF(ISNUMBER('Model_ of_individuals'!AI288), 'Model_ of_individuals'!AI288*'Model_ of_individuals'!$K288,"")</f>
        <v/>
      </c>
      <c r="AJ278" s="108" t="str">
        <f>IF(ISNUMBER('Model_ of_individuals'!AJ288), 'Model_ of_individuals'!AJ288*'Model_ of_individuals'!$K288,"")</f>
        <v/>
      </c>
      <c r="AK278" s="108" t="str">
        <f>IF(ISNUMBER('Model_ of_individuals'!AK288), 'Model_ of_individuals'!AK288*'Model_ of_individuals'!$K288,"")</f>
        <v/>
      </c>
      <c r="AL278" s="108" t="str">
        <f>IF(ISNUMBER('Model_ of_individuals'!AL288), 'Model_ of_individuals'!AL288*'Model_ of_individuals'!$K288,"")</f>
        <v/>
      </c>
      <c r="AM278" s="108" t="str">
        <f>IF(ISNUMBER('Model_ of_individuals'!AM288), 'Model_ of_individuals'!AM288*'Model_ of_individuals'!$K288,"")</f>
        <v/>
      </c>
      <c r="AN278" s="108" t="str">
        <f>IF(ISNUMBER('Model_ of_individuals'!AN288), 'Model_ of_individuals'!AN288*'Model_ of_individuals'!$K288,"")</f>
        <v/>
      </c>
      <c r="AO278" s="108" t="str">
        <f>IF(ISNUMBER('Model_ of_individuals'!AO288), 'Model_ of_individuals'!AO288*'Model_ of_individuals'!$K288,"")</f>
        <v/>
      </c>
      <c r="AP278" s="108" t="str">
        <f>IF(ISNUMBER('Model_ of_individuals'!AP288), 'Model_ of_individuals'!AP288*'Model_ of_individuals'!$K288,"")</f>
        <v/>
      </c>
      <c r="AQ278" s="108" t="str">
        <f>IF(ISNUMBER('Model_ of_individuals'!AQ288), 'Model_ of_individuals'!AQ288*'Model_ of_individuals'!$K288,"")</f>
        <v/>
      </c>
      <c r="AR278" s="108" t="str">
        <f>IF(ISNUMBER('Model_ of_individuals'!AR288), 'Model_ of_individuals'!AR288*'Model_ of_individuals'!$K288,"")</f>
        <v/>
      </c>
    </row>
    <row r="279" spans="1:45" x14ac:dyDescent="0.25">
      <c r="A279" s="518"/>
      <c r="B279" s="504"/>
      <c r="C279" s="521" t="str">
        <f>IF(ISNUMBER(B270), _4_2_0, "")</f>
        <v/>
      </c>
      <c r="D279" s="94" t="str">
        <f>IF(AND(C279&lt;&gt;"", 'Cost Inputs'!G97&lt;&gt;""), 'Cost Inputs'!G97, "")</f>
        <v/>
      </c>
      <c r="E279" s="94" t="str">
        <f>IF(AND(C279&lt;&gt;"", 'Cost Inputs'!H97&lt;&gt;""), 'Cost Inputs'!H97, "")</f>
        <v/>
      </c>
      <c r="F279" s="492" t="str">
        <f>IF(AND(C279&lt;&gt;"", 'Cost Inputs'!I97&lt;&gt;""), 'Cost Inputs'!I97, "")</f>
        <v/>
      </c>
      <c r="G279" s="102" t="str">
        <f t="shared" si="16"/>
        <v/>
      </c>
      <c r="H279" s="492" t="str">
        <f>IF(AND(C279&lt;&gt;"", 'Cost Inputs'!J97&lt;&gt;""), 'Cost Inputs'!J97, "")</f>
        <v/>
      </c>
      <c r="I279" s="102" t="str">
        <f>IF($C279&lt;&gt;"", IF(AND($E279&lt;&gt;"", H279&lt;&gt;""), H279/$E279, 0),"")</f>
        <v/>
      </c>
      <c r="J279" s="492" t="str">
        <f>IF(AND(C279&lt;&gt;"",('Cost Inputs'!I97+'Cost Inputs'!J97+'Cost Inputs'!K97)&gt;0), 'Cost Inputs'!I97+'Cost Inputs'!J97+'Cost Inputs'!K97, "")</f>
        <v/>
      </c>
      <c r="K279" s="102" t="str">
        <f>IF($C279&lt;&gt;"",IF(AND($E279&lt;&gt;"",J279&lt;&gt;""), J279/$E279, 0),"")</f>
        <v/>
      </c>
      <c r="L279" s="525"/>
      <c r="M279" s="525"/>
      <c r="O279" s="496" t="str">
        <f>IF(ISNUMBER('Model_ of_individuals'!O289), 'Model_ of_individuals'!O289*'Model_ of_individuals'!$K289,"")</f>
        <v/>
      </c>
      <c r="P279" s="496" t="str">
        <f>IF(ISNUMBER('Model_ of_individuals'!P289), 'Model_ of_individuals'!P289*'Model_ of_individuals'!$K289,"")</f>
        <v/>
      </c>
      <c r="Q279" s="496" t="str">
        <f>IF(ISNUMBER('Model_ of_individuals'!Q289), 'Model_ of_individuals'!Q289*'Model_ of_individuals'!$K289,"")</f>
        <v/>
      </c>
      <c r="R279" s="496" t="str">
        <f>IF(ISNUMBER('Model_ of_individuals'!R289), 'Model_ of_individuals'!R289*'Model_ of_individuals'!$K289,"")</f>
        <v/>
      </c>
      <c r="S279" s="496" t="str">
        <f>IF(ISNUMBER('Model_ of_individuals'!S289), 'Model_ of_individuals'!S289*'Model_ of_individuals'!$K289,"")</f>
        <v/>
      </c>
      <c r="T279" s="496" t="str">
        <f>IF(ISNUMBER('Model_ of_individuals'!T289), 'Model_ of_individuals'!T289*'Model_ of_individuals'!$K289,"")</f>
        <v/>
      </c>
      <c r="U279" s="496" t="str">
        <f>IF(ISNUMBER('Model_ of_individuals'!U289), 'Model_ of_individuals'!U289*'Model_ of_individuals'!$K289,"")</f>
        <v/>
      </c>
      <c r="V279" s="496" t="str">
        <f>IF(ISNUMBER('Model_ of_individuals'!V289), 'Model_ of_individuals'!V289*'Model_ of_individuals'!$K289,"")</f>
        <v/>
      </c>
      <c r="W279" s="496" t="str">
        <f>IF(ISNUMBER('Model_ of_individuals'!W289), 'Model_ of_individuals'!W289*'Model_ of_individuals'!$K289,"")</f>
        <v/>
      </c>
      <c r="X279" s="496" t="str">
        <f>IF(ISNUMBER('Model_ of_individuals'!X289), 'Model_ of_individuals'!X289*'Model_ of_individuals'!$K289,"")</f>
        <v/>
      </c>
      <c r="Y279" s="496" t="str">
        <f>IF(ISNUMBER('Model_ of_individuals'!Y289), 'Model_ of_individuals'!Y289*'Model_ of_individuals'!$K289,"")</f>
        <v/>
      </c>
      <c r="Z279" s="496" t="str">
        <f>IF(ISNUMBER('Model_ of_individuals'!Z289), 'Model_ of_individuals'!Z289*'Model_ of_individuals'!$K289,"")</f>
        <v/>
      </c>
      <c r="AA279" s="496" t="str">
        <f>IF(ISNUMBER('Model_ of_individuals'!AA289), 'Model_ of_individuals'!AA289*'Model_ of_individuals'!$K289,"")</f>
        <v/>
      </c>
      <c r="AB279" s="496" t="str">
        <f>IF(ISNUMBER('Model_ of_individuals'!AB289), 'Model_ of_individuals'!AB289*'Model_ of_individuals'!$K289,"")</f>
        <v/>
      </c>
      <c r="AC279" s="496" t="str">
        <f>IF(ISNUMBER('Model_ of_individuals'!AC289), 'Model_ of_individuals'!AC289*'Model_ of_individuals'!$K289,"")</f>
        <v/>
      </c>
      <c r="AD279" s="496" t="str">
        <f>IF(ISNUMBER('Model_ of_individuals'!AD289), 'Model_ of_individuals'!AD289*'Model_ of_individuals'!$K289,"")</f>
        <v/>
      </c>
      <c r="AE279" s="496" t="str">
        <f>IF(ISNUMBER('Model_ of_individuals'!AE289), 'Model_ of_individuals'!AE289*'Model_ of_individuals'!$K289,"")</f>
        <v/>
      </c>
      <c r="AF279" s="496" t="str">
        <f>IF(ISNUMBER('Model_ of_individuals'!AF289), 'Model_ of_individuals'!AF289*'Model_ of_individuals'!$K289,"")</f>
        <v/>
      </c>
      <c r="AG279" s="496" t="str">
        <f>IF(ISNUMBER('Model_ of_individuals'!AG289), 'Model_ of_individuals'!AG289*'Model_ of_individuals'!$K289,"")</f>
        <v/>
      </c>
      <c r="AH279" s="496" t="str">
        <f>IF(ISNUMBER('Model_ of_individuals'!AH289), 'Model_ of_individuals'!AH289*'Model_ of_individuals'!$K289,"")</f>
        <v/>
      </c>
      <c r="AI279" s="496" t="str">
        <f>IF(ISNUMBER('Model_ of_individuals'!AI289), 'Model_ of_individuals'!AI289*'Model_ of_individuals'!$K289,"")</f>
        <v/>
      </c>
      <c r="AJ279" s="496" t="str">
        <f>IF(ISNUMBER('Model_ of_individuals'!AJ289), 'Model_ of_individuals'!AJ289*'Model_ of_individuals'!$K289,"")</f>
        <v/>
      </c>
      <c r="AK279" s="496" t="str">
        <f>IF(ISNUMBER('Model_ of_individuals'!AK289), 'Model_ of_individuals'!AK289*'Model_ of_individuals'!$K289,"")</f>
        <v/>
      </c>
      <c r="AL279" s="496" t="str">
        <f>IF(ISNUMBER('Model_ of_individuals'!AL289), 'Model_ of_individuals'!AL289*'Model_ of_individuals'!$K289,"")</f>
        <v/>
      </c>
      <c r="AM279" s="496" t="str">
        <f>IF(ISNUMBER('Model_ of_individuals'!AM289), 'Model_ of_individuals'!AM289*'Model_ of_individuals'!$K289,"")</f>
        <v/>
      </c>
      <c r="AN279" s="496" t="str">
        <f>IF(ISNUMBER('Model_ of_individuals'!AN289), 'Model_ of_individuals'!AN289*'Model_ of_individuals'!$K289,"")</f>
        <v/>
      </c>
      <c r="AO279" s="496" t="str">
        <f>IF(ISNUMBER('Model_ of_individuals'!AO289), 'Model_ of_individuals'!AO289*'Model_ of_individuals'!$K289,"")</f>
        <v/>
      </c>
      <c r="AP279" s="496" t="str">
        <f>IF(ISNUMBER('Model_ of_individuals'!AP289), 'Model_ of_individuals'!AP289*'Model_ of_individuals'!$K289,"")</f>
        <v/>
      </c>
      <c r="AQ279" s="496" t="str">
        <f>IF(ISNUMBER('Model_ of_individuals'!AQ289), 'Model_ of_individuals'!AQ289*'Model_ of_individuals'!$K289,"")</f>
        <v/>
      </c>
      <c r="AR279" s="496" t="str">
        <f>IF(ISNUMBER('Model_ of_individuals'!AR289), 'Model_ of_individuals'!AR289*'Model_ of_individuals'!$K289,"")</f>
        <v/>
      </c>
      <c r="AS279" s="528"/>
    </row>
    <row r="280" spans="1:45" x14ac:dyDescent="0.25">
      <c r="A280" s="518"/>
      <c r="B280" s="504"/>
      <c r="C280" s="521"/>
      <c r="D280" s="94" t="str">
        <f>IF(AND(C279&lt;&gt;"", 'Cost Inputs'!G98&lt;&gt;""), 'Cost Inputs'!G98, "")</f>
        <v/>
      </c>
      <c r="E280" s="94" t="str">
        <f>IF(AND(C279&lt;&gt;"", 'Cost Inputs'!H98&lt;&gt;""), 'Cost Inputs'!H98, "")</f>
        <v/>
      </c>
      <c r="F280" s="492"/>
      <c r="G280" s="102" t="str">
        <f t="shared" si="16"/>
        <v/>
      </c>
      <c r="H280" s="492"/>
      <c r="I280" s="102" t="str">
        <f>IF($C279&lt;&gt;"", IF(AND($E280&lt;&gt;"", H279&lt;&gt;""), H279/($E279*$E280), 0), "")</f>
        <v/>
      </c>
      <c r="J280" s="492" t="str">
        <f>IF(AND(C280&lt;&gt;"",('Cost Inputs'!$I$86+'Cost Inputs'!$J$86+'Cost Inputs'!$K$86)&gt;0), 'Cost Inputs'!$I$86+'Cost Inputs'!$J$86+'Cost Inputs'!$K$86, "")</f>
        <v/>
      </c>
      <c r="K280" s="102" t="str">
        <f>IF($C279&lt;&gt;"", IF(AND($E280&lt;&gt;"", J279&lt;&gt;""), J279/($E279*$E280), 0), "")</f>
        <v/>
      </c>
      <c r="L280" s="525"/>
      <c r="M280" s="525"/>
      <c r="N280" s="137"/>
      <c r="O280" s="496" t="str">
        <f>IF(ISNUMBER('Model_ of_individuals'!O290), 'Model_ of_individuals'!O290*'Model_ of_individuals'!$K290,"")</f>
        <v/>
      </c>
      <c r="P280" s="496" t="str">
        <f>IF(ISNUMBER('Model_ of_individuals'!P290), 'Model_ of_individuals'!P290*'Model_ of_individuals'!$K290,"")</f>
        <v/>
      </c>
      <c r="Q280" s="496" t="str">
        <f>IF(ISNUMBER('Model_ of_individuals'!Q290), 'Model_ of_individuals'!Q290*'Model_ of_individuals'!$K290,"")</f>
        <v/>
      </c>
      <c r="R280" s="496" t="str">
        <f>IF(ISNUMBER('Model_ of_individuals'!R290), 'Model_ of_individuals'!R290*'Model_ of_individuals'!$K290,"")</f>
        <v/>
      </c>
      <c r="S280" s="496" t="str">
        <f>IF(ISNUMBER('Model_ of_individuals'!S290), 'Model_ of_individuals'!S290*'Model_ of_individuals'!$K290,"")</f>
        <v/>
      </c>
      <c r="T280" s="496" t="str">
        <f>IF(ISNUMBER('Model_ of_individuals'!T290), 'Model_ of_individuals'!T290*'Model_ of_individuals'!$K290,"")</f>
        <v/>
      </c>
      <c r="U280" s="496" t="str">
        <f>IF(ISNUMBER('Model_ of_individuals'!U290), 'Model_ of_individuals'!U290*'Model_ of_individuals'!$K290,"")</f>
        <v/>
      </c>
      <c r="V280" s="496" t="str">
        <f>IF(ISNUMBER('Model_ of_individuals'!V290), 'Model_ of_individuals'!V290*'Model_ of_individuals'!$K290,"")</f>
        <v/>
      </c>
      <c r="W280" s="496" t="str">
        <f>IF(ISNUMBER('Model_ of_individuals'!W290), 'Model_ of_individuals'!W290*'Model_ of_individuals'!$K290,"")</f>
        <v/>
      </c>
      <c r="X280" s="496" t="str">
        <f>IF(ISNUMBER('Model_ of_individuals'!X290), 'Model_ of_individuals'!X290*'Model_ of_individuals'!$K290,"")</f>
        <v/>
      </c>
      <c r="Y280" s="496" t="str">
        <f>IF(ISNUMBER('Model_ of_individuals'!Y290), 'Model_ of_individuals'!Y290*'Model_ of_individuals'!$K290,"")</f>
        <v/>
      </c>
      <c r="Z280" s="496" t="str">
        <f>IF(ISNUMBER('Model_ of_individuals'!Z290), 'Model_ of_individuals'!Z290*'Model_ of_individuals'!$K290,"")</f>
        <v/>
      </c>
      <c r="AA280" s="496" t="str">
        <f>IF(ISNUMBER('Model_ of_individuals'!AA290), 'Model_ of_individuals'!AA290*'Model_ of_individuals'!$K290,"")</f>
        <v/>
      </c>
      <c r="AB280" s="496" t="str">
        <f>IF(ISNUMBER('Model_ of_individuals'!AB290), 'Model_ of_individuals'!AB290*'Model_ of_individuals'!$K290,"")</f>
        <v/>
      </c>
      <c r="AC280" s="496" t="str">
        <f>IF(ISNUMBER('Model_ of_individuals'!AC290), 'Model_ of_individuals'!AC290*'Model_ of_individuals'!$K290,"")</f>
        <v/>
      </c>
      <c r="AD280" s="496" t="str">
        <f>IF(ISNUMBER('Model_ of_individuals'!AD290), 'Model_ of_individuals'!AD290*'Model_ of_individuals'!$K290,"")</f>
        <v/>
      </c>
      <c r="AE280" s="496" t="str">
        <f>IF(ISNUMBER('Model_ of_individuals'!AE290), 'Model_ of_individuals'!AE290*'Model_ of_individuals'!$K290,"")</f>
        <v/>
      </c>
      <c r="AF280" s="496" t="str">
        <f>IF(ISNUMBER('Model_ of_individuals'!AF290), 'Model_ of_individuals'!AF290*'Model_ of_individuals'!$K290,"")</f>
        <v/>
      </c>
      <c r="AG280" s="496" t="str">
        <f>IF(ISNUMBER('Model_ of_individuals'!AG290), 'Model_ of_individuals'!AG290*'Model_ of_individuals'!$K290,"")</f>
        <v/>
      </c>
      <c r="AH280" s="496" t="str">
        <f>IF(ISNUMBER('Model_ of_individuals'!AH290), 'Model_ of_individuals'!AH290*'Model_ of_individuals'!$K290,"")</f>
        <v/>
      </c>
      <c r="AI280" s="496" t="str">
        <f>IF(ISNUMBER('Model_ of_individuals'!AI290), 'Model_ of_individuals'!AI290*'Model_ of_individuals'!$K290,"")</f>
        <v/>
      </c>
      <c r="AJ280" s="496" t="str">
        <f>IF(ISNUMBER('Model_ of_individuals'!AJ290), 'Model_ of_individuals'!AJ290*'Model_ of_individuals'!$K290,"")</f>
        <v/>
      </c>
      <c r="AK280" s="496" t="str">
        <f>IF(ISNUMBER('Model_ of_individuals'!AK290), 'Model_ of_individuals'!AK290*'Model_ of_individuals'!$K290,"")</f>
        <v/>
      </c>
      <c r="AL280" s="496" t="str">
        <f>IF(ISNUMBER('Model_ of_individuals'!AL290), 'Model_ of_individuals'!AL290*'Model_ of_individuals'!$K290,"")</f>
        <v/>
      </c>
      <c r="AM280" s="496" t="str">
        <f>IF(ISNUMBER('Model_ of_individuals'!AM290), 'Model_ of_individuals'!AM290*'Model_ of_individuals'!$K290,"")</f>
        <v/>
      </c>
      <c r="AN280" s="496" t="str">
        <f>IF(ISNUMBER('Model_ of_individuals'!AN290), 'Model_ of_individuals'!AN290*'Model_ of_individuals'!$K290,"")</f>
        <v/>
      </c>
      <c r="AO280" s="496" t="str">
        <f>IF(ISNUMBER('Model_ of_individuals'!AO290), 'Model_ of_individuals'!AO290*'Model_ of_individuals'!$K290,"")</f>
        <v/>
      </c>
      <c r="AP280" s="496" t="str">
        <f>IF(ISNUMBER('Model_ of_individuals'!AP290), 'Model_ of_individuals'!AP290*'Model_ of_individuals'!$K290,"")</f>
        <v/>
      </c>
      <c r="AQ280" s="496" t="str">
        <f>IF(ISNUMBER('Model_ of_individuals'!AQ290), 'Model_ of_individuals'!AQ290*'Model_ of_individuals'!$K290,"")</f>
        <v/>
      </c>
      <c r="AR280" s="496" t="str">
        <f>IF(ISNUMBER('Model_ of_individuals'!AR290), 'Model_ of_individuals'!AR290*'Model_ of_individuals'!$K290,"")</f>
        <v/>
      </c>
      <c r="AS280" s="528"/>
    </row>
    <row r="281" spans="1:45" x14ac:dyDescent="0.25">
      <c r="A281" s="518"/>
      <c r="B281" s="504"/>
      <c r="C281" s="376" t="str">
        <f>IF(AND(ISNUMBER(B270), OR('Cost Inputs'!H99&lt;&gt;"", 'Cost Inputs'!I99&lt;&gt;"", 'Cost Inputs'!J99&lt;&gt;"")), _4_2_1, "")</f>
        <v/>
      </c>
      <c r="D281" s="17" t="str">
        <f>IF(AND(C281&lt;&gt;"", 'Cost Inputs'!G99&lt;&gt;""), 'Cost Inputs'!G99, "")</f>
        <v/>
      </c>
      <c r="E281" s="17" t="str">
        <f>IF(AND(C281&lt;&gt;"", 'Cost Inputs'!H99&lt;&gt;""), 'Cost Inputs'!H99, "")</f>
        <v/>
      </c>
      <c r="F281" s="493" t="str">
        <f>IF(AND(C281&lt;&gt;"", 'Cost Inputs'!I99&lt;&gt;""), 'Cost Inputs'!I99, "")</f>
        <v/>
      </c>
      <c r="G281" s="105" t="str">
        <f t="shared" si="16"/>
        <v/>
      </c>
      <c r="H281" s="493" t="str">
        <f>IF(AND(C281&lt;&gt;"", 'Cost Inputs'!J99&lt;&gt;""), 'Cost Inputs'!J99, "")</f>
        <v/>
      </c>
      <c r="I281" s="105" t="str">
        <f>IF($C281&lt;&gt;"", IF(AND($E281&lt;&gt;"", H281&lt;&gt;""), H281/$E281, 0),"")</f>
        <v/>
      </c>
      <c r="J281" s="493" t="str">
        <f>IF(AND(C281&lt;&gt;"",('Cost Inputs'!I99+'Cost Inputs'!J99+'Cost Inputs'!K99)&gt;0), 'Cost Inputs'!I99+'Cost Inputs'!J99+'Cost Inputs'!K99, "")</f>
        <v/>
      </c>
      <c r="K281" s="105" t="str">
        <f>IF($C281&lt;&gt;"",IF(AND($E281&lt;&gt;"",J281&lt;&gt;""), J281/$E281, 0),"")</f>
        <v/>
      </c>
      <c r="L281" s="525"/>
      <c r="M281" s="525"/>
      <c r="O281" s="497" t="str">
        <f>IF(ISNUMBER('Model_ of_individuals'!O291), 'Model_ of_individuals'!O291*'Model_ of_individuals'!$K291,"")</f>
        <v/>
      </c>
      <c r="P281" s="497" t="str">
        <f>IF(ISNUMBER('Model_ of_individuals'!P291), 'Model_ of_individuals'!P291*'Model_ of_individuals'!$K291,"")</f>
        <v/>
      </c>
      <c r="Q281" s="497" t="str">
        <f>IF(ISNUMBER('Model_ of_individuals'!Q291), 'Model_ of_individuals'!Q291*'Model_ of_individuals'!$K291,"")</f>
        <v/>
      </c>
      <c r="R281" s="497" t="str">
        <f>IF(ISNUMBER('Model_ of_individuals'!R291), 'Model_ of_individuals'!R291*'Model_ of_individuals'!$K291,"")</f>
        <v/>
      </c>
      <c r="S281" s="497" t="str">
        <f>IF(ISNUMBER('Model_ of_individuals'!S291), 'Model_ of_individuals'!S291*'Model_ of_individuals'!$K291,"")</f>
        <v/>
      </c>
      <c r="T281" s="497" t="str">
        <f>IF(ISNUMBER('Model_ of_individuals'!T291), 'Model_ of_individuals'!T291*'Model_ of_individuals'!$K291,"")</f>
        <v/>
      </c>
      <c r="U281" s="497" t="str">
        <f>IF(ISNUMBER('Model_ of_individuals'!U291), 'Model_ of_individuals'!U291*'Model_ of_individuals'!$K291,"")</f>
        <v/>
      </c>
      <c r="V281" s="497" t="str">
        <f>IF(ISNUMBER('Model_ of_individuals'!V291), 'Model_ of_individuals'!V291*'Model_ of_individuals'!$K291,"")</f>
        <v/>
      </c>
      <c r="W281" s="497" t="str">
        <f>IF(ISNUMBER('Model_ of_individuals'!W291), 'Model_ of_individuals'!W291*'Model_ of_individuals'!$K291,"")</f>
        <v/>
      </c>
      <c r="X281" s="497" t="str">
        <f>IF(ISNUMBER('Model_ of_individuals'!X291), 'Model_ of_individuals'!X291*'Model_ of_individuals'!$K291,"")</f>
        <v/>
      </c>
      <c r="Y281" s="497" t="str">
        <f>IF(ISNUMBER('Model_ of_individuals'!Y291), 'Model_ of_individuals'!Y291*'Model_ of_individuals'!$K291,"")</f>
        <v/>
      </c>
      <c r="Z281" s="497" t="str">
        <f>IF(ISNUMBER('Model_ of_individuals'!Z291), 'Model_ of_individuals'!Z291*'Model_ of_individuals'!$K291,"")</f>
        <v/>
      </c>
      <c r="AA281" s="497" t="str">
        <f>IF(ISNUMBER('Model_ of_individuals'!AA291), 'Model_ of_individuals'!AA291*'Model_ of_individuals'!$K291,"")</f>
        <v/>
      </c>
      <c r="AB281" s="497" t="str">
        <f>IF(ISNUMBER('Model_ of_individuals'!AB291), 'Model_ of_individuals'!AB291*'Model_ of_individuals'!$K291,"")</f>
        <v/>
      </c>
      <c r="AC281" s="497" t="str">
        <f>IF(ISNUMBER('Model_ of_individuals'!AC291), 'Model_ of_individuals'!AC291*'Model_ of_individuals'!$K291,"")</f>
        <v/>
      </c>
      <c r="AD281" s="497" t="str">
        <f>IF(ISNUMBER('Model_ of_individuals'!AD291), 'Model_ of_individuals'!AD291*'Model_ of_individuals'!$K291,"")</f>
        <v/>
      </c>
      <c r="AE281" s="497" t="str">
        <f>IF(ISNUMBER('Model_ of_individuals'!AE291), 'Model_ of_individuals'!AE291*'Model_ of_individuals'!$K291,"")</f>
        <v/>
      </c>
      <c r="AF281" s="497" t="str">
        <f>IF(ISNUMBER('Model_ of_individuals'!AF291), 'Model_ of_individuals'!AF291*'Model_ of_individuals'!$K291,"")</f>
        <v/>
      </c>
      <c r="AG281" s="497" t="str">
        <f>IF(ISNUMBER('Model_ of_individuals'!AG291), 'Model_ of_individuals'!AG291*'Model_ of_individuals'!$K291,"")</f>
        <v/>
      </c>
      <c r="AH281" s="497" t="str">
        <f>IF(ISNUMBER('Model_ of_individuals'!AH291), 'Model_ of_individuals'!AH291*'Model_ of_individuals'!$K291,"")</f>
        <v/>
      </c>
      <c r="AI281" s="497" t="str">
        <f>IF(ISNUMBER('Model_ of_individuals'!AI291), 'Model_ of_individuals'!AI291*'Model_ of_individuals'!$K291,"")</f>
        <v/>
      </c>
      <c r="AJ281" s="497" t="str">
        <f>IF(ISNUMBER('Model_ of_individuals'!AJ291), 'Model_ of_individuals'!AJ291*'Model_ of_individuals'!$K291,"")</f>
        <v/>
      </c>
      <c r="AK281" s="497" t="str">
        <f>IF(ISNUMBER('Model_ of_individuals'!AK291), 'Model_ of_individuals'!AK291*'Model_ of_individuals'!$K291,"")</f>
        <v/>
      </c>
      <c r="AL281" s="497" t="str">
        <f>IF(ISNUMBER('Model_ of_individuals'!AL291), 'Model_ of_individuals'!AL291*'Model_ of_individuals'!$K291,"")</f>
        <v/>
      </c>
      <c r="AM281" s="497" t="str">
        <f>IF(ISNUMBER('Model_ of_individuals'!AM291), 'Model_ of_individuals'!AM291*'Model_ of_individuals'!$K291,"")</f>
        <v/>
      </c>
      <c r="AN281" s="497" t="str">
        <f>IF(ISNUMBER('Model_ of_individuals'!AN291), 'Model_ of_individuals'!AN291*'Model_ of_individuals'!$K291,"")</f>
        <v/>
      </c>
      <c r="AO281" s="497" t="str">
        <f>IF(ISNUMBER('Model_ of_individuals'!AO291), 'Model_ of_individuals'!AO291*'Model_ of_individuals'!$K291,"")</f>
        <v/>
      </c>
      <c r="AP281" s="497" t="str">
        <f>IF(ISNUMBER('Model_ of_individuals'!AP291), 'Model_ of_individuals'!AP291*'Model_ of_individuals'!$K291,"")</f>
        <v/>
      </c>
      <c r="AQ281" s="497" t="str">
        <f>IF(ISNUMBER('Model_ of_individuals'!AQ291), 'Model_ of_individuals'!AQ291*'Model_ of_individuals'!$K291,"")</f>
        <v/>
      </c>
      <c r="AR281" s="497" t="str">
        <f>IF(ISNUMBER('Model_ of_individuals'!AR291), 'Model_ of_individuals'!AR291*'Model_ of_individuals'!$K291,"")</f>
        <v/>
      </c>
      <c r="AS281" s="528"/>
    </row>
    <row r="282" spans="1:45" x14ac:dyDescent="0.25">
      <c r="A282" s="518"/>
      <c r="B282" s="504"/>
      <c r="C282" s="376" t="str">
        <f>IF(AND(ISNUMBER(B263), OR('Cost Inputs'!$H$85&lt;&gt;"", 'Cost Inputs'!$I$85&lt;&gt;"", 'Cost Inputs'!$J$85&lt;&gt;"")), _3_5_1, "")</f>
        <v/>
      </c>
      <c r="D282" s="17" t="str">
        <f>IF(AND(C281&lt;&gt;"", 'Cost Inputs'!G100&lt;&gt;""), 'Cost Inputs'!G100, "")</f>
        <v/>
      </c>
      <c r="E282" s="17" t="str">
        <f>IF(AND(C281&lt;&gt;"", 'Cost Inputs'!H100&lt;&gt;""), 'Cost Inputs'!H100, "")</f>
        <v/>
      </c>
      <c r="F282" s="493"/>
      <c r="G282" s="105" t="str">
        <f t="shared" si="16"/>
        <v/>
      </c>
      <c r="H282" s="493"/>
      <c r="I282" s="105" t="str">
        <f>IF($C281&lt;&gt;"", IF(AND($E282&lt;&gt;"", H281&lt;&gt;""), H281/($E281*$E282), 0), "")</f>
        <v/>
      </c>
      <c r="J282" s="493" t="str">
        <f>IF(AND(C282&lt;&gt;"",('Cost Inputs'!$I$86+'Cost Inputs'!$J$86+'Cost Inputs'!$K$86)&gt;0), 'Cost Inputs'!$I$86+'Cost Inputs'!$J$86+'Cost Inputs'!$K$86, "")</f>
        <v/>
      </c>
      <c r="K282" s="105" t="str">
        <f>IF($C281&lt;&gt;"", IF(AND($E282&lt;&gt;"", J281&lt;&gt;""), J281/($E281*$E282), 0), "")</f>
        <v/>
      </c>
      <c r="L282" s="525"/>
      <c r="M282" s="525"/>
      <c r="O282" s="497" t="str">
        <f>IF(ISNUMBER('Model_ of_individuals'!O292), 'Model_ of_individuals'!O292*'Model_ of_individuals'!$K292,"")</f>
        <v/>
      </c>
      <c r="P282" s="497" t="str">
        <f>IF(ISNUMBER('Model_ of_individuals'!P292), 'Model_ of_individuals'!P292*'Model_ of_individuals'!$K292,"")</f>
        <v/>
      </c>
      <c r="Q282" s="497" t="str">
        <f>IF(ISNUMBER('Model_ of_individuals'!Q292), 'Model_ of_individuals'!Q292*'Model_ of_individuals'!$K292,"")</f>
        <v/>
      </c>
      <c r="R282" s="497" t="str">
        <f>IF(ISNUMBER('Model_ of_individuals'!R292), 'Model_ of_individuals'!R292*'Model_ of_individuals'!$K292,"")</f>
        <v/>
      </c>
      <c r="S282" s="497" t="str">
        <f>IF(ISNUMBER('Model_ of_individuals'!S292), 'Model_ of_individuals'!S292*'Model_ of_individuals'!$K292,"")</f>
        <v/>
      </c>
      <c r="T282" s="497" t="str">
        <f>IF(ISNUMBER('Model_ of_individuals'!T292), 'Model_ of_individuals'!T292*'Model_ of_individuals'!$K292,"")</f>
        <v/>
      </c>
      <c r="U282" s="497" t="str">
        <f>IF(ISNUMBER('Model_ of_individuals'!U292), 'Model_ of_individuals'!U292*'Model_ of_individuals'!$K292,"")</f>
        <v/>
      </c>
      <c r="V282" s="497" t="str">
        <f>IF(ISNUMBER('Model_ of_individuals'!V292), 'Model_ of_individuals'!V292*'Model_ of_individuals'!$K292,"")</f>
        <v/>
      </c>
      <c r="W282" s="497" t="str">
        <f>IF(ISNUMBER('Model_ of_individuals'!W292), 'Model_ of_individuals'!W292*'Model_ of_individuals'!$K292,"")</f>
        <v/>
      </c>
      <c r="X282" s="497" t="str">
        <f>IF(ISNUMBER('Model_ of_individuals'!X292), 'Model_ of_individuals'!X292*'Model_ of_individuals'!$K292,"")</f>
        <v/>
      </c>
      <c r="Y282" s="497" t="str">
        <f>IF(ISNUMBER('Model_ of_individuals'!Y292), 'Model_ of_individuals'!Y292*'Model_ of_individuals'!$K292,"")</f>
        <v/>
      </c>
      <c r="Z282" s="497" t="str">
        <f>IF(ISNUMBER('Model_ of_individuals'!Z292), 'Model_ of_individuals'!Z292*'Model_ of_individuals'!$K292,"")</f>
        <v/>
      </c>
      <c r="AA282" s="497" t="str">
        <f>IF(ISNUMBER('Model_ of_individuals'!AA292), 'Model_ of_individuals'!AA292*'Model_ of_individuals'!$K292,"")</f>
        <v/>
      </c>
      <c r="AB282" s="497" t="str">
        <f>IF(ISNUMBER('Model_ of_individuals'!AB292), 'Model_ of_individuals'!AB292*'Model_ of_individuals'!$K292,"")</f>
        <v/>
      </c>
      <c r="AC282" s="497" t="str">
        <f>IF(ISNUMBER('Model_ of_individuals'!AC292), 'Model_ of_individuals'!AC292*'Model_ of_individuals'!$K292,"")</f>
        <v/>
      </c>
      <c r="AD282" s="497" t="str">
        <f>IF(ISNUMBER('Model_ of_individuals'!AD292), 'Model_ of_individuals'!AD292*'Model_ of_individuals'!$K292,"")</f>
        <v/>
      </c>
      <c r="AE282" s="497" t="str">
        <f>IF(ISNUMBER('Model_ of_individuals'!AE292), 'Model_ of_individuals'!AE292*'Model_ of_individuals'!$K292,"")</f>
        <v/>
      </c>
      <c r="AF282" s="497" t="str">
        <f>IF(ISNUMBER('Model_ of_individuals'!AF292), 'Model_ of_individuals'!AF292*'Model_ of_individuals'!$K292,"")</f>
        <v/>
      </c>
      <c r="AG282" s="497" t="str">
        <f>IF(ISNUMBER('Model_ of_individuals'!AG292), 'Model_ of_individuals'!AG292*'Model_ of_individuals'!$K292,"")</f>
        <v/>
      </c>
      <c r="AH282" s="497" t="str">
        <f>IF(ISNUMBER('Model_ of_individuals'!AH292), 'Model_ of_individuals'!AH292*'Model_ of_individuals'!$K292,"")</f>
        <v/>
      </c>
      <c r="AI282" s="497" t="str">
        <f>IF(ISNUMBER('Model_ of_individuals'!AI292), 'Model_ of_individuals'!AI292*'Model_ of_individuals'!$K292,"")</f>
        <v/>
      </c>
      <c r="AJ282" s="497" t="str">
        <f>IF(ISNUMBER('Model_ of_individuals'!AJ292), 'Model_ of_individuals'!AJ292*'Model_ of_individuals'!$K292,"")</f>
        <v/>
      </c>
      <c r="AK282" s="497" t="str">
        <f>IF(ISNUMBER('Model_ of_individuals'!AK292), 'Model_ of_individuals'!AK292*'Model_ of_individuals'!$K292,"")</f>
        <v/>
      </c>
      <c r="AL282" s="497" t="str">
        <f>IF(ISNUMBER('Model_ of_individuals'!AL292), 'Model_ of_individuals'!AL292*'Model_ of_individuals'!$K292,"")</f>
        <v/>
      </c>
      <c r="AM282" s="497" t="str">
        <f>IF(ISNUMBER('Model_ of_individuals'!AM292), 'Model_ of_individuals'!AM292*'Model_ of_individuals'!$K292,"")</f>
        <v/>
      </c>
      <c r="AN282" s="497" t="str">
        <f>IF(ISNUMBER('Model_ of_individuals'!AN292), 'Model_ of_individuals'!AN292*'Model_ of_individuals'!$K292,"")</f>
        <v/>
      </c>
      <c r="AO282" s="497" t="str">
        <f>IF(ISNUMBER('Model_ of_individuals'!AO292), 'Model_ of_individuals'!AO292*'Model_ of_individuals'!$K292,"")</f>
        <v/>
      </c>
      <c r="AP282" s="497" t="str">
        <f>IF(ISNUMBER('Model_ of_individuals'!AP292), 'Model_ of_individuals'!AP292*'Model_ of_individuals'!$K292,"")</f>
        <v/>
      </c>
      <c r="AQ282" s="497" t="str">
        <f>IF(ISNUMBER('Model_ of_individuals'!AQ292), 'Model_ of_individuals'!AQ292*'Model_ of_individuals'!$K292,"")</f>
        <v/>
      </c>
      <c r="AR282" s="497" t="str">
        <f>IF(ISNUMBER('Model_ of_individuals'!AR292), 'Model_ of_individuals'!AR292*'Model_ of_individuals'!$K292,"")</f>
        <v/>
      </c>
      <c r="AS282" s="528"/>
    </row>
    <row r="283" spans="1:45" x14ac:dyDescent="0.25">
      <c r="A283" s="518"/>
      <c r="B283" s="504"/>
      <c r="C283" s="523" t="str">
        <f>IF(AND(ISNUMBER(B270), OR('Cost Inputs'!H101&lt;&gt;"", 'Cost Inputs'!I101&lt;&gt;"", 'Cost Inputs'!J101&lt;&gt;"")), _4_2_2, "")</f>
        <v/>
      </c>
      <c r="D283" s="93" t="str">
        <f>IF(AND(C283&lt;&gt;"", 'Cost Inputs'!G101&lt;&gt;""), 'Cost Inputs'!G101, "")</f>
        <v/>
      </c>
      <c r="E283" s="93" t="str">
        <f>IF(AND(C283&lt;&gt;"", 'Cost Inputs'!H101&lt;&gt;""), 'Cost Inputs'!H101, "")</f>
        <v/>
      </c>
      <c r="F283" s="494" t="str">
        <f>IF(AND(C283&lt;&gt;"", 'Cost Inputs'!I101&lt;&gt;""), 'Cost Inputs'!I101, "")</f>
        <v/>
      </c>
      <c r="G283" s="108" t="str">
        <f t="shared" si="16"/>
        <v/>
      </c>
      <c r="H283" s="494" t="str">
        <f>IF(AND(C283&lt;&gt;"", 'Cost Inputs'!J101&lt;&gt;""), 'Cost Inputs'!J101, "")</f>
        <v/>
      </c>
      <c r="I283" s="108" t="str">
        <f>IF($C283&lt;&gt;"", IF(AND($E283&lt;&gt;"", H283&lt;&gt;""), H283/$E283, 0),"")</f>
        <v/>
      </c>
      <c r="J283" s="494" t="str">
        <f>IF(AND(C283&lt;&gt;"",('Cost Inputs'!I101+'Cost Inputs'!J101+'Cost Inputs'!K101)&gt;0), 'Cost Inputs'!I101+'Cost Inputs'!J101+'Cost Inputs'!K101, "")</f>
        <v/>
      </c>
      <c r="K283" s="108" t="str">
        <f>IF($C283&lt;&gt;"",IF(AND($E283&lt;&gt;"",J283&lt;&gt;""), J283/$E283, 0),"")</f>
        <v/>
      </c>
      <c r="L283" s="525"/>
      <c r="M283" s="525"/>
      <c r="O283" s="519" t="str">
        <f>IF(ISNUMBER('Model_ of_individuals'!O293), 'Model_ of_individuals'!O293*'Model_ of_individuals'!$K293,"")</f>
        <v/>
      </c>
      <c r="P283" s="519" t="str">
        <f>IF(ISNUMBER('Model_ of_individuals'!P293), 'Model_ of_individuals'!P293*'Model_ of_individuals'!$K293,"")</f>
        <v/>
      </c>
      <c r="Q283" s="519" t="str">
        <f>IF(ISNUMBER('Model_ of_individuals'!Q293), 'Model_ of_individuals'!Q293*'Model_ of_individuals'!$K293,"")</f>
        <v/>
      </c>
      <c r="R283" s="519" t="str">
        <f>IF(ISNUMBER('Model_ of_individuals'!R293), 'Model_ of_individuals'!R293*'Model_ of_individuals'!$K293,"")</f>
        <v/>
      </c>
      <c r="S283" s="519" t="str">
        <f>IF(ISNUMBER('Model_ of_individuals'!S293), 'Model_ of_individuals'!S293*'Model_ of_individuals'!$K293,"")</f>
        <v/>
      </c>
      <c r="T283" s="519" t="str">
        <f>IF(ISNUMBER('Model_ of_individuals'!T293), 'Model_ of_individuals'!T293*'Model_ of_individuals'!$K293,"")</f>
        <v/>
      </c>
      <c r="U283" s="519" t="str">
        <f>IF(ISNUMBER('Model_ of_individuals'!U293), 'Model_ of_individuals'!U293*'Model_ of_individuals'!$K293,"")</f>
        <v/>
      </c>
      <c r="V283" s="519" t="str">
        <f>IF(ISNUMBER('Model_ of_individuals'!V293), 'Model_ of_individuals'!V293*'Model_ of_individuals'!$K293,"")</f>
        <v/>
      </c>
      <c r="W283" s="519" t="str">
        <f>IF(ISNUMBER('Model_ of_individuals'!W293), 'Model_ of_individuals'!W293*'Model_ of_individuals'!$K293,"")</f>
        <v/>
      </c>
      <c r="X283" s="519" t="str">
        <f>IF(ISNUMBER('Model_ of_individuals'!X293), 'Model_ of_individuals'!X293*'Model_ of_individuals'!$K293,"")</f>
        <v/>
      </c>
      <c r="Y283" s="519" t="str">
        <f>IF(ISNUMBER('Model_ of_individuals'!Y293), 'Model_ of_individuals'!Y293*'Model_ of_individuals'!$K293,"")</f>
        <v/>
      </c>
      <c r="Z283" s="519" t="str">
        <f>IF(ISNUMBER('Model_ of_individuals'!Z293), 'Model_ of_individuals'!Z293*'Model_ of_individuals'!$K293,"")</f>
        <v/>
      </c>
      <c r="AA283" s="519" t="str">
        <f>IF(ISNUMBER('Model_ of_individuals'!AA293), 'Model_ of_individuals'!AA293*'Model_ of_individuals'!$K293,"")</f>
        <v/>
      </c>
      <c r="AB283" s="519" t="str">
        <f>IF(ISNUMBER('Model_ of_individuals'!AB293), 'Model_ of_individuals'!AB293*'Model_ of_individuals'!$K293,"")</f>
        <v/>
      </c>
      <c r="AC283" s="519" t="str">
        <f>IF(ISNUMBER('Model_ of_individuals'!AC293), 'Model_ of_individuals'!AC293*'Model_ of_individuals'!$K293,"")</f>
        <v/>
      </c>
      <c r="AD283" s="519" t="str">
        <f>IF(ISNUMBER('Model_ of_individuals'!AD293), 'Model_ of_individuals'!AD293*'Model_ of_individuals'!$K293,"")</f>
        <v/>
      </c>
      <c r="AE283" s="519" t="str">
        <f>IF(ISNUMBER('Model_ of_individuals'!AE293), 'Model_ of_individuals'!AE293*'Model_ of_individuals'!$K293,"")</f>
        <v/>
      </c>
      <c r="AF283" s="519" t="str">
        <f>IF(ISNUMBER('Model_ of_individuals'!AF293), 'Model_ of_individuals'!AF293*'Model_ of_individuals'!$K293,"")</f>
        <v/>
      </c>
      <c r="AG283" s="519" t="str">
        <f>IF(ISNUMBER('Model_ of_individuals'!AG293), 'Model_ of_individuals'!AG293*'Model_ of_individuals'!$K293,"")</f>
        <v/>
      </c>
      <c r="AH283" s="519" t="str">
        <f>IF(ISNUMBER('Model_ of_individuals'!AH293), 'Model_ of_individuals'!AH293*'Model_ of_individuals'!$K293,"")</f>
        <v/>
      </c>
      <c r="AI283" s="519" t="str">
        <f>IF(ISNUMBER('Model_ of_individuals'!AI293), 'Model_ of_individuals'!AI293*'Model_ of_individuals'!$K293,"")</f>
        <v/>
      </c>
      <c r="AJ283" s="519" t="str">
        <f>IF(ISNUMBER('Model_ of_individuals'!AJ293), 'Model_ of_individuals'!AJ293*'Model_ of_individuals'!$K293,"")</f>
        <v/>
      </c>
      <c r="AK283" s="519" t="str">
        <f>IF(ISNUMBER('Model_ of_individuals'!AK293), 'Model_ of_individuals'!AK293*'Model_ of_individuals'!$K293,"")</f>
        <v/>
      </c>
      <c r="AL283" s="519" t="str">
        <f>IF(ISNUMBER('Model_ of_individuals'!AL293), 'Model_ of_individuals'!AL293*'Model_ of_individuals'!$K293,"")</f>
        <v/>
      </c>
      <c r="AM283" s="519" t="str">
        <f>IF(ISNUMBER('Model_ of_individuals'!AM293), 'Model_ of_individuals'!AM293*'Model_ of_individuals'!$K293,"")</f>
        <v/>
      </c>
      <c r="AN283" s="519" t="str">
        <f>IF(ISNUMBER('Model_ of_individuals'!AN293), 'Model_ of_individuals'!AN293*'Model_ of_individuals'!$K293,"")</f>
        <v/>
      </c>
      <c r="AO283" s="519" t="str">
        <f>IF(ISNUMBER('Model_ of_individuals'!AO293), 'Model_ of_individuals'!AO293*'Model_ of_individuals'!$K293,"")</f>
        <v/>
      </c>
      <c r="AP283" s="519" t="str">
        <f>IF(ISNUMBER('Model_ of_individuals'!AP293), 'Model_ of_individuals'!AP293*'Model_ of_individuals'!$K293,"")</f>
        <v/>
      </c>
      <c r="AQ283" s="519" t="str">
        <f>IF(ISNUMBER('Model_ of_individuals'!AQ293), 'Model_ of_individuals'!AQ293*'Model_ of_individuals'!$K293,"")</f>
        <v/>
      </c>
      <c r="AR283" s="519" t="str">
        <f>IF(ISNUMBER('Model_ of_individuals'!AR293), 'Model_ of_individuals'!AR293*'Model_ of_individuals'!$K293,"")</f>
        <v/>
      </c>
    </row>
    <row r="284" spans="1:45" x14ac:dyDescent="0.25">
      <c r="A284" s="518"/>
      <c r="B284" s="504"/>
      <c r="C284" s="523" t="str">
        <f>IF(AND(ISNUMBER(B265), OR('Cost Inputs'!$H$85&lt;&gt;"", 'Cost Inputs'!$I$85&lt;&gt;"", 'Cost Inputs'!$J$85&lt;&gt;"")), _3_5_1, "")</f>
        <v/>
      </c>
      <c r="D284" s="93" t="str">
        <f>IF(AND(C283&lt;&gt;"", 'Cost Inputs'!G102&lt;&gt;""), 'Cost Inputs'!G102, "")</f>
        <v/>
      </c>
      <c r="E284" s="93" t="str">
        <f>IF(AND(C283&lt;&gt;"", 'Cost Inputs'!H102&lt;&gt;""), 'Cost Inputs'!H102, "")</f>
        <v/>
      </c>
      <c r="F284" s="494"/>
      <c r="G284" s="108" t="str">
        <f t="shared" si="16"/>
        <v/>
      </c>
      <c r="H284" s="494"/>
      <c r="I284" s="108" t="str">
        <f>IF($C283&lt;&gt;"", IF(AND($E284&lt;&gt;"", H283&lt;&gt;""), H283/($E283*$E284), 0), "")</f>
        <v/>
      </c>
      <c r="J284" s="494" t="str">
        <f>IF(AND(C284&lt;&gt;"",('Cost Inputs'!$I$86+'Cost Inputs'!$J$86+'Cost Inputs'!$K$86)&gt;0), 'Cost Inputs'!$I$86+'Cost Inputs'!$J$86+'Cost Inputs'!$K$86, "")</f>
        <v/>
      </c>
      <c r="K284" s="108" t="str">
        <f>IF($C283&lt;&gt;"", IF(AND($E284&lt;&gt;"", J283&lt;&gt;""), J283/($E283*$E284), 0), "")</f>
        <v/>
      </c>
      <c r="L284" s="525"/>
      <c r="M284" s="525"/>
      <c r="O284" s="519" t="str">
        <f>IF(ISNUMBER('Model_ of_individuals'!O294), 'Model_ of_individuals'!O294*'Model_ of_individuals'!$K294,"")</f>
        <v/>
      </c>
      <c r="P284" s="519" t="str">
        <f>IF(ISNUMBER('Model_ of_individuals'!P294), 'Model_ of_individuals'!P294*'Model_ of_individuals'!$K294,"")</f>
        <v/>
      </c>
      <c r="Q284" s="519" t="str">
        <f>IF(ISNUMBER('Model_ of_individuals'!Q294), 'Model_ of_individuals'!Q294*'Model_ of_individuals'!$K294,"")</f>
        <v/>
      </c>
      <c r="R284" s="519" t="str">
        <f>IF(ISNUMBER('Model_ of_individuals'!R294), 'Model_ of_individuals'!R294*'Model_ of_individuals'!$K294,"")</f>
        <v/>
      </c>
      <c r="S284" s="519" t="str">
        <f>IF(ISNUMBER('Model_ of_individuals'!S294), 'Model_ of_individuals'!S294*'Model_ of_individuals'!$K294,"")</f>
        <v/>
      </c>
      <c r="T284" s="519" t="str">
        <f>IF(ISNUMBER('Model_ of_individuals'!T294), 'Model_ of_individuals'!T294*'Model_ of_individuals'!$K294,"")</f>
        <v/>
      </c>
      <c r="U284" s="519" t="str">
        <f>IF(ISNUMBER('Model_ of_individuals'!U294), 'Model_ of_individuals'!U294*'Model_ of_individuals'!$K294,"")</f>
        <v/>
      </c>
      <c r="V284" s="519" t="str">
        <f>IF(ISNUMBER('Model_ of_individuals'!V294), 'Model_ of_individuals'!V294*'Model_ of_individuals'!$K294,"")</f>
        <v/>
      </c>
      <c r="W284" s="519" t="str">
        <f>IF(ISNUMBER('Model_ of_individuals'!W294), 'Model_ of_individuals'!W294*'Model_ of_individuals'!$K294,"")</f>
        <v/>
      </c>
      <c r="X284" s="519" t="str">
        <f>IF(ISNUMBER('Model_ of_individuals'!X294), 'Model_ of_individuals'!X294*'Model_ of_individuals'!$K294,"")</f>
        <v/>
      </c>
      <c r="Y284" s="519" t="str">
        <f>IF(ISNUMBER('Model_ of_individuals'!Y294), 'Model_ of_individuals'!Y294*'Model_ of_individuals'!$K294,"")</f>
        <v/>
      </c>
      <c r="Z284" s="519" t="str">
        <f>IF(ISNUMBER('Model_ of_individuals'!Z294), 'Model_ of_individuals'!Z294*'Model_ of_individuals'!$K294,"")</f>
        <v/>
      </c>
      <c r="AA284" s="519" t="str">
        <f>IF(ISNUMBER('Model_ of_individuals'!AA294), 'Model_ of_individuals'!AA294*'Model_ of_individuals'!$K294,"")</f>
        <v/>
      </c>
      <c r="AB284" s="519" t="str">
        <f>IF(ISNUMBER('Model_ of_individuals'!AB294), 'Model_ of_individuals'!AB294*'Model_ of_individuals'!$K294,"")</f>
        <v/>
      </c>
      <c r="AC284" s="519" t="str">
        <f>IF(ISNUMBER('Model_ of_individuals'!AC294), 'Model_ of_individuals'!AC294*'Model_ of_individuals'!$K294,"")</f>
        <v/>
      </c>
      <c r="AD284" s="519" t="str">
        <f>IF(ISNUMBER('Model_ of_individuals'!AD294), 'Model_ of_individuals'!AD294*'Model_ of_individuals'!$K294,"")</f>
        <v/>
      </c>
      <c r="AE284" s="519" t="str">
        <f>IF(ISNUMBER('Model_ of_individuals'!AE294), 'Model_ of_individuals'!AE294*'Model_ of_individuals'!$K294,"")</f>
        <v/>
      </c>
      <c r="AF284" s="519" t="str">
        <f>IF(ISNUMBER('Model_ of_individuals'!AF294), 'Model_ of_individuals'!AF294*'Model_ of_individuals'!$K294,"")</f>
        <v/>
      </c>
      <c r="AG284" s="519" t="str">
        <f>IF(ISNUMBER('Model_ of_individuals'!AG294), 'Model_ of_individuals'!AG294*'Model_ of_individuals'!$K294,"")</f>
        <v/>
      </c>
      <c r="AH284" s="519" t="str">
        <f>IF(ISNUMBER('Model_ of_individuals'!AH294), 'Model_ of_individuals'!AH294*'Model_ of_individuals'!$K294,"")</f>
        <v/>
      </c>
      <c r="AI284" s="519" t="str">
        <f>IF(ISNUMBER('Model_ of_individuals'!AI294), 'Model_ of_individuals'!AI294*'Model_ of_individuals'!$K294,"")</f>
        <v/>
      </c>
      <c r="AJ284" s="519" t="str">
        <f>IF(ISNUMBER('Model_ of_individuals'!AJ294), 'Model_ of_individuals'!AJ294*'Model_ of_individuals'!$K294,"")</f>
        <v/>
      </c>
      <c r="AK284" s="519" t="str">
        <f>IF(ISNUMBER('Model_ of_individuals'!AK294), 'Model_ of_individuals'!AK294*'Model_ of_individuals'!$K294,"")</f>
        <v/>
      </c>
      <c r="AL284" s="519" t="str">
        <f>IF(ISNUMBER('Model_ of_individuals'!AL294), 'Model_ of_individuals'!AL294*'Model_ of_individuals'!$K294,"")</f>
        <v/>
      </c>
      <c r="AM284" s="519" t="str">
        <f>IF(ISNUMBER('Model_ of_individuals'!AM294), 'Model_ of_individuals'!AM294*'Model_ of_individuals'!$K294,"")</f>
        <v/>
      </c>
      <c r="AN284" s="519" t="str">
        <f>IF(ISNUMBER('Model_ of_individuals'!AN294), 'Model_ of_individuals'!AN294*'Model_ of_individuals'!$K294,"")</f>
        <v/>
      </c>
      <c r="AO284" s="519" t="str">
        <f>IF(ISNUMBER('Model_ of_individuals'!AO294), 'Model_ of_individuals'!AO294*'Model_ of_individuals'!$K294,"")</f>
        <v/>
      </c>
      <c r="AP284" s="519" t="str">
        <f>IF(ISNUMBER('Model_ of_individuals'!AP294), 'Model_ of_individuals'!AP294*'Model_ of_individuals'!$K294,"")</f>
        <v/>
      </c>
      <c r="AQ284" s="519" t="str">
        <f>IF(ISNUMBER('Model_ of_individuals'!AQ294), 'Model_ of_individuals'!AQ294*'Model_ of_individuals'!$K294,"")</f>
        <v/>
      </c>
      <c r="AR284" s="519" t="str">
        <f>IF(ISNUMBER('Model_ of_individuals'!AR294), 'Model_ of_individuals'!AR294*'Model_ of_individuals'!$K294,"")</f>
        <v/>
      </c>
    </row>
    <row r="285" spans="1:45" x14ac:dyDescent="0.25">
      <c r="A285" s="518"/>
      <c r="B285" s="504"/>
      <c r="C285" s="104" t="str">
        <f>IF(AND(ISNUMBER(B270), OR('Cost Inputs'!H103&lt;&gt;"", 'Cost Inputs'!I103&lt;&gt;"", 'Cost Inputs'!J103&lt;&gt;"")), _4_2_3, "")</f>
        <v/>
      </c>
      <c r="D285" s="17" t="str">
        <f>IF(AND(C285&lt;&gt;"", 'Cost Inputs'!G103&lt;&gt;""), 'Cost Inputs'!G103, "")</f>
        <v/>
      </c>
      <c r="E285" s="17" t="str">
        <f>IF(AND(C285&lt;&gt;"", 'Cost Inputs'!H103&lt;&gt;""), 'Cost Inputs'!H103, "")</f>
        <v/>
      </c>
      <c r="F285" s="17" t="str">
        <f>IF(AND(C285&lt;&gt;"", 'Cost Inputs'!I103&lt;&gt;""), 'Cost Inputs'!I103, "")</f>
        <v/>
      </c>
      <c r="G285" s="105" t="str">
        <f t="shared" si="16"/>
        <v/>
      </c>
      <c r="H285" s="17" t="str">
        <f>IF(AND(C285&lt;&gt;"", 'Cost Inputs'!J103&lt;&gt;""), 'Cost Inputs'!J103, "")</f>
        <v/>
      </c>
      <c r="I285" s="17" t="str">
        <f>IF($C285&lt;&gt;"", IF(AND($E285&lt;&gt;"", H285&lt;&gt;""), H285/$E285, 0),"")</f>
        <v/>
      </c>
      <c r="J285" s="17" t="str">
        <f>IF(AND(C285&lt;&gt;"",('Cost Inputs'!I103+'Cost Inputs'!J103+'Cost Inputs'!K103)&gt;0), 'Cost Inputs'!I103+'Cost Inputs'!J103+'Cost Inputs'!K103, "")</f>
        <v/>
      </c>
      <c r="K285" s="17" t="str">
        <f>IF($C285&lt;&gt;"", IF(AND($E285&lt;&gt;"", J285&lt;&gt;""), J285/$E285, 0),"")</f>
        <v/>
      </c>
      <c r="L285" s="525"/>
      <c r="M285" s="525"/>
      <c r="O285" s="17" t="str">
        <f>IF(ISNUMBER('Model_ of_individuals'!O295), 'Model_ of_individuals'!O295*'Model_ of_individuals'!$K295,"")</f>
        <v/>
      </c>
      <c r="P285" s="17" t="str">
        <f>IF(ISNUMBER('Model_ of_individuals'!P295), 'Model_ of_individuals'!P295*'Model_ of_individuals'!$K295,"")</f>
        <v/>
      </c>
      <c r="Q285" s="17" t="str">
        <f>IF(ISNUMBER('Model_ of_individuals'!Q295), 'Model_ of_individuals'!Q295*'Model_ of_individuals'!$K295,"")</f>
        <v/>
      </c>
      <c r="R285" s="17" t="str">
        <f>IF(ISNUMBER('Model_ of_individuals'!R295), 'Model_ of_individuals'!R295*'Model_ of_individuals'!$K295,"")</f>
        <v/>
      </c>
      <c r="S285" s="17" t="str">
        <f>IF(ISNUMBER('Model_ of_individuals'!S295), 'Model_ of_individuals'!S295*'Model_ of_individuals'!$K295,"")</f>
        <v/>
      </c>
      <c r="T285" s="17" t="str">
        <f>IF(ISNUMBER('Model_ of_individuals'!T295), 'Model_ of_individuals'!T295*'Model_ of_individuals'!$K295,"")</f>
        <v/>
      </c>
      <c r="U285" s="17" t="str">
        <f>IF(ISNUMBER('Model_ of_individuals'!U295), 'Model_ of_individuals'!U295*'Model_ of_individuals'!$K295,"")</f>
        <v/>
      </c>
      <c r="V285" s="17" t="str">
        <f>IF(ISNUMBER('Model_ of_individuals'!V295), 'Model_ of_individuals'!V295*'Model_ of_individuals'!$K295,"")</f>
        <v/>
      </c>
      <c r="W285" s="17" t="str">
        <f>IF(ISNUMBER('Model_ of_individuals'!W295), 'Model_ of_individuals'!W295*'Model_ of_individuals'!$K295,"")</f>
        <v/>
      </c>
      <c r="X285" s="17" t="str">
        <f>IF(ISNUMBER('Model_ of_individuals'!X295), 'Model_ of_individuals'!X295*'Model_ of_individuals'!$K295,"")</f>
        <v/>
      </c>
      <c r="Y285" s="17" t="str">
        <f>IF(ISNUMBER('Model_ of_individuals'!Y295), 'Model_ of_individuals'!Y295*'Model_ of_individuals'!$K295,"")</f>
        <v/>
      </c>
      <c r="Z285" s="17" t="str">
        <f>IF(ISNUMBER('Model_ of_individuals'!Z295), 'Model_ of_individuals'!Z295*'Model_ of_individuals'!$K295,"")</f>
        <v/>
      </c>
      <c r="AA285" s="17" t="str">
        <f>IF(ISNUMBER('Model_ of_individuals'!AA295), 'Model_ of_individuals'!AA295*'Model_ of_individuals'!$K295,"")</f>
        <v/>
      </c>
      <c r="AB285" s="17" t="str">
        <f>IF(ISNUMBER('Model_ of_individuals'!AB295), 'Model_ of_individuals'!AB295*'Model_ of_individuals'!$K295,"")</f>
        <v/>
      </c>
      <c r="AC285" s="17" t="str">
        <f>IF(ISNUMBER('Model_ of_individuals'!AC295), 'Model_ of_individuals'!AC295*'Model_ of_individuals'!$K295,"")</f>
        <v/>
      </c>
      <c r="AD285" s="17" t="str">
        <f>IF(ISNUMBER('Model_ of_individuals'!AD295), 'Model_ of_individuals'!AD295*'Model_ of_individuals'!$K295,"")</f>
        <v/>
      </c>
      <c r="AE285" s="17" t="str">
        <f>IF(ISNUMBER('Model_ of_individuals'!AE295), 'Model_ of_individuals'!AE295*'Model_ of_individuals'!$K295,"")</f>
        <v/>
      </c>
      <c r="AF285" s="17" t="str">
        <f>IF(ISNUMBER('Model_ of_individuals'!AF295), 'Model_ of_individuals'!AF295*'Model_ of_individuals'!$K295,"")</f>
        <v/>
      </c>
      <c r="AG285" s="17" t="str">
        <f>IF(ISNUMBER('Model_ of_individuals'!AG295), 'Model_ of_individuals'!AG295*'Model_ of_individuals'!$K295,"")</f>
        <v/>
      </c>
      <c r="AH285" s="17" t="str">
        <f>IF(ISNUMBER('Model_ of_individuals'!AH295), 'Model_ of_individuals'!AH295*'Model_ of_individuals'!$K295,"")</f>
        <v/>
      </c>
      <c r="AI285" s="17" t="str">
        <f>IF(ISNUMBER('Model_ of_individuals'!AI295), 'Model_ of_individuals'!AI295*'Model_ of_individuals'!$K295,"")</f>
        <v/>
      </c>
      <c r="AJ285" s="17" t="str">
        <f>IF(ISNUMBER('Model_ of_individuals'!AJ295), 'Model_ of_individuals'!AJ295*'Model_ of_individuals'!$K295,"")</f>
        <v/>
      </c>
      <c r="AK285" s="17" t="str">
        <f>IF(ISNUMBER('Model_ of_individuals'!AK295), 'Model_ of_individuals'!AK295*'Model_ of_individuals'!$K295,"")</f>
        <v/>
      </c>
      <c r="AL285" s="17" t="str">
        <f>IF(ISNUMBER('Model_ of_individuals'!AL295), 'Model_ of_individuals'!AL295*'Model_ of_individuals'!$K295,"")</f>
        <v/>
      </c>
      <c r="AM285" s="17" t="str">
        <f>IF(ISNUMBER('Model_ of_individuals'!AM295), 'Model_ of_individuals'!AM295*'Model_ of_individuals'!$K295,"")</f>
        <v/>
      </c>
      <c r="AN285" s="17" t="str">
        <f>IF(ISNUMBER('Model_ of_individuals'!AN295), 'Model_ of_individuals'!AN295*'Model_ of_individuals'!$K295,"")</f>
        <v/>
      </c>
      <c r="AO285" s="17" t="str">
        <f>IF(ISNUMBER('Model_ of_individuals'!AO295), 'Model_ of_individuals'!AO295*'Model_ of_individuals'!$K295,"")</f>
        <v/>
      </c>
      <c r="AP285" s="17" t="str">
        <f>IF(ISNUMBER('Model_ of_individuals'!AP295), 'Model_ of_individuals'!AP295*'Model_ of_individuals'!$K295,"")</f>
        <v/>
      </c>
      <c r="AQ285" s="17" t="str">
        <f>IF(ISNUMBER('Model_ of_individuals'!AQ295), 'Model_ of_individuals'!AQ295*'Model_ of_individuals'!$K295,"")</f>
        <v/>
      </c>
      <c r="AR285" s="17" t="str">
        <f>IF(ISNUMBER('Model_ of_individuals'!AR295), 'Model_ of_individuals'!AR295*'Model_ of_individuals'!$K295,"")</f>
        <v/>
      </c>
    </row>
    <row r="286" spans="1:45" x14ac:dyDescent="0.25">
      <c r="A286" s="518"/>
      <c r="B286" s="504"/>
      <c r="C286" s="107" t="str">
        <f>IF(AND(ISNUMBER(B270), OR('Cost Inputs'!H104&lt;&gt;"", 'Cost Inputs'!I104&lt;&gt;"", 'Cost Inputs'!J104&lt;&gt;"")), _4_2_4, "")</f>
        <v/>
      </c>
      <c r="D286" s="93" t="str">
        <f>IF(AND(C286&lt;&gt;"", 'Cost Inputs'!G104&lt;&gt;""), 'Cost Inputs'!G104, "")</f>
        <v/>
      </c>
      <c r="E286" s="93" t="str">
        <f>IF(AND(C286&lt;&gt;"", 'Cost Inputs'!H104&lt;&gt;""), 'Cost Inputs'!H104, "")</f>
        <v/>
      </c>
      <c r="F286" s="93" t="str">
        <f>IF(AND(C286&lt;&gt;"", 'Cost Inputs'!I104&lt;&gt;""), 'Cost Inputs'!I104, "")</f>
        <v/>
      </c>
      <c r="G286" s="108" t="str">
        <f t="shared" si="16"/>
        <v/>
      </c>
      <c r="H286" s="93" t="str">
        <f>IF(AND(C286&lt;&gt;"", 'Cost Inputs'!J104&lt;&gt;""), 'Cost Inputs'!J104, "")</f>
        <v/>
      </c>
      <c r="I286" s="93" t="str">
        <f>IF($C286&lt;&gt;"", IF(AND($E286&lt;&gt;"", H286&lt;&gt;""), H286/$E286, 0),"")</f>
        <v/>
      </c>
      <c r="J286" s="93" t="str">
        <f>IF(AND(C286&lt;&gt;"",('Cost Inputs'!I104+'Cost Inputs'!J104+'Cost Inputs'!K104)&gt;0), 'Cost Inputs'!I104+'Cost Inputs'!J104+'Cost Inputs'!K104, "")</f>
        <v/>
      </c>
      <c r="K286" s="93" t="str">
        <f>IF($C286&lt;&gt;"", IF(AND($E286&lt;&gt;"", J286&lt;&gt;""), J286/$E286, 0),"")</f>
        <v/>
      </c>
      <c r="L286" s="525"/>
      <c r="M286" s="525"/>
      <c r="O286" s="93" t="str">
        <f>IF(ISNUMBER('Model_ of_individuals'!O296), 'Model_ of_individuals'!O296*'Model_ of_individuals'!$K296,"")</f>
        <v/>
      </c>
      <c r="P286" s="93" t="str">
        <f>IF(ISNUMBER('Model_ of_individuals'!P296), 'Model_ of_individuals'!P296*'Model_ of_individuals'!$K296,"")</f>
        <v/>
      </c>
      <c r="Q286" s="93" t="str">
        <f>IF(ISNUMBER('Model_ of_individuals'!Q296), 'Model_ of_individuals'!Q296*'Model_ of_individuals'!$K296,"")</f>
        <v/>
      </c>
      <c r="R286" s="93" t="str">
        <f>IF(ISNUMBER('Model_ of_individuals'!R296), 'Model_ of_individuals'!R296*'Model_ of_individuals'!$K296,"")</f>
        <v/>
      </c>
      <c r="S286" s="93" t="str">
        <f>IF(ISNUMBER('Model_ of_individuals'!S296), 'Model_ of_individuals'!S296*'Model_ of_individuals'!$K296,"")</f>
        <v/>
      </c>
      <c r="T286" s="93" t="str">
        <f>IF(ISNUMBER('Model_ of_individuals'!T296), 'Model_ of_individuals'!T296*'Model_ of_individuals'!$K296,"")</f>
        <v/>
      </c>
      <c r="U286" s="93" t="str">
        <f>IF(ISNUMBER('Model_ of_individuals'!U296), 'Model_ of_individuals'!U296*'Model_ of_individuals'!$K296,"")</f>
        <v/>
      </c>
      <c r="V286" s="93" t="str">
        <f>IF(ISNUMBER('Model_ of_individuals'!V296), 'Model_ of_individuals'!V296*'Model_ of_individuals'!$K296,"")</f>
        <v/>
      </c>
      <c r="W286" s="93" t="str">
        <f>IF(ISNUMBER('Model_ of_individuals'!W296), 'Model_ of_individuals'!W296*'Model_ of_individuals'!$K296,"")</f>
        <v/>
      </c>
      <c r="X286" s="93" t="str">
        <f>IF(ISNUMBER('Model_ of_individuals'!X296), 'Model_ of_individuals'!X296*'Model_ of_individuals'!$K296,"")</f>
        <v/>
      </c>
      <c r="Y286" s="93" t="str">
        <f>IF(ISNUMBER('Model_ of_individuals'!Y296), 'Model_ of_individuals'!Y296*'Model_ of_individuals'!$K296,"")</f>
        <v/>
      </c>
      <c r="Z286" s="93" t="str">
        <f>IF(ISNUMBER('Model_ of_individuals'!Z296), 'Model_ of_individuals'!Z296*'Model_ of_individuals'!$K296,"")</f>
        <v/>
      </c>
      <c r="AA286" s="93" t="str">
        <f>IF(ISNUMBER('Model_ of_individuals'!AA296), 'Model_ of_individuals'!AA296*'Model_ of_individuals'!$K296,"")</f>
        <v/>
      </c>
      <c r="AB286" s="93" t="str">
        <f>IF(ISNUMBER('Model_ of_individuals'!AB296), 'Model_ of_individuals'!AB296*'Model_ of_individuals'!$K296,"")</f>
        <v/>
      </c>
      <c r="AC286" s="93" t="str">
        <f>IF(ISNUMBER('Model_ of_individuals'!AC296), 'Model_ of_individuals'!AC296*'Model_ of_individuals'!$K296,"")</f>
        <v/>
      </c>
      <c r="AD286" s="93" t="str">
        <f>IF(ISNUMBER('Model_ of_individuals'!AD296), 'Model_ of_individuals'!AD296*'Model_ of_individuals'!$K296,"")</f>
        <v/>
      </c>
      <c r="AE286" s="93" t="str">
        <f>IF(ISNUMBER('Model_ of_individuals'!AE296), 'Model_ of_individuals'!AE296*'Model_ of_individuals'!$K296,"")</f>
        <v/>
      </c>
      <c r="AF286" s="93" t="str">
        <f>IF(ISNUMBER('Model_ of_individuals'!AF296), 'Model_ of_individuals'!AF296*'Model_ of_individuals'!$K296,"")</f>
        <v/>
      </c>
      <c r="AG286" s="93" t="str">
        <f>IF(ISNUMBER('Model_ of_individuals'!AG296), 'Model_ of_individuals'!AG296*'Model_ of_individuals'!$K296,"")</f>
        <v/>
      </c>
      <c r="AH286" s="93" t="str">
        <f>IF(ISNUMBER('Model_ of_individuals'!AH296), 'Model_ of_individuals'!AH296*'Model_ of_individuals'!$K296,"")</f>
        <v/>
      </c>
      <c r="AI286" s="93" t="str">
        <f>IF(ISNUMBER('Model_ of_individuals'!AI296), 'Model_ of_individuals'!AI296*'Model_ of_individuals'!$K296,"")</f>
        <v/>
      </c>
      <c r="AJ286" s="93" t="str">
        <f>IF(ISNUMBER('Model_ of_individuals'!AJ296), 'Model_ of_individuals'!AJ296*'Model_ of_individuals'!$K296,"")</f>
        <v/>
      </c>
      <c r="AK286" s="93" t="str">
        <f>IF(ISNUMBER('Model_ of_individuals'!AK296), 'Model_ of_individuals'!AK296*'Model_ of_individuals'!$K296,"")</f>
        <v/>
      </c>
      <c r="AL286" s="93" t="str">
        <f>IF(ISNUMBER('Model_ of_individuals'!AL296), 'Model_ of_individuals'!AL296*'Model_ of_individuals'!$K296,"")</f>
        <v/>
      </c>
      <c r="AM286" s="93" t="str">
        <f>IF(ISNUMBER('Model_ of_individuals'!AM296), 'Model_ of_individuals'!AM296*'Model_ of_individuals'!$K296,"")</f>
        <v/>
      </c>
      <c r="AN286" s="93" t="str">
        <f>IF(ISNUMBER('Model_ of_individuals'!AN296), 'Model_ of_individuals'!AN296*'Model_ of_individuals'!$K296,"")</f>
        <v/>
      </c>
      <c r="AO286" s="93" t="str">
        <f>IF(ISNUMBER('Model_ of_individuals'!AO296), 'Model_ of_individuals'!AO296*'Model_ of_individuals'!$K296,"")</f>
        <v/>
      </c>
      <c r="AP286" s="93" t="str">
        <f>IF(ISNUMBER('Model_ of_individuals'!AP296), 'Model_ of_individuals'!AP296*'Model_ of_individuals'!$K296,"")</f>
        <v/>
      </c>
      <c r="AQ286" s="93" t="str">
        <f>IF(ISNUMBER('Model_ of_individuals'!AQ296), 'Model_ of_individuals'!AQ296*'Model_ of_individuals'!$K296,"")</f>
        <v/>
      </c>
      <c r="AR286" s="93" t="str">
        <f>IF(ISNUMBER('Model_ of_individuals'!AR296), 'Model_ of_individuals'!AR296*'Model_ of_individuals'!$K296,"")</f>
        <v/>
      </c>
    </row>
    <row r="287" spans="1:45" x14ac:dyDescent="0.25">
      <c r="A287" s="518"/>
      <c r="B287" s="504"/>
      <c r="C287" s="521" t="str">
        <f>IF(ISNUMBER(B270), _4_3_0, "")</f>
        <v/>
      </c>
      <c r="D287" s="94" t="str">
        <f>IF(AND(C287&lt;&gt;"", 'Cost Inputs'!$G$105&lt;&gt;""), 'Cost Inputs'!$G$105, "")</f>
        <v/>
      </c>
      <c r="E287" s="94" t="str">
        <f>IF(AND(C287&lt;&gt;"", 'Cost Inputs'!$H$105&lt;&gt;""), 'Cost Inputs'!$H$105, "")</f>
        <v/>
      </c>
      <c r="F287" s="492" t="str">
        <f>IF(AND(C287&lt;&gt;"", 'Cost Inputs'!$I$105&lt;&gt;""), 'Cost Inputs'!$I$105, "")</f>
        <v/>
      </c>
      <c r="G287" s="102" t="str">
        <f t="shared" si="16"/>
        <v/>
      </c>
      <c r="H287" s="492" t="str">
        <f>IF(AND(C287&lt;&gt;"", 'Cost Inputs'!$J$105&lt;&gt;""), 'Cost Inputs'!$J$105, "")</f>
        <v/>
      </c>
      <c r="I287" s="102" t="str">
        <f>IF($C287&lt;&gt;"", IF(AND($E287&lt;&gt;"", H287&lt;&gt;""), H287/$E287, 0),"")</f>
        <v/>
      </c>
      <c r="J287" s="492" t="str">
        <f>IF(AND(C287&lt;&gt;"",('Cost Inputs'!$I$105+'Cost Inputs'!$J$105+'Cost Inputs'!$K$105)&gt;0), 'Cost Inputs'!$I$105+'Cost Inputs'!$J$105+'Cost Inputs'!$K$105, "")</f>
        <v/>
      </c>
      <c r="K287" s="102" t="str">
        <f>IF($C287&lt;&gt;"",IF(AND($E287&lt;&gt;"",J287&lt;&gt;""), J287/$E287, 0),"")</f>
        <v/>
      </c>
      <c r="L287" s="525"/>
      <c r="M287" s="525"/>
      <c r="O287" s="496" t="str">
        <f>IF(ISNUMBER('Model_ of_individuals'!O297), 'Model_ of_individuals'!O297*'Model_ of_individuals'!$K297,"")</f>
        <v/>
      </c>
      <c r="P287" s="496" t="str">
        <f>IF(ISNUMBER('Model_ of_individuals'!P297), 'Model_ of_individuals'!P297*'Model_ of_individuals'!$K297,"")</f>
        <v/>
      </c>
      <c r="Q287" s="496" t="str">
        <f>IF(ISNUMBER('Model_ of_individuals'!Q297), 'Model_ of_individuals'!Q297*'Model_ of_individuals'!$K297,"")</f>
        <v/>
      </c>
      <c r="R287" s="496" t="str">
        <f>IF(ISNUMBER('Model_ of_individuals'!R297), 'Model_ of_individuals'!R297*'Model_ of_individuals'!$K297,"")</f>
        <v/>
      </c>
      <c r="S287" s="496" t="str">
        <f>IF(ISNUMBER('Model_ of_individuals'!S297), 'Model_ of_individuals'!S297*'Model_ of_individuals'!$K297,"")</f>
        <v/>
      </c>
      <c r="T287" s="496" t="str">
        <f>IF(ISNUMBER('Model_ of_individuals'!T297), 'Model_ of_individuals'!T297*'Model_ of_individuals'!$K297,"")</f>
        <v/>
      </c>
      <c r="U287" s="496" t="str">
        <f>IF(ISNUMBER('Model_ of_individuals'!U297), 'Model_ of_individuals'!U297*'Model_ of_individuals'!$K297,"")</f>
        <v/>
      </c>
      <c r="V287" s="496" t="str">
        <f>IF(ISNUMBER('Model_ of_individuals'!V297), 'Model_ of_individuals'!V297*'Model_ of_individuals'!$K297,"")</f>
        <v/>
      </c>
      <c r="W287" s="496" t="str">
        <f>IF(ISNUMBER('Model_ of_individuals'!W297), 'Model_ of_individuals'!W297*'Model_ of_individuals'!$K297,"")</f>
        <v/>
      </c>
      <c r="X287" s="496" t="str">
        <f>IF(ISNUMBER('Model_ of_individuals'!X297), 'Model_ of_individuals'!X297*'Model_ of_individuals'!$K297,"")</f>
        <v/>
      </c>
      <c r="Y287" s="496" t="str">
        <f>IF(ISNUMBER('Model_ of_individuals'!Y297), 'Model_ of_individuals'!Y297*'Model_ of_individuals'!$K297,"")</f>
        <v/>
      </c>
      <c r="Z287" s="496" t="str">
        <f>IF(ISNUMBER('Model_ of_individuals'!Z297), 'Model_ of_individuals'!Z297*'Model_ of_individuals'!$K297,"")</f>
        <v/>
      </c>
      <c r="AA287" s="496" t="str">
        <f>IF(ISNUMBER('Model_ of_individuals'!AA297), 'Model_ of_individuals'!AA297*'Model_ of_individuals'!$K297,"")</f>
        <v/>
      </c>
      <c r="AB287" s="496" t="str">
        <f>IF(ISNUMBER('Model_ of_individuals'!AB297), 'Model_ of_individuals'!AB297*'Model_ of_individuals'!$K297,"")</f>
        <v/>
      </c>
      <c r="AC287" s="496" t="str">
        <f>IF(ISNUMBER('Model_ of_individuals'!AC297), 'Model_ of_individuals'!AC297*'Model_ of_individuals'!$K297,"")</f>
        <v/>
      </c>
      <c r="AD287" s="496" t="str">
        <f>IF(ISNUMBER('Model_ of_individuals'!AD297), 'Model_ of_individuals'!AD297*'Model_ of_individuals'!$K297,"")</f>
        <v/>
      </c>
      <c r="AE287" s="496" t="str">
        <f>IF(ISNUMBER('Model_ of_individuals'!AE297), 'Model_ of_individuals'!AE297*'Model_ of_individuals'!$K297,"")</f>
        <v/>
      </c>
      <c r="AF287" s="496" t="str">
        <f>IF(ISNUMBER('Model_ of_individuals'!AF297), 'Model_ of_individuals'!AF297*'Model_ of_individuals'!$K297,"")</f>
        <v/>
      </c>
      <c r="AG287" s="496" t="str">
        <f>IF(ISNUMBER('Model_ of_individuals'!AG297), 'Model_ of_individuals'!AG297*'Model_ of_individuals'!$K297,"")</f>
        <v/>
      </c>
      <c r="AH287" s="496" t="str">
        <f>IF(ISNUMBER('Model_ of_individuals'!AH297), 'Model_ of_individuals'!AH297*'Model_ of_individuals'!$K297,"")</f>
        <v/>
      </c>
      <c r="AI287" s="496" t="str">
        <f>IF(ISNUMBER('Model_ of_individuals'!AI297), 'Model_ of_individuals'!AI297*'Model_ of_individuals'!$K297,"")</f>
        <v/>
      </c>
      <c r="AJ287" s="496" t="str">
        <f>IF(ISNUMBER('Model_ of_individuals'!AJ297), 'Model_ of_individuals'!AJ297*'Model_ of_individuals'!$K297,"")</f>
        <v/>
      </c>
      <c r="AK287" s="496" t="str">
        <f>IF(ISNUMBER('Model_ of_individuals'!AK297), 'Model_ of_individuals'!AK297*'Model_ of_individuals'!$K297,"")</f>
        <v/>
      </c>
      <c r="AL287" s="496" t="str">
        <f>IF(ISNUMBER('Model_ of_individuals'!AL297), 'Model_ of_individuals'!AL297*'Model_ of_individuals'!$K297,"")</f>
        <v/>
      </c>
      <c r="AM287" s="496" t="str">
        <f>IF(ISNUMBER('Model_ of_individuals'!AM297), 'Model_ of_individuals'!AM297*'Model_ of_individuals'!$K297,"")</f>
        <v/>
      </c>
      <c r="AN287" s="496" t="str">
        <f>IF(ISNUMBER('Model_ of_individuals'!AN297), 'Model_ of_individuals'!AN297*'Model_ of_individuals'!$K297,"")</f>
        <v/>
      </c>
      <c r="AO287" s="496" t="str">
        <f>IF(ISNUMBER('Model_ of_individuals'!AO297), 'Model_ of_individuals'!AO297*'Model_ of_individuals'!$K297,"")</f>
        <v/>
      </c>
      <c r="AP287" s="496" t="str">
        <f>IF(ISNUMBER('Model_ of_individuals'!AP297), 'Model_ of_individuals'!AP297*'Model_ of_individuals'!$K297,"")</f>
        <v/>
      </c>
      <c r="AQ287" s="496" t="str">
        <f>IF(ISNUMBER('Model_ of_individuals'!AQ297), 'Model_ of_individuals'!AQ297*'Model_ of_individuals'!$K297,"")</f>
        <v/>
      </c>
      <c r="AR287" s="496" t="str">
        <f>IF(ISNUMBER('Model_ of_individuals'!AR297), 'Model_ of_individuals'!AR297*'Model_ of_individuals'!$K297,"")</f>
        <v/>
      </c>
    </row>
    <row r="288" spans="1:45" x14ac:dyDescent="0.25">
      <c r="A288" s="518"/>
      <c r="B288" s="504"/>
      <c r="C288" s="521"/>
      <c r="D288" s="94" t="str">
        <f>IF(AND(C287&lt;&gt;"", 'Cost Inputs'!$G$106&lt;&gt;""), 'Cost Inputs'!$G$106, "")</f>
        <v/>
      </c>
      <c r="E288" s="94" t="str">
        <f>IF(AND(C287&lt;&gt;"", 'Cost Inputs'!H106&lt;&gt;""), 'Cost Inputs'!H106, "")</f>
        <v/>
      </c>
      <c r="F288" s="492"/>
      <c r="G288" s="102" t="str">
        <f t="shared" si="16"/>
        <v/>
      </c>
      <c r="H288" s="492"/>
      <c r="I288" s="102" t="str">
        <f>IF($C287&lt;&gt;"", IF(AND($E288&lt;&gt;"", H287&lt;&gt;""), H287/($E287*$E288), 0), "")</f>
        <v/>
      </c>
      <c r="J288" s="492" t="str">
        <f>IF(AND(C288&lt;&gt;"",('Cost Inputs'!$I$86+'Cost Inputs'!$J$86+'Cost Inputs'!$K$86)&gt;0), 'Cost Inputs'!$I$86+'Cost Inputs'!$J$86+'Cost Inputs'!$K$86, "")</f>
        <v/>
      </c>
      <c r="K288" s="102" t="str">
        <f>IF($C287&lt;&gt;"", IF(AND($E288&lt;&gt;"", J287&lt;&gt;""), J287/($E287*$E288), 0), "")</f>
        <v/>
      </c>
      <c r="L288" s="525"/>
      <c r="M288" s="525"/>
      <c r="N288" s="137"/>
      <c r="O288" s="496" t="str">
        <f>IF(ISNUMBER('Model_ of_individuals'!O298), 'Model_ of_individuals'!O298*'Model_ of_individuals'!$K298,"")</f>
        <v/>
      </c>
      <c r="P288" s="496" t="str">
        <f>IF(ISNUMBER('Model_ of_individuals'!P298), 'Model_ of_individuals'!P298*'Model_ of_individuals'!$K298,"")</f>
        <v/>
      </c>
      <c r="Q288" s="496" t="str">
        <f>IF(ISNUMBER('Model_ of_individuals'!Q298), 'Model_ of_individuals'!Q298*'Model_ of_individuals'!$K298,"")</f>
        <v/>
      </c>
      <c r="R288" s="496" t="str">
        <f>IF(ISNUMBER('Model_ of_individuals'!R298), 'Model_ of_individuals'!R298*'Model_ of_individuals'!$K298,"")</f>
        <v/>
      </c>
      <c r="S288" s="496" t="str">
        <f>IF(ISNUMBER('Model_ of_individuals'!S298), 'Model_ of_individuals'!S298*'Model_ of_individuals'!$K298,"")</f>
        <v/>
      </c>
      <c r="T288" s="496" t="str">
        <f>IF(ISNUMBER('Model_ of_individuals'!T298), 'Model_ of_individuals'!T298*'Model_ of_individuals'!$K298,"")</f>
        <v/>
      </c>
      <c r="U288" s="496" t="str">
        <f>IF(ISNUMBER('Model_ of_individuals'!U298), 'Model_ of_individuals'!U298*'Model_ of_individuals'!$K298,"")</f>
        <v/>
      </c>
      <c r="V288" s="496" t="str">
        <f>IF(ISNUMBER('Model_ of_individuals'!V298), 'Model_ of_individuals'!V298*'Model_ of_individuals'!$K298,"")</f>
        <v/>
      </c>
      <c r="W288" s="496" t="str">
        <f>IF(ISNUMBER('Model_ of_individuals'!W298), 'Model_ of_individuals'!W298*'Model_ of_individuals'!$K298,"")</f>
        <v/>
      </c>
      <c r="X288" s="496" t="str">
        <f>IF(ISNUMBER('Model_ of_individuals'!X298), 'Model_ of_individuals'!X298*'Model_ of_individuals'!$K298,"")</f>
        <v/>
      </c>
      <c r="Y288" s="496" t="str">
        <f>IF(ISNUMBER('Model_ of_individuals'!Y298), 'Model_ of_individuals'!Y298*'Model_ of_individuals'!$K298,"")</f>
        <v/>
      </c>
      <c r="Z288" s="496" t="str">
        <f>IF(ISNUMBER('Model_ of_individuals'!Z298), 'Model_ of_individuals'!Z298*'Model_ of_individuals'!$K298,"")</f>
        <v/>
      </c>
      <c r="AA288" s="496" t="str">
        <f>IF(ISNUMBER('Model_ of_individuals'!AA298), 'Model_ of_individuals'!AA298*'Model_ of_individuals'!$K298,"")</f>
        <v/>
      </c>
      <c r="AB288" s="496" t="str">
        <f>IF(ISNUMBER('Model_ of_individuals'!AB298), 'Model_ of_individuals'!AB298*'Model_ of_individuals'!$K298,"")</f>
        <v/>
      </c>
      <c r="AC288" s="496" t="str">
        <f>IF(ISNUMBER('Model_ of_individuals'!AC298), 'Model_ of_individuals'!AC298*'Model_ of_individuals'!$K298,"")</f>
        <v/>
      </c>
      <c r="AD288" s="496" t="str">
        <f>IF(ISNUMBER('Model_ of_individuals'!AD298), 'Model_ of_individuals'!AD298*'Model_ of_individuals'!$K298,"")</f>
        <v/>
      </c>
      <c r="AE288" s="496" t="str">
        <f>IF(ISNUMBER('Model_ of_individuals'!AE298), 'Model_ of_individuals'!AE298*'Model_ of_individuals'!$K298,"")</f>
        <v/>
      </c>
      <c r="AF288" s="496" t="str">
        <f>IF(ISNUMBER('Model_ of_individuals'!AF298), 'Model_ of_individuals'!AF298*'Model_ of_individuals'!$K298,"")</f>
        <v/>
      </c>
      <c r="AG288" s="496" t="str">
        <f>IF(ISNUMBER('Model_ of_individuals'!AG298), 'Model_ of_individuals'!AG298*'Model_ of_individuals'!$K298,"")</f>
        <v/>
      </c>
      <c r="AH288" s="496" t="str">
        <f>IF(ISNUMBER('Model_ of_individuals'!AH298), 'Model_ of_individuals'!AH298*'Model_ of_individuals'!$K298,"")</f>
        <v/>
      </c>
      <c r="AI288" s="496" t="str">
        <f>IF(ISNUMBER('Model_ of_individuals'!AI298), 'Model_ of_individuals'!AI298*'Model_ of_individuals'!$K298,"")</f>
        <v/>
      </c>
      <c r="AJ288" s="496" t="str">
        <f>IF(ISNUMBER('Model_ of_individuals'!AJ298), 'Model_ of_individuals'!AJ298*'Model_ of_individuals'!$K298,"")</f>
        <v/>
      </c>
      <c r="AK288" s="496" t="str">
        <f>IF(ISNUMBER('Model_ of_individuals'!AK298), 'Model_ of_individuals'!AK298*'Model_ of_individuals'!$K298,"")</f>
        <v/>
      </c>
      <c r="AL288" s="496" t="str">
        <f>IF(ISNUMBER('Model_ of_individuals'!AL298), 'Model_ of_individuals'!AL298*'Model_ of_individuals'!$K298,"")</f>
        <v/>
      </c>
      <c r="AM288" s="496" t="str">
        <f>IF(ISNUMBER('Model_ of_individuals'!AM298), 'Model_ of_individuals'!AM298*'Model_ of_individuals'!$K298,"")</f>
        <v/>
      </c>
      <c r="AN288" s="496" t="str">
        <f>IF(ISNUMBER('Model_ of_individuals'!AN298), 'Model_ of_individuals'!AN298*'Model_ of_individuals'!$K298,"")</f>
        <v/>
      </c>
      <c r="AO288" s="496" t="str">
        <f>IF(ISNUMBER('Model_ of_individuals'!AO298), 'Model_ of_individuals'!AO298*'Model_ of_individuals'!$K298,"")</f>
        <v/>
      </c>
      <c r="AP288" s="496" t="str">
        <f>IF(ISNUMBER('Model_ of_individuals'!AP298), 'Model_ of_individuals'!AP298*'Model_ of_individuals'!$K298,"")</f>
        <v/>
      </c>
      <c r="AQ288" s="496" t="str">
        <f>IF(ISNUMBER('Model_ of_individuals'!AQ298), 'Model_ of_individuals'!AQ298*'Model_ of_individuals'!$K298,"")</f>
        <v/>
      </c>
      <c r="AR288" s="496" t="str">
        <f>IF(ISNUMBER('Model_ of_individuals'!AR298), 'Model_ of_individuals'!AR298*'Model_ of_individuals'!$K298,"")</f>
        <v/>
      </c>
    </row>
    <row r="289" spans="1:45" x14ac:dyDescent="0.25">
      <c r="A289" s="518"/>
      <c r="B289" s="504"/>
      <c r="C289" s="104" t="str">
        <f>IF(AND(ISNUMBER(B270), OR('Cost Inputs'!$H$107&lt;&gt;"", 'Cost Inputs'!$I$107&lt;&gt;"", 'Cost Inputs'!$J$107&lt;&gt;"")), _4_3_1, "")</f>
        <v/>
      </c>
      <c r="D289" s="17" t="str">
        <f>IF(AND(C289&lt;&gt;"", 'Cost Inputs'!$G$107&lt;&gt;""), 'Cost Inputs'!$G$107, "")</f>
        <v/>
      </c>
      <c r="E289" s="17" t="str">
        <f>IF(AND(C289&lt;&gt;"", 'Cost Inputs'!$H$107&lt;&gt;""), 'Cost Inputs'!$H$107, "")</f>
        <v/>
      </c>
      <c r="F289" s="17" t="str">
        <f>IF(AND(C289&lt;&gt;"", 'Cost Inputs'!$I$107&lt;&gt;""), 'Cost Inputs'!$I$107, "")</f>
        <v/>
      </c>
      <c r="G289" s="105" t="str">
        <f t="shared" si="16"/>
        <v/>
      </c>
      <c r="H289" s="17" t="str">
        <f>IF(AND(C289&lt;&gt;"", 'Cost Inputs'!$J$107&lt;&gt;""), 'Cost Inputs'!$J$107, "")</f>
        <v/>
      </c>
      <c r="I289" s="17" t="str">
        <f t="shared" ref="I289:I297" si="20">IF($C289&lt;&gt;"", IF(AND($E289&lt;&gt;"", H289&lt;&gt;""), H289/$E289, 0),"")</f>
        <v/>
      </c>
      <c r="J289" s="17" t="str">
        <f>IF(AND(C289&lt;&gt;"",('Cost Inputs'!$I$107+'Cost Inputs'!$J$107+'Cost Inputs'!$K$107)&gt;0), 'Cost Inputs'!$I$107+'Cost Inputs'!$J$107+'Cost Inputs'!$K$107, "")</f>
        <v/>
      </c>
      <c r="K289" s="17" t="str">
        <f t="shared" ref="K289:K297" si="21">IF($C289&lt;&gt;"", IF(AND($E289&lt;&gt;"", J289&lt;&gt;""), J289/$E289, 0),"")</f>
        <v/>
      </c>
      <c r="L289" s="525"/>
      <c r="M289" s="525"/>
      <c r="N289" s="17"/>
      <c r="O289" s="17" t="str">
        <f>IF(ISNUMBER('Model_ of_individuals'!O299), 'Model_ of_individuals'!O299*'Model_ of_individuals'!$K299,"")</f>
        <v/>
      </c>
      <c r="P289" s="17" t="str">
        <f>IF(ISNUMBER('Model_ of_individuals'!P299), 'Model_ of_individuals'!P299*'Model_ of_individuals'!$K299,"")</f>
        <v/>
      </c>
      <c r="Q289" s="17" t="str">
        <f>IF(ISNUMBER('Model_ of_individuals'!Q299), 'Model_ of_individuals'!Q299*'Model_ of_individuals'!$K299,"")</f>
        <v/>
      </c>
      <c r="R289" s="17" t="str">
        <f>IF(ISNUMBER('Model_ of_individuals'!R299), 'Model_ of_individuals'!R299*'Model_ of_individuals'!$K299,"")</f>
        <v/>
      </c>
      <c r="S289" s="17" t="str">
        <f>IF(ISNUMBER('Model_ of_individuals'!S299), 'Model_ of_individuals'!S299*'Model_ of_individuals'!$K299,"")</f>
        <v/>
      </c>
      <c r="T289" s="17" t="str">
        <f>IF(ISNUMBER('Model_ of_individuals'!T299), 'Model_ of_individuals'!T299*'Model_ of_individuals'!$K299,"")</f>
        <v/>
      </c>
      <c r="U289" s="17" t="str">
        <f>IF(ISNUMBER('Model_ of_individuals'!U299), 'Model_ of_individuals'!U299*'Model_ of_individuals'!$K299,"")</f>
        <v/>
      </c>
      <c r="V289" s="17" t="str">
        <f>IF(ISNUMBER('Model_ of_individuals'!V299), 'Model_ of_individuals'!V299*'Model_ of_individuals'!$K299,"")</f>
        <v/>
      </c>
      <c r="W289" s="17" t="str">
        <f>IF(ISNUMBER('Model_ of_individuals'!W299), 'Model_ of_individuals'!W299*'Model_ of_individuals'!$K299,"")</f>
        <v/>
      </c>
      <c r="X289" s="17" t="str">
        <f>IF(ISNUMBER('Model_ of_individuals'!X299), 'Model_ of_individuals'!X299*'Model_ of_individuals'!$K299,"")</f>
        <v/>
      </c>
      <c r="Y289" s="17" t="str">
        <f>IF(ISNUMBER('Model_ of_individuals'!Y299), 'Model_ of_individuals'!Y299*'Model_ of_individuals'!$K299,"")</f>
        <v/>
      </c>
      <c r="Z289" s="17" t="str">
        <f>IF(ISNUMBER('Model_ of_individuals'!Z299), 'Model_ of_individuals'!Z299*'Model_ of_individuals'!$K299,"")</f>
        <v/>
      </c>
      <c r="AA289" s="17" t="str">
        <f>IF(ISNUMBER('Model_ of_individuals'!AA299), 'Model_ of_individuals'!AA299*'Model_ of_individuals'!$K299,"")</f>
        <v/>
      </c>
      <c r="AB289" s="17" t="str">
        <f>IF(ISNUMBER('Model_ of_individuals'!AB299), 'Model_ of_individuals'!AB299*'Model_ of_individuals'!$K299,"")</f>
        <v/>
      </c>
      <c r="AC289" s="17" t="str">
        <f>IF(ISNUMBER('Model_ of_individuals'!AC299), 'Model_ of_individuals'!AC299*'Model_ of_individuals'!$K299,"")</f>
        <v/>
      </c>
      <c r="AD289" s="17" t="str">
        <f>IF(ISNUMBER('Model_ of_individuals'!AD299), 'Model_ of_individuals'!AD299*'Model_ of_individuals'!$K299,"")</f>
        <v/>
      </c>
      <c r="AE289" s="17" t="str">
        <f>IF(ISNUMBER('Model_ of_individuals'!AE299), 'Model_ of_individuals'!AE299*'Model_ of_individuals'!$K299,"")</f>
        <v/>
      </c>
      <c r="AF289" s="17" t="str">
        <f>IF(ISNUMBER('Model_ of_individuals'!AF299), 'Model_ of_individuals'!AF299*'Model_ of_individuals'!$K299,"")</f>
        <v/>
      </c>
      <c r="AG289" s="17" t="str">
        <f>IF(ISNUMBER('Model_ of_individuals'!AG299), 'Model_ of_individuals'!AG299*'Model_ of_individuals'!$K299,"")</f>
        <v/>
      </c>
      <c r="AH289" s="17" t="str">
        <f>IF(ISNUMBER('Model_ of_individuals'!AH299), 'Model_ of_individuals'!AH299*'Model_ of_individuals'!$K299,"")</f>
        <v/>
      </c>
      <c r="AI289" s="17" t="str">
        <f>IF(ISNUMBER('Model_ of_individuals'!AI299), 'Model_ of_individuals'!AI299*'Model_ of_individuals'!$K299,"")</f>
        <v/>
      </c>
      <c r="AJ289" s="17" t="str">
        <f>IF(ISNUMBER('Model_ of_individuals'!AJ299), 'Model_ of_individuals'!AJ299*'Model_ of_individuals'!$K299,"")</f>
        <v/>
      </c>
      <c r="AK289" s="17" t="str">
        <f>IF(ISNUMBER('Model_ of_individuals'!AK299), 'Model_ of_individuals'!AK299*'Model_ of_individuals'!$K299,"")</f>
        <v/>
      </c>
      <c r="AL289" s="17" t="str">
        <f>IF(ISNUMBER('Model_ of_individuals'!AL299), 'Model_ of_individuals'!AL299*'Model_ of_individuals'!$K299,"")</f>
        <v/>
      </c>
      <c r="AM289" s="17" t="str">
        <f>IF(ISNUMBER('Model_ of_individuals'!AM299), 'Model_ of_individuals'!AM299*'Model_ of_individuals'!$K299,"")</f>
        <v/>
      </c>
      <c r="AN289" s="17" t="str">
        <f>IF(ISNUMBER('Model_ of_individuals'!AN299), 'Model_ of_individuals'!AN299*'Model_ of_individuals'!$K299,"")</f>
        <v/>
      </c>
      <c r="AO289" s="17" t="str">
        <f>IF(ISNUMBER('Model_ of_individuals'!AO299), 'Model_ of_individuals'!AO299*'Model_ of_individuals'!$K299,"")</f>
        <v/>
      </c>
      <c r="AP289" s="17" t="str">
        <f>IF(ISNUMBER('Model_ of_individuals'!AP299), 'Model_ of_individuals'!AP299*'Model_ of_individuals'!$K299,"")</f>
        <v/>
      </c>
      <c r="AQ289" s="17" t="str">
        <f>IF(ISNUMBER('Model_ of_individuals'!AQ299), 'Model_ of_individuals'!AQ299*'Model_ of_individuals'!$K299,"")</f>
        <v/>
      </c>
      <c r="AR289" s="17" t="str">
        <f>IF(ISNUMBER('Model_ of_individuals'!AR299), 'Model_ of_individuals'!AR299*'Model_ of_individuals'!$K299,"")</f>
        <v/>
      </c>
    </row>
    <row r="290" spans="1:45" x14ac:dyDescent="0.25">
      <c r="A290" s="518"/>
      <c r="B290" s="504"/>
      <c r="C290" s="107" t="str">
        <f>IF(AND(ISNUMBER(B270), OR('Cost Inputs'!$H$108&lt;&gt;"", 'Cost Inputs'!$I$108&lt;&gt;"", 'Cost Inputs'!$J$108&lt;&gt;"")), _4_3_2, "")</f>
        <v/>
      </c>
      <c r="D290" s="93" t="str">
        <f>IF(AND(C290&lt;&gt;"", 'Cost Inputs'!$G$108&lt;&gt;""), 'Cost Inputs'!$G$108, "")</f>
        <v/>
      </c>
      <c r="E290" s="93" t="str">
        <f>IF(AND(C290&lt;&gt;"", 'Cost Inputs'!$H$108&lt;&gt;""), 'Cost Inputs'!$H$108, "")</f>
        <v/>
      </c>
      <c r="F290" s="93" t="str">
        <f>IF(AND(C290&lt;&gt;"", 'Cost Inputs'!$I$108&lt;&gt;""), 'Cost Inputs'!$I$108, "")</f>
        <v/>
      </c>
      <c r="G290" s="108" t="str">
        <f t="shared" si="16"/>
        <v/>
      </c>
      <c r="H290" s="93" t="str">
        <f>IF(AND(C290&lt;&gt;"", 'Cost Inputs'!$J$108&lt;&gt;""), 'Cost Inputs'!$J$108, "")</f>
        <v/>
      </c>
      <c r="I290" s="93" t="str">
        <f t="shared" si="20"/>
        <v/>
      </c>
      <c r="J290" s="93" t="str">
        <f>IF(AND(C290&lt;&gt;"",('Cost Inputs'!$I$108+'Cost Inputs'!$J$108+'Cost Inputs'!$K$108)&gt;0), 'Cost Inputs'!$I$108+'Cost Inputs'!$J$108+'Cost Inputs'!$K$108, "")</f>
        <v/>
      </c>
      <c r="K290" s="93" t="str">
        <f t="shared" si="21"/>
        <v/>
      </c>
      <c r="L290" s="525"/>
      <c r="M290" s="525"/>
      <c r="O290" s="93" t="str">
        <f>IF(ISNUMBER('Model_ of_individuals'!O300), 'Model_ of_individuals'!O300*'Model_ of_individuals'!$K300,"")</f>
        <v/>
      </c>
      <c r="P290" s="93" t="str">
        <f>IF(ISNUMBER('Model_ of_individuals'!P300), 'Model_ of_individuals'!P300*'Model_ of_individuals'!$K300,"")</f>
        <v/>
      </c>
      <c r="Q290" s="93" t="str">
        <f>IF(ISNUMBER('Model_ of_individuals'!Q300), 'Model_ of_individuals'!Q300*'Model_ of_individuals'!$K300,"")</f>
        <v/>
      </c>
      <c r="R290" s="93" t="str">
        <f>IF(ISNUMBER('Model_ of_individuals'!R300), 'Model_ of_individuals'!R300*'Model_ of_individuals'!$K300,"")</f>
        <v/>
      </c>
      <c r="S290" s="93" t="str">
        <f>IF(ISNUMBER('Model_ of_individuals'!S300), 'Model_ of_individuals'!S300*'Model_ of_individuals'!$K300,"")</f>
        <v/>
      </c>
      <c r="T290" s="93" t="str">
        <f>IF(ISNUMBER('Model_ of_individuals'!T300), 'Model_ of_individuals'!T300*'Model_ of_individuals'!$K300,"")</f>
        <v/>
      </c>
      <c r="U290" s="93" t="str">
        <f>IF(ISNUMBER('Model_ of_individuals'!U300), 'Model_ of_individuals'!U300*'Model_ of_individuals'!$K300,"")</f>
        <v/>
      </c>
      <c r="V290" s="93" t="str">
        <f>IF(ISNUMBER('Model_ of_individuals'!V300), 'Model_ of_individuals'!V300*'Model_ of_individuals'!$K300,"")</f>
        <v/>
      </c>
      <c r="W290" s="93" t="str">
        <f>IF(ISNUMBER('Model_ of_individuals'!W300), 'Model_ of_individuals'!W300*'Model_ of_individuals'!$K300,"")</f>
        <v/>
      </c>
      <c r="X290" s="93" t="str">
        <f>IF(ISNUMBER('Model_ of_individuals'!X300), 'Model_ of_individuals'!X300*'Model_ of_individuals'!$K300,"")</f>
        <v/>
      </c>
      <c r="Y290" s="93" t="str">
        <f>IF(ISNUMBER('Model_ of_individuals'!Y300), 'Model_ of_individuals'!Y300*'Model_ of_individuals'!$K300,"")</f>
        <v/>
      </c>
      <c r="Z290" s="93" t="str">
        <f>IF(ISNUMBER('Model_ of_individuals'!Z300), 'Model_ of_individuals'!Z300*'Model_ of_individuals'!$K300,"")</f>
        <v/>
      </c>
      <c r="AA290" s="93" t="str">
        <f>IF(ISNUMBER('Model_ of_individuals'!AA300), 'Model_ of_individuals'!AA300*'Model_ of_individuals'!$K300,"")</f>
        <v/>
      </c>
      <c r="AB290" s="93" t="str">
        <f>IF(ISNUMBER('Model_ of_individuals'!AB300), 'Model_ of_individuals'!AB300*'Model_ of_individuals'!$K300,"")</f>
        <v/>
      </c>
      <c r="AC290" s="93" t="str">
        <f>IF(ISNUMBER('Model_ of_individuals'!AC300), 'Model_ of_individuals'!AC300*'Model_ of_individuals'!$K300,"")</f>
        <v/>
      </c>
      <c r="AD290" s="93" t="str">
        <f>IF(ISNUMBER('Model_ of_individuals'!AD300), 'Model_ of_individuals'!AD300*'Model_ of_individuals'!$K300,"")</f>
        <v/>
      </c>
      <c r="AE290" s="93" t="str">
        <f>IF(ISNUMBER('Model_ of_individuals'!AE300), 'Model_ of_individuals'!AE300*'Model_ of_individuals'!$K300,"")</f>
        <v/>
      </c>
      <c r="AF290" s="93" t="str">
        <f>IF(ISNUMBER('Model_ of_individuals'!AF300), 'Model_ of_individuals'!AF300*'Model_ of_individuals'!$K300,"")</f>
        <v/>
      </c>
      <c r="AG290" s="93" t="str">
        <f>IF(ISNUMBER('Model_ of_individuals'!AG300), 'Model_ of_individuals'!AG300*'Model_ of_individuals'!$K300,"")</f>
        <v/>
      </c>
      <c r="AH290" s="93" t="str">
        <f>IF(ISNUMBER('Model_ of_individuals'!AH300), 'Model_ of_individuals'!AH300*'Model_ of_individuals'!$K300,"")</f>
        <v/>
      </c>
      <c r="AI290" s="93" t="str">
        <f>IF(ISNUMBER('Model_ of_individuals'!AI300), 'Model_ of_individuals'!AI300*'Model_ of_individuals'!$K300,"")</f>
        <v/>
      </c>
      <c r="AJ290" s="93" t="str">
        <f>IF(ISNUMBER('Model_ of_individuals'!AJ300), 'Model_ of_individuals'!AJ300*'Model_ of_individuals'!$K300,"")</f>
        <v/>
      </c>
      <c r="AK290" s="93" t="str">
        <f>IF(ISNUMBER('Model_ of_individuals'!AK300), 'Model_ of_individuals'!AK300*'Model_ of_individuals'!$K300,"")</f>
        <v/>
      </c>
      <c r="AL290" s="93" t="str">
        <f>IF(ISNUMBER('Model_ of_individuals'!AL300), 'Model_ of_individuals'!AL300*'Model_ of_individuals'!$K300,"")</f>
        <v/>
      </c>
      <c r="AM290" s="93" t="str">
        <f>IF(ISNUMBER('Model_ of_individuals'!AM300), 'Model_ of_individuals'!AM300*'Model_ of_individuals'!$K300,"")</f>
        <v/>
      </c>
      <c r="AN290" s="93" t="str">
        <f>IF(ISNUMBER('Model_ of_individuals'!AN300), 'Model_ of_individuals'!AN300*'Model_ of_individuals'!$K300,"")</f>
        <v/>
      </c>
      <c r="AO290" s="93" t="str">
        <f>IF(ISNUMBER('Model_ of_individuals'!AO300), 'Model_ of_individuals'!AO300*'Model_ of_individuals'!$K300,"")</f>
        <v/>
      </c>
      <c r="AP290" s="93" t="str">
        <f>IF(ISNUMBER('Model_ of_individuals'!AP300), 'Model_ of_individuals'!AP300*'Model_ of_individuals'!$K300,"")</f>
        <v/>
      </c>
      <c r="AQ290" s="93" t="str">
        <f>IF(ISNUMBER('Model_ of_individuals'!AQ300), 'Model_ of_individuals'!AQ300*'Model_ of_individuals'!$K300,"")</f>
        <v/>
      </c>
      <c r="AR290" s="93" t="str">
        <f>IF(ISNUMBER('Model_ of_individuals'!AR300), 'Model_ of_individuals'!AR300*'Model_ of_individuals'!$K300,"")</f>
        <v/>
      </c>
    </row>
    <row r="291" spans="1:45" x14ac:dyDescent="0.25">
      <c r="A291" s="518"/>
      <c r="B291" s="504"/>
      <c r="C291" s="110" t="str">
        <f>IF(ISNUMBER(B270), _4_4_0, "")</f>
        <v/>
      </c>
      <c r="D291" s="94" t="str">
        <f>IF(AND(C291&lt;&gt;"", 'Cost Inputs'!$G$109&lt;&gt;""), 'Cost Inputs'!$G$109, "")</f>
        <v/>
      </c>
      <c r="E291" s="94" t="str">
        <f>IF(AND(C291&lt;&gt;"", 'Cost Inputs'!$H$109&lt;&gt;""), 'Cost Inputs'!$H$109, "")</f>
        <v/>
      </c>
      <c r="F291" s="94" t="str">
        <f>IF(AND(C291&lt;&gt;"", 'Cost Inputs'!$I$109&lt;&gt;""), 'Cost Inputs'!$I$109, "")</f>
        <v/>
      </c>
      <c r="G291" s="102" t="str">
        <f t="shared" si="16"/>
        <v/>
      </c>
      <c r="H291" s="102" t="str">
        <f>IF(AND(C291&lt;&gt;"", 'Cost Inputs'!$J$109&lt;&gt;""), 'Cost Inputs'!$J$109, "")</f>
        <v/>
      </c>
      <c r="I291" s="102" t="str">
        <f t="shared" si="20"/>
        <v/>
      </c>
      <c r="J291" s="102" t="str">
        <f>IF(AND(C291&lt;&gt;"",('Cost Inputs'!$I$109+'Cost Inputs'!$J$109+'Cost Inputs'!$K$109)&gt;0), 'Cost Inputs'!$I$109+'Cost Inputs'!$J$109+'Cost Inputs'!$K$109, "")</f>
        <v/>
      </c>
      <c r="K291" s="102" t="str">
        <f t="shared" si="21"/>
        <v/>
      </c>
      <c r="L291" s="525"/>
      <c r="M291" s="525"/>
      <c r="O291" s="102" t="str">
        <f>IF(ISNUMBER('Model_ of_individuals'!O301), 'Model_ of_individuals'!O301*'Model_ of_individuals'!$K301,"")</f>
        <v/>
      </c>
      <c r="P291" s="102" t="str">
        <f>IF(ISNUMBER('Model_ of_individuals'!P301), 'Model_ of_individuals'!P301*'Model_ of_individuals'!$K301,"")</f>
        <v/>
      </c>
      <c r="Q291" s="102" t="str">
        <f>IF(ISNUMBER('Model_ of_individuals'!Q301), 'Model_ of_individuals'!Q301*'Model_ of_individuals'!$K301,"")</f>
        <v/>
      </c>
      <c r="R291" s="102" t="str">
        <f>IF(ISNUMBER('Model_ of_individuals'!R301), 'Model_ of_individuals'!R301*'Model_ of_individuals'!$K301,"")</f>
        <v/>
      </c>
      <c r="S291" s="102" t="str">
        <f>IF(ISNUMBER('Model_ of_individuals'!S301), 'Model_ of_individuals'!S301*'Model_ of_individuals'!$K301,"")</f>
        <v/>
      </c>
      <c r="T291" s="102" t="str">
        <f>IF(ISNUMBER('Model_ of_individuals'!T301), 'Model_ of_individuals'!T301*'Model_ of_individuals'!$K301,"")</f>
        <v/>
      </c>
      <c r="U291" s="102" t="str">
        <f>IF(ISNUMBER('Model_ of_individuals'!U301), 'Model_ of_individuals'!U301*'Model_ of_individuals'!$K301,"")</f>
        <v/>
      </c>
      <c r="V291" s="102" t="str">
        <f>IF(ISNUMBER('Model_ of_individuals'!V301), 'Model_ of_individuals'!V301*'Model_ of_individuals'!$K301,"")</f>
        <v/>
      </c>
      <c r="W291" s="102" t="str">
        <f>IF(ISNUMBER('Model_ of_individuals'!W301), 'Model_ of_individuals'!W301*'Model_ of_individuals'!$K301,"")</f>
        <v/>
      </c>
      <c r="X291" s="102" t="str">
        <f>IF(ISNUMBER('Model_ of_individuals'!X301), 'Model_ of_individuals'!X301*'Model_ of_individuals'!$K301,"")</f>
        <v/>
      </c>
      <c r="Y291" s="102" t="str">
        <f>IF(ISNUMBER('Model_ of_individuals'!Y301), 'Model_ of_individuals'!Y301*'Model_ of_individuals'!$K301,"")</f>
        <v/>
      </c>
      <c r="Z291" s="102" t="str">
        <f>IF(ISNUMBER('Model_ of_individuals'!Z301), 'Model_ of_individuals'!Z301*'Model_ of_individuals'!$K301,"")</f>
        <v/>
      </c>
      <c r="AA291" s="102" t="str">
        <f>IF(ISNUMBER('Model_ of_individuals'!AA301), 'Model_ of_individuals'!AA301*'Model_ of_individuals'!$K301,"")</f>
        <v/>
      </c>
      <c r="AB291" s="102" t="str">
        <f>IF(ISNUMBER('Model_ of_individuals'!AB301), 'Model_ of_individuals'!AB301*'Model_ of_individuals'!$K301,"")</f>
        <v/>
      </c>
      <c r="AC291" s="102" t="str">
        <f>IF(ISNUMBER('Model_ of_individuals'!AC301), 'Model_ of_individuals'!AC301*'Model_ of_individuals'!$K301,"")</f>
        <v/>
      </c>
      <c r="AD291" s="102" t="str">
        <f>IF(ISNUMBER('Model_ of_individuals'!AD301), 'Model_ of_individuals'!AD301*'Model_ of_individuals'!$K301,"")</f>
        <v/>
      </c>
      <c r="AE291" s="102" t="str">
        <f>IF(ISNUMBER('Model_ of_individuals'!AE301), 'Model_ of_individuals'!AE301*'Model_ of_individuals'!$K301,"")</f>
        <v/>
      </c>
      <c r="AF291" s="102" t="str">
        <f>IF(ISNUMBER('Model_ of_individuals'!AF301), 'Model_ of_individuals'!AF301*'Model_ of_individuals'!$K301,"")</f>
        <v/>
      </c>
      <c r="AG291" s="102" t="str">
        <f>IF(ISNUMBER('Model_ of_individuals'!AG301), 'Model_ of_individuals'!AG301*'Model_ of_individuals'!$K301,"")</f>
        <v/>
      </c>
      <c r="AH291" s="102" t="str">
        <f>IF(ISNUMBER('Model_ of_individuals'!AH301), 'Model_ of_individuals'!AH301*'Model_ of_individuals'!$K301,"")</f>
        <v/>
      </c>
      <c r="AI291" s="102" t="str">
        <f>IF(ISNUMBER('Model_ of_individuals'!AI301), 'Model_ of_individuals'!AI301*'Model_ of_individuals'!$K301,"")</f>
        <v/>
      </c>
      <c r="AJ291" s="102" t="str">
        <f>IF(ISNUMBER('Model_ of_individuals'!AJ301), 'Model_ of_individuals'!AJ301*'Model_ of_individuals'!$K301,"")</f>
        <v/>
      </c>
      <c r="AK291" s="102" t="str">
        <f>IF(ISNUMBER('Model_ of_individuals'!AK301), 'Model_ of_individuals'!AK301*'Model_ of_individuals'!$K301,"")</f>
        <v/>
      </c>
      <c r="AL291" s="102" t="str">
        <f>IF(ISNUMBER('Model_ of_individuals'!AL301), 'Model_ of_individuals'!AL301*'Model_ of_individuals'!$K301,"")</f>
        <v/>
      </c>
      <c r="AM291" s="102" t="str">
        <f>IF(ISNUMBER('Model_ of_individuals'!AM301), 'Model_ of_individuals'!AM301*'Model_ of_individuals'!$K301,"")</f>
        <v/>
      </c>
      <c r="AN291" s="102" t="str">
        <f>IF(ISNUMBER('Model_ of_individuals'!AN301), 'Model_ of_individuals'!AN301*'Model_ of_individuals'!$K301,"")</f>
        <v/>
      </c>
      <c r="AO291" s="102" t="str">
        <f>IF(ISNUMBER('Model_ of_individuals'!AO301), 'Model_ of_individuals'!AO301*'Model_ of_individuals'!$K301,"")</f>
        <v/>
      </c>
      <c r="AP291" s="102" t="str">
        <f>IF(ISNUMBER('Model_ of_individuals'!AP301), 'Model_ of_individuals'!AP301*'Model_ of_individuals'!$K301,"")</f>
        <v/>
      </c>
      <c r="AQ291" s="102" t="str">
        <f>IF(ISNUMBER('Model_ of_individuals'!AQ301), 'Model_ of_individuals'!AQ301*'Model_ of_individuals'!$K301,"")</f>
        <v/>
      </c>
      <c r="AR291" s="102" t="str">
        <f>IF(ISNUMBER('Model_ of_individuals'!AR301), 'Model_ of_individuals'!AR301*'Model_ of_individuals'!$K301,"")</f>
        <v/>
      </c>
    </row>
    <row r="292" spans="1:45" x14ac:dyDescent="0.25">
      <c r="A292" s="518"/>
      <c r="B292" s="504"/>
      <c r="C292" s="104" t="str">
        <f>IF(AND(ISNUMBER(B270), OR('Cost Inputs'!$H$110&lt;&gt;"", 'Cost Inputs'!$I$110&lt;&gt;"", 'Cost Inputs'!$J$110&lt;&gt;"")), _4_4_1, "")</f>
        <v/>
      </c>
      <c r="D292" s="17" t="str">
        <f>IF(AND(C292&lt;&gt;"", 'Cost Inputs'!$G$110&lt;&gt;""), 'Cost Inputs'!$G$110, "")</f>
        <v/>
      </c>
      <c r="E292" s="17" t="str">
        <f>IF(AND(C292&lt;&gt;"", 'Cost Inputs'!$H$110&lt;&gt;""), 'Cost Inputs'!$H$110, "")</f>
        <v/>
      </c>
      <c r="F292" s="17" t="str">
        <f>IF(AND(C292&lt;&gt;"", 'Cost Inputs'!$I$110&lt;&gt;""), 'Cost Inputs'!$I$110, "")</f>
        <v/>
      </c>
      <c r="G292" s="105" t="str">
        <f t="shared" si="16"/>
        <v/>
      </c>
      <c r="H292" s="17" t="str">
        <f>IF(AND(C292&lt;&gt;"", 'Cost Inputs'!$J$110&lt;&gt;""), 'Cost Inputs'!$J$110, "")</f>
        <v/>
      </c>
      <c r="I292" s="17" t="str">
        <f t="shared" si="20"/>
        <v/>
      </c>
      <c r="J292" s="17" t="str">
        <f>IF(AND(C292&lt;&gt;"",('Cost Inputs'!$I$110+'Cost Inputs'!$J$110+'Cost Inputs'!$K$110)&gt;0), 'Cost Inputs'!$I$110+'Cost Inputs'!$J$110+'Cost Inputs'!$K$110, "")</f>
        <v/>
      </c>
      <c r="K292" s="17" t="str">
        <f t="shared" si="21"/>
        <v/>
      </c>
      <c r="L292" s="525"/>
      <c r="M292" s="525"/>
      <c r="O292" s="17" t="str">
        <f>IF(ISNUMBER('Model_ of_individuals'!O302), 'Model_ of_individuals'!O302*'Model_ of_individuals'!$K302,"")</f>
        <v/>
      </c>
      <c r="P292" s="17" t="str">
        <f>IF(ISNUMBER('Model_ of_individuals'!P302), 'Model_ of_individuals'!P302*'Model_ of_individuals'!$K302,"")</f>
        <v/>
      </c>
      <c r="Q292" s="17" t="str">
        <f>IF(ISNUMBER('Model_ of_individuals'!Q302), 'Model_ of_individuals'!Q302*'Model_ of_individuals'!$K302,"")</f>
        <v/>
      </c>
      <c r="R292" s="17" t="str">
        <f>IF(ISNUMBER('Model_ of_individuals'!R302), 'Model_ of_individuals'!R302*'Model_ of_individuals'!$K302,"")</f>
        <v/>
      </c>
      <c r="S292" s="17" t="str">
        <f>IF(ISNUMBER('Model_ of_individuals'!S302), 'Model_ of_individuals'!S302*'Model_ of_individuals'!$K302,"")</f>
        <v/>
      </c>
      <c r="T292" s="17" t="str">
        <f>IF(ISNUMBER('Model_ of_individuals'!T302), 'Model_ of_individuals'!T302*'Model_ of_individuals'!$K302,"")</f>
        <v/>
      </c>
      <c r="U292" s="17" t="str">
        <f>IF(ISNUMBER('Model_ of_individuals'!U302), 'Model_ of_individuals'!U302*'Model_ of_individuals'!$K302,"")</f>
        <v/>
      </c>
      <c r="V292" s="17" t="str">
        <f>IF(ISNUMBER('Model_ of_individuals'!V302), 'Model_ of_individuals'!V302*'Model_ of_individuals'!$K302,"")</f>
        <v/>
      </c>
      <c r="W292" s="17" t="str">
        <f>IF(ISNUMBER('Model_ of_individuals'!W302), 'Model_ of_individuals'!W302*'Model_ of_individuals'!$K302,"")</f>
        <v/>
      </c>
      <c r="X292" s="17" t="str">
        <f>IF(ISNUMBER('Model_ of_individuals'!X302), 'Model_ of_individuals'!X302*'Model_ of_individuals'!$K302,"")</f>
        <v/>
      </c>
      <c r="Y292" s="17" t="str">
        <f>IF(ISNUMBER('Model_ of_individuals'!Y302), 'Model_ of_individuals'!Y302*'Model_ of_individuals'!$K302,"")</f>
        <v/>
      </c>
      <c r="Z292" s="17" t="str">
        <f>IF(ISNUMBER('Model_ of_individuals'!Z302), 'Model_ of_individuals'!Z302*'Model_ of_individuals'!$K302,"")</f>
        <v/>
      </c>
      <c r="AA292" s="17" t="str">
        <f>IF(ISNUMBER('Model_ of_individuals'!AA302), 'Model_ of_individuals'!AA302*'Model_ of_individuals'!$K302,"")</f>
        <v/>
      </c>
      <c r="AB292" s="17" t="str">
        <f>IF(ISNUMBER('Model_ of_individuals'!AB302), 'Model_ of_individuals'!AB302*'Model_ of_individuals'!$K302,"")</f>
        <v/>
      </c>
      <c r="AC292" s="17" t="str">
        <f>IF(ISNUMBER('Model_ of_individuals'!AC302), 'Model_ of_individuals'!AC302*'Model_ of_individuals'!$K302,"")</f>
        <v/>
      </c>
      <c r="AD292" s="17" t="str">
        <f>IF(ISNUMBER('Model_ of_individuals'!AD302), 'Model_ of_individuals'!AD302*'Model_ of_individuals'!$K302,"")</f>
        <v/>
      </c>
      <c r="AE292" s="17" t="str">
        <f>IF(ISNUMBER('Model_ of_individuals'!AE302), 'Model_ of_individuals'!AE302*'Model_ of_individuals'!$K302,"")</f>
        <v/>
      </c>
      <c r="AF292" s="17" t="str">
        <f>IF(ISNUMBER('Model_ of_individuals'!AF302), 'Model_ of_individuals'!AF302*'Model_ of_individuals'!$K302,"")</f>
        <v/>
      </c>
      <c r="AG292" s="17" t="str">
        <f>IF(ISNUMBER('Model_ of_individuals'!AG302), 'Model_ of_individuals'!AG302*'Model_ of_individuals'!$K302,"")</f>
        <v/>
      </c>
      <c r="AH292" s="17" t="str">
        <f>IF(ISNUMBER('Model_ of_individuals'!AH302), 'Model_ of_individuals'!AH302*'Model_ of_individuals'!$K302,"")</f>
        <v/>
      </c>
      <c r="AI292" s="17" t="str">
        <f>IF(ISNUMBER('Model_ of_individuals'!AI302), 'Model_ of_individuals'!AI302*'Model_ of_individuals'!$K302,"")</f>
        <v/>
      </c>
      <c r="AJ292" s="17" t="str">
        <f>IF(ISNUMBER('Model_ of_individuals'!AJ302), 'Model_ of_individuals'!AJ302*'Model_ of_individuals'!$K302,"")</f>
        <v/>
      </c>
      <c r="AK292" s="17" t="str">
        <f>IF(ISNUMBER('Model_ of_individuals'!AK302), 'Model_ of_individuals'!AK302*'Model_ of_individuals'!$K302,"")</f>
        <v/>
      </c>
      <c r="AL292" s="17" t="str">
        <f>IF(ISNUMBER('Model_ of_individuals'!AL302), 'Model_ of_individuals'!AL302*'Model_ of_individuals'!$K302,"")</f>
        <v/>
      </c>
      <c r="AM292" s="17" t="str">
        <f>IF(ISNUMBER('Model_ of_individuals'!AM302), 'Model_ of_individuals'!AM302*'Model_ of_individuals'!$K302,"")</f>
        <v/>
      </c>
      <c r="AN292" s="17" t="str">
        <f>IF(ISNUMBER('Model_ of_individuals'!AN302), 'Model_ of_individuals'!AN302*'Model_ of_individuals'!$K302,"")</f>
        <v/>
      </c>
      <c r="AO292" s="17" t="str">
        <f>IF(ISNUMBER('Model_ of_individuals'!AO302), 'Model_ of_individuals'!AO302*'Model_ of_individuals'!$K302,"")</f>
        <v/>
      </c>
      <c r="AP292" s="17" t="str">
        <f>IF(ISNUMBER('Model_ of_individuals'!AP302), 'Model_ of_individuals'!AP302*'Model_ of_individuals'!$K302,"")</f>
        <v/>
      </c>
      <c r="AQ292" s="17" t="str">
        <f>IF(ISNUMBER('Model_ of_individuals'!AQ302), 'Model_ of_individuals'!AQ302*'Model_ of_individuals'!$K302,"")</f>
        <v/>
      </c>
      <c r="AR292" s="17" t="str">
        <f>IF(ISNUMBER('Model_ of_individuals'!AR302), 'Model_ of_individuals'!AR302*'Model_ of_individuals'!$K302,"")</f>
        <v/>
      </c>
    </row>
    <row r="293" spans="1:45" x14ac:dyDescent="0.25">
      <c r="A293" s="518"/>
      <c r="B293" s="504"/>
      <c r="C293" s="107" t="str">
        <f>IF(AND(ISNUMBER(B270), OR('Cost Inputs'!$H$111&lt;&gt;"", 'Cost Inputs'!$I$111&lt;&gt;"", 'Cost Inputs'!$J$111&lt;&gt;"")), _4_4_2, "")</f>
        <v/>
      </c>
      <c r="D293" s="93" t="str">
        <f>IF(AND(C293&lt;&gt;"", 'Cost Inputs'!$G$111&lt;&gt;""), 'Cost Inputs'!$G$111, "")</f>
        <v/>
      </c>
      <c r="E293" s="93" t="str">
        <f>IF(AND(C293&lt;&gt;"", 'Cost Inputs'!$H$111&lt;&gt;""), 'Cost Inputs'!$H$111, "")</f>
        <v/>
      </c>
      <c r="F293" s="93" t="str">
        <f>IF(AND(C293&lt;&gt;"", 'Cost Inputs'!$I$111&lt;&gt;""), 'Cost Inputs'!$I$111, "")</f>
        <v/>
      </c>
      <c r="G293" s="108" t="str">
        <f t="shared" si="16"/>
        <v/>
      </c>
      <c r="H293" s="93" t="str">
        <f>IF(AND(C293&lt;&gt;"", 'Cost Inputs'!$J$111&lt;&gt;""), 'Cost Inputs'!$J$111, "")</f>
        <v/>
      </c>
      <c r="I293" s="93" t="str">
        <f t="shared" si="20"/>
        <v/>
      </c>
      <c r="J293" s="93" t="str">
        <f>IF(AND(C293&lt;&gt;"",('Cost Inputs'!$I$111+'Cost Inputs'!$J$111+'Cost Inputs'!$K$111)&gt;0), 'Cost Inputs'!$I$111+'Cost Inputs'!$J$111+'Cost Inputs'!$K$111, "")</f>
        <v/>
      </c>
      <c r="K293" s="93" t="str">
        <f t="shared" si="21"/>
        <v/>
      </c>
      <c r="L293" s="525"/>
      <c r="M293" s="525"/>
      <c r="O293" s="93" t="str">
        <f>IF(ISNUMBER('Model_ of_individuals'!O303), 'Model_ of_individuals'!O303*'Model_ of_individuals'!$K303,"")</f>
        <v/>
      </c>
      <c r="P293" s="93" t="str">
        <f>IF(ISNUMBER('Model_ of_individuals'!P303), 'Model_ of_individuals'!P303*'Model_ of_individuals'!$K303,"")</f>
        <v/>
      </c>
      <c r="Q293" s="93" t="str">
        <f>IF(ISNUMBER('Model_ of_individuals'!Q303), 'Model_ of_individuals'!Q303*'Model_ of_individuals'!$K303,"")</f>
        <v/>
      </c>
      <c r="R293" s="93" t="str">
        <f>IF(ISNUMBER('Model_ of_individuals'!R303), 'Model_ of_individuals'!R303*'Model_ of_individuals'!$K303,"")</f>
        <v/>
      </c>
      <c r="S293" s="93" t="str">
        <f>IF(ISNUMBER('Model_ of_individuals'!S303), 'Model_ of_individuals'!S303*'Model_ of_individuals'!$K303,"")</f>
        <v/>
      </c>
      <c r="T293" s="93" t="str">
        <f>IF(ISNUMBER('Model_ of_individuals'!T303), 'Model_ of_individuals'!T303*'Model_ of_individuals'!$K303,"")</f>
        <v/>
      </c>
      <c r="U293" s="93" t="str">
        <f>IF(ISNUMBER('Model_ of_individuals'!U303), 'Model_ of_individuals'!U303*'Model_ of_individuals'!$K303,"")</f>
        <v/>
      </c>
      <c r="V293" s="93" t="str">
        <f>IF(ISNUMBER('Model_ of_individuals'!V303), 'Model_ of_individuals'!V303*'Model_ of_individuals'!$K303,"")</f>
        <v/>
      </c>
      <c r="W293" s="93" t="str">
        <f>IF(ISNUMBER('Model_ of_individuals'!W303), 'Model_ of_individuals'!W303*'Model_ of_individuals'!$K303,"")</f>
        <v/>
      </c>
      <c r="X293" s="93" t="str">
        <f>IF(ISNUMBER('Model_ of_individuals'!X303), 'Model_ of_individuals'!X303*'Model_ of_individuals'!$K303,"")</f>
        <v/>
      </c>
      <c r="Y293" s="93" t="str">
        <f>IF(ISNUMBER('Model_ of_individuals'!Y303), 'Model_ of_individuals'!Y303*'Model_ of_individuals'!$K303,"")</f>
        <v/>
      </c>
      <c r="Z293" s="93" t="str">
        <f>IF(ISNUMBER('Model_ of_individuals'!Z303), 'Model_ of_individuals'!Z303*'Model_ of_individuals'!$K303,"")</f>
        <v/>
      </c>
      <c r="AA293" s="93" t="str">
        <f>IF(ISNUMBER('Model_ of_individuals'!AA303), 'Model_ of_individuals'!AA303*'Model_ of_individuals'!$K303,"")</f>
        <v/>
      </c>
      <c r="AB293" s="93" t="str">
        <f>IF(ISNUMBER('Model_ of_individuals'!AB303), 'Model_ of_individuals'!AB303*'Model_ of_individuals'!$K303,"")</f>
        <v/>
      </c>
      <c r="AC293" s="93" t="str">
        <f>IF(ISNUMBER('Model_ of_individuals'!AC303), 'Model_ of_individuals'!AC303*'Model_ of_individuals'!$K303,"")</f>
        <v/>
      </c>
      <c r="AD293" s="93" t="str">
        <f>IF(ISNUMBER('Model_ of_individuals'!AD303), 'Model_ of_individuals'!AD303*'Model_ of_individuals'!$K303,"")</f>
        <v/>
      </c>
      <c r="AE293" s="93" t="str">
        <f>IF(ISNUMBER('Model_ of_individuals'!AE303), 'Model_ of_individuals'!AE303*'Model_ of_individuals'!$K303,"")</f>
        <v/>
      </c>
      <c r="AF293" s="93" t="str">
        <f>IF(ISNUMBER('Model_ of_individuals'!AF303), 'Model_ of_individuals'!AF303*'Model_ of_individuals'!$K303,"")</f>
        <v/>
      </c>
      <c r="AG293" s="93" t="str">
        <f>IF(ISNUMBER('Model_ of_individuals'!AG303), 'Model_ of_individuals'!AG303*'Model_ of_individuals'!$K303,"")</f>
        <v/>
      </c>
      <c r="AH293" s="93" t="str">
        <f>IF(ISNUMBER('Model_ of_individuals'!AH303), 'Model_ of_individuals'!AH303*'Model_ of_individuals'!$K303,"")</f>
        <v/>
      </c>
      <c r="AI293" s="93" t="str">
        <f>IF(ISNUMBER('Model_ of_individuals'!AI303), 'Model_ of_individuals'!AI303*'Model_ of_individuals'!$K303,"")</f>
        <v/>
      </c>
      <c r="AJ293" s="93" t="str">
        <f>IF(ISNUMBER('Model_ of_individuals'!AJ303), 'Model_ of_individuals'!AJ303*'Model_ of_individuals'!$K303,"")</f>
        <v/>
      </c>
      <c r="AK293" s="93" t="str">
        <f>IF(ISNUMBER('Model_ of_individuals'!AK303), 'Model_ of_individuals'!AK303*'Model_ of_individuals'!$K303,"")</f>
        <v/>
      </c>
      <c r="AL293" s="93" t="str">
        <f>IF(ISNUMBER('Model_ of_individuals'!AL303), 'Model_ of_individuals'!AL303*'Model_ of_individuals'!$K303,"")</f>
        <v/>
      </c>
      <c r="AM293" s="93" t="str">
        <f>IF(ISNUMBER('Model_ of_individuals'!AM303), 'Model_ of_individuals'!AM303*'Model_ of_individuals'!$K303,"")</f>
        <v/>
      </c>
      <c r="AN293" s="93" t="str">
        <f>IF(ISNUMBER('Model_ of_individuals'!AN303), 'Model_ of_individuals'!AN303*'Model_ of_individuals'!$K303,"")</f>
        <v/>
      </c>
      <c r="AO293" s="93" t="str">
        <f>IF(ISNUMBER('Model_ of_individuals'!AO303), 'Model_ of_individuals'!AO303*'Model_ of_individuals'!$K303,"")</f>
        <v/>
      </c>
      <c r="AP293" s="93" t="str">
        <f>IF(ISNUMBER('Model_ of_individuals'!AP303), 'Model_ of_individuals'!AP303*'Model_ of_individuals'!$K303,"")</f>
        <v/>
      </c>
      <c r="AQ293" s="93" t="str">
        <f>IF(ISNUMBER('Model_ of_individuals'!AQ303), 'Model_ of_individuals'!AQ303*'Model_ of_individuals'!$K303,"")</f>
        <v/>
      </c>
      <c r="AR293" s="93" t="str">
        <f>IF(ISNUMBER('Model_ of_individuals'!AR303), 'Model_ of_individuals'!AR303*'Model_ of_individuals'!$K303,"")</f>
        <v/>
      </c>
    </row>
    <row r="294" spans="1:45" x14ac:dyDescent="0.25">
      <c r="A294" s="518"/>
      <c r="B294" s="504"/>
      <c r="C294" s="104" t="str">
        <f>IF(AND(ISNUMBER(B270), OR('Cost Inputs'!$H$112&lt;&gt;"", 'Cost Inputs'!$I$112&lt;&gt;"", 'Cost Inputs'!$J$112&lt;&gt;"")), _4_4_3, "")</f>
        <v/>
      </c>
      <c r="D294" s="17" t="str">
        <f>IF(AND(C294&lt;&gt;"", 'Cost Inputs'!$G$112&lt;&gt;""), 'Cost Inputs'!$G$112, "")</f>
        <v/>
      </c>
      <c r="E294" s="17" t="str">
        <f>IF(AND(C294&lt;&gt;"", 'Cost Inputs'!$H$112&lt;&gt;""), 'Cost Inputs'!$H$112, "")</f>
        <v/>
      </c>
      <c r="F294" s="17" t="str">
        <f>IF(AND(C294&lt;&gt;"", 'Cost Inputs'!$I$112&lt;&gt;""), 'Cost Inputs'!$I$112, "")</f>
        <v/>
      </c>
      <c r="G294" s="105" t="str">
        <f t="shared" si="16"/>
        <v/>
      </c>
      <c r="H294" s="17" t="str">
        <f>IF(AND(C294&lt;&gt;"", 'Cost Inputs'!$J$112&lt;&gt;""), 'Cost Inputs'!$J$112, "")</f>
        <v/>
      </c>
      <c r="I294" s="17" t="str">
        <f t="shared" si="20"/>
        <v/>
      </c>
      <c r="J294" s="17" t="str">
        <f>IF(AND(C294&lt;&gt;"",('Cost Inputs'!$I$112+'Cost Inputs'!$J$112+'Cost Inputs'!$K$112)&gt;0), 'Cost Inputs'!$I$112+'Cost Inputs'!$J$112+'Cost Inputs'!$K$112, "")</f>
        <v/>
      </c>
      <c r="K294" s="17" t="str">
        <f t="shared" si="21"/>
        <v/>
      </c>
      <c r="L294" s="525"/>
      <c r="M294" s="525"/>
      <c r="O294" s="17" t="str">
        <f>IF(ISNUMBER('Model_ of_individuals'!O304), 'Model_ of_individuals'!O304*'Model_ of_individuals'!$K304,"")</f>
        <v/>
      </c>
      <c r="P294" s="17" t="str">
        <f>IF(ISNUMBER('Model_ of_individuals'!P304), 'Model_ of_individuals'!P304*'Model_ of_individuals'!$K304,"")</f>
        <v/>
      </c>
      <c r="Q294" s="17" t="str">
        <f>IF(ISNUMBER('Model_ of_individuals'!Q304), 'Model_ of_individuals'!Q304*'Model_ of_individuals'!$K304,"")</f>
        <v/>
      </c>
      <c r="R294" s="17" t="str">
        <f>IF(ISNUMBER('Model_ of_individuals'!R304), 'Model_ of_individuals'!R304*'Model_ of_individuals'!$K304,"")</f>
        <v/>
      </c>
      <c r="S294" s="17" t="str">
        <f>IF(ISNUMBER('Model_ of_individuals'!S304), 'Model_ of_individuals'!S304*'Model_ of_individuals'!$K304,"")</f>
        <v/>
      </c>
      <c r="T294" s="17" t="str">
        <f>IF(ISNUMBER('Model_ of_individuals'!T304), 'Model_ of_individuals'!T304*'Model_ of_individuals'!$K304,"")</f>
        <v/>
      </c>
      <c r="U294" s="17" t="str">
        <f>IF(ISNUMBER('Model_ of_individuals'!U304), 'Model_ of_individuals'!U304*'Model_ of_individuals'!$K304,"")</f>
        <v/>
      </c>
      <c r="V294" s="17" t="str">
        <f>IF(ISNUMBER('Model_ of_individuals'!V304), 'Model_ of_individuals'!V304*'Model_ of_individuals'!$K304,"")</f>
        <v/>
      </c>
      <c r="W294" s="17" t="str">
        <f>IF(ISNUMBER('Model_ of_individuals'!W304), 'Model_ of_individuals'!W304*'Model_ of_individuals'!$K304,"")</f>
        <v/>
      </c>
      <c r="X294" s="17" t="str">
        <f>IF(ISNUMBER('Model_ of_individuals'!X304), 'Model_ of_individuals'!X304*'Model_ of_individuals'!$K304,"")</f>
        <v/>
      </c>
      <c r="Y294" s="17" t="str">
        <f>IF(ISNUMBER('Model_ of_individuals'!Y304), 'Model_ of_individuals'!Y304*'Model_ of_individuals'!$K304,"")</f>
        <v/>
      </c>
      <c r="Z294" s="17" t="str">
        <f>IF(ISNUMBER('Model_ of_individuals'!Z304), 'Model_ of_individuals'!Z304*'Model_ of_individuals'!$K304,"")</f>
        <v/>
      </c>
      <c r="AA294" s="17" t="str">
        <f>IF(ISNUMBER('Model_ of_individuals'!AA304), 'Model_ of_individuals'!AA304*'Model_ of_individuals'!$K304,"")</f>
        <v/>
      </c>
      <c r="AB294" s="17" t="str">
        <f>IF(ISNUMBER('Model_ of_individuals'!AB304), 'Model_ of_individuals'!AB304*'Model_ of_individuals'!$K304,"")</f>
        <v/>
      </c>
      <c r="AC294" s="17" t="str">
        <f>IF(ISNUMBER('Model_ of_individuals'!AC304), 'Model_ of_individuals'!AC304*'Model_ of_individuals'!$K304,"")</f>
        <v/>
      </c>
      <c r="AD294" s="17" t="str">
        <f>IF(ISNUMBER('Model_ of_individuals'!AD304), 'Model_ of_individuals'!AD304*'Model_ of_individuals'!$K304,"")</f>
        <v/>
      </c>
      <c r="AE294" s="17" t="str">
        <f>IF(ISNUMBER('Model_ of_individuals'!AE304), 'Model_ of_individuals'!AE304*'Model_ of_individuals'!$K304,"")</f>
        <v/>
      </c>
      <c r="AF294" s="17" t="str">
        <f>IF(ISNUMBER('Model_ of_individuals'!AF304), 'Model_ of_individuals'!AF304*'Model_ of_individuals'!$K304,"")</f>
        <v/>
      </c>
      <c r="AG294" s="17" t="str">
        <f>IF(ISNUMBER('Model_ of_individuals'!AG304), 'Model_ of_individuals'!AG304*'Model_ of_individuals'!$K304,"")</f>
        <v/>
      </c>
      <c r="AH294" s="17" t="str">
        <f>IF(ISNUMBER('Model_ of_individuals'!AH304), 'Model_ of_individuals'!AH304*'Model_ of_individuals'!$K304,"")</f>
        <v/>
      </c>
      <c r="AI294" s="17" t="str">
        <f>IF(ISNUMBER('Model_ of_individuals'!AI304), 'Model_ of_individuals'!AI304*'Model_ of_individuals'!$K304,"")</f>
        <v/>
      </c>
      <c r="AJ294" s="17" t="str">
        <f>IF(ISNUMBER('Model_ of_individuals'!AJ304), 'Model_ of_individuals'!AJ304*'Model_ of_individuals'!$K304,"")</f>
        <v/>
      </c>
      <c r="AK294" s="17" t="str">
        <f>IF(ISNUMBER('Model_ of_individuals'!AK304), 'Model_ of_individuals'!AK304*'Model_ of_individuals'!$K304,"")</f>
        <v/>
      </c>
      <c r="AL294" s="17" t="str">
        <f>IF(ISNUMBER('Model_ of_individuals'!AL304), 'Model_ of_individuals'!AL304*'Model_ of_individuals'!$K304,"")</f>
        <v/>
      </c>
      <c r="AM294" s="17" t="str">
        <f>IF(ISNUMBER('Model_ of_individuals'!AM304), 'Model_ of_individuals'!AM304*'Model_ of_individuals'!$K304,"")</f>
        <v/>
      </c>
      <c r="AN294" s="17" t="str">
        <f>IF(ISNUMBER('Model_ of_individuals'!AN304), 'Model_ of_individuals'!AN304*'Model_ of_individuals'!$K304,"")</f>
        <v/>
      </c>
      <c r="AO294" s="17" t="str">
        <f>IF(ISNUMBER('Model_ of_individuals'!AO304), 'Model_ of_individuals'!AO304*'Model_ of_individuals'!$K304,"")</f>
        <v/>
      </c>
      <c r="AP294" s="17" t="str">
        <f>IF(ISNUMBER('Model_ of_individuals'!AP304), 'Model_ of_individuals'!AP304*'Model_ of_individuals'!$K304,"")</f>
        <v/>
      </c>
      <c r="AQ294" s="17" t="str">
        <f>IF(ISNUMBER('Model_ of_individuals'!AQ304), 'Model_ of_individuals'!AQ304*'Model_ of_individuals'!$K304,"")</f>
        <v/>
      </c>
      <c r="AR294" s="17" t="str">
        <f>IF(ISNUMBER('Model_ of_individuals'!AR304), 'Model_ of_individuals'!AR304*'Model_ of_individuals'!$K304,"")</f>
        <v/>
      </c>
    </row>
    <row r="295" spans="1:45" x14ac:dyDescent="0.25">
      <c r="A295" s="518"/>
      <c r="B295" s="504"/>
      <c r="C295" s="107" t="str">
        <f>IF(AND(ISNUMBER(B270), OR('Cost Inputs'!$H$113&lt;&gt;"", 'Cost Inputs'!$I$113&lt;&gt;"", 'Cost Inputs'!$J$113&lt;&gt;"")), _4_4_4, "")</f>
        <v/>
      </c>
      <c r="D295" s="93" t="str">
        <f>IF(AND(C295&lt;&gt;"", 'Cost Inputs'!$G$113&lt;&gt;""), 'Cost Inputs'!$G$113, "")</f>
        <v/>
      </c>
      <c r="E295" s="93" t="str">
        <f>IF(AND(C295&lt;&gt;"", 'Cost Inputs'!$H$113&lt;&gt;""), 'Cost Inputs'!$H$113, "")</f>
        <v/>
      </c>
      <c r="F295" s="93" t="str">
        <f>IF(AND(C295&lt;&gt;"", 'Cost Inputs'!$I$113&lt;&gt;""), 'Cost Inputs'!$I$113, "")</f>
        <v/>
      </c>
      <c r="G295" s="108" t="str">
        <f t="shared" si="16"/>
        <v/>
      </c>
      <c r="H295" s="93" t="str">
        <f>IF(AND(C295&lt;&gt;"", 'Cost Inputs'!$J$113&lt;&gt;""), 'Cost Inputs'!$J$113, "")</f>
        <v/>
      </c>
      <c r="I295" s="93" t="str">
        <f t="shared" si="20"/>
        <v/>
      </c>
      <c r="J295" s="93" t="str">
        <f>IF(AND(C295&lt;&gt;"",('Cost Inputs'!$I$113+'Cost Inputs'!$J$113+'Cost Inputs'!$K$113)&gt;0), 'Cost Inputs'!$I$113+'Cost Inputs'!$J$113+'Cost Inputs'!$K$113, "")</f>
        <v/>
      </c>
      <c r="K295" s="93" t="str">
        <f t="shared" si="21"/>
        <v/>
      </c>
      <c r="L295" s="525"/>
      <c r="M295" s="525"/>
      <c r="O295" s="93" t="str">
        <f>IF(ISNUMBER('Model_ of_individuals'!O305), 'Model_ of_individuals'!O305*'Model_ of_individuals'!$K305,"")</f>
        <v/>
      </c>
      <c r="P295" s="93" t="str">
        <f>IF(ISNUMBER('Model_ of_individuals'!P305), 'Model_ of_individuals'!P305*'Model_ of_individuals'!$K305,"")</f>
        <v/>
      </c>
      <c r="Q295" s="93" t="str">
        <f>IF(ISNUMBER('Model_ of_individuals'!Q305), 'Model_ of_individuals'!Q305*'Model_ of_individuals'!$K305,"")</f>
        <v/>
      </c>
      <c r="R295" s="93" t="str">
        <f>IF(ISNUMBER('Model_ of_individuals'!R305), 'Model_ of_individuals'!R305*'Model_ of_individuals'!$K305,"")</f>
        <v/>
      </c>
      <c r="S295" s="93" t="str">
        <f>IF(ISNUMBER('Model_ of_individuals'!S305), 'Model_ of_individuals'!S305*'Model_ of_individuals'!$K305,"")</f>
        <v/>
      </c>
      <c r="T295" s="93" t="str">
        <f>IF(ISNUMBER('Model_ of_individuals'!T305), 'Model_ of_individuals'!T305*'Model_ of_individuals'!$K305,"")</f>
        <v/>
      </c>
      <c r="U295" s="93" t="str">
        <f>IF(ISNUMBER('Model_ of_individuals'!U305), 'Model_ of_individuals'!U305*'Model_ of_individuals'!$K305,"")</f>
        <v/>
      </c>
      <c r="V295" s="93" t="str">
        <f>IF(ISNUMBER('Model_ of_individuals'!V305), 'Model_ of_individuals'!V305*'Model_ of_individuals'!$K305,"")</f>
        <v/>
      </c>
      <c r="W295" s="93" t="str">
        <f>IF(ISNUMBER('Model_ of_individuals'!W305), 'Model_ of_individuals'!W305*'Model_ of_individuals'!$K305,"")</f>
        <v/>
      </c>
      <c r="X295" s="93" t="str">
        <f>IF(ISNUMBER('Model_ of_individuals'!X305), 'Model_ of_individuals'!X305*'Model_ of_individuals'!$K305,"")</f>
        <v/>
      </c>
      <c r="Y295" s="93" t="str">
        <f>IF(ISNUMBER('Model_ of_individuals'!Y305), 'Model_ of_individuals'!Y305*'Model_ of_individuals'!$K305,"")</f>
        <v/>
      </c>
      <c r="Z295" s="93" t="str">
        <f>IF(ISNUMBER('Model_ of_individuals'!Z305), 'Model_ of_individuals'!Z305*'Model_ of_individuals'!$K305,"")</f>
        <v/>
      </c>
      <c r="AA295" s="93" t="str">
        <f>IF(ISNUMBER('Model_ of_individuals'!AA305), 'Model_ of_individuals'!AA305*'Model_ of_individuals'!$K305,"")</f>
        <v/>
      </c>
      <c r="AB295" s="93" t="str">
        <f>IF(ISNUMBER('Model_ of_individuals'!AB305), 'Model_ of_individuals'!AB305*'Model_ of_individuals'!$K305,"")</f>
        <v/>
      </c>
      <c r="AC295" s="93" t="str">
        <f>IF(ISNUMBER('Model_ of_individuals'!AC305), 'Model_ of_individuals'!AC305*'Model_ of_individuals'!$K305,"")</f>
        <v/>
      </c>
      <c r="AD295" s="93" t="str">
        <f>IF(ISNUMBER('Model_ of_individuals'!AD305), 'Model_ of_individuals'!AD305*'Model_ of_individuals'!$K305,"")</f>
        <v/>
      </c>
      <c r="AE295" s="93" t="str">
        <f>IF(ISNUMBER('Model_ of_individuals'!AE305), 'Model_ of_individuals'!AE305*'Model_ of_individuals'!$K305,"")</f>
        <v/>
      </c>
      <c r="AF295" s="93" t="str">
        <f>IF(ISNUMBER('Model_ of_individuals'!AF305), 'Model_ of_individuals'!AF305*'Model_ of_individuals'!$K305,"")</f>
        <v/>
      </c>
      <c r="AG295" s="93" t="str">
        <f>IF(ISNUMBER('Model_ of_individuals'!AG305), 'Model_ of_individuals'!AG305*'Model_ of_individuals'!$K305,"")</f>
        <v/>
      </c>
      <c r="AH295" s="93" t="str">
        <f>IF(ISNUMBER('Model_ of_individuals'!AH305), 'Model_ of_individuals'!AH305*'Model_ of_individuals'!$K305,"")</f>
        <v/>
      </c>
      <c r="AI295" s="93" t="str">
        <f>IF(ISNUMBER('Model_ of_individuals'!AI305), 'Model_ of_individuals'!AI305*'Model_ of_individuals'!$K305,"")</f>
        <v/>
      </c>
      <c r="AJ295" s="93" t="str">
        <f>IF(ISNUMBER('Model_ of_individuals'!AJ305), 'Model_ of_individuals'!AJ305*'Model_ of_individuals'!$K305,"")</f>
        <v/>
      </c>
      <c r="AK295" s="93" t="str">
        <f>IF(ISNUMBER('Model_ of_individuals'!AK305), 'Model_ of_individuals'!AK305*'Model_ of_individuals'!$K305,"")</f>
        <v/>
      </c>
      <c r="AL295" s="93" t="str">
        <f>IF(ISNUMBER('Model_ of_individuals'!AL305), 'Model_ of_individuals'!AL305*'Model_ of_individuals'!$K305,"")</f>
        <v/>
      </c>
      <c r="AM295" s="93" t="str">
        <f>IF(ISNUMBER('Model_ of_individuals'!AM305), 'Model_ of_individuals'!AM305*'Model_ of_individuals'!$K305,"")</f>
        <v/>
      </c>
      <c r="AN295" s="93" t="str">
        <f>IF(ISNUMBER('Model_ of_individuals'!AN305), 'Model_ of_individuals'!AN305*'Model_ of_individuals'!$K305,"")</f>
        <v/>
      </c>
      <c r="AO295" s="93" t="str">
        <f>IF(ISNUMBER('Model_ of_individuals'!AO305), 'Model_ of_individuals'!AO305*'Model_ of_individuals'!$K305,"")</f>
        <v/>
      </c>
      <c r="AP295" s="93" t="str">
        <f>IF(ISNUMBER('Model_ of_individuals'!AP305), 'Model_ of_individuals'!AP305*'Model_ of_individuals'!$K305,"")</f>
        <v/>
      </c>
      <c r="AQ295" s="93" t="str">
        <f>IF(ISNUMBER('Model_ of_individuals'!AQ305), 'Model_ of_individuals'!AQ305*'Model_ of_individuals'!$K305,"")</f>
        <v/>
      </c>
      <c r="AR295" s="93" t="str">
        <f>IF(ISNUMBER('Model_ of_individuals'!AR305), 'Model_ of_individuals'!AR305*'Model_ of_individuals'!$K305,"")</f>
        <v/>
      </c>
    </row>
    <row r="296" spans="1:45" x14ac:dyDescent="0.25">
      <c r="A296" s="518"/>
      <c r="B296" s="504"/>
      <c r="C296" s="104" t="str">
        <f>IF(AND(ISNUMBER(B270), OR('Cost Inputs'!$H$114&lt;&gt;"", 'Cost Inputs'!$I$114&lt;&gt;"", 'Cost Inputs'!$J$114&lt;&gt;"")), _4_4_5, "")</f>
        <v/>
      </c>
      <c r="D296" s="17" t="str">
        <f>IF(AND(C296&lt;&gt;"", 'Cost Inputs'!$G$114&lt;&gt;""), 'Cost Inputs'!$G$114, "")</f>
        <v/>
      </c>
      <c r="E296" s="17" t="str">
        <f>IF(AND(C296&lt;&gt;"", 'Cost Inputs'!$H$114&lt;&gt;""), 'Cost Inputs'!$H$114, "")</f>
        <v/>
      </c>
      <c r="F296" s="17" t="str">
        <f>IF(AND(C296&lt;&gt;"", 'Cost Inputs'!$I$114&lt;&gt;""), 'Cost Inputs'!$I$114, "")</f>
        <v/>
      </c>
      <c r="G296" s="105" t="str">
        <f t="shared" si="16"/>
        <v/>
      </c>
      <c r="H296" s="17" t="str">
        <f>IF(AND(C296&lt;&gt;"", 'Cost Inputs'!$J$114&lt;&gt;""), 'Cost Inputs'!$J$114, "")</f>
        <v/>
      </c>
      <c r="I296" s="17" t="str">
        <f t="shared" si="20"/>
        <v/>
      </c>
      <c r="J296" s="17" t="str">
        <f>IF(AND(C296&lt;&gt;"",('Cost Inputs'!$I$114+'Cost Inputs'!$J$114+'Cost Inputs'!$K$114)&gt;0), 'Cost Inputs'!$I$114+'Cost Inputs'!$J$114+'Cost Inputs'!$K$114, "")</f>
        <v/>
      </c>
      <c r="K296" s="17" t="str">
        <f t="shared" si="21"/>
        <v/>
      </c>
      <c r="L296" s="525"/>
      <c r="M296" s="525"/>
      <c r="O296" s="17" t="str">
        <f>IF(ISNUMBER('Model_ of_individuals'!O306), 'Model_ of_individuals'!O306*'Model_ of_individuals'!$K306,"")</f>
        <v/>
      </c>
      <c r="P296" s="17" t="str">
        <f>IF(ISNUMBER('Model_ of_individuals'!P306), 'Model_ of_individuals'!P306*'Model_ of_individuals'!$K306,"")</f>
        <v/>
      </c>
      <c r="Q296" s="17" t="str">
        <f>IF(ISNUMBER('Model_ of_individuals'!Q306), 'Model_ of_individuals'!Q306*'Model_ of_individuals'!$K306,"")</f>
        <v/>
      </c>
      <c r="R296" s="17" t="str">
        <f>IF(ISNUMBER('Model_ of_individuals'!R306), 'Model_ of_individuals'!R306*'Model_ of_individuals'!$K306,"")</f>
        <v/>
      </c>
      <c r="S296" s="17" t="str">
        <f>IF(ISNUMBER('Model_ of_individuals'!S306), 'Model_ of_individuals'!S306*'Model_ of_individuals'!$K306,"")</f>
        <v/>
      </c>
      <c r="T296" s="17" t="str">
        <f>IF(ISNUMBER('Model_ of_individuals'!T306), 'Model_ of_individuals'!T306*'Model_ of_individuals'!$K306,"")</f>
        <v/>
      </c>
      <c r="U296" s="17" t="str">
        <f>IF(ISNUMBER('Model_ of_individuals'!U306), 'Model_ of_individuals'!U306*'Model_ of_individuals'!$K306,"")</f>
        <v/>
      </c>
      <c r="V296" s="17" t="str">
        <f>IF(ISNUMBER('Model_ of_individuals'!V306), 'Model_ of_individuals'!V306*'Model_ of_individuals'!$K306,"")</f>
        <v/>
      </c>
      <c r="W296" s="17" t="str">
        <f>IF(ISNUMBER('Model_ of_individuals'!W306), 'Model_ of_individuals'!W306*'Model_ of_individuals'!$K306,"")</f>
        <v/>
      </c>
      <c r="X296" s="17" t="str">
        <f>IF(ISNUMBER('Model_ of_individuals'!X306), 'Model_ of_individuals'!X306*'Model_ of_individuals'!$K306,"")</f>
        <v/>
      </c>
      <c r="Y296" s="17" t="str">
        <f>IF(ISNUMBER('Model_ of_individuals'!Y306), 'Model_ of_individuals'!Y306*'Model_ of_individuals'!$K306,"")</f>
        <v/>
      </c>
      <c r="Z296" s="17" t="str">
        <f>IF(ISNUMBER('Model_ of_individuals'!Z306), 'Model_ of_individuals'!Z306*'Model_ of_individuals'!$K306,"")</f>
        <v/>
      </c>
      <c r="AA296" s="17" t="str">
        <f>IF(ISNUMBER('Model_ of_individuals'!AA306), 'Model_ of_individuals'!AA306*'Model_ of_individuals'!$K306,"")</f>
        <v/>
      </c>
      <c r="AB296" s="17" t="str">
        <f>IF(ISNUMBER('Model_ of_individuals'!AB306), 'Model_ of_individuals'!AB306*'Model_ of_individuals'!$K306,"")</f>
        <v/>
      </c>
      <c r="AC296" s="17" t="str">
        <f>IF(ISNUMBER('Model_ of_individuals'!AC306), 'Model_ of_individuals'!AC306*'Model_ of_individuals'!$K306,"")</f>
        <v/>
      </c>
      <c r="AD296" s="17" t="str">
        <f>IF(ISNUMBER('Model_ of_individuals'!AD306), 'Model_ of_individuals'!AD306*'Model_ of_individuals'!$K306,"")</f>
        <v/>
      </c>
      <c r="AE296" s="17" t="str">
        <f>IF(ISNUMBER('Model_ of_individuals'!AE306), 'Model_ of_individuals'!AE306*'Model_ of_individuals'!$K306,"")</f>
        <v/>
      </c>
      <c r="AF296" s="17" t="str">
        <f>IF(ISNUMBER('Model_ of_individuals'!AF306), 'Model_ of_individuals'!AF306*'Model_ of_individuals'!$K306,"")</f>
        <v/>
      </c>
      <c r="AG296" s="17" t="str">
        <f>IF(ISNUMBER('Model_ of_individuals'!AG306), 'Model_ of_individuals'!AG306*'Model_ of_individuals'!$K306,"")</f>
        <v/>
      </c>
      <c r="AH296" s="17" t="str">
        <f>IF(ISNUMBER('Model_ of_individuals'!AH306), 'Model_ of_individuals'!AH306*'Model_ of_individuals'!$K306,"")</f>
        <v/>
      </c>
      <c r="AI296" s="17" t="str">
        <f>IF(ISNUMBER('Model_ of_individuals'!AI306), 'Model_ of_individuals'!AI306*'Model_ of_individuals'!$K306,"")</f>
        <v/>
      </c>
      <c r="AJ296" s="17" t="str">
        <f>IF(ISNUMBER('Model_ of_individuals'!AJ306), 'Model_ of_individuals'!AJ306*'Model_ of_individuals'!$K306,"")</f>
        <v/>
      </c>
      <c r="AK296" s="17" t="str">
        <f>IF(ISNUMBER('Model_ of_individuals'!AK306), 'Model_ of_individuals'!AK306*'Model_ of_individuals'!$K306,"")</f>
        <v/>
      </c>
      <c r="AL296" s="17" t="str">
        <f>IF(ISNUMBER('Model_ of_individuals'!AL306), 'Model_ of_individuals'!AL306*'Model_ of_individuals'!$K306,"")</f>
        <v/>
      </c>
      <c r="AM296" s="17" t="str">
        <f>IF(ISNUMBER('Model_ of_individuals'!AM306), 'Model_ of_individuals'!AM306*'Model_ of_individuals'!$K306,"")</f>
        <v/>
      </c>
      <c r="AN296" s="17" t="str">
        <f>IF(ISNUMBER('Model_ of_individuals'!AN306), 'Model_ of_individuals'!AN306*'Model_ of_individuals'!$K306,"")</f>
        <v/>
      </c>
      <c r="AO296" s="17" t="str">
        <f>IF(ISNUMBER('Model_ of_individuals'!AO306), 'Model_ of_individuals'!AO306*'Model_ of_individuals'!$K306,"")</f>
        <v/>
      </c>
      <c r="AP296" s="17" t="str">
        <f>IF(ISNUMBER('Model_ of_individuals'!AP306), 'Model_ of_individuals'!AP306*'Model_ of_individuals'!$K306,"")</f>
        <v/>
      </c>
      <c r="AQ296" s="17" t="str">
        <f>IF(ISNUMBER('Model_ of_individuals'!AQ306), 'Model_ of_individuals'!AQ306*'Model_ of_individuals'!$K306,"")</f>
        <v/>
      </c>
      <c r="AR296" s="17" t="str">
        <f>IF(ISNUMBER('Model_ of_individuals'!AR306), 'Model_ of_individuals'!AR306*'Model_ of_individuals'!$K306,"")</f>
        <v/>
      </c>
    </row>
    <row r="297" spans="1:45" x14ac:dyDescent="0.25">
      <c r="A297" s="518"/>
      <c r="B297" s="504"/>
      <c r="C297" s="107" t="str">
        <f>IF(AND(ISNUMBER(B270), OR('Cost Inputs'!$H$115&lt;&gt;"", 'Cost Inputs'!$I$115&lt;&gt;"", 'Cost Inputs'!$J$115&lt;&gt;"")), _4_4_6, "")</f>
        <v/>
      </c>
      <c r="D297" s="93" t="str">
        <f>IF(AND(C297&lt;&gt;"", 'Cost Inputs'!$G$115&lt;&gt;""), 'Cost Inputs'!$G$115, "")</f>
        <v/>
      </c>
      <c r="E297" s="93" t="str">
        <f>IF(AND(C297&lt;&gt;"", 'Cost Inputs'!$H$115&lt;&gt;""), 'Cost Inputs'!$H$115, "")</f>
        <v/>
      </c>
      <c r="F297" s="93" t="str">
        <f>IF(AND(C297&lt;&gt;"", 'Cost Inputs'!$I$115&lt;&gt;""), 'Cost Inputs'!$I$115, "")</f>
        <v/>
      </c>
      <c r="G297" s="108" t="str">
        <f t="shared" si="16"/>
        <v/>
      </c>
      <c r="H297" s="93" t="str">
        <f>IF(AND(C297&lt;&gt;"", 'Cost Inputs'!$J$115&lt;&gt;""), 'Cost Inputs'!$J$115, "")</f>
        <v/>
      </c>
      <c r="I297" s="93" t="str">
        <f t="shared" si="20"/>
        <v/>
      </c>
      <c r="J297" s="93" t="str">
        <f>IF(AND(C297&lt;&gt;"",('Cost Inputs'!$I$115+'Cost Inputs'!$J$115+'Cost Inputs'!$K$115)&gt;0), 'Cost Inputs'!$I$115+'Cost Inputs'!$J$115+'Cost Inputs'!$K$115, "")</f>
        <v/>
      </c>
      <c r="K297" s="93" t="str">
        <f t="shared" si="21"/>
        <v/>
      </c>
      <c r="L297" s="525"/>
      <c r="M297" s="525"/>
      <c r="O297" s="93" t="str">
        <f>IF(ISNUMBER('Model_ of_individuals'!O307), 'Model_ of_individuals'!O307*'Model_ of_individuals'!$K307,"")</f>
        <v/>
      </c>
      <c r="P297" s="93" t="str">
        <f>IF(ISNUMBER('Model_ of_individuals'!P307), 'Model_ of_individuals'!P307*'Model_ of_individuals'!$K307,"")</f>
        <v/>
      </c>
      <c r="Q297" s="93" t="str">
        <f>IF(ISNUMBER('Model_ of_individuals'!Q307), 'Model_ of_individuals'!Q307*'Model_ of_individuals'!$K307,"")</f>
        <v/>
      </c>
      <c r="R297" s="93" t="str">
        <f>IF(ISNUMBER('Model_ of_individuals'!R307), 'Model_ of_individuals'!R307*'Model_ of_individuals'!$K307,"")</f>
        <v/>
      </c>
      <c r="S297" s="93" t="str">
        <f>IF(ISNUMBER('Model_ of_individuals'!S307), 'Model_ of_individuals'!S307*'Model_ of_individuals'!$K307,"")</f>
        <v/>
      </c>
      <c r="T297" s="93" t="str">
        <f>IF(ISNUMBER('Model_ of_individuals'!T307), 'Model_ of_individuals'!T307*'Model_ of_individuals'!$K307,"")</f>
        <v/>
      </c>
      <c r="U297" s="93" t="str">
        <f>IF(ISNUMBER('Model_ of_individuals'!U307), 'Model_ of_individuals'!U307*'Model_ of_individuals'!$K307,"")</f>
        <v/>
      </c>
      <c r="V297" s="93" t="str">
        <f>IF(ISNUMBER('Model_ of_individuals'!V307), 'Model_ of_individuals'!V307*'Model_ of_individuals'!$K307,"")</f>
        <v/>
      </c>
      <c r="W297" s="93" t="str">
        <f>IF(ISNUMBER('Model_ of_individuals'!W307), 'Model_ of_individuals'!W307*'Model_ of_individuals'!$K307,"")</f>
        <v/>
      </c>
      <c r="X297" s="93" t="str">
        <f>IF(ISNUMBER('Model_ of_individuals'!X307), 'Model_ of_individuals'!X307*'Model_ of_individuals'!$K307,"")</f>
        <v/>
      </c>
      <c r="Y297" s="93" t="str">
        <f>IF(ISNUMBER('Model_ of_individuals'!Y307), 'Model_ of_individuals'!Y307*'Model_ of_individuals'!$K307,"")</f>
        <v/>
      </c>
      <c r="Z297" s="93" t="str">
        <f>IF(ISNUMBER('Model_ of_individuals'!Z307), 'Model_ of_individuals'!Z307*'Model_ of_individuals'!$K307,"")</f>
        <v/>
      </c>
      <c r="AA297" s="93" t="str">
        <f>IF(ISNUMBER('Model_ of_individuals'!AA307), 'Model_ of_individuals'!AA307*'Model_ of_individuals'!$K307,"")</f>
        <v/>
      </c>
      <c r="AB297" s="93" t="str">
        <f>IF(ISNUMBER('Model_ of_individuals'!AB307), 'Model_ of_individuals'!AB307*'Model_ of_individuals'!$K307,"")</f>
        <v/>
      </c>
      <c r="AC297" s="93" t="str">
        <f>IF(ISNUMBER('Model_ of_individuals'!AC307), 'Model_ of_individuals'!AC307*'Model_ of_individuals'!$K307,"")</f>
        <v/>
      </c>
      <c r="AD297" s="93" t="str">
        <f>IF(ISNUMBER('Model_ of_individuals'!AD307), 'Model_ of_individuals'!AD307*'Model_ of_individuals'!$K307,"")</f>
        <v/>
      </c>
      <c r="AE297" s="93" t="str">
        <f>IF(ISNUMBER('Model_ of_individuals'!AE307), 'Model_ of_individuals'!AE307*'Model_ of_individuals'!$K307,"")</f>
        <v/>
      </c>
      <c r="AF297" s="93" t="str">
        <f>IF(ISNUMBER('Model_ of_individuals'!AF307), 'Model_ of_individuals'!AF307*'Model_ of_individuals'!$K307,"")</f>
        <v/>
      </c>
      <c r="AG297" s="93" t="str">
        <f>IF(ISNUMBER('Model_ of_individuals'!AG307), 'Model_ of_individuals'!AG307*'Model_ of_individuals'!$K307,"")</f>
        <v/>
      </c>
      <c r="AH297" s="93" t="str">
        <f>IF(ISNUMBER('Model_ of_individuals'!AH307), 'Model_ of_individuals'!AH307*'Model_ of_individuals'!$K307,"")</f>
        <v/>
      </c>
      <c r="AI297" s="93" t="str">
        <f>IF(ISNUMBER('Model_ of_individuals'!AI307), 'Model_ of_individuals'!AI307*'Model_ of_individuals'!$K307,"")</f>
        <v/>
      </c>
      <c r="AJ297" s="93" t="str">
        <f>IF(ISNUMBER('Model_ of_individuals'!AJ307), 'Model_ of_individuals'!AJ307*'Model_ of_individuals'!$K307,"")</f>
        <v/>
      </c>
      <c r="AK297" s="93" t="str">
        <f>IF(ISNUMBER('Model_ of_individuals'!AK307), 'Model_ of_individuals'!AK307*'Model_ of_individuals'!$K307,"")</f>
        <v/>
      </c>
      <c r="AL297" s="93" t="str">
        <f>IF(ISNUMBER('Model_ of_individuals'!AL307), 'Model_ of_individuals'!AL307*'Model_ of_individuals'!$K307,"")</f>
        <v/>
      </c>
      <c r="AM297" s="93" t="str">
        <f>IF(ISNUMBER('Model_ of_individuals'!AM307), 'Model_ of_individuals'!AM307*'Model_ of_individuals'!$K307,"")</f>
        <v/>
      </c>
      <c r="AN297" s="93" t="str">
        <f>IF(ISNUMBER('Model_ of_individuals'!AN307), 'Model_ of_individuals'!AN307*'Model_ of_individuals'!$K307,"")</f>
        <v/>
      </c>
      <c r="AO297" s="93" t="str">
        <f>IF(ISNUMBER('Model_ of_individuals'!AO307), 'Model_ of_individuals'!AO307*'Model_ of_individuals'!$K307,"")</f>
        <v/>
      </c>
      <c r="AP297" s="93" t="str">
        <f>IF(ISNUMBER('Model_ of_individuals'!AP307), 'Model_ of_individuals'!AP307*'Model_ of_individuals'!$K307,"")</f>
        <v/>
      </c>
      <c r="AQ297" s="93" t="str">
        <f>IF(ISNUMBER('Model_ of_individuals'!AQ307), 'Model_ of_individuals'!AQ307*'Model_ of_individuals'!$K307,"")</f>
        <v/>
      </c>
      <c r="AR297" s="93" t="str">
        <f>IF(ISNUMBER('Model_ of_individuals'!AR307), 'Model_ of_individuals'!AR307*'Model_ of_individuals'!$K307,"")</f>
        <v/>
      </c>
    </row>
    <row r="298" spans="1:45" x14ac:dyDescent="0.25">
      <c r="A298" s="518"/>
      <c r="B298" s="504"/>
      <c r="C298" s="521" t="str">
        <f>IF(AND(B270&lt;&gt;"", ISNUMBER(B270), ISNUMBER(Stage2EvaluationBegins)), IF((INDEX(ProgramYearStage2,MATCH(Stage2EvaluationBegins,Years_in_Stage2,0)))=B270, _5_5_0, IF(AND(B270&lt;&gt;"", ISNUMBER(B270), OR(Stage2EvaluationBegins=0, Stage2EvaluationBegins="")),"", "")),"")</f>
        <v/>
      </c>
      <c r="D298" s="94" t="str">
        <f>IF(AND(C298&lt;&gt;"", 'Cost Inputs'!$G$116&lt;&gt;""), 'Cost Inputs'!$G$116, "")</f>
        <v/>
      </c>
      <c r="E298" s="94" t="str">
        <f>IF(AND(C298&lt;&gt;"", 'Cost Inputs'!$H$116&lt;&gt;""), 'Cost Inputs'!$H$116, "")</f>
        <v/>
      </c>
      <c r="F298" s="492" t="str">
        <f>IF(AND(C298&lt;&gt;"", 'Cost Inputs'!$I$116&lt;&gt;""), 'Cost Inputs'!$I$116, "")</f>
        <v/>
      </c>
      <c r="G298" s="102" t="str">
        <f t="shared" si="16"/>
        <v/>
      </c>
      <c r="H298" s="492" t="str">
        <f>IF(AND(C298&lt;&gt;"", 'Cost Inputs'!$J$116&lt;&gt;""), 'Cost Inputs'!$J$116, "")</f>
        <v/>
      </c>
      <c r="I298" s="102" t="str">
        <f>IF($C298&lt;&gt;"", IF(AND($E298&lt;&gt;"", H298&lt;&gt;""), H298/$E298, 0),"")</f>
        <v/>
      </c>
      <c r="J298" s="492" t="str">
        <f>IF(AND(C298&lt;&gt;"",('Cost Inputs'!$I$116+'Cost Inputs'!$J$116+'Cost Inputs'!$K$116)&gt;0), 'Cost Inputs'!$I$116+'Cost Inputs'!$J$116+'Cost Inputs'!$K$116, "")</f>
        <v/>
      </c>
      <c r="K298" s="102" t="str">
        <f>IF($C298&lt;&gt;"",IF(AND($E298&lt;&gt;"",J298&lt;&gt;""), J298/$E298, 0),"")</f>
        <v/>
      </c>
      <c r="L298" s="525"/>
      <c r="M298" s="525"/>
      <c r="O298" s="496" t="str">
        <f>IF(ISNUMBER('Model_ of_individuals'!O309), 'Model_ of_individuals'!O309*'Model_ of_individuals'!$K309,"")</f>
        <v/>
      </c>
      <c r="P298" s="496" t="str">
        <f>IF(ISNUMBER('Model_ of_individuals'!P309), 'Model_ of_individuals'!P309*'Model_ of_individuals'!$K309,"")</f>
        <v/>
      </c>
      <c r="Q298" s="496" t="str">
        <f>IF(ISNUMBER('Model_ of_individuals'!Q309), 'Model_ of_individuals'!Q309*'Model_ of_individuals'!$K309,"")</f>
        <v/>
      </c>
      <c r="R298" s="496" t="str">
        <f>IF(ISNUMBER('Model_ of_individuals'!R309), 'Model_ of_individuals'!R309*'Model_ of_individuals'!$K309,"")</f>
        <v/>
      </c>
      <c r="S298" s="496" t="str">
        <f>IF(ISNUMBER('Model_ of_individuals'!S309), 'Model_ of_individuals'!S309*'Model_ of_individuals'!$K309,"")</f>
        <v/>
      </c>
      <c r="T298" s="496" t="str">
        <f>IF(ISNUMBER('Model_ of_individuals'!T309), 'Model_ of_individuals'!T309*'Model_ of_individuals'!$K309,"")</f>
        <v/>
      </c>
      <c r="U298" s="496" t="str">
        <f>IF(ISNUMBER('Model_ of_individuals'!U309), 'Model_ of_individuals'!U309*'Model_ of_individuals'!$K309,"")</f>
        <v/>
      </c>
      <c r="V298" s="496" t="str">
        <f>IF(ISNUMBER('Model_ of_individuals'!V309), 'Model_ of_individuals'!V309*'Model_ of_individuals'!$K309,"")</f>
        <v/>
      </c>
      <c r="W298" s="496" t="str">
        <f>IF(ISNUMBER('Model_ of_individuals'!W309), 'Model_ of_individuals'!W309*'Model_ of_individuals'!$K309,"")</f>
        <v/>
      </c>
      <c r="X298" s="496" t="str">
        <f>IF(ISNUMBER('Model_ of_individuals'!X309), 'Model_ of_individuals'!X309*'Model_ of_individuals'!$K309,"")</f>
        <v/>
      </c>
      <c r="Y298" s="496" t="str">
        <f>IF(ISNUMBER('Model_ of_individuals'!Y309), 'Model_ of_individuals'!Y309*'Model_ of_individuals'!$K309,"")</f>
        <v/>
      </c>
      <c r="Z298" s="496" t="str">
        <f>IF(ISNUMBER('Model_ of_individuals'!Z309), 'Model_ of_individuals'!Z309*'Model_ of_individuals'!$K309,"")</f>
        <v/>
      </c>
      <c r="AA298" s="496" t="str">
        <f>IF(ISNUMBER('Model_ of_individuals'!AA309), 'Model_ of_individuals'!AA309*'Model_ of_individuals'!$K309,"")</f>
        <v/>
      </c>
      <c r="AB298" s="496" t="str">
        <f>IF(ISNUMBER('Model_ of_individuals'!AB309), 'Model_ of_individuals'!AB309*'Model_ of_individuals'!$K309,"")</f>
        <v/>
      </c>
      <c r="AC298" s="496" t="str">
        <f>IF(ISNUMBER('Model_ of_individuals'!AC309), 'Model_ of_individuals'!AC309*'Model_ of_individuals'!$K309,"")</f>
        <v/>
      </c>
      <c r="AD298" s="496" t="str">
        <f>IF(ISNUMBER('Model_ of_individuals'!AD309), 'Model_ of_individuals'!AD309*'Model_ of_individuals'!$K309,"")</f>
        <v/>
      </c>
      <c r="AE298" s="496" t="str">
        <f>IF(ISNUMBER('Model_ of_individuals'!AE309), 'Model_ of_individuals'!AE309*'Model_ of_individuals'!$K309,"")</f>
        <v/>
      </c>
      <c r="AF298" s="496" t="str">
        <f>IF(ISNUMBER('Model_ of_individuals'!AF309), 'Model_ of_individuals'!AF309*'Model_ of_individuals'!$K309,"")</f>
        <v/>
      </c>
      <c r="AG298" s="496" t="str">
        <f>IF(ISNUMBER('Model_ of_individuals'!AG309), 'Model_ of_individuals'!AG309*'Model_ of_individuals'!$K309,"")</f>
        <v/>
      </c>
      <c r="AH298" s="496" t="str">
        <f>IF(ISNUMBER('Model_ of_individuals'!AH309), 'Model_ of_individuals'!AH309*'Model_ of_individuals'!$K309,"")</f>
        <v/>
      </c>
      <c r="AI298" s="496" t="str">
        <f>IF(ISNUMBER('Model_ of_individuals'!AI309), 'Model_ of_individuals'!AI309*'Model_ of_individuals'!$K309,"")</f>
        <v/>
      </c>
      <c r="AJ298" s="496" t="str">
        <f>IF(ISNUMBER('Model_ of_individuals'!AJ309), 'Model_ of_individuals'!AJ309*'Model_ of_individuals'!$K309,"")</f>
        <v/>
      </c>
      <c r="AK298" s="496" t="str">
        <f>IF(ISNUMBER('Model_ of_individuals'!AK309), 'Model_ of_individuals'!AK309*'Model_ of_individuals'!$K309,"")</f>
        <v/>
      </c>
      <c r="AL298" s="496" t="str">
        <f>IF(ISNUMBER('Model_ of_individuals'!AL309), 'Model_ of_individuals'!AL309*'Model_ of_individuals'!$K309,"")</f>
        <v/>
      </c>
      <c r="AM298" s="496" t="str">
        <f>IF(ISNUMBER('Model_ of_individuals'!AM309), 'Model_ of_individuals'!AM309*'Model_ of_individuals'!$K309,"")</f>
        <v/>
      </c>
      <c r="AN298" s="496" t="str">
        <f>IF(ISNUMBER('Model_ of_individuals'!AN309), 'Model_ of_individuals'!AN309*'Model_ of_individuals'!$K309,"")</f>
        <v/>
      </c>
      <c r="AO298" s="496" t="str">
        <f>IF(ISNUMBER('Model_ of_individuals'!AO309), 'Model_ of_individuals'!AO309*'Model_ of_individuals'!$K309,"")</f>
        <v/>
      </c>
      <c r="AP298" s="496" t="str">
        <f>IF(ISNUMBER('Model_ of_individuals'!AP309), 'Model_ of_individuals'!AP309*'Model_ of_individuals'!$K309,"")</f>
        <v/>
      </c>
      <c r="AQ298" s="496" t="str">
        <f>IF(ISNUMBER('Model_ of_individuals'!AQ309), 'Model_ of_individuals'!AQ309*'Model_ of_individuals'!$K309,"")</f>
        <v/>
      </c>
      <c r="AR298" s="496" t="str">
        <f>IF(ISNUMBER('Model_ of_individuals'!AR309), 'Model_ of_individuals'!AR309*'Model_ of_individuals'!$K309,"")</f>
        <v/>
      </c>
      <c r="AS298" s="528"/>
    </row>
    <row r="299" spans="1:45" x14ac:dyDescent="0.25">
      <c r="A299" s="518"/>
      <c r="B299" s="504"/>
      <c r="C299" s="521"/>
      <c r="D299" s="94" t="str">
        <f>IF(AND(C298&lt;&gt;"", 'Cost Inputs'!$G$117&lt;&gt;""), 'Cost Inputs'!$G$117, "")</f>
        <v/>
      </c>
      <c r="E299" s="94" t="str">
        <f>IF(AND(C298&lt;&gt;"", 'Cost Inputs'!$H$117&lt;&gt;""), 'Cost Inputs'!$H$117, "")</f>
        <v/>
      </c>
      <c r="F299" s="492"/>
      <c r="G299" s="102" t="str">
        <f t="shared" si="16"/>
        <v/>
      </c>
      <c r="H299" s="492"/>
      <c r="I299" s="102" t="str">
        <f>IF($C298&lt;&gt;"", IF(AND($E299&lt;&gt;"", H298&lt;&gt;""), H298/($E298*$E299), 0), "")</f>
        <v/>
      </c>
      <c r="J299" s="492" t="str">
        <f>IF(AND(C299&lt;&gt;"",('Cost Inputs'!$I$86+'Cost Inputs'!$J$86+'Cost Inputs'!$K$86)&gt;0), 'Cost Inputs'!$I$86+'Cost Inputs'!$J$86+'Cost Inputs'!$K$86, "")</f>
        <v/>
      </c>
      <c r="K299" s="102" t="str">
        <f>IF($C298&lt;&gt;"", IF(AND($E299&lt;&gt;"", J298&lt;&gt;""), J298/($E298*$E299), 0), "")</f>
        <v/>
      </c>
      <c r="L299" s="525"/>
      <c r="M299" s="525"/>
      <c r="N299" s="137"/>
      <c r="O299" s="496" t="str">
        <f>IF(ISNUMBER('Model_ of_individuals'!O310), 'Model_ of_individuals'!O310*'Model_ of_individuals'!$K310,"")</f>
        <v/>
      </c>
      <c r="P299" s="496" t="str">
        <f>IF(ISNUMBER('Model_ of_individuals'!P310), 'Model_ of_individuals'!P310*'Model_ of_individuals'!$K310,"")</f>
        <v/>
      </c>
      <c r="Q299" s="496" t="str">
        <f>IF(ISNUMBER('Model_ of_individuals'!Q310), 'Model_ of_individuals'!Q310*'Model_ of_individuals'!$K310,"")</f>
        <v/>
      </c>
      <c r="R299" s="496" t="str">
        <f>IF(ISNUMBER('Model_ of_individuals'!R310), 'Model_ of_individuals'!R310*'Model_ of_individuals'!$K310,"")</f>
        <v/>
      </c>
      <c r="S299" s="496" t="str">
        <f>IF(ISNUMBER('Model_ of_individuals'!S310), 'Model_ of_individuals'!S310*'Model_ of_individuals'!$K310,"")</f>
        <v/>
      </c>
      <c r="T299" s="496" t="str">
        <f>IF(ISNUMBER('Model_ of_individuals'!T310), 'Model_ of_individuals'!T310*'Model_ of_individuals'!$K310,"")</f>
        <v/>
      </c>
      <c r="U299" s="496" t="str">
        <f>IF(ISNUMBER('Model_ of_individuals'!U310), 'Model_ of_individuals'!U310*'Model_ of_individuals'!$K310,"")</f>
        <v/>
      </c>
      <c r="V299" s="496" t="str">
        <f>IF(ISNUMBER('Model_ of_individuals'!V310), 'Model_ of_individuals'!V310*'Model_ of_individuals'!$K310,"")</f>
        <v/>
      </c>
      <c r="W299" s="496" t="str">
        <f>IF(ISNUMBER('Model_ of_individuals'!W310), 'Model_ of_individuals'!W310*'Model_ of_individuals'!$K310,"")</f>
        <v/>
      </c>
      <c r="X299" s="496" t="str">
        <f>IF(ISNUMBER('Model_ of_individuals'!X310), 'Model_ of_individuals'!X310*'Model_ of_individuals'!$K310,"")</f>
        <v/>
      </c>
      <c r="Y299" s="496" t="str">
        <f>IF(ISNUMBER('Model_ of_individuals'!Y310), 'Model_ of_individuals'!Y310*'Model_ of_individuals'!$K310,"")</f>
        <v/>
      </c>
      <c r="Z299" s="496" t="str">
        <f>IF(ISNUMBER('Model_ of_individuals'!Z310), 'Model_ of_individuals'!Z310*'Model_ of_individuals'!$K310,"")</f>
        <v/>
      </c>
      <c r="AA299" s="496" t="str">
        <f>IF(ISNUMBER('Model_ of_individuals'!AA310), 'Model_ of_individuals'!AA310*'Model_ of_individuals'!$K310,"")</f>
        <v/>
      </c>
      <c r="AB299" s="496" t="str">
        <f>IF(ISNUMBER('Model_ of_individuals'!AB310), 'Model_ of_individuals'!AB310*'Model_ of_individuals'!$K310,"")</f>
        <v/>
      </c>
      <c r="AC299" s="496" t="str">
        <f>IF(ISNUMBER('Model_ of_individuals'!AC310), 'Model_ of_individuals'!AC310*'Model_ of_individuals'!$K310,"")</f>
        <v/>
      </c>
      <c r="AD299" s="496" t="str">
        <f>IF(ISNUMBER('Model_ of_individuals'!AD310), 'Model_ of_individuals'!AD310*'Model_ of_individuals'!$K310,"")</f>
        <v/>
      </c>
      <c r="AE299" s="496" t="str">
        <f>IF(ISNUMBER('Model_ of_individuals'!AE310), 'Model_ of_individuals'!AE310*'Model_ of_individuals'!$K310,"")</f>
        <v/>
      </c>
      <c r="AF299" s="496" t="str">
        <f>IF(ISNUMBER('Model_ of_individuals'!AF310), 'Model_ of_individuals'!AF310*'Model_ of_individuals'!$K310,"")</f>
        <v/>
      </c>
      <c r="AG299" s="496" t="str">
        <f>IF(ISNUMBER('Model_ of_individuals'!AG310), 'Model_ of_individuals'!AG310*'Model_ of_individuals'!$K310,"")</f>
        <v/>
      </c>
      <c r="AH299" s="496" t="str">
        <f>IF(ISNUMBER('Model_ of_individuals'!AH310), 'Model_ of_individuals'!AH310*'Model_ of_individuals'!$K310,"")</f>
        <v/>
      </c>
      <c r="AI299" s="496" t="str">
        <f>IF(ISNUMBER('Model_ of_individuals'!AI310), 'Model_ of_individuals'!AI310*'Model_ of_individuals'!$K310,"")</f>
        <v/>
      </c>
      <c r="AJ299" s="496" t="str">
        <f>IF(ISNUMBER('Model_ of_individuals'!AJ310), 'Model_ of_individuals'!AJ310*'Model_ of_individuals'!$K310,"")</f>
        <v/>
      </c>
      <c r="AK299" s="496" t="str">
        <f>IF(ISNUMBER('Model_ of_individuals'!AK310), 'Model_ of_individuals'!AK310*'Model_ of_individuals'!$K310,"")</f>
        <v/>
      </c>
      <c r="AL299" s="496" t="str">
        <f>IF(ISNUMBER('Model_ of_individuals'!AL310), 'Model_ of_individuals'!AL310*'Model_ of_individuals'!$K310,"")</f>
        <v/>
      </c>
      <c r="AM299" s="496" t="str">
        <f>IF(ISNUMBER('Model_ of_individuals'!AM310), 'Model_ of_individuals'!AM310*'Model_ of_individuals'!$K310,"")</f>
        <v/>
      </c>
      <c r="AN299" s="496" t="str">
        <f>IF(ISNUMBER('Model_ of_individuals'!AN310), 'Model_ of_individuals'!AN310*'Model_ of_individuals'!$K310,"")</f>
        <v/>
      </c>
      <c r="AO299" s="496" t="str">
        <f>IF(ISNUMBER('Model_ of_individuals'!AO310), 'Model_ of_individuals'!AO310*'Model_ of_individuals'!$K310,"")</f>
        <v/>
      </c>
      <c r="AP299" s="496" t="str">
        <f>IF(ISNUMBER('Model_ of_individuals'!AP310), 'Model_ of_individuals'!AP310*'Model_ of_individuals'!$K310,"")</f>
        <v/>
      </c>
      <c r="AQ299" s="496" t="str">
        <f>IF(ISNUMBER('Model_ of_individuals'!AQ310), 'Model_ of_individuals'!AQ310*'Model_ of_individuals'!$K310,"")</f>
        <v/>
      </c>
      <c r="AR299" s="496" t="str">
        <f>IF(ISNUMBER('Model_ of_individuals'!AR310), 'Model_ of_individuals'!AR310*'Model_ of_individuals'!$K310,"")</f>
        <v/>
      </c>
      <c r="AS299" s="528"/>
    </row>
    <row r="300" spans="1:45" x14ac:dyDescent="0.25">
      <c r="A300" s="518"/>
      <c r="B300" s="504"/>
      <c r="C300" s="376" t="str">
        <f>IF(AND(ISNUMBER(B270), C298&lt;&gt;"", OR('Cost Inputs'!$H$118&lt;&gt;"", 'Cost Inputs'!$I$118&lt;&gt;"", 'Cost Inputs'!$J$118&lt;&gt;"")), _4_5_1, "")</f>
        <v/>
      </c>
      <c r="D300" s="17" t="str">
        <f>IF(AND(C300&lt;&gt;"", 'Cost Inputs'!$G$118&lt;&gt;""), 'Cost Inputs'!$G$118, "")</f>
        <v/>
      </c>
      <c r="E300" s="17" t="str">
        <f>IF(AND(C300&lt;&gt;"", 'Cost Inputs'!$H$118&lt;&gt;""), 'Cost Inputs'!$H$118, "")</f>
        <v/>
      </c>
      <c r="F300" s="493" t="str">
        <f>IF(AND(C300&lt;&gt;"", 'Cost Inputs'!$I$118&lt;&gt;""), 'Cost Inputs'!$I$118, "")</f>
        <v/>
      </c>
      <c r="G300" s="105" t="str">
        <f t="shared" si="16"/>
        <v/>
      </c>
      <c r="H300" s="493" t="str">
        <f>IF(AND(C300&lt;&gt;"", 'Cost Inputs'!$J$118&lt;&gt;""), 'Cost Inputs'!$J$118, "")</f>
        <v/>
      </c>
      <c r="I300" s="105" t="str">
        <f>IF($C300&lt;&gt;"", IF(AND($E300&lt;&gt;"", H300&lt;&gt;""), H300/$E300, 0),"")</f>
        <v/>
      </c>
      <c r="J300" s="493" t="str">
        <f>IF(AND(C300&lt;&gt;"",('Cost Inputs'!$I$118+'Cost Inputs'!$J$118+'Cost Inputs'!$K$118)&gt;0), 'Cost Inputs'!$I$118+'Cost Inputs'!$J$118+'Cost Inputs'!$K$118, "")</f>
        <v/>
      </c>
      <c r="K300" s="105" t="str">
        <f>IF($C300&lt;&gt;"",IF(AND($E300&lt;&gt;"",J300&lt;&gt;""), J300/$E300, 0),"")</f>
        <v/>
      </c>
      <c r="L300" s="525"/>
      <c r="M300" s="525"/>
      <c r="O300" s="497" t="str">
        <f>IF(ISNUMBER('Model_ of_individuals'!O311), 'Model_ of_individuals'!O311*'Model_ of_individuals'!$K311,"")</f>
        <v/>
      </c>
      <c r="P300" s="497" t="str">
        <f>IF(ISNUMBER('Model_ of_individuals'!P311), 'Model_ of_individuals'!P311*'Model_ of_individuals'!$K311,"")</f>
        <v/>
      </c>
      <c r="Q300" s="497" t="str">
        <f>IF(ISNUMBER('Model_ of_individuals'!Q311), 'Model_ of_individuals'!Q311*'Model_ of_individuals'!$K311,"")</f>
        <v/>
      </c>
      <c r="R300" s="497" t="str">
        <f>IF(ISNUMBER('Model_ of_individuals'!R311), 'Model_ of_individuals'!R311*'Model_ of_individuals'!$K311,"")</f>
        <v/>
      </c>
      <c r="S300" s="497" t="str">
        <f>IF(ISNUMBER('Model_ of_individuals'!S311), 'Model_ of_individuals'!S311*'Model_ of_individuals'!$K311,"")</f>
        <v/>
      </c>
      <c r="T300" s="497" t="str">
        <f>IF(ISNUMBER('Model_ of_individuals'!T311), 'Model_ of_individuals'!T311*'Model_ of_individuals'!$K311,"")</f>
        <v/>
      </c>
      <c r="U300" s="497" t="str">
        <f>IF(ISNUMBER('Model_ of_individuals'!U311), 'Model_ of_individuals'!U311*'Model_ of_individuals'!$K311,"")</f>
        <v/>
      </c>
      <c r="V300" s="497" t="str">
        <f>IF(ISNUMBER('Model_ of_individuals'!V311), 'Model_ of_individuals'!V311*'Model_ of_individuals'!$K311,"")</f>
        <v/>
      </c>
      <c r="W300" s="497" t="str">
        <f>IF(ISNUMBER('Model_ of_individuals'!W311), 'Model_ of_individuals'!W311*'Model_ of_individuals'!$K311,"")</f>
        <v/>
      </c>
      <c r="X300" s="497" t="str">
        <f>IF(ISNUMBER('Model_ of_individuals'!X311), 'Model_ of_individuals'!X311*'Model_ of_individuals'!$K311,"")</f>
        <v/>
      </c>
      <c r="Y300" s="497" t="str">
        <f>IF(ISNUMBER('Model_ of_individuals'!Y311), 'Model_ of_individuals'!Y311*'Model_ of_individuals'!$K311,"")</f>
        <v/>
      </c>
      <c r="Z300" s="497" t="str">
        <f>IF(ISNUMBER('Model_ of_individuals'!Z311), 'Model_ of_individuals'!Z311*'Model_ of_individuals'!$K311,"")</f>
        <v/>
      </c>
      <c r="AA300" s="497" t="str">
        <f>IF(ISNUMBER('Model_ of_individuals'!AA311), 'Model_ of_individuals'!AA311*'Model_ of_individuals'!$K311,"")</f>
        <v/>
      </c>
      <c r="AB300" s="497" t="str">
        <f>IF(ISNUMBER('Model_ of_individuals'!AB311), 'Model_ of_individuals'!AB311*'Model_ of_individuals'!$K311,"")</f>
        <v/>
      </c>
      <c r="AC300" s="497" t="str">
        <f>IF(ISNUMBER('Model_ of_individuals'!AC311), 'Model_ of_individuals'!AC311*'Model_ of_individuals'!$K311,"")</f>
        <v/>
      </c>
      <c r="AD300" s="497" t="str">
        <f>IF(ISNUMBER('Model_ of_individuals'!AD311), 'Model_ of_individuals'!AD311*'Model_ of_individuals'!$K311,"")</f>
        <v/>
      </c>
      <c r="AE300" s="497" t="str">
        <f>IF(ISNUMBER('Model_ of_individuals'!AE311), 'Model_ of_individuals'!AE311*'Model_ of_individuals'!$K311,"")</f>
        <v/>
      </c>
      <c r="AF300" s="497" t="str">
        <f>IF(ISNUMBER('Model_ of_individuals'!AF311), 'Model_ of_individuals'!AF311*'Model_ of_individuals'!$K311,"")</f>
        <v/>
      </c>
      <c r="AG300" s="497" t="str">
        <f>IF(ISNUMBER('Model_ of_individuals'!AG311), 'Model_ of_individuals'!AG311*'Model_ of_individuals'!$K311,"")</f>
        <v/>
      </c>
      <c r="AH300" s="497" t="str">
        <f>IF(ISNUMBER('Model_ of_individuals'!AH311), 'Model_ of_individuals'!AH311*'Model_ of_individuals'!$K311,"")</f>
        <v/>
      </c>
      <c r="AI300" s="497" t="str">
        <f>IF(ISNUMBER('Model_ of_individuals'!AI311), 'Model_ of_individuals'!AI311*'Model_ of_individuals'!$K311,"")</f>
        <v/>
      </c>
      <c r="AJ300" s="497" t="str">
        <f>IF(ISNUMBER('Model_ of_individuals'!AJ311), 'Model_ of_individuals'!AJ311*'Model_ of_individuals'!$K311,"")</f>
        <v/>
      </c>
      <c r="AK300" s="497" t="str">
        <f>IF(ISNUMBER('Model_ of_individuals'!AK311), 'Model_ of_individuals'!AK311*'Model_ of_individuals'!$K311,"")</f>
        <v/>
      </c>
      <c r="AL300" s="497" t="str">
        <f>IF(ISNUMBER('Model_ of_individuals'!AL311), 'Model_ of_individuals'!AL311*'Model_ of_individuals'!$K311,"")</f>
        <v/>
      </c>
      <c r="AM300" s="497" t="str">
        <f>IF(ISNUMBER('Model_ of_individuals'!AM311), 'Model_ of_individuals'!AM311*'Model_ of_individuals'!$K311,"")</f>
        <v/>
      </c>
      <c r="AN300" s="497" t="str">
        <f>IF(ISNUMBER('Model_ of_individuals'!AN311), 'Model_ of_individuals'!AN311*'Model_ of_individuals'!$K311,"")</f>
        <v/>
      </c>
      <c r="AO300" s="497" t="str">
        <f>IF(ISNUMBER('Model_ of_individuals'!AO311), 'Model_ of_individuals'!AO311*'Model_ of_individuals'!$K311,"")</f>
        <v/>
      </c>
      <c r="AP300" s="497" t="str">
        <f>IF(ISNUMBER('Model_ of_individuals'!AP311), 'Model_ of_individuals'!AP311*'Model_ of_individuals'!$K311,"")</f>
        <v/>
      </c>
      <c r="AQ300" s="497" t="str">
        <f>IF(ISNUMBER('Model_ of_individuals'!AQ311), 'Model_ of_individuals'!AQ311*'Model_ of_individuals'!$K311,"")</f>
        <v/>
      </c>
      <c r="AR300" s="497" t="str">
        <f>IF(ISNUMBER('Model_ of_individuals'!AR311), 'Model_ of_individuals'!AR311*'Model_ of_individuals'!$K311,"")</f>
        <v/>
      </c>
    </row>
    <row r="301" spans="1:45" x14ac:dyDescent="0.25">
      <c r="A301" s="518"/>
      <c r="B301" s="504"/>
      <c r="C301" s="376" t="str">
        <f>IF(AND(ISNUMBER(B283), OR('Cost Inputs'!$H$85&lt;&gt;"", 'Cost Inputs'!$I$85&lt;&gt;"", 'Cost Inputs'!$J$85&lt;&gt;"")), _3_5_1, "")</f>
        <v/>
      </c>
      <c r="D301" s="17" t="str">
        <f>IF(AND(C300&lt;&gt;"", 'Cost Inputs'!$G$119&lt;&gt;""), 'Cost Inputs'!$G$119, "")</f>
        <v/>
      </c>
      <c r="E301" s="17" t="str">
        <f>IF(AND(C300&lt;&gt;"", 'Cost Inputs'!$H$119&lt;&gt;""), 'Cost Inputs'!$H$119, "")</f>
        <v/>
      </c>
      <c r="F301" s="493"/>
      <c r="G301" s="105" t="str">
        <f t="shared" si="16"/>
        <v/>
      </c>
      <c r="H301" s="493"/>
      <c r="I301" s="105" t="str">
        <f>IF($C300&lt;&gt;"", IF(AND($E301&lt;&gt;"", H300&lt;&gt;""), H300/($E300*$E301), 0), "")</f>
        <v/>
      </c>
      <c r="J301" s="493" t="str">
        <f>IF(AND(C301&lt;&gt;"",('Cost Inputs'!$I$86+'Cost Inputs'!$J$86+'Cost Inputs'!$K$86)&gt;0), 'Cost Inputs'!$I$86+'Cost Inputs'!$J$86+'Cost Inputs'!$K$86, "")</f>
        <v/>
      </c>
      <c r="K301" s="105" t="str">
        <f>IF($C300&lt;&gt;"", IF(AND($E301&lt;&gt;"", J300&lt;&gt;""), J300/($E300*$E301), 0), "")</f>
        <v/>
      </c>
      <c r="L301" s="525"/>
      <c r="M301" s="525"/>
      <c r="O301" s="497" t="str">
        <f>IF(ISNUMBER('Model_ of_individuals'!O312), 'Model_ of_individuals'!O312*'Model_ of_individuals'!$K312,"")</f>
        <v/>
      </c>
      <c r="P301" s="497" t="str">
        <f>IF(ISNUMBER('Model_ of_individuals'!P312), 'Model_ of_individuals'!P312*'Model_ of_individuals'!$K312,"")</f>
        <v/>
      </c>
      <c r="Q301" s="497" t="str">
        <f>IF(ISNUMBER('Model_ of_individuals'!Q312), 'Model_ of_individuals'!Q312*'Model_ of_individuals'!$K312,"")</f>
        <v/>
      </c>
      <c r="R301" s="497" t="str">
        <f>IF(ISNUMBER('Model_ of_individuals'!R312), 'Model_ of_individuals'!R312*'Model_ of_individuals'!$K312,"")</f>
        <v/>
      </c>
      <c r="S301" s="497" t="str">
        <f>IF(ISNUMBER('Model_ of_individuals'!S312), 'Model_ of_individuals'!S312*'Model_ of_individuals'!$K312,"")</f>
        <v/>
      </c>
      <c r="T301" s="497" t="str">
        <f>IF(ISNUMBER('Model_ of_individuals'!T312), 'Model_ of_individuals'!T312*'Model_ of_individuals'!$K312,"")</f>
        <v/>
      </c>
      <c r="U301" s="497" t="str">
        <f>IF(ISNUMBER('Model_ of_individuals'!U312), 'Model_ of_individuals'!U312*'Model_ of_individuals'!$K312,"")</f>
        <v/>
      </c>
      <c r="V301" s="497" t="str">
        <f>IF(ISNUMBER('Model_ of_individuals'!V312), 'Model_ of_individuals'!V312*'Model_ of_individuals'!$K312,"")</f>
        <v/>
      </c>
      <c r="W301" s="497" t="str">
        <f>IF(ISNUMBER('Model_ of_individuals'!W312), 'Model_ of_individuals'!W312*'Model_ of_individuals'!$K312,"")</f>
        <v/>
      </c>
      <c r="X301" s="497" t="str">
        <f>IF(ISNUMBER('Model_ of_individuals'!X312), 'Model_ of_individuals'!X312*'Model_ of_individuals'!$K312,"")</f>
        <v/>
      </c>
      <c r="Y301" s="497" t="str">
        <f>IF(ISNUMBER('Model_ of_individuals'!Y312), 'Model_ of_individuals'!Y312*'Model_ of_individuals'!$K312,"")</f>
        <v/>
      </c>
      <c r="Z301" s="497" t="str">
        <f>IF(ISNUMBER('Model_ of_individuals'!Z312), 'Model_ of_individuals'!Z312*'Model_ of_individuals'!$K312,"")</f>
        <v/>
      </c>
      <c r="AA301" s="497" t="str">
        <f>IF(ISNUMBER('Model_ of_individuals'!AA312), 'Model_ of_individuals'!AA312*'Model_ of_individuals'!$K312,"")</f>
        <v/>
      </c>
      <c r="AB301" s="497" t="str">
        <f>IF(ISNUMBER('Model_ of_individuals'!AB312), 'Model_ of_individuals'!AB312*'Model_ of_individuals'!$K312,"")</f>
        <v/>
      </c>
      <c r="AC301" s="497" t="str">
        <f>IF(ISNUMBER('Model_ of_individuals'!AC312), 'Model_ of_individuals'!AC312*'Model_ of_individuals'!$K312,"")</f>
        <v/>
      </c>
      <c r="AD301" s="497" t="str">
        <f>IF(ISNUMBER('Model_ of_individuals'!AD312), 'Model_ of_individuals'!AD312*'Model_ of_individuals'!$K312,"")</f>
        <v/>
      </c>
      <c r="AE301" s="497" t="str">
        <f>IF(ISNUMBER('Model_ of_individuals'!AE312), 'Model_ of_individuals'!AE312*'Model_ of_individuals'!$K312,"")</f>
        <v/>
      </c>
      <c r="AF301" s="497" t="str">
        <f>IF(ISNUMBER('Model_ of_individuals'!AF312), 'Model_ of_individuals'!AF312*'Model_ of_individuals'!$K312,"")</f>
        <v/>
      </c>
      <c r="AG301" s="497" t="str">
        <f>IF(ISNUMBER('Model_ of_individuals'!AG312), 'Model_ of_individuals'!AG312*'Model_ of_individuals'!$K312,"")</f>
        <v/>
      </c>
      <c r="AH301" s="497" t="str">
        <f>IF(ISNUMBER('Model_ of_individuals'!AH312), 'Model_ of_individuals'!AH312*'Model_ of_individuals'!$K312,"")</f>
        <v/>
      </c>
      <c r="AI301" s="497" t="str">
        <f>IF(ISNUMBER('Model_ of_individuals'!AI312), 'Model_ of_individuals'!AI312*'Model_ of_individuals'!$K312,"")</f>
        <v/>
      </c>
      <c r="AJ301" s="497" t="str">
        <f>IF(ISNUMBER('Model_ of_individuals'!AJ312), 'Model_ of_individuals'!AJ312*'Model_ of_individuals'!$K312,"")</f>
        <v/>
      </c>
      <c r="AK301" s="497" t="str">
        <f>IF(ISNUMBER('Model_ of_individuals'!AK312), 'Model_ of_individuals'!AK312*'Model_ of_individuals'!$K312,"")</f>
        <v/>
      </c>
      <c r="AL301" s="497" t="str">
        <f>IF(ISNUMBER('Model_ of_individuals'!AL312), 'Model_ of_individuals'!AL312*'Model_ of_individuals'!$K312,"")</f>
        <v/>
      </c>
      <c r="AM301" s="497" t="str">
        <f>IF(ISNUMBER('Model_ of_individuals'!AM312), 'Model_ of_individuals'!AM312*'Model_ of_individuals'!$K312,"")</f>
        <v/>
      </c>
      <c r="AN301" s="497" t="str">
        <f>IF(ISNUMBER('Model_ of_individuals'!AN312), 'Model_ of_individuals'!AN312*'Model_ of_individuals'!$K312,"")</f>
        <v/>
      </c>
      <c r="AO301" s="497" t="str">
        <f>IF(ISNUMBER('Model_ of_individuals'!AO312), 'Model_ of_individuals'!AO312*'Model_ of_individuals'!$K312,"")</f>
        <v/>
      </c>
      <c r="AP301" s="497" t="str">
        <f>IF(ISNUMBER('Model_ of_individuals'!AP312), 'Model_ of_individuals'!AP312*'Model_ of_individuals'!$K312,"")</f>
        <v/>
      </c>
      <c r="AQ301" s="497" t="str">
        <f>IF(ISNUMBER('Model_ of_individuals'!AQ312), 'Model_ of_individuals'!AQ312*'Model_ of_individuals'!$K312,"")</f>
        <v/>
      </c>
      <c r="AR301" s="497" t="str">
        <f>IF(ISNUMBER('Model_ of_individuals'!AR312), 'Model_ of_individuals'!AR312*'Model_ of_individuals'!$K312,"")</f>
        <v/>
      </c>
    </row>
    <row r="302" spans="1:45" x14ac:dyDescent="0.25">
      <c r="A302" s="518"/>
      <c r="B302" s="504"/>
      <c r="C302" s="107" t="str">
        <f>IF(AND(ISNUMBER(B270), C298&lt;&gt;"", OR('Cost Inputs'!$H$120&lt;&gt;"", 'Cost Inputs'!$I$120&lt;&gt;"", 'Cost Inputs'!$J$120&lt;&gt;"")), _4_5_2, "")</f>
        <v/>
      </c>
      <c r="D302" s="93" t="str">
        <f>IF(AND(C302&lt;&gt;"", 'Cost Inputs'!$G$120&lt;&gt;""), 'Cost Inputs'!$G$120, "")</f>
        <v/>
      </c>
      <c r="E302" s="93" t="str">
        <f>IF(AND(C302&lt;&gt;"", 'Cost Inputs'!$H$120&lt;&gt;""), 'Cost Inputs'!$H$120, "")</f>
        <v/>
      </c>
      <c r="F302" s="93" t="str">
        <f>IF(AND(C302&lt;&gt;"", 'Cost Inputs'!$I$120&lt;&gt;""), 'Cost Inputs'!$I$120, "")</f>
        <v/>
      </c>
      <c r="G302" s="108" t="str">
        <f t="shared" si="16"/>
        <v/>
      </c>
      <c r="H302" s="93" t="str">
        <f>IF(AND(C302&lt;&gt;"", 'Cost Inputs'!$J$120&lt;&gt;""), 'Cost Inputs'!$J$120, "")</f>
        <v/>
      </c>
      <c r="I302" s="93" t="str">
        <f t="shared" ref="I302:I308" si="22">IF($C302&lt;&gt;"", IF(AND($E302&lt;&gt;"", H302&lt;&gt;""), H302/$E302, 0),"")</f>
        <v/>
      </c>
      <c r="J302" s="93" t="str">
        <f>IF(AND(C302&lt;&gt;"",('Cost Inputs'!$I$120+'Cost Inputs'!$J$120+'Cost Inputs'!$K$120)&gt;0), 'Cost Inputs'!$I$120+'Cost Inputs'!$J$120+'Cost Inputs'!$K$120, "")</f>
        <v/>
      </c>
      <c r="K302" s="93" t="str">
        <f>IF($C302&lt;&gt;"", IF(AND($E302&lt;&gt;"", J302&lt;&gt;""), J302/$E302, 0),"")</f>
        <v/>
      </c>
      <c r="L302" s="525"/>
      <c r="M302" s="525"/>
      <c r="O302" s="93" t="str">
        <f>IF(ISNUMBER('Model_ of_individuals'!O313), 'Model_ of_individuals'!O313*'Model_ of_individuals'!$K313,"")</f>
        <v/>
      </c>
      <c r="P302" s="93" t="str">
        <f>IF(ISNUMBER('Model_ of_individuals'!P313), 'Model_ of_individuals'!P313*'Model_ of_individuals'!$K313,"")</f>
        <v/>
      </c>
      <c r="Q302" s="93" t="str">
        <f>IF(ISNUMBER('Model_ of_individuals'!Q313), 'Model_ of_individuals'!Q313*'Model_ of_individuals'!$K313,"")</f>
        <v/>
      </c>
      <c r="R302" s="93" t="str">
        <f>IF(ISNUMBER('Model_ of_individuals'!R313), 'Model_ of_individuals'!R313*'Model_ of_individuals'!$K313,"")</f>
        <v/>
      </c>
      <c r="S302" s="93" t="str">
        <f>IF(ISNUMBER('Model_ of_individuals'!S313), 'Model_ of_individuals'!S313*'Model_ of_individuals'!$K313,"")</f>
        <v/>
      </c>
      <c r="T302" s="93" t="str">
        <f>IF(ISNUMBER('Model_ of_individuals'!T313), 'Model_ of_individuals'!T313*'Model_ of_individuals'!$K313,"")</f>
        <v/>
      </c>
      <c r="U302" s="93" t="str">
        <f>IF(ISNUMBER('Model_ of_individuals'!U313), 'Model_ of_individuals'!U313*'Model_ of_individuals'!$K313,"")</f>
        <v/>
      </c>
      <c r="V302" s="93" t="str">
        <f>IF(ISNUMBER('Model_ of_individuals'!V313), 'Model_ of_individuals'!V313*'Model_ of_individuals'!$K313,"")</f>
        <v/>
      </c>
      <c r="W302" s="93" t="str">
        <f>IF(ISNUMBER('Model_ of_individuals'!W313), 'Model_ of_individuals'!W313*'Model_ of_individuals'!$K313,"")</f>
        <v/>
      </c>
      <c r="X302" s="93" t="str">
        <f>IF(ISNUMBER('Model_ of_individuals'!X313), 'Model_ of_individuals'!X313*'Model_ of_individuals'!$K313,"")</f>
        <v/>
      </c>
      <c r="Y302" s="93" t="str">
        <f>IF(ISNUMBER('Model_ of_individuals'!Y313), 'Model_ of_individuals'!Y313*'Model_ of_individuals'!$K313,"")</f>
        <v/>
      </c>
      <c r="Z302" s="93" t="str">
        <f>IF(ISNUMBER('Model_ of_individuals'!Z313), 'Model_ of_individuals'!Z313*'Model_ of_individuals'!$K313,"")</f>
        <v/>
      </c>
      <c r="AA302" s="93" t="str">
        <f>IF(ISNUMBER('Model_ of_individuals'!AA313), 'Model_ of_individuals'!AA313*'Model_ of_individuals'!$K313,"")</f>
        <v/>
      </c>
      <c r="AB302" s="93" t="str">
        <f>IF(ISNUMBER('Model_ of_individuals'!AB313), 'Model_ of_individuals'!AB313*'Model_ of_individuals'!$K313,"")</f>
        <v/>
      </c>
      <c r="AC302" s="93" t="str">
        <f>IF(ISNUMBER('Model_ of_individuals'!AC313), 'Model_ of_individuals'!AC313*'Model_ of_individuals'!$K313,"")</f>
        <v/>
      </c>
      <c r="AD302" s="93" t="str">
        <f>IF(ISNUMBER('Model_ of_individuals'!AD313), 'Model_ of_individuals'!AD313*'Model_ of_individuals'!$K313,"")</f>
        <v/>
      </c>
      <c r="AE302" s="93" t="str">
        <f>IF(ISNUMBER('Model_ of_individuals'!AE313), 'Model_ of_individuals'!AE313*'Model_ of_individuals'!$K313,"")</f>
        <v/>
      </c>
      <c r="AF302" s="93" t="str">
        <f>IF(ISNUMBER('Model_ of_individuals'!AF313), 'Model_ of_individuals'!AF313*'Model_ of_individuals'!$K313,"")</f>
        <v/>
      </c>
      <c r="AG302" s="93" t="str">
        <f>IF(ISNUMBER('Model_ of_individuals'!AG313), 'Model_ of_individuals'!AG313*'Model_ of_individuals'!$K313,"")</f>
        <v/>
      </c>
      <c r="AH302" s="93" t="str">
        <f>IF(ISNUMBER('Model_ of_individuals'!AH313), 'Model_ of_individuals'!AH313*'Model_ of_individuals'!$K313,"")</f>
        <v/>
      </c>
      <c r="AI302" s="93" t="str">
        <f>IF(ISNUMBER('Model_ of_individuals'!AI313), 'Model_ of_individuals'!AI313*'Model_ of_individuals'!$K313,"")</f>
        <v/>
      </c>
      <c r="AJ302" s="93" t="str">
        <f>IF(ISNUMBER('Model_ of_individuals'!AJ313), 'Model_ of_individuals'!AJ313*'Model_ of_individuals'!$K313,"")</f>
        <v/>
      </c>
      <c r="AK302" s="93" t="str">
        <f>IF(ISNUMBER('Model_ of_individuals'!AK313), 'Model_ of_individuals'!AK313*'Model_ of_individuals'!$K313,"")</f>
        <v/>
      </c>
      <c r="AL302" s="93" t="str">
        <f>IF(ISNUMBER('Model_ of_individuals'!AL313), 'Model_ of_individuals'!AL313*'Model_ of_individuals'!$K313,"")</f>
        <v/>
      </c>
      <c r="AM302" s="93" t="str">
        <f>IF(ISNUMBER('Model_ of_individuals'!AM313), 'Model_ of_individuals'!AM313*'Model_ of_individuals'!$K313,"")</f>
        <v/>
      </c>
      <c r="AN302" s="93" t="str">
        <f>IF(ISNUMBER('Model_ of_individuals'!AN313), 'Model_ of_individuals'!AN313*'Model_ of_individuals'!$K313,"")</f>
        <v/>
      </c>
      <c r="AO302" s="93" t="str">
        <f>IF(ISNUMBER('Model_ of_individuals'!AO313), 'Model_ of_individuals'!AO313*'Model_ of_individuals'!$K313,"")</f>
        <v/>
      </c>
      <c r="AP302" s="93" t="str">
        <f>IF(ISNUMBER('Model_ of_individuals'!AP313), 'Model_ of_individuals'!AP313*'Model_ of_individuals'!$K313,"")</f>
        <v/>
      </c>
      <c r="AQ302" s="93" t="str">
        <f>IF(ISNUMBER('Model_ of_individuals'!AQ313), 'Model_ of_individuals'!AQ313*'Model_ of_individuals'!$K313,"")</f>
        <v/>
      </c>
      <c r="AR302" s="93" t="str">
        <f>IF(ISNUMBER('Model_ of_individuals'!AR313), 'Model_ of_individuals'!AR313*'Model_ of_individuals'!$K313,"")</f>
        <v/>
      </c>
    </row>
    <row r="303" spans="1:45" x14ac:dyDescent="0.25">
      <c r="A303" s="518"/>
      <c r="B303" s="504"/>
      <c r="C303" s="104" t="str">
        <f>IF(AND(ISNUMBER(B270), C298&lt;&gt;"", OR('Cost Inputs'!$H$121&lt;&gt;"", 'Cost Inputs'!$I$121&lt;&gt;"", 'Cost Inputs'!$J$121&lt;&gt;"")), _4_5_3, "")</f>
        <v/>
      </c>
      <c r="D303" s="17" t="str">
        <f>IF(AND(C303&lt;&gt;"", 'Cost Inputs'!$G$121&lt;&gt;""), 'Cost Inputs'!$G$121, "")</f>
        <v/>
      </c>
      <c r="E303" s="17" t="str">
        <f>IF(AND(C303&lt;&gt;"", 'Cost Inputs'!$H$121&lt;&gt;""), 'Cost Inputs'!$H$121, "")</f>
        <v/>
      </c>
      <c r="F303" s="17" t="str">
        <f>IF(AND(C303&lt;&gt;"", 'Cost Inputs'!$I$121&lt;&gt;""), 'Cost Inputs'!$I$121, "")</f>
        <v/>
      </c>
      <c r="G303" s="105" t="str">
        <f t="shared" si="16"/>
        <v/>
      </c>
      <c r="H303" s="17" t="str">
        <f>IF(AND(C303&lt;&gt;"", 'Cost Inputs'!$J$121&lt;&gt;""), 'Cost Inputs'!$J$121, "")</f>
        <v/>
      </c>
      <c r="I303" s="17" t="str">
        <f t="shared" si="22"/>
        <v/>
      </c>
      <c r="J303" s="17" t="str">
        <f>IF(AND(C303&lt;&gt;"",('Cost Inputs'!$I$121+'Cost Inputs'!$J$121+'Cost Inputs'!$K$121)&gt;0), 'Cost Inputs'!$I$121+'Cost Inputs'!$J$121+'Cost Inputs'!$K$121, "")</f>
        <v/>
      </c>
      <c r="K303" s="17" t="str">
        <f>IF($C303&lt;&gt;"", IF(AND($E303&lt;&gt;"", J303&lt;&gt;""), J303/$E303, 0),"")</f>
        <v/>
      </c>
      <c r="L303" s="525"/>
      <c r="M303" s="525"/>
      <c r="O303" s="17" t="str">
        <f>IF(ISNUMBER('Model_ of_individuals'!O314), 'Model_ of_individuals'!O314*'Model_ of_individuals'!$K314,"")</f>
        <v/>
      </c>
      <c r="P303" s="17" t="str">
        <f>IF(ISNUMBER('Model_ of_individuals'!P314), 'Model_ of_individuals'!P314*'Model_ of_individuals'!$K314,"")</f>
        <v/>
      </c>
      <c r="Q303" s="17" t="str">
        <f>IF(ISNUMBER('Model_ of_individuals'!Q314), 'Model_ of_individuals'!Q314*'Model_ of_individuals'!$K314,"")</f>
        <v/>
      </c>
      <c r="R303" s="17" t="str">
        <f>IF(ISNUMBER('Model_ of_individuals'!R314), 'Model_ of_individuals'!R314*'Model_ of_individuals'!$K314,"")</f>
        <v/>
      </c>
      <c r="S303" s="17" t="str">
        <f>IF(ISNUMBER('Model_ of_individuals'!S314), 'Model_ of_individuals'!S314*'Model_ of_individuals'!$K314,"")</f>
        <v/>
      </c>
      <c r="T303" s="17" t="str">
        <f>IF(ISNUMBER('Model_ of_individuals'!T314), 'Model_ of_individuals'!T314*'Model_ of_individuals'!$K314,"")</f>
        <v/>
      </c>
      <c r="U303" s="17" t="str">
        <f>IF(ISNUMBER('Model_ of_individuals'!U314), 'Model_ of_individuals'!U314*'Model_ of_individuals'!$K314,"")</f>
        <v/>
      </c>
      <c r="V303" s="17" t="str">
        <f>IF(ISNUMBER('Model_ of_individuals'!V314), 'Model_ of_individuals'!V314*'Model_ of_individuals'!$K314,"")</f>
        <v/>
      </c>
      <c r="W303" s="17" t="str">
        <f>IF(ISNUMBER('Model_ of_individuals'!W314), 'Model_ of_individuals'!W314*'Model_ of_individuals'!$K314,"")</f>
        <v/>
      </c>
      <c r="X303" s="17" t="str">
        <f>IF(ISNUMBER('Model_ of_individuals'!X314), 'Model_ of_individuals'!X314*'Model_ of_individuals'!$K314,"")</f>
        <v/>
      </c>
      <c r="Y303" s="17" t="str">
        <f>IF(ISNUMBER('Model_ of_individuals'!Y314), 'Model_ of_individuals'!Y314*'Model_ of_individuals'!$K314,"")</f>
        <v/>
      </c>
      <c r="Z303" s="17" t="str">
        <f>IF(ISNUMBER('Model_ of_individuals'!Z314), 'Model_ of_individuals'!Z314*'Model_ of_individuals'!$K314,"")</f>
        <v/>
      </c>
      <c r="AA303" s="17" t="str">
        <f>IF(ISNUMBER('Model_ of_individuals'!AA314), 'Model_ of_individuals'!AA314*'Model_ of_individuals'!$K314,"")</f>
        <v/>
      </c>
      <c r="AB303" s="17" t="str">
        <f>IF(ISNUMBER('Model_ of_individuals'!AB314), 'Model_ of_individuals'!AB314*'Model_ of_individuals'!$K314,"")</f>
        <v/>
      </c>
      <c r="AC303" s="17" t="str">
        <f>IF(ISNUMBER('Model_ of_individuals'!AC314), 'Model_ of_individuals'!AC314*'Model_ of_individuals'!$K314,"")</f>
        <v/>
      </c>
      <c r="AD303" s="17" t="str">
        <f>IF(ISNUMBER('Model_ of_individuals'!AD314), 'Model_ of_individuals'!AD314*'Model_ of_individuals'!$K314,"")</f>
        <v/>
      </c>
      <c r="AE303" s="17" t="str">
        <f>IF(ISNUMBER('Model_ of_individuals'!AE314), 'Model_ of_individuals'!AE314*'Model_ of_individuals'!$K314,"")</f>
        <v/>
      </c>
      <c r="AF303" s="17" t="str">
        <f>IF(ISNUMBER('Model_ of_individuals'!AF314), 'Model_ of_individuals'!AF314*'Model_ of_individuals'!$K314,"")</f>
        <v/>
      </c>
      <c r="AG303" s="17" t="str">
        <f>IF(ISNUMBER('Model_ of_individuals'!AG314), 'Model_ of_individuals'!AG314*'Model_ of_individuals'!$K314,"")</f>
        <v/>
      </c>
      <c r="AH303" s="17" t="str">
        <f>IF(ISNUMBER('Model_ of_individuals'!AH314), 'Model_ of_individuals'!AH314*'Model_ of_individuals'!$K314,"")</f>
        <v/>
      </c>
      <c r="AI303" s="17" t="str">
        <f>IF(ISNUMBER('Model_ of_individuals'!AI314), 'Model_ of_individuals'!AI314*'Model_ of_individuals'!$K314,"")</f>
        <v/>
      </c>
      <c r="AJ303" s="17" t="str">
        <f>IF(ISNUMBER('Model_ of_individuals'!AJ314), 'Model_ of_individuals'!AJ314*'Model_ of_individuals'!$K314,"")</f>
        <v/>
      </c>
      <c r="AK303" s="17" t="str">
        <f>IF(ISNUMBER('Model_ of_individuals'!AK314), 'Model_ of_individuals'!AK314*'Model_ of_individuals'!$K314,"")</f>
        <v/>
      </c>
      <c r="AL303" s="17" t="str">
        <f>IF(ISNUMBER('Model_ of_individuals'!AL314), 'Model_ of_individuals'!AL314*'Model_ of_individuals'!$K314,"")</f>
        <v/>
      </c>
      <c r="AM303" s="17" t="str">
        <f>IF(ISNUMBER('Model_ of_individuals'!AM314), 'Model_ of_individuals'!AM314*'Model_ of_individuals'!$K314,"")</f>
        <v/>
      </c>
      <c r="AN303" s="17" t="str">
        <f>IF(ISNUMBER('Model_ of_individuals'!AN314), 'Model_ of_individuals'!AN314*'Model_ of_individuals'!$K314,"")</f>
        <v/>
      </c>
      <c r="AO303" s="17" t="str">
        <f>IF(ISNUMBER('Model_ of_individuals'!AO314), 'Model_ of_individuals'!AO314*'Model_ of_individuals'!$K314,"")</f>
        <v/>
      </c>
      <c r="AP303" s="17" t="str">
        <f>IF(ISNUMBER('Model_ of_individuals'!AP314), 'Model_ of_individuals'!AP314*'Model_ of_individuals'!$K314,"")</f>
        <v/>
      </c>
      <c r="AQ303" s="17" t="str">
        <f>IF(ISNUMBER('Model_ of_individuals'!AQ314), 'Model_ of_individuals'!AQ314*'Model_ of_individuals'!$K314,"")</f>
        <v/>
      </c>
      <c r="AR303" s="17" t="str">
        <f>IF(ISNUMBER('Model_ of_individuals'!AR314), 'Model_ of_individuals'!AR314*'Model_ of_individuals'!$K314,"")</f>
        <v/>
      </c>
    </row>
    <row r="304" spans="1:45" x14ac:dyDescent="0.25">
      <c r="A304" s="518"/>
      <c r="B304" s="504"/>
      <c r="C304" s="107" t="str">
        <f>IF(AND(ISNUMBER(B270), C298&lt;&gt;"", OR('Cost Inputs'!$H$122&lt;&gt;"", 'Cost Inputs'!$I$122&lt;&gt;"", 'Cost Inputs'!$J$122&lt;&gt;"")), _4_5_2, "")</f>
        <v/>
      </c>
      <c r="D304" s="93" t="str">
        <f>IF(AND(C304&lt;&gt;"", 'Cost Inputs'!$G$122&lt;&gt;""), 'Cost Inputs'!$G$122, "")</f>
        <v/>
      </c>
      <c r="E304" s="93" t="str">
        <f>IF(AND(C304&lt;&gt;"", 'Cost Inputs'!$H$122&lt;&gt;""), 'Cost Inputs'!$H$122, "")</f>
        <v/>
      </c>
      <c r="F304" s="93" t="str">
        <f>IF(AND(C304&lt;&gt;"", 'Cost Inputs'!$I$122&lt;&gt;""), 'Cost Inputs'!$I$122, "")</f>
        <v/>
      </c>
      <c r="G304" s="108" t="str">
        <f t="shared" si="16"/>
        <v/>
      </c>
      <c r="H304" s="93" t="str">
        <f>IF(AND(C304&lt;&gt;"", 'Cost Inputs'!$J$122&lt;&gt;""), 'Cost Inputs'!$J$122, "")</f>
        <v/>
      </c>
      <c r="I304" s="93" t="str">
        <f t="shared" si="22"/>
        <v/>
      </c>
      <c r="J304" s="93" t="str">
        <f>IF(AND(C304&lt;&gt;"",('Cost Inputs'!$I$122+'Cost Inputs'!$J$122+'Cost Inputs'!$K$122)&gt;0), 'Cost Inputs'!$I$122+'Cost Inputs'!$J$122+'Cost Inputs'!$K$122, "")</f>
        <v/>
      </c>
      <c r="K304" s="93" t="str">
        <f>IF($C304&lt;&gt;"", IF(AND($E304&lt;&gt;"", J304&lt;&gt;""), J304/$E304, 0),"")</f>
        <v/>
      </c>
      <c r="L304" s="525"/>
      <c r="M304" s="525"/>
      <c r="O304" s="93" t="str">
        <f>IF(ISNUMBER('Model_ of_individuals'!O315), 'Model_ of_individuals'!O315*'Model_ of_individuals'!$K315,"")</f>
        <v/>
      </c>
      <c r="P304" s="93" t="str">
        <f>IF(ISNUMBER('Model_ of_individuals'!P315), 'Model_ of_individuals'!P315*'Model_ of_individuals'!$K315,"")</f>
        <v/>
      </c>
      <c r="Q304" s="93" t="str">
        <f>IF(ISNUMBER('Model_ of_individuals'!Q315), 'Model_ of_individuals'!Q315*'Model_ of_individuals'!$K315,"")</f>
        <v/>
      </c>
      <c r="R304" s="93" t="str">
        <f>IF(ISNUMBER('Model_ of_individuals'!R315), 'Model_ of_individuals'!R315*'Model_ of_individuals'!$K315,"")</f>
        <v/>
      </c>
      <c r="S304" s="93" t="str">
        <f>IF(ISNUMBER('Model_ of_individuals'!S315), 'Model_ of_individuals'!S315*'Model_ of_individuals'!$K315,"")</f>
        <v/>
      </c>
      <c r="T304" s="93" t="str">
        <f>IF(ISNUMBER('Model_ of_individuals'!T315), 'Model_ of_individuals'!T315*'Model_ of_individuals'!$K315,"")</f>
        <v/>
      </c>
      <c r="U304" s="93" t="str">
        <f>IF(ISNUMBER('Model_ of_individuals'!U315), 'Model_ of_individuals'!U315*'Model_ of_individuals'!$K315,"")</f>
        <v/>
      </c>
      <c r="V304" s="93" t="str">
        <f>IF(ISNUMBER('Model_ of_individuals'!V315), 'Model_ of_individuals'!V315*'Model_ of_individuals'!$K315,"")</f>
        <v/>
      </c>
      <c r="W304" s="93" t="str">
        <f>IF(ISNUMBER('Model_ of_individuals'!W315), 'Model_ of_individuals'!W315*'Model_ of_individuals'!$K315,"")</f>
        <v/>
      </c>
      <c r="X304" s="93" t="str">
        <f>IF(ISNUMBER('Model_ of_individuals'!X315), 'Model_ of_individuals'!X315*'Model_ of_individuals'!$K315,"")</f>
        <v/>
      </c>
      <c r="Y304" s="93" t="str">
        <f>IF(ISNUMBER('Model_ of_individuals'!Y315), 'Model_ of_individuals'!Y315*'Model_ of_individuals'!$K315,"")</f>
        <v/>
      </c>
      <c r="Z304" s="93" t="str">
        <f>IF(ISNUMBER('Model_ of_individuals'!Z315), 'Model_ of_individuals'!Z315*'Model_ of_individuals'!$K315,"")</f>
        <v/>
      </c>
      <c r="AA304" s="93" t="str">
        <f>IF(ISNUMBER('Model_ of_individuals'!AA315), 'Model_ of_individuals'!AA315*'Model_ of_individuals'!$K315,"")</f>
        <v/>
      </c>
      <c r="AB304" s="93" t="str">
        <f>IF(ISNUMBER('Model_ of_individuals'!AB315), 'Model_ of_individuals'!AB315*'Model_ of_individuals'!$K315,"")</f>
        <v/>
      </c>
      <c r="AC304" s="93" t="str">
        <f>IF(ISNUMBER('Model_ of_individuals'!AC315), 'Model_ of_individuals'!AC315*'Model_ of_individuals'!$K315,"")</f>
        <v/>
      </c>
      <c r="AD304" s="93" t="str">
        <f>IF(ISNUMBER('Model_ of_individuals'!AD315), 'Model_ of_individuals'!AD315*'Model_ of_individuals'!$K315,"")</f>
        <v/>
      </c>
      <c r="AE304" s="93" t="str">
        <f>IF(ISNUMBER('Model_ of_individuals'!AE315), 'Model_ of_individuals'!AE315*'Model_ of_individuals'!$K315,"")</f>
        <v/>
      </c>
      <c r="AF304" s="93" t="str">
        <f>IF(ISNUMBER('Model_ of_individuals'!AF315), 'Model_ of_individuals'!AF315*'Model_ of_individuals'!$K315,"")</f>
        <v/>
      </c>
      <c r="AG304" s="93" t="str">
        <f>IF(ISNUMBER('Model_ of_individuals'!AG315), 'Model_ of_individuals'!AG315*'Model_ of_individuals'!$K315,"")</f>
        <v/>
      </c>
      <c r="AH304" s="93" t="str">
        <f>IF(ISNUMBER('Model_ of_individuals'!AH315), 'Model_ of_individuals'!AH315*'Model_ of_individuals'!$K315,"")</f>
        <v/>
      </c>
      <c r="AI304" s="93" t="str">
        <f>IF(ISNUMBER('Model_ of_individuals'!AI315), 'Model_ of_individuals'!AI315*'Model_ of_individuals'!$K315,"")</f>
        <v/>
      </c>
      <c r="AJ304" s="93" t="str">
        <f>IF(ISNUMBER('Model_ of_individuals'!AJ315), 'Model_ of_individuals'!AJ315*'Model_ of_individuals'!$K315,"")</f>
        <v/>
      </c>
      <c r="AK304" s="93" t="str">
        <f>IF(ISNUMBER('Model_ of_individuals'!AK315), 'Model_ of_individuals'!AK315*'Model_ of_individuals'!$K315,"")</f>
        <v/>
      </c>
      <c r="AL304" s="93" t="str">
        <f>IF(ISNUMBER('Model_ of_individuals'!AL315), 'Model_ of_individuals'!AL315*'Model_ of_individuals'!$K315,"")</f>
        <v/>
      </c>
      <c r="AM304" s="93" t="str">
        <f>IF(ISNUMBER('Model_ of_individuals'!AM315), 'Model_ of_individuals'!AM315*'Model_ of_individuals'!$K315,"")</f>
        <v/>
      </c>
      <c r="AN304" s="93" t="str">
        <f>IF(ISNUMBER('Model_ of_individuals'!AN315), 'Model_ of_individuals'!AN315*'Model_ of_individuals'!$K315,"")</f>
        <v/>
      </c>
      <c r="AO304" s="93" t="str">
        <f>IF(ISNUMBER('Model_ of_individuals'!AO315), 'Model_ of_individuals'!AO315*'Model_ of_individuals'!$K315,"")</f>
        <v/>
      </c>
      <c r="AP304" s="93" t="str">
        <f>IF(ISNUMBER('Model_ of_individuals'!AP315), 'Model_ of_individuals'!AP315*'Model_ of_individuals'!$K315,"")</f>
        <v/>
      </c>
      <c r="AQ304" s="93" t="str">
        <f>IF(ISNUMBER('Model_ of_individuals'!AQ315), 'Model_ of_individuals'!AQ315*'Model_ of_individuals'!$K315,"")</f>
        <v/>
      </c>
      <c r="AR304" s="93" t="str">
        <f>IF(ISNUMBER('Model_ of_individuals'!AR315), 'Model_ of_individuals'!AR315*'Model_ of_individuals'!$K315,"")</f>
        <v/>
      </c>
    </row>
    <row r="305" spans="1:45" x14ac:dyDescent="0.25">
      <c r="A305" s="518"/>
      <c r="B305" s="504"/>
      <c r="C305" s="104" t="str">
        <f>IF(AND(ISNUMBER(B270), C298&lt;&gt;"", OR('Cost Inputs'!$H$123&lt;&gt;"", 'Cost Inputs'!$I$123&lt;&gt;"", 'Cost Inputs'!$J$123&lt;&gt;"")), _4_5_3, "")</f>
        <v/>
      </c>
      <c r="D305" s="17" t="str">
        <f>IF(AND(C305&lt;&gt;"", 'Cost Inputs'!$G$123&lt;&gt;""), 'Cost Inputs'!$G$123, "")</f>
        <v/>
      </c>
      <c r="E305" s="17" t="str">
        <f>IF(AND(C305&lt;&gt;"", 'Cost Inputs'!$H$123&lt;&gt;""), 'Cost Inputs'!$H$123, "")</f>
        <v/>
      </c>
      <c r="F305" s="17" t="str">
        <f>IF(AND(C305&lt;&gt;"", 'Cost Inputs'!$I$123&lt;&gt;""), 'Cost Inputs'!$I$123, "")</f>
        <v/>
      </c>
      <c r="G305" s="105" t="str">
        <f t="shared" si="16"/>
        <v/>
      </c>
      <c r="H305" s="17" t="str">
        <f>IF(AND(C305&lt;&gt;"", 'Cost Inputs'!$J$123&lt;&gt;""), 'Cost Inputs'!$J$123, "")</f>
        <v/>
      </c>
      <c r="I305" s="17" t="str">
        <f t="shared" si="22"/>
        <v/>
      </c>
      <c r="J305" s="17" t="str">
        <f>IF(AND(C305&lt;&gt;"",('Cost Inputs'!$I$123+'Cost Inputs'!$J$123+'Cost Inputs'!$K$123)&gt;0), 'Cost Inputs'!$I$123+'Cost Inputs'!$J$123+'Cost Inputs'!$K$123, "")</f>
        <v/>
      </c>
      <c r="K305" s="17" t="str">
        <f>IF($C305&lt;&gt;"", IF(AND($E305&lt;&gt;"", J305&lt;&gt;""), J305/$E305, 0),"")</f>
        <v/>
      </c>
      <c r="L305" s="525"/>
      <c r="M305" s="525"/>
      <c r="O305" s="17" t="str">
        <f>IF(ISNUMBER('Model_ of_individuals'!O316), 'Model_ of_individuals'!O316*'Model_ of_individuals'!$K316,"")</f>
        <v/>
      </c>
      <c r="P305" s="17" t="str">
        <f>IF(ISNUMBER('Model_ of_individuals'!P316), 'Model_ of_individuals'!P316*'Model_ of_individuals'!$K316,"")</f>
        <v/>
      </c>
      <c r="Q305" s="17" t="str">
        <f>IF(ISNUMBER('Model_ of_individuals'!Q316), 'Model_ of_individuals'!Q316*'Model_ of_individuals'!$K316,"")</f>
        <v/>
      </c>
      <c r="R305" s="17" t="str">
        <f>IF(ISNUMBER('Model_ of_individuals'!R316), 'Model_ of_individuals'!R316*'Model_ of_individuals'!$K316,"")</f>
        <v/>
      </c>
      <c r="S305" s="17" t="str">
        <f>IF(ISNUMBER('Model_ of_individuals'!S316), 'Model_ of_individuals'!S316*'Model_ of_individuals'!$K316,"")</f>
        <v/>
      </c>
      <c r="T305" s="17" t="str">
        <f>IF(ISNUMBER('Model_ of_individuals'!T316), 'Model_ of_individuals'!T316*'Model_ of_individuals'!$K316,"")</f>
        <v/>
      </c>
      <c r="U305" s="17" t="str">
        <f>IF(ISNUMBER('Model_ of_individuals'!U316), 'Model_ of_individuals'!U316*'Model_ of_individuals'!$K316,"")</f>
        <v/>
      </c>
      <c r="V305" s="17" t="str">
        <f>IF(ISNUMBER('Model_ of_individuals'!V316), 'Model_ of_individuals'!V316*'Model_ of_individuals'!$K316,"")</f>
        <v/>
      </c>
      <c r="W305" s="17" t="str">
        <f>IF(ISNUMBER('Model_ of_individuals'!W316), 'Model_ of_individuals'!W316*'Model_ of_individuals'!$K316,"")</f>
        <v/>
      </c>
      <c r="X305" s="17" t="str">
        <f>IF(ISNUMBER('Model_ of_individuals'!X316), 'Model_ of_individuals'!X316*'Model_ of_individuals'!$K316,"")</f>
        <v/>
      </c>
      <c r="Y305" s="17" t="str">
        <f>IF(ISNUMBER('Model_ of_individuals'!Y316), 'Model_ of_individuals'!Y316*'Model_ of_individuals'!$K316,"")</f>
        <v/>
      </c>
      <c r="Z305" s="17" t="str">
        <f>IF(ISNUMBER('Model_ of_individuals'!Z316), 'Model_ of_individuals'!Z316*'Model_ of_individuals'!$K316,"")</f>
        <v/>
      </c>
      <c r="AA305" s="17" t="str">
        <f>IF(ISNUMBER('Model_ of_individuals'!AA316), 'Model_ of_individuals'!AA316*'Model_ of_individuals'!$K316,"")</f>
        <v/>
      </c>
      <c r="AB305" s="17" t="str">
        <f>IF(ISNUMBER('Model_ of_individuals'!AB316), 'Model_ of_individuals'!AB316*'Model_ of_individuals'!$K316,"")</f>
        <v/>
      </c>
      <c r="AC305" s="17" t="str">
        <f>IF(ISNUMBER('Model_ of_individuals'!AC316), 'Model_ of_individuals'!AC316*'Model_ of_individuals'!$K316,"")</f>
        <v/>
      </c>
      <c r="AD305" s="17" t="str">
        <f>IF(ISNUMBER('Model_ of_individuals'!AD316), 'Model_ of_individuals'!AD316*'Model_ of_individuals'!$K316,"")</f>
        <v/>
      </c>
      <c r="AE305" s="17" t="str">
        <f>IF(ISNUMBER('Model_ of_individuals'!AE316), 'Model_ of_individuals'!AE316*'Model_ of_individuals'!$K316,"")</f>
        <v/>
      </c>
      <c r="AF305" s="17" t="str">
        <f>IF(ISNUMBER('Model_ of_individuals'!AF316), 'Model_ of_individuals'!AF316*'Model_ of_individuals'!$K316,"")</f>
        <v/>
      </c>
      <c r="AG305" s="17" t="str">
        <f>IF(ISNUMBER('Model_ of_individuals'!AG316), 'Model_ of_individuals'!AG316*'Model_ of_individuals'!$K316,"")</f>
        <v/>
      </c>
      <c r="AH305" s="17" t="str">
        <f>IF(ISNUMBER('Model_ of_individuals'!AH316), 'Model_ of_individuals'!AH316*'Model_ of_individuals'!$K316,"")</f>
        <v/>
      </c>
      <c r="AI305" s="17" t="str">
        <f>IF(ISNUMBER('Model_ of_individuals'!AI316), 'Model_ of_individuals'!AI316*'Model_ of_individuals'!$K316,"")</f>
        <v/>
      </c>
      <c r="AJ305" s="17" t="str">
        <f>IF(ISNUMBER('Model_ of_individuals'!AJ316), 'Model_ of_individuals'!AJ316*'Model_ of_individuals'!$K316,"")</f>
        <v/>
      </c>
      <c r="AK305" s="17" t="str">
        <f>IF(ISNUMBER('Model_ of_individuals'!AK316), 'Model_ of_individuals'!AK316*'Model_ of_individuals'!$K316,"")</f>
        <v/>
      </c>
      <c r="AL305" s="17" t="str">
        <f>IF(ISNUMBER('Model_ of_individuals'!AL316), 'Model_ of_individuals'!AL316*'Model_ of_individuals'!$K316,"")</f>
        <v/>
      </c>
      <c r="AM305" s="17" t="str">
        <f>IF(ISNUMBER('Model_ of_individuals'!AM316), 'Model_ of_individuals'!AM316*'Model_ of_individuals'!$K316,"")</f>
        <v/>
      </c>
      <c r="AN305" s="17" t="str">
        <f>IF(ISNUMBER('Model_ of_individuals'!AN316), 'Model_ of_individuals'!AN316*'Model_ of_individuals'!$K316,"")</f>
        <v/>
      </c>
      <c r="AO305" s="17" t="str">
        <f>IF(ISNUMBER('Model_ of_individuals'!AO316), 'Model_ of_individuals'!AO316*'Model_ of_individuals'!$K316,"")</f>
        <v/>
      </c>
      <c r="AP305" s="17" t="str">
        <f>IF(ISNUMBER('Model_ of_individuals'!AP316), 'Model_ of_individuals'!AP316*'Model_ of_individuals'!$K316,"")</f>
        <v/>
      </c>
      <c r="AQ305" s="17" t="str">
        <f>IF(ISNUMBER('Model_ of_individuals'!AQ316), 'Model_ of_individuals'!AQ316*'Model_ of_individuals'!$K316,"")</f>
        <v/>
      </c>
      <c r="AR305" s="17" t="str">
        <f>IF(ISNUMBER('Model_ of_individuals'!AR316), 'Model_ of_individuals'!AR316*'Model_ of_individuals'!$K316,"")</f>
        <v/>
      </c>
    </row>
    <row r="306" spans="1:45" x14ac:dyDescent="0.25">
      <c r="A306" s="518"/>
      <c r="B306" s="504"/>
      <c r="C306" s="110" t="str">
        <f>IF(ISNUMBER(B270), _4_6_0, "")</f>
        <v/>
      </c>
      <c r="D306" s="94" t="str">
        <f>IF(AND(C306&lt;&gt;"", 'Cost Inputs'!$G$124&lt;&gt;""), 'Cost Inputs'!$G$124, "")</f>
        <v/>
      </c>
      <c r="E306" s="94" t="str">
        <f>IF(AND(C306&lt;&gt;"", 'Cost Inputs'!$H$124&lt;&gt;""), 'Cost Inputs'!$H$124, "")</f>
        <v/>
      </c>
      <c r="F306" s="94" t="str">
        <f>IF(AND(C306&lt;&gt;"", 'Cost Inputs'!$I$124&lt;&gt;""), 'Cost Inputs'!$I$124, "")</f>
        <v/>
      </c>
      <c r="G306" s="102" t="str">
        <f t="shared" si="16"/>
        <v/>
      </c>
      <c r="H306" s="94" t="str">
        <f>IF(AND(C306&lt;&gt;"", 'Cost Inputs'!$J$124&lt;&gt;""), 'Cost Inputs'!$J$124, "")</f>
        <v/>
      </c>
      <c r="I306" s="102" t="str">
        <f t="shared" si="22"/>
        <v/>
      </c>
      <c r="J306" s="94" t="str">
        <f>IF(AND(C306&lt;&gt;"",('Cost Inputs'!$I$124+'Cost Inputs'!$J$124+'Cost Inputs'!$K$124)&gt;0), 'Cost Inputs'!$I$124+'Cost Inputs'!$J$124+'Cost Inputs'!$K$124, "")</f>
        <v/>
      </c>
      <c r="K306" s="102" t="str">
        <f>IF($C306&lt;&gt;"",IF(AND($E306&lt;&gt;"",J306&lt;&gt;""), J306/$E306, 0),"")</f>
        <v/>
      </c>
      <c r="L306" s="525"/>
      <c r="M306" s="525"/>
      <c r="O306" s="102" t="str">
        <f>IF(ISNUMBER('Model_ of_individuals'!O317), 'Model_ of_individuals'!O317*'Model_ of_individuals'!$K317,"")</f>
        <v/>
      </c>
      <c r="P306" s="102" t="str">
        <f>IF(ISNUMBER('Model_ of_individuals'!P317), 'Model_ of_individuals'!P317*'Model_ of_individuals'!$K317,"")</f>
        <v/>
      </c>
      <c r="Q306" s="102" t="str">
        <f>IF(ISNUMBER('Model_ of_individuals'!Q317), 'Model_ of_individuals'!Q317*'Model_ of_individuals'!$K317,"")</f>
        <v/>
      </c>
      <c r="R306" s="102" t="str">
        <f>IF(ISNUMBER('Model_ of_individuals'!R317), 'Model_ of_individuals'!R317*'Model_ of_individuals'!$K317,"")</f>
        <v/>
      </c>
      <c r="S306" s="102" t="str">
        <f>IF(ISNUMBER('Model_ of_individuals'!S317), 'Model_ of_individuals'!S317*'Model_ of_individuals'!$K317,"")</f>
        <v/>
      </c>
      <c r="T306" s="102" t="str">
        <f>IF(ISNUMBER('Model_ of_individuals'!T317), 'Model_ of_individuals'!T317*'Model_ of_individuals'!$K317,"")</f>
        <v/>
      </c>
      <c r="U306" s="102" t="str">
        <f>IF(ISNUMBER('Model_ of_individuals'!U317), 'Model_ of_individuals'!U317*'Model_ of_individuals'!$K317,"")</f>
        <v/>
      </c>
      <c r="V306" s="102" t="str">
        <f>IF(ISNUMBER('Model_ of_individuals'!V317), 'Model_ of_individuals'!V317*'Model_ of_individuals'!$K317,"")</f>
        <v/>
      </c>
      <c r="W306" s="102" t="str">
        <f>IF(ISNUMBER('Model_ of_individuals'!W317), 'Model_ of_individuals'!W317*'Model_ of_individuals'!$K317,"")</f>
        <v/>
      </c>
      <c r="X306" s="102" t="str">
        <f>IF(ISNUMBER('Model_ of_individuals'!X317), 'Model_ of_individuals'!X317*'Model_ of_individuals'!$K317,"")</f>
        <v/>
      </c>
      <c r="Y306" s="102" t="str">
        <f>IF(ISNUMBER('Model_ of_individuals'!Y317), 'Model_ of_individuals'!Y317*'Model_ of_individuals'!$K317,"")</f>
        <v/>
      </c>
      <c r="Z306" s="102" t="str">
        <f>IF(ISNUMBER('Model_ of_individuals'!Z317), 'Model_ of_individuals'!Z317*'Model_ of_individuals'!$K317,"")</f>
        <v/>
      </c>
      <c r="AA306" s="102" t="str">
        <f>IF(ISNUMBER('Model_ of_individuals'!AA317), 'Model_ of_individuals'!AA317*'Model_ of_individuals'!$K317,"")</f>
        <v/>
      </c>
      <c r="AB306" s="102" t="str">
        <f>IF(ISNUMBER('Model_ of_individuals'!AB317), 'Model_ of_individuals'!AB317*'Model_ of_individuals'!$K317,"")</f>
        <v/>
      </c>
      <c r="AC306" s="102" t="str">
        <f>IF(ISNUMBER('Model_ of_individuals'!AC317), 'Model_ of_individuals'!AC317*'Model_ of_individuals'!$K317,"")</f>
        <v/>
      </c>
      <c r="AD306" s="102" t="str">
        <f>IF(ISNUMBER('Model_ of_individuals'!AD317), 'Model_ of_individuals'!AD317*'Model_ of_individuals'!$K317,"")</f>
        <v/>
      </c>
      <c r="AE306" s="102" t="str">
        <f>IF(ISNUMBER('Model_ of_individuals'!AE317), 'Model_ of_individuals'!AE317*'Model_ of_individuals'!$K317,"")</f>
        <v/>
      </c>
      <c r="AF306" s="102" t="str">
        <f>IF(ISNUMBER('Model_ of_individuals'!AF317), 'Model_ of_individuals'!AF317*'Model_ of_individuals'!$K317,"")</f>
        <v/>
      </c>
      <c r="AG306" s="102" t="str">
        <f>IF(ISNUMBER('Model_ of_individuals'!AG317), 'Model_ of_individuals'!AG317*'Model_ of_individuals'!$K317,"")</f>
        <v/>
      </c>
      <c r="AH306" s="102" t="str">
        <f>IF(ISNUMBER('Model_ of_individuals'!AH317), 'Model_ of_individuals'!AH317*'Model_ of_individuals'!$K317,"")</f>
        <v/>
      </c>
      <c r="AI306" s="102" t="str">
        <f>IF(ISNUMBER('Model_ of_individuals'!AI317), 'Model_ of_individuals'!AI317*'Model_ of_individuals'!$K317,"")</f>
        <v/>
      </c>
      <c r="AJ306" s="102" t="str">
        <f>IF(ISNUMBER('Model_ of_individuals'!AJ317), 'Model_ of_individuals'!AJ317*'Model_ of_individuals'!$K317,"")</f>
        <v/>
      </c>
      <c r="AK306" s="102" t="str">
        <f>IF(ISNUMBER('Model_ of_individuals'!AK317), 'Model_ of_individuals'!AK317*'Model_ of_individuals'!$K317,"")</f>
        <v/>
      </c>
      <c r="AL306" s="102" t="str">
        <f>IF(ISNUMBER('Model_ of_individuals'!AL317), 'Model_ of_individuals'!AL317*'Model_ of_individuals'!$K317,"")</f>
        <v/>
      </c>
      <c r="AM306" s="102" t="str">
        <f>IF(ISNUMBER('Model_ of_individuals'!AM317), 'Model_ of_individuals'!AM317*'Model_ of_individuals'!$K317,"")</f>
        <v/>
      </c>
      <c r="AN306" s="102" t="str">
        <f>IF(ISNUMBER('Model_ of_individuals'!AN317), 'Model_ of_individuals'!AN317*'Model_ of_individuals'!$K317,"")</f>
        <v/>
      </c>
      <c r="AO306" s="102" t="str">
        <f>IF(ISNUMBER('Model_ of_individuals'!AO317), 'Model_ of_individuals'!AO317*'Model_ of_individuals'!$K317,"")</f>
        <v/>
      </c>
      <c r="AP306" s="102" t="str">
        <f>IF(ISNUMBER('Model_ of_individuals'!AP317), 'Model_ of_individuals'!AP317*'Model_ of_individuals'!$K317,"")</f>
        <v/>
      </c>
      <c r="AQ306" s="102" t="str">
        <f>IF(ISNUMBER('Model_ of_individuals'!AQ317), 'Model_ of_individuals'!AQ317*'Model_ of_individuals'!$K317,"")</f>
        <v/>
      </c>
      <c r="AR306" s="102" t="str">
        <f>IF(ISNUMBER('Model_ of_individuals'!AR317), 'Model_ of_individuals'!AR317*'Model_ of_individuals'!$K317,"")</f>
        <v/>
      </c>
    </row>
    <row r="307" spans="1:45" x14ac:dyDescent="0.25">
      <c r="A307" s="518"/>
      <c r="B307" s="504"/>
      <c r="C307" s="104" t="str">
        <f>IF(AND(ISNUMBER(B270), OR('Cost Inputs'!$H$125&lt;&gt;"", 'Cost Inputs'!$I$125&lt;&gt;"", 'Cost Inputs'!$J$125&lt;&gt;"")), _4_5_3, "")</f>
        <v/>
      </c>
      <c r="D307" s="17" t="str">
        <f>IF(AND(C307&lt;&gt;"", 'Cost Inputs'!$G$125&lt;&gt;""), 'Cost Inputs'!$G$125, "")</f>
        <v/>
      </c>
      <c r="E307" s="17" t="str">
        <f>IF(AND(C307&lt;&gt;"", 'Cost Inputs'!$H$125&lt;&gt;""), 'Cost Inputs'!$H$125, "")</f>
        <v/>
      </c>
      <c r="F307" s="17" t="str">
        <f>IF(AND(C307&lt;&gt;"", 'Cost Inputs'!$I$125&lt;&gt;""), 'Cost Inputs'!$I$125, "")</f>
        <v/>
      </c>
      <c r="G307" s="105" t="str">
        <f t="shared" si="16"/>
        <v/>
      </c>
      <c r="H307" s="17" t="str">
        <f>IF(AND(C307&lt;&gt;"", 'Cost Inputs'!$J$125&lt;&gt;""), 'Cost Inputs'!$J$125, "")</f>
        <v/>
      </c>
      <c r="I307" s="17" t="str">
        <f t="shared" si="22"/>
        <v/>
      </c>
      <c r="J307" s="17" t="str">
        <f>IF(AND(C307&lt;&gt;"",('Cost Inputs'!$I$125+'Cost Inputs'!$J$125+'Cost Inputs'!$K$125)&gt;0), 'Cost Inputs'!$I$125+'Cost Inputs'!$J$125+'Cost Inputs'!$K$125, "")</f>
        <v/>
      </c>
      <c r="K307" s="17" t="str">
        <f>IF($C307&lt;&gt;"", IF(AND($E307&lt;&gt;"", J307&lt;&gt;""), J307/$E307, 0),"")</f>
        <v/>
      </c>
      <c r="L307" s="525"/>
      <c r="M307" s="525"/>
      <c r="O307" s="17" t="str">
        <f>IF(ISNUMBER('Model_ of_individuals'!O318), 'Model_ of_individuals'!O318*'Model_ of_individuals'!$K318,"")</f>
        <v/>
      </c>
      <c r="P307" s="17" t="str">
        <f>IF(ISNUMBER('Model_ of_individuals'!P318), 'Model_ of_individuals'!P318*'Model_ of_individuals'!$K318,"")</f>
        <v/>
      </c>
      <c r="Q307" s="17" t="str">
        <f>IF(ISNUMBER('Model_ of_individuals'!Q318), 'Model_ of_individuals'!Q318*'Model_ of_individuals'!$K318,"")</f>
        <v/>
      </c>
      <c r="R307" s="17" t="str">
        <f>IF(ISNUMBER('Model_ of_individuals'!R318), 'Model_ of_individuals'!R318*'Model_ of_individuals'!$K318,"")</f>
        <v/>
      </c>
      <c r="S307" s="17" t="str">
        <f>IF(ISNUMBER('Model_ of_individuals'!S318), 'Model_ of_individuals'!S318*'Model_ of_individuals'!$K318,"")</f>
        <v/>
      </c>
      <c r="T307" s="17" t="str">
        <f>IF(ISNUMBER('Model_ of_individuals'!T318), 'Model_ of_individuals'!T318*'Model_ of_individuals'!$K318,"")</f>
        <v/>
      </c>
      <c r="U307" s="17" t="str">
        <f>IF(ISNUMBER('Model_ of_individuals'!U318), 'Model_ of_individuals'!U318*'Model_ of_individuals'!$K318,"")</f>
        <v/>
      </c>
      <c r="V307" s="17" t="str">
        <f>IF(ISNUMBER('Model_ of_individuals'!V318), 'Model_ of_individuals'!V318*'Model_ of_individuals'!$K318,"")</f>
        <v/>
      </c>
      <c r="W307" s="17" t="str">
        <f>IF(ISNUMBER('Model_ of_individuals'!W318), 'Model_ of_individuals'!W318*'Model_ of_individuals'!$K318,"")</f>
        <v/>
      </c>
      <c r="X307" s="17" t="str">
        <f>IF(ISNUMBER('Model_ of_individuals'!X318), 'Model_ of_individuals'!X318*'Model_ of_individuals'!$K318,"")</f>
        <v/>
      </c>
      <c r="Y307" s="17" t="str">
        <f>IF(ISNUMBER('Model_ of_individuals'!Y318), 'Model_ of_individuals'!Y318*'Model_ of_individuals'!$K318,"")</f>
        <v/>
      </c>
      <c r="Z307" s="17" t="str">
        <f>IF(ISNUMBER('Model_ of_individuals'!Z318), 'Model_ of_individuals'!Z318*'Model_ of_individuals'!$K318,"")</f>
        <v/>
      </c>
      <c r="AA307" s="17" t="str">
        <f>IF(ISNUMBER('Model_ of_individuals'!AA318), 'Model_ of_individuals'!AA318*'Model_ of_individuals'!$K318,"")</f>
        <v/>
      </c>
      <c r="AB307" s="17" t="str">
        <f>IF(ISNUMBER('Model_ of_individuals'!AB318), 'Model_ of_individuals'!AB318*'Model_ of_individuals'!$K318,"")</f>
        <v/>
      </c>
      <c r="AC307" s="17" t="str">
        <f>IF(ISNUMBER('Model_ of_individuals'!AC318), 'Model_ of_individuals'!AC318*'Model_ of_individuals'!$K318,"")</f>
        <v/>
      </c>
      <c r="AD307" s="17" t="str">
        <f>IF(ISNUMBER('Model_ of_individuals'!AD318), 'Model_ of_individuals'!AD318*'Model_ of_individuals'!$K318,"")</f>
        <v/>
      </c>
      <c r="AE307" s="17" t="str">
        <f>IF(ISNUMBER('Model_ of_individuals'!AE318), 'Model_ of_individuals'!AE318*'Model_ of_individuals'!$K318,"")</f>
        <v/>
      </c>
      <c r="AF307" s="17" t="str">
        <f>IF(ISNUMBER('Model_ of_individuals'!AF318), 'Model_ of_individuals'!AF318*'Model_ of_individuals'!$K318,"")</f>
        <v/>
      </c>
      <c r="AG307" s="17" t="str">
        <f>IF(ISNUMBER('Model_ of_individuals'!AG318), 'Model_ of_individuals'!AG318*'Model_ of_individuals'!$K318,"")</f>
        <v/>
      </c>
      <c r="AH307" s="17" t="str">
        <f>IF(ISNUMBER('Model_ of_individuals'!AH318), 'Model_ of_individuals'!AH318*'Model_ of_individuals'!$K318,"")</f>
        <v/>
      </c>
      <c r="AI307" s="17" t="str">
        <f>IF(ISNUMBER('Model_ of_individuals'!AI318), 'Model_ of_individuals'!AI318*'Model_ of_individuals'!$K318,"")</f>
        <v/>
      </c>
      <c r="AJ307" s="17" t="str">
        <f>IF(ISNUMBER('Model_ of_individuals'!AJ318), 'Model_ of_individuals'!AJ318*'Model_ of_individuals'!$K318,"")</f>
        <v/>
      </c>
      <c r="AK307" s="17" t="str">
        <f>IF(ISNUMBER('Model_ of_individuals'!AK318), 'Model_ of_individuals'!AK318*'Model_ of_individuals'!$K318,"")</f>
        <v/>
      </c>
      <c r="AL307" s="17" t="str">
        <f>IF(ISNUMBER('Model_ of_individuals'!AL318), 'Model_ of_individuals'!AL318*'Model_ of_individuals'!$K318,"")</f>
        <v/>
      </c>
      <c r="AM307" s="17" t="str">
        <f>IF(ISNUMBER('Model_ of_individuals'!AM318), 'Model_ of_individuals'!AM318*'Model_ of_individuals'!$K318,"")</f>
        <v/>
      </c>
      <c r="AN307" s="17" t="str">
        <f>IF(ISNUMBER('Model_ of_individuals'!AN318), 'Model_ of_individuals'!AN318*'Model_ of_individuals'!$K318,"")</f>
        <v/>
      </c>
      <c r="AO307" s="17" t="str">
        <f>IF(ISNUMBER('Model_ of_individuals'!AO318), 'Model_ of_individuals'!AO318*'Model_ of_individuals'!$K318,"")</f>
        <v/>
      </c>
      <c r="AP307" s="17" t="str">
        <f>IF(ISNUMBER('Model_ of_individuals'!AP318), 'Model_ of_individuals'!AP318*'Model_ of_individuals'!$K318,"")</f>
        <v/>
      </c>
      <c r="AQ307" s="17" t="str">
        <f>IF(ISNUMBER('Model_ of_individuals'!AQ318), 'Model_ of_individuals'!AQ318*'Model_ of_individuals'!$K318,"")</f>
        <v/>
      </c>
      <c r="AR307" s="17" t="str">
        <f>IF(ISNUMBER('Model_ of_individuals'!AR318), 'Model_ of_individuals'!AR318*'Model_ of_individuals'!$K318,"")</f>
        <v/>
      </c>
    </row>
    <row r="308" spans="1:45" ht="15.75" thickBot="1" x14ac:dyDescent="0.3">
      <c r="A308" s="518"/>
      <c r="B308" s="504"/>
      <c r="C308" s="111" t="str">
        <f>IF(AND(ISNUMBER(B270), OR('Cost Inputs'!$H$126&lt;&gt;"", 'Cost Inputs'!$I$126&lt;&gt;"", 'Cost Inputs'!$J$126&lt;&gt;"")), _4_5_2, "")</f>
        <v/>
      </c>
      <c r="D308" s="95" t="str">
        <f>IF(AND(C308&lt;&gt;"", 'Cost Inputs'!$G$126&lt;&gt;""), 'Cost Inputs'!$G$126, "")</f>
        <v/>
      </c>
      <c r="E308" s="95" t="str">
        <f>IF(AND(C308&lt;&gt;"", 'Cost Inputs'!$H$126&lt;&gt;""), 'Cost Inputs'!$H$126, "")</f>
        <v/>
      </c>
      <c r="F308" s="95" t="str">
        <f>IF(AND(C308&lt;&gt;"", 'Cost Inputs'!$I$126&lt;&gt;""), 'Cost Inputs'!$I$126, "")</f>
        <v/>
      </c>
      <c r="G308" s="112" t="str">
        <f t="shared" si="16"/>
        <v/>
      </c>
      <c r="H308" s="95" t="str">
        <f>IF(AND(C308&lt;&gt;"", 'Cost Inputs'!$J$126&lt;&gt;""), 'Cost Inputs'!$J$126, "")</f>
        <v/>
      </c>
      <c r="I308" s="95" t="str">
        <f t="shared" si="22"/>
        <v/>
      </c>
      <c r="J308" s="95" t="str">
        <f>IF(AND(C308&lt;&gt;"",('Cost Inputs'!$I$126+'Cost Inputs'!$J$126+'Cost Inputs'!$K$126)&gt;0), 'Cost Inputs'!$I$126+'Cost Inputs'!$J$126+'Cost Inputs'!$K$126, "")</f>
        <v/>
      </c>
      <c r="K308" s="95" t="str">
        <f>IF($C308&lt;&gt;"", IF(AND($E308&lt;&gt;"", J308&lt;&gt;""), J308/$E308, 0),"")</f>
        <v/>
      </c>
      <c r="L308" s="526"/>
      <c r="M308" s="526"/>
      <c r="O308" s="95" t="str">
        <f>IF(ISNUMBER('Model_ of_individuals'!O319), 'Model_ of_individuals'!O319*'Model_ of_individuals'!$K319,"")</f>
        <v/>
      </c>
      <c r="P308" s="95" t="str">
        <f>IF(ISNUMBER('Model_ of_individuals'!P319), 'Model_ of_individuals'!P319*'Model_ of_individuals'!$K319,"")</f>
        <v/>
      </c>
      <c r="Q308" s="95" t="str">
        <f>IF(ISNUMBER('Model_ of_individuals'!Q319), 'Model_ of_individuals'!Q319*'Model_ of_individuals'!$K319,"")</f>
        <v/>
      </c>
      <c r="R308" s="95" t="str">
        <f>IF(ISNUMBER('Model_ of_individuals'!R319), 'Model_ of_individuals'!R319*'Model_ of_individuals'!$K319,"")</f>
        <v/>
      </c>
      <c r="S308" s="95" t="str">
        <f>IF(ISNUMBER('Model_ of_individuals'!S319), 'Model_ of_individuals'!S319*'Model_ of_individuals'!$K319,"")</f>
        <v/>
      </c>
      <c r="T308" s="95" t="str">
        <f>IF(ISNUMBER('Model_ of_individuals'!T319), 'Model_ of_individuals'!T319*'Model_ of_individuals'!$K319,"")</f>
        <v/>
      </c>
      <c r="U308" s="95" t="str">
        <f>IF(ISNUMBER('Model_ of_individuals'!U319), 'Model_ of_individuals'!U319*'Model_ of_individuals'!$K319,"")</f>
        <v/>
      </c>
      <c r="V308" s="95" t="str">
        <f>IF(ISNUMBER('Model_ of_individuals'!V319), 'Model_ of_individuals'!V319*'Model_ of_individuals'!$K319,"")</f>
        <v/>
      </c>
      <c r="W308" s="95" t="str">
        <f>IF(ISNUMBER('Model_ of_individuals'!W319), 'Model_ of_individuals'!W319*'Model_ of_individuals'!$K319,"")</f>
        <v/>
      </c>
      <c r="X308" s="95" t="str">
        <f>IF(ISNUMBER('Model_ of_individuals'!X319), 'Model_ of_individuals'!X319*'Model_ of_individuals'!$K319,"")</f>
        <v/>
      </c>
      <c r="Y308" s="95" t="str">
        <f>IF(ISNUMBER('Model_ of_individuals'!Y319), 'Model_ of_individuals'!Y319*'Model_ of_individuals'!$K319,"")</f>
        <v/>
      </c>
      <c r="Z308" s="95" t="str">
        <f>IF(ISNUMBER('Model_ of_individuals'!Z319), 'Model_ of_individuals'!Z319*'Model_ of_individuals'!$K319,"")</f>
        <v/>
      </c>
      <c r="AA308" s="95" t="str">
        <f>IF(ISNUMBER('Model_ of_individuals'!AA319), 'Model_ of_individuals'!AA319*'Model_ of_individuals'!$K319,"")</f>
        <v/>
      </c>
      <c r="AB308" s="95" t="str">
        <f>IF(ISNUMBER('Model_ of_individuals'!AB319), 'Model_ of_individuals'!AB319*'Model_ of_individuals'!$K319,"")</f>
        <v/>
      </c>
      <c r="AC308" s="95" t="str">
        <f>IF(ISNUMBER('Model_ of_individuals'!AC319), 'Model_ of_individuals'!AC319*'Model_ of_individuals'!$K319,"")</f>
        <v/>
      </c>
      <c r="AD308" s="95" t="str">
        <f>IF(ISNUMBER('Model_ of_individuals'!AD319), 'Model_ of_individuals'!AD319*'Model_ of_individuals'!$K319,"")</f>
        <v/>
      </c>
      <c r="AE308" s="95" t="str">
        <f>IF(ISNUMBER('Model_ of_individuals'!AE319), 'Model_ of_individuals'!AE319*'Model_ of_individuals'!$K319,"")</f>
        <v/>
      </c>
      <c r="AF308" s="95" t="str">
        <f>IF(ISNUMBER('Model_ of_individuals'!AF319), 'Model_ of_individuals'!AF319*'Model_ of_individuals'!$K319,"")</f>
        <v/>
      </c>
      <c r="AG308" s="95" t="str">
        <f>IF(ISNUMBER('Model_ of_individuals'!AG319), 'Model_ of_individuals'!AG319*'Model_ of_individuals'!$K319,"")</f>
        <v/>
      </c>
      <c r="AH308" s="95" t="str">
        <f>IF(ISNUMBER('Model_ of_individuals'!AH319), 'Model_ of_individuals'!AH319*'Model_ of_individuals'!$K319,"")</f>
        <v/>
      </c>
      <c r="AI308" s="95" t="str">
        <f>IF(ISNUMBER('Model_ of_individuals'!AI319), 'Model_ of_individuals'!AI319*'Model_ of_individuals'!$K319,"")</f>
        <v/>
      </c>
      <c r="AJ308" s="95" t="str">
        <f>IF(ISNUMBER('Model_ of_individuals'!AJ319), 'Model_ of_individuals'!AJ319*'Model_ of_individuals'!$K319,"")</f>
        <v/>
      </c>
      <c r="AK308" s="95" t="str">
        <f>IF(ISNUMBER('Model_ of_individuals'!AK319), 'Model_ of_individuals'!AK319*'Model_ of_individuals'!$K319,"")</f>
        <v/>
      </c>
      <c r="AL308" s="95" t="str">
        <f>IF(ISNUMBER('Model_ of_individuals'!AL319), 'Model_ of_individuals'!AL319*'Model_ of_individuals'!$K319,"")</f>
        <v/>
      </c>
      <c r="AM308" s="95" t="str">
        <f>IF(ISNUMBER('Model_ of_individuals'!AM319), 'Model_ of_individuals'!AM319*'Model_ of_individuals'!$K319,"")</f>
        <v/>
      </c>
      <c r="AN308" s="95" t="str">
        <f>IF(ISNUMBER('Model_ of_individuals'!AN319), 'Model_ of_individuals'!AN319*'Model_ of_individuals'!$K319,"")</f>
        <v/>
      </c>
      <c r="AO308" s="95" t="str">
        <f>IF(ISNUMBER('Model_ of_individuals'!AO319), 'Model_ of_individuals'!AO319*'Model_ of_individuals'!$K319,"")</f>
        <v/>
      </c>
      <c r="AP308" s="95" t="str">
        <f>IF(ISNUMBER('Model_ of_individuals'!AP319), 'Model_ of_individuals'!AP319*'Model_ of_individuals'!$K319,"")</f>
        <v/>
      </c>
      <c r="AQ308" s="95" t="str">
        <f>IF(ISNUMBER('Model_ of_individuals'!AQ319), 'Model_ of_individuals'!AQ319*'Model_ of_individuals'!$K319,"")</f>
        <v/>
      </c>
      <c r="AR308" s="95" t="str">
        <f>IF(ISNUMBER('Model_ of_individuals'!AR319), 'Model_ of_individuals'!AR319*'Model_ of_individuals'!$K319,"")</f>
        <v/>
      </c>
    </row>
    <row r="309" spans="1:45" ht="6.6" customHeight="1" thickBot="1" x14ac:dyDescent="0.3">
      <c r="A309" s="213"/>
      <c r="B309" s="272"/>
      <c r="C309" s="273"/>
      <c r="D309" s="134"/>
      <c r="E309" s="134"/>
      <c r="F309" s="134"/>
      <c r="G309" s="274"/>
      <c r="H309" s="134"/>
      <c r="I309" s="134"/>
      <c r="J309" s="134"/>
      <c r="K309" s="134"/>
      <c r="L309" s="275"/>
      <c r="M309" s="275"/>
      <c r="N309" s="276"/>
      <c r="O309" s="134" t="str">
        <f>IF(ISNUMBER($B$270),
IF($C270&lt;&gt;"",
IF(AND(ISNUMBER('Stage 2 Randomized Selection'!E$2), 'Stage 2 Randomized Selection'!E$2&gt;0),
IF(AND(O$269=123, Cultivar_1_Cohort_Year_Selection=$O$268,Cultivar_2_Cohort_Year_Selection=$O$268,Cultivar_3_Cohort_Year_Selection=$O$268), ROUND(MAX(0,('Stage 2 Randomized Selection'!E$2-('Stage 2 Randomized Selection'!E$2*$M270)) - 3),0),
IF(AND(OR(O$269=123, O$269=12), Cultivar_1_Cohort_Year_Selection=$O$268,Cultivar_2_Cohort_Year_Selection=$O$268),  ROUND(MAX(0,('Stage 2 Randomized Selection'!E$2-('Stage 2 Randomized Selection'!E$2*$M270)) - 2),0),
IF(AND(OR(O$269=123, O$269=13), Cultivar_1_Cohort_Year_Selection=$O$268,Cultivar_3_Cohort_Year_Selection=$O$268), ROUND(MAX(0,('Stage 2 Randomized Selection'!E$2-('Stage 2 Randomized Selection'!E$2*$M270)) - 2),0),
IF(AND(OR(O$269=123, O$269=23), Cultivar_2_Cohort_Year_Selection=$O$268,Cultivar_3_Cohort_Year_Selection=$O$268), ROUND(MAX(0,('Stage 2 Randomized Selection'!E$2-('Stage 2 Randomized Selection'!E$2*$M270)) - 2),0),
IF(AND(OR(O$269=123, O$269=12, O$269=13, O$269=1), Cultivar_1_Cohort_Year_Selection=$O$268), ROUND(MAX(0,('Stage 2 Randomized Selection'!E$2-('Stage 2 Randomized Selection'!E$2*$M270)) - 1),0),
IF(AND(OR(O$269=123, O$269=12, O$269=23, O$269=2), Cultivar_2_Cohort_Year_Selection=$O$268), ROUND(MAX(0,('Stage 2 Randomized Selection'!E$2-('Stage 2 Randomized Selection'!E$2*$M270)) - 1),0),
IF(AND(OR(O$269=123, O$269=13, O$269=23, O$269=3), Cultivar_3_Cohort_Year_Selection=$O$268), ROUND(MAX(0,('Stage 2 Randomized Selection'!E$2-('Stage 2 Randomized Selection'!E$2*$M270)) - 1),0),
('Stage 2 Randomized Selection'!E$2-('Stage 2 Randomized Selection'!E$2*$M270))))))))),""),""),"")</f>
        <v/>
      </c>
      <c r="P309" s="134" t="str">
        <f>IF(ISNUMBER($B$270),
IF($C270&lt;&gt;"",
IF(AND(ISNUMBER('Stage 2 Randomized Selection'!F$2), 'Stage 2 Randomized Selection'!F$2&gt;0),
IF(AND(P$269=123, Cultivar_1_Cohort_Year_Selection=$O$268,Cultivar_2_Cohort_Year_Selection=$O$268,Cultivar_3_Cohort_Year_Selection=$O$268), ROUND(MAX(0,('Stage 2 Randomized Selection'!F$2-('Stage 2 Randomized Selection'!F$2*$M270)) - 3),0),
IF(AND(OR(P$269=123, P$269=12), Cultivar_1_Cohort_Year_Selection=$O$268,Cultivar_2_Cohort_Year_Selection=$O$268),  ROUND(MAX(0,('Stage 2 Randomized Selection'!F$2-('Stage 2 Randomized Selection'!F$2*$M270)) - 2),0),
IF(AND(OR(P$269=123, P$269=13), Cultivar_1_Cohort_Year_Selection=$O$268,Cultivar_3_Cohort_Year_Selection=$O$268), ROUND(MAX(0,('Stage 2 Randomized Selection'!F$2-('Stage 2 Randomized Selection'!F$2*$M270)) - 2),0),
IF(AND(OR(P$269=123, P$269=23), Cultivar_2_Cohort_Year_Selection=$O$268,Cultivar_3_Cohort_Year_Selection=$O$268), ROUND(MAX(0,('Stage 2 Randomized Selection'!F$2-('Stage 2 Randomized Selection'!F$2*$M270)) - 2),0),
IF(AND(OR(P$269=123, P$269=12, P$269=13, P$269=1), Cultivar_1_Cohort_Year_Selection=$O$268), ROUND(MAX(0,('Stage 2 Randomized Selection'!F$2-('Stage 2 Randomized Selection'!F$2*$M270)) - 1),0),
IF(AND(OR(P$269=123, P$269=12, P$269=23, P$269=2), Cultivar_2_Cohort_Year_Selection=$O$268), ROUND(MAX(0,('Stage 2 Randomized Selection'!F$2-('Stage 2 Randomized Selection'!F$2*$M270)) - 1),0),
IF(AND(OR(P$269=123, P$269=13, P$269=23, P$269=3), Cultivar_3_Cohort_Year_Selection=$O$268), ROUND(MAX(0,('Stage 2 Randomized Selection'!F$2-('Stage 2 Randomized Selection'!F$2*$M270)) - 1),0),
('Stage 2 Randomized Selection'!F$2-('Stage 2 Randomized Selection'!F$2*$M270))))))))),""),""),"")</f>
        <v/>
      </c>
      <c r="Q309" s="134" t="str">
        <f>IF(ISNUMBER($B$270),
IF($C270&lt;&gt;"",
IF(AND(ISNUMBER('Stage 2 Randomized Selection'!G$2), 'Stage 2 Randomized Selection'!G$2&gt;0),
IF(AND(Q$269=123, Cultivar_1_Cohort_Year_Selection=$O$268,Cultivar_2_Cohort_Year_Selection=$O$268,Cultivar_3_Cohort_Year_Selection=$O$268), ROUND(MAX(0,('Stage 2 Randomized Selection'!G$2-('Stage 2 Randomized Selection'!G$2*$M270)) - 3),0),
IF(AND(OR(Q$269=123, Q$269=12), Cultivar_1_Cohort_Year_Selection=$O$268,Cultivar_2_Cohort_Year_Selection=$O$268),  ROUND(MAX(0,('Stage 2 Randomized Selection'!G$2-('Stage 2 Randomized Selection'!G$2*$M270)) - 2),0),
IF(AND(OR(Q$269=123, Q$269=13), Cultivar_1_Cohort_Year_Selection=$O$268,Cultivar_3_Cohort_Year_Selection=$O$268), ROUND(MAX(0,('Stage 2 Randomized Selection'!G$2-('Stage 2 Randomized Selection'!G$2*$M270)) - 2),0),
IF(AND(OR(Q$269=123, Q$269=23), Cultivar_2_Cohort_Year_Selection=$O$268,Cultivar_3_Cohort_Year_Selection=$O$268), ROUND(MAX(0,('Stage 2 Randomized Selection'!G$2-('Stage 2 Randomized Selection'!G$2*$M270)) - 2),0),
IF(AND(OR(Q$269=123, Q$269=12, Q$269=13, Q$269=1), Cultivar_1_Cohort_Year_Selection=$O$268), ROUND(MAX(0,('Stage 2 Randomized Selection'!G$2-('Stage 2 Randomized Selection'!G$2*$M270)) - 1),0),
IF(AND(OR(Q$269=123, Q$269=12, Q$269=23, Q$269=2), Cultivar_2_Cohort_Year_Selection=$O$268), ROUND(MAX(0,('Stage 2 Randomized Selection'!G$2-('Stage 2 Randomized Selection'!G$2*$M270)) - 1),0),
IF(AND(OR(Q$269=123, Q$269=13, Q$269=23, Q$269=3), Cultivar_3_Cohort_Year_Selection=$O$268), ROUND(MAX(0,('Stage 2 Randomized Selection'!G$2-('Stage 2 Randomized Selection'!G$2*$M270)) - 1),0),
('Stage 2 Randomized Selection'!G$2-('Stage 2 Randomized Selection'!G$2*$M270))))))))),""),""),"")</f>
        <v/>
      </c>
      <c r="R309" s="134" t="str">
        <f>IF(ISNUMBER($B$270),
IF($C270&lt;&gt;"",
IF(AND(ISNUMBER('Stage 2 Randomized Selection'!H$2), 'Stage 2 Randomized Selection'!H$2&gt;0),
IF(AND(R$269=123, Cultivar_1_Cohort_Year_Selection=$O$268,Cultivar_2_Cohort_Year_Selection=$O$268,Cultivar_3_Cohort_Year_Selection=$O$268), ROUND(MAX(0,('Stage 2 Randomized Selection'!H$2-('Stage 2 Randomized Selection'!H$2*$M270)) - 3),0),
IF(AND(OR(R$269=123, R$269=12), Cultivar_1_Cohort_Year_Selection=$O$268,Cultivar_2_Cohort_Year_Selection=$O$268),  ROUND(MAX(0,('Stage 2 Randomized Selection'!H$2-('Stage 2 Randomized Selection'!H$2*$M270)) - 2),0),
IF(AND(OR(R$269=123, R$269=13), Cultivar_1_Cohort_Year_Selection=$O$268,Cultivar_3_Cohort_Year_Selection=$O$268), ROUND(MAX(0,('Stage 2 Randomized Selection'!H$2-('Stage 2 Randomized Selection'!H$2*$M270)) - 2),0),
IF(AND(OR(R$269=123, R$269=23), Cultivar_2_Cohort_Year_Selection=$O$268,Cultivar_3_Cohort_Year_Selection=$O$268), ROUND(MAX(0,('Stage 2 Randomized Selection'!H$2-('Stage 2 Randomized Selection'!H$2*$M270)) - 2),0),
IF(AND(OR(R$269=123, R$269=12, R$269=13, R$269=1), Cultivar_1_Cohort_Year_Selection=$O$268), ROUND(MAX(0,('Stage 2 Randomized Selection'!H$2-('Stage 2 Randomized Selection'!H$2*$M270)) - 1),0),
IF(AND(OR(R$269=123, R$269=12, R$269=23, R$269=2), Cultivar_2_Cohort_Year_Selection=$O$268), ROUND(MAX(0,('Stage 2 Randomized Selection'!H$2-('Stage 2 Randomized Selection'!H$2*$M270)) - 1),0),
IF(AND(OR(R$269=123, R$269=13, R$269=23, R$269=3), Cultivar_3_Cohort_Year_Selection=$O$268), ROUND(MAX(0,('Stage 2 Randomized Selection'!H$2-('Stage 2 Randomized Selection'!H$2*$M270)) - 1),0),
('Stage 2 Randomized Selection'!H$2-('Stage 2 Randomized Selection'!H$2*$M270))))))))),""),""),"")</f>
        <v/>
      </c>
      <c r="S309" s="134" t="str">
        <f>IF(ISNUMBER($B$270),
IF($C270&lt;&gt;"",
IF(AND(ISNUMBER('Stage 2 Randomized Selection'!I$2), 'Stage 2 Randomized Selection'!I$2&gt;0),
IF(AND(S$269=123, Cultivar_1_Cohort_Year_Selection=$O$268,Cultivar_2_Cohort_Year_Selection=$O$268,Cultivar_3_Cohort_Year_Selection=$O$268), ROUND(MAX(0,('Stage 2 Randomized Selection'!I$2-('Stage 2 Randomized Selection'!I$2*$M270)) - 3),0),
IF(AND(OR(S$269=123, S$269=12), Cultivar_1_Cohort_Year_Selection=$O$268,Cultivar_2_Cohort_Year_Selection=$O$268),  ROUND(MAX(0,('Stage 2 Randomized Selection'!I$2-('Stage 2 Randomized Selection'!I$2*$M270)) - 2),0),
IF(AND(OR(S$269=123, S$269=13), Cultivar_1_Cohort_Year_Selection=$O$268,Cultivar_3_Cohort_Year_Selection=$O$268), ROUND(MAX(0,('Stage 2 Randomized Selection'!I$2-('Stage 2 Randomized Selection'!I$2*$M270)) - 2),0),
IF(AND(OR(S$269=123, S$269=23), Cultivar_2_Cohort_Year_Selection=$O$268,Cultivar_3_Cohort_Year_Selection=$O$268), ROUND(MAX(0,('Stage 2 Randomized Selection'!I$2-('Stage 2 Randomized Selection'!I$2*$M270)) - 2),0),
IF(AND(OR(S$269=123, S$269=12, S$269=13, S$269=1), Cultivar_1_Cohort_Year_Selection=$O$268), ROUND(MAX(0,('Stage 2 Randomized Selection'!I$2-('Stage 2 Randomized Selection'!I$2*$M270)) - 1),0),
IF(AND(OR(S$269=123, S$269=12, S$269=23, S$269=2), Cultivar_2_Cohort_Year_Selection=$O$268), ROUND(MAX(0,('Stage 2 Randomized Selection'!I$2-('Stage 2 Randomized Selection'!I$2*$M270)) - 1),0),
IF(AND(OR(S$269=123, S$269=13, S$269=23, S$269=3), Cultivar_3_Cohort_Year_Selection=$O$268), ROUND(MAX(0,('Stage 2 Randomized Selection'!I$2-('Stage 2 Randomized Selection'!I$2*$M270)) - 1),0),
('Stage 2 Randomized Selection'!I$2-('Stage 2 Randomized Selection'!I$2*$M270))))))))),""),""),"")</f>
        <v/>
      </c>
      <c r="T309" s="134" t="str">
        <f>IF(ISNUMBER($B$270),
IF($C270&lt;&gt;"",
IF(AND(ISNUMBER('Stage 2 Randomized Selection'!J$2), 'Stage 2 Randomized Selection'!J$2&gt;0),
IF(AND(T$269=123, Cultivar_1_Cohort_Year_Selection=$O$268,Cultivar_2_Cohort_Year_Selection=$O$268,Cultivar_3_Cohort_Year_Selection=$O$268), ROUND(MAX(0,('Stage 2 Randomized Selection'!J$2-('Stage 2 Randomized Selection'!J$2*$M270)) - 3),0),
IF(AND(OR(T$269=123, T$269=12), Cultivar_1_Cohort_Year_Selection=$O$268,Cultivar_2_Cohort_Year_Selection=$O$268),  ROUND(MAX(0,('Stage 2 Randomized Selection'!J$2-('Stage 2 Randomized Selection'!J$2*$M270)) - 2),0),
IF(AND(OR(T$269=123, T$269=13), Cultivar_1_Cohort_Year_Selection=$O$268,Cultivar_3_Cohort_Year_Selection=$O$268), ROUND(MAX(0,('Stage 2 Randomized Selection'!J$2-('Stage 2 Randomized Selection'!J$2*$M270)) - 2),0),
IF(AND(OR(T$269=123, T$269=23), Cultivar_2_Cohort_Year_Selection=$O$268,Cultivar_3_Cohort_Year_Selection=$O$268), ROUND(MAX(0,('Stage 2 Randomized Selection'!J$2-('Stage 2 Randomized Selection'!J$2*$M270)) - 2),0),
IF(AND(OR(T$269=123, T$269=12, T$269=13, T$269=1), Cultivar_1_Cohort_Year_Selection=$O$268), ROUND(MAX(0,('Stage 2 Randomized Selection'!J$2-('Stage 2 Randomized Selection'!J$2*$M270)) - 1),0),
IF(AND(OR(T$269=123, T$269=12, T$269=23, T$269=2), Cultivar_2_Cohort_Year_Selection=$O$268), ROUND(MAX(0,('Stage 2 Randomized Selection'!J$2-('Stage 2 Randomized Selection'!J$2*$M270)) - 1),0),
IF(AND(OR(T$269=123, T$269=13, T$269=23, T$269=3), Cultivar_3_Cohort_Year_Selection=$O$268), ROUND(MAX(0,('Stage 2 Randomized Selection'!J$2-('Stage 2 Randomized Selection'!J$2*$M270)) - 1),0),
('Stage 2 Randomized Selection'!J$2-('Stage 2 Randomized Selection'!J$2*$M270))))))))),""),""),"")</f>
        <v/>
      </c>
      <c r="U309" s="134" t="str">
        <f>IF(ISNUMBER($B$270),
IF($C270&lt;&gt;"",
IF(AND(ISNUMBER('Stage 2 Randomized Selection'!K$2), 'Stage 2 Randomized Selection'!K$2&gt;0),
IF(AND(U$269=123, Cultivar_1_Cohort_Year_Selection=$O$268,Cultivar_2_Cohort_Year_Selection=$O$268,Cultivar_3_Cohort_Year_Selection=$O$268), ROUND(MAX(0,('Stage 2 Randomized Selection'!K$2-('Stage 2 Randomized Selection'!K$2*$M270)) - 3),0),
IF(AND(OR(U$269=123, U$269=12), Cultivar_1_Cohort_Year_Selection=$O$268,Cultivar_2_Cohort_Year_Selection=$O$268),  ROUND(MAX(0,('Stage 2 Randomized Selection'!K$2-('Stage 2 Randomized Selection'!K$2*$M270)) - 2),0),
IF(AND(OR(U$269=123, U$269=13), Cultivar_1_Cohort_Year_Selection=$O$268,Cultivar_3_Cohort_Year_Selection=$O$268), ROUND(MAX(0,('Stage 2 Randomized Selection'!K$2-('Stage 2 Randomized Selection'!K$2*$M270)) - 2),0),
IF(AND(OR(U$269=123, U$269=23), Cultivar_2_Cohort_Year_Selection=$O$268,Cultivar_3_Cohort_Year_Selection=$O$268), ROUND(MAX(0,('Stage 2 Randomized Selection'!K$2-('Stage 2 Randomized Selection'!K$2*$M270)) - 2),0),
IF(AND(OR(U$269=123, U$269=12, U$269=13, U$269=1), Cultivar_1_Cohort_Year_Selection=$O$268), ROUND(MAX(0,('Stage 2 Randomized Selection'!K$2-('Stage 2 Randomized Selection'!K$2*$M270)) - 1),0),
IF(AND(OR(U$269=123, U$269=12, U$269=23, U$269=2), Cultivar_2_Cohort_Year_Selection=$O$268), ROUND(MAX(0,('Stage 2 Randomized Selection'!K$2-('Stage 2 Randomized Selection'!K$2*$M270)) - 1),0),
IF(AND(OR(U$269=123, U$269=13, U$269=23, U$269=3), Cultivar_3_Cohort_Year_Selection=$O$268), ROUND(MAX(0,('Stage 2 Randomized Selection'!K$2-('Stage 2 Randomized Selection'!K$2*$M270)) - 1),0),
('Stage 2 Randomized Selection'!K$2-('Stage 2 Randomized Selection'!K$2*$M270))))))))),""),""),"")</f>
        <v/>
      </c>
      <c r="V309" s="134" t="str">
        <f>IF(ISNUMBER($B$270),
IF($C270&lt;&gt;"",
IF(AND(ISNUMBER('Stage 2 Randomized Selection'!L$2), 'Stage 2 Randomized Selection'!L$2&gt;0),
IF(AND(V$269=123, Cultivar_1_Cohort_Year_Selection=$O$268,Cultivar_2_Cohort_Year_Selection=$O$268,Cultivar_3_Cohort_Year_Selection=$O$268), ROUND(MAX(0,('Stage 2 Randomized Selection'!L$2-('Stage 2 Randomized Selection'!L$2*$M270)) - 3),0),
IF(AND(OR(V$269=123, V$269=12), Cultivar_1_Cohort_Year_Selection=$O$268,Cultivar_2_Cohort_Year_Selection=$O$268),  ROUND(MAX(0,('Stage 2 Randomized Selection'!L$2-('Stage 2 Randomized Selection'!L$2*$M270)) - 2),0),
IF(AND(OR(V$269=123, V$269=13), Cultivar_1_Cohort_Year_Selection=$O$268,Cultivar_3_Cohort_Year_Selection=$O$268), ROUND(MAX(0,('Stage 2 Randomized Selection'!L$2-('Stage 2 Randomized Selection'!L$2*$M270)) - 2),0),
IF(AND(OR(V$269=123, V$269=23), Cultivar_2_Cohort_Year_Selection=$O$268,Cultivar_3_Cohort_Year_Selection=$O$268), ROUND(MAX(0,('Stage 2 Randomized Selection'!L$2-('Stage 2 Randomized Selection'!L$2*$M270)) - 2),0),
IF(AND(OR(V$269=123, V$269=12, V$269=13, V$269=1), Cultivar_1_Cohort_Year_Selection=$O$268), ROUND(MAX(0,('Stage 2 Randomized Selection'!L$2-('Stage 2 Randomized Selection'!L$2*$M270)) - 1),0),
IF(AND(OR(V$269=123, V$269=12, V$269=23, V$269=2), Cultivar_2_Cohort_Year_Selection=$O$268), ROUND(MAX(0,('Stage 2 Randomized Selection'!L$2-('Stage 2 Randomized Selection'!L$2*$M270)) - 1),0),
IF(AND(OR(V$269=123, V$269=13, V$269=23, V$269=3), Cultivar_3_Cohort_Year_Selection=$O$268), ROUND(MAX(0,('Stage 2 Randomized Selection'!L$2-('Stage 2 Randomized Selection'!L$2*$M270)) - 1),0),
('Stage 2 Randomized Selection'!L$2-('Stage 2 Randomized Selection'!L$2*$M270))))))))),""),""),"")</f>
        <v/>
      </c>
      <c r="W309" s="134" t="str">
        <f>IF(ISNUMBER($B$270),
IF($C270&lt;&gt;"",
IF(AND(ISNUMBER('Stage 2 Randomized Selection'!M$2), 'Stage 2 Randomized Selection'!M$2&gt;0),
IF(AND(W$269=123, Cultivar_1_Cohort_Year_Selection=$O$268,Cultivar_2_Cohort_Year_Selection=$O$268,Cultivar_3_Cohort_Year_Selection=$O$268), ROUND(MAX(0,('Stage 2 Randomized Selection'!M$2-('Stage 2 Randomized Selection'!M$2*$M270)) - 3),0),
IF(AND(OR(W$269=123, W$269=12), Cultivar_1_Cohort_Year_Selection=$O$268,Cultivar_2_Cohort_Year_Selection=$O$268),  ROUND(MAX(0,('Stage 2 Randomized Selection'!M$2-('Stage 2 Randomized Selection'!M$2*$M270)) - 2),0),
IF(AND(OR(W$269=123, W$269=13), Cultivar_1_Cohort_Year_Selection=$O$268,Cultivar_3_Cohort_Year_Selection=$O$268), ROUND(MAX(0,('Stage 2 Randomized Selection'!M$2-('Stage 2 Randomized Selection'!M$2*$M270)) - 2),0),
IF(AND(OR(W$269=123, W$269=23), Cultivar_2_Cohort_Year_Selection=$O$268,Cultivar_3_Cohort_Year_Selection=$O$268), ROUND(MAX(0,('Stage 2 Randomized Selection'!M$2-('Stage 2 Randomized Selection'!M$2*$M270)) - 2),0),
IF(AND(OR(W$269=123, W$269=12, W$269=13, W$269=1), Cultivar_1_Cohort_Year_Selection=$O$268), ROUND(MAX(0,('Stage 2 Randomized Selection'!M$2-('Stage 2 Randomized Selection'!M$2*$M270)) - 1),0),
IF(AND(OR(W$269=123, W$269=12, W$269=23, W$269=2), Cultivar_2_Cohort_Year_Selection=$O$268), ROUND(MAX(0,('Stage 2 Randomized Selection'!M$2-('Stage 2 Randomized Selection'!M$2*$M270)) - 1),0),
IF(AND(OR(W$269=123, W$269=13, W$269=23, W$269=3), Cultivar_3_Cohort_Year_Selection=$O$268), ROUND(MAX(0,('Stage 2 Randomized Selection'!M$2-('Stage 2 Randomized Selection'!M$2*$M270)) - 1),0),
('Stage 2 Randomized Selection'!M$2-('Stage 2 Randomized Selection'!M$2*$M270))))))))),""),""),"")</f>
        <v/>
      </c>
      <c r="X309" s="134" t="str">
        <f>IF(ISNUMBER($B$270),
IF($C270&lt;&gt;"",
IF(AND(ISNUMBER('Stage 2 Randomized Selection'!N$2), 'Stage 2 Randomized Selection'!N$2&gt;0),
IF(AND(X$269=123, Cultivar_1_Cohort_Year_Selection=$O$268,Cultivar_2_Cohort_Year_Selection=$O$268,Cultivar_3_Cohort_Year_Selection=$O$268), ROUND(MAX(0,('Stage 2 Randomized Selection'!N$2-('Stage 2 Randomized Selection'!N$2*$M270)) - 3),0),
IF(AND(OR(X$269=123, X$269=12), Cultivar_1_Cohort_Year_Selection=$O$268,Cultivar_2_Cohort_Year_Selection=$O$268),  ROUND(MAX(0,('Stage 2 Randomized Selection'!N$2-('Stage 2 Randomized Selection'!N$2*$M270)) - 2),0),
IF(AND(OR(X$269=123, X$269=13), Cultivar_1_Cohort_Year_Selection=$O$268,Cultivar_3_Cohort_Year_Selection=$O$268), ROUND(MAX(0,('Stage 2 Randomized Selection'!N$2-('Stage 2 Randomized Selection'!N$2*$M270)) - 2),0),
IF(AND(OR(X$269=123, X$269=23), Cultivar_2_Cohort_Year_Selection=$O$268,Cultivar_3_Cohort_Year_Selection=$O$268), ROUND(MAX(0,('Stage 2 Randomized Selection'!N$2-('Stage 2 Randomized Selection'!N$2*$M270)) - 2),0),
IF(AND(OR(X$269=123, X$269=12, X$269=13, X$269=1), Cultivar_1_Cohort_Year_Selection=$O$268), ROUND(MAX(0,('Stage 2 Randomized Selection'!N$2-('Stage 2 Randomized Selection'!N$2*$M270)) - 1),0),
IF(AND(OR(X$269=123, X$269=12, X$269=23, X$269=2), Cultivar_2_Cohort_Year_Selection=$O$268), ROUND(MAX(0,('Stage 2 Randomized Selection'!N$2-('Stage 2 Randomized Selection'!N$2*$M270)) - 1),0),
IF(AND(OR(X$269=123, X$269=13, X$269=23, X$269=3), Cultivar_3_Cohort_Year_Selection=$O$268), ROUND(MAX(0,('Stage 2 Randomized Selection'!N$2-('Stage 2 Randomized Selection'!N$2*$M270)) - 1),0),
('Stage 2 Randomized Selection'!N$2-('Stage 2 Randomized Selection'!N$2*$M270))))))))),""),""),"")</f>
        <v/>
      </c>
      <c r="Y309" s="134" t="str">
        <f>IF(ISNUMBER($B$270),
IF($C270&lt;&gt;"",
IF(AND(ISNUMBER('Stage 2 Randomized Selection'!O$2), 'Stage 2 Randomized Selection'!O$2&gt;0),
IF(AND(Y$269=123, Cultivar_1_Cohort_Year_Selection=$O$268,Cultivar_2_Cohort_Year_Selection=$O$268,Cultivar_3_Cohort_Year_Selection=$O$268), ROUND(MAX(0,('Stage 2 Randomized Selection'!O$2-('Stage 2 Randomized Selection'!O$2*$M270)) - 3),0),
IF(AND(OR(Y$269=123, Y$269=12), Cultivar_1_Cohort_Year_Selection=$O$268,Cultivar_2_Cohort_Year_Selection=$O$268),  ROUND(MAX(0,('Stage 2 Randomized Selection'!O$2-('Stage 2 Randomized Selection'!O$2*$M270)) - 2),0),
IF(AND(OR(Y$269=123, Y$269=13), Cultivar_1_Cohort_Year_Selection=$O$268,Cultivar_3_Cohort_Year_Selection=$O$268), ROUND(MAX(0,('Stage 2 Randomized Selection'!O$2-('Stage 2 Randomized Selection'!O$2*$M270)) - 2),0),
IF(AND(OR(Y$269=123, Y$269=23), Cultivar_2_Cohort_Year_Selection=$O$268,Cultivar_3_Cohort_Year_Selection=$O$268), ROUND(MAX(0,('Stage 2 Randomized Selection'!O$2-('Stage 2 Randomized Selection'!O$2*$M270)) - 2),0),
IF(AND(OR(Y$269=123, Y$269=12, Y$269=13, Y$269=1), Cultivar_1_Cohort_Year_Selection=$O$268), ROUND(MAX(0,('Stage 2 Randomized Selection'!O$2-('Stage 2 Randomized Selection'!O$2*$M270)) - 1),0),
IF(AND(OR(Y$269=123, Y$269=12, Y$269=23, Y$269=2), Cultivar_2_Cohort_Year_Selection=$O$268), ROUND(MAX(0,('Stage 2 Randomized Selection'!O$2-('Stage 2 Randomized Selection'!O$2*$M270)) - 1),0),
IF(AND(OR(Y$269=123, Y$269=13, Y$269=23, Y$269=3), Cultivar_3_Cohort_Year_Selection=$O$268), ROUND(MAX(0,('Stage 2 Randomized Selection'!O$2-('Stage 2 Randomized Selection'!O$2*$M270)) - 1),0),
('Stage 2 Randomized Selection'!O$2-('Stage 2 Randomized Selection'!O$2*$M270))))))))),""),""),"")</f>
        <v/>
      </c>
      <c r="Z309" s="134" t="str">
        <f>IF(ISNUMBER($B$270),
IF($C270&lt;&gt;"",
IF(AND(ISNUMBER('Stage 2 Randomized Selection'!P$2), 'Stage 2 Randomized Selection'!P$2&gt;0),
IF(AND(Z$269=123, Cultivar_1_Cohort_Year_Selection=$O$268,Cultivar_2_Cohort_Year_Selection=$O$268,Cultivar_3_Cohort_Year_Selection=$O$268), ROUND(MAX(0,('Stage 2 Randomized Selection'!P$2-('Stage 2 Randomized Selection'!P$2*$M270)) - 3),0),
IF(AND(OR(Z$269=123, Z$269=12), Cultivar_1_Cohort_Year_Selection=$O$268,Cultivar_2_Cohort_Year_Selection=$O$268),  ROUND(MAX(0,('Stage 2 Randomized Selection'!P$2-('Stage 2 Randomized Selection'!P$2*$M270)) - 2),0),
IF(AND(OR(Z$269=123, Z$269=13), Cultivar_1_Cohort_Year_Selection=$O$268,Cultivar_3_Cohort_Year_Selection=$O$268), ROUND(MAX(0,('Stage 2 Randomized Selection'!P$2-('Stage 2 Randomized Selection'!P$2*$M270)) - 2),0),
IF(AND(OR(Z$269=123, Z$269=23), Cultivar_2_Cohort_Year_Selection=$O$268,Cultivar_3_Cohort_Year_Selection=$O$268), ROUND(MAX(0,('Stage 2 Randomized Selection'!P$2-('Stage 2 Randomized Selection'!P$2*$M270)) - 2),0),
IF(AND(OR(Z$269=123, Z$269=12, Z$269=13, Z$269=1), Cultivar_1_Cohort_Year_Selection=$O$268), ROUND(MAX(0,('Stage 2 Randomized Selection'!P$2-('Stage 2 Randomized Selection'!P$2*$M270)) - 1),0),
IF(AND(OR(Z$269=123, Z$269=12, Z$269=23, Z$269=2), Cultivar_2_Cohort_Year_Selection=$O$268), ROUND(MAX(0,('Stage 2 Randomized Selection'!P$2-('Stage 2 Randomized Selection'!P$2*$M270)) - 1),0),
IF(AND(OR(Z$269=123, Z$269=13, Z$269=23, Z$269=3), Cultivar_3_Cohort_Year_Selection=$O$268), ROUND(MAX(0,('Stage 2 Randomized Selection'!P$2-('Stage 2 Randomized Selection'!P$2*$M270)) - 1),0),
('Stage 2 Randomized Selection'!P$2-('Stage 2 Randomized Selection'!P$2*$M270))))))))),""),""),"")</f>
        <v/>
      </c>
      <c r="AA309" s="134" t="str">
        <f>IF(ISNUMBER($B$270),
IF($C270&lt;&gt;"",
IF(AND(ISNUMBER('Stage 2 Randomized Selection'!Q$2), 'Stage 2 Randomized Selection'!Q$2&gt;0),
IF(AND(AA$269=123, Cultivar_1_Cohort_Year_Selection=$O$268,Cultivar_2_Cohort_Year_Selection=$O$268,Cultivar_3_Cohort_Year_Selection=$O$268), ROUND(MAX(0,('Stage 2 Randomized Selection'!Q$2-('Stage 2 Randomized Selection'!Q$2*$M270)) - 3),0),
IF(AND(OR(AA$269=123, AA$269=12), Cultivar_1_Cohort_Year_Selection=$O$268,Cultivar_2_Cohort_Year_Selection=$O$268),  ROUND(MAX(0,('Stage 2 Randomized Selection'!Q$2-('Stage 2 Randomized Selection'!Q$2*$M270)) - 2),0),
IF(AND(OR(AA$269=123, AA$269=13), Cultivar_1_Cohort_Year_Selection=$O$268,Cultivar_3_Cohort_Year_Selection=$O$268), ROUND(MAX(0,('Stage 2 Randomized Selection'!Q$2-('Stage 2 Randomized Selection'!Q$2*$M270)) - 2),0),
IF(AND(OR(AA$269=123, AA$269=23), Cultivar_2_Cohort_Year_Selection=$O$268,Cultivar_3_Cohort_Year_Selection=$O$268), ROUND(MAX(0,('Stage 2 Randomized Selection'!Q$2-('Stage 2 Randomized Selection'!Q$2*$M270)) - 2),0),
IF(AND(OR(AA$269=123, AA$269=12, AA$269=13, AA$269=1), Cultivar_1_Cohort_Year_Selection=$O$268), ROUND(MAX(0,('Stage 2 Randomized Selection'!Q$2-('Stage 2 Randomized Selection'!Q$2*$M270)) - 1),0),
IF(AND(OR(AA$269=123, AA$269=12, AA$269=23, AA$269=2), Cultivar_2_Cohort_Year_Selection=$O$268), ROUND(MAX(0,('Stage 2 Randomized Selection'!Q$2-('Stage 2 Randomized Selection'!Q$2*$M270)) - 1),0),
IF(AND(OR(AA$269=123, AA$269=13, AA$269=23, AA$269=3), Cultivar_3_Cohort_Year_Selection=$O$268), ROUND(MAX(0,('Stage 2 Randomized Selection'!Q$2-('Stage 2 Randomized Selection'!Q$2*$M270)) - 1),0),
('Stage 2 Randomized Selection'!Q$2-('Stage 2 Randomized Selection'!Q$2*$M270))))))))),""),""),"")</f>
        <v/>
      </c>
      <c r="AB309" s="134" t="str">
        <f>IF(ISNUMBER($B$270),
IF($C270&lt;&gt;"",
IF(AND(ISNUMBER('Stage 2 Randomized Selection'!R$2), 'Stage 2 Randomized Selection'!R$2&gt;0),
IF(AND(AB$269=123, Cultivar_1_Cohort_Year_Selection=$O$268,Cultivar_2_Cohort_Year_Selection=$O$268,Cultivar_3_Cohort_Year_Selection=$O$268), ROUND(MAX(0,('Stage 2 Randomized Selection'!R$2-('Stage 2 Randomized Selection'!R$2*$M270)) - 3),0),
IF(AND(OR(AB$269=123, AB$269=12), Cultivar_1_Cohort_Year_Selection=$O$268,Cultivar_2_Cohort_Year_Selection=$O$268),  ROUND(MAX(0,('Stage 2 Randomized Selection'!R$2-('Stage 2 Randomized Selection'!R$2*$M270)) - 2),0),
IF(AND(OR(AB$269=123, AB$269=13), Cultivar_1_Cohort_Year_Selection=$O$268,Cultivar_3_Cohort_Year_Selection=$O$268), ROUND(MAX(0,('Stage 2 Randomized Selection'!R$2-('Stage 2 Randomized Selection'!R$2*$M270)) - 2),0),
IF(AND(OR(AB$269=123, AB$269=23), Cultivar_2_Cohort_Year_Selection=$O$268,Cultivar_3_Cohort_Year_Selection=$O$268), ROUND(MAX(0,('Stage 2 Randomized Selection'!R$2-('Stage 2 Randomized Selection'!R$2*$M270)) - 2),0),
IF(AND(OR(AB$269=123, AB$269=12, AB$269=13, AB$269=1), Cultivar_1_Cohort_Year_Selection=$O$268), ROUND(MAX(0,('Stage 2 Randomized Selection'!R$2-('Stage 2 Randomized Selection'!R$2*$M270)) - 1),0),
IF(AND(OR(AB$269=123, AB$269=12, AB$269=23, AB$269=2), Cultivar_2_Cohort_Year_Selection=$O$268), ROUND(MAX(0,('Stage 2 Randomized Selection'!R$2-('Stage 2 Randomized Selection'!R$2*$M270)) - 1),0),
IF(AND(OR(AB$269=123, AB$269=13, AB$269=23, AB$269=3), Cultivar_3_Cohort_Year_Selection=$O$268), ROUND(MAX(0,('Stage 2 Randomized Selection'!R$2-('Stage 2 Randomized Selection'!R$2*$M270)) - 1),0),
('Stage 2 Randomized Selection'!R$2-('Stage 2 Randomized Selection'!R$2*$M270))))))))),""),""),"")</f>
        <v/>
      </c>
      <c r="AC309" s="134" t="str">
        <f>IF(ISNUMBER($B$270),
IF($C270&lt;&gt;"",
IF(AND(ISNUMBER('Stage 2 Randomized Selection'!S$2), 'Stage 2 Randomized Selection'!S$2&gt;0),
IF(AND(AC$269=123, Cultivar_1_Cohort_Year_Selection=$O$268,Cultivar_2_Cohort_Year_Selection=$O$268,Cultivar_3_Cohort_Year_Selection=$O$268), ROUND(MAX(0,('Stage 2 Randomized Selection'!S$2-('Stage 2 Randomized Selection'!S$2*$M270)) - 3),0),
IF(AND(OR(AC$269=123, AC$269=12), Cultivar_1_Cohort_Year_Selection=$O$268,Cultivar_2_Cohort_Year_Selection=$O$268),  ROUND(MAX(0,('Stage 2 Randomized Selection'!S$2-('Stage 2 Randomized Selection'!S$2*$M270)) - 2),0),
IF(AND(OR(AC$269=123, AC$269=13), Cultivar_1_Cohort_Year_Selection=$O$268,Cultivar_3_Cohort_Year_Selection=$O$268), ROUND(MAX(0,('Stage 2 Randomized Selection'!S$2-('Stage 2 Randomized Selection'!S$2*$M270)) - 2),0),
IF(AND(OR(AC$269=123, AC$269=23), Cultivar_2_Cohort_Year_Selection=$O$268,Cultivar_3_Cohort_Year_Selection=$O$268), ROUND(MAX(0,('Stage 2 Randomized Selection'!S$2-('Stage 2 Randomized Selection'!S$2*$M270)) - 2),0),
IF(AND(OR(AC$269=123, AC$269=12, AC$269=13, AC$269=1), Cultivar_1_Cohort_Year_Selection=$O$268), ROUND(MAX(0,('Stage 2 Randomized Selection'!S$2-('Stage 2 Randomized Selection'!S$2*$M270)) - 1),0),
IF(AND(OR(AC$269=123, AC$269=12, AC$269=23, AC$269=2), Cultivar_2_Cohort_Year_Selection=$O$268), ROUND(MAX(0,('Stage 2 Randomized Selection'!S$2-('Stage 2 Randomized Selection'!S$2*$M270)) - 1),0),
IF(AND(OR(AC$269=123, AC$269=13, AC$269=23, AC$269=3), Cultivar_3_Cohort_Year_Selection=$O$268), ROUND(MAX(0,('Stage 2 Randomized Selection'!S$2-('Stage 2 Randomized Selection'!S$2*$M270)) - 1),0),
('Stage 2 Randomized Selection'!S$2-('Stage 2 Randomized Selection'!S$2*$M270))))))))),""),""),"")</f>
        <v/>
      </c>
      <c r="AD309" s="134" t="str">
        <f>IF(ISNUMBER($B$270),
IF($C270&lt;&gt;"",
IF(AND(ISNUMBER('Stage 2 Randomized Selection'!T$2), 'Stage 2 Randomized Selection'!T$2&gt;0),
IF(AND(AD$269=123, Cultivar_1_Cohort_Year_Selection=$O$268,Cultivar_2_Cohort_Year_Selection=$O$268,Cultivar_3_Cohort_Year_Selection=$O$268), ROUND(MAX(0,('Stage 2 Randomized Selection'!T$2-('Stage 2 Randomized Selection'!T$2*$M270)) - 3),0),
IF(AND(OR(AD$269=123, AD$269=12), Cultivar_1_Cohort_Year_Selection=$O$268,Cultivar_2_Cohort_Year_Selection=$O$268),  ROUND(MAX(0,('Stage 2 Randomized Selection'!T$2-('Stage 2 Randomized Selection'!T$2*$M270)) - 2),0),
IF(AND(OR(AD$269=123, AD$269=13), Cultivar_1_Cohort_Year_Selection=$O$268,Cultivar_3_Cohort_Year_Selection=$O$268), ROUND(MAX(0,('Stage 2 Randomized Selection'!T$2-('Stage 2 Randomized Selection'!T$2*$M270)) - 2),0),
IF(AND(OR(AD$269=123, AD$269=23), Cultivar_2_Cohort_Year_Selection=$O$268,Cultivar_3_Cohort_Year_Selection=$O$268), ROUND(MAX(0,('Stage 2 Randomized Selection'!T$2-('Stage 2 Randomized Selection'!T$2*$M270)) - 2),0),
IF(AND(OR(AD$269=123, AD$269=12, AD$269=13, AD$269=1), Cultivar_1_Cohort_Year_Selection=$O$268), ROUND(MAX(0,('Stage 2 Randomized Selection'!T$2-('Stage 2 Randomized Selection'!T$2*$M270)) - 1),0),
IF(AND(OR(AD$269=123, AD$269=12, AD$269=23, AD$269=2), Cultivar_2_Cohort_Year_Selection=$O$268), ROUND(MAX(0,('Stage 2 Randomized Selection'!T$2-('Stage 2 Randomized Selection'!T$2*$M270)) - 1),0),
IF(AND(OR(AD$269=123, AD$269=13, AD$269=23, AD$269=3), Cultivar_3_Cohort_Year_Selection=$O$268), ROUND(MAX(0,('Stage 2 Randomized Selection'!T$2-('Stage 2 Randomized Selection'!T$2*$M270)) - 1),0),
('Stage 2 Randomized Selection'!T$2-('Stage 2 Randomized Selection'!T$2*$M270))))))))),""),""),"")</f>
        <v/>
      </c>
      <c r="AE309" s="134" t="str">
        <f>IF(ISNUMBER($B$270),
IF($C270&lt;&gt;"",
IF(AND(ISNUMBER('Stage 2 Randomized Selection'!U$2), 'Stage 2 Randomized Selection'!U$2&gt;0),
IF(AND(AE$269=123, Cultivar_1_Cohort_Year_Selection=$O$268,Cultivar_2_Cohort_Year_Selection=$O$268,Cultivar_3_Cohort_Year_Selection=$O$268), ROUND(MAX(0,('Stage 2 Randomized Selection'!U$2-('Stage 2 Randomized Selection'!U$2*$M270)) - 3),0),
IF(AND(OR(AE$269=123, AE$269=12), Cultivar_1_Cohort_Year_Selection=$O$268,Cultivar_2_Cohort_Year_Selection=$O$268),  ROUND(MAX(0,('Stage 2 Randomized Selection'!U$2-('Stage 2 Randomized Selection'!U$2*$M270)) - 2),0),
IF(AND(OR(AE$269=123, AE$269=13), Cultivar_1_Cohort_Year_Selection=$O$268,Cultivar_3_Cohort_Year_Selection=$O$268), ROUND(MAX(0,('Stage 2 Randomized Selection'!U$2-('Stage 2 Randomized Selection'!U$2*$M270)) - 2),0),
IF(AND(OR(AE$269=123, AE$269=23), Cultivar_2_Cohort_Year_Selection=$O$268,Cultivar_3_Cohort_Year_Selection=$O$268), ROUND(MAX(0,('Stage 2 Randomized Selection'!U$2-('Stage 2 Randomized Selection'!U$2*$M270)) - 2),0),
IF(AND(OR(AE$269=123, AE$269=12, AE$269=13, AE$269=1), Cultivar_1_Cohort_Year_Selection=$O$268), ROUND(MAX(0,('Stage 2 Randomized Selection'!U$2-('Stage 2 Randomized Selection'!U$2*$M270)) - 1),0),
IF(AND(OR(AE$269=123, AE$269=12, AE$269=23, AE$269=2), Cultivar_2_Cohort_Year_Selection=$O$268), ROUND(MAX(0,('Stage 2 Randomized Selection'!U$2-('Stage 2 Randomized Selection'!U$2*$M270)) - 1),0),
IF(AND(OR(AE$269=123, AE$269=13, AE$269=23, AE$269=3), Cultivar_3_Cohort_Year_Selection=$O$268), ROUND(MAX(0,('Stage 2 Randomized Selection'!U$2-('Stage 2 Randomized Selection'!U$2*$M270)) - 1),0),
('Stage 2 Randomized Selection'!U$2-('Stage 2 Randomized Selection'!U$2*$M270))))))))),""),""),"")</f>
        <v/>
      </c>
      <c r="AF309" s="134" t="str">
        <f>IF(ISNUMBER($B$270),
IF($C270&lt;&gt;"",
IF(AND(ISNUMBER('Stage 2 Randomized Selection'!V$2), 'Stage 2 Randomized Selection'!V$2&gt;0),
IF(AND(AF$269=123, Cultivar_1_Cohort_Year_Selection=$O$268,Cultivar_2_Cohort_Year_Selection=$O$268,Cultivar_3_Cohort_Year_Selection=$O$268), ROUND(MAX(0,('Stage 2 Randomized Selection'!V$2-('Stage 2 Randomized Selection'!V$2*$M270)) - 3),0),
IF(AND(OR(AF$269=123, AF$269=12), Cultivar_1_Cohort_Year_Selection=$O$268,Cultivar_2_Cohort_Year_Selection=$O$268),  ROUND(MAX(0,('Stage 2 Randomized Selection'!V$2-('Stage 2 Randomized Selection'!V$2*$M270)) - 2),0),
IF(AND(OR(AF$269=123, AF$269=13), Cultivar_1_Cohort_Year_Selection=$O$268,Cultivar_3_Cohort_Year_Selection=$O$268), ROUND(MAX(0,('Stage 2 Randomized Selection'!V$2-('Stage 2 Randomized Selection'!V$2*$M270)) - 2),0),
IF(AND(OR(AF$269=123, AF$269=23), Cultivar_2_Cohort_Year_Selection=$O$268,Cultivar_3_Cohort_Year_Selection=$O$268), ROUND(MAX(0,('Stage 2 Randomized Selection'!V$2-('Stage 2 Randomized Selection'!V$2*$M270)) - 2),0),
IF(AND(OR(AF$269=123, AF$269=12, AF$269=13, AF$269=1), Cultivar_1_Cohort_Year_Selection=$O$268), ROUND(MAX(0,('Stage 2 Randomized Selection'!V$2-('Stage 2 Randomized Selection'!V$2*$M270)) - 1),0),
IF(AND(OR(AF$269=123, AF$269=12, AF$269=23, AF$269=2), Cultivar_2_Cohort_Year_Selection=$O$268), ROUND(MAX(0,('Stage 2 Randomized Selection'!V$2-('Stage 2 Randomized Selection'!V$2*$M270)) - 1),0),
IF(AND(OR(AF$269=123, AF$269=13, AF$269=23, AF$269=3), Cultivar_3_Cohort_Year_Selection=$O$268), ROUND(MAX(0,('Stage 2 Randomized Selection'!V$2-('Stage 2 Randomized Selection'!V$2*$M270)) - 1),0),
('Stage 2 Randomized Selection'!V$2-('Stage 2 Randomized Selection'!V$2*$M270))))))))),""),""),"")</f>
        <v/>
      </c>
      <c r="AG309" s="134" t="str">
        <f>IF(ISNUMBER($B$270),
IF($C270&lt;&gt;"",
IF(AND(ISNUMBER('Stage 2 Randomized Selection'!W$2), 'Stage 2 Randomized Selection'!W$2&gt;0),
IF(AND(AG$269=123, Cultivar_1_Cohort_Year_Selection=$O$268,Cultivar_2_Cohort_Year_Selection=$O$268,Cultivar_3_Cohort_Year_Selection=$O$268), ROUND(MAX(0,('Stage 2 Randomized Selection'!W$2-('Stage 2 Randomized Selection'!W$2*$M270)) - 3),0),
IF(AND(OR(AG$269=123, AG$269=12), Cultivar_1_Cohort_Year_Selection=$O$268,Cultivar_2_Cohort_Year_Selection=$O$268),  ROUND(MAX(0,('Stage 2 Randomized Selection'!W$2-('Stage 2 Randomized Selection'!W$2*$M270)) - 2),0),
IF(AND(OR(AG$269=123, AG$269=13), Cultivar_1_Cohort_Year_Selection=$O$268,Cultivar_3_Cohort_Year_Selection=$O$268), ROUND(MAX(0,('Stage 2 Randomized Selection'!W$2-('Stage 2 Randomized Selection'!W$2*$M270)) - 2),0),
IF(AND(OR(AG$269=123, AG$269=23), Cultivar_2_Cohort_Year_Selection=$O$268,Cultivar_3_Cohort_Year_Selection=$O$268), ROUND(MAX(0,('Stage 2 Randomized Selection'!W$2-('Stage 2 Randomized Selection'!W$2*$M270)) - 2),0),
IF(AND(OR(AG$269=123, AG$269=12, AG$269=13, AG$269=1), Cultivar_1_Cohort_Year_Selection=$O$268), ROUND(MAX(0,('Stage 2 Randomized Selection'!W$2-('Stage 2 Randomized Selection'!W$2*$M270)) - 1),0),
IF(AND(OR(AG$269=123, AG$269=12, AG$269=23, AG$269=2), Cultivar_2_Cohort_Year_Selection=$O$268), ROUND(MAX(0,('Stage 2 Randomized Selection'!W$2-('Stage 2 Randomized Selection'!W$2*$M270)) - 1),0),
IF(AND(OR(AG$269=123, AG$269=13, AG$269=23, AG$269=3), Cultivar_3_Cohort_Year_Selection=$O$268), ROUND(MAX(0,('Stage 2 Randomized Selection'!W$2-('Stage 2 Randomized Selection'!W$2*$M270)) - 1),0),
('Stage 2 Randomized Selection'!W$2-('Stage 2 Randomized Selection'!W$2*$M270))))))))),""),""),"")</f>
        <v/>
      </c>
      <c r="AH309" s="134" t="str">
        <f>IF(ISNUMBER($B$270),
IF($C270&lt;&gt;"",
IF(AND(ISNUMBER('Stage 2 Randomized Selection'!X$2), 'Stage 2 Randomized Selection'!X$2&gt;0),
IF(AND(AH$269=123, Cultivar_1_Cohort_Year_Selection=$O$268,Cultivar_2_Cohort_Year_Selection=$O$268,Cultivar_3_Cohort_Year_Selection=$O$268), ROUND(MAX(0,('Stage 2 Randomized Selection'!X$2-('Stage 2 Randomized Selection'!X$2*$M270)) - 3),0),
IF(AND(OR(AH$269=123, AH$269=12), Cultivar_1_Cohort_Year_Selection=$O$268,Cultivar_2_Cohort_Year_Selection=$O$268),  ROUND(MAX(0,('Stage 2 Randomized Selection'!X$2-('Stage 2 Randomized Selection'!X$2*$M270)) - 2),0),
IF(AND(OR(AH$269=123, AH$269=13), Cultivar_1_Cohort_Year_Selection=$O$268,Cultivar_3_Cohort_Year_Selection=$O$268), ROUND(MAX(0,('Stage 2 Randomized Selection'!X$2-('Stage 2 Randomized Selection'!X$2*$M270)) - 2),0),
IF(AND(OR(AH$269=123, AH$269=23), Cultivar_2_Cohort_Year_Selection=$O$268,Cultivar_3_Cohort_Year_Selection=$O$268), ROUND(MAX(0,('Stage 2 Randomized Selection'!X$2-('Stage 2 Randomized Selection'!X$2*$M270)) - 2),0),
IF(AND(OR(AH$269=123, AH$269=12, AH$269=13, AH$269=1), Cultivar_1_Cohort_Year_Selection=$O$268), ROUND(MAX(0,('Stage 2 Randomized Selection'!X$2-('Stage 2 Randomized Selection'!X$2*$M270)) - 1),0),
IF(AND(OR(AH$269=123, AH$269=12, AH$269=23, AH$269=2), Cultivar_2_Cohort_Year_Selection=$O$268), ROUND(MAX(0,('Stage 2 Randomized Selection'!X$2-('Stage 2 Randomized Selection'!X$2*$M270)) - 1),0),
IF(AND(OR(AH$269=123, AH$269=13, AH$269=23, AH$269=3), Cultivar_3_Cohort_Year_Selection=$O$268), ROUND(MAX(0,('Stage 2 Randomized Selection'!X$2-('Stage 2 Randomized Selection'!X$2*$M270)) - 1),0),
('Stage 2 Randomized Selection'!X$2-('Stage 2 Randomized Selection'!X$2*$M270))))))))),""),""),"")</f>
        <v/>
      </c>
      <c r="AI309" s="134" t="str">
        <f>IF(ISNUMBER($B$270),
IF($C270&lt;&gt;"",
IF(AND(ISNUMBER('Stage 2 Randomized Selection'!Y$2), 'Stage 2 Randomized Selection'!Y$2&gt;0),
IF(AND(AI$269=123, Cultivar_1_Cohort_Year_Selection=$O$268,Cultivar_2_Cohort_Year_Selection=$O$268,Cultivar_3_Cohort_Year_Selection=$O$268), ROUND(MAX(0,('Stage 2 Randomized Selection'!Y$2-('Stage 2 Randomized Selection'!Y$2*$M270)) - 3),0),
IF(AND(OR(AI$269=123, AI$269=12), Cultivar_1_Cohort_Year_Selection=$O$268,Cultivar_2_Cohort_Year_Selection=$O$268),  ROUND(MAX(0,('Stage 2 Randomized Selection'!Y$2-('Stage 2 Randomized Selection'!Y$2*$M270)) - 2),0),
IF(AND(OR(AI$269=123, AI$269=13), Cultivar_1_Cohort_Year_Selection=$O$268,Cultivar_3_Cohort_Year_Selection=$O$268), ROUND(MAX(0,('Stage 2 Randomized Selection'!Y$2-('Stage 2 Randomized Selection'!Y$2*$M270)) - 2),0),
IF(AND(OR(AI$269=123, AI$269=23), Cultivar_2_Cohort_Year_Selection=$O$268,Cultivar_3_Cohort_Year_Selection=$O$268), ROUND(MAX(0,('Stage 2 Randomized Selection'!Y$2-('Stage 2 Randomized Selection'!Y$2*$M270)) - 2),0),
IF(AND(OR(AI$269=123, AI$269=12, AI$269=13, AI$269=1), Cultivar_1_Cohort_Year_Selection=$O$268), ROUND(MAX(0,('Stage 2 Randomized Selection'!Y$2-('Stage 2 Randomized Selection'!Y$2*$M270)) - 1),0),
IF(AND(OR(AI$269=123, AI$269=12, AI$269=23, AI$269=2), Cultivar_2_Cohort_Year_Selection=$O$268), ROUND(MAX(0,('Stage 2 Randomized Selection'!Y$2-('Stage 2 Randomized Selection'!Y$2*$M270)) - 1),0),
IF(AND(OR(AI$269=123, AI$269=13, AI$269=23, AI$269=3), Cultivar_3_Cohort_Year_Selection=$O$268), ROUND(MAX(0,('Stage 2 Randomized Selection'!Y$2-('Stage 2 Randomized Selection'!Y$2*$M270)) - 1),0),
('Stage 2 Randomized Selection'!Y$2-('Stage 2 Randomized Selection'!Y$2*$M270))))))))),""),""),"")</f>
        <v/>
      </c>
      <c r="AJ309" s="134" t="str">
        <f>IF(ISNUMBER($B$270),
IF($C270&lt;&gt;"",
IF(AND(ISNUMBER('Stage 2 Randomized Selection'!Z$2), 'Stage 2 Randomized Selection'!Z$2&gt;0),
IF(AND(AJ$269=123, Cultivar_1_Cohort_Year_Selection=$O$268,Cultivar_2_Cohort_Year_Selection=$O$268,Cultivar_3_Cohort_Year_Selection=$O$268), ROUND(MAX(0,('Stage 2 Randomized Selection'!Z$2-('Stage 2 Randomized Selection'!Z$2*$M270)) - 3),0),
IF(AND(OR(AJ$269=123, AJ$269=12), Cultivar_1_Cohort_Year_Selection=$O$268,Cultivar_2_Cohort_Year_Selection=$O$268),  ROUND(MAX(0,('Stage 2 Randomized Selection'!Z$2-('Stage 2 Randomized Selection'!Z$2*$M270)) - 2),0),
IF(AND(OR(AJ$269=123, AJ$269=13), Cultivar_1_Cohort_Year_Selection=$O$268,Cultivar_3_Cohort_Year_Selection=$O$268), ROUND(MAX(0,('Stage 2 Randomized Selection'!Z$2-('Stage 2 Randomized Selection'!Z$2*$M270)) - 2),0),
IF(AND(OR(AJ$269=123, AJ$269=23), Cultivar_2_Cohort_Year_Selection=$O$268,Cultivar_3_Cohort_Year_Selection=$O$268), ROUND(MAX(0,('Stage 2 Randomized Selection'!Z$2-('Stage 2 Randomized Selection'!Z$2*$M270)) - 2),0),
IF(AND(OR(AJ$269=123, AJ$269=12, AJ$269=13, AJ$269=1), Cultivar_1_Cohort_Year_Selection=$O$268), ROUND(MAX(0,('Stage 2 Randomized Selection'!Z$2-('Stage 2 Randomized Selection'!Z$2*$M270)) - 1),0),
IF(AND(OR(AJ$269=123, AJ$269=12, AJ$269=23, AJ$269=2), Cultivar_2_Cohort_Year_Selection=$O$268), ROUND(MAX(0,('Stage 2 Randomized Selection'!Z$2-('Stage 2 Randomized Selection'!Z$2*$M270)) - 1),0),
IF(AND(OR(AJ$269=123, AJ$269=13, AJ$269=23, AJ$269=3), Cultivar_3_Cohort_Year_Selection=$O$268), ROUND(MAX(0,('Stage 2 Randomized Selection'!Z$2-('Stage 2 Randomized Selection'!Z$2*$M270)) - 1),0),
('Stage 2 Randomized Selection'!Z$2-('Stage 2 Randomized Selection'!Z$2*$M270))))))))),""),""),"")</f>
        <v/>
      </c>
      <c r="AK309" s="134" t="str">
        <f>IF(ISNUMBER($B$270),
IF($C270&lt;&gt;"",
IF(AND(ISNUMBER('Stage 2 Randomized Selection'!AA$2), 'Stage 2 Randomized Selection'!AA$2&gt;0),
IF(AND(AK$269=123, Cultivar_1_Cohort_Year_Selection=$O$268,Cultivar_2_Cohort_Year_Selection=$O$268,Cultivar_3_Cohort_Year_Selection=$O$268), ROUND(MAX(0,('Stage 2 Randomized Selection'!AA$2-('Stage 2 Randomized Selection'!AA$2*$M270)) - 3),0),
IF(AND(OR(AK$269=123, AK$269=12), Cultivar_1_Cohort_Year_Selection=$O$268,Cultivar_2_Cohort_Year_Selection=$O$268),  ROUND(MAX(0,('Stage 2 Randomized Selection'!AA$2-('Stage 2 Randomized Selection'!AA$2*$M270)) - 2),0),
IF(AND(OR(AK$269=123, AK$269=13), Cultivar_1_Cohort_Year_Selection=$O$268,Cultivar_3_Cohort_Year_Selection=$O$268), ROUND(MAX(0,('Stage 2 Randomized Selection'!AA$2-('Stage 2 Randomized Selection'!AA$2*$M270)) - 2),0),
IF(AND(OR(AK$269=123, AK$269=23), Cultivar_2_Cohort_Year_Selection=$O$268,Cultivar_3_Cohort_Year_Selection=$O$268), ROUND(MAX(0,('Stage 2 Randomized Selection'!AA$2-('Stage 2 Randomized Selection'!AA$2*$M270)) - 2),0),
IF(AND(OR(AK$269=123, AK$269=12, AK$269=13, AK$269=1), Cultivar_1_Cohort_Year_Selection=$O$268), ROUND(MAX(0,('Stage 2 Randomized Selection'!AA$2-('Stage 2 Randomized Selection'!AA$2*$M270)) - 1),0),
IF(AND(OR(AK$269=123, AK$269=12, AK$269=23, AK$269=2), Cultivar_2_Cohort_Year_Selection=$O$268), ROUND(MAX(0,('Stage 2 Randomized Selection'!AA$2-('Stage 2 Randomized Selection'!AA$2*$M270)) - 1),0),
IF(AND(OR(AK$269=123, AK$269=13, AK$269=23, AK$269=3), Cultivar_3_Cohort_Year_Selection=$O$268), ROUND(MAX(0,('Stage 2 Randomized Selection'!AA$2-('Stage 2 Randomized Selection'!AA$2*$M270)) - 1),0),
('Stage 2 Randomized Selection'!AA$2-('Stage 2 Randomized Selection'!AA$2*$M270))))))))),""),""),"")</f>
        <v/>
      </c>
      <c r="AL309" s="134" t="str">
        <f>IF(ISNUMBER($B$270),
IF($C270&lt;&gt;"",
IF(AND(ISNUMBER('Stage 2 Randomized Selection'!AB$2), 'Stage 2 Randomized Selection'!AB$2&gt;0),
IF(AND(AL$269=123, Cultivar_1_Cohort_Year_Selection=$O$268,Cultivar_2_Cohort_Year_Selection=$O$268,Cultivar_3_Cohort_Year_Selection=$O$268), ROUND(MAX(0,('Stage 2 Randomized Selection'!AB$2-('Stage 2 Randomized Selection'!AB$2*$M270)) - 3),0),
IF(AND(OR(AL$269=123, AL$269=12), Cultivar_1_Cohort_Year_Selection=$O$268,Cultivar_2_Cohort_Year_Selection=$O$268),  ROUND(MAX(0,('Stage 2 Randomized Selection'!AB$2-('Stage 2 Randomized Selection'!AB$2*$M270)) - 2),0),
IF(AND(OR(AL$269=123, AL$269=13), Cultivar_1_Cohort_Year_Selection=$O$268,Cultivar_3_Cohort_Year_Selection=$O$268), ROUND(MAX(0,('Stage 2 Randomized Selection'!AB$2-('Stage 2 Randomized Selection'!AB$2*$M270)) - 2),0),
IF(AND(OR(AL$269=123, AL$269=23), Cultivar_2_Cohort_Year_Selection=$O$268,Cultivar_3_Cohort_Year_Selection=$O$268), ROUND(MAX(0,('Stage 2 Randomized Selection'!AB$2-('Stage 2 Randomized Selection'!AB$2*$M270)) - 2),0),
IF(AND(OR(AL$269=123, AL$269=12, AL$269=13, AL$269=1), Cultivar_1_Cohort_Year_Selection=$O$268), ROUND(MAX(0,('Stage 2 Randomized Selection'!AB$2-('Stage 2 Randomized Selection'!AB$2*$M270)) - 1),0),
IF(AND(OR(AL$269=123, AL$269=12, AL$269=23, AL$269=2), Cultivar_2_Cohort_Year_Selection=$O$268), ROUND(MAX(0,('Stage 2 Randomized Selection'!AB$2-('Stage 2 Randomized Selection'!AB$2*$M270)) - 1),0),
IF(AND(OR(AL$269=123, AL$269=13, AL$269=23, AL$269=3), Cultivar_3_Cohort_Year_Selection=$O$268), ROUND(MAX(0,('Stage 2 Randomized Selection'!AB$2-('Stage 2 Randomized Selection'!AB$2*$M270)) - 1),0),
('Stage 2 Randomized Selection'!AB$2-('Stage 2 Randomized Selection'!AB$2*$M270))))))))),""),""),"")</f>
        <v/>
      </c>
      <c r="AM309" s="134" t="str">
        <f>IF(ISNUMBER($B$270),
IF($C270&lt;&gt;"",
IF(AND(ISNUMBER('Stage 2 Randomized Selection'!AC$2), 'Stage 2 Randomized Selection'!AC$2&gt;0),
IF(AND(AM$269=123, Cultivar_1_Cohort_Year_Selection=$O$268,Cultivar_2_Cohort_Year_Selection=$O$268,Cultivar_3_Cohort_Year_Selection=$O$268), ROUND(MAX(0,('Stage 2 Randomized Selection'!AC$2-('Stage 2 Randomized Selection'!AC$2*$M270)) - 3),0),
IF(AND(OR(AM$269=123, AM$269=12), Cultivar_1_Cohort_Year_Selection=$O$268,Cultivar_2_Cohort_Year_Selection=$O$268),  ROUND(MAX(0,('Stage 2 Randomized Selection'!AC$2-('Stage 2 Randomized Selection'!AC$2*$M270)) - 2),0),
IF(AND(OR(AM$269=123, AM$269=13), Cultivar_1_Cohort_Year_Selection=$O$268,Cultivar_3_Cohort_Year_Selection=$O$268), ROUND(MAX(0,('Stage 2 Randomized Selection'!AC$2-('Stage 2 Randomized Selection'!AC$2*$M270)) - 2),0),
IF(AND(OR(AM$269=123, AM$269=23), Cultivar_2_Cohort_Year_Selection=$O$268,Cultivar_3_Cohort_Year_Selection=$O$268), ROUND(MAX(0,('Stage 2 Randomized Selection'!AC$2-('Stage 2 Randomized Selection'!AC$2*$M270)) - 2),0),
IF(AND(OR(AM$269=123, AM$269=12, AM$269=13, AM$269=1), Cultivar_1_Cohort_Year_Selection=$O$268), ROUND(MAX(0,('Stage 2 Randomized Selection'!AC$2-('Stage 2 Randomized Selection'!AC$2*$M270)) - 1),0),
IF(AND(OR(AM$269=123, AM$269=12, AM$269=23, AM$269=2), Cultivar_2_Cohort_Year_Selection=$O$268), ROUND(MAX(0,('Stage 2 Randomized Selection'!AC$2-('Stage 2 Randomized Selection'!AC$2*$M270)) - 1),0),
IF(AND(OR(AM$269=123, AM$269=13, AM$269=23, AM$269=3), Cultivar_3_Cohort_Year_Selection=$O$268), ROUND(MAX(0,('Stage 2 Randomized Selection'!AC$2-('Stage 2 Randomized Selection'!AC$2*$M270)) - 1),0),
('Stage 2 Randomized Selection'!AC$2-('Stage 2 Randomized Selection'!AC$2*$M270))))))))),""),""),"")</f>
        <v/>
      </c>
      <c r="AN309" s="134" t="str">
        <f>IF(ISNUMBER($B$270),
IF($C270&lt;&gt;"",
IF(AND(ISNUMBER('Stage 2 Randomized Selection'!AD$2), 'Stage 2 Randomized Selection'!AD$2&gt;0),
IF(AND(AN$269=123, Cultivar_1_Cohort_Year_Selection=$O$268,Cultivar_2_Cohort_Year_Selection=$O$268,Cultivar_3_Cohort_Year_Selection=$O$268), ROUND(MAX(0,('Stage 2 Randomized Selection'!AD$2-('Stage 2 Randomized Selection'!AD$2*$M270)) - 3),0),
IF(AND(OR(AN$269=123, AN$269=12), Cultivar_1_Cohort_Year_Selection=$O$268,Cultivar_2_Cohort_Year_Selection=$O$268),  ROUND(MAX(0,('Stage 2 Randomized Selection'!AD$2-('Stage 2 Randomized Selection'!AD$2*$M270)) - 2),0),
IF(AND(OR(AN$269=123, AN$269=13), Cultivar_1_Cohort_Year_Selection=$O$268,Cultivar_3_Cohort_Year_Selection=$O$268), ROUND(MAX(0,('Stage 2 Randomized Selection'!AD$2-('Stage 2 Randomized Selection'!AD$2*$M270)) - 2),0),
IF(AND(OR(AN$269=123, AN$269=23), Cultivar_2_Cohort_Year_Selection=$O$268,Cultivar_3_Cohort_Year_Selection=$O$268), ROUND(MAX(0,('Stage 2 Randomized Selection'!AD$2-('Stage 2 Randomized Selection'!AD$2*$M270)) - 2),0),
IF(AND(OR(AN$269=123, AN$269=12, AN$269=13, AN$269=1), Cultivar_1_Cohort_Year_Selection=$O$268), ROUND(MAX(0,('Stage 2 Randomized Selection'!AD$2-('Stage 2 Randomized Selection'!AD$2*$M270)) - 1),0),
IF(AND(OR(AN$269=123, AN$269=12, AN$269=23, AN$269=2), Cultivar_2_Cohort_Year_Selection=$O$268), ROUND(MAX(0,('Stage 2 Randomized Selection'!AD$2-('Stage 2 Randomized Selection'!AD$2*$M270)) - 1),0),
IF(AND(OR(AN$269=123, AN$269=13, AN$269=23, AN$269=3), Cultivar_3_Cohort_Year_Selection=$O$268), ROUND(MAX(0,('Stage 2 Randomized Selection'!AD$2-('Stage 2 Randomized Selection'!AD$2*$M270)) - 1),0),
('Stage 2 Randomized Selection'!AD$2-('Stage 2 Randomized Selection'!AD$2*$M270))))))))),""),""),"")</f>
        <v/>
      </c>
      <c r="AO309" s="134" t="str">
        <f>IF(ISNUMBER($B$270),
IF($C270&lt;&gt;"",
IF(AND(ISNUMBER('Stage 2 Randomized Selection'!AE$2), 'Stage 2 Randomized Selection'!AE$2&gt;0),
IF(AND(AO$269=123, Cultivar_1_Cohort_Year_Selection=$O$268,Cultivar_2_Cohort_Year_Selection=$O$268,Cultivar_3_Cohort_Year_Selection=$O$268), ROUND(MAX(0,('Stage 2 Randomized Selection'!AE$2-('Stage 2 Randomized Selection'!AE$2*$M270)) - 3),0),
IF(AND(OR(AO$269=123, AO$269=12), Cultivar_1_Cohort_Year_Selection=$O$268,Cultivar_2_Cohort_Year_Selection=$O$268),  ROUND(MAX(0,('Stage 2 Randomized Selection'!AE$2-('Stage 2 Randomized Selection'!AE$2*$M270)) - 2),0),
IF(AND(OR(AO$269=123, AO$269=13), Cultivar_1_Cohort_Year_Selection=$O$268,Cultivar_3_Cohort_Year_Selection=$O$268), ROUND(MAX(0,('Stage 2 Randomized Selection'!AE$2-('Stage 2 Randomized Selection'!AE$2*$M270)) - 2),0),
IF(AND(OR(AO$269=123, AO$269=23), Cultivar_2_Cohort_Year_Selection=$O$268,Cultivar_3_Cohort_Year_Selection=$O$268), ROUND(MAX(0,('Stage 2 Randomized Selection'!AE$2-('Stage 2 Randomized Selection'!AE$2*$M270)) - 2),0),
IF(AND(OR(AO$269=123, AO$269=12, AO$269=13, AO$269=1), Cultivar_1_Cohort_Year_Selection=$O$268), ROUND(MAX(0,('Stage 2 Randomized Selection'!AE$2-('Stage 2 Randomized Selection'!AE$2*$M270)) - 1),0),
IF(AND(OR(AO$269=123, AO$269=12, AO$269=23, AO$269=2), Cultivar_2_Cohort_Year_Selection=$O$268), ROUND(MAX(0,('Stage 2 Randomized Selection'!AE$2-('Stage 2 Randomized Selection'!AE$2*$M270)) - 1),0),
IF(AND(OR(AO$269=123, AO$269=13, AO$269=23, AO$269=3), Cultivar_3_Cohort_Year_Selection=$O$268), ROUND(MAX(0,('Stage 2 Randomized Selection'!AE$2-('Stage 2 Randomized Selection'!AE$2*$M270)) - 1),0),
('Stage 2 Randomized Selection'!AE$2-('Stage 2 Randomized Selection'!AE$2*$M270))))))))),""),""),"")</f>
        <v/>
      </c>
      <c r="AP309" s="134" t="str">
        <f>IF(ISNUMBER($B$270),
IF($C270&lt;&gt;"",
IF(AND(ISNUMBER('Stage 2 Randomized Selection'!AF$2), 'Stage 2 Randomized Selection'!AF$2&gt;0),
IF(AND(AP$269=123, Cultivar_1_Cohort_Year_Selection=$O$268,Cultivar_2_Cohort_Year_Selection=$O$268,Cultivar_3_Cohort_Year_Selection=$O$268), ROUND(MAX(0,('Stage 2 Randomized Selection'!AF$2-('Stage 2 Randomized Selection'!AF$2*$M270)) - 3),0),
IF(AND(OR(AP$269=123, AP$269=12), Cultivar_1_Cohort_Year_Selection=$O$268,Cultivar_2_Cohort_Year_Selection=$O$268),  ROUND(MAX(0,('Stage 2 Randomized Selection'!AF$2-('Stage 2 Randomized Selection'!AF$2*$M270)) - 2),0),
IF(AND(OR(AP$269=123, AP$269=13), Cultivar_1_Cohort_Year_Selection=$O$268,Cultivar_3_Cohort_Year_Selection=$O$268), ROUND(MAX(0,('Stage 2 Randomized Selection'!AF$2-('Stage 2 Randomized Selection'!AF$2*$M270)) - 2),0),
IF(AND(OR(AP$269=123, AP$269=23), Cultivar_2_Cohort_Year_Selection=$O$268,Cultivar_3_Cohort_Year_Selection=$O$268), ROUND(MAX(0,('Stage 2 Randomized Selection'!AF$2-('Stage 2 Randomized Selection'!AF$2*$M270)) - 2),0),
IF(AND(OR(AP$269=123, AP$269=12, AP$269=13, AP$269=1), Cultivar_1_Cohort_Year_Selection=$O$268), ROUND(MAX(0,('Stage 2 Randomized Selection'!AF$2-('Stage 2 Randomized Selection'!AF$2*$M270)) - 1),0),
IF(AND(OR(AP$269=123, AP$269=12, AP$269=23, AP$269=2), Cultivar_2_Cohort_Year_Selection=$O$268), ROUND(MAX(0,('Stage 2 Randomized Selection'!AF$2-('Stage 2 Randomized Selection'!AF$2*$M270)) - 1),0),
IF(AND(OR(AP$269=123, AP$269=13, AP$269=23, AP$269=3), Cultivar_3_Cohort_Year_Selection=$O$268), ROUND(MAX(0,('Stage 2 Randomized Selection'!AF$2-('Stage 2 Randomized Selection'!AF$2*$M270)) - 1),0),
('Stage 2 Randomized Selection'!AF$2-('Stage 2 Randomized Selection'!AF$2*$M270))))))))),""),""),"")</f>
        <v/>
      </c>
      <c r="AQ309" s="134" t="str">
        <f>IF(ISNUMBER($B$270),
IF($C270&lt;&gt;"",
IF(AND(ISNUMBER('Stage 2 Randomized Selection'!AG$2), 'Stage 2 Randomized Selection'!AG$2&gt;0),
IF(AND(AQ$269=123, Cultivar_1_Cohort_Year_Selection=$O$268,Cultivar_2_Cohort_Year_Selection=$O$268,Cultivar_3_Cohort_Year_Selection=$O$268), ROUND(MAX(0,('Stage 2 Randomized Selection'!AG$2-('Stage 2 Randomized Selection'!AG$2*$M270)) - 3),0),
IF(AND(OR(AQ$269=123, AQ$269=12), Cultivar_1_Cohort_Year_Selection=$O$268,Cultivar_2_Cohort_Year_Selection=$O$268),  ROUND(MAX(0,('Stage 2 Randomized Selection'!AG$2-('Stage 2 Randomized Selection'!AG$2*$M270)) - 2),0),
IF(AND(OR(AQ$269=123, AQ$269=13), Cultivar_1_Cohort_Year_Selection=$O$268,Cultivar_3_Cohort_Year_Selection=$O$268), ROUND(MAX(0,('Stage 2 Randomized Selection'!AG$2-('Stage 2 Randomized Selection'!AG$2*$M270)) - 2),0),
IF(AND(OR(AQ$269=123, AQ$269=23), Cultivar_2_Cohort_Year_Selection=$O$268,Cultivar_3_Cohort_Year_Selection=$O$268), ROUND(MAX(0,('Stage 2 Randomized Selection'!AG$2-('Stage 2 Randomized Selection'!AG$2*$M270)) - 2),0),
IF(AND(OR(AQ$269=123, AQ$269=12, AQ$269=13, AQ$269=1), Cultivar_1_Cohort_Year_Selection=$O$268), ROUND(MAX(0,('Stage 2 Randomized Selection'!AG$2-('Stage 2 Randomized Selection'!AG$2*$M270)) - 1),0),
IF(AND(OR(AQ$269=123, AQ$269=12, AQ$269=23, AQ$269=2), Cultivar_2_Cohort_Year_Selection=$O$268), ROUND(MAX(0,('Stage 2 Randomized Selection'!AG$2-('Stage 2 Randomized Selection'!AG$2*$M270)) - 1),0),
IF(AND(OR(AQ$269=123, AQ$269=13, AQ$269=23, AQ$269=3), Cultivar_3_Cohort_Year_Selection=$O$268), ROUND(MAX(0,('Stage 2 Randomized Selection'!AG$2-('Stage 2 Randomized Selection'!AG$2*$M270)) - 1),0),
('Stage 2 Randomized Selection'!AG$2-('Stage 2 Randomized Selection'!AG$2*$M270))))))))),""),""),"")</f>
        <v/>
      </c>
      <c r="AR309" s="134" t="str">
        <f>IF(ISNUMBER($B$270),
IF($C270&lt;&gt;"",
IF(AND(ISNUMBER('Stage 2 Randomized Selection'!AH$2), 'Stage 2 Randomized Selection'!AH$2&gt;0),
IF(AND(AR$269=123, Cultivar_1_Cohort_Year_Selection=$O$268,Cultivar_2_Cohort_Year_Selection=$O$268,Cultivar_3_Cohort_Year_Selection=$O$268), ROUND(MAX(0,('Stage 2 Randomized Selection'!AH$2-('Stage 2 Randomized Selection'!AH$2*$M270)) - 3),0),
IF(AND(OR(AR$269=123, AR$269=12), Cultivar_1_Cohort_Year_Selection=$O$268,Cultivar_2_Cohort_Year_Selection=$O$268),  ROUND(MAX(0,('Stage 2 Randomized Selection'!AH$2-('Stage 2 Randomized Selection'!AH$2*$M270)) - 2),0),
IF(AND(OR(AR$269=123, AR$269=13), Cultivar_1_Cohort_Year_Selection=$O$268,Cultivar_3_Cohort_Year_Selection=$O$268), ROUND(MAX(0,('Stage 2 Randomized Selection'!AH$2-('Stage 2 Randomized Selection'!AH$2*$M270)) - 2),0),
IF(AND(OR(AR$269=123, AR$269=23), Cultivar_2_Cohort_Year_Selection=$O$268,Cultivar_3_Cohort_Year_Selection=$O$268), ROUND(MAX(0,('Stage 2 Randomized Selection'!AH$2-('Stage 2 Randomized Selection'!AH$2*$M270)) - 2),0),
IF(AND(OR(AR$269=123, AR$269=12, AR$269=13, AR$269=1), Cultivar_1_Cohort_Year_Selection=$O$268), ROUND(MAX(0,('Stage 2 Randomized Selection'!AH$2-('Stage 2 Randomized Selection'!AH$2*$M270)) - 1),0),
IF(AND(OR(AR$269=123, AR$269=12, AR$269=23, AR$269=2), Cultivar_2_Cohort_Year_Selection=$O$268), ROUND(MAX(0,('Stage 2 Randomized Selection'!AH$2-('Stage 2 Randomized Selection'!AH$2*$M270)) - 1),0),
IF(AND(OR(AR$269=123, AR$269=13, AR$269=23, AR$269=3), Cultivar_3_Cohort_Year_Selection=$O$268), ROUND(MAX(0,('Stage 2 Randomized Selection'!AH$2-('Stage 2 Randomized Selection'!AH$2*$M270)) - 1),0),
('Stage 2 Randomized Selection'!AH$2-('Stage 2 Randomized Selection'!AH$2*$M270))))))))),""),""),"")</f>
        <v/>
      </c>
    </row>
    <row r="310" spans="1:45" x14ac:dyDescent="0.25">
      <c r="A310" s="518" t="str">
        <f>Fourth_Stage</f>
        <v>Stage 2 Clonal Test Plots</v>
      </c>
      <c r="B310" s="503" t="str">
        <f>'Breeding Inputs'!B90</f>
        <v/>
      </c>
      <c r="C310" s="520" t="str">
        <f>IF(ISNUMBER(B310), _4_3_0, "")</f>
        <v/>
      </c>
      <c r="D310" s="92" t="str">
        <f>IF(AND(C310&lt;&gt;"", 'Cost Inputs'!$G$105&lt;&gt;""), 'Cost Inputs'!$G$105, "")</f>
        <v/>
      </c>
      <c r="E310" s="92" t="str">
        <f>IF(AND(C310&lt;&gt;"", 'Cost Inputs'!$H$105&lt;&gt;""), 'Cost Inputs'!$H$105, "")</f>
        <v/>
      </c>
      <c r="F310" s="522" t="str">
        <f>IF(AND(C310&lt;&gt;"", 'Cost Inputs'!$I$105&lt;&gt;""), 'Cost Inputs'!$I$105, "")</f>
        <v/>
      </c>
      <c r="G310" s="100" t="str">
        <f t="shared" si="16"/>
        <v/>
      </c>
      <c r="H310" s="522" t="str">
        <f>IF(AND(C310&lt;&gt;"", 'Cost Inputs'!$J$105&lt;&gt;""), 'Cost Inputs'!$J$105, "")</f>
        <v/>
      </c>
      <c r="I310" s="100" t="str">
        <f>IF($C310&lt;&gt;"",IF(AND($E310&lt;&gt;"",H310&lt;&gt;""), H310/$E310, 0),"")</f>
        <v/>
      </c>
      <c r="J310" s="522" t="str">
        <f>IF(AND(C310&lt;&gt;"",('Cost Inputs'!$I$105+'Cost Inputs'!$J$105+'Cost Inputs'!$K$105)&gt;0), 'Cost Inputs'!$I$105+'Cost Inputs'!$J$105+'Cost Inputs'!$K$105, "")</f>
        <v/>
      </c>
      <c r="K310" s="100" t="str">
        <f>IF($C310&lt;&gt;"",IF(AND($E310&lt;&gt;"",J310&lt;&gt;""), J310/$E310, 0),"")</f>
        <v/>
      </c>
      <c r="L310" s="524" t="str">
        <f>IF(AND($B310&lt;&gt;"", 'Breeding Inputs'!$C$89&lt;&gt;""), INDEX('Breeding Inputs'!$C$89:$C$98, MATCH($B310,'Breeding Inputs'!$B$89:$B$98,0)), IF($B310="", "", 0%))</f>
        <v/>
      </c>
      <c r="M310" s="524" t="str">
        <f>IF(AND($B310&lt;&gt;"", 'Breeding Inputs'!$D$89&lt;&gt;""), INDEX('Breeding Inputs'!$D$89:$D$98, MATCH($B310,'Breeding Inputs'!$B$89:$B$98,0))+INDEX('Breeding Inputs'!$E$89:$E$98, MATCH($B310,'Breeding Inputs'!$B$89:$B$98,0)), IF($B310="", "", 0%))</f>
        <v/>
      </c>
      <c r="P310" s="495" t="str">
        <f>IF(ISNUMBER('Model_ of_individuals'!P321), 'Model_ of_individuals'!P321*'Model_ of_individuals'!$K321,"")</f>
        <v/>
      </c>
      <c r="Q310" s="495" t="str">
        <f>IF(ISNUMBER('Model_ of_individuals'!Q321), 'Model_ of_individuals'!Q321*'Model_ of_individuals'!$K321,"")</f>
        <v/>
      </c>
      <c r="R310" s="495" t="str">
        <f>IF(ISNUMBER('Model_ of_individuals'!R321), 'Model_ of_individuals'!R321*'Model_ of_individuals'!$K321,"")</f>
        <v/>
      </c>
      <c r="S310" s="495" t="str">
        <f>IF(ISNUMBER('Model_ of_individuals'!S321), 'Model_ of_individuals'!S321*'Model_ of_individuals'!$K321,"")</f>
        <v/>
      </c>
      <c r="T310" s="495" t="str">
        <f>IF(ISNUMBER('Model_ of_individuals'!T321), 'Model_ of_individuals'!T321*'Model_ of_individuals'!$K321,"")</f>
        <v/>
      </c>
      <c r="U310" s="495" t="str">
        <f>IF(ISNUMBER('Model_ of_individuals'!U321), 'Model_ of_individuals'!U321*'Model_ of_individuals'!$K321,"")</f>
        <v/>
      </c>
      <c r="V310" s="495" t="str">
        <f>IF(ISNUMBER('Model_ of_individuals'!V321), 'Model_ of_individuals'!V321*'Model_ of_individuals'!$K321,"")</f>
        <v/>
      </c>
      <c r="W310" s="495" t="str">
        <f>IF(ISNUMBER('Model_ of_individuals'!W321), 'Model_ of_individuals'!W321*'Model_ of_individuals'!$K321,"")</f>
        <v/>
      </c>
      <c r="X310" s="495" t="str">
        <f>IF(ISNUMBER('Model_ of_individuals'!X321), 'Model_ of_individuals'!X321*'Model_ of_individuals'!$K321,"")</f>
        <v/>
      </c>
      <c r="Y310" s="495" t="str">
        <f>IF(ISNUMBER('Model_ of_individuals'!Y321), 'Model_ of_individuals'!Y321*'Model_ of_individuals'!$K321,"")</f>
        <v/>
      </c>
      <c r="Z310" s="495" t="str">
        <f>IF(ISNUMBER('Model_ of_individuals'!Z321), 'Model_ of_individuals'!Z321*'Model_ of_individuals'!$K321,"")</f>
        <v/>
      </c>
      <c r="AA310" s="495" t="str">
        <f>IF(ISNUMBER('Model_ of_individuals'!AA321), 'Model_ of_individuals'!AA321*'Model_ of_individuals'!$K321,"")</f>
        <v/>
      </c>
      <c r="AB310" s="495" t="str">
        <f>IF(ISNUMBER('Model_ of_individuals'!AB321), 'Model_ of_individuals'!AB321*'Model_ of_individuals'!$K321,"")</f>
        <v/>
      </c>
      <c r="AC310" s="495" t="str">
        <f>IF(ISNUMBER('Model_ of_individuals'!AC321), 'Model_ of_individuals'!AC321*'Model_ of_individuals'!$K321,"")</f>
        <v/>
      </c>
      <c r="AD310" s="495" t="str">
        <f>IF(ISNUMBER('Model_ of_individuals'!AD321), 'Model_ of_individuals'!AD321*'Model_ of_individuals'!$K321,"")</f>
        <v/>
      </c>
      <c r="AE310" s="495" t="str">
        <f>IF(ISNUMBER('Model_ of_individuals'!AE321), 'Model_ of_individuals'!AE321*'Model_ of_individuals'!$K321,"")</f>
        <v/>
      </c>
      <c r="AF310" s="495" t="str">
        <f>IF(ISNUMBER('Model_ of_individuals'!AF321), 'Model_ of_individuals'!AF321*'Model_ of_individuals'!$K321,"")</f>
        <v/>
      </c>
      <c r="AG310" s="495" t="str">
        <f>IF(ISNUMBER('Model_ of_individuals'!AG321), 'Model_ of_individuals'!AG321*'Model_ of_individuals'!$K321,"")</f>
        <v/>
      </c>
      <c r="AH310" s="495" t="str">
        <f>IF(ISNUMBER('Model_ of_individuals'!AH321), 'Model_ of_individuals'!AH321*'Model_ of_individuals'!$K321,"")</f>
        <v/>
      </c>
      <c r="AI310" s="495" t="str">
        <f>IF(ISNUMBER('Model_ of_individuals'!AI321), 'Model_ of_individuals'!AI321*'Model_ of_individuals'!$K321,"")</f>
        <v/>
      </c>
      <c r="AJ310" s="495" t="str">
        <f>IF(ISNUMBER('Model_ of_individuals'!AJ321), 'Model_ of_individuals'!AJ321*'Model_ of_individuals'!$K321,"")</f>
        <v/>
      </c>
      <c r="AK310" s="495" t="str">
        <f>IF(ISNUMBER('Model_ of_individuals'!AK321), 'Model_ of_individuals'!AK321*'Model_ of_individuals'!$K321,"")</f>
        <v/>
      </c>
      <c r="AL310" s="495" t="str">
        <f>IF(ISNUMBER('Model_ of_individuals'!AL321), 'Model_ of_individuals'!AL321*'Model_ of_individuals'!$K321,"")</f>
        <v/>
      </c>
      <c r="AM310" s="495" t="str">
        <f>IF(ISNUMBER('Model_ of_individuals'!AM321), 'Model_ of_individuals'!AM321*'Model_ of_individuals'!$K321,"")</f>
        <v/>
      </c>
      <c r="AN310" s="495" t="str">
        <f>IF(ISNUMBER('Model_ of_individuals'!AN321), 'Model_ of_individuals'!AN321*'Model_ of_individuals'!$K321,"")</f>
        <v/>
      </c>
      <c r="AO310" s="495" t="str">
        <f>IF(ISNUMBER('Model_ of_individuals'!AO321), 'Model_ of_individuals'!AO321*'Model_ of_individuals'!$K321,"")</f>
        <v/>
      </c>
      <c r="AP310" s="495" t="str">
        <f>IF(ISNUMBER('Model_ of_individuals'!AP321), 'Model_ of_individuals'!AP321*'Model_ of_individuals'!$K321,"")</f>
        <v/>
      </c>
      <c r="AQ310" s="495" t="str">
        <f>IF(ISNUMBER('Model_ of_individuals'!AQ321), 'Model_ of_individuals'!AQ321*'Model_ of_individuals'!$K321,"")</f>
        <v/>
      </c>
      <c r="AR310" s="495" t="str">
        <f>IF(ISNUMBER('Model_ of_individuals'!AR321), 'Model_ of_individuals'!AR321*'Model_ of_individuals'!$K321,"")</f>
        <v/>
      </c>
      <c r="AS310" s="4" t="str">
        <f>IF(ISNUMBER('Model_ of_individuals'!AS321), 'Model_ of_individuals'!AS321*'Model_ of_individuals'!$K321,"")</f>
        <v/>
      </c>
    </row>
    <row r="311" spans="1:45" x14ac:dyDescent="0.25">
      <c r="A311" s="518"/>
      <c r="B311" s="504"/>
      <c r="C311" s="521"/>
      <c r="D311" s="94" t="str">
        <f>IF(AND(C310&lt;&gt;"", 'Cost Inputs'!$G$106&lt;&gt;""), 'Cost Inputs'!$G$106, "")</f>
        <v/>
      </c>
      <c r="E311" s="94" t="str">
        <f>IF(AND(C310&lt;&gt;"", 'Cost Inputs'!H128&lt;&gt;""), 'Cost Inputs'!H128, "")</f>
        <v/>
      </c>
      <c r="F311" s="492"/>
      <c r="G311" s="102" t="str">
        <f t="shared" si="16"/>
        <v/>
      </c>
      <c r="H311" s="492"/>
      <c r="I311" s="102" t="str">
        <f>IF($C310&lt;&gt;"", IF(AND($E311&lt;&gt;"", H310&lt;&gt;""), H310/($E310*$E311), 0), "")</f>
        <v/>
      </c>
      <c r="J311" s="492" t="str">
        <f>IF(AND(C311&lt;&gt;"",('Cost Inputs'!$I$86+'Cost Inputs'!$J$86+'Cost Inputs'!$K$86)&gt;0), 'Cost Inputs'!$I$86+'Cost Inputs'!$J$86+'Cost Inputs'!$K$86, "")</f>
        <v/>
      </c>
      <c r="K311" s="102" t="str">
        <f>IF($C310&lt;&gt;"", IF(AND($E311&lt;&gt;"", J310&lt;&gt;""), J310/($E310*$E311), 0), "")</f>
        <v/>
      </c>
      <c r="L311" s="525"/>
      <c r="M311" s="525"/>
      <c r="P311" s="496" t="str">
        <f>IF(ISNUMBER('Model_ of_individuals'!P322), 'Model_ of_individuals'!P322*'Model_ of_individuals'!$K322,"")</f>
        <v/>
      </c>
      <c r="Q311" s="496" t="str">
        <f>IF(ISNUMBER('Model_ of_individuals'!Q322), 'Model_ of_individuals'!Q322*'Model_ of_individuals'!$K322,"")</f>
        <v/>
      </c>
      <c r="R311" s="496" t="str">
        <f>IF(ISNUMBER('Model_ of_individuals'!R322), 'Model_ of_individuals'!R322*'Model_ of_individuals'!$K322,"")</f>
        <v/>
      </c>
      <c r="S311" s="496" t="str">
        <f>IF(ISNUMBER('Model_ of_individuals'!S322), 'Model_ of_individuals'!S322*'Model_ of_individuals'!$K322,"")</f>
        <v/>
      </c>
      <c r="T311" s="496" t="str">
        <f>IF(ISNUMBER('Model_ of_individuals'!T322), 'Model_ of_individuals'!T322*'Model_ of_individuals'!$K322,"")</f>
        <v/>
      </c>
      <c r="U311" s="496" t="str">
        <f>IF(ISNUMBER('Model_ of_individuals'!U322), 'Model_ of_individuals'!U322*'Model_ of_individuals'!$K322,"")</f>
        <v/>
      </c>
      <c r="V311" s="496" t="str">
        <f>IF(ISNUMBER('Model_ of_individuals'!V322), 'Model_ of_individuals'!V322*'Model_ of_individuals'!$K322,"")</f>
        <v/>
      </c>
      <c r="W311" s="496" t="str">
        <f>IF(ISNUMBER('Model_ of_individuals'!W322), 'Model_ of_individuals'!W322*'Model_ of_individuals'!$K322,"")</f>
        <v/>
      </c>
      <c r="X311" s="496" t="str">
        <f>IF(ISNUMBER('Model_ of_individuals'!X322), 'Model_ of_individuals'!X322*'Model_ of_individuals'!$K322,"")</f>
        <v/>
      </c>
      <c r="Y311" s="496" t="str">
        <f>IF(ISNUMBER('Model_ of_individuals'!Y322), 'Model_ of_individuals'!Y322*'Model_ of_individuals'!$K322,"")</f>
        <v/>
      </c>
      <c r="Z311" s="496" t="str">
        <f>IF(ISNUMBER('Model_ of_individuals'!Z322), 'Model_ of_individuals'!Z322*'Model_ of_individuals'!$K322,"")</f>
        <v/>
      </c>
      <c r="AA311" s="496" t="str">
        <f>IF(ISNUMBER('Model_ of_individuals'!AA322), 'Model_ of_individuals'!AA322*'Model_ of_individuals'!$K322,"")</f>
        <v/>
      </c>
      <c r="AB311" s="496" t="str">
        <f>IF(ISNUMBER('Model_ of_individuals'!AB322), 'Model_ of_individuals'!AB322*'Model_ of_individuals'!$K322,"")</f>
        <v/>
      </c>
      <c r="AC311" s="496" t="str">
        <f>IF(ISNUMBER('Model_ of_individuals'!AC322), 'Model_ of_individuals'!AC322*'Model_ of_individuals'!$K322,"")</f>
        <v/>
      </c>
      <c r="AD311" s="496" t="str">
        <f>IF(ISNUMBER('Model_ of_individuals'!AD322), 'Model_ of_individuals'!AD322*'Model_ of_individuals'!$K322,"")</f>
        <v/>
      </c>
      <c r="AE311" s="496" t="str">
        <f>IF(ISNUMBER('Model_ of_individuals'!AE322), 'Model_ of_individuals'!AE322*'Model_ of_individuals'!$K322,"")</f>
        <v/>
      </c>
      <c r="AF311" s="496" t="str">
        <f>IF(ISNUMBER('Model_ of_individuals'!AF322), 'Model_ of_individuals'!AF322*'Model_ of_individuals'!$K322,"")</f>
        <v/>
      </c>
      <c r="AG311" s="496" t="str">
        <f>IF(ISNUMBER('Model_ of_individuals'!AG322), 'Model_ of_individuals'!AG322*'Model_ of_individuals'!$K322,"")</f>
        <v/>
      </c>
      <c r="AH311" s="496" t="str">
        <f>IF(ISNUMBER('Model_ of_individuals'!AH322), 'Model_ of_individuals'!AH322*'Model_ of_individuals'!$K322,"")</f>
        <v/>
      </c>
      <c r="AI311" s="496" t="str">
        <f>IF(ISNUMBER('Model_ of_individuals'!AI322), 'Model_ of_individuals'!AI322*'Model_ of_individuals'!$K322,"")</f>
        <v/>
      </c>
      <c r="AJ311" s="496" t="str">
        <f>IF(ISNUMBER('Model_ of_individuals'!AJ322), 'Model_ of_individuals'!AJ322*'Model_ of_individuals'!$K322,"")</f>
        <v/>
      </c>
      <c r="AK311" s="496" t="str">
        <f>IF(ISNUMBER('Model_ of_individuals'!AK322), 'Model_ of_individuals'!AK322*'Model_ of_individuals'!$K322,"")</f>
        <v/>
      </c>
      <c r="AL311" s="496" t="str">
        <f>IF(ISNUMBER('Model_ of_individuals'!AL322), 'Model_ of_individuals'!AL322*'Model_ of_individuals'!$K322,"")</f>
        <v/>
      </c>
      <c r="AM311" s="496" t="str">
        <f>IF(ISNUMBER('Model_ of_individuals'!AM322), 'Model_ of_individuals'!AM322*'Model_ of_individuals'!$K322,"")</f>
        <v/>
      </c>
      <c r="AN311" s="496" t="str">
        <f>IF(ISNUMBER('Model_ of_individuals'!AN322), 'Model_ of_individuals'!AN322*'Model_ of_individuals'!$K322,"")</f>
        <v/>
      </c>
      <c r="AO311" s="496" t="str">
        <f>IF(ISNUMBER('Model_ of_individuals'!AO322), 'Model_ of_individuals'!AO322*'Model_ of_individuals'!$K322,"")</f>
        <v/>
      </c>
      <c r="AP311" s="496" t="str">
        <f>IF(ISNUMBER('Model_ of_individuals'!AP322), 'Model_ of_individuals'!AP322*'Model_ of_individuals'!$K322,"")</f>
        <v/>
      </c>
      <c r="AQ311" s="496" t="str">
        <f>IF(ISNUMBER('Model_ of_individuals'!AQ322), 'Model_ of_individuals'!AQ322*'Model_ of_individuals'!$K322,"")</f>
        <v/>
      </c>
      <c r="AR311" s="496" t="str">
        <f>IF(ISNUMBER('Model_ of_individuals'!AR322), 'Model_ of_individuals'!AR322*'Model_ of_individuals'!$K322,"")</f>
        <v/>
      </c>
      <c r="AS311" s="4" t="str">
        <f>IF(ISNUMBER('Model_ of_individuals'!AS322), 'Model_ of_individuals'!AS322*'Model_ of_individuals'!$K322,"")</f>
        <v/>
      </c>
    </row>
    <row r="312" spans="1:45" x14ac:dyDescent="0.25">
      <c r="A312" s="518"/>
      <c r="B312" s="504"/>
      <c r="C312" s="104" t="str">
        <f>IF(AND(ISNUMBER(B310), OR('Cost Inputs'!$H$107&lt;&gt;"", 'Cost Inputs'!$I$107&lt;&gt;"", 'Cost Inputs'!$J$107&lt;&gt;"")), _4_3_1, "")</f>
        <v/>
      </c>
      <c r="D312" s="17" t="str">
        <f>IF(AND(C312&lt;&gt;"", 'Cost Inputs'!$G$107&lt;&gt;""), 'Cost Inputs'!$G$107, "")</f>
        <v/>
      </c>
      <c r="E312" s="17" t="str">
        <f>IF(AND(C312&lt;&gt;"", 'Cost Inputs'!$H$107&lt;&gt;""), 'Cost Inputs'!$H$107, "")</f>
        <v/>
      </c>
      <c r="F312" s="17" t="str">
        <f>IF(AND(C312&lt;&gt;"", 'Cost Inputs'!$I$107&lt;&gt;""), 'Cost Inputs'!$I$107, "")</f>
        <v/>
      </c>
      <c r="G312" s="105" t="str">
        <f t="shared" si="16"/>
        <v/>
      </c>
      <c r="H312" s="17" t="str">
        <f>IF(AND(C312&lt;&gt;"", 'Cost Inputs'!$J$107&lt;&gt;""), 'Cost Inputs'!$J$107, "")</f>
        <v/>
      </c>
      <c r="I312" s="17" t="str">
        <f t="shared" ref="I312:I320" si="23">IF($C312&lt;&gt;"", IF(AND($E312&lt;&gt;"", H312&lt;&gt;""), H312/$E312, 0),"")</f>
        <v/>
      </c>
      <c r="J312" s="17" t="str">
        <f>IF(AND(C312&lt;&gt;"",('Cost Inputs'!$I$107+'Cost Inputs'!$J$107+'Cost Inputs'!$K$107)&gt;0), 'Cost Inputs'!$I$107+'Cost Inputs'!$J$107+'Cost Inputs'!$K$107, "")</f>
        <v/>
      </c>
      <c r="K312" s="17" t="str">
        <f t="shared" ref="K312:K320" si="24">IF($C312&lt;&gt;"", IF(AND($E312&lt;&gt;"", J312&lt;&gt;""), J312/$E312, 0),"")</f>
        <v/>
      </c>
      <c r="L312" s="525"/>
      <c r="M312" s="525"/>
      <c r="P312" s="17" t="str">
        <f>IF(ISNUMBER('Model_ of_individuals'!P323), 'Model_ of_individuals'!P323*'Model_ of_individuals'!$K323,"")</f>
        <v/>
      </c>
      <c r="Q312" s="17" t="str">
        <f>IF(ISNUMBER('Model_ of_individuals'!Q323), 'Model_ of_individuals'!Q323*'Model_ of_individuals'!$K323,"")</f>
        <v/>
      </c>
      <c r="R312" s="17" t="str">
        <f>IF(ISNUMBER('Model_ of_individuals'!R323), 'Model_ of_individuals'!R323*'Model_ of_individuals'!$K323,"")</f>
        <v/>
      </c>
      <c r="S312" s="17" t="str">
        <f>IF(ISNUMBER('Model_ of_individuals'!S323), 'Model_ of_individuals'!S323*'Model_ of_individuals'!$K323,"")</f>
        <v/>
      </c>
      <c r="T312" s="17" t="str">
        <f>IF(ISNUMBER('Model_ of_individuals'!T323), 'Model_ of_individuals'!T323*'Model_ of_individuals'!$K323,"")</f>
        <v/>
      </c>
      <c r="U312" s="17" t="str">
        <f>IF(ISNUMBER('Model_ of_individuals'!U323), 'Model_ of_individuals'!U323*'Model_ of_individuals'!$K323,"")</f>
        <v/>
      </c>
      <c r="V312" s="17" t="str">
        <f>IF(ISNUMBER('Model_ of_individuals'!V323), 'Model_ of_individuals'!V323*'Model_ of_individuals'!$K323,"")</f>
        <v/>
      </c>
      <c r="W312" s="17" t="str">
        <f>IF(ISNUMBER('Model_ of_individuals'!W323), 'Model_ of_individuals'!W323*'Model_ of_individuals'!$K323,"")</f>
        <v/>
      </c>
      <c r="X312" s="17" t="str">
        <f>IF(ISNUMBER('Model_ of_individuals'!X323), 'Model_ of_individuals'!X323*'Model_ of_individuals'!$K323,"")</f>
        <v/>
      </c>
      <c r="Y312" s="17" t="str">
        <f>IF(ISNUMBER('Model_ of_individuals'!Y323), 'Model_ of_individuals'!Y323*'Model_ of_individuals'!$K323,"")</f>
        <v/>
      </c>
      <c r="Z312" s="17" t="str">
        <f>IF(ISNUMBER('Model_ of_individuals'!Z323), 'Model_ of_individuals'!Z323*'Model_ of_individuals'!$K323,"")</f>
        <v/>
      </c>
      <c r="AA312" s="17" t="str">
        <f>IF(ISNUMBER('Model_ of_individuals'!AA323), 'Model_ of_individuals'!AA323*'Model_ of_individuals'!$K323,"")</f>
        <v/>
      </c>
      <c r="AB312" s="17" t="str">
        <f>IF(ISNUMBER('Model_ of_individuals'!AB323), 'Model_ of_individuals'!AB323*'Model_ of_individuals'!$K323,"")</f>
        <v/>
      </c>
      <c r="AC312" s="17" t="str">
        <f>IF(ISNUMBER('Model_ of_individuals'!AC323), 'Model_ of_individuals'!AC323*'Model_ of_individuals'!$K323,"")</f>
        <v/>
      </c>
      <c r="AD312" s="17" t="str">
        <f>IF(ISNUMBER('Model_ of_individuals'!AD323), 'Model_ of_individuals'!AD323*'Model_ of_individuals'!$K323,"")</f>
        <v/>
      </c>
      <c r="AE312" s="17" t="str">
        <f>IF(ISNUMBER('Model_ of_individuals'!AE323), 'Model_ of_individuals'!AE323*'Model_ of_individuals'!$K323,"")</f>
        <v/>
      </c>
      <c r="AF312" s="17" t="str">
        <f>IF(ISNUMBER('Model_ of_individuals'!AF323), 'Model_ of_individuals'!AF323*'Model_ of_individuals'!$K323,"")</f>
        <v/>
      </c>
      <c r="AG312" s="17" t="str">
        <f>IF(ISNUMBER('Model_ of_individuals'!AG323), 'Model_ of_individuals'!AG323*'Model_ of_individuals'!$K323,"")</f>
        <v/>
      </c>
      <c r="AH312" s="17" t="str">
        <f>IF(ISNUMBER('Model_ of_individuals'!AH323), 'Model_ of_individuals'!AH323*'Model_ of_individuals'!$K323,"")</f>
        <v/>
      </c>
      <c r="AI312" s="17" t="str">
        <f>IF(ISNUMBER('Model_ of_individuals'!AI323), 'Model_ of_individuals'!AI323*'Model_ of_individuals'!$K323,"")</f>
        <v/>
      </c>
      <c r="AJ312" s="17" t="str">
        <f>IF(ISNUMBER('Model_ of_individuals'!AJ323), 'Model_ of_individuals'!AJ323*'Model_ of_individuals'!$K323,"")</f>
        <v/>
      </c>
      <c r="AK312" s="17" t="str">
        <f>IF(ISNUMBER('Model_ of_individuals'!AK323), 'Model_ of_individuals'!AK323*'Model_ of_individuals'!$K323,"")</f>
        <v/>
      </c>
      <c r="AL312" s="17" t="str">
        <f>IF(ISNUMBER('Model_ of_individuals'!AL323), 'Model_ of_individuals'!AL323*'Model_ of_individuals'!$K323,"")</f>
        <v/>
      </c>
      <c r="AM312" s="17" t="str">
        <f>IF(ISNUMBER('Model_ of_individuals'!AM323), 'Model_ of_individuals'!AM323*'Model_ of_individuals'!$K323,"")</f>
        <v/>
      </c>
      <c r="AN312" s="17" t="str">
        <f>IF(ISNUMBER('Model_ of_individuals'!AN323), 'Model_ of_individuals'!AN323*'Model_ of_individuals'!$K323,"")</f>
        <v/>
      </c>
      <c r="AO312" s="17" t="str">
        <f>IF(ISNUMBER('Model_ of_individuals'!AO323), 'Model_ of_individuals'!AO323*'Model_ of_individuals'!$K323,"")</f>
        <v/>
      </c>
      <c r="AP312" s="17" t="str">
        <f>IF(ISNUMBER('Model_ of_individuals'!AP323), 'Model_ of_individuals'!AP323*'Model_ of_individuals'!$K323,"")</f>
        <v/>
      </c>
      <c r="AQ312" s="17" t="str">
        <f>IF(ISNUMBER('Model_ of_individuals'!AQ323), 'Model_ of_individuals'!AQ323*'Model_ of_individuals'!$K323,"")</f>
        <v/>
      </c>
      <c r="AR312" s="17" t="str">
        <f>IF(ISNUMBER('Model_ of_individuals'!AR323), 'Model_ of_individuals'!AR323*'Model_ of_individuals'!$K323,"")</f>
        <v/>
      </c>
      <c r="AS312" s="4" t="str">
        <f>IF(ISNUMBER('Model_ of_individuals'!AS323), 'Model_ of_individuals'!AS323*'Model_ of_individuals'!$K323,"")</f>
        <v/>
      </c>
    </row>
    <row r="313" spans="1:45" x14ac:dyDescent="0.25">
      <c r="A313" s="518"/>
      <c r="B313" s="504"/>
      <c r="C313" s="107" t="str">
        <f>IF(AND(ISNUMBER(B310), OR('Cost Inputs'!$H$108&lt;&gt;"", 'Cost Inputs'!$I$108&lt;&gt;"", 'Cost Inputs'!$J$108&lt;&gt;"")), _4_3_2, "")</f>
        <v/>
      </c>
      <c r="D313" s="93" t="str">
        <f>IF(AND(C313&lt;&gt;"", 'Cost Inputs'!$G$108&lt;&gt;""), 'Cost Inputs'!$G$108, "")</f>
        <v/>
      </c>
      <c r="E313" s="93" t="str">
        <f>IF(AND(C313&lt;&gt;"", 'Cost Inputs'!$H$108&lt;&gt;""), 'Cost Inputs'!$H$108, "")</f>
        <v/>
      </c>
      <c r="F313" s="93" t="str">
        <f>IF(AND(C313&lt;&gt;"", 'Cost Inputs'!$I$108&lt;&gt;""), 'Cost Inputs'!$I$108, "")</f>
        <v/>
      </c>
      <c r="G313" s="108" t="str">
        <f t="shared" si="16"/>
        <v/>
      </c>
      <c r="H313" s="93" t="str">
        <f>IF(AND(C313&lt;&gt;"", 'Cost Inputs'!$J$108&lt;&gt;""), 'Cost Inputs'!$J$108, "")</f>
        <v/>
      </c>
      <c r="I313" s="93" t="str">
        <f t="shared" si="23"/>
        <v/>
      </c>
      <c r="J313" s="93" t="str">
        <f>IF(AND(C313&lt;&gt;"",('Cost Inputs'!$I$108+'Cost Inputs'!$J$108+'Cost Inputs'!$K$108)&gt;0), 'Cost Inputs'!$I$108+'Cost Inputs'!$J$108+'Cost Inputs'!$K$108, "")</f>
        <v/>
      </c>
      <c r="K313" s="93" t="str">
        <f t="shared" si="24"/>
        <v/>
      </c>
      <c r="L313" s="525"/>
      <c r="M313" s="525"/>
      <c r="P313" s="93" t="str">
        <f>IF(ISNUMBER('Model_ of_individuals'!P324), 'Model_ of_individuals'!P324*'Model_ of_individuals'!$K324,"")</f>
        <v/>
      </c>
      <c r="Q313" s="93" t="str">
        <f>IF(ISNUMBER('Model_ of_individuals'!Q324), 'Model_ of_individuals'!Q324*'Model_ of_individuals'!$K324,"")</f>
        <v/>
      </c>
      <c r="R313" s="93" t="str">
        <f>IF(ISNUMBER('Model_ of_individuals'!R324), 'Model_ of_individuals'!R324*'Model_ of_individuals'!$K324,"")</f>
        <v/>
      </c>
      <c r="S313" s="93" t="str">
        <f>IF(ISNUMBER('Model_ of_individuals'!S324), 'Model_ of_individuals'!S324*'Model_ of_individuals'!$K324,"")</f>
        <v/>
      </c>
      <c r="T313" s="93" t="str">
        <f>IF(ISNUMBER('Model_ of_individuals'!T324), 'Model_ of_individuals'!T324*'Model_ of_individuals'!$K324,"")</f>
        <v/>
      </c>
      <c r="U313" s="93" t="str">
        <f>IF(ISNUMBER('Model_ of_individuals'!U324), 'Model_ of_individuals'!U324*'Model_ of_individuals'!$K324,"")</f>
        <v/>
      </c>
      <c r="V313" s="93" t="str">
        <f>IF(ISNUMBER('Model_ of_individuals'!V324), 'Model_ of_individuals'!V324*'Model_ of_individuals'!$K324,"")</f>
        <v/>
      </c>
      <c r="W313" s="93" t="str">
        <f>IF(ISNUMBER('Model_ of_individuals'!W324), 'Model_ of_individuals'!W324*'Model_ of_individuals'!$K324,"")</f>
        <v/>
      </c>
      <c r="X313" s="93" t="str">
        <f>IF(ISNUMBER('Model_ of_individuals'!X324), 'Model_ of_individuals'!X324*'Model_ of_individuals'!$K324,"")</f>
        <v/>
      </c>
      <c r="Y313" s="93" t="str">
        <f>IF(ISNUMBER('Model_ of_individuals'!Y324), 'Model_ of_individuals'!Y324*'Model_ of_individuals'!$K324,"")</f>
        <v/>
      </c>
      <c r="Z313" s="93" t="str">
        <f>IF(ISNUMBER('Model_ of_individuals'!Z324), 'Model_ of_individuals'!Z324*'Model_ of_individuals'!$K324,"")</f>
        <v/>
      </c>
      <c r="AA313" s="93" t="str">
        <f>IF(ISNUMBER('Model_ of_individuals'!AA324), 'Model_ of_individuals'!AA324*'Model_ of_individuals'!$K324,"")</f>
        <v/>
      </c>
      <c r="AB313" s="93" t="str">
        <f>IF(ISNUMBER('Model_ of_individuals'!AB324), 'Model_ of_individuals'!AB324*'Model_ of_individuals'!$K324,"")</f>
        <v/>
      </c>
      <c r="AC313" s="93" t="str">
        <f>IF(ISNUMBER('Model_ of_individuals'!AC324), 'Model_ of_individuals'!AC324*'Model_ of_individuals'!$K324,"")</f>
        <v/>
      </c>
      <c r="AD313" s="93" t="str">
        <f>IF(ISNUMBER('Model_ of_individuals'!AD324), 'Model_ of_individuals'!AD324*'Model_ of_individuals'!$K324,"")</f>
        <v/>
      </c>
      <c r="AE313" s="93" t="str">
        <f>IF(ISNUMBER('Model_ of_individuals'!AE324), 'Model_ of_individuals'!AE324*'Model_ of_individuals'!$K324,"")</f>
        <v/>
      </c>
      <c r="AF313" s="93" t="str">
        <f>IF(ISNUMBER('Model_ of_individuals'!AF324), 'Model_ of_individuals'!AF324*'Model_ of_individuals'!$K324,"")</f>
        <v/>
      </c>
      <c r="AG313" s="93" t="str">
        <f>IF(ISNUMBER('Model_ of_individuals'!AG324), 'Model_ of_individuals'!AG324*'Model_ of_individuals'!$K324,"")</f>
        <v/>
      </c>
      <c r="AH313" s="93" t="str">
        <f>IF(ISNUMBER('Model_ of_individuals'!AH324), 'Model_ of_individuals'!AH324*'Model_ of_individuals'!$K324,"")</f>
        <v/>
      </c>
      <c r="AI313" s="93" t="str">
        <f>IF(ISNUMBER('Model_ of_individuals'!AI324), 'Model_ of_individuals'!AI324*'Model_ of_individuals'!$K324,"")</f>
        <v/>
      </c>
      <c r="AJ313" s="93" t="str">
        <f>IF(ISNUMBER('Model_ of_individuals'!AJ324), 'Model_ of_individuals'!AJ324*'Model_ of_individuals'!$K324,"")</f>
        <v/>
      </c>
      <c r="AK313" s="93" t="str">
        <f>IF(ISNUMBER('Model_ of_individuals'!AK324), 'Model_ of_individuals'!AK324*'Model_ of_individuals'!$K324,"")</f>
        <v/>
      </c>
      <c r="AL313" s="93" t="str">
        <f>IF(ISNUMBER('Model_ of_individuals'!AL324), 'Model_ of_individuals'!AL324*'Model_ of_individuals'!$K324,"")</f>
        <v/>
      </c>
      <c r="AM313" s="93" t="str">
        <f>IF(ISNUMBER('Model_ of_individuals'!AM324), 'Model_ of_individuals'!AM324*'Model_ of_individuals'!$K324,"")</f>
        <v/>
      </c>
      <c r="AN313" s="93" t="str">
        <f>IF(ISNUMBER('Model_ of_individuals'!AN324), 'Model_ of_individuals'!AN324*'Model_ of_individuals'!$K324,"")</f>
        <v/>
      </c>
      <c r="AO313" s="93" t="str">
        <f>IF(ISNUMBER('Model_ of_individuals'!AO324), 'Model_ of_individuals'!AO324*'Model_ of_individuals'!$K324,"")</f>
        <v/>
      </c>
      <c r="AP313" s="93" t="str">
        <f>IF(ISNUMBER('Model_ of_individuals'!AP324), 'Model_ of_individuals'!AP324*'Model_ of_individuals'!$K324,"")</f>
        <v/>
      </c>
      <c r="AQ313" s="93" t="str">
        <f>IF(ISNUMBER('Model_ of_individuals'!AQ324), 'Model_ of_individuals'!AQ324*'Model_ of_individuals'!$K324,"")</f>
        <v/>
      </c>
      <c r="AR313" s="93" t="str">
        <f>IF(ISNUMBER('Model_ of_individuals'!AR324), 'Model_ of_individuals'!AR324*'Model_ of_individuals'!$K324,"")</f>
        <v/>
      </c>
      <c r="AS313" s="4" t="str">
        <f>IF(ISNUMBER('Model_ of_individuals'!AS324), 'Model_ of_individuals'!AS324*'Model_ of_individuals'!$K324,"")</f>
        <v/>
      </c>
    </row>
    <row r="314" spans="1:45" x14ac:dyDescent="0.25">
      <c r="A314" s="518"/>
      <c r="B314" s="504"/>
      <c r="C314" s="110" t="str">
        <f>IF(ISNUMBER(B310), _4_4_0, "")</f>
        <v/>
      </c>
      <c r="D314" s="94" t="str">
        <f>IF(AND(C314&lt;&gt;"", 'Cost Inputs'!$G$109&lt;&gt;""), 'Cost Inputs'!$G$109, "")</f>
        <v/>
      </c>
      <c r="E314" s="94" t="str">
        <f>IF(AND(C314&lt;&gt;"", 'Cost Inputs'!$H$109&lt;&gt;""), 'Cost Inputs'!$H$109, "")</f>
        <v/>
      </c>
      <c r="F314" s="94" t="str">
        <f>IF(AND(C314&lt;&gt;"", 'Cost Inputs'!$I$109&lt;&gt;""), 'Cost Inputs'!$I$109, "")</f>
        <v/>
      </c>
      <c r="G314" s="102" t="str">
        <f t="shared" si="16"/>
        <v/>
      </c>
      <c r="H314" s="102" t="str">
        <f>IF(AND(C314&lt;&gt;"", 'Cost Inputs'!$J$109&lt;&gt;""), 'Cost Inputs'!$J$109, "")</f>
        <v/>
      </c>
      <c r="I314" s="102" t="str">
        <f t="shared" si="23"/>
        <v/>
      </c>
      <c r="J314" s="102" t="str">
        <f>IF(AND(C314&lt;&gt;"",('Cost Inputs'!$I$109+'Cost Inputs'!$J$109+'Cost Inputs'!$K$109)&gt;0), 'Cost Inputs'!$I$109+'Cost Inputs'!$J$109+'Cost Inputs'!$K$109, "")</f>
        <v/>
      </c>
      <c r="K314" s="102" t="str">
        <f t="shared" si="24"/>
        <v/>
      </c>
      <c r="L314" s="525"/>
      <c r="M314" s="525"/>
      <c r="P314" s="102" t="str">
        <f>IF(ISNUMBER('Model_ of_individuals'!P325), 'Model_ of_individuals'!P325*'Model_ of_individuals'!$K325,"")</f>
        <v/>
      </c>
      <c r="Q314" s="102" t="str">
        <f>IF(ISNUMBER('Model_ of_individuals'!Q325), 'Model_ of_individuals'!Q325*'Model_ of_individuals'!$K325,"")</f>
        <v/>
      </c>
      <c r="R314" s="102" t="str">
        <f>IF(ISNUMBER('Model_ of_individuals'!R325), 'Model_ of_individuals'!R325*'Model_ of_individuals'!$K325,"")</f>
        <v/>
      </c>
      <c r="S314" s="102" t="str">
        <f>IF(ISNUMBER('Model_ of_individuals'!S325), 'Model_ of_individuals'!S325*'Model_ of_individuals'!$K325,"")</f>
        <v/>
      </c>
      <c r="T314" s="102" t="str">
        <f>IF(ISNUMBER('Model_ of_individuals'!T325), 'Model_ of_individuals'!T325*'Model_ of_individuals'!$K325,"")</f>
        <v/>
      </c>
      <c r="U314" s="102" t="str">
        <f>IF(ISNUMBER('Model_ of_individuals'!U325), 'Model_ of_individuals'!U325*'Model_ of_individuals'!$K325,"")</f>
        <v/>
      </c>
      <c r="V314" s="102" t="str">
        <f>IF(ISNUMBER('Model_ of_individuals'!V325), 'Model_ of_individuals'!V325*'Model_ of_individuals'!$K325,"")</f>
        <v/>
      </c>
      <c r="W314" s="102" t="str">
        <f>IF(ISNUMBER('Model_ of_individuals'!W325), 'Model_ of_individuals'!W325*'Model_ of_individuals'!$K325,"")</f>
        <v/>
      </c>
      <c r="X314" s="102" t="str">
        <f>IF(ISNUMBER('Model_ of_individuals'!X325), 'Model_ of_individuals'!X325*'Model_ of_individuals'!$K325,"")</f>
        <v/>
      </c>
      <c r="Y314" s="102" t="str">
        <f>IF(ISNUMBER('Model_ of_individuals'!Y325), 'Model_ of_individuals'!Y325*'Model_ of_individuals'!$K325,"")</f>
        <v/>
      </c>
      <c r="Z314" s="102" t="str">
        <f>IF(ISNUMBER('Model_ of_individuals'!Z325), 'Model_ of_individuals'!Z325*'Model_ of_individuals'!$K325,"")</f>
        <v/>
      </c>
      <c r="AA314" s="102" t="str">
        <f>IF(ISNUMBER('Model_ of_individuals'!AA325), 'Model_ of_individuals'!AA325*'Model_ of_individuals'!$K325,"")</f>
        <v/>
      </c>
      <c r="AB314" s="102" t="str">
        <f>IF(ISNUMBER('Model_ of_individuals'!AB325), 'Model_ of_individuals'!AB325*'Model_ of_individuals'!$K325,"")</f>
        <v/>
      </c>
      <c r="AC314" s="102" t="str">
        <f>IF(ISNUMBER('Model_ of_individuals'!AC325), 'Model_ of_individuals'!AC325*'Model_ of_individuals'!$K325,"")</f>
        <v/>
      </c>
      <c r="AD314" s="102" t="str">
        <f>IF(ISNUMBER('Model_ of_individuals'!AD325), 'Model_ of_individuals'!AD325*'Model_ of_individuals'!$K325,"")</f>
        <v/>
      </c>
      <c r="AE314" s="102" t="str">
        <f>IF(ISNUMBER('Model_ of_individuals'!AE325), 'Model_ of_individuals'!AE325*'Model_ of_individuals'!$K325,"")</f>
        <v/>
      </c>
      <c r="AF314" s="102" t="str">
        <f>IF(ISNUMBER('Model_ of_individuals'!AF325), 'Model_ of_individuals'!AF325*'Model_ of_individuals'!$K325,"")</f>
        <v/>
      </c>
      <c r="AG314" s="102" t="str">
        <f>IF(ISNUMBER('Model_ of_individuals'!AG325), 'Model_ of_individuals'!AG325*'Model_ of_individuals'!$K325,"")</f>
        <v/>
      </c>
      <c r="AH314" s="102" t="str">
        <f>IF(ISNUMBER('Model_ of_individuals'!AH325), 'Model_ of_individuals'!AH325*'Model_ of_individuals'!$K325,"")</f>
        <v/>
      </c>
      <c r="AI314" s="102" t="str">
        <f>IF(ISNUMBER('Model_ of_individuals'!AI325), 'Model_ of_individuals'!AI325*'Model_ of_individuals'!$K325,"")</f>
        <v/>
      </c>
      <c r="AJ314" s="102" t="str">
        <f>IF(ISNUMBER('Model_ of_individuals'!AJ325), 'Model_ of_individuals'!AJ325*'Model_ of_individuals'!$K325,"")</f>
        <v/>
      </c>
      <c r="AK314" s="102" t="str">
        <f>IF(ISNUMBER('Model_ of_individuals'!AK325), 'Model_ of_individuals'!AK325*'Model_ of_individuals'!$K325,"")</f>
        <v/>
      </c>
      <c r="AL314" s="102" t="str">
        <f>IF(ISNUMBER('Model_ of_individuals'!AL325), 'Model_ of_individuals'!AL325*'Model_ of_individuals'!$K325,"")</f>
        <v/>
      </c>
      <c r="AM314" s="102" t="str">
        <f>IF(ISNUMBER('Model_ of_individuals'!AM325), 'Model_ of_individuals'!AM325*'Model_ of_individuals'!$K325,"")</f>
        <v/>
      </c>
      <c r="AN314" s="102" t="str">
        <f>IF(ISNUMBER('Model_ of_individuals'!AN325), 'Model_ of_individuals'!AN325*'Model_ of_individuals'!$K325,"")</f>
        <v/>
      </c>
      <c r="AO314" s="102" t="str">
        <f>IF(ISNUMBER('Model_ of_individuals'!AO325), 'Model_ of_individuals'!AO325*'Model_ of_individuals'!$K325,"")</f>
        <v/>
      </c>
      <c r="AP314" s="102" t="str">
        <f>IF(ISNUMBER('Model_ of_individuals'!AP325), 'Model_ of_individuals'!AP325*'Model_ of_individuals'!$K325,"")</f>
        <v/>
      </c>
      <c r="AQ314" s="102" t="str">
        <f>IF(ISNUMBER('Model_ of_individuals'!AQ325), 'Model_ of_individuals'!AQ325*'Model_ of_individuals'!$K325,"")</f>
        <v/>
      </c>
      <c r="AR314" s="102" t="str">
        <f>IF(ISNUMBER('Model_ of_individuals'!AR325), 'Model_ of_individuals'!AR325*'Model_ of_individuals'!$K325,"")</f>
        <v/>
      </c>
      <c r="AS314" s="4" t="str">
        <f>IF(ISNUMBER('Model_ of_individuals'!AS325), 'Model_ of_individuals'!AS325*'Model_ of_individuals'!$K325,"")</f>
        <v/>
      </c>
    </row>
    <row r="315" spans="1:45" x14ac:dyDescent="0.25">
      <c r="A315" s="518"/>
      <c r="B315" s="504"/>
      <c r="C315" s="104" t="str">
        <f>IF(AND(ISNUMBER(B310), OR('Cost Inputs'!$H$110&lt;&gt;"", 'Cost Inputs'!$I$110&lt;&gt;"", 'Cost Inputs'!$J$110&lt;&gt;"")), _4_4_1, "")</f>
        <v/>
      </c>
      <c r="D315" s="17" t="str">
        <f>IF(AND(C315&lt;&gt;"", 'Cost Inputs'!$G$110&lt;&gt;""), 'Cost Inputs'!$G$110, "")</f>
        <v/>
      </c>
      <c r="E315" s="17" t="str">
        <f>IF(AND(C315&lt;&gt;"", 'Cost Inputs'!$H$110&lt;&gt;""), 'Cost Inputs'!$H$110, "")</f>
        <v/>
      </c>
      <c r="F315" s="17" t="str">
        <f>IF(AND(C315&lt;&gt;"", 'Cost Inputs'!$I$110&lt;&gt;""), 'Cost Inputs'!$I$110, "")</f>
        <v/>
      </c>
      <c r="G315" s="105" t="str">
        <f t="shared" si="16"/>
        <v/>
      </c>
      <c r="H315" s="17" t="str">
        <f>IF(AND(C315&lt;&gt;"", 'Cost Inputs'!$J$110&lt;&gt;""), 'Cost Inputs'!$J$110, "")</f>
        <v/>
      </c>
      <c r="I315" s="17" t="str">
        <f t="shared" si="23"/>
        <v/>
      </c>
      <c r="J315" s="17" t="str">
        <f>IF(AND(C315&lt;&gt;"",('Cost Inputs'!$I$110+'Cost Inputs'!$J$110+'Cost Inputs'!$K$110)&gt;0), 'Cost Inputs'!$I$110+'Cost Inputs'!$J$110+'Cost Inputs'!$K$110, "")</f>
        <v/>
      </c>
      <c r="K315" s="17" t="str">
        <f t="shared" si="24"/>
        <v/>
      </c>
      <c r="L315" s="525"/>
      <c r="M315" s="525"/>
      <c r="P315" s="17" t="str">
        <f>IF(ISNUMBER('Model_ of_individuals'!P326), 'Model_ of_individuals'!P326*'Model_ of_individuals'!$K326,"")</f>
        <v/>
      </c>
      <c r="Q315" s="17" t="str">
        <f>IF(ISNUMBER('Model_ of_individuals'!Q326), 'Model_ of_individuals'!Q326*'Model_ of_individuals'!$K326,"")</f>
        <v/>
      </c>
      <c r="R315" s="17" t="str">
        <f>IF(ISNUMBER('Model_ of_individuals'!R326), 'Model_ of_individuals'!R326*'Model_ of_individuals'!$K326,"")</f>
        <v/>
      </c>
      <c r="S315" s="17" t="str">
        <f>IF(ISNUMBER('Model_ of_individuals'!S326), 'Model_ of_individuals'!S326*'Model_ of_individuals'!$K326,"")</f>
        <v/>
      </c>
      <c r="T315" s="17" t="str">
        <f>IF(ISNUMBER('Model_ of_individuals'!T326), 'Model_ of_individuals'!T326*'Model_ of_individuals'!$K326,"")</f>
        <v/>
      </c>
      <c r="U315" s="17" t="str">
        <f>IF(ISNUMBER('Model_ of_individuals'!U326), 'Model_ of_individuals'!U326*'Model_ of_individuals'!$K326,"")</f>
        <v/>
      </c>
      <c r="V315" s="17" t="str">
        <f>IF(ISNUMBER('Model_ of_individuals'!V326), 'Model_ of_individuals'!V326*'Model_ of_individuals'!$K326,"")</f>
        <v/>
      </c>
      <c r="W315" s="17" t="str">
        <f>IF(ISNUMBER('Model_ of_individuals'!W326), 'Model_ of_individuals'!W326*'Model_ of_individuals'!$K326,"")</f>
        <v/>
      </c>
      <c r="X315" s="17" t="str">
        <f>IF(ISNUMBER('Model_ of_individuals'!X326), 'Model_ of_individuals'!X326*'Model_ of_individuals'!$K326,"")</f>
        <v/>
      </c>
      <c r="Y315" s="17" t="str">
        <f>IF(ISNUMBER('Model_ of_individuals'!Y326), 'Model_ of_individuals'!Y326*'Model_ of_individuals'!$K326,"")</f>
        <v/>
      </c>
      <c r="Z315" s="17" t="str">
        <f>IF(ISNUMBER('Model_ of_individuals'!Z326), 'Model_ of_individuals'!Z326*'Model_ of_individuals'!$K326,"")</f>
        <v/>
      </c>
      <c r="AA315" s="17" t="str">
        <f>IF(ISNUMBER('Model_ of_individuals'!AA326), 'Model_ of_individuals'!AA326*'Model_ of_individuals'!$K326,"")</f>
        <v/>
      </c>
      <c r="AB315" s="17" t="str">
        <f>IF(ISNUMBER('Model_ of_individuals'!AB326), 'Model_ of_individuals'!AB326*'Model_ of_individuals'!$K326,"")</f>
        <v/>
      </c>
      <c r="AC315" s="17" t="str">
        <f>IF(ISNUMBER('Model_ of_individuals'!AC326), 'Model_ of_individuals'!AC326*'Model_ of_individuals'!$K326,"")</f>
        <v/>
      </c>
      <c r="AD315" s="17" t="str">
        <f>IF(ISNUMBER('Model_ of_individuals'!AD326), 'Model_ of_individuals'!AD326*'Model_ of_individuals'!$K326,"")</f>
        <v/>
      </c>
      <c r="AE315" s="17" t="str">
        <f>IF(ISNUMBER('Model_ of_individuals'!AE326), 'Model_ of_individuals'!AE326*'Model_ of_individuals'!$K326,"")</f>
        <v/>
      </c>
      <c r="AF315" s="17" t="str">
        <f>IF(ISNUMBER('Model_ of_individuals'!AF326), 'Model_ of_individuals'!AF326*'Model_ of_individuals'!$K326,"")</f>
        <v/>
      </c>
      <c r="AG315" s="17" t="str">
        <f>IF(ISNUMBER('Model_ of_individuals'!AG326), 'Model_ of_individuals'!AG326*'Model_ of_individuals'!$K326,"")</f>
        <v/>
      </c>
      <c r="AH315" s="17" t="str">
        <f>IF(ISNUMBER('Model_ of_individuals'!AH326), 'Model_ of_individuals'!AH326*'Model_ of_individuals'!$K326,"")</f>
        <v/>
      </c>
      <c r="AI315" s="17" t="str">
        <f>IF(ISNUMBER('Model_ of_individuals'!AI326), 'Model_ of_individuals'!AI326*'Model_ of_individuals'!$K326,"")</f>
        <v/>
      </c>
      <c r="AJ315" s="17" t="str">
        <f>IF(ISNUMBER('Model_ of_individuals'!AJ326), 'Model_ of_individuals'!AJ326*'Model_ of_individuals'!$K326,"")</f>
        <v/>
      </c>
      <c r="AK315" s="17" t="str">
        <f>IF(ISNUMBER('Model_ of_individuals'!AK326), 'Model_ of_individuals'!AK326*'Model_ of_individuals'!$K326,"")</f>
        <v/>
      </c>
      <c r="AL315" s="17" t="str">
        <f>IF(ISNUMBER('Model_ of_individuals'!AL326), 'Model_ of_individuals'!AL326*'Model_ of_individuals'!$K326,"")</f>
        <v/>
      </c>
      <c r="AM315" s="17" t="str">
        <f>IF(ISNUMBER('Model_ of_individuals'!AM326), 'Model_ of_individuals'!AM326*'Model_ of_individuals'!$K326,"")</f>
        <v/>
      </c>
      <c r="AN315" s="17" t="str">
        <f>IF(ISNUMBER('Model_ of_individuals'!AN326), 'Model_ of_individuals'!AN326*'Model_ of_individuals'!$K326,"")</f>
        <v/>
      </c>
      <c r="AO315" s="17" t="str">
        <f>IF(ISNUMBER('Model_ of_individuals'!AO326), 'Model_ of_individuals'!AO326*'Model_ of_individuals'!$K326,"")</f>
        <v/>
      </c>
      <c r="AP315" s="17" t="str">
        <f>IF(ISNUMBER('Model_ of_individuals'!AP326), 'Model_ of_individuals'!AP326*'Model_ of_individuals'!$K326,"")</f>
        <v/>
      </c>
      <c r="AQ315" s="17" t="str">
        <f>IF(ISNUMBER('Model_ of_individuals'!AQ326), 'Model_ of_individuals'!AQ326*'Model_ of_individuals'!$K326,"")</f>
        <v/>
      </c>
      <c r="AR315" s="17" t="str">
        <f>IF(ISNUMBER('Model_ of_individuals'!AR326), 'Model_ of_individuals'!AR326*'Model_ of_individuals'!$K326,"")</f>
        <v/>
      </c>
      <c r="AS315" s="4" t="str">
        <f>IF(ISNUMBER('Model_ of_individuals'!AS326), 'Model_ of_individuals'!AS326*'Model_ of_individuals'!$K326,"")</f>
        <v/>
      </c>
    </row>
    <row r="316" spans="1:45" x14ac:dyDescent="0.25">
      <c r="A316" s="518"/>
      <c r="B316" s="504"/>
      <c r="C316" s="107" t="str">
        <f>IF(AND(ISNUMBER(B310), OR('Cost Inputs'!$H$111&lt;&gt;"", 'Cost Inputs'!$I$111&lt;&gt;"", 'Cost Inputs'!$J$111&lt;&gt;"")), _4_4_2, "")</f>
        <v/>
      </c>
      <c r="D316" s="93" t="str">
        <f>IF(AND(C316&lt;&gt;"", 'Cost Inputs'!$G$111&lt;&gt;""), 'Cost Inputs'!$G$111, "")</f>
        <v/>
      </c>
      <c r="E316" s="93" t="str">
        <f>IF(AND(C316&lt;&gt;"", 'Cost Inputs'!$H$111&lt;&gt;""), 'Cost Inputs'!$H$111, "")</f>
        <v/>
      </c>
      <c r="F316" s="93" t="str">
        <f>IF(AND(C316&lt;&gt;"", 'Cost Inputs'!$I$111&lt;&gt;""), 'Cost Inputs'!$I$111, "")</f>
        <v/>
      </c>
      <c r="G316" s="108" t="str">
        <f t="shared" si="16"/>
        <v/>
      </c>
      <c r="H316" s="93" t="str">
        <f>IF(AND(C316&lt;&gt;"", 'Cost Inputs'!$J$111&lt;&gt;""), 'Cost Inputs'!$J$111, "")</f>
        <v/>
      </c>
      <c r="I316" s="93" t="str">
        <f t="shared" si="23"/>
        <v/>
      </c>
      <c r="J316" s="93" t="str">
        <f>IF(AND(C316&lt;&gt;"",('Cost Inputs'!$I$111+'Cost Inputs'!$J$111+'Cost Inputs'!$K$111)&gt;0), 'Cost Inputs'!$I$111+'Cost Inputs'!$J$111+'Cost Inputs'!$K$111, "")</f>
        <v/>
      </c>
      <c r="K316" s="93" t="str">
        <f t="shared" si="24"/>
        <v/>
      </c>
      <c r="L316" s="525"/>
      <c r="M316" s="525"/>
      <c r="P316" s="93" t="str">
        <f>IF(ISNUMBER('Model_ of_individuals'!P327), 'Model_ of_individuals'!P327*'Model_ of_individuals'!$K327,"")</f>
        <v/>
      </c>
      <c r="Q316" s="93" t="str">
        <f>IF(ISNUMBER('Model_ of_individuals'!Q327), 'Model_ of_individuals'!Q327*'Model_ of_individuals'!$K327,"")</f>
        <v/>
      </c>
      <c r="R316" s="93" t="str">
        <f>IF(ISNUMBER('Model_ of_individuals'!R327), 'Model_ of_individuals'!R327*'Model_ of_individuals'!$K327,"")</f>
        <v/>
      </c>
      <c r="S316" s="93" t="str">
        <f>IF(ISNUMBER('Model_ of_individuals'!S327), 'Model_ of_individuals'!S327*'Model_ of_individuals'!$K327,"")</f>
        <v/>
      </c>
      <c r="T316" s="93" t="str">
        <f>IF(ISNUMBER('Model_ of_individuals'!T327), 'Model_ of_individuals'!T327*'Model_ of_individuals'!$K327,"")</f>
        <v/>
      </c>
      <c r="U316" s="93" t="str">
        <f>IF(ISNUMBER('Model_ of_individuals'!U327), 'Model_ of_individuals'!U327*'Model_ of_individuals'!$K327,"")</f>
        <v/>
      </c>
      <c r="V316" s="93" t="str">
        <f>IF(ISNUMBER('Model_ of_individuals'!V327), 'Model_ of_individuals'!V327*'Model_ of_individuals'!$K327,"")</f>
        <v/>
      </c>
      <c r="W316" s="93" t="str">
        <f>IF(ISNUMBER('Model_ of_individuals'!W327), 'Model_ of_individuals'!W327*'Model_ of_individuals'!$K327,"")</f>
        <v/>
      </c>
      <c r="X316" s="93" t="str">
        <f>IF(ISNUMBER('Model_ of_individuals'!X327), 'Model_ of_individuals'!X327*'Model_ of_individuals'!$K327,"")</f>
        <v/>
      </c>
      <c r="Y316" s="93" t="str">
        <f>IF(ISNUMBER('Model_ of_individuals'!Y327), 'Model_ of_individuals'!Y327*'Model_ of_individuals'!$K327,"")</f>
        <v/>
      </c>
      <c r="Z316" s="93" t="str">
        <f>IF(ISNUMBER('Model_ of_individuals'!Z327), 'Model_ of_individuals'!Z327*'Model_ of_individuals'!$K327,"")</f>
        <v/>
      </c>
      <c r="AA316" s="93" t="str">
        <f>IF(ISNUMBER('Model_ of_individuals'!AA327), 'Model_ of_individuals'!AA327*'Model_ of_individuals'!$K327,"")</f>
        <v/>
      </c>
      <c r="AB316" s="93" t="str">
        <f>IF(ISNUMBER('Model_ of_individuals'!AB327), 'Model_ of_individuals'!AB327*'Model_ of_individuals'!$K327,"")</f>
        <v/>
      </c>
      <c r="AC316" s="93" t="str">
        <f>IF(ISNUMBER('Model_ of_individuals'!AC327), 'Model_ of_individuals'!AC327*'Model_ of_individuals'!$K327,"")</f>
        <v/>
      </c>
      <c r="AD316" s="93" t="str">
        <f>IF(ISNUMBER('Model_ of_individuals'!AD327), 'Model_ of_individuals'!AD327*'Model_ of_individuals'!$K327,"")</f>
        <v/>
      </c>
      <c r="AE316" s="93" t="str">
        <f>IF(ISNUMBER('Model_ of_individuals'!AE327), 'Model_ of_individuals'!AE327*'Model_ of_individuals'!$K327,"")</f>
        <v/>
      </c>
      <c r="AF316" s="93" t="str">
        <f>IF(ISNUMBER('Model_ of_individuals'!AF327), 'Model_ of_individuals'!AF327*'Model_ of_individuals'!$K327,"")</f>
        <v/>
      </c>
      <c r="AG316" s="93" t="str">
        <f>IF(ISNUMBER('Model_ of_individuals'!AG327), 'Model_ of_individuals'!AG327*'Model_ of_individuals'!$K327,"")</f>
        <v/>
      </c>
      <c r="AH316" s="93" t="str">
        <f>IF(ISNUMBER('Model_ of_individuals'!AH327), 'Model_ of_individuals'!AH327*'Model_ of_individuals'!$K327,"")</f>
        <v/>
      </c>
      <c r="AI316" s="93" t="str">
        <f>IF(ISNUMBER('Model_ of_individuals'!AI327), 'Model_ of_individuals'!AI327*'Model_ of_individuals'!$K327,"")</f>
        <v/>
      </c>
      <c r="AJ316" s="93" t="str">
        <f>IF(ISNUMBER('Model_ of_individuals'!AJ327), 'Model_ of_individuals'!AJ327*'Model_ of_individuals'!$K327,"")</f>
        <v/>
      </c>
      <c r="AK316" s="93" t="str">
        <f>IF(ISNUMBER('Model_ of_individuals'!AK327), 'Model_ of_individuals'!AK327*'Model_ of_individuals'!$K327,"")</f>
        <v/>
      </c>
      <c r="AL316" s="93" t="str">
        <f>IF(ISNUMBER('Model_ of_individuals'!AL327), 'Model_ of_individuals'!AL327*'Model_ of_individuals'!$K327,"")</f>
        <v/>
      </c>
      <c r="AM316" s="93" t="str">
        <f>IF(ISNUMBER('Model_ of_individuals'!AM327), 'Model_ of_individuals'!AM327*'Model_ of_individuals'!$K327,"")</f>
        <v/>
      </c>
      <c r="AN316" s="93" t="str">
        <f>IF(ISNUMBER('Model_ of_individuals'!AN327), 'Model_ of_individuals'!AN327*'Model_ of_individuals'!$K327,"")</f>
        <v/>
      </c>
      <c r="AO316" s="93" t="str">
        <f>IF(ISNUMBER('Model_ of_individuals'!AO327), 'Model_ of_individuals'!AO327*'Model_ of_individuals'!$K327,"")</f>
        <v/>
      </c>
      <c r="AP316" s="93" t="str">
        <f>IF(ISNUMBER('Model_ of_individuals'!AP327), 'Model_ of_individuals'!AP327*'Model_ of_individuals'!$K327,"")</f>
        <v/>
      </c>
      <c r="AQ316" s="93" t="str">
        <f>IF(ISNUMBER('Model_ of_individuals'!AQ327), 'Model_ of_individuals'!AQ327*'Model_ of_individuals'!$K327,"")</f>
        <v/>
      </c>
      <c r="AR316" s="93" t="str">
        <f>IF(ISNUMBER('Model_ of_individuals'!AR327), 'Model_ of_individuals'!AR327*'Model_ of_individuals'!$K327,"")</f>
        <v/>
      </c>
      <c r="AS316" s="4" t="str">
        <f>IF(ISNUMBER('Model_ of_individuals'!AS327), 'Model_ of_individuals'!AS327*'Model_ of_individuals'!$K327,"")</f>
        <v/>
      </c>
    </row>
    <row r="317" spans="1:45" x14ac:dyDescent="0.25">
      <c r="A317" s="518"/>
      <c r="B317" s="504"/>
      <c r="C317" s="104" t="str">
        <f>IF(AND(ISNUMBER(B310), OR('Cost Inputs'!$H$112&lt;&gt;"", 'Cost Inputs'!$I$112&lt;&gt;"", 'Cost Inputs'!$J$112&lt;&gt;"")), _4_4_3, "")</f>
        <v/>
      </c>
      <c r="D317" s="17" t="str">
        <f>IF(AND(C317&lt;&gt;"", 'Cost Inputs'!$G$112&lt;&gt;""), 'Cost Inputs'!$G$112, "")</f>
        <v/>
      </c>
      <c r="E317" s="17" t="str">
        <f>IF(AND(C317&lt;&gt;"", 'Cost Inputs'!$H$112&lt;&gt;""), 'Cost Inputs'!$H$112, "")</f>
        <v/>
      </c>
      <c r="F317" s="17" t="str">
        <f>IF(AND(C317&lt;&gt;"", 'Cost Inputs'!$I$112&lt;&gt;""), 'Cost Inputs'!$I$112, "")</f>
        <v/>
      </c>
      <c r="G317" s="105" t="str">
        <f t="shared" si="16"/>
        <v/>
      </c>
      <c r="H317" s="17" t="str">
        <f>IF(AND(C317&lt;&gt;"", 'Cost Inputs'!$J$112&lt;&gt;""), 'Cost Inputs'!$J$112, "")</f>
        <v/>
      </c>
      <c r="I317" s="17" t="str">
        <f t="shared" si="23"/>
        <v/>
      </c>
      <c r="J317" s="17" t="str">
        <f>IF(AND(C317&lt;&gt;"",('Cost Inputs'!$I$112+'Cost Inputs'!$J$112+'Cost Inputs'!$K$112)&gt;0), 'Cost Inputs'!$I$112+'Cost Inputs'!$J$112+'Cost Inputs'!$K$112, "")</f>
        <v/>
      </c>
      <c r="K317" s="17" t="str">
        <f t="shared" si="24"/>
        <v/>
      </c>
      <c r="L317" s="525"/>
      <c r="M317" s="525"/>
      <c r="P317" s="17" t="str">
        <f>IF(ISNUMBER('Model_ of_individuals'!P328), 'Model_ of_individuals'!P328*'Model_ of_individuals'!$K328,"")</f>
        <v/>
      </c>
      <c r="Q317" s="17" t="str">
        <f>IF(ISNUMBER('Model_ of_individuals'!Q328), 'Model_ of_individuals'!Q328*'Model_ of_individuals'!$K328,"")</f>
        <v/>
      </c>
      <c r="R317" s="17" t="str">
        <f>IF(ISNUMBER('Model_ of_individuals'!R328), 'Model_ of_individuals'!R328*'Model_ of_individuals'!$K328,"")</f>
        <v/>
      </c>
      <c r="S317" s="17" t="str">
        <f>IF(ISNUMBER('Model_ of_individuals'!S328), 'Model_ of_individuals'!S328*'Model_ of_individuals'!$K328,"")</f>
        <v/>
      </c>
      <c r="T317" s="17" t="str">
        <f>IF(ISNUMBER('Model_ of_individuals'!T328), 'Model_ of_individuals'!T328*'Model_ of_individuals'!$K328,"")</f>
        <v/>
      </c>
      <c r="U317" s="17" t="str">
        <f>IF(ISNUMBER('Model_ of_individuals'!U328), 'Model_ of_individuals'!U328*'Model_ of_individuals'!$K328,"")</f>
        <v/>
      </c>
      <c r="V317" s="17" t="str">
        <f>IF(ISNUMBER('Model_ of_individuals'!V328), 'Model_ of_individuals'!V328*'Model_ of_individuals'!$K328,"")</f>
        <v/>
      </c>
      <c r="W317" s="17" t="str">
        <f>IF(ISNUMBER('Model_ of_individuals'!W328), 'Model_ of_individuals'!W328*'Model_ of_individuals'!$K328,"")</f>
        <v/>
      </c>
      <c r="X317" s="17" t="str">
        <f>IF(ISNUMBER('Model_ of_individuals'!X328), 'Model_ of_individuals'!X328*'Model_ of_individuals'!$K328,"")</f>
        <v/>
      </c>
      <c r="Y317" s="17" t="str">
        <f>IF(ISNUMBER('Model_ of_individuals'!Y328), 'Model_ of_individuals'!Y328*'Model_ of_individuals'!$K328,"")</f>
        <v/>
      </c>
      <c r="Z317" s="17" t="str">
        <f>IF(ISNUMBER('Model_ of_individuals'!Z328), 'Model_ of_individuals'!Z328*'Model_ of_individuals'!$K328,"")</f>
        <v/>
      </c>
      <c r="AA317" s="17" t="str">
        <f>IF(ISNUMBER('Model_ of_individuals'!AA328), 'Model_ of_individuals'!AA328*'Model_ of_individuals'!$K328,"")</f>
        <v/>
      </c>
      <c r="AB317" s="17" t="str">
        <f>IF(ISNUMBER('Model_ of_individuals'!AB328), 'Model_ of_individuals'!AB328*'Model_ of_individuals'!$K328,"")</f>
        <v/>
      </c>
      <c r="AC317" s="17" t="str">
        <f>IF(ISNUMBER('Model_ of_individuals'!AC328), 'Model_ of_individuals'!AC328*'Model_ of_individuals'!$K328,"")</f>
        <v/>
      </c>
      <c r="AD317" s="17" t="str">
        <f>IF(ISNUMBER('Model_ of_individuals'!AD328), 'Model_ of_individuals'!AD328*'Model_ of_individuals'!$K328,"")</f>
        <v/>
      </c>
      <c r="AE317" s="17" t="str">
        <f>IF(ISNUMBER('Model_ of_individuals'!AE328), 'Model_ of_individuals'!AE328*'Model_ of_individuals'!$K328,"")</f>
        <v/>
      </c>
      <c r="AF317" s="17" t="str">
        <f>IF(ISNUMBER('Model_ of_individuals'!AF328), 'Model_ of_individuals'!AF328*'Model_ of_individuals'!$K328,"")</f>
        <v/>
      </c>
      <c r="AG317" s="17" t="str">
        <f>IF(ISNUMBER('Model_ of_individuals'!AG328), 'Model_ of_individuals'!AG328*'Model_ of_individuals'!$K328,"")</f>
        <v/>
      </c>
      <c r="AH317" s="17" t="str">
        <f>IF(ISNUMBER('Model_ of_individuals'!AH328), 'Model_ of_individuals'!AH328*'Model_ of_individuals'!$K328,"")</f>
        <v/>
      </c>
      <c r="AI317" s="17" t="str">
        <f>IF(ISNUMBER('Model_ of_individuals'!AI328), 'Model_ of_individuals'!AI328*'Model_ of_individuals'!$K328,"")</f>
        <v/>
      </c>
      <c r="AJ317" s="17" t="str">
        <f>IF(ISNUMBER('Model_ of_individuals'!AJ328), 'Model_ of_individuals'!AJ328*'Model_ of_individuals'!$K328,"")</f>
        <v/>
      </c>
      <c r="AK317" s="17" t="str">
        <f>IF(ISNUMBER('Model_ of_individuals'!AK328), 'Model_ of_individuals'!AK328*'Model_ of_individuals'!$K328,"")</f>
        <v/>
      </c>
      <c r="AL317" s="17" t="str">
        <f>IF(ISNUMBER('Model_ of_individuals'!AL328), 'Model_ of_individuals'!AL328*'Model_ of_individuals'!$K328,"")</f>
        <v/>
      </c>
      <c r="AM317" s="17" t="str">
        <f>IF(ISNUMBER('Model_ of_individuals'!AM328), 'Model_ of_individuals'!AM328*'Model_ of_individuals'!$K328,"")</f>
        <v/>
      </c>
      <c r="AN317" s="17" t="str">
        <f>IF(ISNUMBER('Model_ of_individuals'!AN328), 'Model_ of_individuals'!AN328*'Model_ of_individuals'!$K328,"")</f>
        <v/>
      </c>
      <c r="AO317" s="17" t="str">
        <f>IF(ISNUMBER('Model_ of_individuals'!AO328), 'Model_ of_individuals'!AO328*'Model_ of_individuals'!$K328,"")</f>
        <v/>
      </c>
      <c r="AP317" s="17" t="str">
        <f>IF(ISNUMBER('Model_ of_individuals'!AP328), 'Model_ of_individuals'!AP328*'Model_ of_individuals'!$K328,"")</f>
        <v/>
      </c>
      <c r="AQ317" s="17" t="str">
        <f>IF(ISNUMBER('Model_ of_individuals'!AQ328), 'Model_ of_individuals'!AQ328*'Model_ of_individuals'!$K328,"")</f>
        <v/>
      </c>
      <c r="AR317" s="17" t="str">
        <f>IF(ISNUMBER('Model_ of_individuals'!AR328), 'Model_ of_individuals'!AR328*'Model_ of_individuals'!$K328,"")</f>
        <v/>
      </c>
      <c r="AS317" s="4" t="str">
        <f>IF(ISNUMBER('Model_ of_individuals'!AS328), 'Model_ of_individuals'!AS328*'Model_ of_individuals'!$K328,"")</f>
        <v/>
      </c>
    </row>
    <row r="318" spans="1:45" x14ac:dyDescent="0.25">
      <c r="A318" s="518"/>
      <c r="B318" s="504"/>
      <c r="C318" s="107" t="str">
        <f>IF(AND(ISNUMBER(B310), OR('Cost Inputs'!$H$113&lt;&gt;"", 'Cost Inputs'!$I$113&lt;&gt;"", 'Cost Inputs'!$J$113&lt;&gt;"")), _4_4_4, "")</f>
        <v/>
      </c>
      <c r="D318" s="93" t="str">
        <f>IF(AND(C318&lt;&gt;"", 'Cost Inputs'!$G$113&lt;&gt;""), 'Cost Inputs'!$G$113, "")</f>
        <v/>
      </c>
      <c r="E318" s="93" t="str">
        <f>IF(AND(C318&lt;&gt;"", 'Cost Inputs'!$H$113&lt;&gt;""), 'Cost Inputs'!$H$113, "")</f>
        <v/>
      </c>
      <c r="F318" s="93" t="str">
        <f>IF(AND(C318&lt;&gt;"", 'Cost Inputs'!$I$113&lt;&gt;""), 'Cost Inputs'!$I$113, "")</f>
        <v/>
      </c>
      <c r="G318" s="108" t="str">
        <f t="shared" si="16"/>
        <v/>
      </c>
      <c r="H318" s="93" t="str">
        <f>IF(AND(C318&lt;&gt;"", 'Cost Inputs'!$J$113&lt;&gt;""), 'Cost Inputs'!$J$113, "")</f>
        <v/>
      </c>
      <c r="I318" s="93" t="str">
        <f t="shared" si="23"/>
        <v/>
      </c>
      <c r="J318" s="93" t="str">
        <f>IF(AND(C318&lt;&gt;"",('Cost Inputs'!$I$113+'Cost Inputs'!$J$113+'Cost Inputs'!$K$113)&gt;0), 'Cost Inputs'!$I$113+'Cost Inputs'!$J$113+'Cost Inputs'!$K$113, "")</f>
        <v/>
      </c>
      <c r="K318" s="93" t="str">
        <f t="shared" si="24"/>
        <v/>
      </c>
      <c r="L318" s="525"/>
      <c r="M318" s="525"/>
      <c r="P318" s="93" t="str">
        <f>IF(ISNUMBER('Model_ of_individuals'!P329), 'Model_ of_individuals'!P329*'Model_ of_individuals'!$K329,"")</f>
        <v/>
      </c>
      <c r="Q318" s="93" t="str">
        <f>IF(ISNUMBER('Model_ of_individuals'!Q329), 'Model_ of_individuals'!Q329*'Model_ of_individuals'!$K329,"")</f>
        <v/>
      </c>
      <c r="R318" s="93" t="str">
        <f>IF(ISNUMBER('Model_ of_individuals'!R329), 'Model_ of_individuals'!R329*'Model_ of_individuals'!$K329,"")</f>
        <v/>
      </c>
      <c r="S318" s="93" t="str">
        <f>IF(ISNUMBER('Model_ of_individuals'!S329), 'Model_ of_individuals'!S329*'Model_ of_individuals'!$K329,"")</f>
        <v/>
      </c>
      <c r="T318" s="93" t="str">
        <f>IF(ISNUMBER('Model_ of_individuals'!T329), 'Model_ of_individuals'!T329*'Model_ of_individuals'!$K329,"")</f>
        <v/>
      </c>
      <c r="U318" s="93" t="str">
        <f>IF(ISNUMBER('Model_ of_individuals'!U329), 'Model_ of_individuals'!U329*'Model_ of_individuals'!$K329,"")</f>
        <v/>
      </c>
      <c r="V318" s="93" t="str">
        <f>IF(ISNUMBER('Model_ of_individuals'!V329), 'Model_ of_individuals'!V329*'Model_ of_individuals'!$K329,"")</f>
        <v/>
      </c>
      <c r="W318" s="93" t="str">
        <f>IF(ISNUMBER('Model_ of_individuals'!W329), 'Model_ of_individuals'!W329*'Model_ of_individuals'!$K329,"")</f>
        <v/>
      </c>
      <c r="X318" s="93" t="str">
        <f>IF(ISNUMBER('Model_ of_individuals'!X329), 'Model_ of_individuals'!X329*'Model_ of_individuals'!$K329,"")</f>
        <v/>
      </c>
      <c r="Y318" s="93" t="str">
        <f>IF(ISNUMBER('Model_ of_individuals'!Y329), 'Model_ of_individuals'!Y329*'Model_ of_individuals'!$K329,"")</f>
        <v/>
      </c>
      <c r="Z318" s="93" t="str">
        <f>IF(ISNUMBER('Model_ of_individuals'!Z329), 'Model_ of_individuals'!Z329*'Model_ of_individuals'!$K329,"")</f>
        <v/>
      </c>
      <c r="AA318" s="93" t="str">
        <f>IF(ISNUMBER('Model_ of_individuals'!AA329), 'Model_ of_individuals'!AA329*'Model_ of_individuals'!$K329,"")</f>
        <v/>
      </c>
      <c r="AB318" s="93" t="str">
        <f>IF(ISNUMBER('Model_ of_individuals'!AB329), 'Model_ of_individuals'!AB329*'Model_ of_individuals'!$K329,"")</f>
        <v/>
      </c>
      <c r="AC318" s="93" t="str">
        <f>IF(ISNUMBER('Model_ of_individuals'!AC329), 'Model_ of_individuals'!AC329*'Model_ of_individuals'!$K329,"")</f>
        <v/>
      </c>
      <c r="AD318" s="93" t="str">
        <f>IF(ISNUMBER('Model_ of_individuals'!AD329), 'Model_ of_individuals'!AD329*'Model_ of_individuals'!$K329,"")</f>
        <v/>
      </c>
      <c r="AE318" s="93" t="str">
        <f>IF(ISNUMBER('Model_ of_individuals'!AE329), 'Model_ of_individuals'!AE329*'Model_ of_individuals'!$K329,"")</f>
        <v/>
      </c>
      <c r="AF318" s="93" t="str">
        <f>IF(ISNUMBER('Model_ of_individuals'!AF329), 'Model_ of_individuals'!AF329*'Model_ of_individuals'!$K329,"")</f>
        <v/>
      </c>
      <c r="AG318" s="93" t="str">
        <f>IF(ISNUMBER('Model_ of_individuals'!AG329), 'Model_ of_individuals'!AG329*'Model_ of_individuals'!$K329,"")</f>
        <v/>
      </c>
      <c r="AH318" s="93" t="str">
        <f>IF(ISNUMBER('Model_ of_individuals'!AH329), 'Model_ of_individuals'!AH329*'Model_ of_individuals'!$K329,"")</f>
        <v/>
      </c>
      <c r="AI318" s="93" t="str">
        <f>IF(ISNUMBER('Model_ of_individuals'!AI329), 'Model_ of_individuals'!AI329*'Model_ of_individuals'!$K329,"")</f>
        <v/>
      </c>
      <c r="AJ318" s="93" t="str">
        <f>IF(ISNUMBER('Model_ of_individuals'!AJ329), 'Model_ of_individuals'!AJ329*'Model_ of_individuals'!$K329,"")</f>
        <v/>
      </c>
      <c r="AK318" s="93" t="str">
        <f>IF(ISNUMBER('Model_ of_individuals'!AK329), 'Model_ of_individuals'!AK329*'Model_ of_individuals'!$K329,"")</f>
        <v/>
      </c>
      <c r="AL318" s="93" t="str">
        <f>IF(ISNUMBER('Model_ of_individuals'!AL329), 'Model_ of_individuals'!AL329*'Model_ of_individuals'!$K329,"")</f>
        <v/>
      </c>
      <c r="AM318" s="93" t="str">
        <f>IF(ISNUMBER('Model_ of_individuals'!AM329), 'Model_ of_individuals'!AM329*'Model_ of_individuals'!$K329,"")</f>
        <v/>
      </c>
      <c r="AN318" s="93" t="str">
        <f>IF(ISNUMBER('Model_ of_individuals'!AN329), 'Model_ of_individuals'!AN329*'Model_ of_individuals'!$K329,"")</f>
        <v/>
      </c>
      <c r="AO318" s="93" t="str">
        <f>IF(ISNUMBER('Model_ of_individuals'!AO329), 'Model_ of_individuals'!AO329*'Model_ of_individuals'!$K329,"")</f>
        <v/>
      </c>
      <c r="AP318" s="93" t="str">
        <f>IF(ISNUMBER('Model_ of_individuals'!AP329), 'Model_ of_individuals'!AP329*'Model_ of_individuals'!$K329,"")</f>
        <v/>
      </c>
      <c r="AQ318" s="93" t="str">
        <f>IF(ISNUMBER('Model_ of_individuals'!AQ329), 'Model_ of_individuals'!AQ329*'Model_ of_individuals'!$K329,"")</f>
        <v/>
      </c>
      <c r="AR318" s="93" t="str">
        <f>IF(ISNUMBER('Model_ of_individuals'!AR329), 'Model_ of_individuals'!AR329*'Model_ of_individuals'!$K329,"")</f>
        <v/>
      </c>
      <c r="AS318" s="4" t="str">
        <f>IF(ISNUMBER('Model_ of_individuals'!AS329), 'Model_ of_individuals'!AS329*'Model_ of_individuals'!$K329,"")</f>
        <v/>
      </c>
    </row>
    <row r="319" spans="1:45" x14ac:dyDescent="0.25">
      <c r="A319" s="518"/>
      <c r="B319" s="504"/>
      <c r="C319" s="104" t="str">
        <f>IF(AND(ISNUMBER(B310), OR('Cost Inputs'!$H$114&lt;&gt;"", 'Cost Inputs'!$I$114&lt;&gt;"", 'Cost Inputs'!$J$114&lt;&gt;"")), _4_4_5, "")</f>
        <v/>
      </c>
      <c r="D319" s="17" t="str">
        <f>IF(AND(C319&lt;&gt;"", 'Cost Inputs'!$G$114&lt;&gt;""), 'Cost Inputs'!$G$114, "")</f>
        <v/>
      </c>
      <c r="E319" s="17" t="str">
        <f>IF(AND(C319&lt;&gt;"", 'Cost Inputs'!$H$114&lt;&gt;""), 'Cost Inputs'!$H$114, "")</f>
        <v/>
      </c>
      <c r="F319" s="17" t="str">
        <f>IF(AND(C319&lt;&gt;"", 'Cost Inputs'!$I$114&lt;&gt;""), 'Cost Inputs'!$I$114, "")</f>
        <v/>
      </c>
      <c r="G319" s="105" t="str">
        <f t="shared" si="16"/>
        <v/>
      </c>
      <c r="H319" s="17" t="str">
        <f>IF(AND(C319&lt;&gt;"", 'Cost Inputs'!$J$114&lt;&gt;""), 'Cost Inputs'!$J$114, "")</f>
        <v/>
      </c>
      <c r="I319" s="17" t="str">
        <f t="shared" si="23"/>
        <v/>
      </c>
      <c r="J319" s="17" t="str">
        <f>IF(AND(C319&lt;&gt;"",('Cost Inputs'!$I$114+'Cost Inputs'!$J$114+'Cost Inputs'!$K$114)&gt;0), 'Cost Inputs'!$I$114+'Cost Inputs'!$J$114+'Cost Inputs'!$K$114, "")</f>
        <v/>
      </c>
      <c r="K319" s="17" t="str">
        <f t="shared" si="24"/>
        <v/>
      </c>
      <c r="L319" s="525"/>
      <c r="M319" s="525"/>
      <c r="P319" s="17" t="str">
        <f>IF(ISNUMBER('Model_ of_individuals'!P330), 'Model_ of_individuals'!P330*'Model_ of_individuals'!$K330,"")</f>
        <v/>
      </c>
      <c r="Q319" s="17" t="str">
        <f>IF(ISNUMBER('Model_ of_individuals'!Q330), 'Model_ of_individuals'!Q330*'Model_ of_individuals'!$K330,"")</f>
        <v/>
      </c>
      <c r="R319" s="17" t="str">
        <f>IF(ISNUMBER('Model_ of_individuals'!R330), 'Model_ of_individuals'!R330*'Model_ of_individuals'!$K330,"")</f>
        <v/>
      </c>
      <c r="S319" s="17" t="str">
        <f>IF(ISNUMBER('Model_ of_individuals'!S330), 'Model_ of_individuals'!S330*'Model_ of_individuals'!$K330,"")</f>
        <v/>
      </c>
      <c r="T319" s="17" t="str">
        <f>IF(ISNUMBER('Model_ of_individuals'!T330), 'Model_ of_individuals'!T330*'Model_ of_individuals'!$K330,"")</f>
        <v/>
      </c>
      <c r="U319" s="17" t="str">
        <f>IF(ISNUMBER('Model_ of_individuals'!U330), 'Model_ of_individuals'!U330*'Model_ of_individuals'!$K330,"")</f>
        <v/>
      </c>
      <c r="V319" s="17" t="str">
        <f>IF(ISNUMBER('Model_ of_individuals'!V330), 'Model_ of_individuals'!V330*'Model_ of_individuals'!$K330,"")</f>
        <v/>
      </c>
      <c r="W319" s="17" t="str">
        <f>IF(ISNUMBER('Model_ of_individuals'!W330), 'Model_ of_individuals'!W330*'Model_ of_individuals'!$K330,"")</f>
        <v/>
      </c>
      <c r="X319" s="17" t="str">
        <f>IF(ISNUMBER('Model_ of_individuals'!X330), 'Model_ of_individuals'!X330*'Model_ of_individuals'!$K330,"")</f>
        <v/>
      </c>
      <c r="Y319" s="17" t="str">
        <f>IF(ISNUMBER('Model_ of_individuals'!Y330), 'Model_ of_individuals'!Y330*'Model_ of_individuals'!$K330,"")</f>
        <v/>
      </c>
      <c r="Z319" s="17" t="str">
        <f>IF(ISNUMBER('Model_ of_individuals'!Z330), 'Model_ of_individuals'!Z330*'Model_ of_individuals'!$K330,"")</f>
        <v/>
      </c>
      <c r="AA319" s="17" t="str">
        <f>IF(ISNUMBER('Model_ of_individuals'!AA330), 'Model_ of_individuals'!AA330*'Model_ of_individuals'!$K330,"")</f>
        <v/>
      </c>
      <c r="AB319" s="17" t="str">
        <f>IF(ISNUMBER('Model_ of_individuals'!AB330), 'Model_ of_individuals'!AB330*'Model_ of_individuals'!$K330,"")</f>
        <v/>
      </c>
      <c r="AC319" s="17" t="str">
        <f>IF(ISNUMBER('Model_ of_individuals'!AC330), 'Model_ of_individuals'!AC330*'Model_ of_individuals'!$K330,"")</f>
        <v/>
      </c>
      <c r="AD319" s="17" t="str">
        <f>IF(ISNUMBER('Model_ of_individuals'!AD330), 'Model_ of_individuals'!AD330*'Model_ of_individuals'!$K330,"")</f>
        <v/>
      </c>
      <c r="AE319" s="17" t="str">
        <f>IF(ISNUMBER('Model_ of_individuals'!AE330), 'Model_ of_individuals'!AE330*'Model_ of_individuals'!$K330,"")</f>
        <v/>
      </c>
      <c r="AF319" s="17" t="str">
        <f>IF(ISNUMBER('Model_ of_individuals'!AF330), 'Model_ of_individuals'!AF330*'Model_ of_individuals'!$K330,"")</f>
        <v/>
      </c>
      <c r="AG319" s="17" t="str">
        <f>IF(ISNUMBER('Model_ of_individuals'!AG330), 'Model_ of_individuals'!AG330*'Model_ of_individuals'!$K330,"")</f>
        <v/>
      </c>
      <c r="AH319" s="17" t="str">
        <f>IF(ISNUMBER('Model_ of_individuals'!AH330), 'Model_ of_individuals'!AH330*'Model_ of_individuals'!$K330,"")</f>
        <v/>
      </c>
      <c r="AI319" s="17" t="str">
        <f>IF(ISNUMBER('Model_ of_individuals'!AI330), 'Model_ of_individuals'!AI330*'Model_ of_individuals'!$K330,"")</f>
        <v/>
      </c>
      <c r="AJ319" s="17" t="str">
        <f>IF(ISNUMBER('Model_ of_individuals'!AJ330), 'Model_ of_individuals'!AJ330*'Model_ of_individuals'!$K330,"")</f>
        <v/>
      </c>
      <c r="AK319" s="17" t="str">
        <f>IF(ISNUMBER('Model_ of_individuals'!AK330), 'Model_ of_individuals'!AK330*'Model_ of_individuals'!$K330,"")</f>
        <v/>
      </c>
      <c r="AL319" s="17" t="str">
        <f>IF(ISNUMBER('Model_ of_individuals'!AL330), 'Model_ of_individuals'!AL330*'Model_ of_individuals'!$K330,"")</f>
        <v/>
      </c>
      <c r="AM319" s="17" t="str">
        <f>IF(ISNUMBER('Model_ of_individuals'!AM330), 'Model_ of_individuals'!AM330*'Model_ of_individuals'!$K330,"")</f>
        <v/>
      </c>
      <c r="AN319" s="17" t="str">
        <f>IF(ISNUMBER('Model_ of_individuals'!AN330), 'Model_ of_individuals'!AN330*'Model_ of_individuals'!$K330,"")</f>
        <v/>
      </c>
      <c r="AO319" s="17" t="str">
        <f>IF(ISNUMBER('Model_ of_individuals'!AO330), 'Model_ of_individuals'!AO330*'Model_ of_individuals'!$K330,"")</f>
        <v/>
      </c>
      <c r="AP319" s="17" t="str">
        <f>IF(ISNUMBER('Model_ of_individuals'!AP330), 'Model_ of_individuals'!AP330*'Model_ of_individuals'!$K330,"")</f>
        <v/>
      </c>
      <c r="AQ319" s="17" t="str">
        <f>IF(ISNUMBER('Model_ of_individuals'!AQ330), 'Model_ of_individuals'!AQ330*'Model_ of_individuals'!$K330,"")</f>
        <v/>
      </c>
      <c r="AR319" s="17" t="str">
        <f>IF(ISNUMBER('Model_ of_individuals'!AR330), 'Model_ of_individuals'!AR330*'Model_ of_individuals'!$K330,"")</f>
        <v/>
      </c>
      <c r="AS319" s="4" t="str">
        <f>IF(ISNUMBER('Model_ of_individuals'!AS330), 'Model_ of_individuals'!AS330*'Model_ of_individuals'!$K330,"")</f>
        <v/>
      </c>
    </row>
    <row r="320" spans="1:45" x14ac:dyDescent="0.25">
      <c r="A320" s="518"/>
      <c r="B320" s="504"/>
      <c r="C320" s="107" t="str">
        <f>IF(AND(ISNUMBER(B310), OR('Cost Inputs'!$H$115&lt;&gt;"", 'Cost Inputs'!$I$115&lt;&gt;"", 'Cost Inputs'!$J$115&lt;&gt;"")), _4_4_6, "")</f>
        <v/>
      </c>
      <c r="D320" s="93" t="str">
        <f>IF(AND(C320&lt;&gt;"", 'Cost Inputs'!$G$115&lt;&gt;""), 'Cost Inputs'!$G$115, "")</f>
        <v/>
      </c>
      <c r="E320" s="93" t="str">
        <f>IF(AND(C320&lt;&gt;"", 'Cost Inputs'!$H$115&lt;&gt;""), 'Cost Inputs'!$H$115, "")</f>
        <v/>
      </c>
      <c r="F320" s="93" t="str">
        <f>IF(AND(C320&lt;&gt;"", 'Cost Inputs'!$I$115&lt;&gt;""), 'Cost Inputs'!$I$115, "")</f>
        <v/>
      </c>
      <c r="G320" s="108" t="str">
        <f t="shared" si="16"/>
        <v/>
      </c>
      <c r="H320" s="93" t="str">
        <f>IF(AND(C320&lt;&gt;"", 'Cost Inputs'!$J$115&lt;&gt;""), 'Cost Inputs'!$J$115, "")</f>
        <v/>
      </c>
      <c r="I320" s="93" t="str">
        <f t="shared" si="23"/>
        <v/>
      </c>
      <c r="J320" s="93" t="str">
        <f>IF(AND(C320&lt;&gt;"",('Cost Inputs'!$I$115+'Cost Inputs'!$J$115+'Cost Inputs'!$K$115)&gt;0), 'Cost Inputs'!$I$115+'Cost Inputs'!$J$115+'Cost Inputs'!$K$115, "")</f>
        <v/>
      </c>
      <c r="K320" s="93" t="str">
        <f t="shared" si="24"/>
        <v/>
      </c>
      <c r="L320" s="525"/>
      <c r="M320" s="525"/>
      <c r="P320" s="93" t="str">
        <f>IF(ISNUMBER('Model_ of_individuals'!P331), 'Model_ of_individuals'!P331*'Model_ of_individuals'!$K331,"")</f>
        <v/>
      </c>
      <c r="Q320" s="93" t="str">
        <f>IF(ISNUMBER('Model_ of_individuals'!Q331), 'Model_ of_individuals'!Q331*'Model_ of_individuals'!$K331,"")</f>
        <v/>
      </c>
      <c r="R320" s="93" t="str">
        <f>IF(ISNUMBER('Model_ of_individuals'!R331), 'Model_ of_individuals'!R331*'Model_ of_individuals'!$K331,"")</f>
        <v/>
      </c>
      <c r="S320" s="93" t="str">
        <f>IF(ISNUMBER('Model_ of_individuals'!S331), 'Model_ of_individuals'!S331*'Model_ of_individuals'!$K331,"")</f>
        <v/>
      </c>
      <c r="T320" s="93" t="str">
        <f>IF(ISNUMBER('Model_ of_individuals'!T331), 'Model_ of_individuals'!T331*'Model_ of_individuals'!$K331,"")</f>
        <v/>
      </c>
      <c r="U320" s="93" t="str">
        <f>IF(ISNUMBER('Model_ of_individuals'!U331), 'Model_ of_individuals'!U331*'Model_ of_individuals'!$K331,"")</f>
        <v/>
      </c>
      <c r="V320" s="93" t="str">
        <f>IF(ISNUMBER('Model_ of_individuals'!V331), 'Model_ of_individuals'!V331*'Model_ of_individuals'!$K331,"")</f>
        <v/>
      </c>
      <c r="W320" s="93" t="str">
        <f>IF(ISNUMBER('Model_ of_individuals'!W331), 'Model_ of_individuals'!W331*'Model_ of_individuals'!$K331,"")</f>
        <v/>
      </c>
      <c r="X320" s="93" t="str">
        <f>IF(ISNUMBER('Model_ of_individuals'!X331), 'Model_ of_individuals'!X331*'Model_ of_individuals'!$K331,"")</f>
        <v/>
      </c>
      <c r="Y320" s="93" t="str">
        <f>IF(ISNUMBER('Model_ of_individuals'!Y331), 'Model_ of_individuals'!Y331*'Model_ of_individuals'!$K331,"")</f>
        <v/>
      </c>
      <c r="Z320" s="93" t="str">
        <f>IF(ISNUMBER('Model_ of_individuals'!Z331), 'Model_ of_individuals'!Z331*'Model_ of_individuals'!$K331,"")</f>
        <v/>
      </c>
      <c r="AA320" s="93" t="str">
        <f>IF(ISNUMBER('Model_ of_individuals'!AA331), 'Model_ of_individuals'!AA331*'Model_ of_individuals'!$K331,"")</f>
        <v/>
      </c>
      <c r="AB320" s="93" t="str">
        <f>IF(ISNUMBER('Model_ of_individuals'!AB331), 'Model_ of_individuals'!AB331*'Model_ of_individuals'!$K331,"")</f>
        <v/>
      </c>
      <c r="AC320" s="93" t="str">
        <f>IF(ISNUMBER('Model_ of_individuals'!AC331), 'Model_ of_individuals'!AC331*'Model_ of_individuals'!$K331,"")</f>
        <v/>
      </c>
      <c r="AD320" s="93" t="str">
        <f>IF(ISNUMBER('Model_ of_individuals'!AD331), 'Model_ of_individuals'!AD331*'Model_ of_individuals'!$K331,"")</f>
        <v/>
      </c>
      <c r="AE320" s="93" t="str">
        <f>IF(ISNUMBER('Model_ of_individuals'!AE331), 'Model_ of_individuals'!AE331*'Model_ of_individuals'!$K331,"")</f>
        <v/>
      </c>
      <c r="AF320" s="93" t="str">
        <f>IF(ISNUMBER('Model_ of_individuals'!AF331), 'Model_ of_individuals'!AF331*'Model_ of_individuals'!$K331,"")</f>
        <v/>
      </c>
      <c r="AG320" s="93" t="str">
        <f>IF(ISNUMBER('Model_ of_individuals'!AG331), 'Model_ of_individuals'!AG331*'Model_ of_individuals'!$K331,"")</f>
        <v/>
      </c>
      <c r="AH320" s="93" t="str">
        <f>IF(ISNUMBER('Model_ of_individuals'!AH331), 'Model_ of_individuals'!AH331*'Model_ of_individuals'!$K331,"")</f>
        <v/>
      </c>
      <c r="AI320" s="93" t="str">
        <f>IF(ISNUMBER('Model_ of_individuals'!AI331), 'Model_ of_individuals'!AI331*'Model_ of_individuals'!$K331,"")</f>
        <v/>
      </c>
      <c r="AJ320" s="93" t="str">
        <f>IF(ISNUMBER('Model_ of_individuals'!AJ331), 'Model_ of_individuals'!AJ331*'Model_ of_individuals'!$K331,"")</f>
        <v/>
      </c>
      <c r="AK320" s="93" t="str">
        <f>IF(ISNUMBER('Model_ of_individuals'!AK331), 'Model_ of_individuals'!AK331*'Model_ of_individuals'!$K331,"")</f>
        <v/>
      </c>
      <c r="AL320" s="93" t="str">
        <f>IF(ISNUMBER('Model_ of_individuals'!AL331), 'Model_ of_individuals'!AL331*'Model_ of_individuals'!$K331,"")</f>
        <v/>
      </c>
      <c r="AM320" s="93" t="str">
        <f>IF(ISNUMBER('Model_ of_individuals'!AM331), 'Model_ of_individuals'!AM331*'Model_ of_individuals'!$K331,"")</f>
        <v/>
      </c>
      <c r="AN320" s="93" t="str">
        <f>IF(ISNUMBER('Model_ of_individuals'!AN331), 'Model_ of_individuals'!AN331*'Model_ of_individuals'!$K331,"")</f>
        <v/>
      </c>
      <c r="AO320" s="93" t="str">
        <f>IF(ISNUMBER('Model_ of_individuals'!AO331), 'Model_ of_individuals'!AO331*'Model_ of_individuals'!$K331,"")</f>
        <v/>
      </c>
      <c r="AP320" s="93" t="str">
        <f>IF(ISNUMBER('Model_ of_individuals'!AP331), 'Model_ of_individuals'!AP331*'Model_ of_individuals'!$K331,"")</f>
        <v/>
      </c>
      <c r="AQ320" s="93" t="str">
        <f>IF(ISNUMBER('Model_ of_individuals'!AQ331), 'Model_ of_individuals'!AQ331*'Model_ of_individuals'!$K331,"")</f>
        <v/>
      </c>
      <c r="AR320" s="93" t="str">
        <f>IF(ISNUMBER('Model_ of_individuals'!AR331), 'Model_ of_individuals'!AR331*'Model_ of_individuals'!$K331,"")</f>
        <v/>
      </c>
      <c r="AS320" s="4" t="str">
        <f>IF(ISNUMBER('Model_ of_individuals'!AS331), 'Model_ of_individuals'!AS331*'Model_ of_individuals'!$K331,"")</f>
        <v/>
      </c>
    </row>
    <row r="321" spans="1:46" x14ac:dyDescent="0.25">
      <c r="A321" s="518"/>
      <c r="B321" s="504"/>
      <c r="C321" s="521" t="str">
        <f>IF(AND(B310&lt;&gt;"", ISNUMBER(B310), ISNUMBER(Stage2EvaluationBegins)), IF((INDEX(ProgramYearStage2,MATCH(Stage2EvaluationBegins,Years_in_Stage2,0)))=B310, _4_5_0, IF(AND(B310&lt;&gt;"", C298&lt;&gt;""), _4_5_0, IF(AND(B310&lt;&gt;"", ISNUMBER(B310), OR(Stage2EvaluationBegins=0, Stage2EvaluationBegins="")),"", ""))),"")</f>
        <v/>
      </c>
      <c r="D321" s="94" t="str">
        <f>IF(AND(C321&lt;&gt;"", 'Cost Inputs'!$G$116&lt;&gt;""), 'Cost Inputs'!$G$116, "")</f>
        <v/>
      </c>
      <c r="E321" s="94" t="str">
        <f>IF(AND(C321&lt;&gt;"", 'Cost Inputs'!$H$116&lt;&gt;""), 'Cost Inputs'!$H$116, "")</f>
        <v/>
      </c>
      <c r="F321" s="492" t="str">
        <f>IF(AND(C321&lt;&gt;"", 'Cost Inputs'!$I$116&lt;&gt;""), 'Cost Inputs'!$I$116, "")</f>
        <v/>
      </c>
      <c r="G321" s="102" t="str">
        <f t="shared" si="16"/>
        <v/>
      </c>
      <c r="H321" s="492" t="str">
        <f>IF(AND(C321&lt;&gt;"", 'Cost Inputs'!$J$116&lt;&gt;""), 'Cost Inputs'!$J$116, "")</f>
        <v/>
      </c>
      <c r="I321" s="102" t="str">
        <f>IF($C321&lt;&gt;"",IF(AND($E321&lt;&gt;"",H321&lt;&gt;""), H321/$E321, 0),"")</f>
        <v/>
      </c>
      <c r="J321" s="492" t="str">
        <f>IF(AND(C321&lt;&gt;"",('Cost Inputs'!$I$116+'Cost Inputs'!$J$116+'Cost Inputs'!$K$116)&gt;0), 'Cost Inputs'!$I$116+'Cost Inputs'!$J$116+'Cost Inputs'!$K$116, "")</f>
        <v/>
      </c>
      <c r="K321" s="102" t="str">
        <f>IF($C321&lt;&gt;"",IF(AND($E321&lt;&gt;"",J321&lt;&gt;""), J321/$E321, 0),"")</f>
        <v/>
      </c>
      <c r="L321" s="525"/>
      <c r="M321" s="525"/>
      <c r="P321" s="496" t="str">
        <f>IF(ISNUMBER('Model_ of_individuals'!P333), 'Model_ of_individuals'!P333*'Model_ of_individuals'!$K333,"")</f>
        <v/>
      </c>
      <c r="Q321" s="496" t="str">
        <f>IF(ISNUMBER('Model_ of_individuals'!Q333), 'Model_ of_individuals'!Q333*'Model_ of_individuals'!$K333,"")</f>
        <v/>
      </c>
      <c r="R321" s="496" t="str">
        <f>IF(ISNUMBER('Model_ of_individuals'!R333), 'Model_ of_individuals'!R333*'Model_ of_individuals'!$K333,"")</f>
        <v/>
      </c>
      <c r="S321" s="496" t="str">
        <f>IF(ISNUMBER('Model_ of_individuals'!S333), 'Model_ of_individuals'!S333*'Model_ of_individuals'!$K333,"")</f>
        <v/>
      </c>
      <c r="T321" s="496" t="str">
        <f>IF(ISNUMBER('Model_ of_individuals'!T333), 'Model_ of_individuals'!T333*'Model_ of_individuals'!$K333,"")</f>
        <v/>
      </c>
      <c r="U321" s="496" t="str">
        <f>IF(ISNUMBER('Model_ of_individuals'!U333), 'Model_ of_individuals'!U333*'Model_ of_individuals'!$K333,"")</f>
        <v/>
      </c>
      <c r="V321" s="496" t="str">
        <f>IF(ISNUMBER('Model_ of_individuals'!V333), 'Model_ of_individuals'!V333*'Model_ of_individuals'!$K333,"")</f>
        <v/>
      </c>
      <c r="W321" s="496" t="str">
        <f>IF(ISNUMBER('Model_ of_individuals'!W333), 'Model_ of_individuals'!W333*'Model_ of_individuals'!$K333,"")</f>
        <v/>
      </c>
      <c r="X321" s="496" t="str">
        <f>IF(ISNUMBER('Model_ of_individuals'!X333), 'Model_ of_individuals'!X333*'Model_ of_individuals'!$K333,"")</f>
        <v/>
      </c>
      <c r="Y321" s="496" t="str">
        <f>IF(ISNUMBER('Model_ of_individuals'!Y333), 'Model_ of_individuals'!Y333*'Model_ of_individuals'!$K333,"")</f>
        <v/>
      </c>
      <c r="Z321" s="496" t="str">
        <f>IF(ISNUMBER('Model_ of_individuals'!Z333), 'Model_ of_individuals'!Z333*'Model_ of_individuals'!$K333,"")</f>
        <v/>
      </c>
      <c r="AA321" s="496" t="str">
        <f>IF(ISNUMBER('Model_ of_individuals'!AA333), 'Model_ of_individuals'!AA333*'Model_ of_individuals'!$K333,"")</f>
        <v/>
      </c>
      <c r="AB321" s="496" t="str">
        <f>IF(ISNUMBER('Model_ of_individuals'!AB333), 'Model_ of_individuals'!AB333*'Model_ of_individuals'!$K333,"")</f>
        <v/>
      </c>
      <c r="AC321" s="496" t="str">
        <f>IF(ISNUMBER('Model_ of_individuals'!AC333), 'Model_ of_individuals'!AC333*'Model_ of_individuals'!$K333,"")</f>
        <v/>
      </c>
      <c r="AD321" s="496" t="str">
        <f>IF(ISNUMBER('Model_ of_individuals'!AD333), 'Model_ of_individuals'!AD333*'Model_ of_individuals'!$K333,"")</f>
        <v/>
      </c>
      <c r="AE321" s="496" t="str">
        <f>IF(ISNUMBER('Model_ of_individuals'!AE333), 'Model_ of_individuals'!AE333*'Model_ of_individuals'!$K333,"")</f>
        <v/>
      </c>
      <c r="AF321" s="496" t="str">
        <f>IF(ISNUMBER('Model_ of_individuals'!AF333), 'Model_ of_individuals'!AF333*'Model_ of_individuals'!$K333,"")</f>
        <v/>
      </c>
      <c r="AG321" s="496" t="str">
        <f>IF(ISNUMBER('Model_ of_individuals'!AG333), 'Model_ of_individuals'!AG333*'Model_ of_individuals'!$K333,"")</f>
        <v/>
      </c>
      <c r="AH321" s="496" t="str">
        <f>IF(ISNUMBER('Model_ of_individuals'!AH333), 'Model_ of_individuals'!AH333*'Model_ of_individuals'!$K333,"")</f>
        <v/>
      </c>
      <c r="AI321" s="496" t="str">
        <f>IF(ISNUMBER('Model_ of_individuals'!AI333), 'Model_ of_individuals'!AI333*'Model_ of_individuals'!$K333,"")</f>
        <v/>
      </c>
      <c r="AJ321" s="496" t="str">
        <f>IF(ISNUMBER('Model_ of_individuals'!AJ333), 'Model_ of_individuals'!AJ333*'Model_ of_individuals'!$K333,"")</f>
        <v/>
      </c>
      <c r="AK321" s="496" t="str">
        <f>IF(ISNUMBER('Model_ of_individuals'!AK333), 'Model_ of_individuals'!AK333*'Model_ of_individuals'!$K333,"")</f>
        <v/>
      </c>
      <c r="AL321" s="496" t="str">
        <f>IF(ISNUMBER('Model_ of_individuals'!AL333), 'Model_ of_individuals'!AL333*'Model_ of_individuals'!$K333,"")</f>
        <v/>
      </c>
      <c r="AM321" s="496" t="str">
        <f>IF(ISNUMBER('Model_ of_individuals'!AM333), 'Model_ of_individuals'!AM333*'Model_ of_individuals'!$K333,"")</f>
        <v/>
      </c>
      <c r="AN321" s="496" t="str">
        <f>IF(ISNUMBER('Model_ of_individuals'!AN333), 'Model_ of_individuals'!AN333*'Model_ of_individuals'!$K333,"")</f>
        <v/>
      </c>
      <c r="AO321" s="496" t="str">
        <f>IF(ISNUMBER('Model_ of_individuals'!AO333), 'Model_ of_individuals'!AO333*'Model_ of_individuals'!$K333,"")</f>
        <v/>
      </c>
      <c r="AP321" s="496" t="str">
        <f>IF(ISNUMBER('Model_ of_individuals'!AP333), 'Model_ of_individuals'!AP333*'Model_ of_individuals'!$K333,"")</f>
        <v/>
      </c>
      <c r="AQ321" s="496" t="str">
        <f>IF(ISNUMBER('Model_ of_individuals'!AQ333), 'Model_ of_individuals'!AQ333*'Model_ of_individuals'!$K333,"")</f>
        <v/>
      </c>
      <c r="AR321" s="496" t="str">
        <f>IF(ISNUMBER('Model_ of_individuals'!AR333), 'Model_ of_individuals'!AR333*'Model_ of_individuals'!$K333,"")</f>
        <v/>
      </c>
      <c r="AS321" s="4" t="str">
        <f>IF(ISNUMBER('Model_ of_individuals'!AS333), 'Model_ of_individuals'!AS333*'Model_ of_individuals'!$K333,"")</f>
        <v/>
      </c>
    </row>
    <row r="322" spans="1:46" x14ac:dyDescent="0.25">
      <c r="A322" s="518"/>
      <c r="B322" s="504"/>
      <c r="C322" s="521"/>
      <c r="D322" s="94" t="str">
        <f>IF(AND(C321&lt;&gt;"", 'Cost Inputs'!$G$117&lt;&gt;""), 'Cost Inputs'!$G$117, "")</f>
        <v/>
      </c>
      <c r="E322" s="94" t="str">
        <f>IF(AND(C321&lt;&gt;"", 'Cost Inputs'!$H$117&lt;&gt;""), 'Cost Inputs'!$H$117, "")</f>
        <v/>
      </c>
      <c r="F322" s="492"/>
      <c r="G322" s="102" t="str">
        <f t="shared" si="16"/>
        <v/>
      </c>
      <c r="H322" s="492"/>
      <c r="I322" s="102" t="str">
        <f>IF($C321&lt;&gt;"", IF(AND($E322&lt;&gt;"", H321&lt;&gt;""), H321/($E321*$E322), 0), "")</f>
        <v/>
      </c>
      <c r="J322" s="492" t="str">
        <f>IF(AND(C322&lt;&gt;"",('Cost Inputs'!$I$86+'Cost Inputs'!$J$86+'Cost Inputs'!$K$86)&gt;0), 'Cost Inputs'!$I$86+'Cost Inputs'!$J$86+'Cost Inputs'!$K$86, "")</f>
        <v/>
      </c>
      <c r="K322" s="102" t="str">
        <f>IF($C321&lt;&gt;"", IF(AND($E322&lt;&gt;"", J321&lt;&gt;""), J321/($E321*$E322), 0), "")</f>
        <v/>
      </c>
      <c r="L322" s="525"/>
      <c r="M322" s="525"/>
      <c r="P322" s="496" t="str">
        <f>IF(ISNUMBER('Model_ of_individuals'!P334), 'Model_ of_individuals'!P334*'Model_ of_individuals'!$K334,"")</f>
        <v/>
      </c>
      <c r="Q322" s="496" t="str">
        <f>IF(ISNUMBER('Model_ of_individuals'!Q334), 'Model_ of_individuals'!Q334*'Model_ of_individuals'!$K334,"")</f>
        <v/>
      </c>
      <c r="R322" s="496" t="str">
        <f>IF(ISNUMBER('Model_ of_individuals'!R334), 'Model_ of_individuals'!R334*'Model_ of_individuals'!$K334,"")</f>
        <v/>
      </c>
      <c r="S322" s="496" t="str">
        <f>IF(ISNUMBER('Model_ of_individuals'!S334), 'Model_ of_individuals'!S334*'Model_ of_individuals'!$K334,"")</f>
        <v/>
      </c>
      <c r="T322" s="496" t="str">
        <f>IF(ISNUMBER('Model_ of_individuals'!T334), 'Model_ of_individuals'!T334*'Model_ of_individuals'!$K334,"")</f>
        <v/>
      </c>
      <c r="U322" s="496" t="str">
        <f>IF(ISNUMBER('Model_ of_individuals'!U334), 'Model_ of_individuals'!U334*'Model_ of_individuals'!$K334,"")</f>
        <v/>
      </c>
      <c r="V322" s="496" t="str">
        <f>IF(ISNUMBER('Model_ of_individuals'!V334), 'Model_ of_individuals'!V334*'Model_ of_individuals'!$K334,"")</f>
        <v/>
      </c>
      <c r="W322" s="496" t="str">
        <f>IF(ISNUMBER('Model_ of_individuals'!W334), 'Model_ of_individuals'!W334*'Model_ of_individuals'!$K334,"")</f>
        <v/>
      </c>
      <c r="X322" s="496" t="str">
        <f>IF(ISNUMBER('Model_ of_individuals'!X334), 'Model_ of_individuals'!X334*'Model_ of_individuals'!$K334,"")</f>
        <v/>
      </c>
      <c r="Y322" s="496" t="str">
        <f>IF(ISNUMBER('Model_ of_individuals'!Y334), 'Model_ of_individuals'!Y334*'Model_ of_individuals'!$K334,"")</f>
        <v/>
      </c>
      <c r="Z322" s="496" t="str">
        <f>IF(ISNUMBER('Model_ of_individuals'!Z334), 'Model_ of_individuals'!Z334*'Model_ of_individuals'!$K334,"")</f>
        <v/>
      </c>
      <c r="AA322" s="496" t="str">
        <f>IF(ISNUMBER('Model_ of_individuals'!AA334), 'Model_ of_individuals'!AA334*'Model_ of_individuals'!$K334,"")</f>
        <v/>
      </c>
      <c r="AB322" s="496" t="str">
        <f>IF(ISNUMBER('Model_ of_individuals'!AB334), 'Model_ of_individuals'!AB334*'Model_ of_individuals'!$K334,"")</f>
        <v/>
      </c>
      <c r="AC322" s="496" t="str">
        <f>IF(ISNUMBER('Model_ of_individuals'!AC334), 'Model_ of_individuals'!AC334*'Model_ of_individuals'!$K334,"")</f>
        <v/>
      </c>
      <c r="AD322" s="496" t="str">
        <f>IF(ISNUMBER('Model_ of_individuals'!AD334), 'Model_ of_individuals'!AD334*'Model_ of_individuals'!$K334,"")</f>
        <v/>
      </c>
      <c r="AE322" s="496" t="str">
        <f>IF(ISNUMBER('Model_ of_individuals'!AE334), 'Model_ of_individuals'!AE334*'Model_ of_individuals'!$K334,"")</f>
        <v/>
      </c>
      <c r="AF322" s="496" t="str">
        <f>IF(ISNUMBER('Model_ of_individuals'!AF334), 'Model_ of_individuals'!AF334*'Model_ of_individuals'!$K334,"")</f>
        <v/>
      </c>
      <c r="AG322" s="496" t="str">
        <f>IF(ISNUMBER('Model_ of_individuals'!AG334), 'Model_ of_individuals'!AG334*'Model_ of_individuals'!$K334,"")</f>
        <v/>
      </c>
      <c r="AH322" s="496" t="str">
        <f>IF(ISNUMBER('Model_ of_individuals'!AH334), 'Model_ of_individuals'!AH334*'Model_ of_individuals'!$K334,"")</f>
        <v/>
      </c>
      <c r="AI322" s="496" t="str">
        <f>IF(ISNUMBER('Model_ of_individuals'!AI334), 'Model_ of_individuals'!AI334*'Model_ of_individuals'!$K334,"")</f>
        <v/>
      </c>
      <c r="AJ322" s="496" t="str">
        <f>IF(ISNUMBER('Model_ of_individuals'!AJ334), 'Model_ of_individuals'!AJ334*'Model_ of_individuals'!$K334,"")</f>
        <v/>
      </c>
      <c r="AK322" s="496" t="str">
        <f>IF(ISNUMBER('Model_ of_individuals'!AK334), 'Model_ of_individuals'!AK334*'Model_ of_individuals'!$K334,"")</f>
        <v/>
      </c>
      <c r="AL322" s="496" t="str">
        <f>IF(ISNUMBER('Model_ of_individuals'!AL334), 'Model_ of_individuals'!AL334*'Model_ of_individuals'!$K334,"")</f>
        <v/>
      </c>
      <c r="AM322" s="496" t="str">
        <f>IF(ISNUMBER('Model_ of_individuals'!AM334), 'Model_ of_individuals'!AM334*'Model_ of_individuals'!$K334,"")</f>
        <v/>
      </c>
      <c r="AN322" s="496" t="str">
        <f>IF(ISNUMBER('Model_ of_individuals'!AN334), 'Model_ of_individuals'!AN334*'Model_ of_individuals'!$K334,"")</f>
        <v/>
      </c>
      <c r="AO322" s="496" t="str">
        <f>IF(ISNUMBER('Model_ of_individuals'!AO334), 'Model_ of_individuals'!AO334*'Model_ of_individuals'!$K334,"")</f>
        <v/>
      </c>
      <c r="AP322" s="496" t="str">
        <f>IF(ISNUMBER('Model_ of_individuals'!AP334), 'Model_ of_individuals'!AP334*'Model_ of_individuals'!$K334,"")</f>
        <v/>
      </c>
      <c r="AQ322" s="496" t="str">
        <f>IF(ISNUMBER('Model_ of_individuals'!AQ334), 'Model_ of_individuals'!AQ334*'Model_ of_individuals'!$K334,"")</f>
        <v/>
      </c>
      <c r="AR322" s="496" t="str">
        <f>IF(ISNUMBER('Model_ of_individuals'!AR334), 'Model_ of_individuals'!AR334*'Model_ of_individuals'!$K334,"")</f>
        <v/>
      </c>
      <c r="AS322" s="4" t="str">
        <f>IF(ISNUMBER('Model_ of_individuals'!AS334), 'Model_ of_individuals'!AS334*'Model_ of_individuals'!$K334,"")</f>
        <v/>
      </c>
    </row>
    <row r="323" spans="1:46" x14ac:dyDescent="0.25">
      <c r="A323" s="518"/>
      <c r="B323" s="504"/>
      <c r="C323" s="376" t="str">
        <f>IF(AND(ISNUMBER(B310), C321&lt;&gt;"", OR('Cost Inputs'!$H$118&lt;&gt;"", 'Cost Inputs'!$I$118&lt;&gt;"", 'Cost Inputs'!$J$118&lt;&gt;"")), _4_5_1, "")</f>
        <v/>
      </c>
      <c r="D323" s="17" t="str">
        <f>IF(AND(C323&lt;&gt;"", 'Cost Inputs'!$G$118&lt;&gt;""), 'Cost Inputs'!$G$118, "")</f>
        <v/>
      </c>
      <c r="E323" s="17" t="str">
        <f>IF(AND(C323&lt;&gt;"", 'Cost Inputs'!$H$118&lt;&gt;""), 'Cost Inputs'!$H$118, "")</f>
        <v/>
      </c>
      <c r="F323" s="493" t="str">
        <f>IF(AND(C323&lt;&gt;"", 'Cost Inputs'!$I$118&lt;&gt;""), 'Cost Inputs'!$I$118, "")</f>
        <v/>
      </c>
      <c r="G323" s="105" t="str">
        <f t="shared" si="16"/>
        <v/>
      </c>
      <c r="H323" s="493" t="str">
        <f>IF(AND(C323&lt;&gt;"", 'Cost Inputs'!$J$118&lt;&gt;""), 'Cost Inputs'!$J$118, "")</f>
        <v/>
      </c>
      <c r="I323" s="105" t="str">
        <f>IF($C323&lt;&gt;"",IF(AND($E323&lt;&gt;"",H323&lt;&gt;""), H323/$E323, 0),"")</f>
        <v/>
      </c>
      <c r="J323" s="493" t="str">
        <f>IF(AND(C323&lt;&gt;"",('Cost Inputs'!$I$118+'Cost Inputs'!$J$118+'Cost Inputs'!$K$118)&gt;0), 'Cost Inputs'!$I$118+'Cost Inputs'!$J$118+'Cost Inputs'!$K$118, "")</f>
        <v/>
      </c>
      <c r="K323" s="105" t="str">
        <f>IF($C323&lt;&gt;"",IF(AND($E323&lt;&gt;"",J323&lt;&gt;""), J323/$E323, 0),"")</f>
        <v/>
      </c>
      <c r="L323" s="525"/>
      <c r="M323" s="525"/>
      <c r="P323" s="497" t="str">
        <f>IF(ISNUMBER('Model_ of_individuals'!P335), 'Model_ of_individuals'!P335*'Model_ of_individuals'!$K335,"")</f>
        <v/>
      </c>
      <c r="Q323" s="497" t="str">
        <f>IF(ISNUMBER('Model_ of_individuals'!Q335), 'Model_ of_individuals'!Q335*'Model_ of_individuals'!$K335,"")</f>
        <v/>
      </c>
      <c r="R323" s="497" t="str">
        <f>IF(ISNUMBER('Model_ of_individuals'!R335), 'Model_ of_individuals'!R335*'Model_ of_individuals'!$K335,"")</f>
        <v/>
      </c>
      <c r="S323" s="497" t="str">
        <f>IF(ISNUMBER('Model_ of_individuals'!S335), 'Model_ of_individuals'!S335*'Model_ of_individuals'!$K335,"")</f>
        <v/>
      </c>
      <c r="T323" s="497" t="str">
        <f>IF(ISNUMBER('Model_ of_individuals'!T335), 'Model_ of_individuals'!T335*'Model_ of_individuals'!$K335,"")</f>
        <v/>
      </c>
      <c r="U323" s="497" t="str">
        <f>IF(ISNUMBER('Model_ of_individuals'!U335), 'Model_ of_individuals'!U335*'Model_ of_individuals'!$K335,"")</f>
        <v/>
      </c>
      <c r="V323" s="497" t="str">
        <f>IF(ISNUMBER('Model_ of_individuals'!V335), 'Model_ of_individuals'!V335*'Model_ of_individuals'!$K335,"")</f>
        <v/>
      </c>
      <c r="W323" s="497" t="str">
        <f>IF(ISNUMBER('Model_ of_individuals'!W335), 'Model_ of_individuals'!W335*'Model_ of_individuals'!$K335,"")</f>
        <v/>
      </c>
      <c r="X323" s="497" t="str">
        <f>IF(ISNUMBER('Model_ of_individuals'!X335), 'Model_ of_individuals'!X335*'Model_ of_individuals'!$K335,"")</f>
        <v/>
      </c>
      <c r="Y323" s="497" t="str">
        <f>IF(ISNUMBER('Model_ of_individuals'!Y335), 'Model_ of_individuals'!Y335*'Model_ of_individuals'!$K335,"")</f>
        <v/>
      </c>
      <c r="Z323" s="497" t="str">
        <f>IF(ISNUMBER('Model_ of_individuals'!Z335), 'Model_ of_individuals'!Z335*'Model_ of_individuals'!$K335,"")</f>
        <v/>
      </c>
      <c r="AA323" s="497" t="str">
        <f>IF(ISNUMBER('Model_ of_individuals'!AA335), 'Model_ of_individuals'!AA335*'Model_ of_individuals'!$K335,"")</f>
        <v/>
      </c>
      <c r="AB323" s="497" t="str">
        <f>IF(ISNUMBER('Model_ of_individuals'!AB335), 'Model_ of_individuals'!AB335*'Model_ of_individuals'!$K335,"")</f>
        <v/>
      </c>
      <c r="AC323" s="497" t="str">
        <f>IF(ISNUMBER('Model_ of_individuals'!AC335), 'Model_ of_individuals'!AC335*'Model_ of_individuals'!$K335,"")</f>
        <v/>
      </c>
      <c r="AD323" s="497" t="str">
        <f>IF(ISNUMBER('Model_ of_individuals'!AD335), 'Model_ of_individuals'!AD335*'Model_ of_individuals'!$K335,"")</f>
        <v/>
      </c>
      <c r="AE323" s="497" t="str">
        <f>IF(ISNUMBER('Model_ of_individuals'!AE335), 'Model_ of_individuals'!AE335*'Model_ of_individuals'!$K335,"")</f>
        <v/>
      </c>
      <c r="AF323" s="497" t="str">
        <f>IF(ISNUMBER('Model_ of_individuals'!AF335), 'Model_ of_individuals'!AF335*'Model_ of_individuals'!$K335,"")</f>
        <v/>
      </c>
      <c r="AG323" s="497" t="str">
        <f>IF(ISNUMBER('Model_ of_individuals'!AG335), 'Model_ of_individuals'!AG335*'Model_ of_individuals'!$K335,"")</f>
        <v/>
      </c>
      <c r="AH323" s="497" t="str">
        <f>IF(ISNUMBER('Model_ of_individuals'!AH335), 'Model_ of_individuals'!AH335*'Model_ of_individuals'!$K335,"")</f>
        <v/>
      </c>
      <c r="AI323" s="497" t="str">
        <f>IF(ISNUMBER('Model_ of_individuals'!AI335), 'Model_ of_individuals'!AI335*'Model_ of_individuals'!$K335,"")</f>
        <v/>
      </c>
      <c r="AJ323" s="497" t="str">
        <f>IF(ISNUMBER('Model_ of_individuals'!AJ335), 'Model_ of_individuals'!AJ335*'Model_ of_individuals'!$K335,"")</f>
        <v/>
      </c>
      <c r="AK323" s="497" t="str">
        <f>IF(ISNUMBER('Model_ of_individuals'!AK335), 'Model_ of_individuals'!AK335*'Model_ of_individuals'!$K335,"")</f>
        <v/>
      </c>
      <c r="AL323" s="497" t="str">
        <f>IF(ISNUMBER('Model_ of_individuals'!AL335), 'Model_ of_individuals'!AL335*'Model_ of_individuals'!$K335,"")</f>
        <v/>
      </c>
      <c r="AM323" s="497" t="str">
        <f>IF(ISNUMBER('Model_ of_individuals'!AM335), 'Model_ of_individuals'!AM335*'Model_ of_individuals'!$K335,"")</f>
        <v/>
      </c>
      <c r="AN323" s="497" t="str">
        <f>IF(ISNUMBER('Model_ of_individuals'!AN335), 'Model_ of_individuals'!AN335*'Model_ of_individuals'!$K335,"")</f>
        <v/>
      </c>
      <c r="AO323" s="497" t="str">
        <f>IF(ISNUMBER('Model_ of_individuals'!AO335), 'Model_ of_individuals'!AO335*'Model_ of_individuals'!$K335,"")</f>
        <v/>
      </c>
      <c r="AP323" s="497" t="str">
        <f>IF(ISNUMBER('Model_ of_individuals'!AP335), 'Model_ of_individuals'!AP335*'Model_ of_individuals'!$K335,"")</f>
        <v/>
      </c>
      <c r="AQ323" s="497" t="str">
        <f>IF(ISNUMBER('Model_ of_individuals'!AQ335), 'Model_ of_individuals'!AQ335*'Model_ of_individuals'!$K335,"")</f>
        <v/>
      </c>
      <c r="AR323" s="497" t="str">
        <f>IF(ISNUMBER('Model_ of_individuals'!AR335), 'Model_ of_individuals'!AR335*'Model_ of_individuals'!$K335,"")</f>
        <v/>
      </c>
      <c r="AS323" s="4" t="str">
        <f>IF(ISNUMBER('Model_ of_individuals'!AS335), 'Model_ of_individuals'!AS335*'Model_ of_individuals'!$K335,"")</f>
        <v/>
      </c>
    </row>
    <row r="324" spans="1:46" x14ac:dyDescent="0.25">
      <c r="A324" s="518"/>
      <c r="B324" s="504"/>
      <c r="C324" s="376" t="str">
        <f>IF(AND(ISNUMBER(B305), OR('Cost Inputs'!$H$85&lt;&gt;"", 'Cost Inputs'!$I$85&lt;&gt;"", 'Cost Inputs'!$J$85&lt;&gt;"")), _3_5_1, "")</f>
        <v/>
      </c>
      <c r="D324" s="17" t="str">
        <f>IF(AND(C323&lt;&gt;"", 'Cost Inputs'!$G$119&lt;&gt;""), 'Cost Inputs'!$G$119, "")</f>
        <v/>
      </c>
      <c r="E324" s="17" t="str">
        <f>IF(AND(C323&lt;&gt;"", 'Cost Inputs'!$H$119&lt;&gt;""), 'Cost Inputs'!$H$119, "")</f>
        <v/>
      </c>
      <c r="F324" s="493"/>
      <c r="G324" s="105" t="str">
        <f t="shared" si="16"/>
        <v/>
      </c>
      <c r="H324" s="493"/>
      <c r="I324" s="105" t="str">
        <f>IF($C323&lt;&gt;"", IF(AND($E324&lt;&gt;"", H323&lt;&gt;""), H323/($E323*$E324), 0), "")</f>
        <v/>
      </c>
      <c r="J324" s="493" t="str">
        <f>IF(AND(C324&lt;&gt;"",('Cost Inputs'!$I$86+'Cost Inputs'!$J$86+'Cost Inputs'!$K$86)&gt;0), 'Cost Inputs'!$I$86+'Cost Inputs'!$J$86+'Cost Inputs'!$K$86, "")</f>
        <v/>
      </c>
      <c r="K324" s="105" t="str">
        <f>IF($C323&lt;&gt;"", IF(AND($E324&lt;&gt;"", J323&lt;&gt;""), J323/($E323*$E324), 0), "")</f>
        <v/>
      </c>
      <c r="L324" s="525"/>
      <c r="M324" s="525"/>
      <c r="P324" s="497" t="str">
        <f>IF(ISNUMBER('Model_ of_individuals'!P336), 'Model_ of_individuals'!P336*'Model_ of_individuals'!$K336,"")</f>
        <v/>
      </c>
      <c r="Q324" s="497" t="str">
        <f>IF(ISNUMBER('Model_ of_individuals'!Q336), 'Model_ of_individuals'!Q336*'Model_ of_individuals'!$K336,"")</f>
        <v/>
      </c>
      <c r="R324" s="497" t="str">
        <f>IF(ISNUMBER('Model_ of_individuals'!R336), 'Model_ of_individuals'!R336*'Model_ of_individuals'!$K336,"")</f>
        <v/>
      </c>
      <c r="S324" s="497" t="str">
        <f>IF(ISNUMBER('Model_ of_individuals'!S336), 'Model_ of_individuals'!S336*'Model_ of_individuals'!$K336,"")</f>
        <v/>
      </c>
      <c r="T324" s="497" t="str">
        <f>IF(ISNUMBER('Model_ of_individuals'!T336), 'Model_ of_individuals'!T336*'Model_ of_individuals'!$K336,"")</f>
        <v/>
      </c>
      <c r="U324" s="497" t="str">
        <f>IF(ISNUMBER('Model_ of_individuals'!U336), 'Model_ of_individuals'!U336*'Model_ of_individuals'!$K336,"")</f>
        <v/>
      </c>
      <c r="V324" s="497" t="str">
        <f>IF(ISNUMBER('Model_ of_individuals'!V336), 'Model_ of_individuals'!V336*'Model_ of_individuals'!$K336,"")</f>
        <v/>
      </c>
      <c r="W324" s="497" t="str">
        <f>IF(ISNUMBER('Model_ of_individuals'!W336), 'Model_ of_individuals'!W336*'Model_ of_individuals'!$K336,"")</f>
        <v/>
      </c>
      <c r="X324" s="497" t="str">
        <f>IF(ISNUMBER('Model_ of_individuals'!X336), 'Model_ of_individuals'!X336*'Model_ of_individuals'!$K336,"")</f>
        <v/>
      </c>
      <c r="Y324" s="497" t="str">
        <f>IF(ISNUMBER('Model_ of_individuals'!Y336), 'Model_ of_individuals'!Y336*'Model_ of_individuals'!$K336,"")</f>
        <v/>
      </c>
      <c r="Z324" s="497" t="str">
        <f>IF(ISNUMBER('Model_ of_individuals'!Z336), 'Model_ of_individuals'!Z336*'Model_ of_individuals'!$K336,"")</f>
        <v/>
      </c>
      <c r="AA324" s="497" t="str">
        <f>IF(ISNUMBER('Model_ of_individuals'!AA336), 'Model_ of_individuals'!AA336*'Model_ of_individuals'!$K336,"")</f>
        <v/>
      </c>
      <c r="AB324" s="497" t="str">
        <f>IF(ISNUMBER('Model_ of_individuals'!AB336), 'Model_ of_individuals'!AB336*'Model_ of_individuals'!$K336,"")</f>
        <v/>
      </c>
      <c r="AC324" s="497" t="str">
        <f>IF(ISNUMBER('Model_ of_individuals'!AC336), 'Model_ of_individuals'!AC336*'Model_ of_individuals'!$K336,"")</f>
        <v/>
      </c>
      <c r="AD324" s="497" t="str">
        <f>IF(ISNUMBER('Model_ of_individuals'!AD336), 'Model_ of_individuals'!AD336*'Model_ of_individuals'!$K336,"")</f>
        <v/>
      </c>
      <c r="AE324" s="497" t="str">
        <f>IF(ISNUMBER('Model_ of_individuals'!AE336), 'Model_ of_individuals'!AE336*'Model_ of_individuals'!$K336,"")</f>
        <v/>
      </c>
      <c r="AF324" s="497" t="str">
        <f>IF(ISNUMBER('Model_ of_individuals'!AF336), 'Model_ of_individuals'!AF336*'Model_ of_individuals'!$K336,"")</f>
        <v/>
      </c>
      <c r="AG324" s="497" t="str">
        <f>IF(ISNUMBER('Model_ of_individuals'!AG336), 'Model_ of_individuals'!AG336*'Model_ of_individuals'!$K336,"")</f>
        <v/>
      </c>
      <c r="AH324" s="497" t="str">
        <f>IF(ISNUMBER('Model_ of_individuals'!AH336), 'Model_ of_individuals'!AH336*'Model_ of_individuals'!$K336,"")</f>
        <v/>
      </c>
      <c r="AI324" s="497" t="str">
        <f>IF(ISNUMBER('Model_ of_individuals'!AI336), 'Model_ of_individuals'!AI336*'Model_ of_individuals'!$K336,"")</f>
        <v/>
      </c>
      <c r="AJ324" s="497" t="str">
        <f>IF(ISNUMBER('Model_ of_individuals'!AJ336), 'Model_ of_individuals'!AJ336*'Model_ of_individuals'!$K336,"")</f>
        <v/>
      </c>
      <c r="AK324" s="497" t="str">
        <f>IF(ISNUMBER('Model_ of_individuals'!AK336), 'Model_ of_individuals'!AK336*'Model_ of_individuals'!$K336,"")</f>
        <v/>
      </c>
      <c r="AL324" s="497" t="str">
        <f>IF(ISNUMBER('Model_ of_individuals'!AL336), 'Model_ of_individuals'!AL336*'Model_ of_individuals'!$K336,"")</f>
        <v/>
      </c>
      <c r="AM324" s="497" t="str">
        <f>IF(ISNUMBER('Model_ of_individuals'!AM336), 'Model_ of_individuals'!AM336*'Model_ of_individuals'!$K336,"")</f>
        <v/>
      </c>
      <c r="AN324" s="497" t="str">
        <f>IF(ISNUMBER('Model_ of_individuals'!AN336), 'Model_ of_individuals'!AN336*'Model_ of_individuals'!$K336,"")</f>
        <v/>
      </c>
      <c r="AO324" s="497" t="str">
        <f>IF(ISNUMBER('Model_ of_individuals'!AO336), 'Model_ of_individuals'!AO336*'Model_ of_individuals'!$K336,"")</f>
        <v/>
      </c>
      <c r="AP324" s="497" t="str">
        <f>IF(ISNUMBER('Model_ of_individuals'!AP336), 'Model_ of_individuals'!AP336*'Model_ of_individuals'!$K336,"")</f>
        <v/>
      </c>
      <c r="AQ324" s="497" t="str">
        <f>IF(ISNUMBER('Model_ of_individuals'!AQ336), 'Model_ of_individuals'!AQ336*'Model_ of_individuals'!$K336,"")</f>
        <v/>
      </c>
      <c r="AR324" s="497" t="str">
        <f>IF(ISNUMBER('Model_ of_individuals'!AR336), 'Model_ of_individuals'!AR336*'Model_ of_individuals'!$K336,"")</f>
        <v/>
      </c>
      <c r="AS324" s="4" t="str">
        <f>IF(ISNUMBER('Model_ of_individuals'!AS336), 'Model_ of_individuals'!AS336*'Model_ of_individuals'!$K336,"")</f>
        <v/>
      </c>
    </row>
    <row r="325" spans="1:46" x14ac:dyDescent="0.25">
      <c r="A325" s="518"/>
      <c r="B325" s="504"/>
      <c r="C325" s="107" t="str">
        <f>IF(AND(ISNUMBER(B310), C321&lt;&gt;"", OR('Cost Inputs'!$H$120&lt;&gt;"", 'Cost Inputs'!$I$120&lt;&gt;"", 'Cost Inputs'!$J$120&lt;&gt;"")), _4_5_2, "")</f>
        <v/>
      </c>
      <c r="D325" s="93" t="str">
        <f>IF(AND(C325&lt;&gt;"", 'Cost Inputs'!$G$120&lt;&gt;""), 'Cost Inputs'!$G$120, "")</f>
        <v/>
      </c>
      <c r="E325" s="93" t="str">
        <f>IF(AND(C325&lt;&gt;"", 'Cost Inputs'!$H$120&lt;&gt;""), 'Cost Inputs'!$H$120, "")</f>
        <v/>
      </c>
      <c r="F325" s="93" t="str">
        <f>IF(AND(C325&lt;&gt;"", 'Cost Inputs'!$I$120&lt;&gt;""), 'Cost Inputs'!$I$120, "")</f>
        <v/>
      </c>
      <c r="G325" s="108" t="str">
        <f t="shared" si="16"/>
        <v/>
      </c>
      <c r="H325" s="93" t="str">
        <f>IF(AND(C325&lt;&gt;"", 'Cost Inputs'!$J$120&lt;&gt;""), 'Cost Inputs'!$J$120, "")</f>
        <v/>
      </c>
      <c r="I325" s="93" t="str">
        <f>IF($C325&lt;&gt;"", IF(AND($E325&lt;&gt;"", H325&lt;&gt;""), H325/$E325, 0),"")</f>
        <v/>
      </c>
      <c r="J325" s="93" t="str">
        <f>IF(AND(C325&lt;&gt;"",('Cost Inputs'!$I$120+'Cost Inputs'!$J$120+'Cost Inputs'!$K$120)&gt;0), 'Cost Inputs'!$I$120+'Cost Inputs'!$J$120+'Cost Inputs'!$K$120, "")</f>
        <v/>
      </c>
      <c r="K325" s="93" t="str">
        <f>IF($C325&lt;&gt;"", IF(AND($E325&lt;&gt;"", J325&lt;&gt;""), J325/$E325, 0),"")</f>
        <v/>
      </c>
      <c r="L325" s="525"/>
      <c r="M325" s="525"/>
      <c r="P325" s="93" t="str">
        <f>IF(ISNUMBER('Model_ of_individuals'!P337), 'Model_ of_individuals'!P337*'Model_ of_individuals'!$K337,"")</f>
        <v/>
      </c>
      <c r="Q325" s="93" t="str">
        <f>IF(ISNUMBER('Model_ of_individuals'!Q337), 'Model_ of_individuals'!Q337*'Model_ of_individuals'!$K337,"")</f>
        <v/>
      </c>
      <c r="R325" s="93" t="str">
        <f>IF(ISNUMBER('Model_ of_individuals'!R337), 'Model_ of_individuals'!R337*'Model_ of_individuals'!$K337,"")</f>
        <v/>
      </c>
      <c r="S325" s="93" t="str">
        <f>IF(ISNUMBER('Model_ of_individuals'!S337), 'Model_ of_individuals'!S337*'Model_ of_individuals'!$K337,"")</f>
        <v/>
      </c>
      <c r="T325" s="93" t="str">
        <f>IF(ISNUMBER('Model_ of_individuals'!T337), 'Model_ of_individuals'!T337*'Model_ of_individuals'!$K337,"")</f>
        <v/>
      </c>
      <c r="U325" s="93" t="str">
        <f>IF(ISNUMBER('Model_ of_individuals'!U337), 'Model_ of_individuals'!U337*'Model_ of_individuals'!$K337,"")</f>
        <v/>
      </c>
      <c r="V325" s="93" t="str">
        <f>IF(ISNUMBER('Model_ of_individuals'!V337), 'Model_ of_individuals'!V337*'Model_ of_individuals'!$K337,"")</f>
        <v/>
      </c>
      <c r="W325" s="93" t="str">
        <f>IF(ISNUMBER('Model_ of_individuals'!W337), 'Model_ of_individuals'!W337*'Model_ of_individuals'!$K337,"")</f>
        <v/>
      </c>
      <c r="X325" s="93" t="str">
        <f>IF(ISNUMBER('Model_ of_individuals'!X337), 'Model_ of_individuals'!X337*'Model_ of_individuals'!$K337,"")</f>
        <v/>
      </c>
      <c r="Y325" s="93" t="str">
        <f>IF(ISNUMBER('Model_ of_individuals'!Y337), 'Model_ of_individuals'!Y337*'Model_ of_individuals'!$K337,"")</f>
        <v/>
      </c>
      <c r="Z325" s="93" t="str">
        <f>IF(ISNUMBER('Model_ of_individuals'!Z337), 'Model_ of_individuals'!Z337*'Model_ of_individuals'!$K337,"")</f>
        <v/>
      </c>
      <c r="AA325" s="93" t="str">
        <f>IF(ISNUMBER('Model_ of_individuals'!AA337), 'Model_ of_individuals'!AA337*'Model_ of_individuals'!$K337,"")</f>
        <v/>
      </c>
      <c r="AB325" s="93" t="str">
        <f>IF(ISNUMBER('Model_ of_individuals'!AB337), 'Model_ of_individuals'!AB337*'Model_ of_individuals'!$K337,"")</f>
        <v/>
      </c>
      <c r="AC325" s="93" t="str">
        <f>IF(ISNUMBER('Model_ of_individuals'!AC337), 'Model_ of_individuals'!AC337*'Model_ of_individuals'!$K337,"")</f>
        <v/>
      </c>
      <c r="AD325" s="93" t="str">
        <f>IF(ISNUMBER('Model_ of_individuals'!AD337), 'Model_ of_individuals'!AD337*'Model_ of_individuals'!$K337,"")</f>
        <v/>
      </c>
      <c r="AE325" s="93" t="str">
        <f>IF(ISNUMBER('Model_ of_individuals'!AE337), 'Model_ of_individuals'!AE337*'Model_ of_individuals'!$K337,"")</f>
        <v/>
      </c>
      <c r="AF325" s="93" t="str">
        <f>IF(ISNUMBER('Model_ of_individuals'!AF337), 'Model_ of_individuals'!AF337*'Model_ of_individuals'!$K337,"")</f>
        <v/>
      </c>
      <c r="AG325" s="93" t="str">
        <f>IF(ISNUMBER('Model_ of_individuals'!AG337), 'Model_ of_individuals'!AG337*'Model_ of_individuals'!$K337,"")</f>
        <v/>
      </c>
      <c r="AH325" s="93" t="str">
        <f>IF(ISNUMBER('Model_ of_individuals'!AH337), 'Model_ of_individuals'!AH337*'Model_ of_individuals'!$K337,"")</f>
        <v/>
      </c>
      <c r="AI325" s="93" t="str">
        <f>IF(ISNUMBER('Model_ of_individuals'!AI337), 'Model_ of_individuals'!AI337*'Model_ of_individuals'!$K337,"")</f>
        <v/>
      </c>
      <c r="AJ325" s="93" t="str">
        <f>IF(ISNUMBER('Model_ of_individuals'!AJ337), 'Model_ of_individuals'!AJ337*'Model_ of_individuals'!$K337,"")</f>
        <v/>
      </c>
      <c r="AK325" s="93" t="str">
        <f>IF(ISNUMBER('Model_ of_individuals'!AK337), 'Model_ of_individuals'!AK337*'Model_ of_individuals'!$K337,"")</f>
        <v/>
      </c>
      <c r="AL325" s="93" t="str">
        <f>IF(ISNUMBER('Model_ of_individuals'!AL337), 'Model_ of_individuals'!AL337*'Model_ of_individuals'!$K337,"")</f>
        <v/>
      </c>
      <c r="AM325" s="93" t="str">
        <f>IF(ISNUMBER('Model_ of_individuals'!AM337), 'Model_ of_individuals'!AM337*'Model_ of_individuals'!$K337,"")</f>
        <v/>
      </c>
      <c r="AN325" s="93" t="str">
        <f>IF(ISNUMBER('Model_ of_individuals'!AN337), 'Model_ of_individuals'!AN337*'Model_ of_individuals'!$K337,"")</f>
        <v/>
      </c>
      <c r="AO325" s="93" t="str">
        <f>IF(ISNUMBER('Model_ of_individuals'!AO337), 'Model_ of_individuals'!AO337*'Model_ of_individuals'!$K337,"")</f>
        <v/>
      </c>
      <c r="AP325" s="93" t="str">
        <f>IF(ISNUMBER('Model_ of_individuals'!AP337), 'Model_ of_individuals'!AP337*'Model_ of_individuals'!$K337,"")</f>
        <v/>
      </c>
      <c r="AQ325" s="93" t="str">
        <f>IF(ISNUMBER('Model_ of_individuals'!AQ337), 'Model_ of_individuals'!AQ337*'Model_ of_individuals'!$K337,"")</f>
        <v/>
      </c>
      <c r="AR325" s="93" t="str">
        <f>IF(ISNUMBER('Model_ of_individuals'!AR337), 'Model_ of_individuals'!AR337*'Model_ of_individuals'!$K337,"")</f>
        <v/>
      </c>
      <c r="AS325" s="4" t="str">
        <f>IF(ISNUMBER('Model_ of_individuals'!AS337), 'Model_ of_individuals'!AS337*'Model_ of_individuals'!$K337,"")</f>
        <v/>
      </c>
    </row>
    <row r="326" spans="1:46" x14ac:dyDescent="0.25">
      <c r="A326" s="518"/>
      <c r="B326" s="504"/>
      <c r="C326" s="104" t="str">
        <f>IF(AND(ISNUMBER(B310), C321&lt;&gt;"", OR('Cost Inputs'!$H$121&lt;&gt;"", 'Cost Inputs'!$I$121&lt;&gt;"", 'Cost Inputs'!$J$121&lt;&gt;"")), _4_5_3, "")</f>
        <v/>
      </c>
      <c r="D326" s="17" t="str">
        <f>IF(AND(C326&lt;&gt;"", 'Cost Inputs'!$G$121&lt;&gt;""), 'Cost Inputs'!$G$121, "")</f>
        <v/>
      </c>
      <c r="E326" s="17" t="str">
        <f>IF(AND(C326&lt;&gt;"", 'Cost Inputs'!$H$121&lt;&gt;""), 'Cost Inputs'!$H$121, "")</f>
        <v/>
      </c>
      <c r="F326" s="17" t="str">
        <f>IF(AND(C326&lt;&gt;"", 'Cost Inputs'!$I$121&lt;&gt;""), 'Cost Inputs'!$I$121, "")</f>
        <v/>
      </c>
      <c r="G326" s="105" t="str">
        <f t="shared" si="16"/>
        <v/>
      </c>
      <c r="H326" s="17" t="str">
        <f>IF(AND(C326&lt;&gt;"", 'Cost Inputs'!$J$121&lt;&gt;""), 'Cost Inputs'!$J$121, "")</f>
        <v/>
      </c>
      <c r="I326" s="17" t="str">
        <f>IF($C326&lt;&gt;"", IF(AND($E326&lt;&gt;"", H326&lt;&gt;""), H326/$E326, 0),"")</f>
        <v/>
      </c>
      <c r="J326" s="17" t="str">
        <f>IF(AND(C326&lt;&gt;"",('Cost Inputs'!$I$121+'Cost Inputs'!$J$121+'Cost Inputs'!$K$121)&gt;0), 'Cost Inputs'!$I$121+'Cost Inputs'!$J$121+'Cost Inputs'!$K$121, "")</f>
        <v/>
      </c>
      <c r="K326" s="17" t="str">
        <f>IF($C326&lt;&gt;"", IF(AND($E326&lt;&gt;"", J326&lt;&gt;""), J326/$E326, 0),"")</f>
        <v/>
      </c>
      <c r="L326" s="525"/>
      <c r="M326" s="525"/>
      <c r="P326" s="17" t="str">
        <f>IF(ISNUMBER('Model_ of_individuals'!P338), 'Model_ of_individuals'!P338*'Model_ of_individuals'!$K338,"")</f>
        <v/>
      </c>
      <c r="Q326" s="17" t="str">
        <f>IF(ISNUMBER('Model_ of_individuals'!Q338), 'Model_ of_individuals'!Q338*'Model_ of_individuals'!$K338,"")</f>
        <v/>
      </c>
      <c r="R326" s="17" t="str">
        <f>IF(ISNUMBER('Model_ of_individuals'!R338), 'Model_ of_individuals'!R338*'Model_ of_individuals'!$K338,"")</f>
        <v/>
      </c>
      <c r="S326" s="17" t="str">
        <f>IF(ISNUMBER('Model_ of_individuals'!S338), 'Model_ of_individuals'!S338*'Model_ of_individuals'!$K338,"")</f>
        <v/>
      </c>
      <c r="T326" s="17" t="str">
        <f>IF(ISNUMBER('Model_ of_individuals'!T338), 'Model_ of_individuals'!T338*'Model_ of_individuals'!$K338,"")</f>
        <v/>
      </c>
      <c r="U326" s="17" t="str">
        <f>IF(ISNUMBER('Model_ of_individuals'!U338), 'Model_ of_individuals'!U338*'Model_ of_individuals'!$K338,"")</f>
        <v/>
      </c>
      <c r="V326" s="17" t="str">
        <f>IF(ISNUMBER('Model_ of_individuals'!V338), 'Model_ of_individuals'!V338*'Model_ of_individuals'!$K338,"")</f>
        <v/>
      </c>
      <c r="W326" s="17" t="str">
        <f>IF(ISNUMBER('Model_ of_individuals'!W338), 'Model_ of_individuals'!W338*'Model_ of_individuals'!$K338,"")</f>
        <v/>
      </c>
      <c r="X326" s="17" t="str">
        <f>IF(ISNUMBER('Model_ of_individuals'!X338), 'Model_ of_individuals'!X338*'Model_ of_individuals'!$K338,"")</f>
        <v/>
      </c>
      <c r="Y326" s="17" t="str">
        <f>IF(ISNUMBER('Model_ of_individuals'!Y338), 'Model_ of_individuals'!Y338*'Model_ of_individuals'!$K338,"")</f>
        <v/>
      </c>
      <c r="Z326" s="17" t="str">
        <f>IF(ISNUMBER('Model_ of_individuals'!Z338), 'Model_ of_individuals'!Z338*'Model_ of_individuals'!$K338,"")</f>
        <v/>
      </c>
      <c r="AA326" s="17" t="str">
        <f>IF(ISNUMBER('Model_ of_individuals'!AA338), 'Model_ of_individuals'!AA338*'Model_ of_individuals'!$K338,"")</f>
        <v/>
      </c>
      <c r="AB326" s="17" t="str">
        <f>IF(ISNUMBER('Model_ of_individuals'!AB338), 'Model_ of_individuals'!AB338*'Model_ of_individuals'!$K338,"")</f>
        <v/>
      </c>
      <c r="AC326" s="17" t="str">
        <f>IF(ISNUMBER('Model_ of_individuals'!AC338), 'Model_ of_individuals'!AC338*'Model_ of_individuals'!$K338,"")</f>
        <v/>
      </c>
      <c r="AD326" s="17" t="str">
        <f>IF(ISNUMBER('Model_ of_individuals'!AD338), 'Model_ of_individuals'!AD338*'Model_ of_individuals'!$K338,"")</f>
        <v/>
      </c>
      <c r="AE326" s="17" t="str">
        <f>IF(ISNUMBER('Model_ of_individuals'!AE338), 'Model_ of_individuals'!AE338*'Model_ of_individuals'!$K338,"")</f>
        <v/>
      </c>
      <c r="AF326" s="17" t="str">
        <f>IF(ISNUMBER('Model_ of_individuals'!AF338), 'Model_ of_individuals'!AF338*'Model_ of_individuals'!$K338,"")</f>
        <v/>
      </c>
      <c r="AG326" s="17" t="str">
        <f>IF(ISNUMBER('Model_ of_individuals'!AG338), 'Model_ of_individuals'!AG338*'Model_ of_individuals'!$K338,"")</f>
        <v/>
      </c>
      <c r="AH326" s="17" t="str">
        <f>IF(ISNUMBER('Model_ of_individuals'!AH338), 'Model_ of_individuals'!AH338*'Model_ of_individuals'!$K338,"")</f>
        <v/>
      </c>
      <c r="AI326" s="17" t="str">
        <f>IF(ISNUMBER('Model_ of_individuals'!AI338), 'Model_ of_individuals'!AI338*'Model_ of_individuals'!$K338,"")</f>
        <v/>
      </c>
      <c r="AJ326" s="17" t="str">
        <f>IF(ISNUMBER('Model_ of_individuals'!AJ338), 'Model_ of_individuals'!AJ338*'Model_ of_individuals'!$K338,"")</f>
        <v/>
      </c>
      <c r="AK326" s="17" t="str">
        <f>IF(ISNUMBER('Model_ of_individuals'!AK338), 'Model_ of_individuals'!AK338*'Model_ of_individuals'!$K338,"")</f>
        <v/>
      </c>
      <c r="AL326" s="17" t="str">
        <f>IF(ISNUMBER('Model_ of_individuals'!AL338), 'Model_ of_individuals'!AL338*'Model_ of_individuals'!$K338,"")</f>
        <v/>
      </c>
      <c r="AM326" s="17" t="str">
        <f>IF(ISNUMBER('Model_ of_individuals'!AM338), 'Model_ of_individuals'!AM338*'Model_ of_individuals'!$K338,"")</f>
        <v/>
      </c>
      <c r="AN326" s="17" t="str">
        <f>IF(ISNUMBER('Model_ of_individuals'!AN338), 'Model_ of_individuals'!AN338*'Model_ of_individuals'!$K338,"")</f>
        <v/>
      </c>
      <c r="AO326" s="17" t="str">
        <f>IF(ISNUMBER('Model_ of_individuals'!AO338), 'Model_ of_individuals'!AO338*'Model_ of_individuals'!$K338,"")</f>
        <v/>
      </c>
      <c r="AP326" s="17" t="str">
        <f>IF(ISNUMBER('Model_ of_individuals'!AP338), 'Model_ of_individuals'!AP338*'Model_ of_individuals'!$K338,"")</f>
        <v/>
      </c>
      <c r="AQ326" s="17" t="str">
        <f>IF(ISNUMBER('Model_ of_individuals'!AQ338), 'Model_ of_individuals'!AQ338*'Model_ of_individuals'!$K338,"")</f>
        <v/>
      </c>
      <c r="AR326" s="17" t="str">
        <f>IF(ISNUMBER('Model_ of_individuals'!AR338), 'Model_ of_individuals'!AR338*'Model_ of_individuals'!$K338,"")</f>
        <v/>
      </c>
      <c r="AS326" s="4" t="str">
        <f>IF(ISNUMBER('Model_ of_individuals'!AS338), 'Model_ of_individuals'!AS338*'Model_ of_individuals'!$K338,"")</f>
        <v/>
      </c>
    </row>
    <row r="327" spans="1:46" x14ac:dyDescent="0.25">
      <c r="A327" s="518"/>
      <c r="B327" s="504"/>
      <c r="C327" s="107" t="str">
        <f>IF(AND(ISNUMBER(B310), C321&lt;&gt;"", OR('Cost Inputs'!$H$122&lt;&gt;"", 'Cost Inputs'!$I$122&lt;&gt;"", 'Cost Inputs'!$J$122&lt;&gt;"")), _4_5_2, "")</f>
        <v/>
      </c>
      <c r="D327" s="93" t="str">
        <f>IF(AND(C327&lt;&gt;"", 'Cost Inputs'!$G$122&lt;&gt;""), 'Cost Inputs'!$G$122, "")</f>
        <v/>
      </c>
      <c r="E327" s="93" t="str">
        <f>IF(AND(C327&lt;&gt;"", 'Cost Inputs'!$H$122&lt;&gt;""), 'Cost Inputs'!$H$122, "")</f>
        <v/>
      </c>
      <c r="F327" s="93" t="str">
        <f>IF(AND(C327&lt;&gt;"", 'Cost Inputs'!$I$122&lt;&gt;""), 'Cost Inputs'!$I$122, "")</f>
        <v/>
      </c>
      <c r="G327" s="108" t="str">
        <f t="shared" ref="G327:G393" si="25">IF(AND($E327&lt;&gt;"", $E327&gt;0, F327&lt;&gt;""), F327/$E327, "")</f>
        <v/>
      </c>
      <c r="H327" s="93" t="str">
        <f>IF(AND(C327&lt;&gt;"", 'Cost Inputs'!$J$122&lt;&gt;""), 'Cost Inputs'!$J$122, "")</f>
        <v/>
      </c>
      <c r="I327" s="93" t="str">
        <f>IF($C327&lt;&gt;"", IF(AND($E327&lt;&gt;"", H327&lt;&gt;""), H327/$E327, 0),"")</f>
        <v/>
      </c>
      <c r="J327" s="93" t="str">
        <f>IF(AND(C327&lt;&gt;"",('Cost Inputs'!$I$122+'Cost Inputs'!$J$122+'Cost Inputs'!$K$122)&gt;0), 'Cost Inputs'!$I$122+'Cost Inputs'!$J$122+'Cost Inputs'!$K$122, "")</f>
        <v/>
      </c>
      <c r="K327" s="93" t="str">
        <f>IF($C327&lt;&gt;"", IF(AND($E327&lt;&gt;"", J327&lt;&gt;""), J327/$E327, 0),"")</f>
        <v/>
      </c>
      <c r="L327" s="525"/>
      <c r="M327" s="525"/>
      <c r="P327" s="93" t="str">
        <f>IF(ISNUMBER('Model_ of_individuals'!P339), 'Model_ of_individuals'!P339*'Model_ of_individuals'!$K339,"")</f>
        <v/>
      </c>
      <c r="Q327" s="93" t="str">
        <f>IF(ISNUMBER('Model_ of_individuals'!Q339), 'Model_ of_individuals'!Q339*'Model_ of_individuals'!$K339,"")</f>
        <v/>
      </c>
      <c r="R327" s="93" t="str">
        <f>IF(ISNUMBER('Model_ of_individuals'!R339), 'Model_ of_individuals'!R339*'Model_ of_individuals'!$K339,"")</f>
        <v/>
      </c>
      <c r="S327" s="93" t="str">
        <f>IF(ISNUMBER('Model_ of_individuals'!S339), 'Model_ of_individuals'!S339*'Model_ of_individuals'!$K339,"")</f>
        <v/>
      </c>
      <c r="T327" s="93" t="str">
        <f>IF(ISNUMBER('Model_ of_individuals'!T339), 'Model_ of_individuals'!T339*'Model_ of_individuals'!$K339,"")</f>
        <v/>
      </c>
      <c r="U327" s="93" t="str">
        <f>IF(ISNUMBER('Model_ of_individuals'!U339), 'Model_ of_individuals'!U339*'Model_ of_individuals'!$K339,"")</f>
        <v/>
      </c>
      <c r="V327" s="93" t="str">
        <f>IF(ISNUMBER('Model_ of_individuals'!V339), 'Model_ of_individuals'!V339*'Model_ of_individuals'!$K339,"")</f>
        <v/>
      </c>
      <c r="W327" s="93" t="str">
        <f>IF(ISNUMBER('Model_ of_individuals'!W339), 'Model_ of_individuals'!W339*'Model_ of_individuals'!$K339,"")</f>
        <v/>
      </c>
      <c r="X327" s="93" t="str">
        <f>IF(ISNUMBER('Model_ of_individuals'!X339), 'Model_ of_individuals'!X339*'Model_ of_individuals'!$K339,"")</f>
        <v/>
      </c>
      <c r="Y327" s="93" t="str">
        <f>IF(ISNUMBER('Model_ of_individuals'!Y339), 'Model_ of_individuals'!Y339*'Model_ of_individuals'!$K339,"")</f>
        <v/>
      </c>
      <c r="Z327" s="93" t="str">
        <f>IF(ISNUMBER('Model_ of_individuals'!Z339), 'Model_ of_individuals'!Z339*'Model_ of_individuals'!$K339,"")</f>
        <v/>
      </c>
      <c r="AA327" s="93" t="str">
        <f>IF(ISNUMBER('Model_ of_individuals'!AA339), 'Model_ of_individuals'!AA339*'Model_ of_individuals'!$K339,"")</f>
        <v/>
      </c>
      <c r="AB327" s="93" t="str">
        <f>IF(ISNUMBER('Model_ of_individuals'!AB339), 'Model_ of_individuals'!AB339*'Model_ of_individuals'!$K339,"")</f>
        <v/>
      </c>
      <c r="AC327" s="93" t="str">
        <f>IF(ISNUMBER('Model_ of_individuals'!AC339), 'Model_ of_individuals'!AC339*'Model_ of_individuals'!$K339,"")</f>
        <v/>
      </c>
      <c r="AD327" s="93" t="str">
        <f>IF(ISNUMBER('Model_ of_individuals'!AD339), 'Model_ of_individuals'!AD339*'Model_ of_individuals'!$K339,"")</f>
        <v/>
      </c>
      <c r="AE327" s="93" t="str">
        <f>IF(ISNUMBER('Model_ of_individuals'!AE339), 'Model_ of_individuals'!AE339*'Model_ of_individuals'!$K339,"")</f>
        <v/>
      </c>
      <c r="AF327" s="93" t="str">
        <f>IF(ISNUMBER('Model_ of_individuals'!AF339), 'Model_ of_individuals'!AF339*'Model_ of_individuals'!$K339,"")</f>
        <v/>
      </c>
      <c r="AG327" s="93" t="str">
        <f>IF(ISNUMBER('Model_ of_individuals'!AG339), 'Model_ of_individuals'!AG339*'Model_ of_individuals'!$K339,"")</f>
        <v/>
      </c>
      <c r="AH327" s="93" t="str">
        <f>IF(ISNUMBER('Model_ of_individuals'!AH339), 'Model_ of_individuals'!AH339*'Model_ of_individuals'!$K339,"")</f>
        <v/>
      </c>
      <c r="AI327" s="93" t="str">
        <f>IF(ISNUMBER('Model_ of_individuals'!AI339), 'Model_ of_individuals'!AI339*'Model_ of_individuals'!$K339,"")</f>
        <v/>
      </c>
      <c r="AJ327" s="93" t="str">
        <f>IF(ISNUMBER('Model_ of_individuals'!AJ339), 'Model_ of_individuals'!AJ339*'Model_ of_individuals'!$K339,"")</f>
        <v/>
      </c>
      <c r="AK327" s="93" t="str">
        <f>IF(ISNUMBER('Model_ of_individuals'!AK339), 'Model_ of_individuals'!AK339*'Model_ of_individuals'!$K339,"")</f>
        <v/>
      </c>
      <c r="AL327" s="93" t="str">
        <f>IF(ISNUMBER('Model_ of_individuals'!AL339), 'Model_ of_individuals'!AL339*'Model_ of_individuals'!$K339,"")</f>
        <v/>
      </c>
      <c r="AM327" s="93" t="str">
        <f>IF(ISNUMBER('Model_ of_individuals'!AM339), 'Model_ of_individuals'!AM339*'Model_ of_individuals'!$K339,"")</f>
        <v/>
      </c>
      <c r="AN327" s="93" t="str">
        <f>IF(ISNUMBER('Model_ of_individuals'!AN339), 'Model_ of_individuals'!AN339*'Model_ of_individuals'!$K339,"")</f>
        <v/>
      </c>
      <c r="AO327" s="93" t="str">
        <f>IF(ISNUMBER('Model_ of_individuals'!AO339), 'Model_ of_individuals'!AO339*'Model_ of_individuals'!$K339,"")</f>
        <v/>
      </c>
      <c r="AP327" s="93" t="str">
        <f>IF(ISNUMBER('Model_ of_individuals'!AP339), 'Model_ of_individuals'!AP339*'Model_ of_individuals'!$K339,"")</f>
        <v/>
      </c>
      <c r="AQ327" s="93" t="str">
        <f>IF(ISNUMBER('Model_ of_individuals'!AQ339), 'Model_ of_individuals'!AQ339*'Model_ of_individuals'!$K339,"")</f>
        <v/>
      </c>
      <c r="AR327" s="93" t="str">
        <f>IF(ISNUMBER('Model_ of_individuals'!AR339), 'Model_ of_individuals'!AR339*'Model_ of_individuals'!$K339,"")</f>
        <v/>
      </c>
      <c r="AS327" s="4" t="str">
        <f>IF(ISNUMBER('Model_ of_individuals'!AS339), 'Model_ of_individuals'!AS339*'Model_ of_individuals'!$K339,"")</f>
        <v/>
      </c>
    </row>
    <row r="328" spans="1:46" x14ac:dyDescent="0.25">
      <c r="A328" s="518"/>
      <c r="B328" s="504"/>
      <c r="C328" s="104" t="str">
        <f>IF(AND(ISNUMBER(B310), C321&lt;&gt;"", OR('Cost Inputs'!$H$123&lt;&gt;"", 'Cost Inputs'!$I$123&lt;&gt;"", 'Cost Inputs'!$J$123&lt;&gt;"")), _4_5_3, "")</f>
        <v/>
      </c>
      <c r="D328" s="17" t="str">
        <f>IF(AND(C328&lt;&gt;"", 'Cost Inputs'!$G$123&lt;&gt;""), 'Cost Inputs'!$G$123, "")</f>
        <v/>
      </c>
      <c r="E328" s="17" t="str">
        <f>IF(AND(C328&lt;&gt;"", 'Cost Inputs'!$H$123&lt;&gt;""), 'Cost Inputs'!$H$123, "")</f>
        <v/>
      </c>
      <c r="F328" s="17" t="str">
        <f>IF(AND(C328&lt;&gt;"", 'Cost Inputs'!$I$123&lt;&gt;""), 'Cost Inputs'!$I$123, "")</f>
        <v/>
      </c>
      <c r="G328" s="105" t="str">
        <f t="shared" si="25"/>
        <v/>
      </c>
      <c r="H328" s="17" t="str">
        <f>IF(AND(C328&lt;&gt;"", 'Cost Inputs'!$J$123&lt;&gt;""), 'Cost Inputs'!$J$123, "")</f>
        <v/>
      </c>
      <c r="I328" s="17" t="str">
        <f>IF($C328&lt;&gt;"", IF(AND($E328&lt;&gt;"", H328&lt;&gt;""), H328/$E328, 0),"")</f>
        <v/>
      </c>
      <c r="J328" s="17" t="str">
        <f>IF(AND(C328&lt;&gt;"",('Cost Inputs'!$I$123+'Cost Inputs'!$J$123+'Cost Inputs'!$K$123)&gt;0), 'Cost Inputs'!$I$123+'Cost Inputs'!$J$123+'Cost Inputs'!$K$123, "")</f>
        <v/>
      </c>
      <c r="K328" s="17" t="str">
        <f>IF($C328&lt;&gt;"", IF(AND($E328&lt;&gt;"", J328&lt;&gt;""), J328/$E328, 0),"")</f>
        <v/>
      </c>
      <c r="L328" s="525"/>
      <c r="M328" s="525"/>
      <c r="P328" s="17" t="str">
        <f>IF(ISNUMBER('Model_ of_individuals'!P340), 'Model_ of_individuals'!P340*'Model_ of_individuals'!$K340,"")</f>
        <v/>
      </c>
      <c r="Q328" s="17" t="str">
        <f>IF(ISNUMBER('Model_ of_individuals'!Q340), 'Model_ of_individuals'!Q340*'Model_ of_individuals'!$K340,"")</f>
        <v/>
      </c>
      <c r="R328" s="17" t="str">
        <f>IF(ISNUMBER('Model_ of_individuals'!R340), 'Model_ of_individuals'!R340*'Model_ of_individuals'!$K340,"")</f>
        <v/>
      </c>
      <c r="S328" s="17" t="str">
        <f>IF(ISNUMBER('Model_ of_individuals'!S340), 'Model_ of_individuals'!S340*'Model_ of_individuals'!$K340,"")</f>
        <v/>
      </c>
      <c r="T328" s="17" t="str">
        <f>IF(ISNUMBER('Model_ of_individuals'!T340), 'Model_ of_individuals'!T340*'Model_ of_individuals'!$K340,"")</f>
        <v/>
      </c>
      <c r="U328" s="17" t="str">
        <f>IF(ISNUMBER('Model_ of_individuals'!U340), 'Model_ of_individuals'!U340*'Model_ of_individuals'!$K340,"")</f>
        <v/>
      </c>
      <c r="V328" s="17" t="str">
        <f>IF(ISNUMBER('Model_ of_individuals'!V340), 'Model_ of_individuals'!V340*'Model_ of_individuals'!$K340,"")</f>
        <v/>
      </c>
      <c r="W328" s="17" t="str">
        <f>IF(ISNUMBER('Model_ of_individuals'!W340), 'Model_ of_individuals'!W340*'Model_ of_individuals'!$K340,"")</f>
        <v/>
      </c>
      <c r="X328" s="17" t="str">
        <f>IF(ISNUMBER('Model_ of_individuals'!X340), 'Model_ of_individuals'!X340*'Model_ of_individuals'!$K340,"")</f>
        <v/>
      </c>
      <c r="Y328" s="17" t="str">
        <f>IF(ISNUMBER('Model_ of_individuals'!Y340), 'Model_ of_individuals'!Y340*'Model_ of_individuals'!$K340,"")</f>
        <v/>
      </c>
      <c r="Z328" s="17" t="str">
        <f>IF(ISNUMBER('Model_ of_individuals'!Z340), 'Model_ of_individuals'!Z340*'Model_ of_individuals'!$K340,"")</f>
        <v/>
      </c>
      <c r="AA328" s="17" t="str">
        <f>IF(ISNUMBER('Model_ of_individuals'!AA340), 'Model_ of_individuals'!AA340*'Model_ of_individuals'!$K340,"")</f>
        <v/>
      </c>
      <c r="AB328" s="17" t="str">
        <f>IF(ISNUMBER('Model_ of_individuals'!AB340), 'Model_ of_individuals'!AB340*'Model_ of_individuals'!$K340,"")</f>
        <v/>
      </c>
      <c r="AC328" s="17" t="str">
        <f>IF(ISNUMBER('Model_ of_individuals'!AC340), 'Model_ of_individuals'!AC340*'Model_ of_individuals'!$K340,"")</f>
        <v/>
      </c>
      <c r="AD328" s="17" t="str">
        <f>IF(ISNUMBER('Model_ of_individuals'!AD340), 'Model_ of_individuals'!AD340*'Model_ of_individuals'!$K340,"")</f>
        <v/>
      </c>
      <c r="AE328" s="17" t="str">
        <f>IF(ISNUMBER('Model_ of_individuals'!AE340), 'Model_ of_individuals'!AE340*'Model_ of_individuals'!$K340,"")</f>
        <v/>
      </c>
      <c r="AF328" s="17" t="str">
        <f>IF(ISNUMBER('Model_ of_individuals'!AF340), 'Model_ of_individuals'!AF340*'Model_ of_individuals'!$K340,"")</f>
        <v/>
      </c>
      <c r="AG328" s="17" t="str">
        <f>IF(ISNUMBER('Model_ of_individuals'!AG340), 'Model_ of_individuals'!AG340*'Model_ of_individuals'!$K340,"")</f>
        <v/>
      </c>
      <c r="AH328" s="17" t="str">
        <f>IF(ISNUMBER('Model_ of_individuals'!AH340), 'Model_ of_individuals'!AH340*'Model_ of_individuals'!$K340,"")</f>
        <v/>
      </c>
      <c r="AI328" s="17" t="str">
        <f>IF(ISNUMBER('Model_ of_individuals'!AI340), 'Model_ of_individuals'!AI340*'Model_ of_individuals'!$K340,"")</f>
        <v/>
      </c>
      <c r="AJ328" s="17" t="str">
        <f>IF(ISNUMBER('Model_ of_individuals'!AJ340), 'Model_ of_individuals'!AJ340*'Model_ of_individuals'!$K340,"")</f>
        <v/>
      </c>
      <c r="AK328" s="17" t="str">
        <f>IF(ISNUMBER('Model_ of_individuals'!AK340), 'Model_ of_individuals'!AK340*'Model_ of_individuals'!$K340,"")</f>
        <v/>
      </c>
      <c r="AL328" s="17" t="str">
        <f>IF(ISNUMBER('Model_ of_individuals'!AL340), 'Model_ of_individuals'!AL340*'Model_ of_individuals'!$K340,"")</f>
        <v/>
      </c>
      <c r="AM328" s="17" t="str">
        <f>IF(ISNUMBER('Model_ of_individuals'!AM340), 'Model_ of_individuals'!AM340*'Model_ of_individuals'!$K340,"")</f>
        <v/>
      </c>
      <c r="AN328" s="17" t="str">
        <f>IF(ISNUMBER('Model_ of_individuals'!AN340), 'Model_ of_individuals'!AN340*'Model_ of_individuals'!$K340,"")</f>
        <v/>
      </c>
      <c r="AO328" s="17" t="str">
        <f>IF(ISNUMBER('Model_ of_individuals'!AO340), 'Model_ of_individuals'!AO340*'Model_ of_individuals'!$K340,"")</f>
        <v/>
      </c>
      <c r="AP328" s="17" t="str">
        <f>IF(ISNUMBER('Model_ of_individuals'!AP340), 'Model_ of_individuals'!AP340*'Model_ of_individuals'!$K340,"")</f>
        <v/>
      </c>
      <c r="AQ328" s="17" t="str">
        <f>IF(ISNUMBER('Model_ of_individuals'!AQ340), 'Model_ of_individuals'!AQ340*'Model_ of_individuals'!$K340,"")</f>
        <v/>
      </c>
      <c r="AR328" s="17" t="str">
        <f>IF(ISNUMBER('Model_ of_individuals'!AR340), 'Model_ of_individuals'!AR340*'Model_ of_individuals'!$K340,"")</f>
        <v/>
      </c>
      <c r="AS328" s="4" t="str">
        <f>IF(ISNUMBER('Model_ of_individuals'!AS340), 'Model_ of_individuals'!AS340*'Model_ of_individuals'!$K340,"")</f>
        <v/>
      </c>
    </row>
    <row r="329" spans="1:46" x14ac:dyDescent="0.25">
      <c r="A329" s="518"/>
      <c r="B329" s="504"/>
      <c r="C329" s="110" t="str">
        <f>IF(ISNUMBER(B310), _4_6_0, "")</f>
        <v/>
      </c>
      <c r="D329" s="94" t="str">
        <f>IF(AND(C329&lt;&gt;"", 'Cost Inputs'!$G$124&lt;&gt;""), 'Cost Inputs'!$G$124, "")</f>
        <v/>
      </c>
      <c r="E329" s="94" t="str">
        <f>IF(AND(C329&lt;&gt;"", 'Cost Inputs'!$H$124&lt;&gt;""), 'Cost Inputs'!$H$124, "")</f>
        <v/>
      </c>
      <c r="F329" s="94" t="str">
        <f>IF(AND(C329&lt;&gt;"", 'Cost Inputs'!$I$124&lt;&gt;""), 'Cost Inputs'!$I$124, "")</f>
        <v/>
      </c>
      <c r="G329" s="102" t="str">
        <f t="shared" si="25"/>
        <v/>
      </c>
      <c r="H329" s="94" t="str">
        <f>IF(AND(C329&lt;&gt;"", 'Cost Inputs'!$J$124&lt;&gt;""), 'Cost Inputs'!$J$124, "")</f>
        <v/>
      </c>
      <c r="I329" s="102" t="str">
        <f>IF($C329&lt;&gt;"",IF(AND($E329&lt;&gt;"",H329&lt;&gt;""), H329/$E329, 0),"")</f>
        <v/>
      </c>
      <c r="J329" s="94" t="str">
        <f>IF(AND(C329&lt;&gt;"",('Cost Inputs'!$I$124+'Cost Inputs'!$J$124+'Cost Inputs'!$K$124)&gt;0), 'Cost Inputs'!$I$124+'Cost Inputs'!$J$124+'Cost Inputs'!$K$124, "")</f>
        <v/>
      </c>
      <c r="K329" s="102" t="str">
        <f>IF($C329&lt;&gt;"",IF(AND($E329&lt;&gt;"",J329&lt;&gt;""), J329/$E329, 0),"")</f>
        <v/>
      </c>
      <c r="L329" s="525"/>
      <c r="M329" s="525"/>
      <c r="P329" s="102" t="str">
        <f>IF(ISNUMBER('Model_ of_individuals'!P341), 'Model_ of_individuals'!P341*'Model_ of_individuals'!$K341,"")</f>
        <v/>
      </c>
      <c r="Q329" s="102" t="str">
        <f>IF(ISNUMBER('Model_ of_individuals'!Q341), 'Model_ of_individuals'!Q341*'Model_ of_individuals'!$K341,"")</f>
        <v/>
      </c>
      <c r="R329" s="102" t="str">
        <f>IF(ISNUMBER('Model_ of_individuals'!R341), 'Model_ of_individuals'!R341*'Model_ of_individuals'!$K341,"")</f>
        <v/>
      </c>
      <c r="S329" s="102" t="str">
        <f>IF(ISNUMBER('Model_ of_individuals'!S341), 'Model_ of_individuals'!S341*'Model_ of_individuals'!$K341,"")</f>
        <v/>
      </c>
      <c r="T329" s="102" t="str">
        <f>IF(ISNUMBER('Model_ of_individuals'!T341), 'Model_ of_individuals'!T341*'Model_ of_individuals'!$K341,"")</f>
        <v/>
      </c>
      <c r="U329" s="102" t="str">
        <f>IF(ISNUMBER('Model_ of_individuals'!U341), 'Model_ of_individuals'!U341*'Model_ of_individuals'!$K341,"")</f>
        <v/>
      </c>
      <c r="V329" s="102" t="str">
        <f>IF(ISNUMBER('Model_ of_individuals'!V341), 'Model_ of_individuals'!V341*'Model_ of_individuals'!$K341,"")</f>
        <v/>
      </c>
      <c r="W329" s="102" t="str">
        <f>IF(ISNUMBER('Model_ of_individuals'!W341), 'Model_ of_individuals'!W341*'Model_ of_individuals'!$K341,"")</f>
        <v/>
      </c>
      <c r="X329" s="102" t="str">
        <f>IF(ISNUMBER('Model_ of_individuals'!X341), 'Model_ of_individuals'!X341*'Model_ of_individuals'!$K341,"")</f>
        <v/>
      </c>
      <c r="Y329" s="102" t="str">
        <f>IF(ISNUMBER('Model_ of_individuals'!Y341), 'Model_ of_individuals'!Y341*'Model_ of_individuals'!$K341,"")</f>
        <v/>
      </c>
      <c r="Z329" s="102" t="str">
        <f>IF(ISNUMBER('Model_ of_individuals'!Z341), 'Model_ of_individuals'!Z341*'Model_ of_individuals'!$K341,"")</f>
        <v/>
      </c>
      <c r="AA329" s="102" t="str">
        <f>IF(ISNUMBER('Model_ of_individuals'!AA341), 'Model_ of_individuals'!AA341*'Model_ of_individuals'!$K341,"")</f>
        <v/>
      </c>
      <c r="AB329" s="102" t="str">
        <f>IF(ISNUMBER('Model_ of_individuals'!AB341), 'Model_ of_individuals'!AB341*'Model_ of_individuals'!$K341,"")</f>
        <v/>
      </c>
      <c r="AC329" s="102" t="str">
        <f>IF(ISNUMBER('Model_ of_individuals'!AC341), 'Model_ of_individuals'!AC341*'Model_ of_individuals'!$K341,"")</f>
        <v/>
      </c>
      <c r="AD329" s="102" t="str">
        <f>IF(ISNUMBER('Model_ of_individuals'!AD341), 'Model_ of_individuals'!AD341*'Model_ of_individuals'!$K341,"")</f>
        <v/>
      </c>
      <c r="AE329" s="102" t="str">
        <f>IF(ISNUMBER('Model_ of_individuals'!AE341), 'Model_ of_individuals'!AE341*'Model_ of_individuals'!$K341,"")</f>
        <v/>
      </c>
      <c r="AF329" s="102" t="str">
        <f>IF(ISNUMBER('Model_ of_individuals'!AF341), 'Model_ of_individuals'!AF341*'Model_ of_individuals'!$K341,"")</f>
        <v/>
      </c>
      <c r="AG329" s="102" t="str">
        <f>IF(ISNUMBER('Model_ of_individuals'!AG341), 'Model_ of_individuals'!AG341*'Model_ of_individuals'!$K341,"")</f>
        <v/>
      </c>
      <c r="AH329" s="102" t="str">
        <f>IF(ISNUMBER('Model_ of_individuals'!AH341), 'Model_ of_individuals'!AH341*'Model_ of_individuals'!$K341,"")</f>
        <v/>
      </c>
      <c r="AI329" s="102" t="str">
        <f>IF(ISNUMBER('Model_ of_individuals'!AI341), 'Model_ of_individuals'!AI341*'Model_ of_individuals'!$K341,"")</f>
        <v/>
      </c>
      <c r="AJ329" s="102" t="str">
        <f>IF(ISNUMBER('Model_ of_individuals'!AJ341), 'Model_ of_individuals'!AJ341*'Model_ of_individuals'!$K341,"")</f>
        <v/>
      </c>
      <c r="AK329" s="102" t="str">
        <f>IF(ISNUMBER('Model_ of_individuals'!AK341), 'Model_ of_individuals'!AK341*'Model_ of_individuals'!$K341,"")</f>
        <v/>
      </c>
      <c r="AL329" s="102" t="str">
        <f>IF(ISNUMBER('Model_ of_individuals'!AL341), 'Model_ of_individuals'!AL341*'Model_ of_individuals'!$K341,"")</f>
        <v/>
      </c>
      <c r="AM329" s="102" t="str">
        <f>IF(ISNUMBER('Model_ of_individuals'!AM341), 'Model_ of_individuals'!AM341*'Model_ of_individuals'!$K341,"")</f>
        <v/>
      </c>
      <c r="AN329" s="102" t="str">
        <f>IF(ISNUMBER('Model_ of_individuals'!AN341), 'Model_ of_individuals'!AN341*'Model_ of_individuals'!$K341,"")</f>
        <v/>
      </c>
      <c r="AO329" s="102" t="str">
        <f>IF(ISNUMBER('Model_ of_individuals'!AO341), 'Model_ of_individuals'!AO341*'Model_ of_individuals'!$K341,"")</f>
        <v/>
      </c>
      <c r="AP329" s="102" t="str">
        <f>IF(ISNUMBER('Model_ of_individuals'!AP341), 'Model_ of_individuals'!AP341*'Model_ of_individuals'!$K341,"")</f>
        <v/>
      </c>
      <c r="AQ329" s="102" t="str">
        <f>IF(ISNUMBER('Model_ of_individuals'!AQ341), 'Model_ of_individuals'!AQ341*'Model_ of_individuals'!$K341,"")</f>
        <v/>
      </c>
      <c r="AR329" s="102" t="str">
        <f>IF(ISNUMBER('Model_ of_individuals'!AR341), 'Model_ of_individuals'!AR341*'Model_ of_individuals'!$K341,"")</f>
        <v/>
      </c>
      <c r="AS329" s="4" t="str">
        <f>IF(ISNUMBER('Model_ of_individuals'!AS341), 'Model_ of_individuals'!AS341*'Model_ of_individuals'!$K341,"")</f>
        <v/>
      </c>
    </row>
    <row r="330" spans="1:46" x14ac:dyDescent="0.25">
      <c r="A330" s="518"/>
      <c r="B330" s="504"/>
      <c r="C330" s="104" t="str">
        <f>IF(AND(ISNUMBER(B310), OR('Cost Inputs'!$H$125&lt;&gt;"", 'Cost Inputs'!$I$125&lt;&gt;"", 'Cost Inputs'!$J$125&lt;&gt;"")), _4_5_3, "")</f>
        <v/>
      </c>
      <c r="D330" s="17" t="str">
        <f>IF(AND(C330&lt;&gt;"", 'Cost Inputs'!$G$125&lt;&gt;""), 'Cost Inputs'!$G$125, "")</f>
        <v/>
      </c>
      <c r="E330" s="17" t="str">
        <f>IF(AND(C330&lt;&gt;"", 'Cost Inputs'!$H$125&lt;&gt;""), 'Cost Inputs'!$H$125, "")</f>
        <v/>
      </c>
      <c r="F330" s="17" t="str">
        <f>IF(AND(C330&lt;&gt;"", 'Cost Inputs'!$I$125&lt;&gt;""), 'Cost Inputs'!$I$125, "")</f>
        <v/>
      </c>
      <c r="G330" s="105" t="str">
        <f t="shared" si="25"/>
        <v/>
      </c>
      <c r="H330" s="17" t="str">
        <f>IF(AND(C330&lt;&gt;"", 'Cost Inputs'!$J$125&lt;&gt;""), 'Cost Inputs'!$J$125, "")</f>
        <v/>
      </c>
      <c r="I330" s="17" t="str">
        <f>IF($C330&lt;&gt;"", IF(AND($E330&lt;&gt;"", H330&lt;&gt;""), H330/$E330, 0),"")</f>
        <v/>
      </c>
      <c r="J330" s="17" t="str">
        <f>IF(AND(C330&lt;&gt;"",('Cost Inputs'!$I$125+'Cost Inputs'!$J$125+'Cost Inputs'!$K$125)&gt;0), 'Cost Inputs'!$I$125+'Cost Inputs'!$J$125+'Cost Inputs'!$K$125, "")</f>
        <v/>
      </c>
      <c r="K330" s="17" t="str">
        <f>IF($C330&lt;&gt;"", IF(AND($E330&lt;&gt;"", J330&lt;&gt;""), J330/$E330, 0),"")</f>
        <v/>
      </c>
      <c r="L330" s="525"/>
      <c r="M330" s="525"/>
      <c r="P330" s="17" t="str">
        <f>IF(ISNUMBER('Model_ of_individuals'!P342), 'Model_ of_individuals'!P342*'Model_ of_individuals'!$K342,"")</f>
        <v/>
      </c>
      <c r="Q330" s="17" t="str">
        <f>IF(ISNUMBER('Model_ of_individuals'!Q342), 'Model_ of_individuals'!Q342*'Model_ of_individuals'!$K342,"")</f>
        <v/>
      </c>
      <c r="R330" s="17" t="str">
        <f>IF(ISNUMBER('Model_ of_individuals'!R342), 'Model_ of_individuals'!R342*'Model_ of_individuals'!$K342,"")</f>
        <v/>
      </c>
      <c r="S330" s="17" t="str">
        <f>IF(ISNUMBER('Model_ of_individuals'!S342), 'Model_ of_individuals'!S342*'Model_ of_individuals'!$K342,"")</f>
        <v/>
      </c>
      <c r="T330" s="17" t="str">
        <f>IF(ISNUMBER('Model_ of_individuals'!T342), 'Model_ of_individuals'!T342*'Model_ of_individuals'!$K342,"")</f>
        <v/>
      </c>
      <c r="U330" s="17" t="str">
        <f>IF(ISNUMBER('Model_ of_individuals'!U342), 'Model_ of_individuals'!U342*'Model_ of_individuals'!$K342,"")</f>
        <v/>
      </c>
      <c r="V330" s="17" t="str">
        <f>IF(ISNUMBER('Model_ of_individuals'!V342), 'Model_ of_individuals'!V342*'Model_ of_individuals'!$K342,"")</f>
        <v/>
      </c>
      <c r="W330" s="17" t="str">
        <f>IF(ISNUMBER('Model_ of_individuals'!W342), 'Model_ of_individuals'!W342*'Model_ of_individuals'!$K342,"")</f>
        <v/>
      </c>
      <c r="X330" s="17" t="str">
        <f>IF(ISNUMBER('Model_ of_individuals'!X342), 'Model_ of_individuals'!X342*'Model_ of_individuals'!$K342,"")</f>
        <v/>
      </c>
      <c r="Y330" s="17" t="str">
        <f>IF(ISNUMBER('Model_ of_individuals'!Y342), 'Model_ of_individuals'!Y342*'Model_ of_individuals'!$K342,"")</f>
        <v/>
      </c>
      <c r="Z330" s="17" t="str">
        <f>IF(ISNUMBER('Model_ of_individuals'!Z342), 'Model_ of_individuals'!Z342*'Model_ of_individuals'!$K342,"")</f>
        <v/>
      </c>
      <c r="AA330" s="17" t="str">
        <f>IF(ISNUMBER('Model_ of_individuals'!AA342), 'Model_ of_individuals'!AA342*'Model_ of_individuals'!$K342,"")</f>
        <v/>
      </c>
      <c r="AB330" s="17" t="str">
        <f>IF(ISNUMBER('Model_ of_individuals'!AB342), 'Model_ of_individuals'!AB342*'Model_ of_individuals'!$K342,"")</f>
        <v/>
      </c>
      <c r="AC330" s="17" t="str">
        <f>IF(ISNUMBER('Model_ of_individuals'!AC342), 'Model_ of_individuals'!AC342*'Model_ of_individuals'!$K342,"")</f>
        <v/>
      </c>
      <c r="AD330" s="17" t="str">
        <f>IF(ISNUMBER('Model_ of_individuals'!AD342), 'Model_ of_individuals'!AD342*'Model_ of_individuals'!$K342,"")</f>
        <v/>
      </c>
      <c r="AE330" s="17" t="str">
        <f>IF(ISNUMBER('Model_ of_individuals'!AE342), 'Model_ of_individuals'!AE342*'Model_ of_individuals'!$K342,"")</f>
        <v/>
      </c>
      <c r="AF330" s="17" t="str">
        <f>IF(ISNUMBER('Model_ of_individuals'!AF342), 'Model_ of_individuals'!AF342*'Model_ of_individuals'!$K342,"")</f>
        <v/>
      </c>
      <c r="AG330" s="17" t="str">
        <f>IF(ISNUMBER('Model_ of_individuals'!AG342), 'Model_ of_individuals'!AG342*'Model_ of_individuals'!$K342,"")</f>
        <v/>
      </c>
      <c r="AH330" s="17" t="str">
        <f>IF(ISNUMBER('Model_ of_individuals'!AH342), 'Model_ of_individuals'!AH342*'Model_ of_individuals'!$K342,"")</f>
        <v/>
      </c>
      <c r="AI330" s="17" t="str">
        <f>IF(ISNUMBER('Model_ of_individuals'!AI342), 'Model_ of_individuals'!AI342*'Model_ of_individuals'!$K342,"")</f>
        <v/>
      </c>
      <c r="AJ330" s="17" t="str">
        <f>IF(ISNUMBER('Model_ of_individuals'!AJ342), 'Model_ of_individuals'!AJ342*'Model_ of_individuals'!$K342,"")</f>
        <v/>
      </c>
      <c r="AK330" s="17" t="str">
        <f>IF(ISNUMBER('Model_ of_individuals'!AK342), 'Model_ of_individuals'!AK342*'Model_ of_individuals'!$K342,"")</f>
        <v/>
      </c>
      <c r="AL330" s="17" t="str">
        <f>IF(ISNUMBER('Model_ of_individuals'!AL342), 'Model_ of_individuals'!AL342*'Model_ of_individuals'!$K342,"")</f>
        <v/>
      </c>
      <c r="AM330" s="17" t="str">
        <f>IF(ISNUMBER('Model_ of_individuals'!AM342), 'Model_ of_individuals'!AM342*'Model_ of_individuals'!$K342,"")</f>
        <v/>
      </c>
      <c r="AN330" s="17" t="str">
        <f>IF(ISNUMBER('Model_ of_individuals'!AN342), 'Model_ of_individuals'!AN342*'Model_ of_individuals'!$K342,"")</f>
        <v/>
      </c>
      <c r="AO330" s="17" t="str">
        <f>IF(ISNUMBER('Model_ of_individuals'!AO342), 'Model_ of_individuals'!AO342*'Model_ of_individuals'!$K342,"")</f>
        <v/>
      </c>
      <c r="AP330" s="17" t="str">
        <f>IF(ISNUMBER('Model_ of_individuals'!AP342), 'Model_ of_individuals'!AP342*'Model_ of_individuals'!$K342,"")</f>
        <v/>
      </c>
      <c r="AQ330" s="17" t="str">
        <f>IF(ISNUMBER('Model_ of_individuals'!AQ342), 'Model_ of_individuals'!AQ342*'Model_ of_individuals'!$K342,"")</f>
        <v/>
      </c>
      <c r="AR330" s="17" t="str">
        <f>IF(ISNUMBER('Model_ of_individuals'!AR342), 'Model_ of_individuals'!AR342*'Model_ of_individuals'!$K342,"")</f>
        <v/>
      </c>
      <c r="AS330" s="4" t="str">
        <f>IF(ISNUMBER('Model_ of_individuals'!AS342), 'Model_ of_individuals'!AS342*'Model_ of_individuals'!$K342,"")</f>
        <v/>
      </c>
    </row>
    <row r="331" spans="1:46" ht="15.75" thickBot="1" x14ac:dyDescent="0.3">
      <c r="A331" s="518"/>
      <c r="B331" s="504"/>
      <c r="C331" s="107" t="str">
        <f>IF(AND(ISNUMBER(B310), OR('Cost Inputs'!$H$126&lt;&gt;"", 'Cost Inputs'!$I$126&lt;&gt;"", 'Cost Inputs'!$J$126&lt;&gt;"")), _4_5_2, "")</f>
        <v/>
      </c>
      <c r="D331" s="93" t="str">
        <f>IF(AND(C331&lt;&gt;"", 'Cost Inputs'!$G$126&lt;&gt;""), 'Cost Inputs'!$G$126, "")</f>
        <v/>
      </c>
      <c r="E331" s="93" t="str">
        <f>IF(AND(C331&lt;&gt;"", 'Cost Inputs'!$H$126&lt;&gt;""), 'Cost Inputs'!$H$126, "")</f>
        <v/>
      </c>
      <c r="F331" s="93" t="str">
        <f>IF(AND(C331&lt;&gt;"", 'Cost Inputs'!$I$126&lt;&gt;""), 'Cost Inputs'!$I$126, "")</f>
        <v/>
      </c>
      <c r="G331" s="108" t="str">
        <f t="shared" si="25"/>
        <v/>
      </c>
      <c r="H331" s="93" t="str">
        <f>IF(AND(C331&lt;&gt;"", 'Cost Inputs'!$J$126&lt;&gt;""), 'Cost Inputs'!$J$126, "")</f>
        <v/>
      </c>
      <c r="I331" s="93" t="str">
        <f>IF($C331&lt;&gt;"", IF(AND($E331&lt;&gt;"", H331&lt;&gt;""), H331/$E331, 0),"")</f>
        <v/>
      </c>
      <c r="J331" s="93" t="str">
        <f>IF(AND(C331&lt;&gt;"",('Cost Inputs'!$I$126+'Cost Inputs'!$J$126+'Cost Inputs'!$K$126)&gt;0), 'Cost Inputs'!$I$126+'Cost Inputs'!$J$126+'Cost Inputs'!$K$126, "")</f>
        <v/>
      </c>
      <c r="K331" s="93" t="str">
        <f>IF($C331&lt;&gt;"", IF(AND($E331&lt;&gt;"", J331&lt;&gt;""), J331/$E331, 0),"")</f>
        <v/>
      </c>
      <c r="L331" s="525"/>
      <c r="M331" s="525"/>
      <c r="P331" s="95" t="str">
        <f>IF(ISNUMBER('Model_ of_individuals'!P343), 'Model_ of_individuals'!P343*'Model_ of_individuals'!$K343,"")</f>
        <v/>
      </c>
      <c r="Q331" s="95" t="str">
        <f>IF(ISNUMBER('Model_ of_individuals'!Q343), 'Model_ of_individuals'!Q343*'Model_ of_individuals'!$K343,"")</f>
        <v/>
      </c>
      <c r="R331" s="95" t="str">
        <f>IF(ISNUMBER('Model_ of_individuals'!R343), 'Model_ of_individuals'!R343*'Model_ of_individuals'!$K343,"")</f>
        <v/>
      </c>
      <c r="S331" s="95" t="str">
        <f>IF(ISNUMBER('Model_ of_individuals'!S343), 'Model_ of_individuals'!S343*'Model_ of_individuals'!$K343,"")</f>
        <v/>
      </c>
      <c r="T331" s="95" t="str">
        <f>IF(ISNUMBER('Model_ of_individuals'!T343), 'Model_ of_individuals'!T343*'Model_ of_individuals'!$K343,"")</f>
        <v/>
      </c>
      <c r="U331" s="95" t="str">
        <f>IF(ISNUMBER('Model_ of_individuals'!U343), 'Model_ of_individuals'!U343*'Model_ of_individuals'!$K343,"")</f>
        <v/>
      </c>
      <c r="V331" s="95" t="str">
        <f>IF(ISNUMBER('Model_ of_individuals'!V343), 'Model_ of_individuals'!V343*'Model_ of_individuals'!$K343,"")</f>
        <v/>
      </c>
      <c r="W331" s="95" t="str">
        <f>IF(ISNUMBER('Model_ of_individuals'!W343), 'Model_ of_individuals'!W343*'Model_ of_individuals'!$K343,"")</f>
        <v/>
      </c>
      <c r="X331" s="95" t="str">
        <f>IF(ISNUMBER('Model_ of_individuals'!X343), 'Model_ of_individuals'!X343*'Model_ of_individuals'!$K343,"")</f>
        <v/>
      </c>
      <c r="Y331" s="95" t="str">
        <f>IF(ISNUMBER('Model_ of_individuals'!Y343), 'Model_ of_individuals'!Y343*'Model_ of_individuals'!$K343,"")</f>
        <v/>
      </c>
      <c r="Z331" s="95" t="str">
        <f>IF(ISNUMBER('Model_ of_individuals'!Z343), 'Model_ of_individuals'!Z343*'Model_ of_individuals'!$K343,"")</f>
        <v/>
      </c>
      <c r="AA331" s="95" t="str">
        <f>IF(ISNUMBER('Model_ of_individuals'!AA343), 'Model_ of_individuals'!AA343*'Model_ of_individuals'!$K343,"")</f>
        <v/>
      </c>
      <c r="AB331" s="95" t="str">
        <f>IF(ISNUMBER('Model_ of_individuals'!AB343), 'Model_ of_individuals'!AB343*'Model_ of_individuals'!$K343,"")</f>
        <v/>
      </c>
      <c r="AC331" s="95" t="str">
        <f>IF(ISNUMBER('Model_ of_individuals'!AC343), 'Model_ of_individuals'!AC343*'Model_ of_individuals'!$K343,"")</f>
        <v/>
      </c>
      <c r="AD331" s="95" t="str">
        <f>IF(ISNUMBER('Model_ of_individuals'!AD343), 'Model_ of_individuals'!AD343*'Model_ of_individuals'!$K343,"")</f>
        <v/>
      </c>
      <c r="AE331" s="95" t="str">
        <f>IF(ISNUMBER('Model_ of_individuals'!AE343), 'Model_ of_individuals'!AE343*'Model_ of_individuals'!$K343,"")</f>
        <v/>
      </c>
      <c r="AF331" s="95" t="str">
        <f>IF(ISNUMBER('Model_ of_individuals'!AF343), 'Model_ of_individuals'!AF343*'Model_ of_individuals'!$K343,"")</f>
        <v/>
      </c>
      <c r="AG331" s="95" t="str">
        <f>IF(ISNUMBER('Model_ of_individuals'!AG343), 'Model_ of_individuals'!AG343*'Model_ of_individuals'!$K343,"")</f>
        <v/>
      </c>
      <c r="AH331" s="95" t="str">
        <f>IF(ISNUMBER('Model_ of_individuals'!AH343), 'Model_ of_individuals'!AH343*'Model_ of_individuals'!$K343,"")</f>
        <v/>
      </c>
      <c r="AI331" s="95" t="str">
        <f>IF(ISNUMBER('Model_ of_individuals'!AI343), 'Model_ of_individuals'!AI343*'Model_ of_individuals'!$K343,"")</f>
        <v/>
      </c>
      <c r="AJ331" s="95" t="str">
        <f>IF(ISNUMBER('Model_ of_individuals'!AJ343), 'Model_ of_individuals'!AJ343*'Model_ of_individuals'!$K343,"")</f>
        <v/>
      </c>
      <c r="AK331" s="95" t="str">
        <f>IF(ISNUMBER('Model_ of_individuals'!AK343), 'Model_ of_individuals'!AK343*'Model_ of_individuals'!$K343,"")</f>
        <v/>
      </c>
      <c r="AL331" s="95" t="str">
        <f>IF(ISNUMBER('Model_ of_individuals'!AL343), 'Model_ of_individuals'!AL343*'Model_ of_individuals'!$K343,"")</f>
        <v/>
      </c>
      <c r="AM331" s="95" t="str">
        <f>IF(ISNUMBER('Model_ of_individuals'!AM343), 'Model_ of_individuals'!AM343*'Model_ of_individuals'!$K343,"")</f>
        <v/>
      </c>
      <c r="AN331" s="95" t="str">
        <f>IF(ISNUMBER('Model_ of_individuals'!AN343), 'Model_ of_individuals'!AN343*'Model_ of_individuals'!$K343,"")</f>
        <v/>
      </c>
      <c r="AO331" s="95" t="str">
        <f>IF(ISNUMBER('Model_ of_individuals'!AO343), 'Model_ of_individuals'!AO343*'Model_ of_individuals'!$K343,"")</f>
        <v/>
      </c>
      <c r="AP331" s="95" t="str">
        <f>IF(ISNUMBER('Model_ of_individuals'!AP343), 'Model_ of_individuals'!AP343*'Model_ of_individuals'!$K343,"")</f>
        <v/>
      </c>
      <c r="AQ331" s="95" t="str">
        <f>IF(ISNUMBER('Model_ of_individuals'!AQ343), 'Model_ of_individuals'!AQ343*'Model_ of_individuals'!$K343,"")</f>
        <v/>
      </c>
      <c r="AR331" s="95" t="str">
        <f>IF(ISNUMBER('Model_ of_individuals'!AR343), 'Model_ of_individuals'!AR343*'Model_ of_individuals'!$K343,"")</f>
        <v/>
      </c>
      <c r="AS331" s="4" t="str">
        <f>IF(ISNUMBER('Model_ of_individuals'!AS343), 'Model_ of_individuals'!AS343*'Model_ of_individuals'!$K343,"")</f>
        <v/>
      </c>
    </row>
    <row r="332" spans="1:46" ht="6.6" customHeight="1" thickBot="1" x14ac:dyDescent="0.3">
      <c r="A332" s="213"/>
      <c r="B332" s="277"/>
      <c r="C332" s="136"/>
      <c r="D332" s="270"/>
      <c r="E332" s="270"/>
      <c r="F332" s="270"/>
      <c r="G332" s="278"/>
      <c r="H332" s="270"/>
      <c r="I332" s="270"/>
      <c r="J332" s="270"/>
      <c r="K332" s="270"/>
      <c r="L332" s="279"/>
      <c r="M332" s="279"/>
      <c r="N332" s="280"/>
      <c r="O332" s="287"/>
      <c r="P332" s="136" t="str">
        <f>IF(ISNUMBER($B$270),
IF(AND(ISNUMBER(O$309), O$309&gt;0),
IF(AND(P$269=123, Cultivar_1_Cohort_Year_Selection=$O$268,Cultivar_2_Cohort_Year_Selection=$O$268,Cultivar_3_Cohort_Year_Selection=$O$268), ROUND(MAX(0,(O$309-('Stage 2 Randomized Selection'!E$2*$M310)) - 3),0),
IF(AND(OR(P$269=123, P$269=12), Cultivar_1_Cohort_Year_Selection=$O$268,Cultivar_2_Cohort_Year_Selection=$O$268),  ROUND(MAX(0,(O$309-('Stage 2 Randomized Selection'!E$2*$M310)) - 2),0),
IF(AND(OR(P$269=123, P$269=13), Cultivar_1_Cohort_Year_Selection=$O$268,Cultivar_3_Cohort_Year_Selection=$O$268), ROUND(MAX(0,(O$309-('Stage 2 Randomized Selection'!E$2*$M310)) - 2),0),
IF(AND(OR(P$269=123, P$269=23), Cultivar_2_Cohort_Year_Selection=$O$268,Cultivar_3_Cohort_Year_Selection=$O$268), ROUND(MAX(0,(O$309-('Stage 2 Randomized Selection'!E$2*$M310)) - 2),0),
IF(AND(OR(P$269=123, P$269=12, P$269=13, P$269=1), Cultivar_1_Cohort_Year_Selection=$O$268), ROUND(MAX(0,(O$309-('Stage 2 Randomized Selection'!E$2*$M310)) - 1),0),
IF(AND(OR(P$269=123, P$269=12, P$269=23, P$269=2), Cultivar_2_Cohort_Year_Selection=$O$268), ROUND(MAX(0,(O$309-('Stage 2 Randomized Selection'!E$2*$M310)) - 1),0),
IF(AND(OR(P$269=123, P$269=13, P$269=23, P$269=3), Cultivar_3_Cohort_Year_Selection=$O$268), ROUND(MAX(0,(O$309-('Stage 2 Randomized Selection'!E$2*$M310)) - 1),0),
ROUND(MAX(0,(O$309-('Stage 2 Randomized Selection'!E$2*$M310))),0)))))))),0),"")</f>
        <v/>
      </c>
      <c r="Q332" s="270" t="str">
        <f>IF(ISNUMBER($B$270),
IF(AND(ISNUMBER(P$309), P$309&gt;0),
IF(AND(Q$269=123, Cultivar_1_Cohort_Year_Selection=$P$268,Cultivar_2_Cohort_Year_Selection=$P$268,Cultivar_3_Cohort_Year_Selection=$P$268), ROUND(MAX(0,(P$309-('Stage 2 Randomized Selection'!F$2*$M310)) - 3),0),
IF(AND(OR(Q$269=123, Q$269=12), Cultivar_1_Cohort_Year_Selection=$P$268,Cultivar_2_Cohort_Year_Selection=$P$268),  ROUND(MAX(0,(P$309-('Stage 2 Randomized Selection'!F$2*$M310)) - 2),0),
IF(AND(OR(Q$269=123, Q$269=13), Cultivar_1_Cohort_Year_Selection=$P$268,Cultivar_3_Cohort_Year_Selection=$P$268), ROUND(MAX(0,(P$309-('Stage 2 Randomized Selection'!F$2*$M310)) - 2),0),
IF(AND(OR(Q$269=123, Q$269=23), Cultivar_2_Cohort_Year_Selection=$P$268,Cultivar_3_Cohort_Year_Selection=$P$268), ROUND(MAX(0,(P$309-('Stage 2 Randomized Selection'!F$2*$M310)) - 2),0),
IF(AND(OR(Q$269=123, Q$269=12, Q$269=13, Q$269=1), Cultivar_1_Cohort_Year_Selection=$P$268), ROUND(MAX(0,(P$309-('Stage 2 Randomized Selection'!F$2*$M310)) - 1),0),
IF(AND(OR(Q$269=123, Q$269=12, Q$269=23, Q$269=2), Cultivar_2_Cohort_Year_Selection=$P$268), ROUND(MAX(0,(P$309-('Stage 2 Randomized Selection'!F$2*$M310)) - 1),0),
IF(AND(OR(Q$269=123, Q$269=13, Q$269=23, Q$269=3), Cultivar_3_Cohort_Year_Selection=$P$268), ROUND(MAX(0,(P$309-('Stage 2 Randomized Selection'!F$2*$M310)) - 1),0),
ROUND(MAX(0,(P$309-('Stage 2 Randomized Selection'!F$2*$M310))),0)))))))),0),"")</f>
        <v/>
      </c>
      <c r="R332" s="270" t="str">
        <f>IF(ISNUMBER($B$270),
IF(AND(ISNUMBER(Q$309), Q$309&gt;0),
IF(AND(R$269=123, Cultivar_1_Cohort_Year_Selection=$Q$268,Cultivar_2_Cohort_Year_Selection=$Q$268,Cultivar_3_Cohort_Year_Selection=$Q$268), ROUND(MAX(0,(Q$309-('Stage 2 Randomized Selection'!G$2*$M310)) - 3),0),
IF(AND(OR(R$269=123, R$269=12), Cultivar_1_Cohort_Year_Selection=$Q$268,Cultivar_2_Cohort_Year_Selection=$Q$268),  ROUND(MAX(0,(Q$309-('Stage 2 Randomized Selection'!G$2*$M310)) - 2),0),
IF(AND(OR(R$269=123, R$269=13), Cultivar_1_Cohort_Year_Selection=$Q$268,Cultivar_3_Cohort_Year_Selection=$Q$268), ROUND(MAX(0,(Q$309-('Stage 2 Randomized Selection'!G$2*$M310)) - 2),0),
IF(AND(OR(R$269=123, R$269=23), Cultivar_2_Cohort_Year_Selection=$Q$268,Cultivar_3_Cohort_Year_Selection=$Q$268), ROUND(MAX(0,(Q$309-('Stage 2 Randomized Selection'!G$2*$M310)) - 2),0),
IF(AND(OR(R$269=123, R$269=12, R$269=13, R$269=1), Cultivar_1_Cohort_Year_Selection=$Q$268), ROUND(MAX(0,(Q$309-('Stage 2 Randomized Selection'!G$2*$M310)) - 1),0),
IF(AND(OR(R$269=123, R$269=12, R$269=23, R$269=2), Cultivar_2_Cohort_Year_Selection=$Q$268), ROUND(MAX(0,(Q$309-('Stage 2 Randomized Selection'!G$2*$M310)) - 1),0),
IF(AND(OR(R$269=123, R$269=13, R$269=23, R$269=3), Cultivar_3_Cohort_Year_Selection=$Q$268), ROUND(MAX(0,(Q$309-('Stage 2 Randomized Selection'!G$2*$M310)) - 1),0),
ROUND(MAX(0,(Q$309-('Stage 2 Randomized Selection'!G$2*$M310))),0)))))))),0),"")</f>
        <v/>
      </c>
      <c r="S332" s="270" t="str">
        <f>IF(ISNUMBER($B$270),
IF(AND(ISNUMBER(R$309), R$309&gt;0),
IF(AND(S$269=123, Cultivar_1_Cohort_Year_Selection=$R$268,Cultivar_2_Cohort_Year_Selection=$R$268,Cultivar_3_Cohort_Year_Selection=$R$268), ROUND(MAX(0,(R$309-('Stage 2 Randomized Selection'!H$2*$M310)) - 3),0),
IF(AND(OR(S$269=123, S$269=12), Cultivar_1_Cohort_Year_Selection=$R$268,Cultivar_2_Cohort_Year_Selection=$R$268),  ROUND(MAX(0,(R$309-('Stage 2 Randomized Selection'!H$2*$M310)) - 2),0),
IF(AND(OR(S$269=123, S$269=13), Cultivar_1_Cohort_Year_Selection=$R$268,Cultivar_3_Cohort_Year_Selection=$R$268), ROUND(MAX(0,(R$309-('Stage 2 Randomized Selection'!H$2*$M310)) - 2),0),
IF(AND(OR(S$269=123, S$269=23), Cultivar_2_Cohort_Year_Selection=$R$268,Cultivar_3_Cohort_Year_Selection=$R$268), ROUND(MAX(0,(R$309-('Stage 2 Randomized Selection'!H$2*$M310)) - 2),0),
IF(AND(OR(S$269=123, S$269=12, S$269=13, S$269=1), Cultivar_1_Cohort_Year_Selection=$R$268), ROUND(MAX(0,(R$309-('Stage 2 Randomized Selection'!H$2*$M310)) - 1),0),
IF(AND(OR(S$269=123, S$269=12, S$269=23, S$269=2), Cultivar_2_Cohort_Year_Selection=$R$268), ROUND(MAX(0,(R$309-('Stage 2 Randomized Selection'!H$2*$M310)) - 1),0),
IF(AND(OR(S$269=123, S$269=13, S$269=23, S$269=3), Cultivar_3_Cohort_Year_Selection=$R$268), ROUND(MAX(0,(R$309-('Stage 2 Randomized Selection'!H$2*$M310)) - 1),0),
ROUND(MAX(0,(R$309-('Stage 2 Randomized Selection'!H$2*$M310))),0)))))))),0),"")</f>
        <v/>
      </c>
      <c r="T332" s="270" t="str">
        <f>IF(ISNUMBER($B$270),
IF(AND(ISNUMBER(S$309), S$309&gt;0),
IF(AND(T$269=123, Cultivar_1_Cohort_Year_Selection=$S$268,Cultivar_2_Cohort_Year_Selection=$S$268,Cultivar_3_Cohort_Year_Selection=$S$268), ROUND(MAX(0,(S$309-('Stage 2 Randomized Selection'!I$2*$M310)) - 3),0),
IF(AND(OR(T$269=123, T$269=12), Cultivar_1_Cohort_Year_Selection=$S$268,Cultivar_2_Cohort_Year_Selection=$S$268),  ROUND(MAX(0,(S$309-('Stage 2 Randomized Selection'!I$2*$M310)) - 2),0),
IF(AND(OR(T$269=123, T$269=13), Cultivar_1_Cohort_Year_Selection=$S$268,Cultivar_3_Cohort_Year_Selection=$S$268), ROUND(MAX(0,(S$309-('Stage 2 Randomized Selection'!I$2*$M310)) - 2),0),
IF(AND(OR(T$269=123, T$269=23), Cultivar_2_Cohort_Year_Selection=$S$268,Cultivar_3_Cohort_Year_Selection=$S$268), ROUND(MAX(0,(S$309-('Stage 2 Randomized Selection'!I$2*$M310)) - 2),0),
IF(AND(OR(T$269=123, T$269=12, T$269=13, T$269=1), Cultivar_1_Cohort_Year_Selection=$S$268), ROUND(MAX(0,(S$309-('Stage 2 Randomized Selection'!I$2*$M310)) - 1),0),
IF(AND(OR(T$269=123, T$269=12, T$269=23, T$269=2), Cultivar_2_Cohort_Year_Selection=$S$268), ROUND(MAX(0,(S$309-('Stage 2 Randomized Selection'!I$2*$M310)) - 1),0),
IF(AND(OR(T$269=123, T$269=13, T$269=23, T$269=3), Cultivar_3_Cohort_Year_Selection=$S$268), ROUND(MAX(0,(S$309-('Stage 2 Randomized Selection'!I$2*$M310)) - 1),0),
ROUND(MAX(0,(S$309-('Stage 2 Randomized Selection'!I$2*$M310))),0)))))))),0),"")</f>
        <v/>
      </c>
      <c r="U332" s="270" t="str">
        <f>IF(ISNUMBER($B$270),
IF(AND(ISNUMBER(T$309), T$309&gt;0),
IF(AND(U$269=123, Cultivar_1_Cohort_Year_Selection=$T$268,Cultivar_2_Cohort_Year_Selection=$T$268,Cultivar_3_Cohort_Year_Selection=$T$268), ROUND(MAX(0,(T$309-('Stage 2 Randomized Selection'!J$2*$M310)) - 3),0),
IF(AND(OR(U$269=123, U$269=12), Cultivar_1_Cohort_Year_Selection=$T$268,Cultivar_2_Cohort_Year_Selection=$T$268),  ROUND(MAX(0,(T$309-('Stage 2 Randomized Selection'!J$2*$M310)) - 2),0),
IF(AND(OR(U$269=123, U$269=13), Cultivar_1_Cohort_Year_Selection=$T$268,Cultivar_3_Cohort_Year_Selection=$T$268), ROUND(MAX(0,(T$309-('Stage 2 Randomized Selection'!J$2*$M310)) - 2),0),
IF(AND(OR(U$269=123, U$269=23), Cultivar_2_Cohort_Year_Selection=$T$268,Cultivar_3_Cohort_Year_Selection=$T$268), ROUND(MAX(0,(T$309-('Stage 2 Randomized Selection'!J$2*$M310)) - 2),0),
IF(AND(OR(U$269=123, U$269=12, U$269=13, U$269=1), Cultivar_1_Cohort_Year_Selection=$T$268), ROUND(MAX(0,(T$309-('Stage 2 Randomized Selection'!J$2*$M310)) - 1),0),
IF(AND(OR(U$269=123, U$269=12, U$269=23, U$269=2), Cultivar_2_Cohort_Year_Selection=$T$268), ROUND(MAX(0,(T$309-('Stage 2 Randomized Selection'!J$2*$M310)) - 1),0),
IF(AND(OR(U$269=123, U$269=13, U$269=23, U$269=3), Cultivar_3_Cohort_Year_Selection=$T$268), ROUND(MAX(0,(T$309-('Stage 2 Randomized Selection'!J$2*$M310)) - 1),0),
ROUND(MAX(0,(T$309-('Stage 2 Randomized Selection'!J$2*$M310))),0)))))))),0),"")</f>
        <v/>
      </c>
      <c r="V332" s="270" t="str">
        <f>IF(ISNUMBER($B$270),
IF(AND(ISNUMBER(U$309), U$309&gt;0),
IF(AND(V$269=123, Cultivar_1_Cohort_Year_Selection=$U$268,Cultivar_2_Cohort_Year_Selection=$U$268,Cultivar_3_Cohort_Year_Selection=$U$268), ROUND(MAX(0,(U$309-('Stage 2 Randomized Selection'!K$2*$M310)) - 3),0),
IF(AND(OR(V$269=123, V$269=12), Cultivar_1_Cohort_Year_Selection=$U$268,Cultivar_2_Cohort_Year_Selection=$U$268),  ROUND(MAX(0,(U$309-('Stage 2 Randomized Selection'!K$2*$M310)) - 2),0),
IF(AND(OR(V$269=123, V$269=13), Cultivar_1_Cohort_Year_Selection=$U$268,Cultivar_3_Cohort_Year_Selection=$U$268), ROUND(MAX(0,(U$309-('Stage 2 Randomized Selection'!K$2*$M310)) - 2),0),
IF(AND(OR(V$269=123, V$269=23), Cultivar_2_Cohort_Year_Selection=$U$268,Cultivar_3_Cohort_Year_Selection=$U$268), ROUND(MAX(0,(U$309-('Stage 2 Randomized Selection'!K$2*$M310)) - 2),0),
IF(AND(OR(V$269=123, V$269=12, V$269=13, V$269=1), Cultivar_1_Cohort_Year_Selection=$U$268), ROUND(MAX(0,(U$309-('Stage 2 Randomized Selection'!K$2*$M310)) - 1),0),
IF(AND(OR(V$269=123, V$269=12, V$269=23, V$269=2), Cultivar_2_Cohort_Year_Selection=$U$268), ROUND(MAX(0,(U$309-('Stage 2 Randomized Selection'!K$2*$M310)) - 1),0),
IF(AND(OR(V$269=123, V$269=13, V$269=23, V$269=3), Cultivar_3_Cohort_Year_Selection=$U$268), ROUND(MAX(0,(U$309-('Stage 2 Randomized Selection'!K$2*$M310)) - 1),0),
ROUND(MAX(0,(U$309-('Stage 2 Randomized Selection'!K$2*$M310))),0)))))))),0),"")</f>
        <v/>
      </c>
      <c r="W332" s="270" t="str">
        <f>IF(ISNUMBER($B$270),
IF(AND(ISNUMBER(V$309), V$309&gt;0),
IF(AND(W$269=123, Cultivar_1_Cohort_Year_Selection=$V$268,Cultivar_2_Cohort_Year_Selection=$V$268,Cultivar_3_Cohort_Year_Selection=$V$268), ROUND(MAX(0,(V$309-('Stage 2 Randomized Selection'!L$2*$M310)) - 3),0),
IF(AND(OR(W$269=123, W$269=12), Cultivar_1_Cohort_Year_Selection=$V$268,Cultivar_2_Cohort_Year_Selection=$V$268),  ROUND(MAX(0,(V$309-('Stage 2 Randomized Selection'!L$2*$M310)) - 2),0),
IF(AND(OR(W$269=123, W$269=13), Cultivar_1_Cohort_Year_Selection=$V$268,Cultivar_3_Cohort_Year_Selection=$V$268), ROUND(MAX(0,(V$309-('Stage 2 Randomized Selection'!L$2*$M310)) - 2),0),
IF(AND(OR(W$269=123, W$269=23), Cultivar_2_Cohort_Year_Selection=$V$268,Cultivar_3_Cohort_Year_Selection=$V$268), ROUND(MAX(0,(V$309-('Stage 2 Randomized Selection'!L$2*$M310)) - 2),0),
IF(AND(OR(W$269=123, W$269=12, W$269=13, W$269=1), Cultivar_1_Cohort_Year_Selection=$V$268), ROUND(MAX(0,(V$309-('Stage 2 Randomized Selection'!L$2*$M310)) - 1),0),
IF(AND(OR(W$269=123, W$269=12, W$269=23, W$269=2), Cultivar_2_Cohort_Year_Selection=$V$268), ROUND(MAX(0,(V$309-('Stage 2 Randomized Selection'!L$2*$M310)) - 1),0),
IF(AND(OR(W$269=123, W$269=13, W$269=23, W$269=3), Cultivar_3_Cohort_Year_Selection=$V$268), ROUND(MAX(0,(V$309-('Stage 2 Randomized Selection'!L$2*$M310)) - 1),0),
ROUND(MAX(0,(V$309-('Stage 2 Randomized Selection'!L$2*$M310))),0)))))))),0),"")</f>
        <v/>
      </c>
      <c r="X332" s="270" t="str">
        <f>IF(ISNUMBER($B$270),
IF(AND(ISNUMBER(W$309), W$309&gt;0),
IF(AND(X$269=123, Cultivar_1_Cohort_Year_Selection=$W$268,Cultivar_2_Cohort_Year_Selection=$W$268,Cultivar_3_Cohort_Year_Selection=$W$268), ROUND(MAX(0,(W$309-('Stage 2 Randomized Selection'!M$2*$M310)) - 3),0),
IF(AND(OR(X$269=123, X$269=12), Cultivar_1_Cohort_Year_Selection=$W$268,Cultivar_2_Cohort_Year_Selection=$W$268),  ROUND(MAX(0,(W$309-('Stage 2 Randomized Selection'!M$2*$M310)) - 2),0),
IF(AND(OR(X$269=123, X$269=13), Cultivar_1_Cohort_Year_Selection=$W$268,Cultivar_3_Cohort_Year_Selection=$W$268), ROUND(MAX(0,(W$309-('Stage 2 Randomized Selection'!M$2*$M310)) - 2),0),
IF(AND(OR(X$269=123, X$269=23), Cultivar_2_Cohort_Year_Selection=$W$268,Cultivar_3_Cohort_Year_Selection=$W$268), ROUND(MAX(0,(W$309-('Stage 2 Randomized Selection'!M$2*$M310)) - 2),0),
IF(AND(OR(X$269=123, X$269=12, X$269=13, X$269=1), Cultivar_1_Cohort_Year_Selection=$W$268), ROUND(MAX(0,(W$309-('Stage 2 Randomized Selection'!M$2*$M310)) - 1),0),
IF(AND(OR(X$269=123, X$269=12, X$269=23, X$269=2), Cultivar_2_Cohort_Year_Selection=$W$268), ROUND(MAX(0,(W$309-('Stage 2 Randomized Selection'!M$2*$M310)) - 1),0),
IF(AND(OR(X$269=123, X$269=13, X$269=23, X$269=3), Cultivar_3_Cohort_Year_Selection=$W$268), ROUND(MAX(0,(W$309-('Stage 2 Randomized Selection'!M$2*$M310)) - 1),0),
ROUND(MAX(0,(W$309-('Stage 2 Randomized Selection'!M$2*$M310))),0)))))))),0),"")</f>
        <v/>
      </c>
      <c r="Y332" s="270" t="str">
        <f>IF(ISNUMBER($B$270),
IF(AND(ISNUMBER(X$309), X$309&gt;0),
IF(AND(Y$269=123, Cultivar_1_Cohort_Year_Selection=$X$268,Cultivar_2_Cohort_Year_Selection=$X$268,Cultivar_3_Cohort_Year_Selection=$X$268), ROUND(MAX(0,(X$309-('Stage 2 Randomized Selection'!N$2*$M310)) - 3),0),
IF(AND(OR(Y$269=123, Y$269=12), Cultivar_1_Cohort_Year_Selection=$X$268,Cultivar_2_Cohort_Year_Selection=$X$268),  ROUND(MAX(0,(X$309-('Stage 2 Randomized Selection'!N$2*$M310)) - 2),0),
IF(AND(OR(Y$269=123, Y$269=13), Cultivar_1_Cohort_Year_Selection=$X$268,Cultivar_3_Cohort_Year_Selection=$X$268), ROUND(MAX(0,(X$309-('Stage 2 Randomized Selection'!N$2*$M310)) - 2),0),
IF(AND(OR(Y$269=123, Y$269=23), Cultivar_2_Cohort_Year_Selection=$X$268,Cultivar_3_Cohort_Year_Selection=$X$268), ROUND(MAX(0,(X$309-('Stage 2 Randomized Selection'!N$2*$M310)) - 2),0),
IF(AND(OR(Y$269=123, Y$269=12, Y$269=13, Y$269=1), Cultivar_1_Cohort_Year_Selection=$X$268), ROUND(MAX(0,(X$309-('Stage 2 Randomized Selection'!N$2*$M310)) - 1),0),
IF(AND(OR(Y$269=123, Y$269=12, Y$269=23, Y$269=2), Cultivar_2_Cohort_Year_Selection=$X$268), ROUND(MAX(0,(X$309-('Stage 2 Randomized Selection'!N$2*$M310)) - 1),0),
IF(AND(OR(Y$269=123, Y$269=13, Y$269=23, Y$269=3), Cultivar_3_Cohort_Year_Selection=$X$268), ROUND(MAX(0,(X$309-('Stage 2 Randomized Selection'!N$2*$M310)) - 1),0),
ROUND(MAX(0,(X$309-('Stage 2 Randomized Selection'!N$2*$M310))),0)))))))),0),"")</f>
        <v/>
      </c>
      <c r="Z332" s="270" t="str">
        <f>IF(ISNUMBER($B$270),
IF(AND(ISNUMBER(Y$309), Y$309&gt;0),
IF(AND(Z$269=123, Cultivar_1_Cohort_Year_Selection=$Y$268,Cultivar_2_Cohort_Year_Selection=$Y$268,Cultivar_3_Cohort_Year_Selection=$Y$268), ROUND(MAX(0,(Y$309-('Stage 2 Randomized Selection'!O$2*$M310)) - 3),0),
IF(AND(OR(Z$269=123, Z$269=12), Cultivar_1_Cohort_Year_Selection=$Y$268,Cultivar_2_Cohort_Year_Selection=$Y$268),  ROUND(MAX(0,(Y$309-('Stage 2 Randomized Selection'!O$2*$M310)) - 2),0),
IF(AND(OR(Z$269=123, Z$269=13), Cultivar_1_Cohort_Year_Selection=$Y$268,Cultivar_3_Cohort_Year_Selection=$Y$268), ROUND(MAX(0,(Y$309-('Stage 2 Randomized Selection'!O$2*$M310)) - 2),0),
IF(AND(OR(Z$269=123, Z$269=23), Cultivar_2_Cohort_Year_Selection=$Y$268,Cultivar_3_Cohort_Year_Selection=$Y$268), ROUND(MAX(0,(Y$309-('Stage 2 Randomized Selection'!O$2*$M310)) - 2),0),
IF(AND(OR(Z$269=123, Z$269=12, Z$269=13, Z$269=1), Cultivar_1_Cohort_Year_Selection=$Y$268), ROUND(MAX(0,(Y$309-('Stage 2 Randomized Selection'!O$2*$M310)) - 1),0),
IF(AND(OR(Z$269=123, Z$269=12, Z$269=23, Z$269=2), Cultivar_2_Cohort_Year_Selection=$Y$268), ROUND(MAX(0,(Y$309-('Stage 2 Randomized Selection'!O$2*$M310)) - 1),0),
IF(AND(OR(Z$269=123, Z$269=13, Z$269=23, Z$269=3), Cultivar_3_Cohort_Year_Selection=$Y$268), ROUND(MAX(0,(Y$309-('Stage 2 Randomized Selection'!O$2*$M310)) - 1),0),
ROUND(MAX(0,(Y$309-('Stage 2 Randomized Selection'!O$2*$M310))),0)))))))),0),"")</f>
        <v/>
      </c>
      <c r="AA332" s="270" t="str">
        <f>IF(ISNUMBER($B$270),
IF(AND(ISNUMBER(Z$309), Z$309&gt;0),
IF(AND(AA$269=123, Cultivar_1_Cohort_Year_Selection=$Z$268,Cultivar_2_Cohort_Year_Selection=$Z$268,Cultivar_3_Cohort_Year_Selection=$Z$268), ROUND(MAX(0,(Z$309-('Stage 2 Randomized Selection'!P$2*$M310)) - 3),0),
IF(AND(OR(AA$269=123, AA$269=12), Cultivar_1_Cohort_Year_Selection=$Z$268,Cultivar_2_Cohort_Year_Selection=$Z$268),  ROUND(MAX(0,(Z$309-('Stage 2 Randomized Selection'!P$2*$M310)) - 2),0),
IF(AND(OR(AA$269=123, AA$269=13), Cultivar_1_Cohort_Year_Selection=$Z$268,Cultivar_3_Cohort_Year_Selection=$Z$268), ROUND(MAX(0,(Z$309-('Stage 2 Randomized Selection'!P$2*$M310)) - 2),0),
IF(AND(OR(AA$269=123, AA$269=23), Cultivar_2_Cohort_Year_Selection=$Z$268,Cultivar_3_Cohort_Year_Selection=$Z$268), ROUND(MAX(0,(Z$309-('Stage 2 Randomized Selection'!P$2*$M310)) - 2),0),
IF(AND(OR(AA$269=123, AA$269=12, AA$269=13, AA$269=1), Cultivar_1_Cohort_Year_Selection=$Z$268), ROUND(MAX(0,(Z$309-('Stage 2 Randomized Selection'!P$2*$M310)) - 1),0),
IF(AND(OR(AA$269=123, AA$269=12, AA$269=23, AA$269=2), Cultivar_2_Cohort_Year_Selection=$Z$268), ROUND(MAX(0,(Z$309-('Stage 2 Randomized Selection'!P$2*$M310)) - 1),0),
IF(AND(OR(AA$269=123, AA$269=13, AA$269=23, AA$269=3), Cultivar_3_Cohort_Year_Selection=$Z$268), ROUND(MAX(0,(Z$309-('Stage 2 Randomized Selection'!P$2*$M310)) - 1),0),
ROUND(MAX(0,(Z$309-('Stage 2 Randomized Selection'!P$2*$M310))),0)))))))),0),"")</f>
        <v/>
      </c>
      <c r="AB332" s="270" t="str">
        <f>IF(ISNUMBER($B$270),
IF(AND(ISNUMBER(AA$309), AA$309&gt;0),
IF(AND(AB$269=123, Cultivar_1_Cohort_Year_Selection=$AA$268,Cultivar_2_Cohort_Year_Selection=$AA$268,Cultivar_3_Cohort_Year_Selection=$AA$268), ROUND(MAX(0,(AA$309-('Stage 2 Randomized Selection'!Q$2*$M310)) - 3),0),
IF(AND(OR(AB$269=123, AB$269=12), Cultivar_1_Cohort_Year_Selection=$AA$268,Cultivar_2_Cohort_Year_Selection=$AA$268),  ROUND(MAX(0,(AA$309-('Stage 2 Randomized Selection'!Q$2*$M310)) - 2),0),
IF(AND(OR(AB$269=123, AB$269=13), Cultivar_1_Cohort_Year_Selection=$AA$268,Cultivar_3_Cohort_Year_Selection=$AA$268), ROUND(MAX(0,(AA$309-('Stage 2 Randomized Selection'!Q$2*$M310)) - 2),0),
IF(AND(OR(AB$269=123, AB$269=23), Cultivar_2_Cohort_Year_Selection=$AA$268,Cultivar_3_Cohort_Year_Selection=$AA$268), ROUND(MAX(0,(AA$309-('Stage 2 Randomized Selection'!Q$2*$M310)) - 2),0),
IF(AND(OR(AB$269=123, AB$269=12, AB$269=13, AB$269=1), Cultivar_1_Cohort_Year_Selection=$AA$268), ROUND(MAX(0,(AA$309-('Stage 2 Randomized Selection'!Q$2*$M310)) - 1),0),
IF(AND(OR(AB$269=123, AB$269=12, AB$269=23, AB$269=2), Cultivar_2_Cohort_Year_Selection=$AA$268), ROUND(MAX(0,(AA$309-('Stage 2 Randomized Selection'!Q$2*$M310)) - 1),0),
IF(AND(OR(AB$269=123, AB$269=13, AB$269=23, AB$269=3), Cultivar_3_Cohort_Year_Selection=$AA$268), ROUND(MAX(0,(AA$309-('Stage 2 Randomized Selection'!Q$2*$M310)) - 1),0),
ROUND(MAX(0,(AA$309-('Stage 2 Randomized Selection'!Q$2*$M310))),0)))))))),0),"")</f>
        <v/>
      </c>
      <c r="AC332" s="270" t="str">
        <f>IF(ISNUMBER($B$270),
IF(AND(ISNUMBER(AB$309), AB$309&gt;0),
IF(AND(AC$269=123, Cultivar_1_Cohort_Year_Selection=$AB$268,Cultivar_2_Cohort_Year_Selection=$AB$268,Cultivar_3_Cohort_Year_Selection=$AB$268), ROUND(MAX(0,(AB$309-('Stage 2 Randomized Selection'!R$2*$M310)) - 3),0),
IF(AND(OR(AC$269=123, AC$269=12), Cultivar_1_Cohort_Year_Selection=$AB$268,Cultivar_2_Cohort_Year_Selection=$AB$268),  ROUND(MAX(0,(AB$309-('Stage 2 Randomized Selection'!R$2*$M310)) - 2),0),
IF(AND(OR(AC$269=123, AC$269=13), Cultivar_1_Cohort_Year_Selection=$AB$268,Cultivar_3_Cohort_Year_Selection=$AB$268), ROUND(MAX(0,(AB$309-('Stage 2 Randomized Selection'!R$2*$M310)) - 2),0),
IF(AND(OR(AC$269=123, AC$269=23), Cultivar_2_Cohort_Year_Selection=$AB$268,Cultivar_3_Cohort_Year_Selection=$AB$268), ROUND(MAX(0,(AB$309-('Stage 2 Randomized Selection'!R$2*$M310)) - 2),0),
IF(AND(OR(AC$269=123, AC$269=12, AC$269=13, AC$269=1), Cultivar_1_Cohort_Year_Selection=$AB$268), ROUND(MAX(0,(AB$309-('Stage 2 Randomized Selection'!R$2*$M310)) - 1),0),
IF(AND(OR(AC$269=123, AC$269=12, AC$269=23, AC$269=2), Cultivar_2_Cohort_Year_Selection=$AB$268), ROUND(MAX(0,(AB$309-('Stage 2 Randomized Selection'!R$2*$M310)) - 1),0),
IF(AND(OR(AC$269=123, AC$269=13, AC$269=23, AC$269=3), Cultivar_3_Cohort_Year_Selection=$AB$268), ROUND(MAX(0,(AB$309-('Stage 2 Randomized Selection'!R$2*$M310)) - 1),0),
ROUND(MAX(0,(AB$309-('Stage 2 Randomized Selection'!R$2*$M310))),0)))))))),0),"")</f>
        <v/>
      </c>
      <c r="AD332" s="270" t="str">
        <f>IF(ISNUMBER($B$270),
IF(AND(ISNUMBER(AC$309), AC$309&gt;0),
IF(AND(AD$269=123, Cultivar_1_Cohort_Year_Selection=$AC$268,Cultivar_2_Cohort_Year_Selection=$AC$268,Cultivar_3_Cohort_Year_Selection=$AC$268), ROUND(MAX(0,(AC$309-('Stage 2 Randomized Selection'!S$2*$M310)) - 3),0),
IF(AND(OR(AD$269=123, AD$269=12), Cultivar_1_Cohort_Year_Selection=$AC$268,Cultivar_2_Cohort_Year_Selection=$AC$268),  ROUND(MAX(0,(AC$309-('Stage 2 Randomized Selection'!S$2*$M310)) - 2),0),
IF(AND(OR(AD$269=123, AD$269=13), Cultivar_1_Cohort_Year_Selection=$AC$268,Cultivar_3_Cohort_Year_Selection=$AC$268), ROUND(MAX(0,(AC$309-('Stage 2 Randomized Selection'!S$2*$M310)) - 2),0),
IF(AND(OR(AD$269=123, AD$269=23), Cultivar_2_Cohort_Year_Selection=$AC$268,Cultivar_3_Cohort_Year_Selection=$AC$268), ROUND(MAX(0,(AC$309-('Stage 2 Randomized Selection'!S$2*$M310)) - 2),0),
IF(AND(OR(AD$269=123, AD$269=12, AD$269=13, AD$269=1), Cultivar_1_Cohort_Year_Selection=$AC$268), ROUND(MAX(0,(AC$309-('Stage 2 Randomized Selection'!S$2*$M310)) - 1),0),
IF(AND(OR(AD$269=123, AD$269=12, AD$269=23, AD$269=2), Cultivar_2_Cohort_Year_Selection=$AC$268), ROUND(MAX(0,(AC$309-('Stage 2 Randomized Selection'!S$2*$M310)) - 1),0),
IF(AND(OR(AD$269=123, AD$269=13, AD$269=23, AD$269=3), Cultivar_3_Cohort_Year_Selection=$AC$268), ROUND(MAX(0,(AC$309-('Stage 2 Randomized Selection'!S$2*$M310)) - 1),0),
ROUND(MAX(0,(AC$309-('Stage 2 Randomized Selection'!S$2*$M310))),0)))))))),0),"")</f>
        <v/>
      </c>
      <c r="AE332" s="270" t="str">
        <f>IF(ISNUMBER($B$270),
IF(AND(ISNUMBER(AD$309), AD$309&gt;0),
IF(AND(AE$269=123, Cultivar_1_Cohort_Year_Selection=$AD$268,Cultivar_2_Cohort_Year_Selection=$AD$268,Cultivar_3_Cohort_Year_Selection=$AD$268), ROUND(MAX(0,(AD$309-('Stage 2 Randomized Selection'!T$2*$M310)) - 3),0),
IF(AND(OR(AE$269=123, AE$269=12), Cultivar_1_Cohort_Year_Selection=$AD$268,Cultivar_2_Cohort_Year_Selection=$AD$268),  ROUND(MAX(0,(AD$309-('Stage 2 Randomized Selection'!T$2*$M310)) - 2),0),
IF(AND(OR(AE$269=123, AE$269=13), Cultivar_1_Cohort_Year_Selection=$AD$268,Cultivar_3_Cohort_Year_Selection=$AD$268), ROUND(MAX(0,(AD$309-('Stage 2 Randomized Selection'!T$2*$M310)) - 2),0),
IF(AND(OR(AE$269=123, AE$269=23), Cultivar_2_Cohort_Year_Selection=$AD$268,Cultivar_3_Cohort_Year_Selection=$AD$268), ROUND(MAX(0,(AD$309-('Stage 2 Randomized Selection'!T$2*$M310)) - 2),0),
IF(AND(OR(AE$269=123, AE$269=12, AE$269=13, AE$269=1), Cultivar_1_Cohort_Year_Selection=$AD$268), ROUND(MAX(0,(AD$309-('Stage 2 Randomized Selection'!T$2*$M310)) - 1),0),
IF(AND(OR(AE$269=123, AE$269=12, AE$269=23, AE$269=2), Cultivar_2_Cohort_Year_Selection=$AD$268), ROUND(MAX(0,(AD$309-('Stage 2 Randomized Selection'!T$2*$M310)) - 1),0),
IF(AND(OR(AE$269=123, AE$269=13, AE$269=23, AE$269=3), Cultivar_3_Cohort_Year_Selection=$AD$268), ROUND(MAX(0,(AD$309-('Stage 2 Randomized Selection'!T$2*$M310)) - 1),0),
ROUND(MAX(0,(AD$309-('Stage 2 Randomized Selection'!T$2*$M310))),0)))))))),0),"")</f>
        <v/>
      </c>
      <c r="AF332" s="270" t="str">
        <f>IF(ISNUMBER($B$270),
IF(AND(ISNUMBER(AE$309), AE$309&gt;0),
IF(AND(AF$269=123, Cultivar_1_Cohort_Year_Selection=$AE$268,Cultivar_2_Cohort_Year_Selection=$AE$268,Cultivar_3_Cohort_Year_Selection=$AE$268), ROUND(MAX(0,(AE$309-('Stage 2 Randomized Selection'!U$2*$M310)) - 3),0),
IF(AND(OR(AF$269=123, AF$269=12), Cultivar_1_Cohort_Year_Selection=$AE$268,Cultivar_2_Cohort_Year_Selection=$AE$268),  ROUND(MAX(0,(AE$309-('Stage 2 Randomized Selection'!U$2*$M310)) - 2),0),
IF(AND(OR(AF$269=123, AF$269=13), Cultivar_1_Cohort_Year_Selection=$AE$268,Cultivar_3_Cohort_Year_Selection=$AE$268), ROUND(MAX(0,(AE$309-('Stage 2 Randomized Selection'!U$2*$M310)) - 2),0),
IF(AND(OR(AF$269=123, AF$269=23), Cultivar_2_Cohort_Year_Selection=$AE$268,Cultivar_3_Cohort_Year_Selection=$AE$268), ROUND(MAX(0,(AE$309-('Stage 2 Randomized Selection'!U$2*$M310)) - 2),0),
IF(AND(OR(AF$269=123, AF$269=12, AF$269=13, AF$269=1), Cultivar_1_Cohort_Year_Selection=$AE$268), ROUND(MAX(0,(AE$309-('Stage 2 Randomized Selection'!U$2*$M310)) - 1),0),
IF(AND(OR(AF$269=123, AF$269=12, AF$269=23, AF$269=2), Cultivar_2_Cohort_Year_Selection=$AE$268), ROUND(MAX(0,(AE$309-('Stage 2 Randomized Selection'!U$2*$M310)) - 1),0),
IF(AND(OR(AF$269=123, AF$269=13, AF$269=23, AF$269=3), Cultivar_3_Cohort_Year_Selection=$AE$268), ROUND(MAX(0,(AE$309-('Stage 2 Randomized Selection'!U$2*$M310)) - 1),0),
ROUND(MAX(0,(AE$309-('Stage 2 Randomized Selection'!U$2*$M310))),0)))))))),0),"")</f>
        <v/>
      </c>
      <c r="AG332" s="270" t="str">
        <f>IF(ISNUMBER($B$270),
IF(AND(ISNUMBER(AF$309), AF$309&gt;0),
IF(AND(AG$269=123, Cultivar_1_Cohort_Year_Selection=$AF$268,Cultivar_2_Cohort_Year_Selection=$AF$268,Cultivar_3_Cohort_Year_Selection=$AF$268), ROUND(MAX(0,(AF$309-('Stage 2 Randomized Selection'!V$2*$M310)) - 3),0),
IF(AND(OR(AG$269=123, AG$269=12), Cultivar_1_Cohort_Year_Selection=$AF$268,Cultivar_2_Cohort_Year_Selection=$AF$268),  ROUND(MAX(0,(AF$309-('Stage 2 Randomized Selection'!V$2*$M310)) - 2),0),
IF(AND(OR(AG$269=123, AG$269=13), Cultivar_1_Cohort_Year_Selection=$AF$268,Cultivar_3_Cohort_Year_Selection=$AF$268), ROUND(MAX(0,(AF$309-('Stage 2 Randomized Selection'!V$2*$M310)) - 2),0),
IF(AND(OR(AG$269=123, AG$269=23), Cultivar_2_Cohort_Year_Selection=$AF$268,Cultivar_3_Cohort_Year_Selection=$AF$268), ROUND(MAX(0,(AF$309-('Stage 2 Randomized Selection'!V$2*$M310)) - 2),0),
IF(AND(OR(AG$269=123, AG$269=12, AG$269=13, AG$269=1), Cultivar_1_Cohort_Year_Selection=$AF$268), ROUND(MAX(0,(AF$309-('Stage 2 Randomized Selection'!V$2*$M310)) - 1),0),
IF(AND(OR(AG$269=123, AG$269=12, AG$269=23, AG$269=2), Cultivar_2_Cohort_Year_Selection=$AF$268), ROUND(MAX(0,(AF$309-('Stage 2 Randomized Selection'!V$2*$M310)) - 1),0),
IF(AND(OR(AG$269=123, AG$269=13, AG$269=23, AG$269=3), Cultivar_3_Cohort_Year_Selection=$AF$268), ROUND(MAX(0,(AF$309-('Stage 2 Randomized Selection'!V$2*$M310)) - 1),0),
ROUND(MAX(0,(AF$309-('Stage 2 Randomized Selection'!V$2*$M310))),0)))))))),0),"")</f>
        <v/>
      </c>
      <c r="AH332" s="270" t="str">
        <f>IF(ISNUMBER($B$270),
IF(AND(ISNUMBER(AG$309), AG$309&gt;0),
IF(AND(AH$269=123, Cultivar_1_Cohort_Year_Selection=$AG$268,Cultivar_2_Cohort_Year_Selection=$AG$268,Cultivar_3_Cohort_Year_Selection=$AG$268), ROUND(MAX(0,(AG$309-('Stage 2 Randomized Selection'!W$2*$M310)) - 3),0),
IF(AND(OR(AH$269=123, AH$269=12), Cultivar_1_Cohort_Year_Selection=$AG$268,Cultivar_2_Cohort_Year_Selection=$AG$268),  ROUND(MAX(0,(AG$309-('Stage 2 Randomized Selection'!W$2*$M310)) - 2),0),
IF(AND(OR(AH$269=123, AH$269=13), Cultivar_1_Cohort_Year_Selection=$AG$268,Cultivar_3_Cohort_Year_Selection=$AG$268), ROUND(MAX(0,(AG$309-('Stage 2 Randomized Selection'!W$2*$M310)) - 2),0),
IF(AND(OR(AH$269=123, AH$269=23), Cultivar_2_Cohort_Year_Selection=$AG$268,Cultivar_3_Cohort_Year_Selection=$AG$268), ROUND(MAX(0,(AG$309-('Stage 2 Randomized Selection'!W$2*$M310)) - 2),0),
IF(AND(OR(AH$269=123, AH$269=12, AH$269=13, AH$269=1), Cultivar_1_Cohort_Year_Selection=$AG$268), ROUND(MAX(0,(AG$309-('Stage 2 Randomized Selection'!W$2*$M310)) - 1),0),
IF(AND(OR(AH$269=123, AH$269=12, AH$269=23, AH$269=2), Cultivar_2_Cohort_Year_Selection=$AG$268), ROUND(MAX(0,(AG$309-('Stage 2 Randomized Selection'!W$2*$M310)) - 1),0),
IF(AND(OR(AH$269=123, AH$269=13, AH$269=23, AH$269=3), Cultivar_3_Cohort_Year_Selection=$AG$268), ROUND(MAX(0,(AG$309-('Stage 2 Randomized Selection'!W$2*$M310)) - 1),0),
ROUND(MAX(0,(AG$309-('Stage 2 Randomized Selection'!W$2*$M310))),0)))))))),0),"")</f>
        <v/>
      </c>
      <c r="AI332" s="270" t="str">
        <f>IF(ISNUMBER($B$270),
IF(AND(ISNUMBER(AH$309), AH$309&gt;0),
IF(AND(AI$269=123, Cultivar_1_Cohort_Year_Selection=$AH$268,Cultivar_2_Cohort_Year_Selection=$AH$268,Cultivar_3_Cohort_Year_Selection=$AH$268), ROUND(MAX(0,(AH$309-('Stage 2 Randomized Selection'!X$2*$M310)) - 3),0),
IF(AND(OR(AI$269=123, AI$269=12), Cultivar_1_Cohort_Year_Selection=$AH$268,Cultivar_2_Cohort_Year_Selection=$AH$268),  ROUND(MAX(0,(AH$309-('Stage 2 Randomized Selection'!X$2*$M310)) - 2),0),
IF(AND(OR(AI$269=123, AI$269=13), Cultivar_1_Cohort_Year_Selection=$AH$268,Cultivar_3_Cohort_Year_Selection=$AH$268), ROUND(MAX(0,(AH$309-('Stage 2 Randomized Selection'!X$2*$M310)) - 2),0),
IF(AND(OR(AI$269=123, AI$269=23), Cultivar_2_Cohort_Year_Selection=$AH$268,Cultivar_3_Cohort_Year_Selection=$AH$268), ROUND(MAX(0,(AH$309-('Stage 2 Randomized Selection'!X$2*$M310)) - 2),0),
IF(AND(OR(AI$269=123, AI$269=12, AI$269=13, AI$269=1), Cultivar_1_Cohort_Year_Selection=$AH$268), ROUND(MAX(0,(AH$309-('Stage 2 Randomized Selection'!X$2*$M310)) - 1),0),
IF(AND(OR(AI$269=123, AI$269=12, AI$269=23, AI$269=2), Cultivar_2_Cohort_Year_Selection=$AH$268), ROUND(MAX(0,(AH$309-('Stage 2 Randomized Selection'!X$2*$M310)) - 1),0),
IF(AND(OR(AI$269=123, AI$269=13, AI$269=23, AI$269=3), Cultivar_3_Cohort_Year_Selection=$AH$268), ROUND(MAX(0,(AH$309-('Stage 2 Randomized Selection'!X$2*$M310)) - 1),0),
ROUND(MAX(0,(AH$309-('Stage 2 Randomized Selection'!X$2*$M310))),0)))))))),0),"")</f>
        <v/>
      </c>
      <c r="AJ332" s="270" t="str">
        <f>IF(ISNUMBER($B$270),
IF(AND(ISNUMBER(AI$309), AI$309&gt;0),
IF(AND(AJ$269=123, Cultivar_1_Cohort_Year_Selection=$AI$268,Cultivar_2_Cohort_Year_Selection=$AI$268,Cultivar_3_Cohort_Year_Selection=$AI$268), ROUND(MAX(0,(AI$309-('Stage 2 Randomized Selection'!Y$2*$M310)) - 3),0),
IF(AND(OR(AJ$269=123, AJ$269=12), Cultivar_1_Cohort_Year_Selection=$AI$268,Cultivar_2_Cohort_Year_Selection=$AI$268),  ROUND(MAX(0,(AI$309-('Stage 2 Randomized Selection'!Y$2*$M310)) - 2),0),
IF(AND(OR(AJ$269=123, AJ$269=13), Cultivar_1_Cohort_Year_Selection=$AI$268,Cultivar_3_Cohort_Year_Selection=$AI$268), ROUND(MAX(0,(AI$309-('Stage 2 Randomized Selection'!Y$2*$M310)) - 2),0),
IF(AND(OR(AJ$269=123, AJ$269=23), Cultivar_2_Cohort_Year_Selection=$AI$268,Cultivar_3_Cohort_Year_Selection=$AI$268), ROUND(MAX(0,(AI$309-('Stage 2 Randomized Selection'!Y$2*$M310)) - 2),0),
IF(AND(OR(AJ$269=123, AJ$269=12, AJ$269=13, AJ$269=1), Cultivar_1_Cohort_Year_Selection=$AI$268), ROUND(MAX(0,(AI$309-('Stage 2 Randomized Selection'!Y$2*$M310)) - 1),0),
IF(AND(OR(AJ$269=123, AJ$269=12, AJ$269=23, AJ$269=2), Cultivar_2_Cohort_Year_Selection=$AI$268), ROUND(MAX(0,(AI$309-('Stage 2 Randomized Selection'!Y$2*$M310)) - 1),0),
IF(AND(OR(AJ$269=123, AJ$269=13, AJ$269=23, AJ$269=3), Cultivar_3_Cohort_Year_Selection=$AI$268), ROUND(MAX(0,(AI$309-('Stage 2 Randomized Selection'!Y$2*$M310)) - 1),0),
ROUND(MAX(0,(AI$309-('Stage 2 Randomized Selection'!Y$2*$M310))),0)))))))),0),"")</f>
        <v/>
      </c>
      <c r="AK332" s="270" t="str">
        <f>IF(ISNUMBER($B$270),
IF(AND(ISNUMBER(AJ$309), AJ$309&gt;0),
IF(AND(AK$269=123, Cultivar_1_Cohort_Year_Selection=$AJ$268,Cultivar_2_Cohort_Year_Selection=$AJ$268,Cultivar_3_Cohort_Year_Selection=$AJ$268), ROUND(MAX(0,(AJ$309-('Stage 2 Randomized Selection'!Z$2*$M310)) - 3),0),
IF(AND(OR(AK$269=123, AK$269=12), Cultivar_1_Cohort_Year_Selection=$AJ$268,Cultivar_2_Cohort_Year_Selection=$AJ$268),  ROUND(MAX(0,(AJ$309-('Stage 2 Randomized Selection'!Z$2*$M310)) - 2),0),
IF(AND(OR(AK$269=123, AK$269=13), Cultivar_1_Cohort_Year_Selection=$AJ$268,Cultivar_3_Cohort_Year_Selection=$AJ$268), ROUND(MAX(0,(AJ$309-('Stage 2 Randomized Selection'!Z$2*$M310)) - 2),0),
IF(AND(OR(AK$269=123, AK$269=23), Cultivar_2_Cohort_Year_Selection=$AJ$268,Cultivar_3_Cohort_Year_Selection=$AJ$268), ROUND(MAX(0,(AJ$309-('Stage 2 Randomized Selection'!Z$2*$M310)) - 2),0),
IF(AND(OR(AK$269=123, AK$269=12, AK$269=13, AK$269=1), Cultivar_1_Cohort_Year_Selection=$AJ$268), ROUND(MAX(0,(AJ$309-('Stage 2 Randomized Selection'!Z$2*$M310)) - 1),0),
IF(AND(OR(AK$269=123, AK$269=12, AK$269=23, AK$269=2), Cultivar_2_Cohort_Year_Selection=$AJ$268), ROUND(MAX(0,(AJ$309-('Stage 2 Randomized Selection'!Z$2*$M310)) - 1),0),
IF(AND(OR(AK$269=123, AK$269=13, AK$269=23, AK$269=3), Cultivar_3_Cohort_Year_Selection=$AJ$268), ROUND(MAX(0,(AJ$309-('Stage 2 Randomized Selection'!Z$2*$M310)) - 1),0),
ROUND(MAX(0,(AJ$309-('Stage 2 Randomized Selection'!Z$2*$M310))),0)))))))),0),"")</f>
        <v/>
      </c>
      <c r="AL332" s="270" t="str">
        <f>IF(ISNUMBER($B$270),
IF(AND(ISNUMBER(AK$309), AK$309&gt;0),
IF(AND(AL$269=123, Cultivar_1_Cohort_Year_Selection=$AK$268,Cultivar_2_Cohort_Year_Selection=$AK$268,Cultivar_3_Cohort_Year_Selection=$AK$268), ROUND(MAX(0,(AK$309-('Stage 2 Randomized Selection'!AA$2*$M310)) - 3),0),
IF(AND(OR(AL$269=123, AL$269=12), Cultivar_1_Cohort_Year_Selection=$AK$268,Cultivar_2_Cohort_Year_Selection=$AK$268),  ROUND(MAX(0,(AK$309-('Stage 2 Randomized Selection'!AA$2*$M310)) - 2),0),
IF(AND(OR(AL$269=123, AL$269=13), Cultivar_1_Cohort_Year_Selection=$AK$268,Cultivar_3_Cohort_Year_Selection=$AK$268), ROUND(MAX(0,(AK$309-('Stage 2 Randomized Selection'!AA$2*$M310)) - 2),0),
IF(AND(OR(AL$269=123, AL$269=23), Cultivar_2_Cohort_Year_Selection=$AK$268,Cultivar_3_Cohort_Year_Selection=$AK$268), ROUND(MAX(0,(AK$309-('Stage 2 Randomized Selection'!AA$2*$M310)) - 2),0),
IF(AND(OR(AL$269=123, AL$269=12, AL$269=13, AL$269=1), Cultivar_1_Cohort_Year_Selection=$AK$268), ROUND(MAX(0,(AK$309-('Stage 2 Randomized Selection'!AA$2*$M310)) - 1),0),
IF(AND(OR(AL$269=123, AL$269=12, AL$269=23, AL$269=2), Cultivar_2_Cohort_Year_Selection=$AK$268), ROUND(MAX(0,(AK$309-('Stage 2 Randomized Selection'!AA$2*$M310)) - 1),0),
IF(AND(OR(AL$269=123, AL$269=13, AL$269=23, AL$269=3), Cultivar_3_Cohort_Year_Selection=$AK$268), ROUND(MAX(0,(AK$309-('Stage 2 Randomized Selection'!AA$2*$M310)) - 1),0),
ROUND(MAX(0,(AK$309-('Stage 2 Randomized Selection'!AA$2*$M310))),0)))))))),0),"")</f>
        <v/>
      </c>
      <c r="AM332" s="270" t="str">
        <f>IF(ISNUMBER($B$270),
IF(AND(ISNUMBER(AL$309), AL$309&gt;0),
IF(AND(AM$269=123, Cultivar_1_Cohort_Year_Selection=$O$268,Cultivar_2_Cohort_Year_Selection=$O$268,Cultivar_3_Cohort_Year_Selection=$O$268), ROUND(MAX(0,(AL$309-('Stage 2 Randomized Selection'!AB$2*$M310)) - 3),0),
IF(AND(OR(AM$269=123, AM$269=12), Cultivar_1_Cohort_Year_Selection=$O$268,Cultivar_2_Cohort_Year_Selection=$O$268),  ROUND(MAX(0,(AL$309-('Stage 2 Randomized Selection'!AB$2*$M310)) - 2),0),
IF(AND(OR(AM$269=123, AM$269=13), Cultivar_1_Cohort_Year_Selection=$O$268,Cultivar_3_Cohort_Year_Selection=$O$268), ROUND(MAX(0,(AL$309-('Stage 2 Randomized Selection'!AB$2*$M310)) - 2),0),
IF(AND(OR(AM$269=123, AM$269=23), Cultivar_2_Cohort_Year_Selection=$O$268,Cultivar_3_Cohort_Year_Selection=$O$268), ROUND(MAX(0,(AL$309-('Stage 2 Randomized Selection'!AB$2*$M310)) - 2),0),
IF(AND(OR(AM$269=123, AM$269=12, AM$269=13, AM$269=1), Cultivar_1_Cohort_Year_Selection=$O$268), ROUND(MAX(0,(AL$309-('Stage 2 Randomized Selection'!AB$2*$M310)) - 1),0),
IF(AND(OR(AM$269=123, AM$269=12, AM$269=23, AM$269=2), Cultivar_2_Cohort_Year_Selection=$O$268), ROUND(MAX(0,(AL$309-('Stage 2 Randomized Selection'!AB$2*$M310)) - 1),0),
IF(AND(OR(AM$269=123, AM$269=13, AM$269=23, AM$269=3), Cultivar_3_Cohort_Year_Selection=$O$268), ROUND(MAX(0,(AL$309-('Stage 2 Randomized Selection'!AB$2*$M310)) - 1),0),
ROUND(MAX(0,(AL$309-('Stage 2 Randomized Selection'!AB$2*$M310))),0)))))))),0),"")</f>
        <v/>
      </c>
      <c r="AN332" s="270" t="str">
        <f>IF(ISNUMBER($B$270),
IF(AND(ISNUMBER(AM$309), AM$309&gt;0),
IF(AND(AN$269=123, Cultivar_1_Cohort_Year_Selection=$O$268,Cultivar_2_Cohort_Year_Selection=$O$268,Cultivar_3_Cohort_Year_Selection=$O$268), ROUND(MAX(0,(AM$309-('Stage 2 Randomized Selection'!AC$2*$M310)) - 3),0),
IF(AND(OR(AN$269=123, AN$269=12), Cultivar_1_Cohort_Year_Selection=$O$268,Cultivar_2_Cohort_Year_Selection=$O$268),  ROUND(MAX(0,(AM$309-('Stage 2 Randomized Selection'!AC$2*$M310)) - 2),0),
IF(AND(OR(AN$269=123, AN$269=13), Cultivar_1_Cohort_Year_Selection=$O$268,Cultivar_3_Cohort_Year_Selection=$O$268), ROUND(MAX(0,(AM$309-('Stage 2 Randomized Selection'!AC$2*$M310)) - 2),0),
IF(AND(OR(AN$269=123, AN$269=23), Cultivar_2_Cohort_Year_Selection=$O$268,Cultivar_3_Cohort_Year_Selection=$O$268), ROUND(MAX(0,(AM$309-('Stage 2 Randomized Selection'!AC$2*$M310)) - 2),0),
IF(AND(OR(AN$269=123, AN$269=12, AN$269=13, AN$269=1), Cultivar_1_Cohort_Year_Selection=$O$268), ROUND(MAX(0,(AM$309-('Stage 2 Randomized Selection'!AC$2*$M310)) - 1),0),
IF(AND(OR(AN$269=123, AN$269=12, AN$269=23, AN$269=2), Cultivar_2_Cohort_Year_Selection=$O$268), ROUND(MAX(0,(AM$309-('Stage 2 Randomized Selection'!AC$2*$M310)) - 1),0),
IF(AND(OR(AN$269=123, AN$269=13, AN$269=23, AN$269=3), Cultivar_3_Cohort_Year_Selection=$O$268), ROUND(MAX(0,(AM$309-('Stage 2 Randomized Selection'!AC$2*$M310)) - 1),0),
ROUND(MAX(0,(AM$309-('Stage 2 Randomized Selection'!AC$2*$M310))),0)))))))),0),"")</f>
        <v/>
      </c>
      <c r="AO332" s="270" t="str">
        <f>IF(ISNUMBER($B$270),
IF(AND(ISNUMBER(AN$309), AN$309&gt;0),
IF(AND(AO$269=123, Cultivar_1_Cohort_Year_Selection=$O$268,Cultivar_2_Cohort_Year_Selection=$O$268,Cultivar_3_Cohort_Year_Selection=$O$268), ROUND(MAX(0,(AN$309-('Stage 2 Randomized Selection'!AD$2*$M310)) - 3),0),
IF(AND(OR(AO$269=123, AO$269=12), Cultivar_1_Cohort_Year_Selection=$O$268,Cultivar_2_Cohort_Year_Selection=$O$268),  ROUND(MAX(0,(AN$309-('Stage 2 Randomized Selection'!AD$2*$M310)) - 2),0),
IF(AND(OR(AO$269=123, AO$269=13), Cultivar_1_Cohort_Year_Selection=$O$268,Cultivar_3_Cohort_Year_Selection=$O$268), ROUND(MAX(0,(AN$309-('Stage 2 Randomized Selection'!AD$2*$M310)) - 2),0),
IF(AND(OR(AO$269=123, AO$269=23), Cultivar_2_Cohort_Year_Selection=$O$268,Cultivar_3_Cohort_Year_Selection=$O$268), ROUND(MAX(0,(AN$309-('Stage 2 Randomized Selection'!AD$2*$M310)) - 2),0),
IF(AND(OR(AO$269=123, AO$269=12, AO$269=13, AO$269=1), Cultivar_1_Cohort_Year_Selection=$O$268), ROUND(MAX(0,(AN$309-('Stage 2 Randomized Selection'!AD$2*$M310)) - 1),0),
IF(AND(OR(AO$269=123, AO$269=12, AO$269=23, AO$269=2), Cultivar_2_Cohort_Year_Selection=$O$268), ROUND(MAX(0,(AN$309-('Stage 2 Randomized Selection'!AD$2*$M310)) - 1),0),
IF(AND(OR(AO$269=123, AO$269=13, AO$269=23, AO$269=3), Cultivar_3_Cohort_Year_Selection=$O$268), ROUND(MAX(0,(AN$309-('Stage 2 Randomized Selection'!AD$2*$M310)) - 1),0),
ROUND(MAX(0,(AN$309-('Stage 2 Randomized Selection'!AD$2*$M310))),0)))))))),0),"")</f>
        <v/>
      </c>
      <c r="AP332" s="270" t="str">
        <f>IF(ISNUMBER($B$270),
IF(AND(ISNUMBER(AO$309), AO$309&gt;0),
IF(AND(AP$269=123, Cultivar_1_Cohort_Year_Selection=$O$268,Cultivar_2_Cohort_Year_Selection=$O$268,Cultivar_3_Cohort_Year_Selection=$O$268), ROUND(MAX(0,(AO$309-('Stage 2 Randomized Selection'!AE$2*$M310)) - 3),0),
IF(AND(OR(AP$269=123, AP$269=12), Cultivar_1_Cohort_Year_Selection=$O$268,Cultivar_2_Cohort_Year_Selection=$O$268),  ROUND(MAX(0,(AO$309-('Stage 2 Randomized Selection'!AE$2*$M310)) - 2),0),
IF(AND(OR(AP$269=123, AP$269=13), Cultivar_1_Cohort_Year_Selection=$O$268,Cultivar_3_Cohort_Year_Selection=$O$268), ROUND(MAX(0,(AO$309-('Stage 2 Randomized Selection'!AE$2*$M310)) - 2),0),
IF(AND(OR(AP$269=123, AP$269=23), Cultivar_2_Cohort_Year_Selection=$O$268,Cultivar_3_Cohort_Year_Selection=$O$268), ROUND(MAX(0,(AO$309-('Stage 2 Randomized Selection'!AE$2*$M310)) - 2),0),
IF(AND(OR(AP$269=123, AP$269=12, AP$269=13, AP$269=1), Cultivar_1_Cohort_Year_Selection=$O$268), ROUND(MAX(0,(AO$309-('Stage 2 Randomized Selection'!AE$2*$M310)) - 1),0),
IF(AND(OR(AP$269=123, AP$269=12, AP$269=23, AP$269=2), Cultivar_2_Cohort_Year_Selection=$O$268), ROUND(MAX(0,(AO$309-('Stage 2 Randomized Selection'!AE$2*$M310)) - 1),0),
IF(AND(OR(AP$269=123, AP$269=13, AP$269=23, AP$269=3), Cultivar_3_Cohort_Year_Selection=$O$268), ROUND(MAX(0,(AO$309-('Stage 2 Randomized Selection'!AE$2*$M310)) - 1),0),
ROUND(MAX(0,(AO$309-('Stage 2 Randomized Selection'!AE$2*$M310))),0)))))))),0),"")</f>
        <v/>
      </c>
      <c r="AQ332" s="270" t="str">
        <f>IF(ISNUMBER($B$270),
IF(AND(ISNUMBER(AP$309), AP$309&gt;0),
IF(AND(AQ$269=123, Cultivar_1_Cohort_Year_Selection=$O$268,Cultivar_2_Cohort_Year_Selection=$O$268,Cultivar_3_Cohort_Year_Selection=$O$268), ROUND(MAX(0,(AP$309-('Stage 2 Randomized Selection'!AF$2*$M310)) - 3),0),
IF(AND(OR(AQ$269=123, AQ$269=12), Cultivar_1_Cohort_Year_Selection=$O$268,Cultivar_2_Cohort_Year_Selection=$O$268),  ROUND(MAX(0,(AP$309-('Stage 2 Randomized Selection'!AF$2*$M310)) - 2),0),
IF(AND(OR(AQ$269=123, AQ$269=13), Cultivar_1_Cohort_Year_Selection=$O$268,Cultivar_3_Cohort_Year_Selection=$O$268), ROUND(MAX(0,(AP$309-('Stage 2 Randomized Selection'!AF$2*$M310)) - 2),0),
IF(AND(OR(AQ$269=123, AQ$269=23), Cultivar_2_Cohort_Year_Selection=$O$268,Cultivar_3_Cohort_Year_Selection=$O$268), ROUND(MAX(0,(AP$309-('Stage 2 Randomized Selection'!AF$2*$M310)) - 2),0),
IF(AND(OR(AQ$269=123, AQ$269=12, AQ$269=13, AQ$269=1), Cultivar_1_Cohort_Year_Selection=$O$268), ROUND(MAX(0,(AP$309-('Stage 2 Randomized Selection'!AF$2*$M310)) - 1),0),
IF(AND(OR(AQ$269=123, AQ$269=12, AQ$269=23, AQ$269=2), Cultivar_2_Cohort_Year_Selection=$O$268), ROUND(MAX(0,(AP$309-('Stage 2 Randomized Selection'!AF$2*$M310)) - 1),0),
IF(AND(OR(AQ$269=123, AQ$269=13, AQ$269=23, AQ$269=3), Cultivar_3_Cohort_Year_Selection=$O$268), ROUND(MAX(0,(AP$309-('Stage 2 Randomized Selection'!AF$2*$M310)) - 1),0),
ROUND(MAX(0,(AP$309-('Stage 2 Randomized Selection'!AF$2*$M310))),0)))))))),0),"")</f>
        <v/>
      </c>
      <c r="AR332" s="271" t="str">
        <f>IF(ISNUMBER($B$270),
IF(AND(ISNUMBER(AQ$309), AQ$309&gt;0),
IF(AND(AR$269=123, Cultivar_1_Cohort_Year_Selection=$O$268,Cultivar_2_Cohort_Year_Selection=$O$268,Cultivar_3_Cohort_Year_Selection=$O$268), ROUND(MAX(0,(AQ$309-('Stage 2 Randomized Selection'!AG$2*$M310)) - 3),0),
IF(AND(OR(AR$269=123, AR$269=12), Cultivar_1_Cohort_Year_Selection=$O$268,Cultivar_2_Cohort_Year_Selection=$O$268),  ROUND(MAX(0,(AQ$309-('Stage 2 Randomized Selection'!AG$2*$M310)) - 2),0),
IF(AND(OR(AR$269=123, AR$269=13), Cultivar_1_Cohort_Year_Selection=$O$268,Cultivar_3_Cohort_Year_Selection=$O$268), ROUND(MAX(0,(AQ$309-('Stage 2 Randomized Selection'!AG$2*$M310)) - 2),0),
IF(AND(OR(AR$269=123, AR$269=23), Cultivar_2_Cohort_Year_Selection=$O$268,Cultivar_3_Cohort_Year_Selection=$O$268), ROUND(MAX(0,(AQ$309-('Stage 2 Randomized Selection'!AG$2*$M310)) - 2),0),
IF(AND(OR(AR$269=123, AR$269=12, AR$269=13, AR$269=1), Cultivar_1_Cohort_Year_Selection=$O$268), ROUND(MAX(0,(AQ$309-('Stage 2 Randomized Selection'!AG$2*$M310)) - 1),0),
IF(AND(OR(AR$269=123, AR$269=12, AR$269=23, AR$269=2), Cultivar_2_Cohort_Year_Selection=$O$268), ROUND(MAX(0,(AQ$309-('Stage 2 Randomized Selection'!AG$2*$M310)) - 1),0),
IF(AND(OR(AR$269=123, AR$269=13, AR$269=23, AR$269=3), Cultivar_3_Cohort_Year_Selection=$O$268), ROUND(MAX(0,(AQ$309-('Stage 2 Randomized Selection'!AG$2*$M310)) - 1),0),
ROUND(MAX(0,(AQ$309-('Stage 2 Randomized Selection'!AG$2*$M310))),0)))))))),0),"")</f>
        <v/>
      </c>
    </row>
    <row r="333" spans="1:46" ht="14.45" customHeight="1" x14ac:dyDescent="0.25">
      <c r="A333" s="518" t="str">
        <f>Fourth_Stage</f>
        <v>Stage 2 Clonal Test Plots</v>
      </c>
      <c r="B333" s="504" t="str">
        <f>'Breeding Inputs'!B91</f>
        <v/>
      </c>
      <c r="C333" s="521" t="str">
        <f>IF(ISNUMBER(B333), _4_3_0, "")</f>
        <v/>
      </c>
      <c r="D333" s="94" t="str">
        <f>IF(AND(C333&lt;&gt;"", 'Cost Inputs'!$G$105&lt;&gt;""), 'Cost Inputs'!$G$105, "")</f>
        <v/>
      </c>
      <c r="E333" s="94" t="str">
        <f>IF(AND(C333&lt;&gt;"", 'Cost Inputs'!$H$105&lt;&gt;""), 'Cost Inputs'!$H$105, "")</f>
        <v/>
      </c>
      <c r="F333" s="492" t="str">
        <f>IF(AND(C333&lt;&gt;"", 'Cost Inputs'!$I$105&lt;&gt;""), 'Cost Inputs'!$I$105, "")</f>
        <v/>
      </c>
      <c r="G333" s="102" t="str">
        <f t="shared" si="25"/>
        <v/>
      </c>
      <c r="H333" s="492" t="str">
        <f>IF(AND(C333&lt;&gt;"", 'Cost Inputs'!$J$105&lt;&gt;""), 'Cost Inputs'!$J$105, "")</f>
        <v/>
      </c>
      <c r="I333" s="102" t="str">
        <f>IF($C333&lt;&gt;"",IF(AND($E333&lt;&gt;"",H333&lt;&gt;""), H333/$E333, 0),"")</f>
        <v/>
      </c>
      <c r="J333" s="492" t="str">
        <f>IF(AND(C333&lt;&gt;"",('Cost Inputs'!$I$105+'Cost Inputs'!$J$105+'Cost Inputs'!$K$105)&gt;0), 'Cost Inputs'!$I$105+'Cost Inputs'!$J$105+'Cost Inputs'!$K$105, "")</f>
        <v/>
      </c>
      <c r="K333" s="102" t="str">
        <f>IF($C333&lt;&gt;"",IF(AND($E333&lt;&gt;"",J333&lt;&gt;""), J333/$E333, 0),"")</f>
        <v/>
      </c>
      <c r="L333" s="525" t="str">
        <f>IF(AND($B333&lt;&gt;"", 'Breeding Inputs'!$C$89&lt;&gt;""), INDEX('Breeding Inputs'!$C$89:$C$98, MATCH($B333,'Breeding Inputs'!$B$89:$B$98,0)), IF($B333="", "", 0%))</f>
        <v/>
      </c>
      <c r="M333" s="525" t="str">
        <f>IF(AND($B333&lt;&gt;"", 'Breeding Inputs'!$D$89&lt;&gt;""), INDEX('Breeding Inputs'!$D$89:$D$98, MATCH($B333,'Breeding Inputs'!$B$89:$B$98,0))+INDEX('Breeding Inputs'!$E$89:$E$98, MATCH($B333,'Breeding Inputs'!$B$89:$B$98,0)), IF($B333="", "", 0%))</f>
        <v/>
      </c>
      <c r="Q333" s="496" t="str">
        <f>IF(ISNUMBER('Model_ of_individuals'!Q345), 'Model_ of_individuals'!Q345*'Model_ of_individuals'!$K345,"")</f>
        <v/>
      </c>
      <c r="R333" s="496" t="str">
        <f>IF(ISNUMBER('Model_ of_individuals'!R345), 'Model_ of_individuals'!R345*'Model_ of_individuals'!$K345,"")</f>
        <v/>
      </c>
      <c r="S333" s="496" t="str">
        <f>IF(ISNUMBER('Model_ of_individuals'!S345), 'Model_ of_individuals'!S345*'Model_ of_individuals'!$K345,"")</f>
        <v/>
      </c>
      <c r="T333" s="496" t="str">
        <f>IF(ISNUMBER('Model_ of_individuals'!T345), 'Model_ of_individuals'!T345*'Model_ of_individuals'!$K345,"")</f>
        <v/>
      </c>
      <c r="U333" s="496" t="str">
        <f>IF(ISNUMBER('Model_ of_individuals'!U345), 'Model_ of_individuals'!U345*'Model_ of_individuals'!$K345,"")</f>
        <v/>
      </c>
      <c r="V333" s="496" t="str">
        <f>IF(ISNUMBER('Model_ of_individuals'!V345), 'Model_ of_individuals'!V345*'Model_ of_individuals'!$K345,"")</f>
        <v/>
      </c>
      <c r="W333" s="496" t="str">
        <f>IF(ISNUMBER('Model_ of_individuals'!W345), 'Model_ of_individuals'!W345*'Model_ of_individuals'!$K345,"")</f>
        <v/>
      </c>
      <c r="X333" s="496" t="str">
        <f>IF(ISNUMBER('Model_ of_individuals'!X345), 'Model_ of_individuals'!X345*'Model_ of_individuals'!$K345,"")</f>
        <v/>
      </c>
      <c r="Y333" s="496" t="str">
        <f>IF(ISNUMBER('Model_ of_individuals'!Y345), 'Model_ of_individuals'!Y345*'Model_ of_individuals'!$K345,"")</f>
        <v/>
      </c>
      <c r="Z333" s="496" t="str">
        <f>IF(ISNUMBER('Model_ of_individuals'!Z345), 'Model_ of_individuals'!Z345*'Model_ of_individuals'!$K345,"")</f>
        <v/>
      </c>
      <c r="AA333" s="496" t="str">
        <f>IF(ISNUMBER('Model_ of_individuals'!AA345), 'Model_ of_individuals'!AA345*'Model_ of_individuals'!$K345,"")</f>
        <v/>
      </c>
      <c r="AB333" s="496" t="str">
        <f>IF(ISNUMBER('Model_ of_individuals'!AB345), 'Model_ of_individuals'!AB345*'Model_ of_individuals'!$K345,"")</f>
        <v/>
      </c>
      <c r="AC333" s="496" t="str">
        <f>IF(ISNUMBER('Model_ of_individuals'!AC345), 'Model_ of_individuals'!AC345*'Model_ of_individuals'!$K345,"")</f>
        <v/>
      </c>
      <c r="AD333" s="496" t="str">
        <f>IF(ISNUMBER('Model_ of_individuals'!AD345), 'Model_ of_individuals'!AD345*'Model_ of_individuals'!$K345,"")</f>
        <v/>
      </c>
      <c r="AE333" s="496" t="str">
        <f>IF(ISNUMBER('Model_ of_individuals'!AE345), 'Model_ of_individuals'!AE345*'Model_ of_individuals'!$K345,"")</f>
        <v/>
      </c>
      <c r="AF333" s="496" t="str">
        <f>IF(ISNUMBER('Model_ of_individuals'!AF345), 'Model_ of_individuals'!AF345*'Model_ of_individuals'!$K345,"")</f>
        <v/>
      </c>
      <c r="AG333" s="496" t="str">
        <f>IF(ISNUMBER('Model_ of_individuals'!AG345), 'Model_ of_individuals'!AG345*'Model_ of_individuals'!$K345,"")</f>
        <v/>
      </c>
      <c r="AH333" s="496" t="str">
        <f>IF(ISNUMBER('Model_ of_individuals'!AH345), 'Model_ of_individuals'!AH345*'Model_ of_individuals'!$K345,"")</f>
        <v/>
      </c>
      <c r="AI333" s="496" t="str">
        <f>IF(ISNUMBER('Model_ of_individuals'!AI345), 'Model_ of_individuals'!AI345*'Model_ of_individuals'!$K345,"")</f>
        <v/>
      </c>
      <c r="AJ333" s="496" t="str">
        <f>IF(ISNUMBER('Model_ of_individuals'!AJ345), 'Model_ of_individuals'!AJ345*'Model_ of_individuals'!$K345,"")</f>
        <v/>
      </c>
      <c r="AK333" s="496" t="str">
        <f>IF(ISNUMBER('Model_ of_individuals'!AK345), 'Model_ of_individuals'!AK345*'Model_ of_individuals'!$K345,"")</f>
        <v/>
      </c>
      <c r="AL333" s="496" t="str">
        <f>IF(ISNUMBER('Model_ of_individuals'!AL345), 'Model_ of_individuals'!AL345*'Model_ of_individuals'!$K345,"")</f>
        <v/>
      </c>
      <c r="AM333" s="496" t="str">
        <f>IF(ISNUMBER('Model_ of_individuals'!AM345), 'Model_ of_individuals'!AM345*'Model_ of_individuals'!$K345,"")</f>
        <v/>
      </c>
      <c r="AN333" s="496" t="str">
        <f>IF(ISNUMBER('Model_ of_individuals'!AN345), 'Model_ of_individuals'!AN345*'Model_ of_individuals'!$K345,"")</f>
        <v/>
      </c>
      <c r="AO333" s="496" t="str">
        <f>IF(ISNUMBER('Model_ of_individuals'!AO345), 'Model_ of_individuals'!AO345*'Model_ of_individuals'!$K345,"")</f>
        <v/>
      </c>
      <c r="AP333" s="496" t="str">
        <f>IF(ISNUMBER('Model_ of_individuals'!AP345), 'Model_ of_individuals'!AP345*'Model_ of_individuals'!$K345,"")</f>
        <v/>
      </c>
      <c r="AQ333" s="496" t="str">
        <f>IF(ISNUMBER('Model_ of_individuals'!AQ345), 'Model_ of_individuals'!AQ345*'Model_ of_individuals'!$K345,"")</f>
        <v/>
      </c>
      <c r="AR333" s="496" t="str">
        <f>IF(ISNUMBER('Model_ of_individuals'!AR345), 'Model_ of_individuals'!AR345*'Model_ of_individuals'!$K345,"")</f>
        <v/>
      </c>
      <c r="AS333" s="496" t="str">
        <f>IF(ISNUMBER('Model_ of_individuals'!AS345), 'Model_ of_individuals'!AS345*'Model_ of_individuals'!$K345,"")</f>
        <v/>
      </c>
      <c r="AT333" s="496" t="str">
        <f>IF(ISNUMBER('Model_ of_individuals'!AT345), 'Model_ of_individuals'!AT345*'Model_ of_individuals'!$K345,"")</f>
        <v/>
      </c>
    </row>
    <row r="334" spans="1:46" x14ac:dyDescent="0.25">
      <c r="A334" s="518"/>
      <c r="B334" s="504"/>
      <c r="C334" s="521"/>
      <c r="D334" s="94" t="str">
        <f>IF(AND(C333&lt;&gt;"", 'Cost Inputs'!$G$106&lt;&gt;""), 'Cost Inputs'!$G$106, "")</f>
        <v/>
      </c>
      <c r="E334" s="94" t="str">
        <f>IF(AND(C333&lt;&gt;"", 'Cost Inputs'!H158&lt;&gt;""), 'Cost Inputs'!H158, "")</f>
        <v/>
      </c>
      <c r="F334" s="492"/>
      <c r="G334" s="102" t="str">
        <f t="shared" si="25"/>
        <v/>
      </c>
      <c r="H334" s="492"/>
      <c r="I334" s="102" t="str">
        <f>IF($C333&lt;&gt;"", IF(AND($E334&lt;&gt;"", H333&lt;&gt;""), H333/($E333*$E334), 0), "")</f>
        <v/>
      </c>
      <c r="J334" s="492" t="str">
        <f>IF(AND(C334&lt;&gt;"",('Cost Inputs'!$I$86+'Cost Inputs'!$J$86+'Cost Inputs'!$K$86)&gt;0), 'Cost Inputs'!$I$86+'Cost Inputs'!$J$86+'Cost Inputs'!$K$86, "")</f>
        <v/>
      </c>
      <c r="K334" s="102" t="str">
        <f>IF($C333&lt;&gt;"", IF(AND($E334&lt;&gt;"", J333&lt;&gt;""), J333/($E333*$E334), 0), "")</f>
        <v/>
      </c>
      <c r="L334" s="525"/>
      <c r="M334" s="525"/>
      <c r="Q334" s="496" t="str">
        <f>IF(ISNUMBER('Model_ of_individuals'!Q346), 'Model_ of_individuals'!Q346*'Model_ of_individuals'!$K346,"")</f>
        <v/>
      </c>
      <c r="R334" s="496" t="str">
        <f>IF(ISNUMBER('Model_ of_individuals'!R346), 'Model_ of_individuals'!R346*'Model_ of_individuals'!$K346,"")</f>
        <v/>
      </c>
      <c r="S334" s="496" t="str">
        <f>IF(ISNUMBER('Model_ of_individuals'!S346), 'Model_ of_individuals'!S346*'Model_ of_individuals'!$K346,"")</f>
        <v/>
      </c>
      <c r="T334" s="496" t="str">
        <f>IF(ISNUMBER('Model_ of_individuals'!T346), 'Model_ of_individuals'!T346*'Model_ of_individuals'!$K346,"")</f>
        <v/>
      </c>
      <c r="U334" s="496" t="str">
        <f>IF(ISNUMBER('Model_ of_individuals'!U346), 'Model_ of_individuals'!U346*'Model_ of_individuals'!$K346,"")</f>
        <v/>
      </c>
      <c r="V334" s="496" t="str">
        <f>IF(ISNUMBER('Model_ of_individuals'!V346), 'Model_ of_individuals'!V346*'Model_ of_individuals'!$K346,"")</f>
        <v/>
      </c>
      <c r="W334" s="496" t="str">
        <f>IF(ISNUMBER('Model_ of_individuals'!W346), 'Model_ of_individuals'!W346*'Model_ of_individuals'!$K346,"")</f>
        <v/>
      </c>
      <c r="X334" s="496" t="str">
        <f>IF(ISNUMBER('Model_ of_individuals'!X346), 'Model_ of_individuals'!X346*'Model_ of_individuals'!$K346,"")</f>
        <v/>
      </c>
      <c r="Y334" s="496" t="str">
        <f>IF(ISNUMBER('Model_ of_individuals'!Y346), 'Model_ of_individuals'!Y346*'Model_ of_individuals'!$K346,"")</f>
        <v/>
      </c>
      <c r="Z334" s="496" t="str">
        <f>IF(ISNUMBER('Model_ of_individuals'!Z346), 'Model_ of_individuals'!Z346*'Model_ of_individuals'!$K346,"")</f>
        <v/>
      </c>
      <c r="AA334" s="496" t="str">
        <f>IF(ISNUMBER('Model_ of_individuals'!AA346), 'Model_ of_individuals'!AA346*'Model_ of_individuals'!$K346,"")</f>
        <v/>
      </c>
      <c r="AB334" s="496" t="str">
        <f>IF(ISNUMBER('Model_ of_individuals'!AB346), 'Model_ of_individuals'!AB346*'Model_ of_individuals'!$K346,"")</f>
        <v/>
      </c>
      <c r="AC334" s="496" t="str">
        <f>IF(ISNUMBER('Model_ of_individuals'!AC346), 'Model_ of_individuals'!AC346*'Model_ of_individuals'!$K346,"")</f>
        <v/>
      </c>
      <c r="AD334" s="496" t="str">
        <f>IF(ISNUMBER('Model_ of_individuals'!AD346), 'Model_ of_individuals'!AD346*'Model_ of_individuals'!$K346,"")</f>
        <v/>
      </c>
      <c r="AE334" s="496" t="str">
        <f>IF(ISNUMBER('Model_ of_individuals'!AE346), 'Model_ of_individuals'!AE346*'Model_ of_individuals'!$K346,"")</f>
        <v/>
      </c>
      <c r="AF334" s="496" t="str">
        <f>IF(ISNUMBER('Model_ of_individuals'!AF346), 'Model_ of_individuals'!AF346*'Model_ of_individuals'!$K346,"")</f>
        <v/>
      </c>
      <c r="AG334" s="496" t="str">
        <f>IF(ISNUMBER('Model_ of_individuals'!AG346), 'Model_ of_individuals'!AG346*'Model_ of_individuals'!$K346,"")</f>
        <v/>
      </c>
      <c r="AH334" s="496" t="str">
        <f>IF(ISNUMBER('Model_ of_individuals'!AH346), 'Model_ of_individuals'!AH346*'Model_ of_individuals'!$K346,"")</f>
        <v/>
      </c>
      <c r="AI334" s="496" t="str">
        <f>IF(ISNUMBER('Model_ of_individuals'!AI346), 'Model_ of_individuals'!AI346*'Model_ of_individuals'!$K346,"")</f>
        <v/>
      </c>
      <c r="AJ334" s="496" t="str">
        <f>IF(ISNUMBER('Model_ of_individuals'!AJ346), 'Model_ of_individuals'!AJ346*'Model_ of_individuals'!$K346,"")</f>
        <v/>
      </c>
      <c r="AK334" s="496" t="str">
        <f>IF(ISNUMBER('Model_ of_individuals'!AK346), 'Model_ of_individuals'!AK346*'Model_ of_individuals'!$K346,"")</f>
        <v/>
      </c>
      <c r="AL334" s="496" t="str">
        <f>IF(ISNUMBER('Model_ of_individuals'!AL346), 'Model_ of_individuals'!AL346*'Model_ of_individuals'!$K346,"")</f>
        <v/>
      </c>
      <c r="AM334" s="496" t="str">
        <f>IF(ISNUMBER('Model_ of_individuals'!AM346), 'Model_ of_individuals'!AM346*'Model_ of_individuals'!$K346,"")</f>
        <v/>
      </c>
      <c r="AN334" s="496" t="str">
        <f>IF(ISNUMBER('Model_ of_individuals'!AN346), 'Model_ of_individuals'!AN346*'Model_ of_individuals'!$K346,"")</f>
        <v/>
      </c>
      <c r="AO334" s="496" t="str">
        <f>IF(ISNUMBER('Model_ of_individuals'!AO346), 'Model_ of_individuals'!AO346*'Model_ of_individuals'!$K346,"")</f>
        <v/>
      </c>
      <c r="AP334" s="496" t="str">
        <f>IF(ISNUMBER('Model_ of_individuals'!AP346), 'Model_ of_individuals'!AP346*'Model_ of_individuals'!$K346,"")</f>
        <v/>
      </c>
      <c r="AQ334" s="496" t="str">
        <f>IF(ISNUMBER('Model_ of_individuals'!AQ346), 'Model_ of_individuals'!AQ346*'Model_ of_individuals'!$K346,"")</f>
        <v/>
      </c>
      <c r="AR334" s="496" t="str">
        <f>IF(ISNUMBER('Model_ of_individuals'!AR346), 'Model_ of_individuals'!AR346*'Model_ of_individuals'!$K346,"")</f>
        <v/>
      </c>
      <c r="AS334" s="496" t="str">
        <f>IF(ISNUMBER('Model_ of_individuals'!AS346), 'Model_ of_individuals'!AS346*'Model_ of_individuals'!$K346,"")</f>
        <v/>
      </c>
      <c r="AT334" s="496" t="str">
        <f>IF(ISNUMBER('Model_ of_individuals'!AT346), 'Model_ of_individuals'!AT346*'Model_ of_individuals'!$K346,"")</f>
        <v/>
      </c>
    </row>
    <row r="335" spans="1:46" x14ac:dyDescent="0.25">
      <c r="A335" s="518"/>
      <c r="B335" s="504"/>
      <c r="C335" s="104" t="str">
        <f>IF(AND(ISNUMBER(B333), OR('Cost Inputs'!$H$107&lt;&gt;"", 'Cost Inputs'!$I$107&lt;&gt;"", 'Cost Inputs'!$J$107&lt;&gt;"")), _4_3_1, "")</f>
        <v/>
      </c>
      <c r="D335" s="17" t="str">
        <f>IF(AND(C335&lt;&gt;"", 'Cost Inputs'!$G$107&lt;&gt;""), 'Cost Inputs'!$G$107, "")</f>
        <v/>
      </c>
      <c r="E335" s="17" t="str">
        <f>IF(AND(C335&lt;&gt;"", 'Cost Inputs'!$H$107&lt;&gt;""), 'Cost Inputs'!$H$107, "")</f>
        <v/>
      </c>
      <c r="F335" s="17" t="str">
        <f>IF(AND(C335&lt;&gt;"", 'Cost Inputs'!$I$107&lt;&gt;""), 'Cost Inputs'!$I$107, "")</f>
        <v/>
      </c>
      <c r="G335" s="105" t="str">
        <f t="shared" si="25"/>
        <v/>
      </c>
      <c r="H335" s="17" t="str">
        <f>IF(AND(C335&lt;&gt;"", 'Cost Inputs'!$J$107&lt;&gt;""), 'Cost Inputs'!$J$107, "")</f>
        <v/>
      </c>
      <c r="I335" s="17" t="str">
        <f t="shared" ref="I335:I343" si="26">IF($C335&lt;&gt;"", IF(AND($E335&lt;&gt;"", H335&lt;&gt;""), H335/$E335, 0),"")</f>
        <v/>
      </c>
      <c r="J335" s="17" t="str">
        <f>IF(AND(C335&lt;&gt;"",('Cost Inputs'!$I$107+'Cost Inputs'!$J$107+'Cost Inputs'!$K$107)&gt;0), 'Cost Inputs'!$I$107+'Cost Inputs'!$J$107+'Cost Inputs'!$K$107, "")</f>
        <v/>
      </c>
      <c r="K335" s="17" t="str">
        <f t="shared" ref="K335:K343" si="27">IF($C335&lt;&gt;"", IF(AND($E335&lt;&gt;"", J335&lt;&gt;""), J335/$E335, 0),"")</f>
        <v/>
      </c>
      <c r="L335" s="525"/>
      <c r="M335" s="525"/>
      <c r="Q335" s="17" t="str">
        <f>IF(ISNUMBER('Model_ of_individuals'!Q347), 'Model_ of_individuals'!Q347*'Model_ of_individuals'!$K347,"")</f>
        <v/>
      </c>
      <c r="R335" s="17" t="str">
        <f>IF(ISNUMBER('Model_ of_individuals'!R347), 'Model_ of_individuals'!R347*'Model_ of_individuals'!$K347,"")</f>
        <v/>
      </c>
      <c r="S335" s="17" t="str">
        <f>IF(ISNUMBER('Model_ of_individuals'!S347), 'Model_ of_individuals'!S347*'Model_ of_individuals'!$K347,"")</f>
        <v/>
      </c>
      <c r="T335" s="17" t="str">
        <f>IF(ISNUMBER('Model_ of_individuals'!T347), 'Model_ of_individuals'!T347*'Model_ of_individuals'!$K347,"")</f>
        <v/>
      </c>
      <c r="U335" s="17" t="str">
        <f>IF(ISNUMBER('Model_ of_individuals'!U347), 'Model_ of_individuals'!U347*'Model_ of_individuals'!$K347,"")</f>
        <v/>
      </c>
      <c r="V335" s="17" t="str">
        <f>IF(ISNUMBER('Model_ of_individuals'!V347), 'Model_ of_individuals'!V347*'Model_ of_individuals'!$K347,"")</f>
        <v/>
      </c>
      <c r="W335" s="17" t="str">
        <f>IF(ISNUMBER('Model_ of_individuals'!W347), 'Model_ of_individuals'!W347*'Model_ of_individuals'!$K347,"")</f>
        <v/>
      </c>
      <c r="X335" s="17" t="str">
        <f>IF(ISNUMBER('Model_ of_individuals'!X347), 'Model_ of_individuals'!X347*'Model_ of_individuals'!$K347,"")</f>
        <v/>
      </c>
      <c r="Y335" s="17" t="str">
        <f>IF(ISNUMBER('Model_ of_individuals'!Y347), 'Model_ of_individuals'!Y347*'Model_ of_individuals'!$K347,"")</f>
        <v/>
      </c>
      <c r="Z335" s="17" t="str">
        <f>IF(ISNUMBER('Model_ of_individuals'!Z347), 'Model_ of_individuals'!Z347*'Model_ of_individuals'!$K347,"")</f>
        <v/>
      </c>
      <c r="AA335" s="17" t="str">
        <f>IF(ISNUMBER('Model_ of_individuals'!AA347), 'Model_ of_individuals'!AA347*'Model_ of_individuals'!$K347,"")</f>
        <v/>
      </c>
      <c r="AB335" s="17" t="str">
        <f>IF(ISNUMBER('Model_ of_individuals'!AB347), 'Model_ of_individuals'!AB347*'Model_ of_individuals'!$K347,"")</f>
        <v/>
      </c>
      <c r="AC335" s="17" t="str">
        <f>IF(ISNUMBER('Model_ of_individuals'!AC347), 'Model_ of_individuals'!AC347*'Model_ of_individuals'!$K347,"")</f>
        <v/>
      </c>
      <c r="AD335" s="17" t="str">
        <f>IF(ISNUMBER('Model_ of_individuals'!AD347), 'Model_ of_individuals'!AD347*'Model_ of_individuals'!$K347,"")</f>
        <v/>
      </c>
      <c r="AE335" s="17" t="str">
        <f>IF(ISNUMBER('Model_ of_individuals'!AE347), 'Model_ of_individuals'!AE347*'Model_ of_individuals'!$K347,"")</f>
        <v/>
      </c>
      <c r="AF335" s="17" t="str">
        <f>IF(ISNUMBER('Model_ of_individuals'!AF347), 'Model_ of_individuals'!AF347*'Model_ of_individuals'!$K347,"")</f>
        <v/>
      </c>
      <c r="AG335" s="17" t="str">
        <f>IF(ISNUMBER('Model_ of_individuals'!AG347), 'Model_ of_individuals'!AG347*'Model_ of_individuals'!$K347,"")</f>
        <v/>
      </c>
      <c r="AH335" s="17" t="str">
        <f>IF(ISNUMBER('Model_ of_individuals'!AH347), 'Model_ of_individuals'!AH347*'Model_ of_individuals'!$K347,"")</f>
        <v/>
      </c>
      <c r="AI335" s="17" t="str">
        <f>IF(ISNUMBER('Model_ of_individuals'!AI347), 'Model_ of_individuals'!AI347*'Model_ of_individuals'!$K347,"")</f>
        <v/>
      </c>
      <c r="AJ335" s="17" t="str">
        <f>IF(ISNUMBER('Model_ of_individuals'!AJ347), 'Model_ of_individuals'!AJ347*'Model_ of_individuals'!$K347,"")</f>
        <v/>
      </c>
      <c r="AK335" s="17" t="str">
        <f>IF(ISNUMBER('Model_ of_individuals'!AK347), 'Model_ of_individuals'!AK347*'Model_ of_individuals'!$K347,"")</f>
        <v/>
      </c>
      <c r="AL335" s="17" t="str">
        <f>IF(ISNUMBER('Model_ of_individuals'!AL347), 'Model_ of_individuals'!AL347*'Model_ of_individuals'!$K347,"")</f>
        <v/>
      </c>
      <c r="AM335" s="17" t="str">
        <f>IF(ISNUMBER('Model_ of_individuals'!AM347), 'Model_ of_individuals'!AM347*'Model_ of_individuals'!$K347,"")</f>
        <v/>
      </c>
      <c r="AN335" s="17" t="str">
        <f>IF(ISNUMBER('Model_ of_individuals'!AN347), 'Model_ of_individuals'!AN347*'Model_ of_individuals'!$K347,"")</f>
        <v/>
      </c>
      <c r="AO335" s="17" t="str">
        <f>IF(ISNUMBER('Model_ of_individuals'!AO347), 'Model_ of_individuals'!AO347*'Model_ of_individuals'!$K347,"")</f>
        <v/>
      </c>
      <c r="AP335" s="17" t="str">
        <f>IF(ISNUMBER('Model_ of_individuals'!AP347), 'Model_ of_individuals'!AP347*'Model_ of_individuals'!$K347,"")</f>
        <v/>
      </c>
      <c r="AQ335" s="17" t="str">
        <f>IF(ISNUMBER('Model_ of_individuals'!AQ347), 'Model_ of_individuals'!AQ347*'Model_ of_individuals'!$K347,"")</f>
        <v/>
      </c>
      <c r="AR335" s="17" t="str">
        <f>IF(ISNUMBER('Model_ of_individuals'!AR347), 'Model_ of_individuals'!AR347*'Model_ of_individuals'!$K347,"")</f>
        <v/>
      </c>
      <c r="AS335" s="17" t="str">
        <f>IF(ISNUMBER('Model_ of_individuals'!AS347), 'Model_ of_individuals'!AS347*'Model_ of_individuals'!$K347,"")</f>
        <v/>
      </c>
      <c r="AT335" s="17" t="str">
        <f>IF(ISNUMBER('Model_ of_individuals'!AT347), 'Model_ of_individuals'!AT347*'Model_ of_individuals'!$K347,"")</f>
        <v/>
      </c>
    </row>
    <row r="336" spans="1:46" x14ac:dyDescent="0.25">
      <c r="A336" s="518"/>
      <c r="B336" s="504"/>
      <c r="C336" s="107" t="str">
        <f>IF(AND(ISNUMBER(B333), OR('Cost Inputs'!$H$108&lt;&gt;"", 'Cost Inputs'!$I$108&lt;&gt;"", 'Cost Inputs'!$J$108&lt;&gt;"")), _4_3_2, "")</f>
        <v/>
      </c>
      <c r="D336" s="93" t="str">
        <f>IF(AND(C336&lt;&gt;"", 'Cost Inputs'!$G$108&lt;&gt;""), 'Cost Inputs'!$G$108, "")</f>
        <v/>
      </c>
      <c r="E336" s="93" t="str">
        <f>IF(AND(C336&lt;&gt;"", 'Cost Inputs'!$H$108&lt;&gt;""), 'Cost Inputs'!$H$108, "")</f>
        <v/>
      </c>
      <c r="F336" s="93" t="str">
        <f>IF(AND(C336&lt;&gt;"", 'Cost Inputs'!$I$108&lt;&gt;""), 'Cost Inputs'!$I$108, "")</f>
        <v/>
      </c>
      <c r="G336" s="108" t="str">
        <f t="shared" si="25"/>
        <v/>
      </c>
      <c r="H336" s="93" t="str">
        <f>IF(AND(C336&lt;&gt;"", 'Cost Inputs'!$J$108&lt;&gt;""), 'Cost Inputs'!$J$108, "")</f>
        <v/>
      </c>
      <c r="I336" s="93" t="str">
        <f t="shared" si="26"/>
        <v/>
      </c>
      <c r="J336" s="93" t="str">
        <f>IF(AND(C336&lt;&gt;"",('Cost Inputs'!$I$108+'Cost Inputs'!$J$108+'Cost Inputs'!$K$108)&gt;0), 'Cost Inputs'!$I$108+'Cost Inputs'!$J$108+'Cost Inputs'!$K$108, "")</f>
        <v/>
      </c>
      <c r="K336" s="93" t="str">
        <f t="shared" si="27"/>
        <v/>
      </c>
      <c r="L336" s="525"/>
      <c r="M336" s="525"/>
      <c r="Q336" s="93" t="str">
        <f>IF(ISNUMBER('Model_ of_individuals'!Q348), 'Model_ of_individuals'!Q348*'Model_ of_individuals'!$K348,"")</f>
        <v/>
      </c>
      <c r="R336" s="93" t="str">
        <f>IF(ISNUMBER('Model_ of_individuals'!R348), 'Model_ of_individuals'!R348*'Model_ of_individuals'!$K348,"")</f>
        <v/>
      </c>
      <c r="S336" s="93" t="str">
        <f>IF(ISNUMBER('Model_ of_individuals'!S348), 'Model_ of_individuals'!S348*'Model_ of_individuals'!$K348,"")</f>
        <v/>
      </c>
      <c r="T336" s="93" t="str">
        <f>IF(ISNUMBER('Model_ of_individuals'!T348), 'Model_ of_individuals'!T348*'Model_ of_individuals'!$K348,"")</f>
        <v/>
      </c>
      <c r="U336" s="93" t="str">
        <f>IF(ISNUMBER('Model_ of_individuals'!U348), 'Model_ of_individuals'!U348*'Model_ of_individuals'!$K348,"")</f>
        <v/>
      </c>
      <c r="V336" s="93" t="str">
        <f>IF(ISNUMBER('Model_ of_individuals'!V348), 'Model_ of_individuals'!V348*'Model_ of_individuals'!$K348,"")</f>
        <v/>
      </c>
      <c r="W336" s="93" t="str">
        <f>IF(ISNUMBER('Model_ of_individuals'!W348), 'Model_ of_individuals'!W348*'Model_ of_individuals'!$K348,"")</f>
        <v/>
      </c>
      <c r="X336" s="93" t="str">
        <f>IF(ISNUMBER('Model_ of_individuals'!X348), 'Model_ of_individuals'!X348*'Model_ of_individuals'!$K348,"")</f>
        <v/>
      </c>
      <c r="Y336" s="93" t="str">
        <f>IF(ISNUMBER('Model_ of_individuals'!Y348), 'Model_ of_individuals'!Y348*'Model_ of_individuals'!$K348,"")</f>
        <v/>
      </c>
      <c r="Z336" s="93" t="str">
        <f>IF(ISNUMBER('Model_ of_individuals'!Z348), 'Model_ of_individuals'!Z348*'Model_ of_individuals'!$K348,"")</f>
        <v/>
      </c>
      <c r="AA336" s="93" t="str">
        <f>IF(ISNUMBER('Model_ of_individuals'!AA348), 'Model_ of_individuals'!AA348*'Model_ of_individuals'!$K348,"")</f>
        <v/>
      </c>
      <c r="AB336" s="93" t="str">
        <f>IF(ISNUMBER('Model_ of_individuals'!AB348), 'Model_ of_individuals'!AB348*'Model_ of_individuals'!$K348,"")</f>
        <v/>
      </c>
      <c r="AC336" s="93" t="str">
        <f>IF(ISNUMBER('Model_ of_individuals'!AC348), 'Model_ of_individuals'!AC348*'Model_ of_individuals'!$K348,"")</f>
        <v/>
      </c>
      <c r="AD336" s="93" t="str">
        <f>IF(ISNUMBER('Model_ of_individuals'!AD348), 'Model_ of_individuals'!AD348*'Model_ of_individuals'!$K348,"")</f>
        <v/>
      </c>
      <c r="AE336" s="93" t="str">
        <f>IF(ISNUMBER('Model_ of_individuals'!AE348), 'Model_ of_individuals'!AE348*'Model_ of_individuals'!$K348,"")</f>
        <v/>
      </c>
      <c r="AF336" s="93" t="str">
        <f>IF(ISNUMBER('Model_ of_individuals'!AF348), 'Model_ of_individuals'!AF348*'Model_ of_individuals'!$K348,"")</f>
        <v/>
      </c>
      <c r="AG336" s="93" t="str">
        <f>IF(ISNUMBER('Model_ of_individuals'!AG348), 'Model_ of_individuals'!AG348*'Model_ of_individuals'!$K348,"")</f>
        <v/>
      </c>
      <c r="AH336" s="93" t="str">
        <f>IF(ISNUMBER('Model_ of_individuals'!AH348), 'Model_ of_individuals'!AH348*'Model_ of_individuals'!$K348,"")</f>
        <v/>
      </c>
      <c r="AI336" s="93" t="str">
        <f>IF(ISNUMBER('Model_ of_individuals'!AI348), 'Model_ of_individuals'!AI348*'Model_ of_individuals'!$K348,"")</f>
        <v/>
      </c>
      <c r="AJ336" s="93" t="str">
        <f>IF(ISNUMBER('Model_ of_individuals'!AJ348), 'Model_ of_individuals'!AJ348*'Model_ of_individuals'!$K348,"")</f>
        <v/>
      </c>
      <c r="AK336" s="93" t="str">
        <f>IF(ISNUMBER('Model_ of_individuals'!AK348), 'Model_ of_individuals'!AK348*'Model_ of_individuals'!$K348,"")</f>
        <v/>
      </c>
      <c r="AL336" s="93" t="str">
        <f>IF(ISNUMBER('Model_ of_individuals'!AL348), 'Model_ of_individuals'!AL348*'Model_ of_individuals'!$K348,"")</f>
        <v/>
      </c>
      <c r="AM336" s="93" t="str">
        <f>IF(ISNUMBER('Model_ of_individuals'!AM348), 'Model_ of_individuals'!AM348*'Model_ of_individuals'!$K348,"")</f>
        <v/>
      </c>
      <c r="AN336" s="93" t="str">
        <f>IF(ISNUMBER('Model_ of_individuals'!AN348), 'Model_ of_individuals'!AN348*'Model_ of_individuals'!$K348,"")</f>
        <v/>
      </c>
      <c r="AO336" s="93" t="str">
        <f>IF(ISNUMBER('Model_ of_individuals'!AO348), 'Model_ of_individuals'!AO348*'Model_ of_individuals'!$K348,"")</f>
        <v/>
      </c>
      <c r="AP336" s="93" t="str">
        <f>IF(ISNUMBER('Model_ of_individuals'!AP348), 'Model_ of_individuals'!AP348*'Model_ of_individuals'!$K348,"")</f>
        <v/>
      </c>
      <c r="AQ336" s="93" t="str">
        <f>IF(ISNUMBER('Model_ of_individuals'!AQ348), 'Model_ of_individuals'!AQ348*'Model_ of_individuals'!$K348,"")</f>
        <v/>
      </c>
      <c r="AR336" s="93" t="str">
        <f>IF(ISNUMBER('Model_ of_individuals'!AR348), 'Model_ of_individuals'!AR348*'Model_ of_individuals'!$K348,"")</f>
        <v/>
      </c>
      <c r="AS336" s="93" t="str">
        <f>IF(ISNUMBER('Model_ of_individuals'!AS348), 'Model_ of_individuals'!AS348*'Model_ of_individuals'!$K348,"")</f>
        <v/>
      </c>
      <c r="AT336" s="93" t="str">
        <f>IF(ISNUMBER('Model_ of_individuals'!AT348), 'Model_ of_individuals'!AT348*'Model_ of_individuals'!$K348,"")</f>
        <v/>
      </c>
    </row>
    <row r="337" spans="1:46" x14ac:dyDescent="0.25">
      <c r="A337" s="518"/>
      <c r="B337" s="504"/>
      <c r="C337" s="110" t="str">
        <f>IF(ISNUMBER(B333), _4_4_0, "")</f>
        <v/>
      </c>
      <c r="D337" s="94" t="str">
        <f>IF(AND(C337&lt;&gt;"", 'Cost Inputs'!$G$109&lt;&gt;""), 'Cost Inputs'!$G$109, "")</f>
        <v/>
      </c>
      <c r="E337" s="94" t="str">
        <f>IF(AND(C337&lt;&gt;"", 'Cost Inputs'!$H$109&lt;&gt;""), 'Cost Inputs'!$H$109, "")</f>
        <v/>
      </c>
      <c r="F337" s="94" t="str">
        <f>IF(AND(C337&lt;&gt;"", 'Cost Inputs'!$I$109&lt;&gt;""), 'Cost Inputs'!$I$109, "")</f>
        <v/>
      </c>
      <c r="G337" s="102" t="str">
        <f t="shared" si="25"/>
        <v/>
      </c>
      <c r="H337" s="102" t="str">
        <f>IF(AND(C337&lt;&gt;"", 'Cost Inputs'!$J$109&lt;&gt;""), 'Cost Inputs'!$J$109, "")</f>
        <v/>
      </c>
      <c r="I337" s="102" t="str">
        <f t="shared" si="26"/>
        <v/>
      </c>
      <c r="J337" s="102" t="str">
        <f>IF(AND(C337&lt;&gt;"",('Cost Inputs'!$I$109+'Cost Inputs'!$J$109+'Cost Inputs'!$K$109)&gt;0), 'Cost Inputs'!$I$109+'Cost Inputs'!$J$109+'Cost Inputs'!$K$109, "")</f>
        <v/>
      </c>
      <c r="K337" s="102" t="str">
        <f t="shared" si="27"/>
        <v/>
      </c>
      <c r="L337" s="525"/>
      <c r="M337" s="525"/>
      <c r="Q337" s="102" t="str">
        <f>IF(ISNUMBER('Model_ of_individuals'!Q349), 'Model_ of_individuals'!Q349*'Model_ of_individuals'!$K349,"")</f>
        <v/>
      </c>
      <c r="R337" s="102" t="str">
        <f>IF(ISNUMBER('Model_ of_individuals'!R349), 'Model_ of_individuals'!R349*'Model_ of_individuals'!$K349,"")</f>
        <v/>
      </c>
      <c r="S337" s="102" t="str">
        <f>IF(ISNUMBER('Model_ of_individuals'!S349), 'Model_ of_individuals'!S349*'Model_ of_individuals'!$K349,"")</f>
        <v/>
      </c>
      <c r="T337" s="102" t="str">
        <f>IF(ISNUMBER('Model_ of_individuals'!T349), 'Model_ of_individuals'!T349*'Model_ of_individuals'!$K349,"")</f>
        <v/>
      </c>
      <c r="U337" s="102" t="str">
        <f>IF(ISNUMBER('Model_ of_individuals'!U349), 'Model_ of_individuals'!U349*'Model_ of_individuals'!$K349,"")</f>
        <v/>
      </c>
      <c r="V337" s="102" t="str">
        <f>IF(ISNUMBER('Model_ of_individuals'!V349), 'Model_ of_individuals'!V349*'Model_ of_individuals'!$K349,"")</f>
        <v/>
      </c>
      <c r="W337" s="102" t="str">
        <f>IF(ISNUMBER('Model_ of_individuals'!W349), 'Model_ of_individuals'!W349*'Model_ of_individuals'!$K349,"")</f>
        <v/>
      </c>
      <c r="X337" s="102" t="str">
        <f>IF(ISNUMBER('Model_ of_individuals'!X349), 'Model_ of_individuals'!X349*'Model_ of_individuals'!$K349,"")</f>
        <v/>
      </c>
      <c r="Y337" s="102" t="str">
        <f>IF(ISNUMBER('Model_ of_individuals'!Y349), 'Model_ of_individuals'!Y349*'Model_ of_individuals'!$K349,"")</f>
        <v/>
      </c>
      <c r="Z337" s="102" t="str">
        <f>IF(ISNUMBER('Model_ of_individuals'!Z349), 'Model_ of_individuals'!Z349*'Model_ of_individuals'!$K349,"")</f>
        <v/>
      </c>
      <c r="AA337" s="102" t="str">
        <f>IF(ISNUMBER('Model_ of_individuals'!AA349), 'Model_ of_individuals'!AA349*'Model_ of_individuals'!$K349,"")</f>
        <v/>
      </c>
      <c r="AB337" s="102" t="str">
        <f>IF(ISNUMBER('Model_ of_individuals'!AB349), 'Model_ of_individuals'!AB349*'Model_ of_individuals'!$K349,"")</f>
        <v/>
      </c>
      <c r="AC337" s="102" t="str">
        <f>IF(ISNUMBER('Model_ of_individuals'!AC349), 'Model_ of_individuals'!AC349*'Model_ of_individuals'!$K349,"")</f>
        <v/>
      </c>
      <c r="AD337" s="102" t="str">
        <f>IF(ISNUMBER('Model_ of_individuals'!AD349), 'Model_ of_individuals'!AD349*'Model_ of_individuals'!$K349,"")</f>
        <v/>
      </c>
      <c r="AE337" s="102" t="str">
        <f>IF(ISNUMBER('Model_ of_individuals'!AE349), 'Model_ of_individuals'!AE349*'Model_ of_individuals'!$K349,"")</f>
        <v/>
      </c>
      <c r="AF337" s="102" t="str">
        <f>IF(ISNUMBER('Model_ of_individuals'!AF349), 'Model_ of_individuals'!AF349*'Model_ of_individuals'!$K349,"")</f>
        <v/>
      </c>
      <c r="AG337" s="102" t="str">
        <f>IF(ISNUMBER('Model_ of_individuals'!AG349), 'Model_ of_individuals'!AG349*'Model_ of_individuals'!$K349,"")</f>
        <v/>
      </c>
      <c r="AH337" s="102" t="str">
        <f>IF(ISNUMBER('Model_ of_individuals'!AH349), 'Model_ of_individuals'!AH349*'Model_ of_individuals'!$K349,"")</f>
        <v/>
      </c>
      <c r="AI337" s="102" t="str">
        <f>IF(ISNUMBER('Model_ of_individuals'!AI349), 'Model_ of_individuals'!AI349*'Model_ of_individuals'!$K349,"")</f>
        <v/>
      </c>
      <c r="AJ337" s="102" t="str">
        <f>IF(ISNUMBER('Model_ of_individuals'!AJ349), 'Model_ of_individuals'!AJ349*'Model_ of_individuals'!$K349,"")</f>
        <v/>
      </c>
      <c r="AK337" s="102" t="str">
        <f>IF(ISNUMBER('Model_ of_individuals'!AK349), 'Model_ of_individuals'!AK349*'Model_ of_individuals'!$K349,"")</f>
        <v/>
      </c>
      <c r="AL337" s="102" t="str">
        <f>IF(ISNUMBER('Model_ of_individuals'!AL349), 'Model_ of_individuals'!AL349*'Model_ of_individuals'!$K349,"")</f>
        <v/>
      </c>
      <c r="AM337" s="102" t="str">
        <f>IF(ISNUMBER('Model_ of_individuals'!AM349), 'Model_ of_individuals'!AM349*'Model_ of_individuals'!$K349,"")</f>
        <v/>
      </c>
      <c r="AN337" s="102" t="str">
        <f>IF(ISNUMBER('Model_ of_individuals'!AN349), 'Model_ of_individuals'!AN349*'Model_ of_individuals'!$K349,"")</f>
        <v/>
      </c>
      <c r="AO337" s="102" t="str">
        <f>IF(ISNUMBER('Model_ of_individuals'!AO349), 'Model_ of_individuals'!AO349*'Model_ of_individuals'!$K349,"")</f>
        <v/>
      </c>
      <c r="AP337" s="102" t="str">
        <f>IF(ISNUMBER('Model_ of_individuals'!AP349), 'Model_ of_individuals'!AP349*'Model_ of_individuals'!$K349,"")</f>
        <v/>
      </c>
      <c r="AQ337" s="102" t="str">
        <f>IF(ISNUMBER('Model_ of_individuals'!AQ349), 'Model_ of_individuals'!AQ349*'Model_ of_individuals'!$K349,"")</f>
        <v/>
      </c>
      <c r="AR337" s="102" t="str">
        <f>IF(ISNUMBER('Model_ of_individuals'!AR349), 'Model_ of_individuals'!AR349*'Model_ of_individuals'!$K349,"")</f>
        <v/>
      </c>
      <c r="AS337" s="102" t="str">
        <f>IF(ISNUMBER('Model_ of_individuals'!AS349), 'Model_ of_individuals'!AS349*'Model_ of_individuals'!$K349,"")</f>
        <v/>
      </c>
      <c r="AT337" s="102" t="str">
        <f>IF(ISNUMBER('Model_ of_individuals'!AT349), 'Model_ of_individuals'!AT349*'Model_ of_individuals'!$K349,"")</f>
        <v/>
      </c>
    </row>
    <row r="338" spans="1:46" x14ac:dyDescent="0.25">
      <c r="A338" s="518"/>
      <c r="B338" s="504"/>
      <c r="C338" s="104" t="str">
        <f>IF(AND(ISNUMBER(B333), OR('Cost Inputs'!$H$110&lt;&gt;"", 'Cost Inputs'!$I$110&lt;&gt;"", 'Cost Inputs'!$J$110&lt;&gt;"")), _4_4_1, "")</f>
        <v/>
      </c>
      <c r="D338" s="17" t="str">
        <f>IF(AND(C338&lt;&gt;"", 'Cost Inputs'!$G$110&lt;&gt;""), 'Cost Inputs'!$G$110, "")</f>
        <v/>
      </c>
      <c r="E338" s="17" t="str">
        <f>IF(AND(C338&lt;&gt;"", 'Cost Inputs'!$H$110&lt;&gt;""), 'Cost Inputs'!$H$110, "")</f>
        <v/>
      </c>
      <c r="F338" s="17" t="str">
        <f>IF(AND(C338&lt;&gt;"", 'Cost Inputs'!$I$110&lt;&gt;""), 'Cost Inputs'!$I$110, "")</f>
        <v/>
      </c>
      <c r="G338" s="105" t="str">
        <f t="shared" si="25"/>
        <v/>
      </c>
      <c r="H338" s="17" t="str">
        <f>IF(AND(C338&lt;&gt;"", 'Cost Inputs'!$J$110&lt;&gt;""), 'Cost Inputs'!$J$110, "")</f>
        <v/>
      </c>
      <c r="I338" s="17" t="str">
        <f t="shared" si="26"/>
        <v/>
      </c>
      <c r="J338" s="17" t="str">
        <f>IF(AND(C338&lt;&gt;"",('Cost Inputs'!$I$110+'Cost Inputs'!$J$110+'Cost Inputs'!$K$110)&gt;0), 'Cost Inputs'!$I$110+'Cost Inputs'!$J$110+'Cost Inputs'!$K$110, "")</f>
        <v/>
      </c>
      <c r="K338" s="17" t="str">
        <f t="shared" si="27"/>
        <v/>
      </c>
      <c r="L338" s="525"/>
      <c r="M338" s="525"/>
      <c r="Q338" s="17" t="str">
        <f>IF(ISNUMBER('Model_ of_individuals'!Q350), 'Model_ of_individuals'!Q350*'Model_ of_individuals'!$K350,"")</f>
        <v/>
      </c>
      <c r="R338" s="17" t="str">
        <f>IF(ISNUMBER('Model_ of_individuals'!R350), 'Model_ of_individuals'!R350*'Model_ of_individuals'!$K350,"")</f>
        <v/>
      </c>
      <c r="S338" s="17" t="str">
        <f>IF(ISNUMBER('Model_ of_individuals'!S350), 'Model_ of_individuals'!S350*'Model_ of_individuals'!$K350,"")</f>
        <v/>
      </c>
      <c r="T338" s="17" t="str">
        <f>IF(ISNUMBER('Model_ of_individuals'!T350), 'Model_ of_individuals'!T350*'Model_ of_individuals'!$K350,"")</f>
        <v/>
      </c>
      <c r="U338" s="17" t="str">
        <f>IF(ISNUMBER('Model_ of_individuals'!U350), 'Model_ of_individuals'!U350*'Model_ of_individuals'!$K350,"")</f>
        <v/>
      </c>
      <c r="V338" s="17" t="str">
        <f>IF(ISNUMBER('Model_ of_individuals'!V350), 'Model_ of_individuals'!V350*'Model_ of_individuals'!$K350,"")</f>
        <v/>
      </c>
      <c r="W338" s="17" t="str">
        <f>IF(ISNUMBER('Model_ of_individuals'!W350), 'Model_ of_individuals'!W350*'Model_ of_individuals'!$K350,"")</f>
        <v/>
      </c>
      <c r="X338" s="17" t="str">
        <f>IF(ISNUMBER('Model_ of_individuals'!X350), 'Model_ of_individuals'!X350*'Model_ of_individuals'!$K350,"")</f>
        <v/>
      </c>
      <c r="Y338" s="17" t="str">
        <f>IF(ISNUMBER('Model_ of_individuals'!Y350), 'Model_ of_individuals'!Y350*'Model_ of_individuals'!$K350,"")</f>
        <v/>
      </c>
      <c r="Z338" s="17" t="str">
        <f>IF(ISNUMBER('Model_ of_individuals'!Z350), 'Model_ of_individuals'!Z350*'Model_ of_individuals'!$K350,"")</f>
        <v/>
      </c>
      <c r="AA338" s="17" t="str">
        <f>IF(ISNUMBER('Model_ of_individuals'!AA350), 'Model_ of_individuals'!AA350*'Model_ of_individuals'!$K350,"")</f>
        <v/>
      </c>
      <c r="AB338" s="17" t="str">
        <f>IF(ISNUMBER('Model_ of_individuals'!AB350), 'Model_ of_individuals'!AB350*'Model_ of_individuals'!$K350,"")</f>
        <v/>
      </c>
      <c r="AC338" s="17" t="str">
        <f>IF(ISNUMBER('Model_ of_individuals'!AC350), 'Model_ of_individuals'!AC350*'Model_ of_individuals'!$K350,"")</f>
        <v/>
      </c>
      <c r="AD338" s="17" t="str">
        <f>IF(ISNUMBER('Model_ of_individuals'!AD350), 'Model_ of_individuals'!AD350*'Model_ of_individuals'!$K350,"")</f>
        <v/>
      </c>
      <c r="AE338" s="17" t="str">
        <f>IF(ISNUMBER('Model_ of_individuals'!AE350), 'Model_ of_individuals'!AE350*'Model_ of_individuals'!$K350,"")</f>
        <v/>
      </c>
      <c r="AF338" s="17" t="str">
        <f>IF(ISNUMBER('Model_ of_individuals'!AF350), 'Model_ of_individuals'!AF350*'Model_ of_individuals'!$K350,"")</f>
        <v/>
      </c>
      <c r="AG338" s="17" t="str">
        <f>IF(ISNUMBER('Model_ of_individuals'!AG350), 'Model_ of_individuals'!AG350*'Model_ of_individuals'!$K350,"")</f>
        <v/>
      </c>
      <c r="AH338" s="17" t="str">
        <f>IF(ISNUMBER('Model_ of_individuals'!AH350), 'Model_ of_individuals'!AH350*'Model_ of_individuals'!$K350,"")</f>
        <v/>
      </c>
      <c r="AI338" s="17" t="str">
        <f>IF(ISNUMBER('Model_ of_individuals'!AI350), 'Model_ of_individuals'!AI350*'Model_ of_individuals'!$K350,"")</f>
        <v/>
      </c>
      <c r="AJ338" s="17" t="str">
        <f>IF(ISNUMBER('Model_ of_individuals'!AJ350), 'Model_ of_individuals'!AJ350*'Model_ of_individuals'!$K350,"")</f>
        <v/>
      </c>
      <c r="AK338" s="17" t="str">
        <f>IF(ISNUMBER('Model_ of_individuals'!AK350), 'Model_ of_individuals'!AK350*'Model_ of_individuals'!$K350,"")</f>
        <v/>
      </c>
      <c r="AL338" s="17" t="str">
        <f>IF(ISNUMBER('Model_ of_individuals'!AL350), 'Model_ of_individuals'!AL350*'Model_ of_individuals'!$K350,"")</f>
        <v/>
      </c>
      <c r="AM338" s="17" t="str">
        <f>IF(ISNUMBER('Model_ of_individuals'!AM350), 'Model_ of_individuals'!AM350*'Model_ of_individuals'!$K350,"")</f>
        <v/>
      </c>
      <c r="AN338" s="17" t="str">
        <f>IF(ISNUMBER('Model_ of_individuals'!AN350), 'Model_ of_individuals'!AN350*'Model_ of_individuals'!$K350,"")</f>
        <v/>
      </c>
      <c r="AO338" s="17" t="str">
        <f>IF(ISNUMBER('Model_ of_individuals'!AO350), 'Model_ of_individuals'!AO350*'Model_ of_individuals'!$K350,"")</f>
        <v/>
      </c>
      <c r="AP338" s="17" t="str">
        <f>IF(ISNUMBER('Model_ of_individuals'!AP350), 'Model_ of_individuals'!AP350*'Model_ of_individuals'!$K350,"")</f>
        <v/>
      </c>
      <c r="AQ338" s="17" t="str">
        <f>IF(ISNUMBER('Model_ of_individuals'!AQ350), 'Model_ of_individuals'!AQ350*'Model_ of_individuals'!$K350,"")</f>
        <v/>
      </c>
      <c r="AR338" s="17" t="str">
        <f>IF(ISNUMBER('Model_ of_individuals'!AR350), 'Model_ of_individuals'!AR350*'Model_ of_individuals'!$K350,"")</f>
        <v/>
      </c>
      <c r="AS338" s="17" t="str">
        <f>IF(ISNUMBER('Model_ of_individuals'!AS350), 'Model_ of_individuals'!AS350*'Model_ of_individuals'!$K350,"")</f>
        <v/>
      </c>
      <c r="AT338" s="17" t="str">
        <f>IF(ISNUMBER('Model_ of_individuals'!AT350), 'Model_ of_individuals'!AT350*'Model_ of_individuals'!$K350,"")</f>
        <v/>
      </c>
    </row>
    <row r="339" spans="1:46" x14ac:dyDescent="0.25">
      <c r="A339" s="518"/>
      <c r="B339" s="504"/>
      <c r="C339" s="107" t="str">
        <f>IF(AND(ISNUMBER(B333), OR('Cost Inputs'!$H$111&lt;&gt;"", 'Cost Inputs'!$I$111&lt;&gt;"", 'Cost Inputs'!$J$111&lt;&gt;"")), _4_4_2, "")</f>
        <v/>
      </c>
      <c r="D339" s="93" t="str">
        <f>IF(AND(C339&lt;&gt;"", 'Cost Inputs'!$G$111&lt;&gt;""), 'Cost Inputs'!$G$111, "")</f>
        <v/>
      </c>
      <c r="E339" s="93" t="str">
        <f>IF(AND(C339&lt;&gt;"", 'Cost Inputs'!$H$111&lt;&gt;""), 'Cost Inputs'!$H$111, "")</f>
        <v/>
      </c>
      <c r="F339" s="93" t="str">
        <f>IF(AND(C339&lt;&gt;"", 'Cost Inputs'!$I$111&lt;&gt;""), 'Cost Inputs'!$I$111, "")</f>
        <v/>
      </c>
      <c r="G339" s="108" t="str">
        <f t="shared" si="25"/>
        <v/>
      </c>
      <c r="H339" s="93" t="str">
        <f>IF(AND(C339&lt;&gt;"", 'Cost Inputs'!$J$111&lt;&gt;""), 'Cost Inputs'!$J$111, "")</f>
        <v/>
      </c>
      <c r="I339" s="93" t="str">
        <f t="shared" si="26"/>
        <v/>
      </c>
      <c r="J339" s="93" t="str">
        <f>IF(AND(C339&lt;&gt;"",('Cost Inputs'!$I$111+'Cost Inputs'!$J$111+'Cost Inputs'!$K$111)&gt;0), 'Cost Inputs'!$I$111+'Cost Inputs'!$J$111+'Cost Inputs'!$K$111, "")</f>
        <v/>
      </c>
      <c r="K339" s="93" t="str">
        <f t="shared" si="27"/>
        <v/>
      </c>
      <c r="L339" s="525"/>
      <c r="M339" s="525"/>
      <c r="Q339" s="93" t="str">
        <f>IF(ISNUMBER('Model_ of_individuals'!Q351), 'Model_ of_individuals'!Q351*'Model_ of_individuals'!$K351,"")</f>
        <v/>
      </c>
      <c r="R339" s="93" t="str">
        <f>IF(ISNUMBER('Model_ of_individuals'!R351), 'Model_ of_individuals'!R351*'Model_ of_individuals'!$K351,"")</f>
        <v/>
      </c>
      <c r="S339" s="93" t="str">
        <f>IF(ISNUMBER('Model_ of_individuals'!S351), 'Model_ of_individuals'!S351*'Model_ of_individuals'!$K351,"")</f>
        <v/>
      </c>
      <c r="T339" s="93" t="str">
        <f>IF(ISNUMBER('Model_ of_individuals'!T351), 'Model_ of_individuals'!T351*'Model_ of_individuals'!$K351,"")</f>
        <v/>
      </c>
      <c r="U339" s="93" t="str">
        <f>IF(ISNUMBER('Model_ of_individuals'!U351), 'Model_ of_individuals'!U351*'Model_ of_individuals'!$K351,"")</f>
        <v/>
      </c>
      <c r="V339" s="93" t="str">
        <f>IF(ISNUMBER('Model_ of_individuals'!V351), 'Model_ of_individuals'!V351*'Model_ of_individuals'!$K351,"")</f>
        <v/>
      </c>
      <c r="W339" s="93" t="str">
        <f>IF(ISNUMBER('Model_ of_individuals'!W351), 'Model_ of_individuals'!W351*'Model_ of_individuals'!$K351,"")</f>
        <v/>
      </c>
      <c r="X339" s="93" t="str">
        <f>IF(ISNUMBER('Model_ of_individuals'!X351), 'Model_ of_individuals'!X351*'Model_ of_individuals'!$K351,"")</f>
        <v/>
      </c>
      <c r="Y339" s="93" t="str">
        <f>IF(ISNUMBER('Model_ of_individuals'!Y351), 'Model_ of_individuals'!Y351*'Model_ of_individuals'!$K351,"")</f>
        <v/>
      </c>
      <c r="Z339" s="93" t="str">
        <f>IF(ISNUMBER('Model_ of_individuals'!Z351), 'Model_ of_individuals'!Z351*'Model_ of_individuals'!$K351,"")</f>
        <v/>
      </c>
      <c r="AA339" s="93" t="str">
        <f>IF(ISNUMBER('Model_ of_individuals'!AA351), 'Model_ of_individuals'!AA351*'Model_ of_individuals'!$K351,"")</f>
        <v/>
      </c>
      <c r="AB339" s="93" t="str">
        <f>IF(ISNUMBER('Model_ of_individuals'!AB351), 'Model_ of_individuals'!AB351*'Model_ of_individuals'!$K351,"")</f>
        <v/>
      </c>
      <c r="AC339" s="93" t="str">
        <f>IF(ISNUMBER('Model_ of_individuals'!AC351), 'Model_ of_individuals'!AC351*'Model_ of_individuals'!$K351,"")</f>
        <v/>
      </c>
      <c r="AD339" s="93" t="str">
        <f>IF(ISNUMBER('Model_ of_individuals'!AD351), 'Model_ of_individuals'!AD351*'Model_ of_individuals'!$K351,"")</f>
        <v/>
      </c>
      <c r="AE339" s="93" t="str">
        <f>IF(ISNUMBER('Model_ of_individuals'!AE351), 'Model_ of_individuals'!AE351*'Model_ of_individuals'!$K351,"")</f>
        <v/>
      </c>
      <c r="AF339" s="93" t="str">
        <f>IF(ISNUMBER('Model_ of_individuals'!AF351), 'Model_ of_individuals'!AF351*'Model_ of_individuals'!$K351,"")</f>
        <v/>
      </c>
      <c r="AG339" s="93" t="str">
        <f>IF(ISNUMBER('Model_ of_individuals'!AG351), 'Model_ of_individuals'!AG351*'Model_ of_individuals'!$K351,"")</f>
        <v/>
      </c>
      <c r="AH339" s="93" t="str">
        <f>IF(ISNUMBER('Model_ of_individuals'!AH351), 'Model_ of_individuals'!AH351*'Model_ of_individuals'!$K351,"")</f>
        <v/>
      </c>
      <c r="AI339" s="93" t="str">
        <f>IF(ISNUMBER('Model_ of_individuals'!AI351), 'Model_ of_individuals'!AI351*'Model_ of_individuals'!$K351,"")</f>
        <v/>
      </c>
      <c r="AJ339" s="93" t="str">
        <f>IF(ISNUMBER('Model_ of_individuals'!AJ351), 'Model_ of_individuals'!AJ351*'Model_ of_individuals'!$K351,"")</f>
        <v/>
      </c>
      <c r="AK339" s="93" t="str">
        <f>IF(ISNUMBER('Model_ of_individuals'!AK351), 'Model_ of_individuals'!AK351*'Model_ of_individuals'!$K351,"")</f>
        <v/>
      </c>
      <c r="AL339" s="93" t="str">
        <f>IF(ISNUMBER('Model_ of_individuals'!AL351), 'Model_ of_individuals'!AL351*'Model_ of_individuals'!$K351,"")</f>
        <v/>
      </c>
      <c r="AM339" s="93" t="str">
        <f>IF(ISNUMBER('Model_ of_individuals'!AM351), 'Model_ of_individuals'!AM351*'Model_ of_individuals'!$K351,"")</f>
        <v/>
      </c>
      <c r="AN339" s="93" t="str">
        <f>IF(ISNUMBER('Model_ of_individuals'!AN351), 'Model_ of_individuals'!AN351*'Model_ of_individuals'!$K351,"")</f>
        <v/>
      </c>
      <c r="AO339" s="93" t="str">
        <f>IF(ISNUMBER('Model_ of_individuals'!AO351), 'Model_ of_individuals'!AO351*'Model_ of_individuals'!$K351,"")</f>
        <v/>
      </c>
      <c r="AP339" s="93" t="str">
        <f>IF(ISNUMBER('Model_ of_individuals'!AP351), 'Model_ of_individuals'!AP351*'Model_ of_individuals'!$K351,"")</f>
        <v/>
      </c>
      <c r="AQ339" s="93" t="str">
        <f>IF(ISNUMBER('Model_ of_individuals'!AQ351), 'Model_ of_individuals'!AQ351*'Model_ of_individuals'!$K351,"")</f>
        <v/>
      </c>
      <c r="AR339" s="93" t="str">
        <f>IF(ISNUMBER('Model_ of_individuals'!AR351), 'Model_ of_individuals'!AR351*'Model_ of_individuals'!$K351,"")</f>
        <v/>
      </c>
      <c r="AS339" s="93" t="str">
        <f>IF(ISNUMBER('Model_ of_individuals'!AS351), 'Model_ of_individuals'!AS351*'Model_ of_individuals'!$K351,"")</f>
        <v/>
      </c>
      <c r="AT339" s="93" t="str">
        <f>IF(ISNUMBER('Model_ of_individuals'!AT351), 'Model_ of_individuals'!AT351*'Model_ of_individuals'!$K351,"")</f>
        <v/>
      </c>
    </row>
    <row r="340" spans="1:46" x14ac:dyDescent="0.25">
      <c r="A340" s="518"/>
      <c r="B340" s="504"/>
      <c r="C340" s="104" t="str">
        <f>IF(AND(ISNUMBER(B333), OR('Cost Inputs'!$H$112&lt;&gt;"", 'Cost Inputs'!$I$112&lt;&gt;"", 'Cost Inputs'!$J$112&lt;&gt;"")), _4_4_3, "")</f>
        <v/>
      </c>
      <c r="D340" s="17" t="str">
        <f>IF(AND(C340&lt;&gt;"", 'Cost Inputs'!$G$112&lt;&gt;""), 'Cost Inputs'!$G$112, "")</f>
        <v/>
      </c>
      <c r="E340" s="17" t="str">
        <f>IF(AND(C340&lt;&gt;"", 'Cost Inputs'!$H$112&lt;&gt;""), 'Cost Inputs'!$H$112, "")</f>
        <v/>
      </c>
      <c r="F340" s="17" t="str">
        <f>IF(AND(C340&lt;&gt;"", 'Cost Inputs'!$I$112&lt;&gt;""), 'Cost Inputs'!$I$112, "")</f>
        <v/>
      </c>
      <c r="G340" s="105" t="str">
        <f t="shared" si="25"/>
        <v/>
      </c>
      <c r="H340" s="17" t="str">
        <f>IF(AND(C340&lt;&gt;"", 'Cost Inputs'!$J$112&lt;&gt;""), 'Cost Inputs'!$J$112, "")</f>
        <v/>
      </c>
      <c r="I340" s="17" t="str">
        <f t="shared" si="26"/>
        <v/>
      </c>
      <c r="J340" s="17" t="str">
        <f>IF(AND(C340&lt;&gt;"",('Cost Inputs'!$I$112+'Cost Inputs'!$J$112+'Cost Inputs'!$K$112)&gt;0), 'Cost Inputs'!$I$112+'Cost Inputs'!$J$112+'Cost Inputs'!$K$112, "")</f>
        <v/>
      </c>
      <c r="K340" s="17" t="str">
        <f t="shared" si="27"/>
        <v/>
      </c>
      <c r="L340" s="525"/>
      <c r="M340" s="525"/>
      <c r="Q340" s="17" t="str">
        <f>IF(ISNUMBER('Model_ of_individuals'!Q352), 'Model_ of_individuals'!Q352*'Model_ of_individuals'!$K352,"")</f>
        <v/>
      </c>
      <c r="R340" s="17" t="str">
        <f>IF(ISNUMBER('Model_ of_individuals'!R352), 'Model_ of_individuals'!R352*'Model_ of_individuals'!$K352,"")</f>
        <v/>
      </c>
      <c r="S340" s="17" t="str">
        <f>IF(ISNUMBER('Model_ of_individuals'!S352), 'Model_ of_individuals'!S352*'Model_ of_individuals'!$K352,"")</f>
        <v/>
      </c>
      <c r="T340" s="17" t="str">
        <f>IF(ISNUMBER('Model_ of_individuals'!T352), 'Model_ of_individuals'!T352*'Model_ of_individuals'!$K352,"")</f>
        <v/>
      </c>
      <c r="U340" s="17" t="str">
        <f>IF(ISNUMBER('Model_ of_individuals'!U352), 'Model_ of_individuals'!U352*'Model_ of_individuals'!$K352,"")</f>
        <v/>
      </c>
      <c r="V340" s="17" t="str">
        <f>IF(ISNUMBER('Model_ of_individuals'!V352), 'Model_ of_individuals'!V352*'Model_ of_individuals'!$K352,"")</f>
        <v/>
      </c>
      <c r="W340" s="17" t="str">
        <f>IF(ISNUMBER('Model_ of_individuals'!W352), 'Model_ of_individuals'!W352*'Model_ of_individuals'!$K352,"")</f>
        <v/>
      </c>
      <c r="X340" s="17" t="str">
        <f>IF(ISNUMBER('Model_ of_individuals'!X352), 'Model_ of_individuals'!X352*'Model_ of_individuals'!$K352,"")</f>
        <v/>
      </c>
      <c r="Y340" s="17" t="str">
        <f>IF(ISNUMBER('Model_ of_individuals'!Y352), 'Model_ of_individuals'!Y352*'Model_ of_individuals'!$K352,"")</f>
        <v/>
      </c>
      <c r="Z340" s="17" t="str">
        <f>IF(ISNUMBER('Model_ of_individuals'!Z352), 'Model_ of_individuals'!Z352*'Model_ of_individuals'!$K352,"")</f>
        <v/>
      </c>
      <c r="AA340" s="17" t="str">
        <f>IF(ISNUMBER('Model_ of_individuals'!AA352), 'Model_ of_individuals'!AA352*'Model_ of_individuals'!$K352,"")</f>
        <v/>
      </c>
      <c r="AB340" s="17" t="str">
        <f>IF(ISNUMBER('Model_ of_individuals'!AB352), 'Model_ of_individuals'!AB352*'Model_ of_individuals'!$K352,"")</f>
        <v/>
      </c>
      <c r="AC340" s="17" t="str">
        <f>IF(ISNUMBER('Model_ of_individuals'!AC352), 'Model_ of_individuals'!AC352*'Model_ of_individuals'!$K352,"")</f>
        <v/>
      </c>
      <c r="AD340" s="17" t="str">
        <f>IF(ISNUMBER('Model_ of_individuals'!AD352), 'Model_ of_individuals'!AD352*'Model_ of_individuals'!$K352,"")</f>
        <v/>
      </c>
      <c r="AE340" s="17" t="str">
        <f>IF(ISNUMBER('Model_ of_individuals'!AE352), 'Model_ of_individuals'!AE352*'Model_ of_individuals'!$K352,"")</f>
        <v/>
      </c>
      <c r="AF340" s="17" t="str">
        <f>IF(ISNUMBER('Model_ of_individuals'!AF352), 'Model_ of_individuals'!AF352*'Model_ of_individuals'!$K352,"")</f>
        <v/>
      </c>
      <c r="AG340" s="17" t="str">
        <f>IF(ISNUMBER('Model_ of_individuals'!AG352), 'Model_ of_individuals'!AG352*'Model_ of_individuals'!$K352,"")</f>
        <v/>
      </c>
      <c r="AH340" s="17" t="str">
        <f>IF(ISNUMBER('Model_ of_individuals'!AH352), 'Model_ of_individuals'!AH352*'Model_ of_individuals'!$K352,"")</f>
        <v/>
      </c>
      <c r="AI340" s="17" t="str">
        <f>IF(ISNUMBER('Model_ of_individuals'!AI352), 'Model_ of_individuals'!AI352*'Model_ of_individuals'!$K352,"")</f>
        <v/>
      </c>
      <c r="AJ340" s="17" t="str">
        <f>IF(ISNUMBER('Model_ of_individuals'!AJ352), 'Model_ of_individuals'!AJ352*'Model_ of_individuals'!$K352,"")</f>
        <v/>
      </c>
      <c r="AK340" s="17" t="str">
        <f>IF(ISNUMBER('Model_ of_individuals'!AK352), 'Model_ of_individuals'!AK352*'Model_ of_individuals'!$K352,"")</f>
        <v/>
      </c>
      <c r="AL340" s="17" t="str">
        <f>IF(ISNUMBER('Model_ of_individuals'!AL352), 'Model_ of_individuals'!AL352*'Model_ of_individuals'!$K352,"")</f>
        <v/>
      </c>
      <c r="AM340" s="17" t="str">
        <f>IF(ISNUMBER('Model_ of_individuals'!AM352), 'Model_ of_individuals'!AM352*'Model_ of_individuals'!$K352,"")</f>
        <v/>
      </c>
      <c r="AN340" s="17" t="str">
        <f>IF(ISNUMBER('Model_ of_individuals'!AN352), 'Model_ of_individuals'!AN352*'Model_ of_individuals'!$K352,"")</f>
        <v/>
      </c>
      <c r="AO340" s="17" t="str">
        <f>IF(ISNUMBER('Model_ of_individuals'!AO352), 'Model_ of_individuals'!AO352*'Model_ of_individuals'!$K352,"")</f>
        <v/>
      </c>
      <c r="AP340" s="17" t="str">
        <f>IF(ISNUMBER('Model_ of_individuals'!AP352), 'Model_ of_individuals'!AP352*'Model_ of_individuals'!$K352,"")</f>
        <v/>
      </c>
      <c r="AQ340" s="17" t="str">
        <f>IF(ISNUMBER('Model_ of_individuals'!AQ352), 'Model_ of_individuals'!AQ352*'Model_ of_individuals'!$K352,"")</f>
        <v/>
      </c>
      <c r="AR340" s="17" t="str">
        <f>IF(ISNUMBER('Model_ of_individuals'!AR352), 'Model_ of_individuals'!AR352*'Model_ of_individuals'!$K352,"")</f>
        <v/>
      </c>
      <c r="AS340" s="17" t="str">
        <f>IF(ISNUMBER('Model_ of_individuals'!AS352), 'Model_ of_individuals'!AS352*'Model_ of_individuals'!$K352,"")</f>
        <v/>
      </c>
      <c r="AT340" s="17" t="str">
        <f>IF(ISNUMBER('Model_ of_individuals'!AT352), 'Model_ of_individuals'!AT352*'Model_ of_individuals'!$K352,"")</f>
        <v/>
      </c>
    </row>
    <row r="341" spans="1:46" x14ac:dyDescent="0.25">
      <c r="A341" s="518"/>
      <c r="B341" s="504"/>
      <c r="C341" s="107" t="str">
        <f>IF(AND(ISNUMBER(B333), OR('Cost Inputs'!$H$113&lt;&gt;"", 'Cost Inputs'!$I$113&lt;&gt;"", 'Cost Inputs'!$J$113&lt;&gt;"")), _4_4_4, "")</f>
        <v/>
      </c>
      <c r="D341" s="93" t="str">
        <f>IF(AND(C341&lt;&gt;"", 'Cost Inputs'!$G$113&lt;&gt;""), 'Cost Inputs'!$G$113, "")</f>
        <v/>
      </c>
      <c r="E341" s="93" t="str">
        <f>IF(AND(C341&lt;&gt;"", 'Cost Inputs'!$H$113&lt;&gt;""), 'Cost Inputs'!$H$113, "")</f>
        <v/>
      </c>
      <c r="F341" s="93" t="str">
        <f>IF(AND(C341&lt;&gt;"", 'Cost Inputs'!$I$113&lt;&gt;""), 'Cost Inputs'!$I$113, "")</f>
        <v/>
      </c>
      <c r="G341" s="108" t="str">
        <f t="shared" si="25"/>
        <v/>
      </c>
      <c r="H341" s="93" t="str">
        <f>IF(AND(C341&lt;&gt;"", 'Cost Inputs'!$J$113&lt;&gt;""), 'Cost Inputs'!$J$113, "")</f>
        <v/>
      </c>
      <c r="I341" s="93" t="str">
        <f t="shared" si="26"/>
        <v/>
      </c>
      <c r="J341" s="93" t="str">
        <f>IF(AND(C341&lt;&gt;"",('Cost Inputs'!$I$113+'Cost Inputs'!$J$113+'Cost Inputs'!$K$113)&gt;0), 'Cost Inputs'!$I$113+'Cost Inputs'!$J$113+'Cost Inputs'!$K$113, "")</f>
        <v/>
      </c>
      <c r="K341" s="93" t="str">
        <f t="shared" si="27"/>
        <v/>
      </c>
      <c r="L341" s="525"/>
      <c r="M341" s="525"/>
      <c r="Q341" s="93" t="str">
        <f>IF(ISNUMBER('Model_ of_individuals'!Q353), 'Model_ of_individuals'!Q353*'Model_ of_individuals'!$K353,"")</f>
        <v/>
      </c>
      <c r="R341" s="93" t="str">
        <f>IF(ISNUMBER('Model_ of_individuals'!R353), 'Model_ of_individuals'!R353*'Model_ of_individuals'!$K353,"")</f>
        <v/>
      </c>
      <c r="S341" s="93" t="str">
        <f>IF(ISNUMBER('Model_ of_individuals'!S353), 'Model_ of_individuals'!S353*'Model_ of_individuals'!$K353,"")</f>
        <v/>
      </c>
      <c r="T341" s="93" t="str">
        <f>IF(ISNUMBER('Model_ of_individuals'!T353), 'Model_ of_individuals'!T353*'Model_ of_individuals'!$K353,"")</f>
        <v/>
      </c>
      <c r="U341" s="93" t="str">
        <f>IF(ISNUMBER('Model_ of_individuals'!U353), 'Model_ of_individuals'!U353*'Model_ of_individuals'!$K353,"")</f>
        <v/>
      </c>
      <c r="V341" s="93" t="str">
        <f>IF(ISNUMBER('Model_ of_individuals'!V353), 'Model_ of_individuals'!V353*'Model_ of_individuals'!$K353,"")</f>
        <v/>
      </c>
      <c r="W341" s="93" t="str">
        <f>IF(ISNUMBER('Model_ of_individuals'!W353), 'Model_ of_individuals'!W353*'Model_ of_individuals'!$K353,"")</f>
        <v/>
      </c>
      <c r="X341" s="93" t="str">
        <f>IF(ISNUMBER('Model_ of_individuals'!X353), 'Model_ of_individuals'!X353*'Model_ of_individuals'!$K353,"")</f>
        <v/>
      </c>
      <c r="Y341" s="93" t="str">
        <f>IF(ISNUMBER('Model_ of_individuals'!Y353), 'Model_ of_individuals'!Y353*'Model_ of_individuals'!$K353,"")</f>
        <v/>
      </c>
      <c r="Z341" s="93" t="str">
        <f>IF(ISNUMBER('Model_ of_individuals'!Z353), 'Model_ of_individuals'!Z353*'Model_ of_individuals'!$K353,"")</f>
        <v/>
      </c>
      <c r="AA341" s="93" t="str">
        <f>IF(ISNUMBER('Model_ of_individuals'!AA353), 'Model_ of_individuals'!AA353*'Model_ of_individuals'!$K353,"")</f>
        <v/>
      </c>
      <c r="AB341" s="93" t="str">
        <f>IF(ISNUMBER('Model_ of_individuals'!AB353), 'Model_ of_individuals'!AB353*'Model_ of_individuals'!$K353,"")</f>
        <v/>
      </c>
      <c r="AC341" s="93" t="str">
        <f>IF(ISNUMBER('Model_ of_individuals'!AC353), 'Model_ of_individuals'!AC353*'Model_ of_individuals'!$K353,"")</f>
        <v/>
      </c>
      <c r="AD341" s="93" t="str">
        <f>IF(ISNUMBER('Model_ of_individuals'!AD353), 'Model_ of_individuals'!AD353*'Model_ of_individuals'!$K353,"")</f>
        <v/>
      </c>
      <c r="AE341" s="93" t="str">
        <f>IF(ISNUMBER('Model_ of_individuals'!AE353), 'Model_ of_individuals'!AE353*'Model_ of_individuals'!$K353,"")</f>
        <v/>
      </c>
      <c r="AF341" s="93" t="str">
        <f>IF(ISNUMBER('Model_ of_individuals'!AF353), 'Model_ of_individuals'!AF353*'Model_ of_individuals'!$K353,"")</f>
        <v/>
      </c>
      <c r="AG341" s="93" t="str">
        <f>IF(ISNUMBER('Model_ of_individuals'!AG353), 'Model_ of_individuals'!AG353*'Model_ of_individuals'!$K353,"")</f>
        <v/>
      </c>
      <c r="AH341" s="93" t="str">
        <f>IF(ISNUMBER('Model_ of_individuals'!AH353), 'Model_ of_individuals'!AH353*'Model_ of_individuals'!$K353,"")</f>
        <v/>
      </c>
      <c r="AI341" s="93" t="str">
        <f>IF(ISNUMBER('Model_ of_individuals'!AI353), 'Model_ of_individuals'!AI353*'Model_ of_individuals'!$K353,"")</f>
        <v/>
      </c>
      <c r="AJ341" s="93" t="str">
        <f>IF(ISNUMBER('Model_ of_individuals'!AJ353), 'Model_ of_individuals'!AJ353*'Model_ of_individuals'!$K353,"")</f>
        <v/>
      </c>
      <c r="AK341" s="93" t="str">
        <f>IF(ISNUMBER('Model_ of_individuals'!AK353), 'Model_ of_individuals'!AK353*'Model_ of_individuals'!$K353,"")</f>
        <v/>
      </c>
      <c r="AL341" s="93" t="str">
        <f>IF(ISNUMBER('Model_ of_individuals'!AL353), 'Model_ of_individuals'!AL353*'Model_ of_individuals'!$K353,"")</f>
        <v/>
      </c>
      <c r="AM341" s="93" t="str">
        <f>IF(ISNUMBER('Model_ of_individuals'!AM353), 'Model_ of_individuals'!AM353*'Model_ of_individuals'!$K353,"")</f>
        <v/>
      </c>
      <c r="AN341" s="93" t="str">
        <f>IF(ISNUMBER('Model_ of_individuals'!AN353), 'Model_ of_individuals'!AN353*'Model_ of_individuals'!$K353,"")</f>
        <v/>
      </c>
      <c r="AO341" s="93" t="str">
        <f>IF(ISNUMBER('Model_ of_individuals'!AO353), 'Model_ of_individuals'!AO353*'Model_ of_individuals'!$K353,"")</f>
        <v/>
      </c>
      <c r="AP341" s="93" t="str">
        <f>IF(ISNUMBER('Model_ of_individuals'!AP353), 'Model_ of_individuals'!AP353*'Model_ of_individuals'!$K353,"")</f>
        <v/>
      </c>
      <c r="AQ341" s="93" t="str">
        <f>IF(ISNUMBER('Model_ of_individuals'!AQ353), 'Model_ of_individuals'!AQ353*'Model_ of_individuals'!$K353,"")</f>
        <v/>
      </c>
      <c r="AR341" s="93" t="str">
        <f>IF(ISNUMBER('Model_ of_individuals'!AR353), 'Model_ of_individuals'!AR353*'Model_ of_individuals'!$K353,"")</f>
        <v/>
      </c>
      <c r="AS341" s="93" t="str">
        <f>IF(ISNUMBER('Model_ of_individuals'!AS353), 'Model_ of_individuals'!AS353*'Model_ of_individuals'!$K353,"")</f>
        <v/>
      </c>
      <c r="AT341" s="93" t="str">
        <f>IF(ISNUMBER('Model_ of_individuals'!AT353), 'Model_ of_individuals'!AT353*'Model_ of_individuals'!$K353,"")</f>
        <v/>
      </c>
    </row>
    <row r="342" spans="1:46" x14ac:dyDescent="0.25">
      <c r="A342" s="518"/>
      <c r="B342" s="504"/>
      <c r="C342" s="104" t="str">
        <f>IF(AND(ISNUMBER(B333), OR('Cost Inputs'!$H$114&lt;&gt;"", 'Cost Inputs'!$I$114&lt;&gt;"", 'Cost Inputs'!$J$114&lt;&gt;"")), _4_4_5, "")</f>
        <v/>
      </c>
      <c r="D342" s="17" t="str">
        <f>IF(AND(C342&lt;&gt;"", 'Cost Inputs'!$G$114&lt;&gt;""), 'Cost Inputs'!$G$114, "")</f>
        <v/>
      </c>
      <c r="E342" s="17" t="str">
        <f>IF(AND(C342&lt;&gt;"", 'Cost Inputs'!$H$114&lt;&gt;""), 'Cost Inputs'!$H$114, "")</f>
        <v/>
      </c>
      <c r="F342" s="17" t="str">
        <f>IF(AND(C342&lt;&gt;"", 'Cost Inputs'!$I$114&lt;&gt;""), 'Cost Inputs'!$I$114, "")</f>
        <v/>
      </c>
      <c r="G342" s="105" t="str">
        <f t="shared" si="25"/>
        <v/>
      </c>
      <c r="H342" s="17" t="str">
        <f>IF(AND(C342&lt;&gt;"", 'Cost Inputs'!$J$114&lt;&gt;""), 'Cost Inputs'!$J$114, "")</f>
        <v/>
      </c>
      <c r="I342" s="17" t="str">
        <f t="shared" si="26"/>
        <v/>
      </c>
      <c r="J342" s="17" t="str">
        <f>IF(AND(C342&lt;&gt;"",('Cost Inputs'!$I$114+'Cost Inputs'!$J$114+'Cost Inputs'!$K$114)&gt;0), 'Cost Inputs'!$I$114+'Cost Inputs'!$J$114+'Cost Inputs'!$K$114, "")</f>
        <v/>
      </c>
      <c r="K342" s="17" t="str">
        <f t="shared" si="27"/>
        <v/>
      </c>
      <c r="L342" s="525"/>
      <c r="M342" s="525"/>
      <c r="Q342" s="17" t="str">
        <f>IF(ISNUMBER('Model_ of_individuals'!Q354), 'Model_ of_individuals'!Q354*'Model_ of_individuals'!$K354,"")</f>
        <v/>
      </c>
      <c r="R342" s="17" t="str">
        <f>IF(ISNUMBER('Model_ of_individuals'!R354), 'Model_ of_individuals'!R354*'Model_ of_individuals'!$K354,"")</f>
        <v/>
      </c>
      <c r="S342" s="17" t="str">
        <f>IF(ISNUMBER('Model_ of_individuals'!S354), 'Model_ of_individuals'!S354*'Model_ of_individuals'!$K354,"")</f>
        <v/>
      </c>
      <c r="T342" s="17" t="str">
        <f>IF(ISNUMBER('Model_ of_individuals'!T354), 'Model_ of_individuals'!T354*'Model_ of_individuals'!$K354,"")</f>
        <v/>
      </c>
      <c r="U342" s="17" t="str">
        <f>IF(ISNUMBER('Model_ of_individuals'!U354), 'Model_ of_individuals'!U354*'Model_ of_individuals'!$K354,"")</f>
        <v/>
      </c>
      <c r="V342" s="17" t="str">
        <f>IF(ISNUMBER('Model_ of_individuals'!V354), 'Model_ of_individuals'!V354*'Model_ of_individuals'!$K354,"")</f>
        <v/>
      </c>
      <c r="W342" s="17" t="str">
        <f>IF(ISNUMBER('Model_ of_individuals'!W354), 'Model_ of_individuals'!W354*'Model_ of_individuals'!$K354,"")</f>
        <v/>
      </c>
      <c r="X342" s="17" t="str">
        <f>IF(ISNUMBER('Model_ of_individuals'!X354), 'Model_ of_individuals'!X354*'Model_ of_individuals'!$K354,"")</f>
        <v/>
      </c>
      <c r="Y342" s="17" t="str">
        <f>IF(ISNUMBER('Model_ of_individuals'!Y354), 'Model_ of_individuals'!Y354*'Model_ of_individuals'!$K354,"")</f>
        <v/>
      </c>
      <c r="Z342" s="17" t="str">
        <f>IF(ISNUMBER('Model_ of_individuals'!Z354), 'Model_ of_individuals'!Z354*'Model_ of_individuals'!$K354,"")</f>
        <v/>
      </c>
      <c r="AA342" s="17" t="str">
        <f>IF(ISNUMBER('Model_ of_individuals'!AA354), 'Model_ of_individuals'!AA354*'Model_ of_individuals'!$K354,"")</f>
        <v/>
      </c>
      <c r="AB342" s="17" t="str">
        <f>IF(ISNUMBER('Model_ of_individuals'!AB354), 'Model_ of_individuals'!AB354*'Model_ of_individuals'!$K354,"")</f>
        <v/>
      </c>
      <c r="AC342" s="17" t="str">
        <f>IF(ISNUMBER('Model_ of_individuals'!AC354), 'Model_ of_individuals'!AC354*'Model_ of_individuals'!$K354,"")</f>
        <v/>
      </c>
      <c r="AD342" s="17" t="str">
        <f>IF(ISNUMBER('Model_ of_individuals'!AD354), 'Model_ of_individuals'!AD354*'Model_ of_individuals'!$K354,"")</f>
        <v/>
      </c>
      <c r="AE342" s="17" t="str">
        <f>IF(ISNUMBER('Model_ of_individuals'!AE354), 'Model_ of_individuals'!AE354*'Model_ of_individuals'!$K354,"")</f>
        <v/>
      </c>
      <c r="AF342" s="17" t="str">
        <f>IF(ISNUMBER('Model_ of_individuals'!AF354), 'Model_ of_individuals'!AF354*'Model_ of_individuals'!$K354,"")</f>
        <v/>
      </c>
      <c r="AG342" s="17" t="str">
        <f>IF(ISNUMBER('Model_ of_individuals'!AG354), 'Model_ of_individuals'!AG354*'Model_ of_individuals'!$K354,"")</f>
        <v/>
      </c>
      <c r="AH342" s="17" t="str">
        <f>IF(ISNUMBER('Model_ of_individuals'!AH354), 'Model_ of_individuals'!AH354*'Model_ of_individuals'!$K354,"")</f>
        <v/>
      </c>
      <c r="AI342" s="17" t="str">
        <f>IF(ISNUMBER('Model_ of_individuals'!AI354), 'Model_ of_individuals'!AI354*'Model_ of_individuals'!$K354,"")</f>
        <v/>
      </c>
      <c r="AJ342" s="17" t="str">
        <f>IF(ISNUMBER('Model_ of_individuals'!AJ354), 'Model_ of_individuals'!AJ354*'Model_ of_individuals'!$K354,"")</f>
        <v/>
      </c>
      <c r="AK342" s="17" t="str">
        <f>IF(ISNUMBER('Model_ of_individuals'!AK354), 'Model_ of_individuals'!AK354*'Model_ of_individuals'!$K354,"")</f>
        <v/>
      </c>
      <c r="AL342" s="17" t="str">
        <f>IF(ISNUMBER('Model_ of_individuals'!AL354), 'Model_ of_individuals'!AL354*'Model_ of_individuals'!$K354,"")</f>
        <v/>
      </c>
      <c r="AM342" s="17" t="str">
        <f>IF(ISNUMBER('Model_ of_individuals'!AM354), 'Model_ of_individuals'!AM354*'Model_ of_individuals'!$K354,"")</f>
        <v/>
      </c>
      <c r="AN342" s="17" t="str">
        <f>IF(ISNUMBER('Model_ of_individuals'!AN354), 'Model_ of_individuals'!AN354*'Model_ of_individuals'!$K354,"")</f>
        <v/>
      </c>
      <c r="AO342" s="17" t="str">
        <f>IF(ISNUMBER('Model_ of_individuals'!AO354), 'Model_ of_individuals'!AO354*'Model_ of_individuals'!$K354,"")</f>
        <v/>
      </c>
      <c r="AP342" s="17" t="str">
        <f>IF(ISNUMBER('Model_ of_individuals'!AP354), 'Model_ of_individuals'!AP354*'Model_ of_individuals'!$K354,"")</f>
        <v/>
      </c>
      <c r="AQ342" s="17" t="str">
        <f>IF(ISNUMBER('Model_ of_individuals'!AQ354), 'Model_ of_individuals'!AQ354*'Model_ of_individuals'!$K354,"")</f>
        <v/>
      </c>
      <c r="AR342" s="17" t="str">
        <f>IF(ISNUMBER('Model_ of_individuals'!AR354), 'Model_ of_individuals'!AR354*'Model_ of_individuals'!$K354,"")</f>
        <v/>
      </c>
      <c r="AS342" s="17" t="str">
        <f>IF(ISNUMBER('Model_ of_individuals'!AS354), 'Model_ of_individuals'!AS354*'Model_ of_individuals'!$K354,"")</f>
        <v/>
      </c>
      <c r="AT342" s="17" t="str">
        <f>IF(ISNUMBER('Model_ of_individuals'!AT354), 'Model_ of_individuals'!AT354*'Model_ of_individuals'!$K354,"")</f>
        <v/>
      </c>
    </row>
    <row r="343" spans="1:46" x14ac:dyDescent="0.25">
      <c r="A343" s="518"/>
      <c r="B343" s="504"/>
      <c r="C343" s="107" t="str">
        <f>IF(AND(ISNUMBER(B333), OR('Cost Inputs'!$H$115&lt;&gt;"", 'Cost Inputs'!$I$115&lt;&gt;"", 'Cost Inputs'!$J$115&lt;&gt;"")), _4_4_6, "")</f>
        <v/>
      </c>
      <c r="D343" s="93" t="str">
        <f>IF(AND(C343&lt;&gt;"", 'Cost Inputs'!$G$115&lt;&gt;""), 'Cost Inputs'!$G$115, "")</f>
        <v/>
      </c>
      <c r="E343" s="93" t="str">
        <f>IF(AND(C343&lt;&gt;"", 'Cost Inputs'!$H$115&lt;&gt;""), 'Cost Inputs'!$H$115, "")</f>
        <v/>
      </c>
      <c r="F343" s="93" t="str">
        <f>IF(AND(C343&lt;&gt;"", 'Cost Inputs'!$I$115&lt;&gt;""), 'Cost Inputs'!$I$115, "")</f>
        <v/>
      </c>
      <c r="G343" s="108" t="str">
        <f t="shared" si="25"/>
        <v/>
      </c>
      <c r="H343" s="93" t="str">
        <f>IF(AND(C343&lt;&gt;"", 'Cost Inputs'!$J$115&lt;&gt;""), 'Cost Inputs'!$J$115, "")</f>
        <v/>
      </c>
      <c r="I343" s="93" t="str">
        <f t="shared" si="26"/>
        <v/>
      </c>
      <c r="J343" s="93" t="str">
        <f>IF(AND(C343&lt;&gt;"",('Cost Inputs'!$I$115+'Cost Inputs'!$J$115+'Cost Inputs'!$K$115)&gt;0), 'Cost Inputs'!$I$115+'Cost Inputs'!$J$115+'Cost Inputs'!$K$115, "")</f>
        <v/>
      </c>
      <c r="K343" s="93" t="str">
        <f t="shared" si="27"/>
        <v/>
      </c>
      <c r="L343" s="525"/>
      <c r="M343" s="525"/>
      <c r="Q343" s="93" t="str">
        <f>IF(ISNUMBER('Model_ of_individuals'!Q355), 'Model_ of_individuals'!Q355*'Model_ of_individuals'!$K355,"")</f>
        <v/>
      </c>
      <c r="R343" s="93" t="str">
        <f>IF(ISNUMBER('Model_ of_individuals'!R355), 'Model_ of_individuals'!R355*'Model_ of_individuals'!$K355,"")</f>
        <v/>
      </c>
      <c r="S343" s="93" t="str">
        <f>IF(ISNUMBER('Model_ of_individuals'!S355), 'Model_ of_individuals'!S355*'Model_ of_individuals'!$K355,"")</f>
        <v/>
      </c>
      <c r="T343" s="93" t="str">
        <f>IF(ISNUMBER('Model_ of_individuals'!T355), 'Model_ of_individuals'!T355*'Model_ of_individuals'!$K355,"")</f>
        <v/>
      </c>
      <c r="U343" s="93" t="str">
        <f>IF(ISNUMBER('Model_ of_individuals'!U355), 'Model_ of_individuals'!U355*'Model_ of_individuals'!$K355,"")</f>
        <v/>
      </c>
      <c r="V343" s="93" t="str">
        <f>IF(ISNUMBER('Model_ of_individuals'!V355), 'Model_ of_individuals'!V355*'Model_ of_individuals'!$K355,"")</f>
        <v/>
      </c>
      <c r="W343" s="93" t="str">
        <f>IF(ISNUMBER('Model_ of_individuals'!W355), 'Model_ of_individuals'!W355*'Model_ of_individuals'!$K355,"")</f>
        <v/>
      </c>
      <c r="X343" s="93" t="str">
        <f>IF(ISNUMBER('Model_ of_individuals'!X355), 'Model_ of_individuals'!X355*'Model_ of_individuals'!$K355,"")</f>
        <v/>
      </c>
      <c r="Y343" s="93" t="str">
        <f>IF(ISNUMBER('Model_ of_individuals'!Y355), 'Model_ of_individuals'!Y355*'Model_ of_individuals'!$K355,"")</f>
        <v/>
      </c>
      <c r="Z343" s="93" t="str">
        <f>IF(ISNUMBER('Model_ of_individuals'!Z355), 'Model_ of_individuals'!Z355*'Model_ of_individuals'!$K355,"")</f>
        <v/>
      </c>
      <c r="AA343" s="93" t="str">
        <f>IF(ISNUMBER('Model_ of_individuals'!AA355), 'Model_ of_individuals'!AA355*'Model_ of_individuals'!$K355,"")</f>
        <v/>
      </c>
      <c r="AB343" s="93" t="str">
        <f>IF(ISNUMBER('Model_ of_individuals'!AB355), 'Model_ of_individuals'!AB355*'Model_ of_individuals'!$K355,"")</f>
        <v/>
      </c>
      <c r="AC343" s="93" t="str">
        <f>IF(ISNUMBER('Model_ of_individuals'!AC355), 'Model_ of_individuals'!AC355*'Model_ of_individuals'!$K355,"")</f>
        <v/>
      </c>
      <c r="AD343" s="93" t="str">
        <f>IF(ISNUMBER('Model_ of_individuals'!AD355), 'Model_ of_individuals'!AD355*'Model_ of_individuals'!$K355,"")</f>
        <v/>
      </c>
      <c r="AE343" s="93" t="str">
        <f>IF(ISNUMBER('Model_ of_individuals'!AE355), 'Model_ of_individuals'!AE355*'Model_ of_individuals'!$K355,"")</f>
        <v/>
      </c>
      <c r="AF343" s="93" t="str">
        <f>IF(ISNUMBER('Model_ of_individuals'!AF355), 'Model_ of_individuals'!AF355*'Model_ of_individuals'!$K355,"")</f>
        <v/>
      </c>
      <c r="AG343" s="93" t="str">
        <f>IF(ISNUMBER('Model_ of_individuals'!AG355), 'Model_ of_individuals'!AG355*'Model_ of_individuals'!$K355,"")</f>
        <v/>
      </c>
      <c r="AH343" s="93" t="str">
        <f>IF(ISNUMBER('Model_ of_individuals'!AH355), 'Model_ of_individuals'!AH355*'Model_ of_individuals'!$K355,"")</f>
        <v/>
      </c>
      <c r="AI343" s="93" t="str">
        <f>IF(ISNUMBER('Model_ of_individuals'!AI355), 'Model_ of_individuals'!AI355*'Model_ of_individuals'!$K355,"")</f>
        <v/>
      </c>
      <c r="AJ343" s="93" t="str">
        <f>IF(ISNUMBER('Model_ of_individuals'!AJ355), 'Model_ of_individuals'!AJ355*'Model_ of_individuals'!$K355,"")</f>
        <v/>
      </c>
      <c r="AK343" s="93" t="str">
        <f>IF(ISNUMBER('Model_ of_individuals'!AK355), 'Model_ of_individuals'!AK355*'Model_ of_individuals'!$K355,"")</f>
        <v/>
      </c>
      <c r="AL343" s="93" t="str">
        <f>IF(ISNUMBER('Model_ of_individuals'!AL355), 'Model_ of_individuals'!AL355*'Model_ of_individuals'!$K355,"")</f>
        <v/>
      </c>
      <c r="AM343" s="93" t="str">
        <f>IF(ISNUMBER('Model_ of_individuals'!AM355), 'Model_ of_individuals'!AM355*'Model_ of_individuals'!$K355,"")</f>
        <v/>
      </c>
      <c r="AN343" s="93" t="str">
        <f>IF(ISNUMBER('Model_ of_individuals'!AN355), 'Model_ of_individuals'!AN355*'Model_ of_individuals'!$K355,"")</f>
        <v/>
      </c>
      <c r="AO343" s="93" t="str">
        <f>IF(ISNUMBER('Model_ of_individuals'!AO355), 'Model_ of_individuals'!AO355*'Model_ of_individuals'!$K355,"")</f>
        <v/>
      </c>
      <c r="AP343" s="93" t="str">
        <f>IF(ISNUMBER('Model_ of_individuals'!AP355), 'Model_ of_individuals'!AP355*'Model_ of_individuals'!$K355,"")</f>
        <v/>
      </c>
      <c r="AQ343" s="93" t="str">
        <f>IF(ISNUMBER('Model_ of_individuals'!AQ355), 'Model_ of_individuals'!AQ355*'Model_ of_individuals'!$K355,"")</f>
        <v/>
      </c>
      <c r="AR343" s="93" t="str">
        <f>IF(ISNUMBER('Model_ of_individuals'!AR355), 'Model_ of_individuals'!AR355*'Model_ of_individuals'!$K355,"")</f>
        <v/>
      </c>
      <c r="AS343" s="93" t="str">
        <f>IF(ISNUMBER('Model_ of_individuals'!AS355), 'Model_ of_individuals'!AS355*'Model_ of_individuals'!$K355,"")</f>
        <v/>
      </c>
      <c r="AT343" s="93" t="str">
        <f>IF(ISNUMBER('Model_ of_individuals'!AT355), 'Model_ of_individuals'!AT355*'Model_ of_individuals'!$K355,"")</f>
        <v/>
      </c>
    </row>
    <row r="344" spans="1:46" x14ac:dyDescent="0.25">
      <c r="A344" s="518"/>
      <c r="B344" s="504"/>
      <c r="C344" s="521" t="str">
        <f>IF(AND(B333&lt;&gt;"", ISNUMBER(B333), ISNUMBER(Stage2EvaluationBegins)), IF((INDEX(ProgramYearStage2,MATCH(Stage2EvaluationBegins,Years_in_Stage2,0)))=B333, _4_5_0, IF(AND(B333&lt;&gt;"", C321&lt;&gt;""), _4_5_0, IF(AND(B333&lt;&gt;"", ISNUMBER(B333), OR(Stage2EvaluationBegins=0, Stage2EvaluationBegins="")),"", ""))),"")</f>
        <v/>
      </c>
      <c r="D344" s="94" t="str">
        <f>IF(AND(C344&lt;&gt;"", 'Cost Inputs'!$G$116&lt;&gt;""), 'Cost Inputs'!$G$116, "")</f>
        <v/>
      </c>
      <c r="E344" s="94" t="str">
        <f>IF(AND(C344&lt;&gt;"", 'Cost Inputs'!$H$116&lt;&gt;""), 'Cost Inputs'!$H$116, "")</f>
        <v/>
      </c>
      <c r="F344" s="492" t="str">
        <f>IF(AND(C344&lt;&gt;"", 'Cost Inputs'!$I$116&lt;&gt;""), 'Cost Inputs'!$I$116, "")</f>
        <v/>
      </c>
      <c r="G344" s="102" t="str">
        <f t="shared" si="25"/>
        <v/>
      </c>
      <c r="H344" s="492" t="str">
        <f>IF(AND(C344&lt;&gt;"", 'Cost Inputs'!$J$116&lt;&gt;""), 'Cost Inputs'!$J$116, "")</f>
        <v/>
      </c>
      <c r="I344" s="102" t="str">
        <f>IF($C344&lt;&gt;"",IF(AND($E344&lt;&gt;"",H344&lt;&gt;""), H344/$E344, 0),"")</f>
        <v/>
      </c>
      <c r="J344" s="492" t="str">
        <f>IF(AND(C344&lt;&gt;"",('Cost Inputs'!$I$116+'Cost Inputs'!$J$116+'Cost Inputs'!$K$116)&gt;0), 'Cost Inputs'!$I$116+'Cost Inputs'!$J$116+'Cost Inputs'!$K$116, "")</f>
        <v/>
      </c>
      <c r="K344" s="102" t="str">
        <f>IF($C344&lt;&gt;"",IF(AND($E344&lt;&gt;"",J344&lt;&gt;""), J344/$E344, 0),"")</f>
        <v/>
      </c>
      <c r="L344" s="525"/>
      <c r="M344" s="525"/>
      <c r="Q344" s="496" t="str">
        <f>IF(ISNUMBER('Model_ of_individuals'!Q357), 'Model_ of_individuals'!Q357*'Model_ of_individuals'!$K357,"")</f>
        <v/>
      </c>
      <c r="R344" s="496" t="str">
        <f>IF(ISNUMBER('Model_ of_individuals'!R357), 'Model_ of_individuals'!R357*'Model_ of_individuals'!$K357,"")</f>
        <v/>
      </c>
      <c r="S344" s="496" t="str">
        <f>IF(ISNUMBER('Model_ of_individuals'!S357), 'Model_ of_individuals'!S357*'Model_ of_individuals'!$K357,"")</f>
        <v/>
      </c>
      <c r="T344" s="496" t="str">
        <f>IF(ISNUMBER('Model_ of_individuals'!T357), 'Model_ of_individuals'!T357*'Model_ of_individuals'!$K357,"")</f>
        <v/>
      </c>
      <c r="U344" s="496" t="str">
        <f>IF(ISNUMBER('Model_ of_individuals'!U357), 'Model_ of_individuals'!U357*'Model_ of_individuals'!$K357,"")</f>
        <v/>
      </c>
      <c r="V344" s="496" t="str">
        <f>IF(ISNUMBER('Model_ of_individuals'!V357), 'Model_ of_individuals'!V357*'Model_ of_individuals'!$K357,"")</f>
        <v/>
      </c>
      <c r="W344" s="496" t="str">
        <f>IF(ISNUMBER('Model_ of_individuals'!W357), 'Model_ of_individuals'!W357*'Model_ of_individuals'!$K357,"")</f>
        <v/>
      </c>
      <c r="X344" s="496" t="str">
        <f>IF(ISNUMBER('Model_ of_individuals'!X357), 'Model_ of_individuals'!X357*'Model_ of_individuals'!$K357,"")</f>
        <v/>
      </c>
      <c r="Y344" s="496" t="str">
        <f>IF(ISNUMBER('Model_ of_individuals'!Y357), 'Model_ of_individuals'!Y357*'Model_ of_individuals'!$K357,"")</f>
        <v/>
      </c>
      <c r="Z344" s="496" t="str">
        <f>IF(ISNUMBER('Model_ of_individuals'!Z357), 'Model_ of_individuals'!Z357*'Model_ of_individuals'!$K357,"")</f>
        <v/>
      </c>
      <c r="AA344" s="496" t="str">
        <f>IF(ISNUMBER('Model_ of_individuals'!AA357), 'Model_ of_individuals'!AA357*'Model_ of_individuals'!$K357,"")</f>
        <v/>
      </c>
      <c r="AB344" s="496" t="str">
        <f>IF(ISNUMBER('Model_ of_individuals'!AB357), 'Model_ of_individuals'!AB357*'Model_ of_individuals'!$K357,"")</f>
        <v/>
      </c>
      <c r="AC344" s="496" t="str">
        <f>IF(ISNUMBER('Model_ of_individuals'!AC357), 'Model_ of_individuals'!AC357*'Model_ of_individuals'!$K357,"")</f>
        <v/>
      </c>
      <c r="AD344" s="496" t="str">
        <f>IF(ISNUMBER('Model_ of_individuals'!AD357), 'Model_ of_individuals'!AD357*'Model_ of_individuals'!$K357,"")</f>
        <v/>
      </c>
      <c r="AE344" s="496" t="str">
        <f>IF(ISNUMBER('Model_ of_individuals'!AE357), 'Model_ of_individuals'!AE357*'Model_ of_individuals'!$K357,"")</f>
        <v/>
      </c>
      <c r="AF344" s="496" t="str">
        <f>IF(ISNUMBER('Model_ of_individuals'!AF357), 'Model_ of_individuals'!AF357*'Model_ of_individuals'!$K357,"")</f>
        <v/>
      </c>
      <c r="AG344" s="496" t="str">
        <f>IF(ISNUMBER('Model_ of_individuals'!AG357), 'Model_ of_individuals'!AG357*'Model_ of_individuals'!$K357,"")</f>
        <v/>
      </c>
      <c r="AH344" s="496" t="str">
        <f>IF(ISNUMBER('Model_ of_individuals'!AH357), 'Model_ of_individuals'!AH357*'Model_ of_individuals'!$K357,"")</f>
        <v/>
      </c>
      <c r="AI344" s="496" t="str">
        <f>IF(ISNUMBER('Model_ of_individuals'!AI357), 'Model_ of_individuals'!AI357*'Model_ of_individuals'!$K357,"")</f>
        <v/>
      </c>
      <c r="AJ344" s="496" t="str">
        <f>IF(ISNUMBER('Model_ of_individuals'!AJ357), 'Model_ of_individuals'!AJ357*'Model_ of_individuals'!$K357,"")</f>
        <v/>
      </c>
      <c r="AK344" s="496" t="str">
        <f>IF(ISNUMBER('Model_ of_individuals'!AK357), 'Model_ of_individuals'!AK357*'Model_ of_individuals'!$K357,"")</f>
        <v/>
      </c>
      <c r="AL344" s="496" t="str">
        <f>IF(ISNUMBER('Model_ of_individuals'!AL357), 'Model_ of_individuals'!AL357*'Model_ of_individuals'!$K357,"")</f>
        <v/>
      </c>
      <c r="AM344" s="496" t="str">
        <f>IF(ISNUMBER('Model_ of_individuals'!AM357), 'Model_ of_individuals'!AM357*'Model_ of_individuals'!$K357,"")</f>
        <v/>
      </c>
      <c r="AN344" s="496" t="str">
        <f>IF(ISNUMBER('Model_ of_individuals'!AN357), 'Model_ of_individuals'!AN357*'Model_ of_individuals'!$K357,"")</f>
        <v/>
      </c>
      <c r="AO344" s="496" t="str">
        <f>IF(ISNUMBER('Model_ of_individuals'!AO357), 'Model_ of_individuals'!AO357*'Model_ of_individuals'!$K357,"")</f>
        <v/>
      </c>
      <c r="AP344" s="496" t="str">
        <f>IF(ISNUMBER('Model_ of_individuals'!AP357), 'Model_ of_individuals'!AP357*'Model_ of_individuals'!$K357,"")</f>
        <v/>
      </c>
      <c r="AQ344" s="496" t="str">
        <f>IF(ISNUMBER('Model_ of_individuals'!AQ357), 'Model_ of_individuals'!AQ357*'Model_ of_individuals'!$K357,"")</f>
        <v/>
      </c>
      <c r="AR344" s="496" t="str">
        <f>IF(ISNUMBER('Model_ of_individuals'!AR357), 'Model_ of_individuals'!AR357*'Model_ of_individuals'!$K357,"")</f>
        <v/>
      </c>
      <c r="AS344" s="496" t="str">
        <f>IF(ISNUMBER('Model_ of_individuals'!AS357), 'Model_ of_individuals'!AS357*'Model_ of_individuals'!$K357,"")</f>
        <v/>
      </c>
      <c r="AT344" s="496" t="str">
        <f>IF(ISNUMBER('Model_ of_individuals'!AT357), 'Model_ of_individuals'!AT357*'Model_ of_individuals'!$K357,"")</f>
        <v/>
      </c>
    </row>
    <row r="345" spans="1:46" x14ac:dyDescent="0.25">
      <c r="A345" s="518"/>
      <c r="B345" s="504"/>
      <c r="C345" s="521"/>
      <c r="D345" s="94" t="str">
        <f>IF(AND(C344&lt;&gt;"", 'Cost Inputs'!$G$117&lt;&gt;""), 'Cost Inputs'!$G$117, "")</f>
        <v/>
      </c>
      <c r="E345" s="94" t="str">
        <f>IF(AND(C344&lt;&gt;"", 'Cost Inputs'!$H$117&lt;&gt;""), 'Cost Inputs'!$H$117, "")</f>
        <v/>
      </c>
      <c r="F345" s="492"/>
      <c r="G345" s="102" t="str">
        <f t="shared" si="25"/>
        <v/>
      </c>
      <c r="H345" s="492"/>
      <c r="I345" s="102" t="str">
        <f>IF($C344&lt;&gt;"", IF(AND($E345&lt;&gt;"", H344&lt;&gt;""), H344/($E344*$E345), 0), "")</f>
        <v/>
      </c>
      <c r="J345" s="492" t="str">
        <f>IF(AND(C345&lt;&gt;"",('Cost Inputs'!$I$86+'Cost Inputs'!$J$86+'Cost Inputs'!$K$86)&gt;0), 'Cost Inputs'!$I$86+'Cost Inputs'!$J$86+'Cost Inputs'!$K$86, "")</f>
        <v/>
      </c>
      <c r="K345" s="102" t="str">
        <f>IF($C344&lt;&gt;"", IF(AND($E345&lt;&gt;"", J344&lt;&gt;""), J344/($E344*$E345), 0), "")</f>
        <v/>
      </c>
      <c r="L345" s="525"/>
      <c r="M345" s="525"/>
      <c r="Q345" s="496" t="str">
        <f>IF(ISNUMBER('Model_ of_individuals'!Q358), 'Model_ of_individuals'!Q358*'Model_ of_individuals'!$K358,"")</f>
        <v/>
      </c>
      <c r="R345" s="496" t="str">
        <f>IF(ISNUMBER('Model_ of_individuals'!R358), 'Model_ of_individuals'!R358*'Model_ of_individuals'!$K358,"")</f>
        <v/>
      </c>
      <c r="S345" s="496" t="str">
        <f>IF(ISNUMBER('Model_ of_individuals'!S358), 'Model_ of_individuals'!S358*'Model_ of_individuals'!$K358,"")</f>
        <v/>
      </c>
      <c r="T345" s="496" t="str">
        <f>IF(ISNUMBER('Model_ of_individuals'!T358), 'Model_ of_individuals'!T358*'Model_ of_individuals'!$K358,"")</f>
        <v/>
      </c>
      <c r="U345" s="496" t="str">
        <f>IF(ISNUMBER('Model_ of_individuals'!U358), 'Model_ of_individuals'!U358*'Model_ of_individuals'!$K358,"")</f>
        <v/>
      </c>
      <c r="V345" s="496" t="str">
        <f>IF(ISNUMBER('Model_ of_individuals'!V358), 'Model_ of_individuals'!V358*'Model_ of_individuals'!$K358,"")</f>
        <v/>
      </c>
      <c r="W345" s="496" t="str">
        <f>IF(ISNUMBER('Model_ of_individuals'!W358), 'Model_ of_individuals'!W358*'Model_ of_individuals'!$K358,"")</f>
        <v/>
      </c>
      <c r="X345" s="496" t="str">
        <f>IF(ISNUMBER('Model_ of_individuals'!X358), 'Model_ of_individuals'!X358*'Model_ of_individuals'!$K358,"")</f>
        <v/>
      </c>
      <c r="Y345" s="496" t="str">
        <f>IF(ISNUMBER('Model_ of_individuals'!Y358), 'Model_ of_individuals'!Y358*'Model_ of_individuals'!$K358,"")</f>
        <v/>
      </c>
      <c r="Z345" s="496" t="str">
        <f>IF(ISNUMBER('Model_ of_individuals'!Z358), 'Model_ of_individuals'!Z358*'Model_ of_individuals'!$K358,"")</f>
        <v/>
      </c>
      <c r="AA345" s="496" t="str">
        <f>IF(ISNUMBER('Model_ of_individuals'!AA358), 'Model_ of_individuals'!AA358*'Model_ of_individuals'!$K358,"")</f>
        <v/>
      </c>
      <c r="AB345" s="496" t="str">
        <f>IF(ISNUMBER('Model_ of_individuals'!AB358), 'Model_ of_individuals'!AB358*'Model_ of_individuals'!$K358,"")</f>
        <v/>
      </c>
      <c r="AC345" s="496" t="str">
        <f>IF(ISNUMBER('Model_ of_individuals'!AC358), 'Model_ of_individuals'!AC358*'Model_ of_individuals'!$K358,"")</f>
        <v/>
      </c>
      <c r="AD345" s="496" t="str">
        <f>IF(ISNUMBER('Model_ of_individuals'!AD358), 'Model_ of_individuals'!AD358*'Model_ of_individuals'!$K358,"")</f>
        <v/>
      </c>
      <c r="AE345" s="496" t="str">
        <f>IF(ISNUMBER('Model_ of_individuals'!AE358), 'Model_ of_individuals'!AE358*'Model_ of_individuals'!$K358,"")</f>
        <v/>
      </c>
      <c r="AF345" s="496" t="str">
        <f>IF(ISNUMBER('Model_ of_individuals'!AF358), 'Model_ of_individuals'!AF358*'Model_ of_individuals'!$K358,"")</f>
        <v/>
      </c>
      <c r="AG345" s="496" t="str">
        <f>IF(ISNUMBER('Model_ of_individuals'!AG358), 'Model_ of_individuals'!AG358*'Model_ of_individuals'!$K358,"")</f>
        <v/>
      </c>
      <c r="AH345" s="496" t="str">
        <f>IF(ISNUMBER('Model_ of_individuals'!AH358), 'Model_ of_individuals'!AH358*'Model_ of_individuals'!$K358,"")</f>
        <v/>
      </c>
      <c r="AI345" s="496" t="str">
        <f>IF(ISNUMBER('Model_ of_individuals'!AI358), 'Model_ of_individuals'!AI358*'Model_ of_individuals'!$K358,"")</f>
        <v/>
      </c>
      <c r="AJ345" s="496" t="str">
        <f>IF(ISNUMBER('Model_ of_individuals'!AJ358), 'Model_ of_individuals'!AJ358*'Model_ of_individuals'!$K358,"")</f>
        <v/>
      </c>
      <c r="AK345" s="496" t="str">
        <f>IF(ISNUMBER('Model_ of_individuals'!AK358), 'Model_ of_individuals'!AK358*'Model_ of_individuals'!$K358,"")</f>
        <v/>
      </c>
      <c r="AL345" s="496" t="str">
        <f>IF(ISNUMBER('Model_ of_individuals'!AL358), 'Model_ of_individuals'!AL358*'Model_ of_individuals'!$K358,"")</f>
        <v/>
      </c>
      <c r="AM345" s="496" t="str">
        <f>IF(ISNUMBER('Model_ of_individuals'!AM358), 'Model_ of_individuals'!AM358*'Model_ of_individuals'!$K358,"")</f>
        <v/>
      </c>
      <c r="AN345" s="496" t="str">
        <f>IF(ISNUMBER('Model_ of_individuals'!AN358), 'Model_ of_individuals'!AN358*'Model_ of_individuals'!$K358,"")</f>
        <v/>
      </c>
      <c r="AO345" s="496" t="str">
        <f>IF(ISNUMBER('Model_ of_individuals'!AO358), 'Model_ of_individuals'!AO358*'Model_ of_individuals'!$K358,"")</f>
        <v/>
      </c>
      <c r="AP345" s="496" t="str">
        <f>IF(ISNUMBER('Model_ of_individuals'!AP358), 'Model_ of_individuals'!AP358*'Model_ of_individuals'!$K358,"")</f>
        <v/>
      </c>
      <c r="AQ345" s="496" t="str">
        <f>IF(ISNUMBER('Model_ of_individuals'!AQ358), 'Model_ of_individuals'!AQ358*'Model_ of_individuals'!$K358,"")</f>
        <v/>
      </c>
      <c r="AR345" s="496" t="str">
        <f>IF(ISNUMBER('Model_ of_individuals'!AR358), 'Model_ of_individuals'!AR358*'Model_ of_individuals'!$K358,"")</f>
        <v/>
      </c>
      <c r="AS345" s="496" t="str">
        <f>IF(ISNUMBER('Model_ of_individuals'!AS358), 'Model_ of_individuals'!AS358*'Model_ of_individuals'!$K358,"")</f>
        <v/>
      </c>
      <c r="AT345" s="496" t="str">
        <f>IF(ISNUMBER('Model_ of_individuals'!AT358), 'Model_ of_individuals'!AT358*'Model_ of_individuals'!$K358,"")</f>
        <v/>
      </c>
    </row>
    <row r="346" spans="1:46" x14ac:dyDescent="0.25">
      <c r="A346" s="518"/>
      <c r="B346" s="504"/>
      <c r="C346" s="376" t="str">
        <f>IF(AND(ISNUMBER(B333), C344&lt;&gt;"", OR('Cost Inputs'!$H$118&lt;&gt;"", 'Cost Inputs'!$I$118&lt;&gt;"", 'Cost Inputs'!$J$118&lt;&gt;"")), _4_5_1, "")</f>
        <v/>
      </c>
      <c r="D346" s="17" t="str">
        <f>IF(AND(C346&lt;&gt;"", 'Cost Inputs'!$G$118&lt;&gt;""), 'Cost Inputs'!$G$118, "")</f>
        <v/>
      </c>
      <c r="E346" s="17" t="str">
        <f>IF(AND(C346&lt;&gt;"", 'Cost Inputs'!$H$118&lt;&gt;""), 'Cost Inputs'!$H$118, "")</f>
        <v/>
      </c>
      <c r="F346" s="493" t="str">
        <f>IF(AND(C346&lt;&gt;"", 'Cost Inputs'!$I$118&lt;&gt;""), 'Cost Inputs'!$I$118, "")</f>
        <v/>
      </c>
      <c r="G346" s="105" t="str">
        <f t="shared" si="25"/>
        <v/>
      </c>
      <c r="H346" s="493" t="str">
        <f>IF(AND(C346&lt;&gt;"", 'Cost Inputs'!$J$118&lt;&gt;""), 'Cost Inputs'!$J$118, "")</f>
        <v/>
      </c>
      <c r="I346" s="105" t="str">
        <f>IF($C346&lt;&gt;"",IF(AND($E346&lt;&gt;"",H346&lt;&gt;""), H346/$E346, 0),"")</f>
        <v/>
      </c>
      <c r="J346" s="493" t="str">
        <f>IF(AND(C346&lt;&gt;"",('Cost Inputs'!$I$118+'Cost Inputs'!$J$118+'Cost Inputs'!$K$118)&gt;0), 'Cost Inputs'!$I$118+'Cost Inputs'!$J$118+'Cost Inputs'!$K$118, "")</f>
        <v/>
      </c>
      <c r="K346" s="105" t="str">
        <f>IF($C346&lt;&gt;"",IF(AND($E346&lt;&gt;"",J346&lt;&gt;""), J346/$E346, 0),"")</f>
        <v/>
      </c>
      <c r="L346" s="525"/>
      <c r="M346" s="525"/>
      <c r="Q346" s="497" t="str">
        <f>IF(ISNUMBER('Model_ of_individuals'!Q359), 'Model_ of_individuals'!Q359*'Model_ of_individuals'!$K359,"")</f>
        <v/>
      </c>
      <c r="R346" s="497" t="str">
        <f>IF(ISNUMBER('Model_ of_individuals'!R359), 'Model_ of_individuals'!R359*'Model_ of_individuals'!$K359,"")</f>
        <v/>
      </c>
      <c r="S346" s="497" t="str">
        <f>IF(ISNUMBER('Model_ of_individuals'!S359), 'Model_ of_individuals'!S359*'Model_ of_individuals'!$K359,"")</f>
        <v/>
      </c>
      <c r="T346" s="497" t="str">
        <f>IF(ISNUMBER('Model_ of_individuals'!T359), 'Model_ of_individuals'!T359*'Model_ of_individuals'!$K359,"")</f>
        <v/>
      </c>
      <c r="U346" s="497" t="str">
        <f>IF(ISNUMBER('Model_ of_individuals'!U359), 'Model_ of_individuals'!U359*'Model_ of_individuals'!$K359,"")</f>
        <v/>
      </c>
      <c r="V346" s="497" t="str">
        <f>IF(ISNUMBER('Model_ of_individuals'!V359), 'Model_ of_individuals'!V359*'Model_ of_individuals'!$K359,"")</f>
        <v/>
      </c>
      <c r="W346" s="497" t="str">
        <f>IF(ISNUMBER('Model_ of_individuals'!W359), 'Model_ of_individuals'!W359*'Model_ of_individuals'!$K359,"")</f>
        <v/>
      </c>
      <c r="X346" s="497" t="str">
        <f>IF(ISNUMBER('Model_ of_individuals'!X359), 'Model_ of_individuals'!X359*'Model_ of_individuals'!$K359,"")</f>
        <v/>
      </c>
      <c r="Y346" s="497" t="str">
        <f>IF(ISNUMBER('Model_ of_individuals'!Y359), 'Model_ of_individuals'!Y359*'Model_ of_individuals'!$K359,"")</f>
        <v/>
      </c>
      <c r="Z346" s="497" t="str">
        <f>IF(ISNUMBER('Model_ of_individuals'!Z359), 'Model_ of_individuals'!Z359*'Model_ of_individuals'!$K359,"")</f>
        <v/>
      </c>
      <c r="AA346" s="497" t="str">
        <f>IF(ISNUMBER('Model_ of_individuals'!AA359), 'Model_ of_individuals'!AA359*'Model_ of_individuals'!$K359,"")</f>
        <v/>
      </c>
      <c r="AB346" s="497" t="str">
        <f>IF(ISNUMBER('Model_ of_individuals'!AB359), 'Model_ of_individuals'!AB359*'Model_ of_individuals'!$K359,"")</f>
        <v/>
      </c>
      <c r="AC346" s="497" t="str">
        <f>IF(ISNUMBER('Model_ of_individuals'!AC359), 'Model_ of_individuals'!AC359*'Model_ of_individuals'!$K359,"")</f>
        <v/>
      </c>
      <c r="AD346" s="497" t="str">
        <f>IF(ISNUMBER('Model_ of_individuals'!AD359), 'Model_ of_individuals'!AD359*'Model_ of_individuals'!$K359,"")</f>
        <v/>
      </c>
      <c r="AE346" s="497" t="str">
        <f>IF(ISNUMBER('Model_ of_individuals'!AE359), 'Model_ of_individuals'!AE359*'Model_ of_individuals'!$K359,"")</f>
        <v/>
      </c>
      <c r="AF346" s="497" t="str">
        <f>IF(ISNUMBER('Model_ of_individuals'!AF359), 'Model_ of_individuals'!AF359*'Model_ of_individuals'!$K359,"")</f>
        <v/>
      </c>
      <c r="AG346" s="497" t="str">
        <f>IF(ISNUMBER('Model_ of_individuals'!AG359), 'Model_ of_individuals'!AG359*'Model_ of_individuals'!$K359,"")</f>
        <v/>
      </c>
      <c r="AH346" s="497" t="str">
        <f>IF(ISNUMBER('Model_ of_individuals'!AH359), 'Model_ of_individuals'!AH359*'Model_ of_individuals'!$K359,"")</f>
        <v/>
      </c>
      <c r="AI346" s="497" t="str">
        <f>IF(ISNUMBER('Model_ of_individuals'!AI359), 'Model_ of_individuals'!AI359*'Model_ of_individuals'!$K359,"")</f>
        <v/>
      </c>
      <c r="AJ346" s="497" t="str">
        <f>IF(ISNUMBER('Model_ of_individuals'!AJ359), 'Model_ of_individuals'!AJ359*'Model_ of_individuals'!$K359,"")</f>
        <v/>
      </c>
      <c r="AK346" s="497" t="str">
        <f>IF(ISNUMBER('Model_ of_individuals'!AK359), 'Model_ of_individuals'!AK359*'Model_ of_individuals'!$K359,"")</f>
        <v/>
      </c>
      <c r="AL346" s="497" t="str">
        <f>IF(ISNUMBER('Model_ of_individuals'!AL359), 'Model_ of_individuals'!AL359*'Model_ of_individuals'!$K359,"")</f>
        <v/>
      </c>
      <c r="AM346" s="497" t="str">
        <f>IF(ISNUMBER('Model_ of_individuals'!AM359), 'Model_ of_individuals'!AM359*'Model_ of_individuals'!$K359,"")</f>
        <v/>
      </c>
      <c r="AN346" s="497" t="str">
        <f>IF(ISNUMBER('Model_ of_individuals'!AN359), 'Model_ of_individuals'!AN359*'Model_ of_individuals'!$K359,"")</f>
        <v/>
      </c>
      <c r="AO346" s="497" t="str">
        <f>IF(ISNUMBER('Model_ of_individuals'!AO359), 'Model_ of_individuals'!AO359*'Model_ of_individuals'!$K359,"")</f>
        <v/>
      </c>
      <c r="AP346" s="497" t="str">
        <f>IF(ISNUMBER('Model_ of_individuals'!AP359), 'Model_ of_individuals'!AP359*'Model_ of_individuals'!$K359,"")</f>
        <v/>
      </c>
      <c r="AQ346" s="497" t="str">
        <f>IF(ISNUMBER('Model_ of_individuals'!AQ359), 'Model_ of_individuals'!AQ359*'Model_ of_individuals'!$K359,"")</f>
        <v/>
      </c>
      <c r="AR346" s="497" t="str">
        <f>IF(ISNUMBER('Model_ of_individuals'!AR359), 'Model_ of_individuals'!AR359*'Model_ of_individuals'!$K359,"")</f>
        <v/>
      </c>
      <c r="AS346" s="497" t="str">
        <f>IF(ISNUMBER('Model_ of_individuals'!AS359), 'Model_ of_individuals'!AS359*'Model_ of_individuals'!$K359,"")</f>
        <v/>
      </c>
      <c r="AT346" s="497" t="str">
        <f>IF(ISNUMBER('Model_ of_individuals'!AT359), 'Model_ of_individuals'!AT359*'Model_ of_individuals'!$K359,"")</f>
        <v/>
      </c>
    </row>
    <row r="347" spans="1:46" x14ac:dyDescent="0.25">
      <c r="A347" s="518"/>
      <c r="B347" s="504"/>
      <c r="C347" s="376" t="str">
        <f>IF(AND(ISNUMBER(B328), OR('Cost Inputs'!$H$85&lt;&gt;"", 'Cost Inputs'!$I$85&lt;&gt;"", 'Cost Inputs'!$J$85&lt;&gt;"")), _3_5_1, "")</f>
        <v/>
      </c>
      <c r="D347" s="17" t="str">
        <f>IF(AND(C346&lt;&gt;"", 'Cost Inputs'!$G$119&lt;&gt;""), 'Cost Inputs'!$G$119, "")</f>
        <v/>
      </c>
      <c r="E347" s="17" t="str">
        <f>IF(AND(C346&lt;&gt;"", 'Cost Inputs'!$H$119&lt;&gt;""), 'Cost Inputs'!$H$119, "")</f>
        <v/>
      </c>
      <c r="F347" s="493"/>
      <c r="G347" s="105" t="str">
        <f t="shared" si="25"/>
        <v/>
      </c>
      <c r="H347" s="493"/>
      <c r="I347" s="105" t="str">
        <f>IF($C346&lt;&gt;"", IF(AND($E347&lt;&gt;"", H346&lt;&gt;""), H346/($E346*$E347), 0), "")</f>
        <v/>
      </c>
      <c r="J347" s="493" t="str">
        <f>IF(AND(C347&lt;&gt;"",('Cost Inputs'!$I$86+'Cost Inputs'!$J$86+'Cost Inputs'!$K$86)&gt;0), 'Cost Inputs'!$I$86+'Cost Inputs'!$J$86+'Cost Inputs'!$K$86, "")</f>
        <v/>
      </c>
      <c r="K347" s="105" t="str">
        <f>IF($C346&lt;&gt;"", IF(AND($E347&lt;&gt;"", J346&lt;&gt;""), J346/($E346*$E347), 0), "")</f>
        <v/>
      </c>
      <c r="L347" s="525"/>
      <c r="M347" s="525"/>
      <c r="Q347" s="497" t="str">
        <f>IF(ISNUMBER('Model_ of_individuals'!Q360), 'Model_ of_individuals'!Q360*'Model_ of_individuals'!$K360,"")</f>
        <v/>
      </c>
      <c r="R347" s="497" t="str">
        <f>IF(ISNUMBER('Model_ of_individuals'!R360), 'Model_ of_individuals'!R360*'Model_ of_individuals'!$K360,"")</f>
        <v/>
      </c>
      <c r="S347" s="497" t="str">
        <f>IF(ISNUMBER('Model_ of_individuals'!S360), 'Model_ of_individuals'!S360*'Model_ of_individuals'!$K360,"")</f>
        <v/>
      </c>
      <c r="T347" s="497" t="str">
        <f>IF(ISNUMBER('Model_ of_individuals'!T360), 'Model_ of_individuals'!T360*'Model_ of_individuals'!$K360,"")</f>
        <v/>
      </c>
      <c r="U347" s="497" t="str">
        <f>IF(ISNUMBER('Model_ of_individuals'!U360), 'Model_ of_individuals'!U360*'Model_ of_individuals'!$K360,"")</f>
        <v/>
      </c>
      <c r="V347" s="497" t="str">
        <f>IF(ISNUMBER('Model_ of_individuals'!V360), 'Model_ of_individuals'!V360*'Model_ of_individuals'!$K360,"")</f>
        <v/>
      </c>
      <c r="W347" s="497" t="str">
        <f>IF(ISNUMBER('Model_ of_individuals'!W360), 'Model_ of_individuals'!W360*'Model_ of_individuals'!$K360,"")</f>
        <v/>
      </c>
      <c r="X347" s="497" t="str">
        <f>IF(ISNUMBER('Model_ of_individuals'!X360), 'Model_ of_individuals'!X360*'Model_ of_individuals'!$K360,"")</f>
        <v/>
      </c>
      <c r="Y347" s="497" t="str">
        <f>IF(ISNUMBER('Model_ of_individuals'!Y360), 'Model_ of_individuals'!Y360*'Model_ of_individuals'!$K360,"")</f>
        <v/>
      </c>
      <c r="Z347" s="497" t="str">
        <f>IF(ISNUMBER('Model_ of_individuals'!Z360), 'Model_ of_individuals'!Z360*'Model_ of_individuals'!$K360,"")</f>
        <v/>
      </c>
      <c r="AA347" s="497" t="str">
        <f>IF(ISNUMBER('Model_ of_individuals'!AA360), 'Model_ of_individuals'!AA360*'Model_ of_individuals'!$K360,"")</f>
        <v/>
      </c>
      <c r="AB347" s="497" t="str">
        <f>IF(ISNUMBER('Model_ of_individuals'!AB360), 'Model_ of_individuals'!AB360*'Model_ of_individuals'!$K360,"")</f>
        <v/>
      </c>
      <c r="AC347" s="497" t="str">
        <f>IF(ISNUMBER('Model_ of_individuals'!AC360), 'Model_ of_individuals'!AC360*'Model_ of_individuals'!$K360,"")</f>
        <v/>
      </c>
      <c r="AD347" s="497" t="str">
        <f>IF(ISNUMBER('Model_ of_individuals'!AD360), 'Model_ of_individuals'!AD360*'Model_ of_individuals'!$K360,"")</f>
        <v/>
      </c>
      <c r="AE347" s="497" t="str">
        <f>IF(ISNUMBER('Model_ of_individuals'!AE360), 'Model_ of_individuals'!AE360*'Model_ of_individuals'!$K360,"")</f>
        <v/>
      </c>
      <c r="AF347" s="497" t="str">
        <f>IF(ISNUMBER('Model_ of_individuals'!AF360), 'Model_ of_individuals'!AF360*'Model_ of_individuals'!$K360,"")</f>
        <v/>
      </c>
      <c r="AG347" s="497" t="str">
        <f>IF(ISNUMBER('Model_ of_individuals'!AG360), 'Model_ of_individuals'!AG360*'Model_ of_individuals'!$K360,"")</f>
        <v/>
      </c>
      <c r="AH347" s="497" t="str">
        <f>IF(ISNUMBER('Model_ of_individuals'!AH360), 'Model_ of_individuals'!AH360*'Model_ of_individuals'!$K360,"")</f>
        <v/>
      </c>
      <c r="AI347" s="497" t="str">
        <f>IF(ISNUMBER('Model_ of_individuals'!AI360), 'Model_ of_individuals'!AI360*'Model_ of_individuals'!$K360,"")</f>
        <v/>
      </c>
      <c r="AJ347" s="497" t="str">
        <f>IF(ISNUMBER('Model_ of_individuals'!AJ360), 'Model_ of_individuals'!AJ360*'Model_ of_individuals'!$K360,"")</f>
        <v/>
      </c>
      <c r="AK347" s="497" t="str">
        <f>IF(ISNUMBER('Model_ of_individuals'!AK360), 'Model_ of_individuals'!AK360*'Model_ of_individuals'!$K360,"")</f>
        <v/>
      </c>
      <c r="AL347" s="497" t="str">
        <f>IF(ISNUMBER('Model_ of_individuals'!AL360), 'Model_ of_individuals'!AL360*'Model_ of_individuals'!$K360,"")</f>
        <v/>
      </c>
      <c r="AM347" s="497" t="str">
        <f>IF(ISNUMBER('Model_ of_individuals'!AM360), 'Model_ of_individuals'!AM360*'Model_ of_individuals'!$K360,"")</f>
        <v/>
      </c>
      <c r="AN347" s="497" t="str">
        <f>IF(ISNUMBER('Model_ of_individuals'!AN360), 'Model_ of_individuals'!AN360*'Model_ of_individuals'!$K360,"")</f>
        <v/>
      </c>
      <c r="AO347" s="497" t="str">
        <f>IF(ISNUMBER('Model_ of_individuals'!AO360), 'Model_ of_individuals'!AO360*'Model_ of_individuals'!$K360,"")</f>
        <v/>
      </c>
      <c r="AP347" s="497" t="str">
        <f>IF(ISNUMBER('Model_ of_individuals'!AP360), 'Model_ of_individuals'!AP360*'Model_ of_individuals'!$K360,"")</f>
        <v/>
      </c>
      <c r="AQ347" s="497" t="str">
        <f>IF(ISNUMBER('Model_ of_individuals'!AQ360), 'Model_ of_individuals'!AQ360*'Model_ of_individuals'!$K360,"")</f>
        <v/>
      </c>
      <c r="AR347" s="497" t="str">
        <f>IF(ISNUMBER('Model_ of_individuals'!AR360), 'Model_ of_individuals'!AR360*'Model_ of_individuals'!$K360,"")</f>
        <v/>
      </c>
      <c r="AS347" s="497" t="str">
        <f>IF(ISNUMBER('Model_ of_individuals'!AS360), 'Model_ of_individuals'!AS360*'Model_ of_individuals'!$K360,"")</f>
        <v/>
      </c>
      <c r="AT347" s="497" t="str">
        <f>IF(ISNUMBER('Model_ of_individuals'!AT360), 'Model_ of_individuals'!AT360*'Model_ of_individuals'!$K360,"")</f>
        <v/>
      </c>
    </row>
    <row r="348" spans="1:46" x14ac:dyDescent="0.25">
      <c r="A348" s="518"/>
      <c r="B348" s="504"/>
      <c r="C348" s="107" t="str">
        <f>IF(AND(ISNUMBER(B333), C344&lt;&gt;"", OR('Cost Inputs'!$H$120&lt;&gt;"", 'Cost Inputs'!$I$120&lt;&gt;"", 'Cost Inputs'!$J$120&lt;&gt;"")), _4_5_2, "")</f>
        <v/>
      </c>
      <c r="D348" s="93" t="str">
        <f>IF(AND(C348&lt;&gt;"", 'Cost Inputs'!$G$120&lt;&gt;""), 'Cost Inputs'!$G$120, "")</f>
        <v/>
      </c>
      <c r="E348" s="93" t="str">
        <f>IF(AND(C348&lt;&gt;"", 'Cost Inputs'!$H$120&lt;&gt;""), 'Cost Inputs'!$H$120, "")</f>
        <v/>
      </c>
      <c r="F348" s="93" t="str">
        <f>IF(AND(C348&lt;&gt;"", 'Cost Inputs'!$I$120&lt;&gt;""), 'Cost Inputs'!$I$120, "")</f>
        <v/>
      </c>
      <c r="G348" s="108" t="str">
        <f t="shared" si="25"/>
        <v/>
      </c>
      <c r="H348" s="93" t="str">
        <f>IF(AND(C348&lt;&gt;"", 'Cost Inputs'!$J$120&lt;&gt;""), 'Cost Inputs'!$J$120, "")</f>
        <v/>
      </c>
      <c r="I348" s="93" t="str">
        <f>IF($C348&lt;&gt;"", IF(AND($E348&lt;&gt;"", H348&lt;&gt;""), H348/$E348, 0),"")</f>
        <v/>
      </c>
      <c r="J348" s="93" t="str">
        <f>IF(AND(C348&lt;&gt;"",('Cost Inputs'!$I$120+'Cost Inputs'!$J$120+'Cost Inputs'!$K$120)&gt;0), 'Cost Inputs'!$I$120+'Cost Inputs'!$J$120+'Cost Inputs'!$K$120, "")</f>
        <v/>
      </c>
      <c r="K348" s="93" t="str">
        <f>IF($C348&lt;&gt;"", IF(AND($E348&lt;&gt;"", J348&lt;&gt;""), J348/$E348, 0),"")</f>
        <v/>
      </c>
      <c r="L348" s="525"/>
      <c r="M348" s="525"/>
      <c r="Q348" s="93" t="str">
        <f>IF(ISNUMBER('Model_ of_individuals'!Q361), 'Model_ of_individuals'!Q361*'Model_ of_individuals'!$K361,"")</f>
        <v/>
      </c>
      <c r="R348" s="93" t="str">
        <f>IF(ISNUMBER('Model_ of_individuals'!R361), 'Model_ of_individuals'!R361*'Model_ of_individuals'!$K361,"")</f>
        <v/>
      </c>
      <c r="S348" s="93" t="str">
        <f>IF(ISNUMBER('Model_ of_individuals'!S361), 'Model_ of_individuals'!S361*'Model_ of_individuals'!$K361,"")</f>
        <v/>
      </c>
      <c r="T348" s="93" t="str">
        <f>IF(ISNUMBER('Model_ of_individuals'!T361), 'Model_ of_individuals'!T361*'Model_ of_individuals'!$K361,"")</f>
        <v/>
      </c>
      <c r="U348" s="93" t="str">
        <f>IF(ISNUMBER('Model_ of_individuals'!U361), 'Model_ of_individuals'!U361*'Model_ of_individuals'!$K361,"")</f>
        <v/>
      </c>
      <c r="V348" s="93" t="str">
        <f>IF(ISNUMBER('Model_ of_individuals'!V361), 'Model_ of_individuals'!V361*'Model_ of_individuals'!$K361,"")</f>
        <v/>
      </c>
      <c r="W348" s="93" t="str">
        <f>IF(ISNUMBER('Model_ of_individuals'!W361), 'Model_ of_individuals'!W361*'Model_ of_individuals'!$K361,"")</f>
        <v/>
      </c>
      <c r="X348" s="93" t="str">
        <f>IF(ISNUMBER('Model_ of_individuals'!X361), 'Model_ of_individuals'!X361*'Model_ of_individuals'!$K361,"")</f>
        <v/>
      </c>
      <c r="Y348" s="93" t="str">
        <f>IF(ISNUMBER('Model_ of_individuals'!Y361), 'Model_ of_individuals'!Y361*'Model_ of_individuals'!$K361,"")</f>
        <v/>
      </c>
      <c r="Z348" s="93" t="str">
        <f>IF(ISNUMBER('Model_ of_individuals'!Z361), 'Model_ of_individuals'!Z361*'Model_ of_individuals'!$K361,"")</f>
        <v/>
      </c>
      <c r="AA348" s="93" t="str">
        <f>IF(ISNUMBER('Model_ of_individuals'!AA361), 'Model_ of_individuals'!AA361*'Model_ of_individuals'!$K361,"")</f>
        <v/>
      </c>
      <c r="AB348" s="93" t="str">
        <f>IF(ISNUMBER('Model_ of_individuals'!AB361), 'Model_ of_individuals'!AB361*'Model_ of_individuals'!$K361,"")</f>
        <v/>
      </c>
      <c r="AC348" s="93" t="str">
        <f>IF(ISNUMBER('Model_ of_individuals'!AC361), 'Model_ of_individuals'!AC361*'Model_ of_individuals'!$K361,"")</f>
        <v/>
      </c>
      <c r="AD348" s="93" t="str">
        <f>IF(ISNUMBER('Model_ of_individuals'!AD361), 'Model_ of_individuals'!AD361*'Model_ of_individuals'!$K361,"")</f>
        <v/>
      </c>
      <c r="AE348" s="93" t="str">
        <f>IF(ISNUMBER('Model_ of_individuals'!AE361), 'Model_ of_individuals'!AE361*'Model_ of_individuals'!$K361,"")</f>
        <v/>
      </c>
      <c r="AF348" s="93" t="str">
        <f>IF(ISNUMBER('Model_ of_individuals'!AF361), 'Model_ of_individuals'!AF361*'Model_ of_individuals'!$K361,"")</f>
        <v/>
      </c>
      <c r="AG348" s="93" t="str">
        <f>IF(ISNUMBER('Model_ of_individuals'!AG361), 'Model_ of_individuals'!AG361*'Model_ of_individuals'!$K361,"")</f>
        <v/>
      </c>
      <c r="AH348" s="93" t="str">
        <f>IF(ISNUMBER('Model_ of_individuals'!AH361), 'Model_ of_individuals'!AH361*'Model_ of_individuals'!$K361,"")</f>
        <v/>
      </c>
      <c r="AI348" s="93" t="str">
        <f>IF(ISNUMBER('Model_ of_individuals'!AI361), 'Model_ of_individuals'!AI361*'Model_ of_individuals'!$K361,"")</f>
        <v/>
      </c>
      <c r="AJ348" s="93" t="str">
        <f>IF(ISNUMBER('Model_ of_individuals'!AJ361), 'Model_ of_individuals'!AJ361*'Model_ of_individuals'!$K361,"")</f>
        <v/>
      </c>
      <c r="AK348" s="93" t="str">
        <f>IF(ISNUMBER('Model_ of_individuals'!AK361), 'Model_ of_individuals'!AK361*'Model_ of_individuals'!$K361,"")</f>
        <v/>
      </c>
      <c r="AL348" s="93" t="str">
        <f>IF(ISNUMBER('Model_ of_individuals'!AL361), 'Model_ of_individuals'!AL361*'Model_ of_individuals'!$K361,"")</f>
        <v/>
      </c>
      <c r="AM348" s="93" t="str">
        <f>IF(ISNUMBER('Model_ of_individuals'!AM361), 'Model_ of_individuals'!AM361*'Model_ of_individuals'!$K361,"")</f>
        <v/>
      </c>
      <c r="AN348" s="93" t="str">
        <f>IF(ISNUMBER('Model_ of_individuals'!AN361), 'Model_ of_individuals'!AN361*'Model_ of_individuals'!$K361,"")</f>
        <v/>
      </c>
      <c r="AO348" s="93" t="str">
        <f>IF(ISNUMBER('Model_ of_individuals'!AO361), 'Model_ of_individuals'!AO361*'Model_ of_individuals'!$K361,"")</f>
        <v/>
      </c>
      <c r="AP348" s="93" t="str">
        <f>IF(ISNUMBER('Model_ of_individuals'!AP361), 'Model_ of_individuals'!AP361*'Model_ of_individuals'!$K361,"")</f>
        <v/>
      </c>
      <c r="AQ348" s="93" t="str">
        <f>IF(ISNUMBER('Model_ of_individuals'!AQ361), 'Model_ of_individuals'!AQ361*'Model_ of_individuals'!$K361,"")</f>
        <v/>
      </c>
      <c r="AR348" s="93" t="str">
        <f>IF(ISNUMBER('Model_ of_individuals'!AR361), 'Model_ of_individuals'!AR361*'Model_ of_individuals'!$K361,"")</f>
        <v/>
      </c>
      <c r="AS348" s="93" t="str">
        <f>IF(ISNUMBER('Model_ of_individuals'!AS361), 'Model_ of_individuals'!AS361*'Model_ of_individuals'!$K361,"")</f>
        <v/>
      </c>
      <c r="AT348" s="93" t="str">
        <f>IF(ISNUMBER('Model_ of_individuals'!AT361), 'Model_ of_individuals'!AT361*'Model_ of_individuals'!$K361,"")</f>
        <v/>
      </c>
    </row>
    <row r="349" spans="1:46" x14ac:dyDescent="0.25">
      <c r="A349" s="518"/>
      <c r="B349" s="504"/>
      <c r="C349" s="104" t="str">
        <f>IF(AND(ISNUMBER(B333), C344&lt;&gt;"", OR('Cost Inputs'!$H$121&lt;&gt;"", 'Cost Inputs'!$I$121&lt;&gt;"", 'Cost Inputs'!$J$121&lt;&gt;"")), _4_5_3, "")</f>
        <v/>
      </c>
      <c r="D349" s="17" t="str">
        <f>IF(AND(C349&lt;&gt;"", 'Cost Inputs'!$G$121&lt;&gt;""), 'Cost Inputs'!$G$121, "")</f>
        <v/>
      </c>
      <c r="E349" s="17" t="str">
        <f>IF(AND(C349&lt;&gt;"", 'Cost Inputs'!$H$121&lt;&gt;""), 'Cost Inputs'!$H$121, "")</f>
        <v/>
      </c>
      <c r="F349" s="17" t="str">
        <f>IF(AND(C349&lt;&gt;"", 'Cost Inputs'!$I$121&lt;&gt;""), 'Cost Inputs'!$I$121, "")</f>
        <v/>
      </c>
      <c r="G349" s="105" t="str">
        <f t="shared" si="25"/>
        <v/>
      </c>
      <c r="H349" s="17" t="str">
        <f>IF(AND(C349&lt;&gt;"", 'Cost Inputs'!$J$121&lt;&gt;""), 'Cost Inputs'!$J$121, "")</f>
        <v/>
      </c>
      <c r="I349" s="17" t="str">
        <f>IF($C349&lt;&gt;"", IF(AND($E349&lt;&gt;"", H349&lt;&gt;""), H349/$E349, 0),"")</f>
        <v/>
      </c>
      <c r="J349" s="17" t="str">
        <f>IF(AND(C349&lt;&gt;"",('Cost Inputs'!$I$121+'Cost Inputs'!$J$121+'Cost Inputs'!$K$121)&gt;0), 'Cost Inputs'!$I$121+'Cost Inputs'!$J$121+'Cost Inputs'!$K$121, "")</f>
        <v/>
      </c>
      <c r="K349" s="17" t="str">
        <f>IF($C349&lt;&gt;"", IF(AND($E349&lt;&gt;"", J349&lt;&gt;""), J349/$E349, 0),"")</f>
        <v/>
      </c>
      <c r="L349" s="525"/>
      <c r="M349" s="525"/>
      <c r="Q349" s="17" t="str">
        <f>IF(ISNUMBER('Model_ of_individuals'!Q362), 'Model_ of_individuals'!Q362*'Model_ of_individuals'!$K362,"")</f>
        <v/>
      </c>
      <c r="R349" s="17" t="str">
        <f>IF(ISNUMBER('Model_ of_individuals'!R362), 'Model_ of_individuals'!R362*'Model_ of_individuals'!$K362,"")</f>
        <v/>
      </c>
      <c r="S349" s="17" t="str">
        <f>IF(ISNUMBER('Model_ of_individuals'!S362), 'Model_ of_individuals'!S362*'Model_ of_individuals'!$K362,"")</f>
        <v/>
      </c>
      <c r="T349" s="17" t="str">
        <f>IF(ISNUMBER('Model_ of_individuals'!T362), 'Model_ of_individuals'!T362*'Model_ of_individuals'!$K362,"")</f>
        <v/>
      </c>
      <c r="U349" s="17" t="str">
        <f>IF(ISNUMBER('Model_ of_individuals'!U362), 'Model_ of_individuals'!U362*'Model_ of_individuals'!$K362,"")</f>
        <v/>
      </c>
      <c r="V349" s="17" t="str">
        <f>IF(ISNUMBER('Model_ of_individuals'!V362), 'Model_ of_individuals'!V362*'Model_ of_individuals'!$K362,"")</f>
        <v/>
      </c>
      <c r="W349" s="17" t="str">
        <f>IF(ISNUMBER('Model_ of_individuals'!W362), 'Model_ of_individuals'!W362*'Model_ of_individuals'!$K362,"")</f>
        <v/>
      </c>
      <c r="X349" s="17" t="str">
        <f>IF(ISNUMBER('Model_ of_individuals'!X362), 'Model_ of_individuals'!X362*'Model_ of_individuals'!$K362,"")</f>
        <v/>
      </c>
      <c r="Y349" s="17" t="str">
        <f>IF(ISNUMBER('Model_ of_individuals'!Y362), 'Model_ of_individuals'!Y362*'Model_ of_individuals'!$K362,"")</f>
        <v/>
      </c>
      <c r="Z349" s="17" t="str">
        <f>IF(ISNUMBER('Model_ of_individuals'!Z362), 'Model_ of_individuals'!Z362*'Model_ of_individuals'!$K362,"")</f>
        <v/>
      </c>
      <c r="AA349" s="17" t="str">
        <f>IF(ISNUMBER('Model_ of_individuals'!AA362), 'Model_ of_individuals'!AA362*'Model_ of_individuals'!$K362,"")</f>
        <v/>
      </c>
      <c r="AB349" s="17" t="str">
        <f>IF(ISNUMBER('Model_ of_individuals'!AB362), 'Model_ of_individuals'!AB362*'Model_ of_individuals'!$K362,"")</f>
        <v/>
      </c>
      <c r="AC349" s="17" t="str">
        <f>IF(ISNUMBER('Model_ of_individuals'!AC362), 'Model_ of_individuals'!AC362*'Model_ of_individuals'!$K362,"")</f>
        <v/>
      </c>
      <c r="AD349" s="17" t="str">
        <f>IF(ISNUMBER('Model_ of_individuals'!AD362), 'Model_ of_individuals'!AD362*'Model_ of_individuals'!$K362,"")</f>
        <v/>
      </c>
      <c r="AE349" s="17" t="str">
        <f>IF(ISNUMBER('Model_ of_individuals'!AE362), 'Model_ of_individuals'!AE362*'Model_ of_individuals'!$K362,"")</f>
        <v/>
      </c>
      <c r="AF349" s="17" t="str">
        <f>IF(ISNUMBER('Model_ of_individuals'!AF362), 'Model_ of_individuals'!AF362*'Model_ of_individuals'!$K362,"")</f>
        <v/>
      </c>
      <c r="AG349" s="17" t="str">
        <f>IF(ISNUMBER('Model_ of_individuals'!AG362), 'Model_ of_individuals'!AG362*'Model_ of_individuals'!$K362,"")</f>
        <v/>
      </c>
      <c r="AH349" s="17" t="str">
        <f>IF(ISNUMBER('Model_ of_individuals'!AH362), 'Model_ of_individuals'!AH362*'Model_ of_individuals'!$K362,"")</f>
        <v/>
      </c>
      <c r="AI349" s="17" t="str">
        <f>IF(ISNUMBER('Model_ of_individuals'!AI362), 'Model_ of_individuals'!AI362*'Model_ of_individuals'!$K362,"")</f>
        <v/>
      </c>
      <c r="AJ349" s="17" t="str">
        <f>IF(ISNUMBER('Model_ of_individuals'!AJ362), 'Model_ of_individuals'!AJ362*'Model_ of_individuals'!$K362,"")</f>
        <v/>
      </c>
      <c r="AK349" s="17" t="str">
        <f>IF(ISNUMBER('Model_ of_individuals'!AK362), 'Model_ of_individuals'!AK362*'Model_ of_individuals'!$K362,"")</f>
        <v/>
      </c>
      <c r="AL349" s="17" t="str">
        <f>IF(ISNUMBER('Model_ of_individuals'!AL362), 'Model_ of_individuals'!AL362*'Model_ of_individuals'!$K362,"")</f>
        <v/>
      </c>
      <c r="AM349" s="17" t="str">
        <f>IF(ISNUMBER('Model_ of_individuals'!AM362), 'Model_ of_individuals'!AM362*'Model_ of_individuals'!$K362,"")</f>
        <v/>
      </c>
      <c r="AN349" s="17" t="str">
        <f>IF(ISNUMBER('Model_ of_individuals'!AN362), 'Model_ of_individuals'!AN362*'Model_ of_individuals'!$K362,"")</f>
        <v/>
      </c>
      <c r="AO349" s="17" t="str">
        <f>IF(ISNUMBER('Model_ of_individuals'!AO362), 'Model_ of_individuals'!AO362*'Model_ of_individuals'!$K362,"")</f>
        <v/>
      </c>
      <c r="AP349" s="17" t="str">
        <f>IF(ISNUMBER('Model_ of_individuals'!AP362), 'Model_ of_individuals'!AP362*'Model_ of_individuals'!$K362,"")</f>
        <v/>
      </c>
      <c r="AQ349" s="17" t="str">
        <f>IF(ISNUMBER('Model_ of_individuals'!AQ362), 'Model_ of_individuals'!AQ362*'Model_ of_individuals'!$K362,"")</f>
        <v/>
      </c>
      <c r="AR349" s="17" t="str">
        <f>IF(ISNUMBER('Model_ of_individuals'!AR362), 'Model_ of_individuals'!AR362*'Model_ of_individuals'!$K362,"")</f>
        <v/>
      </c>
      <c r="AS349" s="17" t="str">
        <f>IF(ISNUMBER('Model_ of_individuals'!AS362), 'Model_ of_individuals'!AS362*'Model_ of_individuals'!$K362,"")</f>
        <v/>
      </c>
      <c r="AT349" s="17" t="str">
        <f>IF(ISNUMBER('Model_ of_individuals'!AT362), 'Model_ of_individuals'!AT362*'Model_ of_individuals'!$K362,"")</f>
        <v/>
      </c>
    </row>
    <row r="350" spans="1:46" x14ac:dyDescent="0.25">
      <c r="A350" s="518"/>
      <c r="B350" s="504"/>
      <c r="C350" s="107" t="str">
        <f>IF(AND(ISNUMBER(B333), C344&lt;&gt;"", OR('Cost Inputs'!$H$122&lt;&gt;"", 'Cost Inputs'!$I$122&lt;&gt;"", 'Cost Inputs'!$J$122&lt;&gt;"")), _4_5_2, "")</f>
        <v/>
      </c>
      <c r="D350" s="93" t="str">
        <f>IF(AND(C350&lt;&gt;"", 'Cost Inputs'!$G$122&lt;&gt;""), 'Cost Inputs'!$G$122, "")</f>
        <v/>
      </c>
      <c r="E350" s="93" t="str">
        <f>IF(AND(C350&lt;&gt;"", 'Cost Inputs'!$H$122&lt;&gt;""), 'Cost Inputs'!$H$122, "")</f>
        <v/>
      </c>
      <c r="F350" s="93" t="str">
        <f>IF(AND(C350&lt;&gt;"", 'Cost Inputs'!$I$122&lt;&gt;""), 'Cost Inputs'!$I$122, "")</f>
        <v/>
      </c>
      <c r="G350" s="108" t="str">
        <f t="shared" si="25"/>
        <v/>
      </c>
      <c r="H350" s="93" t="str">
        <f>IF(AND(C350&lt;&gt;"", 'Cost Inputs'!$J$122&lt;&gt;""), 'Cost Inputs'!$J$122, "")</f>
        <v/>
      </c>
      <c r="I350" s="93" t="str">
        <f>IF($C350&lt;&gt;"", IF(AND($E350&lt;&gt;"", H350&lt;&gt;""), H350/$E350, 0),"")</f>
        <v/>
      </c>
      <c r="J350" s="93" t="str">
        <f>IF(AND(C350&lt;&gt;"",('Cost Inputs'!$I$122+'Cost Inputs'!$J$122+'Cost Inputs'!$K$122)&gt;0), 'Cost Inputs'!$I$122+'Cost Inputs'!$J$122+'Cost Inputs'!$K$122, "")</f>
        <v/>
      </c>
      <c r="K350" s="93" t="str">
        <f>IF($C350&lt;&gt;"", IF(AND($E350&lt;&gt;"", J350&lt;&gt;""), J350/$E350, 0),"")</f>
        <v/>
      </c>
      <c r="L350" s="525"/>
      <c r="M350" s="525"/>
      <c r="Q350" s="93" t="str">
        <f>IF(ISNUMBER('Model_ of_individuals'!Q363), 'Model_ of_individuals'!Q363*'Model_ of_individuals'!$K363,"")</f>
        <v/>
      </c>
      <c r="R350" s="93" t="str">
        <f>IF(ISNUMBER('Model_ of_individuals'!R363), 'Model_ of_individuals'!R363*'Model_ of_individuals'!$K363,"")</f>
        <v/>
      </c>
      <c r="S350" s="93" t="str">
        <f>IF(ISNUMBER('Model_ of_individuals'!S363), 'Model_ of_individuals'!S363*'Model_ of_individuals'!$K363,"")</f>
        <v/>
      </c>
      <c r="T350" s="93" t="str">
        <f>IF(ISNUMBER('Model_ of_individuals'!T363), 'Model_ of_individuals'!T363*'Model_ of_individuals'!$K363,"")</f>
        <v/>
      </c>
      <c r="U350" s="93" t="str">
        <f>IF(ISNUMBER('Model_ of_individuals'!U363), 'Model_ of_individuals'!U363*'Model_ of_individuals'!$K363,"")</f>
        <v/>
      </c>
      <c r="V350" s="93" t="str">
        <f>IF(ISNUMBER('Model_ of_individuals'!V363), 'Model_ of_individuals'!V363*'Model_ of_individuals'!$K363,"")</f>
        <v/>
      </c>
      <c r="W350" s="93" t="str">
        <f>IF(ISNUMBER('Model_ of_individuals'!W363), 'Model_ of_individuals'!W363*'Model_ of_individuals'!$K363,"")</f>
        <v/>
      </c>
      <c r="X350" s="93" t="str">
        <f>IF(ISNUMBER('Model_ of_individuals'!X363), 'Model_ of_individuals'!X363*'Model_ of_individuals'!$K363,"")</f>
        <v/>
      </c>
      <c r="Y350" s="93" t="str">
        <f>IF(ISNUMBER('Model_ of_individuals'!Y363), 'Model_ of_individuals'!Y363*'Model_ of_individuals'!$K363,"")</f>
        <v/>
      </c>
      <c r="Z350" s="93" t="str">
        <f>IF(ISNUMBER('Model_ of_individuals'!Z363), 'Model_ of_individuals'!Z363*'Model_ of_individuals'!$K363,"")</f>
        <v/>
      </c>
      <c r="AA350" s="93" t="str">
        <f>IF(ISNUMBER('Model_ of_individuals'!AA363), 'Model_ of_individuals'!AA363*'Model_ of_individuals'!$K363,"")</f>
        <v/>
      </c>
      <c r="AB350" s="93" t="str">
        <f>IF(ISNUMBER('Model_ of_individuals'!AB363), 'Model_ of_individuals'!AB363*'Model_ of_individuals'!$K363,"")</f>
        <v/>
      </c>
      <c r="AC350" s="93" t="str">
        <f>IF(ISNUMBER('Model_ of_individuals'!AC363), 'Model_ of_individuals'!AC363*'Model_ of_individuals'!$K363,"")</f>
        <v/>
      </c>
      <c r="AD350" s="93" t="str">
        <f>IF(ISNUMBER('Model_ of_individuals'!AD363), 'Model_ of_individuals'!AD363*'Model_ of_individuals'!$K363,"")</f>
        <v/>
      </c>
      <c r="AE350" s="93" t="str">
        <f>IF(ISNUMBER('Model_ of_individuals'!AE363), 'Model_ of_individuals'!AE363*'Model_ of_individuals'!$K363,"")</f>
        <v/>
      </c>
      <c r="AF350" s="93" t="str">
        <f>IF(ISNUMBER('Model_ of_individuals'!AF363), 'Model_ of_individuals'!AF363*'Model_ of_individuals'!$K363,"")</f>
        <v/>
      </c>
      <c r="AG350" s="93" t="str">
        <f>IF(ISNUMBER('Model_ of_individuals'!AG363), 'Model_ of_individuals'!AG363*'Model_ of_individuals'!$K363,"")</f>
        <v/>
      </c>
      <c r="AH350" s="93" t="str">
        <f>IF(ISNUMBER('Model_ of_individuals'!AH363), 'Model_ of_individuals'!AH363*'Model_ of_individuals'!$K363,"")</f>
        <v/>
      </c>
      <c r="AI350" s="93" t="str">
        <f>IF(ISNUMBER('Model_ of_individuals'!AI363), 'Model_ of_individuals'!AI363*'Model_ of_individuals'!$K363,"")</f>
        <v/>
      </c>
      <c r="AJ350" s="93" t="str">
        <f>IF(ISNUMBER('Model_ of_individuals'!AJ363), 'Model_ of_individuals'!AJ363*'Model_ of_individuals'!$K363,"")</f>
        <v/>
      </c>
      <c r="AK350" s="93" t="str">
        <f>IF(ISNUMBER('Model_ of_individuals'!AK363), 'Model_ of_individuals'!AK363*'Model_ of_individuals'!$K363,"")</f>
        <v/>
      </c>
      <c r="AL350" s="93" t="str">
        <f>IF(ISNUMBER('Model_ of_individuals'!AL363), 'Model_ of_individuals'!AL363*'Model_ of_individuals'!$K363,"")</f>
        <v/>
      </c>
      <c r="AM350" s="93" t="str">
        <f>IF(ISNUMBER('Model_ of_individuals'!AM363), 'Model_ of_individuals'!AM363*'Model_ of_individuals'!$K363,"")</f>
        <v/>
      </c>
      <c r="AN350" s="93" t="str">
        <f>IF(ISNUMBER('Model_ of_individuals'!AN363), 'Model_ of_individuals'!AN363*'Model_ of_individuals'!$K363,"")</f>
        <v/>
      </c>
      <c r="AO350" s="93" t="str">
        <f>IF(ISNUMBER('Model_ of_individuals'!AO363), 'Model_ of_individuals'!AO363*'Model_ of_individuals'!$K363,"")</f>
        <v/>
      </c>
      <c r="AP350" s="93" t="str">
        <f>IF(ISNUMBER('Model_ of_individuals'!AP363), 'Model_ of_individuals'!AP363*'Model_ of_individuals'!$K363,"")</f>
        <v/>
      </c>
      <c r="AQ350" s="93" t="str">
        <f>IF(ISNUMBER('Model_ of_individuals'!AQ363), 'Model_ of_individuals'!AQ363*'Model_ of_individuals'!$K363,"")</f>
        <v/>
      </c>
      <c r="AR350" s="93" t="str">
        <f>IF(ISNUMBER('Model_ of_individuals'!AR363), 'Model_ of_individuals'!AR363*'Model_ of_individuals'!$K363,"")</f>
        <v/>
      </c>
      <c r="AS350" s="93" t="str">
        <f>IF(ISNUMBER('Model_ of_individuals'!AS363), 'Model_ of_individuals'!AS363*'Model_ of_individuals'!$K363,"")</f>
        <v/>
      </c>
      <c r="AT350" s="93" t="str">
        <f>IF(ISNUMBER('Model_ of_individuals'!AT363), 'Model_ of_individuals'!AT363*'Model_ of_individuals'!$K363,"")</f>
        <v/>
      </c>
    </row>
    <row r="351" spans="1:46" x14ac:dyDescent="0.25">
      <c r="A351" s="518"/>
      <c r="B351" s="504"/>
      <c r="C351" s="104" t="str">
        <f>IF(AND(ISNUMBER(B333), C344&lt;&gt;"", OR('Cost Inputs'!$H$123&lt;&gt;"", 'Cost Inputs'!$I$123&lt;&gt;"", 'Cost Inputs'!$J$123&lt;&gt;"")), _4_5_3, "")</f>
        <v/>
      </c>
      <c r="D351" s="17" t="str">
        <f>IF(AND(C351&lt;&gt;"", 'Cost Inputs'!$G$123&lt;&gt;""), 'Cost Inputs'!$G$123, "")</f>
        <v/>
      </c>
      <c r="E351" s="17" t="str">
        <f>IF(AND(C351&lt;&gt;"", 'Cost Inputs'!$H$123&lt;&gt;""), 'Cost Inputs'!$H$123, "")</f>
        <v/>
      </c>
      <c r="F351" s="17" t="str">
        <f>IF(AND(C351&lt;&gt;"", 'Cost Inputs'!$I$123&lt;&gt;""), 'Cost Inputs'!$I$123, "")</f>
        <v/>
      </c>
      <c r="G351" s="105" t="str">
        <f t="shared" si="25"/>
        <v/>
      </c>
      <c r="H351" s="17" t="str">
        <f>IF(AND(C351&lt;&gt;"", 'Cost Inputs'!$J$123&lt;&gt;""), 'Cost Inputs'!$J$123, "")</f>
        <v/>
      </c>
      <c r="I351" s="17" t="str">
        <f>IF($C351&lt;&gt;"", IF(AND($E351&lt;&gt;"", H351&lt;&gt;""), H351/$E351, 0),"")</f>
        <v/>
      </c>
      <c r="J351" s="17" t="str">
        <f>IF(AND(C351&lt;&gt;"",('Cost Inputs'!$I$123+'Cost Inputs'!$J$123+'Cost Inputs'!$K$123)&gt;0), 'Cost Inputs'!$I$123+'Cost Inputs'!$J$123+'Cost Inputs'!$K$123, "")</f>
        <v/>
      </c>
      <c r="K351" s="17" t="str">
        <f>IF($C351&lt;&gt;"", IF(AND($E351&lt;&gt;"", J351&lt;&gt;""), J351/$E351, 0),"")</f>
        <v/>
      </c>
      <c r="L351" s="525"/>
      <c r="M351" s="525"/>
      <c r="Q351" s="17" t="str">
        <f>IF(ISNUMBER('Model_ of_individuals'!Q364), 'Model_ of_individuals'!Q364*'Model_ of_individuals'!$K364,"")</f>
        <v/>
      </c>
      <c r="R351" s="17" t="str">
        <f>IF(ISNUMBER('Model_ of_individuals'!R364), 'Model_ of_individuals'!R364*'Model_ of_individuals'!$K364,"")</f>
        <v/>
      </c>
      <c r="S351" s="17" t="str">
        <f>IF(ISNUMBER('Model_ of_individuals'!S364), 'Model_ of_individuals'!S364*'Model_ of_individuals'!$K364,"")</f>
        <v/>
      </c>
      <c r="T351" s="17" t="str">
        <f>IF(ISNUMBER('Model_ of_individuals'!T364), 'Model_ of_individuals'!T364*'Model_ of_individuals'!$K364,"")</f>
        <v/>
      </c>
      <c r="U351" s="17" t="str">
        <f>IF(ISNUMBER('Model_ of_individuals'!U364), 'Model_ of_individuals'!U364*'Model_ of_individuals'!$K364,"")</f>
        <v/>
      </c>
      <c r="V351" s="17" t="str">
        <f>IF(ISNUMBER('Model_ of_individuals'!V364), 'Model_ of_individuals'!V364*'Model_ of_individuals'!$K364,"")</f>
        <v/>
      </c>
      <c r="W351" s="17" t="str">
        <f>IF(ISNUMBER('Model_ of_individuals'!W364), 'Model_ of_individuals'!W364*'Model_ of_individuals'!$K364,"")</f>
        <v/>
      </c>
      <c r="X351" s="17" t="str">
        <f>IF(ISNUMBER('Model_ of_individuals'!X364), 'Model_ of_individuals'!X364*'Model_ of_individuals'!$K364,"")</f>
        <v/>
      </c>
      <c r="Y351" s="17" t="str">
        <f>IF(ISNUMBER('Model_ of_individuals'!Y364), 'Model_ of_individuals'!Y364*'Model_ of_individuals'!$K364,"")</f>
        <v/>
      </c>
      <c r="Z351" s="17" t="str">
        <f>IF(ISNUMBER('Model_ of_individuals'!Z364), 'Model_ of_individuals'!Z364*'Model_ of_individuals'!$K364,"")</f>
        <v/>
      </c>
      <c r="AA351" s="17" t="str">
        <f>IF(ISNUMBER('Model_ of_individuals'!AA364), 'Model_ of_individuals'!AA364*'Model_ of_individuals'!$K364,"")</f>
        <v/>
      </c>
      <c r="AB351" s="17" t="str">
        <f>IF(ISNUMBER('Model_ of_individuals'!AB364), 'Model_ of_individuals'!AB364*'Model_ of_individuals'!$K364,"")</f>
        <v/>
      </c>
      <c r="AC351" s="17" t="str">
        <f>IF(ISNUMBER('Model_ of_individuals'!AC364), 'Model_ of_individuals'!AC364*'Model_ of_individuals'!$K364,"")</f>
        <v/>
      </c>
      <c r="AD351" s="17" t="str">
        <f>IF(ISNUMBER('Model_ of_individuals'!AD364), 'Model_ of_individuals'!AD364*'Model_ of_individuals'!$K364,"")</f>
        <v/>
      </c>
      <c r="AE351" s="17" t="str">
        <f>IF(ISNUMBER('Model_ of_individuals'!AE364), 'Model_ of_individuals'!AE364*'Model_ of_individuals'!$K364,"")</f>
        <v/>
      </c>
      <c r="AF351" s="17" t="str">
        <f>IF(ISNUMBER('Model_ of_individuals'!AF364), 'Model_ of_individuals'!AF364*'Model_ of_individuals'!$K364,"")</f>
        <v/>
      </c>
      <c r="AG351" s="17" t="str">
        <f>IF(ISNUMBER('Model_ of_individuals'!AG364), 'Model_ of_individuals'!AG364*'Model_ of_individuals'!$K364,"")</f>
        <v/>
      </c>
      <c r="AH351" s="17" t="str">
        <f>IF(ISNUMBER('Model_ of_individuals'!AH364), 'Model_ of_individuals'!AH364*'Model_ of_individuals'!$K364,"")</f>
        <v/>
      </c>
      <c r="AI351" s="17" t="str">
        <f>IF(ISNUMBER('Model_ of_individuals'!AI364), 'Model_ of_individuals'!AI364*'Model_ of_individuals'!$K364,"")</f>
        <v/>
      </c>
      <c r="AJ351" s="17" t="str">
        <f>IF(ISNUMBER('Model_ of_individuals'!AJ364), 'Model_ of_individuals'!AJ364*'Model_ of_individuals'!$K364,"")</f>
        <v/>
      </c>
      <c r="AK351" s="17" t="str">
        <f>IF(ISNUMBER('Model_ of_individuals'!AK364), 'Model_ of_individuals'!AK364*'Model_ of_individuals'!$K364,"")</f>
        <v/>
      </c>
      <c r="AL351" s="17" t="str">
        <f>IF(ISNUMBER('Model_ of_individuals'!AL364), 'Model_ of_individuals'!AL364*'Model_ of_individuals'!$K364,"")</f>
        <v/>
      </c>
      <c r="AM351" s="17" t="str">
        <f>IF(ISNUMBER('Model_ of_individuals'!AM364), 'Model_ of_individuals'!AM364*'Model_ of_individuals'!$K364,"")</f>
        <v/>
      </c>
      <c r="AN351" s="17" t="str">
        <f>IF(ISNUMBER('Model_ of_individuals'!AN364), 'Model_ of_individuals'!AN364*'Model_ of_individuals'!$K364,"")</f>
        <v/>
      </c>
      <c r="AO351" s="17" t="str">
        <f>IF(ISNUMBER('Model_ of_individuals'!AO364), 'Model_ of_individuals'!AO364*'Model_ of_individuals'!$K364,"")</f>
        <v/>
      </c>
      <c r="AP351" s="17" t="str">
        <f>IF(ISNUMBER('Model_ of_individuals'!AP364), 'Model_ of_individuals'!AP364*'Model_ of_individuals'!$K364,"")</f>
        <v/>
      </c>
      <c r="AQ351" s="17" t="str">
        <f>IF(ISNUMBER('Model_ of_individuals'!AQ364), 'Model_ of_individuals'!AQ364*'Model_ of_individuals'!$K364,"")</f>
        <v/>
      </c>
      <c r="AR351" s="17" t="str">
        <f>IF(ISNUMBER('Model_ of_individuals'!AR364), 'Model_ of_individuals'!AR364*'Model_ of_individuals'!$K364,"")</f>
        <v/>
      </c>
      <c r="AS351" s="17" t="str">
        <f>IF(ISNUMBER('Model_ of_individuals'!AS364), 'Model_ of_individuals'!AS364*'Model_ of_individuals'!$K364,"")</f>
        <v/>
      </c>
      <c r="AT351" s="17" t="str">
        <f>IF(ISNUMBER('Model_ of_individuals'!AT364), 'Model_ of_individuals'!AT364*'Model_ of_individuals'!$K364,"")</f>
        <v/>
      </c>
    </row>
    <row r="352" spans="1:46" x14ac:dyDescent="0.25">
      <c r="A352" s="518"/>
      <c r="B352" s="504"/>
      <c r="C352" s="110" t="str">
        <f>IF(ISNUMBER(B333), _4_6_0, "")</f>
        <v/>
      </c>
      <c r="D352" s="94" t="str">
        <f>IF(AND(C352&lt;&gt;"", 'Cost Inputs'!$G$124&lt;&gt;""), 'Cost Inputs'!$G$124, "")</f>
        <v/>
      </c>
      <c r="E352" s="94" t="str">
        <f>IF(AND(C352&lt;&gt;"", 'Cost Inputs'!$H$124&lt;&gt;""), 'Cost Inputs'!$H$124, "")</f>
        <v/>
      </c>
      <c r="F352" s="94" t="str">
        <f>IF(AND(C352&lt;&gt;"", 'Cost Inputs'!$I$124&lt;&gt;""), 'Cost Inputs'!$I$124, "")</f>
        <v/>
      </c>
      <c r="G352" s="102" t="str">
        <f t="shared" si="25"/>
        <v/>
      </c>
      <c r="H352" s="94" t="str">
        <f>IF(AND(C352&lt;&gt;"", 'Cost Inputs'!$J$124&lt;&gt;""), 'Cost Inputs'!$J$124, "")</f>
        <v/>
      </c>
      <c r="I352" s="102" t="str">
        <f>IF($C352&lt;&gt;"",IF(AND($E352&lt;&gt;"",H352&lt;&gt;""), H352/$E352, 0),"")</f>
        <v/>
      </c>
      <c r="J352" s="94" t="str">
        <f>IF(AND(C352&lt;&gt;"",('Cost Inputs'!$I$124+'Cost Inputs'!$J$124+'Cost Inputs'!$K$124)&gt;0), 'Cost Inputs'!$I$124+'Cost Inputs'!$J$124+'Cost Inputs'!$K$124, "")</f>
        <v/>
      </c>
      <c r="K352" s="102" t="str">
        <f>IF($C352&lt;&gt;"",IF(AND($E352&lt;&gt;"",J352&lt;&gt;""), J352/$E352, 0),"")</f>
        <v/>
      </c>
      <c r="L352" s="525"/>
      <c r="M352" s="525"/>
      <c r="Q352" s="102" t="str">
        <f>IF(ISNUMBER('Model_ of_individuals'!Q365), 'Model_ of_individuals'!Q365*'Model_ of_individuals'!$K365,"")</f>
        <v/>
      </c>
      <c r="R352" s="102" t="str">
        <f>IF(ISNUMBER('Model_ of_individuals'!R365), 'Model_ of_individuals'!R365*'Model_ of_individuals'!$K365,"")</f>
        <v/>
      </c>
      <c r="S352" s="102" t="str">
        <f>IF(ISNUMBER('Model_ of_individuals'!S365), 'Model_ of_individuals'!S365*'Model_ of_individuals'!$K365,"")</f>
        <v/>
      </c>
      <c r="T352" s="102" t="str">
        <f>IF(ISNUMBER('Model_ of_individuals'!T365), 'Model_ of_individuals'!T365*'Model_ of_individuals'!$K365,"")</f>
        <v/>
      </c>
      <c r="U352" s="102" t="str">
        <f>IF(ISNUMBER('Model_ of_individuals'!U365), 'Model_ of_individuals'!U365*'Model_ of_individuals'!$K365,"")</f>
        <v/>
      </c>
      <c r="V352" s="102" t="str">
        <f>IF(ISNUMBER('Model_ of_individuals'!V365), 'Model_ of_individuals'!V365*'Model_ of_individuals'!$K365,"")</f>
        <v/>
      </c>
      <c r="W352" s="102" t="str">
        <f>IF(ISNUMBER('Model_ of_individuals'!W365), 'Model_ of_individuals'!W365*'Model_ of_individuals'!$K365,"")</f>
        <v/>
      </c>
      <c r="X352" s="102" t="str">
        <f>IF(ISNUMBER('Model_ of_individuals'!X365), 'Model_ of_individuals'!X365*'Model_ of_individuals'!$K365,"")</f>
        <v/>
      </c>
      <c r="Y352" s="102" t="str">
        <f>IF(ISNUMBER('Model_ of_individuals'!Y365), 'Model_ of_individuals'!Y365*'Model_ of_individuals'!$K365,"")</f>
        <v/>
      </c>
      <c r="Z352" s="102" t="str">
        <f>IF(ISNUMBER('Model_ of_individuals'!Z365), 'Model_ of_individuals'!Z365*'Model_ of_individuals'!$K365,"")</f>
        <v/>
      </c>
      <c r="AA352" s="102" t="str">
        <f>IF(ISNUMBER('Model_ of_individuals'!AA365), 'Model_ of_individuals'!AA365*'Model_ of_individuals'!$K365,"")</f>
        <v/>
      </c>
      <c r="AB352" s="102" t="str">
        <f>IF(ISNUMBER('Model_ of_individuals'!AB365), 'Model_ of_individuals'!AB365*'Model_ of_individuals'!$K365,"")</f>
        <v/>
      </c>
      <c r="AC352" s="102" t="str">
        <f>IF(ISNUMBER('Model_ of_individuals'!AC365), 'Model_ of_individuals'!AC365*'Model_ of_individuals'!$K365,"")</f>
        <v/>
      </c>
      <c r="AD352" s="102" t="str">
        <f>IF(ISNUMBER('Model_ of_individuals'!AD365), 'Model_ of_individuals'!AD365*'Model_ of_individuals'!$K365,"")</f>
        <v/>
      </c>
      <c r="AE352" s="102" t="str">
        <f>IF(ISNUMBER('Model_ of_individuals'!AE365), 'Model_ of_individuals'!AE365*'Model_ of_individuals'!$K365,"")</f>
        <v/>
      </c>
      <c r="AF352" s="102" t="str">
        <f>IF(ISNUMBER('Model_ of_individuals'!AF365), 'Model_ of_individuals'!AF365*'Model_ of_individuals'!$K365,"")</f>
        <v/>
      </c>
      <c r="AG352" s="102" t="str">
        <f>IF(ISNUMBER('Model_ of_individuals'!AG365), 'Model_ of_individuals'!AG365*'Model_ of_individuals'!$K365,"")</f>
        <v/>
      </c>
      <c r="AH352" s="102" t="str">
        <f>IF(ISNUMBER('Model_ of_individuals'!AH365), 'Model_ of_individuals'!AH365*'Model_ of_individuals'!$K365,"")</f>
        <v/>
      </c>
      <c r="AI352" s="102" t="str">
        <f>IF(ISNUMBER('Model_ of_individuals'!AI365), 'Model_ of_individuals'!AI365*'Model_ of_individuals'!$K365,"")</f>
        <v/>
      </c>
      <c r="AJ352" s="102" t="str">
        <f>IF(ISNUMBER('Model_ of_individuals'!AJ365), 'Model_ of_individuals'!AJ365*'Model_ of_individuals'!$K365,"")</f>
        <v/>
      </c>
      <c r="AK352" s="102" t="str">
        <f>IF(ISNUMBER('Model_ of_individuals'!AK365), 'Model_ of_individuals'!AK365*'Model_ of_individuals'!$K365,"")</f>
        <v/>
      </c>
      <c r="AL352" s="102" t="str">
        <f>IF(ISNUMBER('Model_ of_individuals'!AL365), 'Model_ of_individuals'!AL365*'Model_ of_individuals'!$K365,"")</f>
        <v/>
      </c>
      <c r="AM352" s="102" t="str">
        <f>IF(ISNUMBER('Model_ of_individuals'!AM365), 'Model_ of_individuals'!AM365*'Model_ of_individuals'!$K365,"")</f>
        <v/>
      </c>
      <c r="AN352" s="102" t="str">
        <f>IF(ISNUMBER('Model_ of_individuals'!AN365), 'Model_ of_individuals'!AN365*'Model_ of_individuals'!$K365,"")</f>
        <v/>
      </c>
      <c r="AO352" s="102" t="str">
        <f>IF(ISNUMBER('Model_ of_individuals'!AO365), 'Model_ of_individuals'!AO365*'Model_ of_individuals'!$K365,"")</f>
        <v/>
      </c>
      <c r="AP352" s="102" t="str">
        <f>IF(ISNUMBER('Model_ of_individuals'!AP365), 'Model_ of_individuals'!AP365*'Model_ of_individuals'!$K365,"")</f>
        <v/>
      </c>
      <c r="AQ352" s="102" t="str">
        <f>IF(ISNUMBER('Model_ of_individuals'!AQ365), 'Model_ of_individuals'!AQ365*'Model_ of_individuals'!$K365,"")</f>
        <v/>
      </c>
      <c r="AR352" s="102" t="str">
        <f>IF(ISNUMBER('Model_ of_individuals'!AR365), 'Model_ of_individuals'!AR365*'Model_ of_individuals'!$K365,"")</f>
        <v/>
      </c>
      <c r="AS352" s="102" t="str">
        <f>IF(ISNUMBER('Model_ of_individuals'!AS365), 'Model_ of_individuals'!AS365*'Model_ of_individuals'!$K365,"")</f>
        <v/>
      </c>
      <c r="AT352" s="102" t="str">
        <f>IF(ISNUMBER('Model_ of_individuals'!AT365), 'Model_ of_individuals'!AT365*'Model_ of_individuals'!$K365,"")</f>
        <v/>
      </c>
    </row>
    <row r="353" spans="1:46" x14ac:dyDescent="0.25">
      <c r="A353" s="518"/>
      <c r="B353" s="504"/>
      <c r="C353" s="104" t="str">
        <f>IF(AND(ISNUMBER(B333), OR('Cost Inputs'!$H$125&lt;&gt;"", 'Cost Inputs'!$I$125&lt;&gt;"", 'Cost Inputs'!$J$125&lt;&gt;"")), _4_5_3, "")</f>
        <v/>
      </c>
      <c r="D353" s="17" t="str">
        <f>IF(AND(C353&lt;&gt;"", 'Cost Inputs'!$G$125&lt;&gt;""), 'Cost Inputs'!$G$125, "")</f>
        <v/>
      </c>
      <c r="E353" s="17" t="str">
        <f>IF(AND(C353&lt;&gt;"", 'Cost Inputs'!$H$125&lt;&gt;""), 'Cost Inputs'!$H$125, "")</f>
        <v/>
      </c>
      <c r="F353" s="17" t="str">
        <f>IF(AND(C353&lt;&gt;"", 'Cost Inputs'!$I$125&lt;&gt;""), 'Cost Inputs'!$I$125, "")</f>
        <v/>
      </c>
      <c r="G353" s="105" t="str">
        <f t="shared" si="25"/>
        <v/>
      </c>
      <c r="H353" s="17" t="str">
        <f>IF(AND(C353&lt;&gt;"", 'Cost Inputs'!$J$125&lt;&gt;""), 'Cost Inputs'!$J$125, "")</f>
        <v/>
      </c>
      <c r="I353" s="17" t="str">
        <f>IF($C353&lt;&gt;"", IF(AND($E353&lt;&gt;"", H353&lt;&gt;""), H353/$E353, 0),"")</f>
        <v/>
      </c>
      <c r="J353" s="17" t="str">
        <f>IF(AND(C353&lt;&gt;"",('Cost Inputs'!$I$125+'Cost Inputs'!$J$125+'Cost Inputs'!$K$125)&gt;0), 'Cost Inputs'!$I$125+'Cost Inputs'!$J$125+'Cost Inputs'!$K$125, "")</f>
        <v/>
      </c>
      <c r="K353" s="17" t="str">
        <f>IF($C353&lt;&gt;"", IF(AND($E353&lt;&gt;"", J353&lt;&gt;""), J353/$E353, 0),"")</f>
        <v/>
      </c>
      <c r="L353" s="525"/>
      <c r="M353" s="525"/>
      <c r="Q353" s="17" t="str">
        <f>IF(ISNUMBER('Model_ of_individuals'!Q366), 'Model_ of_individuals'!Q366*'Model_ of_individuals'!$K366,"")</f>
        <v/>
      </c>
      <c r="R353" s="17" t="str">
        <f>IF(ISNUMBER('Model_ of_individuals'!R366), 'Model_ of_individuals'!R366*'Model_ of_individuals'!$K366,"")</f>
        <v/>
      </c>
      <c r="S353" s="17" t="str">
        <f>IF(ISNUMBER('Model_ of_individuals'!S366), 'Model_ of_individuals'!S366*'Model_ of_individuals'!$K366,"")</f>
        <v/>
      </c>
      <c r="T353" s="17" t="str">
        <f>IF(ISNUMBER('Model_ of_individuals'!T366), 'Model_ of_individuals'!T366*'Model_ of_individuals'!$K366,"")</f>
        <v/>
      </c>
      <c r="U353" s="17" t="str">
        <f>IF(ISNUMBER('Model_ of_individuals'!U366), 'Model_ of_individuals'!U366*'Model_ of_individuals'!$K366,"")</f>
        <v/>
      </c>
      <c r="V353" s="17" t="str">
        <f>IF(ISNUMBER('Model_ of_individuals'!V366), 'Model_ of_individuals'!V366*'Model_ of_individuals'!$K366,"")</f>
        <v/>
      </c>
      <c r="W353" s="17" t="str">
        <f>IF(ISNUMBER('Model_ of_individuals'!W366), 'Model_ of_individuals'!W366*'Model_ of_individuals'!$K366,"")</f>
        <v/>
      </c>
      <c r="X353" s="17" t="str">
        <f>IF(ISNUMBER('Model_ of_individuals'!X366), 'Model_ of_individuals'!X366*'Model_ of_individuals'!$K366,"")</f>
        <v/>
      </c>
      <c r="Y353" s="17" t="str">
        <f>IF(ISNUMBER('Model_ of_individuals'!Y366), 'Model_ of_individuals'!Y366*'Model_ of_individuals'!$K366,"")</f>
        <v/>
      </c>
      <c r="Z353" s="17" t="str">
        <f>IF(ISNUMBER('Model_ of_individuals'!Z366), 'Model_ of_individuals'!Z366*'Model_ of_individuals'!$K366,"")</f>
        <v/>
      </c>
      <c r="AA353" s="17" t="str">
        <f>IF(ISNUMBER('Model_ of_individuals'!AA366), 'Model_ of_individuals'!AA366*'Model_ of_individuals'!$K366,"")</f>
        <v/>
      </c>
      <c r="AB353" s="17" t="str">
        <f>IF(ISNUMBER('Model_ of_individuals'!AB366), 'Model_ of_individuals'!AB366*'Model_ of_individuals'!$K366,"")</f>
        <v/>
      </c>
      <c r="AC353" s="17" t="str">
        <f>IF(ISNUMBER('Model_ of_individuals'!AC366), 'Model_ of_individuals'!AC366*'Model_ of_individuals'!$K366,"")</f>
        <v/>
      </c>
      <c r="AD353" s="17" t="str">
        <f>IF(ISNUMBER('Model_ of_individuals'!AD366), 'Model_ of_individuals'!AD366*'Model_ of_individuals'!$K366,"")</f>
        <v/>
      </c>
      <c r="AE353" s="17" t="str">
        <f>IF(ISNUMBER('Model_ of_individuals'!AE366), 'Model_ of_individuals'!AE366*'Model_ of_individuals'!$K366,"")</f>
        <v/>
      </c>
      <c r="AF353" s="17" t="str">
        <f>IF(ISNUMBER('Model_ of_individuals'!AF366), 'Model_ of_individuals'!AF366*'Model_ of_individuals'!$K366,"")</f>
        <v/>
      </c>
      <c r="AG353" s="17" t="str">
        <f>IF(ISNUMBER('Model_ of_individuals'!AG366), 'Model_ of_individuals'!AG366*'Model_ of_individuals'!$K366,"")</f>
        <v/>
      </c>
      <c r="AH353" s="17" t="str">
        <f>IF(ISNUMBER('Model_ of_individuals'!AH366), 'Model_ of_individuals'!AH366*'Model_ of_individuals'!$K366,"")</f>
        <v/>
      </c>
      <c r="AI353" s="17" t="str">
        <f>IF(ISNUMBER('Model_ of_individuals'!AI366), 'Model_ of_individuals'!AI366*'Model_ of_individuals'!$K366,"")</f>
        <v/>
      </c>
      <c r="AJ353" s="17" t="str">
        <f>IF(ISNUMBER('Model_ of_individuals'!AJ366), 'Model_ of_individuals'!AJ366*'Model_ of_individuals'!$K366,"")</f>
        <v/>
      </c>
      <c r="AK353" s="17" t="str">
        <f>IF(ISNUMBER('Model_ of_individuals'!AK366), 'Model_ of_individuals'!AK366*'Model_ of_individuals'!$K366,"")</f>
        <v/>
      </c>
      <c r="AL353" s="17" t="str">
        <f>IF(ISNUMBER('Model_ of_individuals'!AL366), 'Model_ of_individuals'!AL366*'Model_ of_individuals'!$K366,"")</f>
        <v/>
      </c>
      <c r="AM353" s="17" t="str">
        <f>IF(ISNUMBER('Model_ of_individuals'!AM366), 'Model_ of_individuals'!AM366*'Model_ of_individuals'!$K366,"")</f>
        <v/>
      </c>
      <c r="AN353" s="17" t="str">
        <f>IF(ISNUMBER('Model_ of_individuals'!AN366), 'Model_ of_individuals'!AN366*'Model_ of_individuals'!$K366,"")</f>
        <v/>
      </c>
      <c r="AO353" s="17" t="str">
        <f>IF(ISNUMBER('Model_ of_individuals'!AO366), 'Model_ of_individuals'!AO366*'Model_ of_individuals'!$K366,"")</f>
        <v/>
      </c>
      <c r="AP353" s="17" t="str">
        <f>IF(ISNUMBER('Model_ of_individuals'!AP366), 'Model_ of_individuals'!AP366*'Model_ of_individuals'!$K366,"")</f>
        <v/>
      </c>
      <c r="AQ353" s="17" t="str">
        <f>IF(ISNUMBER('Model_ of_individuals'!AQ366), 'Model_ of_individuals'!AQ366*'Model_ of_individuals'!$K366,"")</f>
        <v/>
      </c>
      <c r="AR353" s="17" t="str">
        <f>IF(ISNUMBER('Model_ of_individuals'!AR366), 'Model_ of_individuals'!AR366*'Model_ of_individuals'!$K366,"")</f>
        <v/>
      </c>
      <c r="AS353" s="17" t="str">
        <f>IF(ISNUMBER('Model_ of_individuals'!AS366), 'Model_ of_individuals'!AS366*'Model_ of_individuals'!$K366,"")</f>
        <v/>
      </c>
      <c r="AT353" s="17" t="str">
        <f>IF(ISNUMBER('Model_ of_individuals'!AT366), 'Model_ of_individuals'!AT366*'Model_ of_individuals'!$K366,"")</f>
        <v/>
      </c>
    </row>
    <row r="354" spans="1:46" ht="15.75" thickBot="1" x14ac:dyDescent="0.3">
      <c r="A354" s="518"/>
      <c r="B354" s="504"/>
      <c r="C354" s="107" t="str">
        <f>IF(AND(ISNUMBER(B333), OR('Cost Inputs'!$H$126&lt;&gt;"", 'Cost Inputs'!$I$126&lt;&gt;"", 'Cost Inputs'!$J$126&lt;&gt;"")), _4_5_2, "")</f>
        <v/>
      </c>
      <c r="D354" s="93" t="str">
        <f>IF(AND(C354&lt;&gt;"", 'Cost Inputs'!$G$126&lt;&gt;""), 'Cost Inputs'!$G$126, "")</f>
        <v/>
      </c>
      <c r="E354" s="93" t="str">
        <f>IF(AND(C354&lt;&gt;"", 'Cost Inputs'!$H$126&lt;&gt;""), 'Cost Inputs'!$H$126, "")</f>
        <v/>
      </c>
      <c r="F354" s="93" t="str">
        <f>IF(AND(C354&lt;&gt;"", 'Cost Inputs'!$I$126&lt;&gt;""), 'Cost Inputs'!$I$126, "")</f>
        <v/>
      </c>
      <c r="G354" s="108" t="str">
        <f t="shared" si="25"/>
        <v/>
      </c>
      <c r="H354" s="93" t="str">
        <f>IF(AND(C354&lt;&gt;"", 'Cost Inputs'!$J$126&lt;&gt;""), 'Cost Inputs'!$J$126, "")</f>
        <v/>
      </c>
      <c r="I354" s="93" t="str">
        <f>IF($C354&lt;&gt;"", IF(AND($E354&lt;&gt;"", H354&lt;&gt;""), H354/$E354, 0),"")</f>
        <v/>
      </c>
      <c r="J354" s="93" t="str">
        <f>IF(AND(C354&lt;&gt;"",('Cost Inputs'!$I$126+'Cost Inputs'!$J$126+'Cost Inputs'!$K$126)&gt;0), 'Cost Inputs'!$I$126+'Cost Inputs'!$J$126+'Cost Inputs'!$K$126, "")</f>
        <v/>
      </c>
      <c r="K354" s="93" t="str">
        <f>IF($C354&lt;&gt;"", IF(AND($E354&lt;&gt;"", J354&lt;&gt;""), J354/$E354, 0),"")</f>
        <v/>
      </c>
      <c r="L354" s="525"/>
      <c r="M354" s="525"/>
      <c r="Q354" s="95" t="str">
        <f>IF(ISNUMBER('Model_ of_individuals'!Q367), 'Model_ of_individuals'!Q367*'Model_ of_individuals'!$K367,"")</f>
        <v/>
      </c>
      <c r="R354" s="95" t="str">
        <f>IF(ISNUMBER('Model_ of_individuals'!R367), 'Model_ of_individuals'!R367*'Model_ of_individuals'!$K367,"")</f>
        <v/>
      </c>
      <c r="S354" s="95" t="str">
        <f>IF(ISNUMBER('Model_ of_individuals'!S367), 'Model_ of_individuals'!S367*'Model_ of_individuals'!$K367,"")</f>
        <v/>
      </c>
      <c r="T354" s="95" t="str">
        <f>IF(ISNUMBER('Model_ of_individuals'!T367), 'Model_ of_individuals'!T367*'Model_ of_individuals'!$K367,"")</f>
        <v/>
      </c>
      <c r="U354" s="95" t="str">
        <f>IF(ISNUMBER('Model_ of_individuals'!U367), 'Model_ of_individuals'!U367*'Model_ of_individuals'!$K367,"")</f>
        <v/>
      </c>
      <c r="V354" s="95" t="str">
        <f>IF(ISNUMBER('Model_ of_individuals'!V367), 'Model_ of_individuals'!V367*'Model_ of_individuals'!$K367,"")</f>
        <v/>
      </c>
      <c r="W354" s="95" t="str">
        <f>IF(ISNUMBER('Model_ of_individuals'!W367), 'Model_ of_individuals'!W367*'Model_ of_individuals'!$K367,"")</f>
        <v/>
      </c>
      <c r="X354" s="95" t="str">
        <f>IF(ISNUMBER('Model_ of_individuals'!X367), 'Model_ of_individuals'!X367*'Model_ of_individuals'!$K367,"")</f>
        <v/>
      </c>
      <c r="Y354" s="95" t="str">
        <f>IF(ISNUMBER('Model_ of_individuals'!Y367), 'Model_ of_individuals'!Y367*'Model_ of_individuals'!$K367,"")</f>
        <v/>
      </c>
      <c r="Z354" s="95" t="str">
        <f>IF(ISNUMBER('Model_ of_individuals'!Z367), 'Model_ of_individuals'!Z367*'Model_ of_individuals'!$K367,"")</f>
        <v/>
      </c>
      <c r="AA354" s="95" t="str">
        <f>IF(ISNUMBER('Model_ of_individuals'!AA367), 'Model_ of_individuals'!AA367*'Model_ of_individuals'!$K367,"")</f>
        <v/>
      </c>
      <c r="AB354" s="95" t="str">
        <f>IF(ISNUMBER('Model_ of_individuals'!AB367), 'Model_ of_individuals'!AB367*'Model_ of_individuals'!$K367,"")</f>
        <v/>
      </c>
      <c r="AC354" s="95" t="str">
        <f>IF(ISNUMBER('Model_ of_individuals'!AC367), 'Model_ of_individuals'!AC367*'Model_ of_individuals'!$K367,"")</f>
        <v/>
      </c>
      <c r="AD354" s="95" t="str">
        <f>IF(ISNUMBER('Model_ of_individuals'!AD367), 'Model_ of_individuals'!AD367*'Model_ of_individuals'!$K367,"")</f>
        <v/>
      </c>
      <c r="AE354" s="95" t="str">
        <f>IF(ISNUMBER('Model_ of_individuals'!AE367), 'Model_ of_individuals'!AE367*'Model_ of_individuals'!$K367,"")</f>
        <v/>
      </c>
      <c r="AF354" s="95" t="str">
        <f>IF(ISNUMBER('Model_ of_individuals'!AF367), 'Model_ of_individuals'!AF367*'Model_ of_individuals'!$K367,"")</f>
        <v/>
      </c>
      <c r="AG354" s="95" t="str">
        <f>IF(ISNUMBER('Model_ of_individuals'!AG367), 'Model_ of_individuals'!AG367*'Model_ of_individuals'!$K367,"")</f>
        <v/>
      </c>
      <c r="AH354" s="95" t="str">
        <f>IF(ISNUMBER('Model_ of_individuals'!AH367), 'Model_ of_individuals'!AH367*'Model_ of_individuals'!$K367,"")</f>
        <v/>
      </c>
      <c r="AI354" s="95" t="str">
        <f>IF(ISNUMBER('Model_ of_individuals'!AI367), 'Model_ of_individuals'!AI367*'Model_ of_individuals'!$K367,"")</f>
        <v/>
      </c>
      <c r="AJ354" s="95" t="str">
        <f>IF(ISNUMBER('Model_ of_individuals'!AJ367), 'Model_ of_individuals'!AJ367*'Model_ of_individuals'!$K367,"")</f>
        <v/>
      </c>
      <c r="AK354" s="95" t="str">
        <f>IF(ISNUMBER('Model_ of_individuals'!AK367), 'Model_ of_individuals'!AK367*'Model_ of_individuals'!$K367,"")</f>
        <v/>
      </c>
      <c r="AL354" s="95" t="str">
        <f>IF(ISNUMBER('Model_ of_individuals'!AL367), 'Model_ of_individuals'!AL367*'Model_ of_individuals'!$K367,"")</f>
        <v/>
      </c>
      <c r="AM354" s="95" t="str">
        <f>IF(ISNUMBER('Model_ of_individuals'!AM367), 'Model_ of_individuals'!AM367*'Model_ of_individuals'!$K367,"")</f>
        <v/>
      </c>
      <c r="AN354" s="95" t="str">
        <f>IF(ISNUMBER('Model_ of_individuals'!AN367), 'Model_ of_individuals'!AN367*'Model_ of_individuals'!$K367,"")</f>
        <v/>
      </c>
      <c r="AO354" s="95" t="str">
        <f>IF(ISNUMBER('Model_ of_individuals'!AO367), 'Model_ of_individuals'!AO367*'Model_ of_individuals'!$K367,"")</f>
        <v/>
      </c>
      <c r="AP354" s="95" t="str">
        <f>IF(ISNUMBER('Model_ of_individuals'!AP367), 'Model_ of_individuals'!AP367*'Model_ of_individuals'!$K367,"")</f>
        <v/>
      </c>
      <c r="AQ354" s="95" t="str">
        <f>IF(ISNUMBER('Model_ of_individuals'!AQ367), 'Model_ of_individuals'!AQ367*'Model_ of_individuals'!$K367,"")</f>
        <v/>
      </c>
      <c r="AR354" s="95" t="str">
        <f>IF(ISNUMBER('Model_ of_individuals'!AR367), 'Model_ of_individuals'!AR367*'Model_ of_individuals'!$K367,"")</f>
        <v/>
      </c>
      <c r="AS354" s="95" t="str">
        <f>IF(ISNUMBER('Model_ of_individuals'!AS367), 'Model_ of_individuals'!AS367*'Model_ of_individuals'!$K367,"")</f>
        <v/>
      </c>
      <c r="AT354" s="95" t="str">
        <f>IF(ISNUMBER('Model_ of_individuals'!AT367), 'Model_ of_individuals'!AT367*'Model_ of_individuals'!$K367,"")</f>
        <v/>
      </c>
    </row>
    <row r="355" spans="1:46" ht="6.6" customHeight="1" thickBot="1" x14ac:dyDescent="0.3">
      <c r="A355" s="213"/>
      <c r="B355" s="277"/>
      <c r="C355" s="136"/>
      <c r="D355" s="270"/>
      <c r="E355" s="270"/>
      <c r="F355" s="270"/>
      <c r="G355" s="278"/>
      <c r="H355" s="270"/>
      <c r="I355" s="270"/>
      <c r="J355" s="270"/>
      <c r="K355" s="270"/>
      <c r="L355" s="279"/>
      <c r="M355" s="279"/>
      <c r="N355" s="280"/>
      <c r="O355" s="280"/>
      <c r="P355" s="280"/>
      <c r="Q355" s="270" t="str">
        <f>IF(ISNUMBER($B$333),
IF(AND(ISNUMBER(P$332), P$332&gt;0),
IF(AND(Q$269=123, Cultivar_1_Cohort_Year_Selection=$O$268,Cultivar_2_Cohort_Year_Selection=$O$268,Cultivar_3_Cohort_Year_Selection=$O$268), ROUND(MAX(0,(P$332-('Stage 2 Randomized Selection'!F$2*$M333)) - 3),0),
IF(AND(OR(Q$269=123, Q$269=12), Cultivar_1_Cohort_Year_Selection=$O$268,Cultivar_2_Cohort_Year_Selection=$O$268),  ROUND(MAX(0,(P$332-('Stage 2 Randomized Selection'!E$2*$M333)) - 2),0),
IF(AND(OR(Q$269=123, Q$269=13), Cultivar_1_Cohort_Year_Selection=$O$268,Cultivar_3_Cohort_Year_Selection=$O$268), ROUND(MAX(0,(P$332-('Stage 2 Randomized Selection'!E$2*$M333)) - 2),0),
IF(AND(OR(Q$269=123, Q$269=23), Cultivar_2_Cohort_Year_Selection=$O$268,Cultivar_3_Cohort_Year_Selection=$O$268), ROUND(MAX(0,(P$332-('Stage 2 Randomized Selection'!E$2*$M333)) - 2),0),
IF(AND(OR(Q$269=123, Q$269=12, Q$269=13, Q$269=1), Cultivar_1_Cohort_Year_Selection=$O$268), ROUND(MAX(0,(P$332-('Stage 2 Randomized Selection'!E$2*$M333)) - 1),0),
IF(AND(OR(Q$269=123, Q$269=12, Q$269=23, Q$269=2), Cultivar_2_Cohort_Year_Selection=$O$268), ROUND(MAX(0,(P$332-('Stage 2 Randomized Selection'!E$2*$M333)) - 1),0),
IF(AND(OR(Q$269=123, Q$269=13, Q$269=23, Q$269=3), Cultivar_3_Cohort_Year_Selection=$O$268), ROUND(MAX(0,(P$332-('Stage 2 Randomized Selection'!E$2*$M333)) - 1),0),
ROUND(MAX(0,(P$332-('Stage 2 Randomized Selection'!E$2*$M333))),0)))))))),0),"")</f>
        <v/>
      </c>
      <c r="R355" s="270" t="str">
        <f>IF(ISNUMBER($B$333),
IF(AND(ISNUMBER(Q$332), Q$332&gt;0),
IF(AND(R$269=123, Cultivar_1_Cohort_Year_Selection=$P$268,Cultivar_2_Cohort_Year_Selection=$P$268,Cultivar_3_Cohort_Year_Selection=$P$268), ROUND(MAX(0,(Q$332-('Stage 2 Randomized Selection'!G$2*$M333)) - 3),0),
IF(AND(OR(R$269=123, R$269=12), Cultivar_1_Cohort_Year_Selection=$P$268,Cultivar_2_Cohort_Year_Selection=$P$268),  ROUND(MAX(0,(Q$332-('Stage 2 Randomized Selection'!F$2*$M333)) - 2),0),
IF(AND(OR(R$269=123, R$269=13), Cultivar_1_Cohort_Year_Selection=$P$268,Cultivar_3_Cohort_Year_Selection=$P$268), ROUND(MAX(0,(Q$332-('Stage 2 Randomized Selection'!F$2*$M333)) - 2),0),
IF(AND(OR(R$269=123, R$269=23), Cultivar_2_Cohort_Year_Selection=$P$268,Cultivar_3_Cohort_Year_Selection=$P$268), ROUND(MAX(0,(Q$332-('Stage 2 Randomized Selection'!F$2*$M333)) - 2),0),
IF(AND(OR(R$269=123, R$269=12, R$269=13, R$269=1), Cultivar_1_Cohort_Year_Selection=$P$268), ROUND(MAX(0,(Q$332-('Stage 2 Randomized Selection'!F$2*$M333)) - 1),0),
IF(AND(OR(R$269=123, R$269=12, R$269=23, R$269=2), Cultivar_2_Cohort_Year_Selection=$P$268), ROUND(MAX(0,(Q$332-('Stage 2 Randomized Selection'!F$2*$M333)) - 1),0),
IF(AND(OR(R$269=123, R$269=13, R$269=23, R$269=3), Cultivar_3_Cohort_Year_Selection=$P$268), ROUND(MAX(0,(Q$332-('Stage 2 Randomized Selection'!F$2*$M333)) - 1),0),
ROUND(MAX(0,(Q$332-('Stage 2 Randomized Selection'!F$2*$M333))),0)))))))),0),"")</f>
        <v/>
      </c>
      <c r="S355" s="270" t="str">
        <f>IF(ISNUMBER($B$333),
IF(AND(ISNUMBER(R$332), R$332&gt;0),
IF(AND(S$269=123, Cultivar_1_Cohort_Year_Selection=$Q$268,Cultivar_2_Cohort_Year_Selection=$Q$268,Cultivar_3_Cohort_Year_Selection=$Q$268), ROUND(MAX(0,(R$332-('Stage 2 Randomized Selection'!H$2*$M333)) - 3),0),
IF(AND(OR(S$269=123, S$269=12), Cultivar_1_Cohort_Year_Selection=$Q$268,Cultivar_2_Cohort_Year_Selection=$Q$268),  ROUND(MAX(0,(R$332-('Stage 2 Randomized Selection'!G$2*$M333)) - 2),0),
IF(AND(OR(S$269=123, S$269=13), Cultivar_1_Cohort_Year_Selection=$Q$268,Cultivar_3_Cohort_Year_Selection=$Q$268), ROUND(MAX(0,(R$332-('Stage 2 Randomized Selection'!G$2*$M333)) - 2),0),
IF(AND(OR(S$269=123, S$269=23), Cultivar_2_Cohort_Year_Selection=$Q$268,Cultivar_3_Cohort_Year_Selection=$Q$268), ROUND(MAX(0,(R$332-('Stage 2 Randomized Selection'!G$2*$M333)) - 2),0),
IF(AND(OR(S$269=123, S$269=12, S$269=13, S$269=1), Cultivar_1_Cohort_Year_Selection=$Q$268), ROUND(MAX(0,(R$332-('Stage 2 Randomized Selection'!G$2*$M333)) - 1),0),
IF(AND(OR(S$269=123, S$269=12, S$269=23, S$269=2), Cultivar_2_Cohort_Year_Selection=$Q$268), ROUND(MAX(0,(R$332-('Stage 2 Randomized Selection'!G$2*$M333)) - 1),0),
IF(AND(OR(S$269=123, S$269=13, S$269=23, S$269=3), Cultivar_3_Cohort_Year_Selection=$Q$268), ROUND(MAX(0,(R$332-('Stage 2 Randomized Selection'!G$2*$M333)) - 1),0),
ROUND(MAX(0,(R$332-('Stage 2 Randomized Selection'!G$2*$M333))),0)))))))),0),"")</f>
        <v/>
      </c>
      <c r="T355" s="270" t="str">
        <f>IF(ISNUMBER($B$333),
IF(AND(ISNUMBER(S$332), S$332&gt;0),
IF(AND(T$269=123, Cultivar_1_Cohort_Year_Selection=$R$268,Cultivar_2_Cohort_Year_Selection=$R$268,Cultivar_3_Cohort_Year_Selection=$R$268), ROUND(MAX(0,(S$332-('Stage 2 Randomized Selection'!I$2*$M333)) - 3),0),
IF(AND(OR(T$269=123, T$269=12), Cultivar_1_Cohort_Year_Selection=$R$268,Cultivar_2_Cohort_Year_Selection=$R$268),  ROUND(MAX(0,(S$332-('Stage 2 Randomized Selection'!H$2*$M333)) - 2),0),
IF(AND(OR(T$269=123, T$269=13), Cultivar_1_Cohort_Year_Selection=$R$268,Cultivar_3_Cohort_Year_Selection=$R$268), ROUND(MAX(0,(S$332-('Stage 2 Randomized Selection'!H$2*$M333)) - 2),0),
IF(AND(OR(T$269=123, T$269=23), Cultivar_2_Cohort_Year_Selection=$R$268,Cultivar_3_Cohort_Year_Selection=$R$268), ROUND(MAX(0,(S$332-('Stage 2 Randomized Selection'!H$2*$M333)) - 2),0),
IF(AND(OR(T$269=123, T$269=12, T$269=13, T$269=1), Cultivar_1_Cohort_Year_Selection=$R$268), ROUND(MAX(0,(S$332-('Stage 2 Randomized Selection'!H$2*$M333)) - 1),0),
IF(AND(OR(T$269=123, T$269=12, T$269=23, T$269=2), Cultivar_2_Cohort_Year_Selection=$R$268), ROUND(MAX(0,(S$332-('Stage 2 Randomized Selection'!H$2*$M333)) - 1),0),
IF(AND(OR(T$269=123, T$269=13, T$269=23, T$269=3), Cultivar_3_Cohort_Year_Selection=$R$268), ROUND(MAX(0,(S$332-('Stage 2 Randomized Selection'!H$2*$M333)) - 1),0),
ROUND(MAX(0,(S$332-('Stage 2 Randomized Selection'!H$2*$M333))),0)))))))),0),"")</f>
        <v/>
      </c>
      <c r="U355" s="270" t="str">
        <f>IF(ISNUMBER($B$333),
IF(AND(ISNUMBER(T$332), T$332&gt;0),
IF(AND(U$269=123, Cultivar_1_Cohort_Year_Selection=$S$268,Cultivar_2_Cohort_Year_Selection=$S$268,Cultivar_3_Cohort_Year_Selection=$S$268), ROUND(MAX(0,(T$332-('Stage 2 Randomized Selection'!J$2*$M333)) - 3),0),
IF(AND(OR(U$269=123, U$269=12), Cultivar_1_Cohort_Year_Selection=$S$268,Cultivar_2_Cohort_Year_Selection=$S$268),  ROUND(MAX(0,(T$332-('Stage 2 Randomized Selection'!I$2*$M333)) - 2),0),
IF(AND(OR(U$269=123, U$269=13), Cultivar_1_Cohort_Year_Selection=$S$268,Cultivar_3_Cohort_Year_Selection=$S$268), ROUND(MAX(0,(T$332-('Stage 2 Randomized Selection'!I$2*$M333)) - 2),0),
IF(AND(OR(U$269=123, U$269=23), Cultivar_2_Cohort_Year_Selection=$S$268,Cultivar_3_Cohort_Year_Selection=$S$268), ROUND(MAX(0,(T$332-('Stage 2 Randomized Selection'!I$2*$M333)) - 2),0),
IF(AND(OR(U$269=123, U$269=12, U$269=13, U$269=1), Cultivar_1_Cohort_Year_Selection=$S$268), ROUND(MAX(0,(T$332-('Stage 2 Randomized Selection'!I$2*$M333)) - 1),0),
IF(AND(OR(U$269=123, U$269=12, U$269=23, U$269=2), Cultivar_2_Cohort_Year_Selection=$S$268), ROUND(MAX(0,(T$332-('Stage 2 Randomized Selection'!I$2*$M333)) - 1),0),
IF(AND(OR(U$269=123, U$269=13, U$269=23, U$269=3), Cultivar_3_Cohort_Year_Selection=$S$268), ROUND(MAX(0,(T$332-('Stage 2 Randomized Selection'!I$2*$M333)) - 1),0),
ROUND(MAX(0,(T$332-('Stage 2 Randomized Selection'!I$2*$M333))),0)))))))),0),"")</f>
        <v/>
      </c>
      <c r="V355" s="270" t="str">
        <f>IF(ISNUMBER($B$333),
IF(AND(ISNUMBER(U$332), U$332&gt;0),
IF(AND(V$269=123, Cultivar_1_Cohort_Year_Selection=$T$268,Cultivar_2_Cohort_Year_Selection=$T$268,Cultivar_3_Cohort_Year_Selection=$T$268), ROUND(MAX(0,(U$332-('Stage 2 Randomized Selection'!K$2*$M333)) - 3),0),
IF(AND(OR(V$269=123, V$269=12), Cultivar_1_Cohort_Year_Selection=$T$268,Cultivar_2_Cohort_Year_Selection=$T$268),  ROUND(MAX(0,(U$332-('Stage 2 Randomized Selection'!J$2*$M333)) - 2),0),
IF(AND(OR(V$269=123, V$269=13), Cultivar_1_Cohort_Year_Selection=$T$268,Cultivar_3_Cohort_Year_Selection=$T$268), ROUND(MAX(0,(U$332-('Stage 2 Randomized Selection'!J$2*$M333)) - 2),0),
IF(AND(OR(V$269=123, V$269=23), Cultivar_2_Cohort_Year_Selection=$T$268,Cultivar_3_Cohort_Year_Selection=$T$268), ROUND(MAX(0,(U$332-('Stage 2 Randomized Selection'!J$2*$M333)) - 2),0),
IF(AND(OR(V$269=123, V$269=12, V$269=13, V$269=1), Cultivar_1_Cohort_Year_Selection=$T$268), ROUND(MAX(0,(U$332-('Stage 2 Randomized Selection'!J$2*$M333)) - 1),0),
IF(AND(OR(V$269=123, V$269=12, V$269=23, V$269=2), Cultivar_2_Cohort_Year_Selection=$T$268), ROUND(MAX(0,(U$332-('Stage 2 Randomized Selection'!J$2*$M333)) - 1),0),
IF(AND(OR(V$269=123, V$269=13, V$269=23, V$269=3), Cultivar_3_Cohort_Year_Selection=$T$268), ROUND(MAX(0,(U$332-('Stage 2 Randomized Selection'!J$2*$M333)) - 1),0),
ROUND(MAX(0,(U$332-('Stage 2 Randomized Selection'!J$2*$M333))),0)))))))),0),"")</f>
        <v/>
      </c>
      <c r="W355" s="270" t="str">
        <f>IF(ISNUMBER($B$333),
IF(AND(ISNUMBER(V$332), V$332&gt;0),
IF(AND(W$269=123, Cultivar_1_Cohort_Year_Selection=$U$268,Cultivar_2_Cohort_Year_Selection=$U$268,Cultivar_3_Cohort_Year_Selection=$U$268), ROUND(MAX(0,(V$332-('Stage 2 Randomized Selection'!L$2*$M333)) - 3),0),
IF(AND(OR(W$269=123, W$269=12), Cultivar_1_Cohort_Year_Selection=$U$268,Cultivar_2_Cohort_Year_Selection=$U$268),  ROUND(MAX(0,(V$332-('Stage 2 Randomized Selection'!K$2*$M333)) - 2),0),
IF(AND(OR(W$269=123, W$269=13), Cultivar_1_Cohort_Year_Selection=$U$268,Cultivar_3_Cohort_Year_Selection=$U$268), ROUND(MAX(0,(V$332-('Stage 2 Randomized Selection'!K$2*$M333)) - 2),0),
IF(AND(OR(W$269=123, W$269=23), Cultivar_2_Cohort_Year_Selection=$U$268,Cultivar_3_Cohort_Year_Selection=$U$268), ROUND(MAX(0,(V$332-('Stage 2 Randomized Selection'!K$2*$M333)) - 2),0),
IF(AND(OR(W$269=123, W$269=12, W$269=13, W$269=1), Cultivar_1_Cohort_Year_Selection=$U$268), ROUND(MAX(0,(V$332-('Stage 2 Randomized Selection'!K$2*$M333)) - 1),0),
IF(AND(OR(W$269=123, W$269=12, W$269=23, W$269=2), Cultivar_2_Cohort_Year_Selection=$U$268), ROUND(MAX(0,(V$332-('Stage 2 Randomized Selection'!K$2*$M333)) - 1),0),
IF(AND(OR(W$269=123, W$269=13, W$269=23, W$269=3), Cultivar_3_Cohort_Year_Selection=$U$268), ROUND(MAX(0,(V$332-('Stage 2 Randomized Selection'!K$2*$M333)) - 1),0),
ROUND(MAX(0,(V$332-('Stage 2 Randomized Selection'!K$2*$M333))),0)))))))),0),"")</f>
        <v/>
      </c>
      <c r="X355" s="270" t="str">
        <f>IF(ISNUMBER($B$333),
IF(AND(ISNUMBER(W$332), W$332&gt;0),
IF(AND(X$269=123, Cultivar_1_Cohort_Year_Selection=$V$268,Cultivar_2_Cohort_Year_Selection=$V$268,Cultivar_3_Cohort_Year_Selection=$V$268), ROUND(MAX(0,(W$332-('Stage 2 Randomized Selection'!M$2*$M333)) - 3),0),
IF(AND(OR(X$269=123, X$269=12), Cultivar_1_Cohort_Year_Selection=$V$268,Cultivar_2_Cohort_Year_Selection=$V$268),  ROUND(MAX(0,(W$332-('Stage 2 Randomized Selection'!L$2*$M333)) - 2),0),
IF(AND(OR(X$269=123, X$269=13), Cultivar_1_Cohort_Year_Selection=$V$268,Cultivar_3_Cohort_Year_Selection=$V$268), ROUND(MAX(0,(W$332-('Stage 2 Randomized Selection'!L$2*$M333)) - 2),0),
IF(AND(OR(X$269=123, X$269=23), Cultivar_2_Cohort_Year_Selection=$V$268,Cultivar_3_Cohort_Year_Selection=$V$268), ROUND(MAX(0,(W$332-('Stage 2 Randomized Selection'!L$2*$M333)) - 2),0),
IF(AND(OR(X$269=123, X$269=12, X$269=13, X$269=1), Cultivar_1_Cohort_Year_Selection=$V$268), ROUND(MAX(0,(W$332-('Stage 2 Randomized Selection'!L$2*$M333)) - 1),0),
IF(AND(OR(X$269=123, X$269=12, X$269=23, X$269=2), Cultivar_2_Cohort_Year_Selection=$V$268), ROUND(MAX(0,(W$332-('Stage 2 Randomized Selection'!L$2*$M333)) - 1),0),
IF(AND(OR(X$269=123, X$269=13, X$269=23, X$269=3), Cultivar_3_Cohort_Year_Selection=$V$268), ROUND(MAX(0,(W$332-('Stage 2 Randomized Selection'!L$2*$M333)) - 1),0),
ROUND(MAX(0,(W$332-('Stage 2 Randomized Selection'!L$2*$M333))),0)))))))),0),"")</f>
        <v/>
      </c>
      <c r="Y355" s="270" t="str">
        <f>IF(ISNUMBER($B$333),
IF(AND(ISNUMBER(X$332), X$332&gt;0),
IF(AND(Y$269=123, Cultivar_1_Cohort_Year_Selection=$W$268,Cultivar_2_Cohort_Year_Selection=$W$268,Cultivar_3_Cohort_Year_Selection=$W$268), ROUND(MAX(0,(X$332-('Stage 2 Randomized Selection'!N$2*$M333)) - 3),0),
IF(AND(OR(Y$269=123, Y$269=12), Cultivar_1_Cohort_Year_Selection=$W$268,Cultivar_2_Cohort_Year_Selection=$W$268),  ROUND(MAX(0,(X$332-('Stage 2 Randomized Selection'!M$2*$M333)) - 2),0),
IF(AND(OR(Y$269=123, Y$269=13), Cultivar_1_Cohort_Year_Selection=$W$268,Cultivar_3_Cohort_Year_Selection=$W$268), ROUND(MAX(0,(X$332-('Stage 2 Randomized Selection'!M$2*$M333)) - 2),0),
IF(AND(OR(Y$269=123, Y$269=23), Cultivar_2_Cohort_Year_Selection=$W$268,Cultivar_3_Cohort_Year_Selection=$W$268), ROUND(MAX(0,(X$332-('Stage 2 Randomized Selection'!M$2*$M333)) - 2),0),
IF(AND(OR(Y$269=123, Y$269=12, Y$269=13, Y$269=1), Cultivar_1_Cohort_Year_Selection=$W$268), ROUND(MAX(0,(X$332-('Stage 2 Randomized Selection'!M$2*$M333)) - 1),0),
IF(AND(OR(Y$269=123, Y$269=12, Y$269=23, Y$269=2), Cultivar_2_Cohort_Year_Selection=$W$268), ROUND(MAX(0,(X$332-('Stage 2 Randomized Selection'!M$2*$M333)) - 1),0),
IF(AND(OR(Y$269=123, Y$269=13, Y$269=23, Y$269=3), Cultivar_3_Cohort_Year_Selection=$W$268), ROUND(MAX(0,(X$332-('Stage 2 Randomized Selection'!M$2*$M333)) - 1),0),
ROUND(MAX(0,(X$332-('Stage 2 Randomized Selection'!M$2*$M333))),0)))))))),0),"")</f>
        <v/>
      </c>
      <c r="Z355" s="270" t="str">
        <f>IF(ISNUMBER($B$333),
IF(AND(ISNUMBER(Y$332), Y$332&gt;0),
IF(AND(Z$269=123, Cultivar_1_Cohort_Year_Selection=$X$268,Cultivar_2_Cohort_Year_Selection=$X$268,Cultivar_3_Cohort_Year_Selection=$X$268), ROUND(MAX(0,(Y$332-('Stage 2 Randomized Selection'!O$2*$M333)) - 3),0),
IF(AND(OR(Z$269=123, Z$269=12), Cultivar_1_Cohort_Year_Selection=$X$268,Cultivar_2_Cohort_Year_Selection=$X$268),  ROUND(MAX(0,(Y$332-('Stage 2 Randomized Selection'!N$2*$M333)) - 2),0),
IF(AND(OR(Z$269=123, Z$269=13), Cultivar_1_Cohort_Year_Selection=$X$268,Cultivar_3_Cohort_Year_Selection=$X$268), ROUND(MAX(0,(Y$332-('Stage 2 Randomized Selection'!N$2*$M333)) - 2),0),
IF(AND(OR(Z$269=123, Z$269=23), Cultivar_2_Cohort_Year_Selection=$X$268,Cultivar_3_Cohort_Year_Selection=$X$268), ROUND(MAX(0,(Y$332-('Stage 2 Randomized Selection'!N$2*$M333)) - 2),0),
IF(AND(OR(Z$269=123, Z$269=12, Z$269=13, Z$269=1), Cultivar_1_Cohort_Year_Selection=$X$268), ROUND(MAX(0,(Y$332-('Stage 2 Randomized Selection'!N$2*$M333)) - 1),0),
IF(AND(OR(Z$269=123, Z$269=12, Z$269=23, Z$269=2), Cultivar_2_Cohort_Year_Selection=$X$268), ROUND(MAX(0,(Y$332-('Stage 2 Randomized Selection'!N$2*$M333)) - 1),0),
IF(AND(OR(Z$269=123, Z$269=13, Z$269=23, Z$269=3), Cultivar_3_Cohort_Year_Selection=$X$268), ROUND(MAX(0,(Y$332-('Stage 2 Randomized Selection'!N$2*$M333)) - 1),0),
ROUND(MAX(0,(Y$332-('Stage 2 Randomized Selection'!N$2*$M333))),0)))))))),0),"")</f>
        <v/>
      </c>
      <c r="AA355" s="270" t="str">
        <f>IF(ISNUMBER($B$333),
IF(AND(ISNUMBER(Z$332), Z$332&gt;0),
IF(AND(AA$269=123, Cultivar_1_Cohort_Year_Selection=$Y$268,Cultivar_2_Cohort_Year_Selection=$Y$268,Cultivar_3_Cohort_Year_Selection=$Y$268), ROUND(MAX(0,(Z$332-('Stage 2 Randomized Selection'!P$2*$M333)) - 3),0),
IF(AND(OR(AA$269=123, AA$269=12), Cultivar_1_Cohort_Year_Selection=$Y$268,Cultivar_2_Cohort_Year_Selection=$Y$268),  ROUND(MAX(0,(Z$332-('Stage 2 Randomized Selection'!O$2*$M333)) - 2),0),
IF(AND(OR(AA$269=123, AA$269=13), Cultivar_1_Cohort_Year_Selection=$Y$268,Cultivar_3_Cohort_Year_Selection=$Y$268), ROUND(MAX(0,(Z$332-('Stage 2 Randomized Selection'!O$2*$M333)) - 2),0),
IF(AND(OR(AA$269=123, AA$269=23), Cultivar_2_Cohort_Year_Selection=$Y$268,Cultivar_3_Cohort_Year_Selection=$Y$268), ROUND(MAX(0,(Z$332-('Stage 2 Randomized Selection'!O$2*$M333)) - 2),0),
IF(AND(OR(AA$269=123, AA$269=12, AA$269=13, AA$269=1), Cultivar_1_Cohort_Year_Selection=$Y$268), ROUND(MAX(0,(Z$332-('Stage 2 Randomized Selection'!O$2*$M333)) - 1),0),
IF(AND(OR(AA$269=123, AA$269=12, AA$269=23, AA$269=2), Cultivar_2_Cohort_Year_Selection=$Y$268), ROUND(MAX(0,(Z$332-('Stage 2 Randomized Selection'!O$2*$M333)) - 1),0),
IF(AND(OR(AA$269=123, AA$269=13, AA$269=23, AA$269=3), Cultivar_3_Cohort_Year_Selection=$Y$268), ROUND(MAX(0,(Z$332-('Stage 2 Randomized Selection'!O$2*$M333)) - 1),0),
ROUND(MAX(0,(Z$332-('Stage 2 Randomized Selection'!O$2*$M333))),0)))))))),0),"")</f>
        <v/>
      </c>
      <c r="AB355" s="270" t="str">
        <f>IF(ISNUMBER($B$333),
IF(AND(ISNUMBER(AA$332), AA$332&gt;0),
IF(AND(AB$269=123, Cultivar_1_Cohort_Year_Selection=$Z$268,Cultivar_2_Cohort_Year_Selection=$Z$268,Cultivar_3_Cohort_Year_Selection=$Z$268), ROUND(MAX(0,(AA$332-('Stage 2 Randomized Selection'!Q$2*$M333)) - 3),0),
IF(AND(OR(AB$269=123, AB$269=12), Cultivar_1_Cohort_Year_Selection=$Z$268,Cultivar_2_Cohort_Year_Selection=$Z$268),  ROUND(MAX(0,(AA$332-('Stage 2 Randomized Selection'!P$2*$M333)) - 2),0),
IF(AND(OR(AB$269=123, AB$269=13), Cultivar_1_Cohort_Year_Selection=$Z$268,Cultivar_3_Cohort_Year_Selection=$Z$268), ROUND(MAX(0,(AA$332-('Stage 2 Randomized Selection'!P$2*$M333)) - 2),0),
IF(AND(OR(AB$269=123, AB$269=23), Cultivar_2_Cohort_Year_Selection=$Z$268,Cultivar_3_Cohort_Year_Selection=$Z$268), ROUND(MAX(0,(AA$332-('Stage 2 Randomized Selection'!P$2*$M333)) - 2),0),
IF(AND(OR(AB$269=123, AB$269=12, AB$269=13, AB$269=1), Cultivar_1_Cohort_Year_Selection=$Z$268), ROUND(MAX(0,(AA$332-('Stage 2 Randomized Selection'!P$2*$M333)) - 1),0),
IF(AND(OR(AB$269=123, AB$269=12, AB$269=23, AB$269=2), Cultivar_2_Cohort_Year_Selection=$Z$268), ROUND(MAX(0,(AA$332-('Stage 2 Randomized Selection'!P$2*$M333)) - 1),0),
IF(AND(OR(AB$269=123, AB$269=13, AB$269=23, AB$269=3), Cultivar_3_Cohort_Year_Selection=$Z$268), ROUND(MAX(0,(AA$332-('Stage 2 Randomized Selection'!P$2*$M333)) - 1),0),
ROUND(MAX(0,(AA$332-('Stage 2 Randomized Selection'!P$2*$M333))),0)))))))),0),"")</f>
        <v/>
      </c>
      <c r="AC355" s="270" t="str">
        <f>IF(ISNUMBER($B$333),
IF(AND(ISNUMBER(AB$332), AB$332&gt;0),
IF(AND(AC$269=123, Cultivar_1_Cohort_Year_Selection=$AA$268,Cultivar_2_Cohort_Year_Selection=$AA$268,Cultivar_3_Cohort_Year_Selection=$AA$268), ROUND(MAX(0,(AB$332-('Stage 2 Randomized Selection'!R$2*$M333)) - 3),0),
IF(AND(OR(AC$269=123, AC$269=12), Cultivar_1_Cohort_Year_Selection=$AA$268,Cultivar_2_Cohort_Year_Selection=$AA$268),  ROUND(MAX(0,(AB$332-('Stage 2 Randomized Selection'!Q$2*$M333)) - 2),0),
IF(AND(OR(AC$269=123, AC$269=13), Cultivar_1_Cohort_Year_Selection=$AA$268,Cultivar_3_Cohort_Year_Selection=$AA$268), ROUND(MAX(0,(AB$332-('Stage 2 Randomized Selection'!Q$2*$M333)) - 2),0),
IF(AND(OR(AC$269=123, AC$269=23), Cultivar_2_Cohort_Year_Selection=$AA$268,Cultivar_3_Cohort_Year_Selection=$AA$268), ROUND(MAX(0,(AB$332-('Stage 2 Randomized Selection'!Q$2*$M333)) - 2),0),
IF(AND(OR(AC$269=123, AC$269=12, AC$269=13, AC$269=1), Cultivar_1_Cohort_Year_Selection=$AA$268), ROUND(MAX(0,(AB$332-('Stage 2 Randomized Selection'!Q$2*$M333)) - 1),0),
IF(AND(OR(AC$269=123, AC$269=12, AC$269=23, AC$269=2), Cultivar_2_Cohort_Year_Selection=$AA$268), ROUND(MAX(0,(AB$332-('Stage 2 Randomized Selection'!Q$2*$M333)) - 1),0),
IF(AND(OR(AC$269=123, AC$269=13, AC$269=23, AC$269=3), Cultivar_3_Cohort_Year_Selection=$AA$268), ROUND(MAX(0,(AB$332-('Stage 2 Randomized Selection'!Q$2*$M333)) - 1),0),
ROUND(MAX(0,(AB$332-('Stage 2 Randomized Selection'!Q$2*$M333))),0)))))))),0),"")</f>
        <v/>
      </c>
      <c r="AD355" s="270" t="str">
        <f>IF(ISNUMBER($B$333),
IF(AND(ISNUMBER(AC$332), AC$332&gt;0),
IF(AND(AD$269=123, Cultivar_1_Cohort_Year_Selection=$AB$268,Cultivar_2_Cohort_Year_Selection=$AB$268,Cultivar_3_Cohort_Year_Selection=$AB$268), ROUND(MAX(0,(AC$332-('Stage 2 Randomized Selection'!S$2*$M333)) - 3),0),
IF(AND(OR(AD$269=123, AD$269=12), Cultivar_1_Cohort_Year_Selection=$AB$268,Cultivar_2_Cohort_Year_Selection=$AB$268),  ROUND(MAX(0,(AC$332-('Stage 2 Randomized Selection'!R$2*$M333)) - 2),0),
IF(AND(OR(AD$269=123, AD$269=13), Cultivar_1_Cohort_Year_Selection=$AB$268,Cultivar_3_Cohort_Year_Selection=$AB$268), ROUND(MAX(0,(AC$332-('Stage 2 Randomized Selection'!R$2*$M333)) - 2),0),
IF(AND(OR(AD$269=123, AD$269=23), Cultivar_2_Cohort_Year_Selection=$AB$268,Cultivar_3_Cohort_Year_Selection=$AB$268), ROUND(MAX(0,(AC$332-('Stage 2 Randomized Selection'!R$2*$M333)) - 2),0),
IF(AND(OR(AD$269=123, AD$269=12, AD$269=13, AD$269=1), Cultivar_1_Cohort_Year_Selection=$AB$268), ROUND(MAX(0,(AC$332-('Stage 2 Randomized Selection'!R$2*$M333)) - 1),0),
IF(AND(OR(AD$269=123, AD$269=12, AD$269=23, AD$269=2), Cultivar_2_Cohort_Year_Selection=$AB$268), ROUND(MAX(0,(AC$332-('Stage 2 Randomized Selection'!R$2*$M333)) - 1),0),
IF(AND(OR(AD$269=123, AD$269=13, AD$269=23, AD$269=3), Cultivar_3_Cohort_Year_Selection=$AB$268), ROUND(MAX(0,(AC$332-('Stage 2 Randomized Selection'!R$2*$M333)) - 1),0),
ROUND(MAX(0,(AC$332-('Stage 2 Randomized Selection'!R$2*$M333))),0)))))))),0),"")</f>
        <v/>
      </c>
      <c r="AE355" s="270" t="str">
        <f>IF(ISNUMBER($B$333),
IF(AND(ISNUMBER(AD$332), AD$332&gt;0),
IF(AND(AE$269=123, Cultivar_1_Cohort_Year_Selection=$AC$268,Cultivar_2_Cohort_Year_Selection=$AC$268,Cultivar_3_Cohort_Year_Selection=$AC$268), ROUND(MAX(0,(AD$332-('Stage 2 Randomized Selection'!T$2*$M333)) - 3),0),
IF(AND(OR(AE$269=123, AE$269=12), Cultivar_1_Cohort_Year_Selection=$AC$268,Cultivar_2_Cohort_Year_Selection=$AC$268),  ROUND(MAX(0,(AD$332-('Stage 2 Randomized Selection'!S$2*$M333)) - 2),0),
IF(AND(OR(AE$269=123, AE$269=13), Cultivar_1_Cohort_Year_Selection=$AC$268,Cultivar_3_Cohort_Year_Selection=$AC$268), ROUND(MAX(0,(AD$332-('Stage 2 Randomized Selection'!S$2*$M333)) - 2),0),
IF(AND(OR(AE$269=123, AE$269=23), Cultivar_2_Cohort_Year_Selection=$AC$268,Cultivar_3_Cohort_Year_Selection=$AC$268), ROUND(MAX(0,(AD$332-('Stage 2 Randomized Selection'!S$2*$M333)) - 2),0),
IF(AND(OR(AE$269=123, AE$269=12, AE$269=13, AE$269=1), Cultivar_1_Cohort_Year_Selection=$AC$268), ROUND(MAX(0,(AD$332-('Stage 2 Randomized Selection'!S$2*$M333)) - 1),0),
IF(AND(OR(AE$269=123, AE$269=12, AE$269=23, AE$269=2), Cultivar_2_Cohort_Year_Selection=$AC$268), ROUND(MAX(0,(AD$332-('Stage 2 Randomized Selection'!S$2*$M333)) - 1),0),
IF(AND(OR(AE$269=123, AE$269=13, AE$269=23, AE$269=3), Cultivar_3_Cohort_Year_Selection=$AC$268), ROUND(MAX(0,(AD$332-('Stage 2 Randomized Selection'!S$2*$M333)) - 1),0),
ROUND(MAX(0,(AD$332-('Stage 2 Randomized Selection'!S$2*$M333))),0)))))))),0),"")</f>
        <v/>
      </c>
      <c r="AF355" s="270" t="str">
        <f>IF(ISNUMBER($B$333),
IF(AND(ISNUMBER(AE$332), AE$332&gt;0),
IF(AND(AF$269=123, Cultivar_1_Cohort_Year_Selection=$AD$268,Cultivar_2_Cohort_Year_Selection=$AD$268,Cultivar_3_Cohort_Year_Selection=$AD$268), ROUND(MAX(0,(AE$332-('Stage 2 Randomized Selection'!U$2*$M333)) - 3),0),
IF(AND(OR(AF$269=123, AF$269=12), Cultivar_1_Cohort_Year_Selection=$AD$268,Cultivar_2_Cohort_Year_Selection=$AD$268),  ROUND(MAX(0,(AE$332-('Stage 2 Randomized Selection'!T$2*$M333)) - 2),0),
IF(AND(OR(AF$269=123, AF$269=13), Cultivar_1_Cohort_Year_Selection=$AD$268,Cultivar_3_Cohort_Year_Selection=$AD$268), ROUND(MAX(0,(AE$332-('Stage 2 Randomized Selection'!T$2*$M333)) - 2),0),
IF(AND(OR(AF$269=123, AF$269=23), Cultivar_2_Cohort_Year_Selection=$AD$268,Cultivar_3_Cohort_Year_Selection=$AD$268), ROUND(MAX(0,(AE$332-('Stage 2 Randomized Selection'!T$2*$M333)) - 2),0),
IF(AND(OR(AF$269=123, AF$269=12, AF$269=13, AF$269=1), Cultivar_1_Cohort_Year_Selection=$AD$268), ROUND(MAX(0,(AE$332-('Stage 2 Randomized Selection'!T$2*$M333)) - 1),0),
IF(AND(OR(AF$269=123, AF$269=12, AF$269=23, AF$269=2), Cultivar_2_Cohort_Year_Selection=$AD$268), ROUND(MAX(0,(AE$332-('Stage 2 Randomized Selection'!T$2*$M333)) - 1),0),
IF(AND(OR(AF$269=123, AF$269=13, AF$269=23, AF$269=3), Cultivar_3_Cohort_Year_Selection=$AD$268), ROUND(MAX(0,(AE$332-('Stage 2 Randomized Selection'!T$2*$M333)) - 1),0),
ROUND(MAX(0,(AE$332-('Stage 2 Randomized Selection'!T$2*$M333))),0)))))))),0),"")</f>
        <v/>
      </c>
      <c r="AG355" s="270" t="str">
        <f>IF(ISNUMBER($B$333),
IF(AND(ISNUMBER(AF$332), AF$332&gt;0),
IF(AND(AG$269=123, Cultivar_1_Cohort_Year_Selection=$AE$268,Cultivar_2_Cohort_Year_Selection=$AE$268,Cultivar_3_Cohort_Year_Selection=$AE$268), ROUND(MAX(0,(AF$332-('Stage 2 Randomized Selection'!V$2*$M333)) - 3),0),
IF(AND(OR(AG$269=123, AG$269=12), Cultivar_1_Cohort_Year_Selection=$AE$268,Cultivar_2_Cohort_Year_Selection=$AE$268),  ROUND(MAX(0,(AF$332-('Stage 2 Randomized Selection'!U$2*$M333)) - 2),0),
IF(AND(OR(AG$269=123, AG$269=13), Cultivar_1_Cohort_Year_Selection=$AE$268,Cultivar_3_Cohort_Year_Selection=$AE$268), ROUND(MAX(0,(AF$332-('Stage 2 Randomized Selection'!U$2*$M333)) - 2),0),
IF(AND(OR(AG$269=123, AG$269=23), Cultivar_2_Cohort_Year_Selection=$AE$268,Cultivar_3_Cohort_Year_Selection=$AE$268), ROUND(MAX(0,(AF$332-('Stage 2 Randomized Selection'!U$2*$M333)) - 2),0),
IF(AND(OR(AG$269=123, AG$269=12, AG$269=13, AG$269=1), Cultivar_1_Cohort_Year_Selection=$AE$268), ROUND(MAX(0,(AF$332-('Stage 2 Randomized Selection'!U$2*$M333)) - 1),0),
IF(AND(OR(AG$269=123, AG$269=12, AG$269=23, AG$269=2), Cultivar_2_Cohort_Year_Selection=$AE$268), ROUND(MAX(0,(AF$332-('Stage 2 Randomized Selection'!U$2*$M333)) - 1),0),
IF(AND(OR(AG$269=123, AG$269=13, AG$269=23, AG$269=3), Cultivar_3_Cohort_Year_Selection=$AE$268), ROUND(MAX(0,(AF$332-('Stage 2 Randomized Selection'!U$2*$M333)) - 1),0),
ROUND(MAX(0,(AF$332-('Stage 2 Randomized Selection'!U$2*$M333))),0)))))))),0),"")</f>
        <v/>
      </c>
      <c r="AH355" s="270" t="str">
        <f>IF(ISNUMBER($B$333),
IF(AND(ISNUMBER(AG$332), AG$332&gt;0),
IF(AND(AH$269=123, Cultivar_1_Cohort_Year_Selection=$AF$268,Cultivar_2_Cohort_Year_Selection=$AF$268,Cultivar_3_Cohort_Year_Selection=$AF$268), ROUND(MAX(0,(AG$332-('Stage 2 Randomized Selection'!W$2*$M333)) - 3),0),
IF(AND(OR(AH$269=123, AH$269=12), Cultivar_1_Cohort_Year_Selection=$AF$268,Cultivar_2_Cohort_Year_Selection=$AF$268),  ROUND(MAX(0,(AG$332-('Stage 2 Randomized Selection'!V$2*$M333)) - 2),0),
IF(AND(OR(AH$269=123, AH$269=13), Cultivar_1_Cohort_Year_Selection=$AF$268,Cultivar_3_Cohort_Year_Selection=$AF$268), ROUND(MAX(0,(AG$332-('Stage 2 Randomized Selection'!V$2*$M333)) - 2),0),
IF(AND(OR(AH$269=123, AH$269=23), Cultivar_2_Cohort_Year_Selection=$AF$268,Cultivar_3_Cohort_Year_Selection=$AF$268), ROUND(MAX(0,(AG$332-('Stage 2 Randomized Selection'!V$2*$M333)) - 2),0),
IF(AND(OR(AH$269=123, AH$269=12, AH$269=13, AH$269=1), Cultivar_1_Cohort_Year_Selection=$AF$268), ROUND(MAX(0,(AG$332-('Stage 2 Randomized Selection'!V$2*$M333)) - 1),0),
IF(AND(OR(AH$269=123, AH$269=12, AH$269=23, AH$269=2), Cultivar_2_Cohort_Year_Selection=$AF$268), ROUND(MAX(0,(AG$332-('Stage 2 Randomized Selection'!V$2*$M333)) - 1),0),
IF(AND(OR(AH$269=123, AH$269=13, AH$269=23, AH$269=3), Cultivar_3_Cohort_Year_Selection=$AF$268), ROUND(MAX(0,(AG$332-('Stage 2 Randomized Selection'!V$2*$M333)) - 1),0),
ROUND(MAX(0,(AG$332-('Stage 2 Randomized Selection'!V$2*$M333))),0)))))))),0),"")</f>
        <v/>
      </c>
      <c r="AI355" s="270" t="str">
        <f>IF(ISNUMBER($B$333),
IF(AND(ISNUMBER(AH$332), AH$332&gt;0),
IF(AND(AI$269=123, Cultivar_1_Cohort_Year_Selection=$AG$268,Cultivar_2_Cohort_Year_Selection=$AG$268,Cultivar_3_Cohort_Year_Selection=$AG$268), ROUND(MAX(0,(AH$332-('Stage 2 Randomized Selection'!X$2*$M333)) - 3),0),
IF(AND(OR(AI$269=123, AI$269=12), Cultivar_1_Cohort_Year_Selection=$AG$268,Cultivar_2_Cohort_Year_Selection=$AG$268),  ROUND(MAX(0,(AH$332-('Stage 2 Randomized Selection'!W$2*$M333)) - 2),0),
IF(AND(OR(AI$269=123, AI$269=13), Cultivar_1_Cohort_Year_Selection=$AG$268,Cultivar_3_Cohort_Year_Selection=$AG$268), ROUND(MAX(0,(AH$332-('Stage 2 Randomized Selection'!W$2*$M333)) - 2),0),
IF(AND(OR(AI$269=123, AI$269=23), Cultivar_2_Cohort_Year_Selection=$AG$268,Cultivar_3_Cohort_Year_Selection=$AG$268), ROUND(MAX(0,(AH$332-('Stage 2 Randomized Selection'!W$2*$M333)) - 2),0),
IF(AND(OR(AI$269=123, AI$269=12, AI$269=13, AI$269=1), Cultivar_1_Cohort_Year_Selection=$AG$268), ROUND(MAX(0,(AH$332-('Stage 2 Randomized Selection'!W$2*$M333)) - 1),0),
IF(AND(OR(AI$269=123, AI$269=12, AI$269=23, AI$269=2), Cultivar_2_Cohort_Year_Selection=$AG$268), ROUND(MAX(0,(AH$332-('Stage 2 Randomized Selection'!W$2*$M333)) - 1),0),
IF(AND(OR(AI$269=123, AI$269=13, AI$269=23, AI$269=3), Cultivar_3_Cohort_Year_Selection=$AG$268), ROUND(MAX(0,(AH$332-('Stage 2 Randomized Selection'!W$2*$M333)) - 1),0),
ROUND(MAX(0,(AH$332-('Stage 2 Randomized Selection'!W$2*$M333))),0)))))))),0),"")</f>
        <v/>
      </c>
      <c r="AJ355" s="270" t="str">
        <f>IF(ISNUMBER($B$333),
IF(AND(ISNUMBER(AI$332), AI$332&gt;0),
IF(AND(AJ$269=123, Cultivar_1_Cohort_Year_Selection=$AH$268,Cultivar_2_Cohort_Year_Selection=$AH$268,Cultivar_3_Cohort_Year_Selection=$AH$268), ROUND(MAX(0,(AI$332-('Stage 2 Randomized Selection'!Y$2*$M333)) - 3),0),
IF(AND(OR(AJ$269=123, AJ$269=12), Cultivar_1_Cohort_Year_Selection=$AH$268,Cultivar_2_Cohort_Year_Selection=$AH$268),  ROUND(MAX(0,(AI$332-('Stage 2 Randomized Selection'!X$2*$M333)) - 2),0),
IF(AND(OR(AJ$269=123, AJ$269=13), Cultivar_1_Cohort_Year_Selection=$AH$268,Cultivar_3_Cohort_Year_Selection=$AH$268), ROUND(MAX(0,(AI$332-('Stage 2 Randomized Selection'!X$2*$M333)) - 2),0),
IF(AND(OR(AJ$269=123, AJ$269=23), Cultivar_2_Cohort_Year_Selection=$AH$268,Cultivar_3_Cohort_Year_Selection=$AH$268), ROUND(MAX(0,(AI$332-('Stage 2 Randomized Selection'!X$2*$M333)) - 2),0),
IF(AND(OR(AJ$269=123, AJ$269=12, AJ$269=13, AJ$269=1), Cultivar_1_Cohort_Year_Selection=$AH$268), ROUND(MAX(0,(AI$332-('Stage 2 Randomized Selection'!X$2*$M333)) - 1),0),
IF(AND(OR(AJ$269=123, AJ$269=12, AJ$269=23, AJ$269=2), Cultivar_2_Cohort_Year_Selection=$AH$268), ROUND(MAX(0,(AI$332-('Stage 2 Randomized Selection'!X$2*$M333)) - 1),0),
IF(AND(OR(AJ$269=123, AJ$269=13, AJ$269=23, AJ$269=3), Cultivar_3_Cohort_Year_Selection=$AH$268), ROUND(MAX(0,(AI$332-('Stage 2 Randomized Selection'!X$2*$M333)) - 1),0),
ROUND(MAX(0,(AI$332-('Stage 2 Randomized Selection'!X$2*$M333))),0)))))))),0),"")</f>
        <v/>
      </c>
      <c r="AK355" s="270" t="str">
        <f>IF(ISNUMBER($B$333),
IF(AND(ISNUMBER(AJ$332), AJ$332&gt;0),
IF(AND(AK$269=123, Cultivar_1_Cohort_Year_Selection=$AI$268,Cultivar_2_Cohort_Year_Selection=$AI$268,Cultivar_3_Cohort_Year_Selection=$AI$268), ROUND(MAX(0,(AJ$332-('Stage 2 Randomized Selection'!Z$2*$M333)) - 3),0),
IF(AND(OR(AK$269=123, AK$269=12), Cultivar_1_Cohort_Year_Selection=$AI$268,Cultivar_2_Cohort_Year_Selection=$AI$268),  ROUND(MAX(0,(AJ$332-('Stage 2 Randomized Selection'!Y$2*$M333)) - 2),0),
IF(AND(OR(AK$269=123, AK$269=13), Cultivar_1_Cohort_Year_Selection=$AI$268,Cultivar_3_Cohort_Year_Selection=$AI$268), ROUND(MAX(0,(AJ$332-('Stage 2 Randomized Selection'!Y$2*$M333)) - 2),0),
IF(AND(OR(AK$269=123, AK$269=23), Cultivar_2_Cohort_Year_Selection=$AI$268,Cultivar_3_Cohort_Year_Selection=$AI$268), ROUND(MAX(0,(AJ$332-('Stage 2 Randomized Selection'!Y$2*$M333)) - 2),0),
IF(AND(OR(AK$269=123, AK$269=12, AK$269=13, AK$269=1), Cultivar_1_Cohort_Year_Selection=$AI$268), ROUND(MAX(0,(AJ$332-('Stage 2 Randomized Selection'!Y$2*$M333)) - 1),0),
IF(AND(OR(AK$269=123, AK$269=12, AK$269=23, AK$269=2), Cultivar_2_Cohort_Year_Selection=$AI$268), ROUND(MAX(0,(AJ$332-('Stage 2 Randomized Selection'!Y$2*$M333)) - 1),0),
IF(AND(OR(AK$269=123, AK$269=13, AK$269=23, AK$269=3), Cultivar_3_Cohort_Year_Selection=$AI$268), ROUND(MAX(0,(AJ$332-('Stage 2 Randomized Selection'!Y$2*$M333)) - 1),0),
ROUND(MAX(0,(AJ$332-('Stage 2 Randomized Selection'!Y$2*$M333))),0)))))))),0),"")</f>
        <v/>
      </c>
      <c r="AL355" s="270" t="str">
        <f>IF(ISNUMBER($B$333),
IF(AND(ISNUMBER(AK$332), AK$332&gt;0),
IF(AND(AL$269=123, Cultivar_1_Cohort_Year_Selection=$AJ$268,Cultivar_2_Cohort_Year_Selection=$AJ$268,Cultivar_3_Cohort_Year_Selection=$AJ$268), ROUND(MAX(0,(AK$332-('Stage 2 Randomized Selection'!AA$2*$M333)) - 3),0),
IF(AND(OR(AL$269=123, AL$269=12), Cultivar_1_Cohort_Year_Selection=$AJ$268,Cultivar_2_Cohort_Year_Selection=$AJ$268),  ROUND(MAX(0,(AK$332-('Stage 2 Randomized Selection'!Z$2*$M333)) - 2),0),
IF(AND(OR(AL$269=123, AL$269=13), Cultivar_1_Cohort_Year_Selection=$AJ$268,Cultivar_3_Cohort_Year_Selection=$AJ$268), ROUND(MAX(0,(AK$332-('Stage 2 Randomized Selection'!Z$2*$M333)) - 2),0),
IF(AND(OR(AL$269=123, AL$269=23), Cultivar_2_Cohort_Year_Selection=$AJ$268,Cultivar_3_Cohort_Year_Selection=$AJ$268), ROUND(MAX(0,(AK$332-('Stage 2 Randomized Selection'!Z$2*$M333)) - 2),0),
IF(AND(OR(AL$269=123, AL$269=12, AL$269=13, AL$269=1), Cultivar_1_Cohort_Year_Selection=$AJ$268), ROUND(MAX(0,(AK$332-('Stage 2 Randomized Selection'!Z$2*$M333)) - 1),0),
IF(AND(OR(AL$269=123, AL$269=12, AL$269=23, AL$269=2), Cultivar_2_Cohort_Year_Selection=$AJ$268), ROUND(MAX(0,(AK$332-('Stage 2 Randomized Selection'!Z$2*$M333)) - 1),0),
IF(AND(OR(AL$269=123, AL$269=13, AL$269=23, AL$269=3), Cultivar_3_Cohort_Year_Selection=$AJ$268), ROUND(MAX(0,(AK$332-('Stage 2 Randomized Selection'!Z$2*$M333)) - 1),0),
ROUND(MAX(0,(AK$332-('Stage 2 Randomized Selection'!Z$2*$M333))),0)))))))),0),"")</f>
        <v/>
      </c>
      <c r="AM355" s="270" t="str">
        <f>IF(ISNUMBER($B$333),
IF(AND(ISNUMBER(AL$332), AL$332&gt;0),
IF(AND(AM$269=123, Cultivar_1_Cohort_Year_Selection=$AK$268,Cultivar_2_Cohort_Year_Selection=$AK$268,Cultivar_3_Cohort_Year_Selection=$AK$268), ROUND(MAX(0,(AL$332-('Stage 2 Randomized Selection'!AB$2*$M333)) - 3),0),
IF(AND(OR(AM$269=123, AM$269=12), Cultivar_1_Cohort_Year_Selection=$AK$268,Cultivar_2_Cohort_Year_Selection=$AK$268),  ROUND(MAX(0,(AL$332-('Stage 2 Randomized Selection'!AA$2*$M333)) - 2),0),
IF(AND(OR(AM$269=123, AM$269=13), Cultivar_1_Cohort_Year_Selection=$AK$268,Cultivar_3_Cohort_Year_Selection=$AK$268), ROUND(MAX(0,(AL$332-('Stage 2 Randomized Selection'!AA$2*$M333)) - 2),0),
IF(AND(OR(AM$269=123, AM$269=23), Cultivar_2_Cohort_Year_Selection=$AK$268,Cultivar_3_Cohort_Year_Selection=$AK$268), ROUND(MAX(0,(AL$332-('Stage 2 Randomized Selection'!AA$2*$M333)) - 2),0),
IF(AND(OR(AM$269=123, AM$269=12, AM$269=13, AM$269=1), Cultivar_1_Cohort_Year_Selection=$AK$268), ROUND(MAX(0,(AL$332-('Stage 2 Randomized Selection'!AA$2*$M333)) - 1),0),
IF(AND(OR(AM$269=123, AM$269=12, AM$269=23, AM$269=2), Cultivar_2_Cohort_Year_Selection=$AK$268), ROUND(MAX(0,(AL$332-('Stage 2 Randomized Selection'!AA$2*$M333)) - 1),0),
IF(AND(OR(AM$269=123, AM$269=13, AM$269=23, AM$269=3), Cultivar_3_Cohort_Year_Selection=$AK$268), ROUND(MAX(0,(AL$332-('Stage 2 Randomized Selection'!AA$2*$M333)) - 1),0),
ROUND(MAX(0,(AL$332-('Stage 2 Randomized Selection'!AA$2*$M333))),0)))))))),0),"")</f>
        <v/>
      </c>
      <c r="AN355" s="270" t="str">
        <f>IF(ISNUMBER($B$333),
IF(AND(ISNUMBER(AM$332), AM$332&gt;0),
IF(AND(AN$269=123, Cultivar_1_Cohort_Year_Selection=$AL$268,Cultivar_2_Cohort_Year_Selection=$AL$268,Cultivar_3_Cohort_Year_Selection=$AL$268), ROUND(MAX(0,(AM$332-('Stage 2 Randomized Selection'!AC$2*$M333)) - 3),0),
IF(AND(OR(AN$269=123, AN$269=12), Cultivar_1_Cohort_Year_Selection=$AL$268,Cultivar_2_Cohort_Year_Selection=$AL$268),  ROUND(MAX(0,(AM$332-('Stage 2 Randomized Selection'!AB$2*$M333)) - 2),0),
IF(AND(OR(AN$269=123, AN$269=13), Cultivar_1_Cohort_Year_Selection=$AL$268,Cultivar_3_Cohort_Year_Selection=$AL$268), ROUND(MAX(0,(AM$332-('Stage 2 Randomized Selection'!AB$2*$M333)) - 2),0),
IF(AND(OR(AN$269=123, AN$269=23), Cultivar_2_Cohort_Year_Selection=$AL$268,Cultivar_3_Cohort_Year_Selection=$AL$268), ROUND(MAX(0,(AM$332-('Stage 2 Randomized Selection'!AB$2*$M333)) - 2),0),
IF(AND(OR(AN$269=123, AN$269=12, AN$269=13, AN$269=1), Cultivar_1_Cohort_Year_Selection=$AL$268), ROUND(MAX(0,(AM$332-('Stage 2 Randomized Selection'!AB$2*$M333)) - 1),0),
IF(AND(OR(AN$269=123, AN$269=12, AN$269=23, AN$269=2), Cultivar_2_Cohort_Year_Selection=$AL$268), ROUND(MAX(0,(AM$332-('Stage 2 Randomized Selection'!AB$2*$M333)) - 1),0),
IF(AND(OR(AN$269=123, AN$269=13, AN$269=23, AN$269=3), Cultivar_3_Cohort_Year_Selection=$AL$268), ROUND(MAX(0,(AM$332-('Stage 2 Randomized Selection'!AB$2*$M333)) - 1),0),
ROUND(MAX(0,(AM$332-('Stage 2 Randomized Selection'!AB$2*$M333))),0)))))))),0),"")</f>
        <v/>
      </c>
      <c r="AO355" s="270" t="str">
        <f>IF(ISNUMBER($B$333),
IF(AND(ISNUMBER(AN$332), AN$332&gt;0),
IF(AND(AO$269=123, Cultivar_1_Cohort_Year_Selection=$AM$268,Cultivar_2_Cohort_Year_Selection=$AM$268,Cultivar_3_Cohort_Year_Selection=$AM$268), ROUND(MAX(0,(AN$332-('Stage 2 Randomized Selection'!AD$2*$M333)) - 3),0),
IF(AND(OR(AO$269=123, AO$269=12), Cultivar_1_Cohort_Year_Selection=$AM$268,Cultivar_2_Cohort_Year_Selection=$AM$268),  ROUND(MAX(0,(AN$332-('Stage 2 Randomized Selection'!AC$2*$M333)) - 2),0),
IF(AND(OR(AO$269=123, AO$269=13), Cultivar_1_Cohort_Year_Selection=$AM$268,Cultivar_3_Cohort_Year_Selection=$AM$268), ROUND(MAX(0,(AN$332-('Stage 2 Randomized Selection'!AC$2*$M333)) - 2),0),
IF(AND(OR(AO$269=123, AO$269=23), Cultivar_2_Cohort_Year_Selection=$AM$268,Cultivar_3_Cohort_Year_Selection=$AM$268), ROUND(MAX(0,(AN$332-('Stage 2 Randomized Selection'!AC$2*$M333)) - 2),0),
IF(AND(OR(AO$269=123, AO$269=12, AO$269=13, AO$269=1), Cultivar_1_Cohort_Year_Selection=$AM$268), ROUND(MAX(0,(AN$332-('Stage 2 Randomized Selection'!AC$2*$M333)) - 1),0),
IF(AND(OR(AO$269=123, AO$269=12, AO$269=23, AO$269=2), Cultivar_2_Cohort_Year_Selection=$AM$268), ROUND(MAX(0,(AN$332-('Stage 2 Randomized Selection'!AC$2*$M333)) - 1),0),
IF(AND(OR(AO$269=123, AO$269=13, AO$269=23, AO$269=3), Cultivar_3_Cohort_Year_Selection=$AM$268), ROUND(MAX(0,(AN$332-('Stage 2 Randomized Selection'!AC$2*$M333)) - 1),0),
ROUND(MAX(0,(AN$332-('Stage 2 Randomized Selection'!AC$2*$M333))),0)))))))),0),"")</f>
        <v/>
      </c>
      <c r="AP355" s="270" t="str">
        <f>IF(ISNUMBER($B$333),
IF(AND(ISNUMBER(AO$332), AO$332&gt;0),
IF(AND(AP$269=123, Cultivar_1_Cohort_Year_Selection=$AN$268,Cultivar_2_Cohort_Year_Selection=$AN$268,Cultivar_3_Cohort_Year_Selection=$AN$268), ROUND(MAX(0,(AO$332-('Stage 2 Randomized Selection'!AE$2*$M333)) - 3),0),
IF(AND(OR(AP$269=123, AP$269=12), Cultivar_1_Cohort_Year_Selection=$AN$268,Cultivar_2_Cohort_Year_Selection=$AN$268),  ROUND(MAX(0,(AO$332-('Stage 2 Randomized Selection'!AD$2*$M333)) - 2),0),
IF(AND(OR(AP$269=123, AP$269=13), Cultivar_1_Cohort_Year_Selection=$AN$268,Cultivar_3_Cohort_Year_Selection=$AN$268), ROUND(MAX(0,(AO$332-('Stage 2 Randomized Selection'!AD$2*$M333)) - 2),0),
IF(AND(OR(AP$269=123, AP$269=23), Cultivar_2_Cohort_Year_Selection=$AN$268,Cultivar_3_Cohort_Year_Selection=$AN$268), ROUND(MAX(0,(AO$332-('Stage 2 Randomized Selection'!AD$2*$M333)) - 2),0),
IF(AND(OR(AP$269=123, AP$269=12, AP$269=13, AP$269=1), Cultivar_1_Cohort_Year_Selection=$AN$268), ROUND(MAX(0,(AO$332-('Stage 2 Randomized Selection'!AD$2*$M333)) - 1),0),
IF(AND(OR(AP$269=123, AP$269=12, AP$269=23, AP$269=2), Cultivar_2_Cohort_Year_Selection=$AN$268), ROUND(MAX(0,(AO$332-('Stage 2 Randomized Selection'!AD$2*$M333)) - 1),0),
IF(AND(OR(AP$269=123, AP$269=13, AP$269=23, AP$269=3), Cultivar_3_Cohort_Year_Selection=$AN$268), ROUND(MAX(0,(AO$332-('Stage 2 Randomized Selection'!AD$2*$M333)) - 1),0),
ROUND(MAX(0,(AO$332-('Stage 2 Randomized Selection'!AD$2*$M333))),0)))))))),0),"")</f>
        <v/>
      </c>
      <c r="AQ355" s="270" t="str">
        <f>IF(ISNUMBER($B$333),
IF(AND(ISNUMBER(AP$332), AP$332&gt;0),
IF(AND(AQ$269=123, Cultivar_1_Cohort_Year_Selection=$AO$268,Cultivar_2_Cohort_Year_Selection=$AO$268,Cultivar_3_Cohort_Year_Selection=$AO$268), ROUND(MAX(0,(AP$332-('Stage 2 Randomized Selection'!AF$2*$M333)) - 3),0),
IF(AND(OR(AQ$269=123, AQ$269=12), Cultivar_1_Cohort_Year_Selection=$AO$268,Cultivar_2_Cohort_Year_Selection=$AO$268),  ROUND(MAX(0,(AP$332-('Stage 2 Randomized Selection'!AE$2*$M333)) - 2),0),
IF(AND(OR(AQ$269=123, AQ$269=13), Cultivar_1_Cohort_Year_Selection=$AO$268,Cultivar_3_Cohort_Year_Selection=$AO$268), ROUND(MAX(0,(AP$332-('Stage 2 Randomized Selection'!AE$2*$M333)) - 2),0),
IF(AND(OR(AQ$269=123, AQ$269=23), Cultivar_2_Cohort_Year_Selection=$AO$268,Cultivar_3_Cohort_Year_Selection=$AO$268), ROUND(MAX(0,(AP$332-('Stage 2 Randomized Selection'!AE$2*$M333)) - 2),0),
IF(AND(OR(AQ$269=123, AQ$269=12, AQ$269=13, AQ$269=1), Cultivar_1_Cohort_Year_Selection=$AO$268), ROUND(MAX(0,(AP$332-('Stage 2 Randomized Selection'!AE$2*$M333)) - 1),0),
IF(AND(OR(AQ$269=123, AQ$269=12, AQ$269=23, AQ$269=2), Cultivar_2_Cohort_Year_Selection=$AO$268), ROUND(MAX(0,(AP$332-('Stage 2 Randomized Selection'!AE$2*$M333)) - 1),0),
IF(AND(OR(AQ$269=123, AQ$269=13, AQ$269=23, AQ$269=3), Cultivar_3_Cohort_Year_Selection=$AO$268), ROUND(MAX(0,(AP$332-('Stage 2 Randomized Selection'!AE$2*$M333)) - 1),0),
ROUND(MAX(0,(AP$332-('Stage 2 Randomized Selection'!AE$2*$M333))),0)))))))),0),"")</f>
        <v/>
      </c>
      <c r="AR355" s="271" t="str">
        <f>IF(ISNUMBER($B$333),
IF(AND(ISNUMBER(AQ$332), AQ$332&gt;0),
IF(AND(AR$269=123, Cultivar_1_Cohort_Year_Selection=$AP$268,Cultivar_2_Cohort_Year_Selection=$AP$268,Cultivar_3_Cohort_Year_Selection=$AP$268), ROUND(MAX(0,(AQ$332-('Stage 2 Randomized Selection'!AG$2*$M333)) - 3),0),
IF(AND(OR(AR$269=123, AR$269=12), Cultivar_1_Cohort_Year_Selection=$AP$268,Cultivar_2_Cohort_Year_Selection=$AP$268),  ROUND(MAX(0,(AQ$332-('Stage 2 Randomized Selection'!AF$2*$M333)) - 2),0),
IF(AND(OR(AR$269=123, AR$269=13), Cultivar_1_Cohort_Year_Selection=$AP$268,Cultivar_3_Cohort_Year_Selection=$AP$268), ROUND(MAX(0,(AQ$332-('Stage 2 Randomized Selection'!AF$2*$M333)) - 2),0),
IF(AND(OR(AR$269=123, AR$269=23), Cultivar_2_Cohort_Year_Selection=$AP$268,Cultivar_3_Cohort_Year_Selection=$AP$268), ROUND(MAX(0,(AQ$332-('Stage 2 Randomized Selection'!AF$2*$M333)) - 2),0),
IF(AND(OR(AR$269=123, AR$269=12, AR$269=13, AR$269=1), Cultivar_1_Cohort_Year_Selection=$AP$268), ROUND(MAX(0,(AQ$332-('Stage 2 Randomized Selection'!AF$2*$M333)) - 1),0),
IF(AND(OR(AR$269=123, AR$269=12, AR$269=23, AR$269=2), Cultivar_2_Cohort_Year_Selection=$AP$268), ROUND(MAX(0,(AQ$332-('Stage 2 Randomized Selection'!AF$2*$M333)) - 1),0),
IF(AND(OR(AR$269=123, AR$269=13, AR$269=23, AR$269=3), Cultivar_3_Cohort_Year_Selection=$AP$268), ROUND(MAX(0,(AQ$332-('Stage 2 Randomized Selection'!AF$2*$M333)) - 1),0),
ROUND(MAX(0,(AQ$332-('Stage 2 Randomized Selection'!AF$2*$M333))),0)))))))),0),"")</f>
        <v/>
      </c>
    </row>
    <row r="356" spans="1:46" ht="14.45" customHeight="1" x14ac:dyDescent="0.25">
      <c r="A356" s="518" t="str">
        <f>Fourth_Stage</f>
        <v>Stage 2 Clonal Test Plots</v>
      </c>
      <c r="B356" s="504" t="str">
        <f>'Breeding Inputs'!B92</f>
        <v/>
      </c>
      <c r="C356" s="521" t="str">
        <f>IF(ISNUMBER(B356), _4_3_0, "")</f>
        <v/>
      </c>
      <c r="D356" s="94" t="str">
        <f>IF(AND(C356&lt;&gt;"", 'Cost Inputs'!$G$105&lt;&gt;""), 'Cost Inputs'!$G$105, "")</f>
        <v/>
      </c>
      <c r="E356" s="94" t="str">
        <f>IF(AND(C356&lt;&gt;"", 'Cost Inputs'!$H$105&lt;&gt;""), 'Cost Inputs'!$H$105, "")</f>
        <v/>
      </c>
      <c r="F356" s="492" t="str">
        <f>IF(AND(C356&lt;&gt;"", 'Cost Inputs'!$I$105&lt;&gt;""), 'Cost Inputs'!$I$105, "")</f>
        <v/>
      </c>
      <c r="G356" s="102" t="str">
        <f t="shared" si="25"/>
        <v/>
      </c>
      <c r="H356" s="492" t="str">
        <f>IF(AND(C356&lt;&gt;"", 'Cost Inputs'!$J$105&lt;&gt;""), 'Cost Inputs'!$J$105, "")</f>
        <v/>
      </c>
      <c r="I356" s="102" t="str">
        <f>IF($C356&lt;&gt;"",IF(AND($E356&lt;&gt;"",H356&lt;&gt;""), H356/$E356, 0),"")</f>
        <v/>
      </c>
      <c r="J356" s="492" t="str">
        <f>IF(AND(C356&lt;&gt;"",('Cost Inputs'!$I$105+'Cost Inputs'!$J$105+'Cost Inputs'!$K$105)&gt;0), 'Cost Inputs'!$I$105+'Cost Inputs'!$J$105+'Cost Inputs'!$K$105, "")</f>
        <v/>
      </c>
      <c r="K356" s="102" t="str">
        <f>IF($C356&lt;&gt;"",IF(AND($E356&lt;&gt;"",J356&lt;&gt;""), J356/$E356, 0),"")</f>
        <v/>
      </c>
      <c r="L356" s="525" t="str">
        <f>IF(AND($B356&lt;&gt;"", 'Breeding Inputs'!$C$89&lt;&gt;""), INDEX('Breeding Inputs'!$C$89:$C$98, MATCH($B356,'Breeding Inputs'!$B$89:$B$98,0)), IF($B356="", "", 0%))</f>
        <v/>
      </c>
      <c r="M356" s="525" t="str">
        <f>IF(AND($B356&lt;&gt;"", 'Breeding Inputs'!$D$89&lt;&gt;""), INDEX('Breeding Inputs'!$D$89:$D$98, MATCH($B356,'Breeding Inputs'!$B$89:$B$98,0))+INDEX('Breeding Inputs'!$E$89:$E$98, MATCH($B356,'Breeding Inputs'!$B$89:$B$98,0)), IF($B356="", "", 0%))</f>
        <v/>
      </c>
      <c r="R356" s="496" t="str">
        <f>IF(ISNUMBER('Model_ of_individuals'!R369), 'Model_ of_individuals'!R369*'Model_ of_individuals'!$K369,"")</f>
        <v/>
      </c>
      <c r="S356" s="496" t="str">
        <f>IF(ISNUMBER('Model_ of_individuals'!S369), 'Model_ of_individuals'!S369*'Model_ of_individuals'!$K369,"")</f>
        <v/>
      </c>
      <c r="T356" s="496" t="str">
        <f>IF(ISNUMBER('Model_ of_individuals'!T369), 'Model_ of_individuals'!T369*'Model_ of_individuals'!$K369,"")</f>
        <v/>
      </c>
      <c r="U356" s="496" t="str">
        <f>IF(ISNUMBER('Model_ of_individuals'!U369), 'Model_ of_individuals'!U369*'Model_ of_individuals'!$K369,"")</f>
        <v/>
      </c>
      <c r="V356" s="496" t="str">
        <f>IF(ISNUMBER('Model_ of_individuals'!V369), 'Model_ of_individuals'!V369*'Model_ of_individuals'!$K369,"")</f>
        <v/>
      </c>
      <c r="W356" s="496" t="str">
        <f>IF(ISNUMBER('Model_ of_individuals'!W369), 'Model_ of_individuals'!W369*'Model_ of_individuals'!$K369,"")</f>
        <v/>
      </c>
      <c r="X356" s="496" t="str">
        <f>IF(ISNUMBER('Model_ of_individuals'!X369), 'Model_ of_individuals'!X369*'Model_ of_individuals'!$K369,"")</f>
        <v/>
      </c>
      <c r="Y356" s="496" t="str">
        <f>IF(ISNUMBER('Model_ of_individuals'!Y369), 'Model_ of_individuals'!Y369*'Model_ of_individuals'!$K369,"")</f>
        <v/>
      </c>
      <c r="Z356" s="496" t="str">
        <f>IF(ISNUMBER('Model_ of_individuals'!Z369), 'Model_ of_individuals'!Z369*'Model_ of_individuals'!$K369,"")</f>
        <v/>
      </c>
      <c r="AA356" s="496" t="str">
        <f>IF(ISNUMBER('Model_ of_individuals'!AA369), 'Model_ of_individuals'!AA369*'Model_ of_individuals'!$K369,"")</f>
        <v/>
      </c>
      <c r="AB356" s="496" t="str">
        <f>IF(ISNUMBER('Model_ of_individuals'!AB369), 'Model_ of_individuals'!AB369*'Model_ of_individuals'!$K369,"")</f>
        <v/>
      </c>
      <c r="AC356" s="496" t="str">
        <f>IF(ISNUMBER('Model_ of_individuals'!AC369), 'Model_ of_individuals'!AC369*'Model_ of_individuals'!$K369,"")</f>
        <v/>
      </c>
      <c r="AD356" s="496" t="str">
        <f>IF(ISNUMBER('Model_ of_individuals'!AD369), 'Model_ of_individuals'!AD369*'Model_ of_individuals'!$K369,"")</f>
        <v/>
      </c>
      <c r="AE356" s="496" t="str">
        <f>IF(ISNUMBER('Model_ of_individuals'!AE369), 'Model_ of_individuals'!AE369*'Model_ of_individuals'!$K369,"")</f>
        <v/>
      </c>
      <c r="AF356" s="496" t="str">
        <f>IF(ISNUMBER('Model_ of_individuals'!AF369), 'Model_ of_individuals'!AF369*'Model_ of_individuals'!$K369,"")</f>
        <v/>
      </c>
      <c r="AG356" s="496" t="str">
        <f>IF(ISNUMBER('Model_ of_individuals'!AG369), 'Model_ of_individuals'!AG369*'Model_ of_individuals'!$K369,"")</f>
        <v/>
      </c>
      <c r="AH356" s="496" t="str">
        <f>IF(ISNUMBER('Model_ of_individuals'!AH369), 'Model_ of_individuals'!AH369*'Model_ of_individuals'!$K369,"")</f>
        <v/>
      </c>
      <c r="AI356" s="496" t="str">
        <f>IF(ISNUMBER('Model_ of_individuals'!AI369), 'Model_ of_individuals'!AI369*'Model_ of_individuals'!$K369,"")</f>
        <v/>
      </c>
      <c r="AJ356" s="496" t="str">
        <f>IF(ISNUMBER('Model_ of_individuals'!AJ369), 'Model_ of_individuals'!AJ369*'Model_ of_individuals'!$K369,"")</f>
        <v/>
      </c>
      <c r="AK356" s="496" t="str">
        <f>IF(ISNUMBER('Model_ of_individuals'!AK369), 'Model_ of_individuals'!AK369*'Model_ of_individuals'!$K369,"")</f>
        <v/>
      </c>
      <c r="AL356" s="496" t="str">
        <f>IF(ISNUMBER('Model_ of_individuals'!AL369), 'Model_ of_individuals'!AL369*'Model_ of_individuals'!$K369,"")</f>
        <v/>
      </c>
      <c r="AM356" s="496" t="str">
        <f>IF(ISNUMBER('Model_ of_individuals'!AM369), 'Model_ of_individuals'!AM369*'Model_ of_individuals'!$K369,"")</f>
        <v/>
      </c>
      <c r="AN356" s="496" t="str">
        <f>IF(ISNUMBER('Model_ of_individuals'!AN369), 'Model_ of_individuals'!AN369*'Model_ of_individuals'!$K369,"")</f>
        <v/>
      </c>
      <c r="AO356" s="496" t="str">
        <f>IF(ISNUMBER('Model_ of_individuals'!AO369), 'Model_ of_individuals'!AO369*'Model_ of_individuals'!$K369,"")</f>
        <v/>
      </c>
      <c r="AP356" s="496" t="str">
        <f>IF(ISNUMBER('Model_ of_individuals'!AP369), 'Model_ of_individuals'!AP369*'Model_ of_individuals'!$K369,"")</f>
        <v/>
      </c>
      <c r="AQ356" s="496" t="str">
        <f>IF(ISNUMBER('Model_ of_individuals'!AQ369), 'Model_ of_individuals'!AQ369*'Model_ of_individuals'!$K369,"")</f>
        <v/>
      </c>
      <c r="AR356" s="496" t="str">
        <f>IF(ISNUMBER('Model_ of_individuals'!AR369), 'Model_ of_individuals'!AR369*'Model_ of_individuals'!$K369,"")</f>
        <v/>
      </c>
      <c r="AS356" s="496" t="str">
        <f>IF(ISNUMBER('Model_ of_individuals'!AS369), 'Model_ of_individuals'!AS369*'Model_ of_individuals'!$K369,"")</f>
        <v/>
      </c>
    </row>
    <row r="357" spans="1:46" x14ac:dyDescent="0.25">
      <c r="A357" s="518"/>
      <c r="B357" s="504"/>
      <c r="C357" s="521"/>
      <c r="D357" s="94" t="str">
        <f>IF(AND(C356&lt;&gt;"", 'Cost Inputs'!$G$106&lt;&gt;""), 'Cost Inputs'!$G$106, "")</f>
        <v/>
      </c>
      <c r="E357" s="94" t="str">
        <f>IF(AND(C356&lt;&gt;"", 'Cost Inputs'!H183&lt;&gt;""), 'Cost Inputs'!H183, "")</f>
        <v/>
      </c>
      <c r="F357" s="492"/>
      <c r="G357" s="102" t="str">
        <f t="shared" si="25"/>
        <v/>
      </c>
      <c r="H357" s="492"/>
      <c r="I357" s="102" t="str">
        <f>IF($C356&lt;&gt;"", IF(AND($E357&lt;&gt;"", H356&lt;&gt;""), H356/($E356*$E357), 0), "")</f>
        <v/>
      </c>
      <c r="J357" s="492" t="str">
        <f>IF(AND(C357&lt;&gt;"",('Cost Inputs'!$I$86+'Cost Inputs'!$J$86+'Cost Inputs'!$K$86)&gt;0), 'Cost Inputs'!$I$86+'Cost Inputs'!$J$86+'Cost Inputs'!$K$86, "")</f>
        <v/>
      </c>
      <c r="K357" s="102" t="str">
        <f>IF($C356&lt;&gt;"", IF(AND($E357&lt;&gt;"", J356&lt;&gt;""), J356/($E356*$E357), 0), "")</f>
        <v/>
      </c>
      <c r="L357" s="525"/>
      <c r="M357" s="525"/>
      <c r="R357" s="496" t="str">
        <f>IF(ISNUMBER('Model_ of_individuals'!R370), 'Model_ of_individuals'!R370*'Model_ of_individuals'!$K370,"")</f>
        <v/>
      </c>
      <c r="S357" s="496" t="str">
        <f>IF(ISNUMBER('Model_ of_individuals'!S370), 'Model_ of_individuals'!S370*'Model_ of_individuals'!$K370,"")</f>
        <v/>
      </c>
      <c r="T357" s="496" t="str">
        <f>IF(ISNUMBER('Model_ of_individuals'!T370), 'Model_ of_individuals'!T370*'Model_ of_individuals'!$K370,"")</f>
        <v/>
      </c>
      <c r="U357" s="496" t="str">
        <f>IF(ISNUMBER('Model_ of_individuals'!U370), 'Model_ of_individuals'!U370*'Model_ of_individuals'!$K370,"")</f>
        <v/>
      </c>
      <c r="V357" s="496" t="str">
        <f>IF(ISNUMBER('Model_ of_individuals'!V370), 'Model_ of_individuals'!V370*'Model_ of_individuals'!$K370,"")</f>
        <v/>
      </c>
      <c r="W357" s="496" t="str">
        <f>IF(ISNUMBER('Model_ of_individuals'!W370), 'Model_ of_individuals'!W370*'Model_ of_individuals'!$K370,"")</f>
        <v/>
      </c>
      <c r="X357" s="496" t="str">
        <f>IF(ISNUMBER('Model_ of_individuals'!X370), 'Model_ of_individuals'!X370*'Model_ of_individuals'!$K370,"")</f>
        <v/>
      </c>
      <c r="Y357" s="496" t="str">
        <f>IF(ISNUMBER('Model_ of_individuals'!Y370), 'Model_ of_individuals'!Y370*'Model_ of_individuals'!$K370,"")</f>
        <v/>
      </c>
      <c r="Z357" s="496" t="str">
        <f>IF(ISNUMBER('Model_ of_individuals'!Z370), 'Model_ of_individuals'!Z370*'Model_ of_individuals'!$K370,"")</f>
        <v/>
      </c>
      <c r="AA357" s="496" t="str">
        <f>IF(ISNUMBER('Model_ of_individuals'!AA370), 'Model_ of_individuals'!AA370*'Model_ of_individuals'!$K370,"")</f>
        <v/>
      </c>
      <c r="AB357" s="496" t="str">
        <f>IF(ISNUMBER('Model_ of_individuals'!AB370), 'Model_ of_individuals'!AB370*'Model_ of_individuals'!$K370,"")</f>
        <v/>
      </c>
      <c r="AC357" s="496" t="str">
        <f>IF(ISNUMBER('Model_ of_individuals'!AC370), 'Model_ of_individuals'!AC370*'Model_ of_individuals'!$K370,"")</f>
        <v/>
      </c>
      <c r="AD357" s="496" t="str">
        <f>IF(ISNUMBER('Model_ of_individuals'!AD370), 'Model_ of_individuals'!AD370*'Model_ of_individuals'!$K370,"")</f>
        <v/>
      </c>
      <c r="AE357" s="496" t="str">
        <f>IF(ISNUMBER('Model_ of_individuals'!AE370), 'Model_ of_individuals'!AE370*'Model_ of_individuals'!$K370,"")</f>
        <v/>
      </c>
      <c r="AF357" s="496" t="str">
        <f>IF(ISNUMBER('Model_ of_individuals'!AF370), 'Model_ of_individuals'!AF370*'Model_ of_individuals'!$K370,"")</f>
        <v/>
      </c>
      <c r="AG357" s="496" t="str">
        <f>IF(ISNUMBER('Model_ of_individuals'!AG370), 'Model_ of_individuals'!AG370*'Model_ of_individuals'!$K370,"")</f>
        <v/>
      </c>
      <c r="AH357" s="496" t="str">
        <f>IF(ISNUMBER('Model_ of_individuals'!AH370), 'Model_ of_individuals'!AH370*'Model_ of_individuals'!$K370,"")</f>
        <v/>
      </c>
      <c r="AI357" s="496" t="str">
        <f>IF(ISNUMBER('Model_ of_individuals'!AI370), 'Model_ of_individuals'!AI370*'Model_ of_individuals'!$K370,"")</f>
        <v/>
      </c>
      <c r="AJ357" s="496" t="str">
        <f>IF(ISNUMBER('Model_ of_individuals'!AJ370), 'Model_ of_individuals'!AJ370*'Model_ of_individuals'!$K370,"")</f>
        <v/>
      </c>
      <c r="AK357" s="496" t="str">
        <f>IF(ISNUMBER('Model_ of_individuals'!AK370), 'Model_ of_individuals'!AK370*'Model_ of_individuals'!$K370,"")</f>
        <v/>
      </c>
      <c r="AL357" s="496" t="str">
        <f>IF(ISNUMBER('Model_ of_individuals'!AL370), 'Model_ of_individuals'!AL370*'Model_ of_individuals'!$K370,"")</f>
        <v/>
      </c>
      <c r="AM357" s="496" t="str">
        <f>IF(ISNUMBER('Model_ of_individuals'!AM370), 'Model_ of_individuals'!AM370*'Model_ of_individuals'!$K370,"")</f>
        <v/>
      </c>
      <c r="AN357" s="496" t="str">
        <f>IF(ISNUMBER('Model_ of_individuals'!AN370), 'Model_ of_individuals'!AN370*'Model_ of_individuals'!$K370,"")</f>
        <v/>
      </c>
      <c r="AO357" s="496" t="str">
        <f>IF(ISNUMBER('Model_ of_individuals'!AO370), 'Model_ of_individuals'!AO370*'Model_ of_individuals'!$K370,"")</f>
        <v/>
      </c>
      <c r="AP357" s="496" t="str">
        <f>IF(ISNUMBER('Model_ of_individuals'!AP370), 'Model_ of_individuals'!AP370*'Model_ of_individuals'!$K370,"")</f>
        <v/>
      </c>
      <c r="AQ357" s="496" t="str">
        <f>IF(ISNUMBER('Model_ of_individuals'!AQ370), 'Model_ of_individuals'!AQ370*'Model_ of_individuals'!$K370,"")</f>
        <v/>
      </c>
      <c r="AR357" s="496" t="str">
        <f>IF(ISNUMBER('Model_ of_individuals'!AR370), 'Model_ of_individuals'!AR370*'Model_ of_individuals'!$K370,"")</f>
        <v/>
      </c>
      <c r="AS357" s="496" t="str">
        <f>IF(ISNUMBER('Model_ of_individuals'!AS370), 'Model_ of_individuals'!AS370*'Model_ of_individuals'!$K370,"")</f>
        <v/>
      </c>
    </row>
    <row r="358" spans="1:46" x14ac:dyDescent="0.25">
      <c r="A358" s="518"/>
      <c r="B358" s="504"/>
      <c r="C358" s="104" t="str">
        <f>IF(AND(ISNUMBER(B356), OR('Cost Inputs'!$H$107&lt;&gt;"", 'Cost Inputs'!$I$107&lt;&gt;"", 'Cost Inputs'!$J$107&lt;&gt;"")), _4_3_1, "")</f>
        <v/>
      </c>
      <c r="D358" s="17" t="str">
        <f>IF(AND(C358&lt;&gt;"", 'Cost Inputs'!$G$107&lt;&gt;""), 'Cost Inputs'!$G$107, "")</f>
        <v/>
      </c>
      <c r="E358" s="17" t="str">
        <f>IF(AND(C358&lt;&gt;"", 'Cost Inputs'!$H$107&lt;&gt;""), 'Cost Inputs'!$H$107, "")</f>
        <v/>
      </c>
      <c r="F358" s="17" t="str">
        <f>IF(AND(C358&lt;&gt;"", 'Cost Inputs'!$I$107&lt;&gt;""), 'Cost Inputs'!$I$107, "")</f>
        <v/>
      </c>
      <c r="G358" s="105" t="str">
        <f t="shared" si="25"/>
        <v/>
      </c>
      <c r="H358" s="17" t="str">
        <f>IF(AND(C358&lt;&gt;"", 'Cost Inputs'!$J$107&lt;&gt;""), 'Cost Inputs'!$J$107, "")</f>
        <v/>
      </c>
      <c r="I358" s="17" t="str">
        <f t="shared" ref="I358:I366" si="28">IF($C358&lt;&gt;"", IF(AND($E358&lt;&gt;"", H358&lt;&gt;""), H358/$E358, 0),"")</f>
        <v/>
      </c>
      <c r="J358" s="17" t="str">
        <f>IF(AND(C358&lt;&gt;"",('Cost Inputs'!$I$107+'Cost Inputs'!$J$107+'Cost Inputs'!$K$107)&gt;0), 'Cost Inputs'!$I$107+'Cost Inputs'!$J$107+'Cost Inputs'!$K$107, "")</f>
        <v/>
      </c>
      <c r="K358" s="17" t="str">
        <f t="shared" ref="K358:K366" si="29">IF($C358&lt;&gt;"", IF(AND($E358&lt;&gt;"", J358&lt;&gt;""), J358/$E358, 0),"")</f>
        <v/>
      </c>
      <c r="L358" s="525"/>
      <c r="M358" s="525"/>
      <c r="R358" s="17" t="str">
        <f>IF(ISNUMBER('Model_ of_individuals'!R371), 'Model_ of_individuals'!R371*'Model_ of_individuals'!$K371,"")</f>
        <v/>
      </c>
      <c r="S358" s="17" t="str">
        <f>IF(ISNUMBER('Model_ of_individuals'!S371), 'Model_ of_individuals'!S371*'Model_ of_individuals'!$K371,"")</f>
        <v/>
      </c>
      <c r="T358" s="17" t="str">
        <f>IF(ISNUMBER('Model_ of_individuals'!T371), 'Model_ of_individuals'!T371*'Model_ of_individuals'!$K371,"")</f>
        <v/>
      </c>
      <c r="U358" s="17" t="str">
        <f>IF(ISNUMBER('Model_ of_individuals'!U371), 'Model_ of_individuals'!U371*'Model_ of_individuals'!$K371,"")</f>
        <v/>
      </c>
      <c r="V358" s="17" t="str">
        <f>IF(ISNUMBER('Model_ of_individuals'!V371), 'Model_ of_individuals'!V371*'Model_ of_individuals'!$K371,"")</f>
        <v/>
      </c>
      <c r="W358" s="17" t="str">
        <f>IF(ISNUMBER('Model_ of_individuals'!W371), 'Model_ of_individuals'!W371*'Model_ of_individuals'!$K371,"")</f>
        <v/>
      </c>
      <c r="X358" s="17" t="str">
        <f>IF(ISNUMBER('Model_ of_individuals'!X371), 'Model_ of_individuals'!X371*'Model_ of_individuals'!$K371,"")</f>
        <v/>
      </c>
      <c r="Y358" s="17" t="str">
        <f>IF(ISNUMBER('Model_ of_individuals'!Y371), 'Model_ of_individuals'!Y371*'Model_ of_individuals'!$K371,"")</f>
        <v/>
      </c>
      <c r="Z358" s="17" t="str">
        <f>IF(ISNUMBER('Model_ of_individuals'!Z371), 'Model_ of_individuals'!Z371*'Model_ of_individuals'!$K371,"")</f>
        <v/>
      </c>
      <c r="AA358" s="17" t="str">
        <f>IF(ISNUMBER('Model_ of_individuals'!AA371), 'Model_ of_individuals'!AA371*'Model_ of_individuals'!$K371,"")</f>
        <v/>
      </c>
      <c r="AB358" s="17" t="str">
        <f>IF(ISNUMBER('Model_ of_individuals'!AB371), 'Model_ of_individuals'!AB371*'Model_ of_individuals'!$K371,"")</f>
        <v/>
      </c>
      <c r="AC358" s="17" t="str">
        <f>IF(ISNUMBER('Model_ of_individuals'!AC371), 'Model_ of_individuals'!AC371*'Model_ of_individuals'!$K371,"")</f>
        <v/>
      </c>
      <c r="AD358" s="17" t="str">
        <f>IF(ISNUMBER('Model_ of_individuals'!AD371), 'Model_ of_individuals'!AD371*'Model_ of_individuals'!$K371,"")</f>
        <v/>
      </c>
      <c r="AE358" s="17" t="str">
        <f>IF(ISNUMBER('Model_ of_individuals'!AE371), 'Model_ of_individuals'!AE371*'Model_ of_individuals'!$K371,"")</f>
        <v/>
      </c>
      <c r="AF358" s="17" t="str">
        <f>IF(ISNUMBER('Model_ of_individuals'!AF371), 'Model_ of_individuals'!AF371*'Model_ of_individuals'!$K371,"")</f>
        <v/>
      </c>
      <c r="AG358" s="17" t="str">
        <f>IF(ISNUMBER('Model_ of_individuals'!AG371), 'Model_ of_individuals'!AG371*'Model_ of_individuals'!$K371,"")</f>
        <v/>
      </c>
      <c r="AH358" s="17" t="str">
        <f>IF(ISNUMBER('Model_ of_individuals'!AH371), 'Model_ of_individuals'!AH371*'Model_ of_individuals'!$K371,"")</f>
        <v/>
      </c>
      <c r="AI358" s="17" t="str">
        <f>IF(ISNUMBER('Model_ of_individuals'!AI371), 'Model_ of_individuals'!AI371*'Model_ of_individuals'!$K371,"")</f>
        <v/>
      </c>
      <c r="AJ358" s="17" t="str">
        <f>IF(ISNUMBER('Model_ of_individuals'!AJ371), 'Model_ of_individuals'!AJ371*'Model_ of_individuals'!$K371,"")</f>
        <v/>
      </c>
      <c r="AK358" s="17" t="str">
        <f>IF(ISNUMBER('Model_ of_individuals'!AK371), 'Model_ of_individuals'!AK371*'Model_ of_individuals'!$K371,"")</f>
        <v/>
      </c>
      <c r="AL358" s="17" t="str">
        <f>IF(ISNUMBER('Model_ of_individuals'!AL371), 'Model_ of_individuals'!AL371*'Model_ of_individuals'!$K371,"")</f>
        <v/>
      </c>
      <c r="AM358" s="17" t="str">
        <f>IF(ISNUMBER('Model_ of_individuals'!AM371), 'Model_ of_individuals'!AM371*'Model_ of_individuals'!$K371,"")</f>
        <v/>
      </c>
      <c r="AN358" s="17" t="str">
        <f>IF(ISNUMBER('Model_ of_individuals'!AN371), 'Model_ of_individuals'!AN371*'Model_ of_individuals'!$K371,"")</f>
        <v/>
      </c>
      <c r="AO358" s="17" t="str">
        <f>IF(ISNUMBER('Model_ of_individuals'!AO371), 'Model_ of_individuals'!AO371*'Model_ of_individuals'!$K371,"")</f>
        <v/>
      </c>
      <c r="AP358" s="17" t="str">
        <f>IF(ISNUMBER('Model_ of_individuals'!AP371), 'Model_ of_individuals'!AP371*'Model_ of_individuals'!$K371,"")</f>
        <v/>
      </c>
      <c r="AQ358" s="17" t="str">
        <f>IF(ISNUMBER('Model_ of_individuals'!AQ371), 'Model_ of_individuals'!AQ371*'Model_ of_individuals'!$K371,"")</f>
        <v/>
      </c>
      <c r="AR358" s="17" t="str">
        <f>IF(ISNUMBER('Model_ of_individuals'!AR371), 'Model_ of_individuals'!AR371*'Model_ of_individuals'!$K371,"")</f>
        <v/>
      </c>
      <c r="AS358" s="17" t="str">
        <f>IF(ISNUMBER('Model_ of_individuals'!AS371), 'Model_ of_individuals'!AS371*'Model_ of_individuals'!$K371,"")</f>
        <v/>
      </c>
    </row>
    <row r="359" spans="1:46" x14ac:dyDescent="0.25">
      <c r="A359" s="518"/>
      <c r="B359" s="504"/>
      <c r="C359" s="107" t="str">
        <f>IF(AND(ISNUMBER(B356), OR('Cost Inputs'!$H$108&lt;&gt;"", 'Cost Inputs'!$I$108&lt;&gt;"", 'Cost Inputs'!$J$108&lt;&gt;"")), _4_3_2, "")</f>
        <v/>
      </c>
      <c r="D359" s="93" t="str">
        <f>IF(AND(C359&lt;&gt;"", 'Cost Inputs'!$G$108&lt;&gt;""), 'Cost Inputs'!$G$108, "")</f>
        <v/>
      </c>
      <c r="E359" s="93" t="str">
        <f>IF(AND(C359&lt;&gt;"", 'Cost Inputs'!$H$108&lt;&gt;""), 'Cost Inputs'!$H$108, "")</f>
        <v/>
      </c>
      <c r="F359" s="93" t="str">
        <f>IF(AND(C359&lt;&gt;"", 'Cost Inputs'!$I$108&lt;&gt;""), 'Cost Inputs'!$I$108, "")</f>
        <v/>
      </c>
      <c r="G359" s="108" t="str">
        <f t="shared" si="25"/>
        <v/>
      </c>
      <c r="H359" s="93" t="str">
        <f>IF(AND(C359&lt;&gt;"", 'Cost Inputs'!$J$108&lt;&gt;""), 'Cost Inputs'!$J$108, "")</f>
        <v/>
      </c>
      <c r="I359" s="93" t="str">
        <f t="shared" si="28"/>
        <v/>
      </c>
      <c r="J359" s="93" t="str">
        <f>IF(AND(C359&lt;&gt;"",('Cost Inputs'!$I$108+'Cost Inputs'!$J$108+'Cost Inputs'!$K$108)&gt;0), 'Cost Inputs'!$I$108+'Cost Inputs'!$J$108+'Cost Inputs'!$K$108, "")</f>
        <v/>
      </c>
      <c r="K359" s="93" t="str">
        <f t="shared" si="29"/>
        <v/>
      </c>
      <c r="L359" s="525"/>
      <c r="M359" s="525"/>
      <c r="R359" s="93" t="str">
        <f>IF(ISNUMBER('Model_ of_individuals'!R372), 'Model_ of_individuals'!R372*'Model_ of_individuals'!$K372,"")</f>
        <v/>
      </c>
      <c r="S359" s="93" t="str">
        <f>IF(ISNUMBER('Model_ of_individuals'!S372), 'Model_ of_individuals'!S372*'Model_ of_individuals'!$K372,"")</f>
        <v/>
      </c>
      <c r="T359" s="93" t="str">
        <f>IF(ISNUMBER('Model_ of_individuals'!T372), 'Model_ of_individuals'!T372*'Model_ of_individuals'!$K372,"")</f>
        <v/>
      </c>
      <c r="U359" s="93" t="str">
        <f>IF(ISNUMBER('Model_ of_individuals'!U372), 'Model_ of_individuals'!U372*'Model_ of_individuals'!$K372,"")</f>
        <v/>
      </c>
      <c r="V359" s="93" t="str">
        <f>IF(ISNUMBER('Model_ of_individuals'!V372), 'Model_ of_individuals'!V372*'Model_ of_individuals'!$K372,"")</f>
        <v/>
      </c>
      <c r="W359" s="93" t="str">
        <f>IF(ISNUMBER('Model_ of_individuals'!W372), 'Model_ of_individuals'!W372*'Model_ of_individuals'!$K372,"")</f>
        <v/>
      </c>
      <c r="X359" s="93" t="str">
        <f>IF(ISNUMBER('Model_ of_individuals'!X372), 'Model_ of_individuals'!X372*'Model_ of_individuals'!$K372,"")</f>
        <v/>
      </c>
      <c r="Y359" s="93" t="str">
        <f>IF(ISNUMBER('Model_ of_individuals'!Y372), 'Model_ of_individuals'!Y372*'Model_ of_individuals'!$K372,"")</f>
        <v/>
      </c>
      <c r="Z359" s="93" t="str">
        <f>IF(ISNUMBER('Model_ of_individuals'!Z372), 'Model_ of_individuals'!Z372*'Model_ of_individuals'!$K372,"")</f>
        <v/>
      </c>
      <c r="AA359" s="93" t="str">
        <f>IF(ISNUMBER('Model_ of_individuals'!AA372), 'Model_ of_individuals'!AA372*'Model_ of_individuals'!$K372,"")</f>
        <v/>
      </c>
      <c r="AB359" s="93" t="str">
        <f>IF(ISNUMBER('Model_ of_individuals'!AB372), 'Model_ of_individuals'!AB372*'Model_ of_individuals'!$K372,"")</f>
        <v/>
      </c>
      <c r="AC359" s="93" t="str">
        <f>IF(ISNUMBER('Model_ of_individuals'!AC372), 'Model_ of_individuals'!AC372*'Model_ of_individuals'!$K372,"")</f>
        <v/>
      </c>
      <c r="AD359" s="93" t="str">
        <f>IF(ISNUMBER('Model_ of_individuals'!AD372), 'Model_ of_individuals'!AD372*'Model_ of_individuals'!$K372,"")</f>
        <v/>
      </c>
      <c r="AE359" s="93" t="str">
        <f>IF(ISNUMBER('Model_ of_individuals'!AE372), 'Model_ of_individuals'!AE372*'Model_ of_individuals'!$K372,"")</f>
        <v/>
      </c>
      <c r="AF359" s="93" t="str">
        <f>IF(ISNUMBER('Model_ of_individuals'!AF372), 'Model_ of_individuals'!AF372*'Model_ of_individuals'!$K372,"")</f>
        <v/>
      </c>
      <c r="AG359" s="93" t="str">
        <f>IF(ISNUMBER('Model_ of_individuals'!AG372), 'Model_ of_individuals'!AG372*'Model_ of_individuals'!$K372,"")</f>
        <v/>
      </c>
      <c r="AH359" s="93" t="str">
        <f>IF(ISNUMBER('Model_ of_individuals'!AH372), 'Model_ of_individuals'!AH372*'Model_ of_individuals'!$K372,"")</f>
        <v/>
      </c>
      <c r="AI359" s="93" t="str">
        <f>IF(ISNUMBER('Model_ of_individuals'!AI372), 'Model_ of_individuals'!AI372*'Model_ of_individuals'!$K372,"")</f>
        <v/>
      </c>
      <c r="AJ359" s="93" t="str">
        <f>IF(ISNUMBER('Model_ of_individuals'!AJ372), 'Model_ of_individuals'!AJ372*'Model_ of_individuals'!$K372,"")</f>
        <v/>
      </c>
      <c r="AK359" s="93" t="str">
        <f>IF(ISNUMBER('Model_ of_individuals'!AK372), 'Model_ of_individuals'!AK372*'Model_ of_individuals'!$K372,"")</f>
        <v/>
      </c>
      <c r="AL359" s="93" t="str">
        <f>IF(ISNUMBER('Model_ of_individuals'!AL372), 'Model_ of_individuals'!AL372*'Model_ of_individuals'!$K372,"")</f>
        <v/>
      </c>
      <c r="AM359" s="93" t="str">
        <f>IF(ISNUMBER('Model_ of_individuals'!AM372), 'Model_ of_individuals'!AM372*'Model_ of_individuals'!$K372,"")</f>
        <v/>
      </c>
      <c r="AN359" s="93" t="str">
        <f>IF(ISNUMBER('Model_ of_individuals'!AN372), 'Model_ of_individuals'!AN372*'Model_ of_individuals'!$K372,"")</f>
        <v/>
      </c>
      <c r="AO359" s="93" t="str">
        <f>IF(ISNUMBER('Model_ of_individuals'!AO372), 'Model_ of_individuals'!AO372*'Model_ of_individuals'!$K372,"")</f>
        <v/>
      </c>
      <c r="AP359" s="93" t="str">
        <f>IF(ISNUMBER('Model_ of_individuals'!AP372), 'Model_ of_individuals'!AP372*'Model_ of_individuals'!$K372,"")</f>
        <v/>
      </c>
      <c r="AQ359" s="93" t="str">
        <f>IF(ISNUMBER('Model_ of_individuals'!AQ372), 'Model_ of_individuals'!AQ372*'Model_ of_individuals'!$K372,"")</f>
        <v/>
      </c>
      <c r="AR359" s="93" t="str">
        <f>IF(ISNUMBER('Model_ of_individuals'!AR372), 'Model_ of_individuals'!AR372*'Model_ of_individuals'!$K372,"")</f>
        <v/>
      </c>
      <c r="AS359" s="93" t="str">
        <f>IF(ISNUMBER('Model_ of_individuals'!AS372), 'Model_ of_individuals'!AS372*'Model_ of_individuals'!$K372,"")</f>
        <v/>
      </c>
    </row>
    <row r="360" spans="1:46" x14ac:dyDescent="0.25">
      <c r="A360" s="518"/>
      <c r="B360" s="504"/>
      <c r="C360" s="110" t="str">
        <f>IF(ISNUMBER(B356), _4_4_0, "")</f>
        <v/>
      </c>
      <c r="D360" s="94" t="str">
        <f>IF(AND(C360&lt;&gt;"", 'Cost Inputs'!$G$109&lt;&gt;""), 'Cost Inputs'!$G$109, "")</f>
        <v/>
      </c>
      <c r="E360" s="94" t="str">
        <f>IF(AND(C360&lt;&gt;"", 'Cost Inputs'!$H$109&lt;&gt;""), 'Cost Inputs'!$H$109, "")</f>
        <v/>
      </c>
      <c r="F360" s="94" t="str">
        <f>IF(AND(C360&lt;&gt;"", 'Cost Inputs'!$I$109&lt;&gt;""), 'Cost Inputs'!$I$109, "")</f>
        <v/>
      </c>
      <c r="G360" s="102" t="str">
        <f t="shared" si="25"/>
        <v/>
      </c>
      <c r="H360" s="102" t="str">
        <f>IF(AND(C360&lt;&gt;"", 'Cost Inputs'!$J$109&lt;&gt;""), 'Cost Inputs'!$J$109, "")</f>
        <v/>
      </c>
      <c r="I360" s="102" t="str">
        <f t="shared" si="28"/>
        <v/>
      </c>
      <c r="J360" s="102" t="str">
        <f>IF(AND(C360&lt;&gt;"",('Cost Inputs'!$I$109+'Cost Inputs'!$J$109+'Cost Inputs'!$K$109)&gt;0), 'Cost Inputs'!$I$109+'Cost Inputs'!$J$109+'Cost Inputs'!$K$109, "")</f>
        <v/>
      </c>
      <c r="K360" s="102" t="str">
        <f t="shared" si="29"/>
        <v/>
      </c>
      <c r="L360" s="525"/>
      <c r="M360" s="525"/>
      <c r="R360" s="102" t="str">
        <f>IF(ISNUMBER('Model_ of_individuals'!R373), 'Model_ of_individuals'!R373*'Model_ of_individuals'!$K373,"")</f>
        <v/>
      </c>
      <c r="S360" s="102" t="str">
        <f>IF(ISNUMBER('Model_ of_individuals'!S373), 'Model_ of_individuals'!S373*'Model_ of_individuals'!$K373,"")</f>
        <v/>
      </c>
      <c r="T360" s="102" t="str">
        <f>IF(ISNUMBER('Model_ of_individuals'!T373), 'Model_ of_individuals'!T373*'Model_ of_individuals'!$K373,"")</f>
        <v/>
      </c>
      <c r="U360" s="102" t="str">
        <f>IF(ISNUMBER('Model_ of_individuals'!U373), 'Model_ of_individuals'!U373*'Model_ of_individuals'!$K373,"")</f>
        <v/>
      </c>
      <c r="V360" s="102" t="str">
        <f>IF(ISNUMBER('Model_ of_individuals'!V373), 'Model_ of_individuals'!V373*'Model_ of_individuals'!$K373,"")</f>
        <v/>
      </c>
      <c r="W360" s="102" t="str">
        <f>IF(ISNUMBER('Model_ of_individuals'!W373), 'Model_ of_individuals'!W373*'Model_ of_individuals'!$K373,"")</f>
        <v/>
      </c>
      <c r="X360" s="102" t="str">
        <f>IF(ISNUMBER('Model_ of_individuals'!X373), 'Model_ of_individuals'!X373*'Model_ of_individuals'!$K373,"")</f>
        <v/>
      </c>
      <c r="Y360" s="102" t="str">
        <f>IF(ISNUMBER('Model_ of_individuals'!Y373), 'Model_ of_individuals'!Y373*'Model_ of_individuals'!$K373,"")</f>
        <v/>
      </c>
      <c r="Z360" s="102" t="str">
        <f>IF(ISNUMBER('Model_ of_individuals'!Z373), 'Model_ of_individuals'!Z373*'Model_ of_individuals'!$K373,"")</f>
        <v/>
      </c>
      <c r="AA360" s="102" t="str">
        <f>IF(ISNUMBER('Model_ of_individuals'!AA373), 'Model_ of_individuals'!AA373*'Model_ of_individuals'!$K373,"")</f>
        <v/>
      </c>
      <c r="AB360" s="102" t="str">
        <f>IF(ISNUMBER('Model_ of_individuals'!AB373), 'Model_ of_individuals'!AB373*'Model_ of_individuals'!$K373,"")</f>
        <v/>
      </c>
      <c r="AC360" s="102" t="str">
        <f>IF(ISNUMBER('Model_ of_individuals'!AC373), 'Model_ of_individuals'!AC373*'Model_ of_individuals'!$K373,"")</f>
        <v/>
      </c>
      <c r="AD360" s="102" t="str">
        <f>IF(ISNUMBER('Model_ of_individuals'!AD373), 'Model_ of_individuals'!AD373*'Model_ of_individuals'!$K373,"")</f>
        <v/>
      </c>
      <c r="AE360" s="102" t="str">
        <f>IF(ISNUMBER('Model_ of_individuals'!AE373), 'Model_ of_individuals'!AE373*'Model_ of_individuals'!$K373,"")</f>
        <v/>
      </c>
      <c r="AF360" s="102" t="str">
        <f>IF(ISNUMBER('Model_ of_individuals'!AF373), 'Model_ of_individuals'!AF373*'Model_ of_individuals'!$K373,"")</f>
        <v/>
      </c>
      <c r="AG360" s="102" t="str">
        <f>IF(ISNUMBER('Model_ of_individuals'!AG373), 'Model_ of_individuals'!AG373*'Model_ of_individuals'!$K373,"")</f>
        <v/>
      </c>
      <c r="AH360" s="102" t="str">
        <f>IF(ISNUMBER('Model_ of_individuals'!AH373), 'Model_ of_individuals'!AH373*'Model_ of_individuals'!$K373,"")</f>
        <v/>
      </c>
      <c r="AI360" s="102" t="str">
        <f>IF(ISNUMBER('Model_ of_individuals'!AI373), 'Model_ of_individuals'!AI373*'Model_ of_individuals'!$K373,"")</f>
        <v/>
      </c>
      <c r="AJ360" s="102" t="str">
        <f>IF(ISNUMBER('Model_ of_individuals'!AJ373), 'Model_ of_individuals'!AJ373*'Model_ of_individuals'!$K373,"")</f>
        <v/>
      </c>
      <c r="AK360" s="102" t="str">
        <f>IF(ISNUMBER('Model_ of_individuals'!AK373), 'Model_ of_individuals'!AK373*'Model_ of_individuals'!$K373,"")</f>
        <v/>
      </c>
      <c r="AL360" s="102" t="str">
        <f>IF(ISNUMBER('Model_ of_individuals'!AL373), 'Model_ of_individuals'!AL373*'Model_ of_individuals'!$K373,"")</f>
        <v/>
      </c>
      <c r="AM360" s="102" t="str">
        <f>IF(ISNUMBER('Model_ of_individuals'!AM373), 'Model_ of_individuals'!AM373*'Model_ of_individuals'!$K373,"")</f>
        <v/>
      </c>
      <c r="AN360" s="102" t="str">
        <f>IF(ISNUMBER('Model_ of_individuals'!AN373), 'Model_ of_individuals'!AN373*'Model_ of_individuals'!$K373,"")</f>
        <v/>
      </c>
      <c r="AO360" s="102" t="str">
        <f>IF(ISNUMBER('Model_ of_individuals'!AO373), 'Model_ of_individuals'!AO373*'Model_ of_individuals'!$K373,"")</f>
        <v/>
      </c>
      <c r="AP360" s="102" t="str">
        <f>IF(ISNUMBER('Model_ of_individuals'!AP373), 'Model_ of_individuals'!AP373*'Model_ of_individuals'!$K373,"")</f>
        <v/>
      </c>
      <c r="AQ360" s="102" t="str">
        <f>IF(ISNUMBER('Model_ of_individuals'!AQ373), 'Model_ of_individuals'!AQ373*'Model_ of_individuals'!$K373,"")</f>
        <v/>
      </c>
      <c r="AR360" s="102" t="str">
        <f>IF(ISNUMBER('Model_ of_individuals'!AR373), 'Model_ of_individuals'!AR373*'Model_ of_individuals'!$K373,"")</f>
        <v/>
      </c>
      <c r="AS360" s="102" t="str">
        <f>IF(ISNUMBER('Model_ of_individuals'!AS373), 'Model_ of_individuals'!AS373*'Model_ of_individuals'!$K373,"")</f>
        <v/>
      </c>
    </row>
    <row r="361" spans="1:46" x14ac:dyDescent="0.25">
      <c r="A361" s="518"/>
      <c r="B361" s="504"/>
      <c r="C361" s="104" t="str">
        <f>IF(AND(ISNUMBER(B356), OR('Cost Inputs'!$H$110&lt;&gt;"", 'Cost Inputs'!$I$110&lt;&gt;"", 'Cost Inputs'!$J$110&lt;&gt;"")), _4_4_1, "")</f>
        <v/>
      </c>
      <c r="D361" s="17" t="str">
        <f>IF(AND(C361&lt;&gt;"", 'Cost Inputs'!$G$110&lt;&gt;""), 'Cost Inputs'!$G$110, "")</f>
        <v/>
      </c>
      <c r="E361" s="17" t="str">
        <f>IF(AND(C361&lt;&gt;"", 'Cost Inputs'!$H$110&lt;&gt;""), 'Cost Inputs'!$H$110, "")</f>
        <v/>
      </c>
      <c r="F361" s="17" t="str">
        <f>IF(AND(C361&lt;&gt;"", 'Cost Inputs'!$I$110&lt;&gt;""), 'Cost Inputs'!$I$110, "")</f>
        <v/>
      </c>
      <c r="G361" s="105" t="str">
        <f t="shared" si="25"/>
        <v/>
      </c>
      <c r="H361" s="17" t="str">
        <f>IF(AND(C361&lt;&gt;"", 'Cost Inputs'!$J$110&lt;&gt;""), 'Cost Inputs'!$J$110, "")</f>
        <v/>
      </c>
      <c r="I361" s="17" t="str">
        <f t="shared" si="28"/>
        <v/>
      </c>
      <c r="J361" s="17" t="str">
        <f>IF(AND(C361&lt;&gt;"",('Cost Inputs'!$I$110+'Cost Inputs'!$J$110+'Cost Inputs'!$K$110)&gt;0), 'Cost Inputs'!$I$110+'Cost Inputs'!$J$110+'Cost Inputs'!$K$110, "")</f>
        <v/>
      </c>
      <c r="K361" s="17" t="str">
        <f t="shared" si="29"/>
        <v/>
      </c>
      <c r="L361" s="525"/>
      <c r="M361" s="525"/>
      <c r="R361" s="17" t="str">
        <f>IF(ISNUMBER('Model_ of_individuals'!R374), 'Model_ of_individuals'!R374*'Model_ of_individuals'!$K374,"")</f>
        <v/>
      </c>
      <c r="S361" s="17" t="str">
        <f>IF(ISNUMBER('Model_ of_individuals'!S374), 'Model_ of_individuals'!S374*'Model_ of_individuals'!$K374,"")</f>
        <v/>
      </c>
      <c r="T361" s="17" t="str">
        <f>IF(ISNUMBER('Model_ of_individuals'!T374), 'Model_ of_individuals'!T374*'Model_ of_individuals'!$K374,"")</f>
        <v/>
      </c>
      <c r="U361" s="17" t="str">
        <f>IF(ISNUMBER('Model_ of_individuals'!U374), 'Model_ of_individuals'!U374*'Model_ of_individuals'!$K374,"")</f>
        <v/>
      </c>
      <c r="V361" s="17" t="str">
        <f>IF(ISNUMBER('Model_ of_individuals'!V374), 'Model_ of_individuals'!V374*'Model_ of_individuals'!$K374,"")</f>
        <v/>
      </c>
      <c r="W361" s="17" t="str">
        <f>IF(ISNUMBER('Model_ of_individuals'!W374), 'Model_ of_individuals'!W374*'Model_ of_individuals'!$K374,"")</f>
        <v/>
      </c>
      <c r="X361" s="17" t="str">
        <f>IF(ISNUMBER('Model_ of_individuals'!X374), 'Model_ of_individuals'!X374*'Model_ of_individuals'!$K374,"")</f>
        <v/>
      </c>
      <c r="Y361" s="17" t="str">
        <f>IF(ISNUMBER('Model_ of_individuals'!Y374), 'Model_ of_individuals'!Y374*'Model_ of_individuals'!$K374,"")</f>
        <v/>
      </c>
      <c r="Z361" s="17" t="str">
        <f>IF(ISNUMBER('Model_ of_individuals'!Z374), 'Model_ of_individuals'!Z374*'Model_ of_individuals'!$K374,"")</f>
        <v/>
      </c>
      <c r="AA361" s="17" t="str">
        <f>IF(ISNUMBER('Model_ of_individuals'!AA374), 'Model_ of_individuals'!AA374*'Model_ of_individuals'!$K374,"")</f>
        <v/>
      </c>
      <c r="AB361" s="17" t="str">
        <f>IF(ISNUMBER('Model_ of_individuals'!AB374), 'Model_ of_individuals'!AB374*'Model_ of_individuals'!$K374,"")</f>
        <v/>
      </c>
      <c r="AC361" s="17" t="str">
        <f>IF(ISNUMBER('Model_ of_individuals'!AC374), 'Model_ of_individuals'!AC374*'Model_ of_individuals'!$K374,"")</f>
        <v/>
      </c>
      <c r="AD361" s="17" t="str">
        <f>IF(ISNUMBER('Model_ of_individuals'!AD374), 'Model_ of_individuals'!AD374*'Model_ of_individuals'!$K374,"")</f>
        <v/>
      </c>
      <c r="AE361" s="17" t="str">
        <f>IF(ISNUMBER('Model_ of_individuals'!AE374), 'Model_ of_individuals'!AE374*'Model_ of_individuals'!$K374,"")</f>
        <v/>
      </c>
      <c r="AF361" s="17" t="str">
        <f>IF(ISNUMBER('Model_ of_individuals'!AF374), 'Model_ of_individuals'!AF374*'Model_ of_individuals'!$K374,"")</f>
        <v/>
      </c>
      <c r="AG361" s="17" t="str">
        <f>IF(ISNUMBER('Model_ of_individuals'!AG374), 'Model_ of_individuals'!AG374*'Model_ of_individuals'!$K374,"")</f>
        <v/>
      </c>
      <c r="AH361" s="17" t="str">
        <f>IF(ISNUMBER('Model_ of_individuals'!AH374), 'Model_ of_individuals'!AH374*'Model_ of_individuals'!$K374,"")</f>
        <v/>
      </c>
      <c r="AI361" s="17" t="str">
        <f>IF(ISNUMBER('Model_ of_individuals'!AI374), 'Model_ of_individuals'!AI374*'Model_ of_individuals'!$K374,"")</f>
        <v/>
      </c>
      <c r="AJ361" s="17" t="str">
        <f>IF(ISNUMBER('Model_ of_individuals'!AJ374), 'Model_ of_individuals'!AJ374*'Model_ of_individuals'!$K374,"")</f>
        <v/>
      </c>
      <c r="AK361" s="17" t="str">
        <f>IF(ISNUMBER('Model_ of_individuals'!AK374), 'Model_ of_individuals'!AK374*'Model_ of_individuals'!$K374,"")</f>
        <v/>
      </c>
      <c r="AL361" s="17" t="str">
        <f>IF(ISNUMBER('Model_ of_individuals'!AL374), 'Model_ of_individuals'!AL374*'Model_ of_individuals'!$K374,"")</f>
        <v/>
      </c>
      <c r="AM361" s="17" t="str">
        <f>IF(ISNUMBER('Model_ of_individuals'!AM374), 'Model_ of_individuals'!AM374*'Model_ of_individuals'!$K374,"")</f>
        <v/>
      </c>
      <c r="AN361" s="17" t="str">
        <f>IF(ISNUMBER('Model_ of_individuals'!AN374), 'Model_ of_individuals'!AN374*'Model_ of_individuals'!$K374,"")</f>
        <v/>
      </c>
      <c r="AO361" s="17" t="str">
        <f>IF(ISNUMBER('Model_ of_individuals'!AO374), 'Model_ of_individuals'!AO374*'Model_ of_individuals'!$K374,"")</f>
        <v/>
      </c>
      <c r="AP361" s="17" t="str">
        <f>IF(ISNUMBER('Model_ of_individuals'!AP374), 'Model_ of_individuals'!AP374*'Model_ of_individuals'!$K374,"")</f>
        <v/>
      </c>
      <c r="AQ361" s="17" t="str">
        <f>IF(ISNUMBER('Model_ of_individuals'!AQ374), 'Model_ of_individuals'!AQ374*'Model_ of_individuals'!$K374,"")</f>
        <v/>
      </c>
      <c r="AR361" s="17" t="str">
        <f>IF(ISNUMBER('Model_ of_individuals'!AR374), 'Model_ of_individuals'!AR374*'Model_ of_individuals'!$K374,"")</f>
        <v/>
      </c>
      <c r="AS361" s="17" t="str">
        <f>IF(ISNUMBER('Model_ of_individuals'!AS374), 'Model_ of_individuals'!AS374*'Model_ of_individuals'!$K374,"")</f>
        <v/>
      </c>
    </row>
    <row r="362" spans="1:46" x14ac:dyDescent="0.25">
      <c r="A362" s="518"/>
      <c r="B362" s="504"/>
      <c r="C362" s="107" t="str">
        <f>IF(AND(ISNUMBER(B356), OR('Cost Inputs'!$H$111&lt;&gt;"", 'Cost Inputs'!$I$111&lt;&gt;"", 'Cost Inputs'!$J$111&lt;&gt;"")), _4_4_2, "")</f>
        <v/>
      </c>
      <c r="D362" s="93" t="str">
        <f>IF(AND(C362&lt;&gt;"", 'Cost Inputs'!$G$111&lt;&gt;""), 'Cost Inputs'!$G$111, "")</f>
        <v/>
      </c>
      <c r="E362" s="93" t="str">
        <f>IF(AND(C362&lt;&gt;"", 'Cost Inputs'!$H$111&lt;&gt;""), 'Cost Inputs'!$H$111, "")</f>
        <v/>
      </c>
      <c r="F362" s="93" t="str">
        <f>IF(AND(C362&lt;&gt;"", 'Cost Inputs'!$I$111&lt;&gt;""), 'Cost Inputs'!$I$111, "")</f>
        <v/>
      </c>
      <c r="G362" s="108" t="str">
        <f t="shared" si="25"/>
        <v/>
      </c>
      <c r="H362" s="93" t="str">
        <f>IF(AND(C362&lt;&gt;"", 'Cost Inputs'!$J$111&lt;&gt;""), 'Cost Inputs'!$J$111, "")</f>
        <v/>
      </c>
      <c r="I362" s="93" t="str">
        <f t="shared" si="28"/>
        <v/>
      </c>
      <c r="J362" s="93" t="str">
        <f>IF(AND(C362&lt;&gt;"",('Cost Inputs'!$I$111+'Cost Inputs'!$J$111+'Cost Inputs'!$K$111)&gt;0), 'Cost Inputs'!$I$111+'Cost Inputs'!$J$111+'Cost Inputs'!$K$111, "")</f>
        <v/>
      </c>
      <c r="K362" s="93" t="str">
        <f t="shared" si="29"/>
        <v/>
      </c>
      <c r="L362" s="525"/>
      <c r="M362" s="525"/>
      <c r="R362" s="93" t="str">
        <f>IF(ISNUMBER('Model_ of_individuals'!R375), 'Model_ of_individuals'!R375*'Model_ of_individuals'!$K375,"")</f>
        <v/>
      </c>
      <c r="S362" s="93" t="str">
        <f>IF(ISNUMBER('Model_ of_individuals'!S375), 'Model_ of_individuals'!S375*'Model_ of_individuals'!$K375,"")</f>
        <v/>
      </c>
      <c r="T362" s="93" t="str">
        <f>IF(ISNUMBER('Model_ of_individuals'!T375), 'Model_ of_individuals'!T375*'Model_ of_individuals'!$K375,"")</f>
        <v/>
      </c>
      <c r="U362" s="93" t="str">
        <f>IF(ISNUMBER('Model_ of_individuals'!U375), 'Model_ of_individuals'!U375*'Model_ of_individuals'!$K375,"")</f>
        <v/>
      </c>
      <c r="V362" s="93" t="str">
        <f>IF(ISNUMBER('Model_ of_individuals'!V375), 'Model_ of_individuals'!V375*'Model_ of_individuals'!$K375,"")</f>
        <v/>
      </c>
      <c r="W362" s="93" t="str">
        <f>IF(ISNUMBER('Model_ of_individuals'!W375), 'Model_ of_individuals'!W375*'Model_ of_individuals'!$K375,"")</f>
        <v/>
      </c>
      <c r="X362" s="93" t="str">
        <f>IF(ISNUMBER('Model_ of_individuals'!X375), 'Model_ of_individuals'!X375*'Model_ of_individuals'!$K375,"")</f>
        <v/>
      </c>
      <c r="Y362" s="93" t="str">
        <f>IF(ISNUMBER('Model_ of_individuals'!Y375), 'Model_ of_individuals'!Y375*'Model_ of_individuals'!$K375,"")</f>
        <v/>
      </c>
      <c r="Z362" s="93" t="str">
        <f>IF(ISNUMBER('Model_ of_individuals'!Z375), 'Model_ of_individuals'!Z375*'Model_ of_individuals'!$K375,"")</f>
        <v/>
      </c>
      <c r="AA362" s="93" t="str">
        <f>IF(ISNUMBER('Model_ of_individuals'!AA375), 'Model_ of_individuals'!AA375*'Model_ of_individuals'!$K375,"")</f>
        <v/>
      </c>
      <c r="AB362" s="93" t="str">
        <f>IF(ISNUMBER('Model_ of_individuals'!AB375), 'Model_ of_individuals'!AB375*'Model_ of_individuals'!$K375,"")</f>
        <v/>
      </c>
      <c r="AC362" s="93" t="str">
        <f>IF(ISNUMBER('Model_ of_individuals'!AC375), 'Model_ of_individuals'!AC375*'Model_ of_individuals'!$K375,"")</f>
        <v/>
      </c>
      <c r="AD362" s="93" t="str">
        <f>IF(ISNUMBER('Model_ of_individuals'!AD375), 'Model_ of_individuals'!AD375*'Model_ of_individuals'!$K375,"")</f>
        <v/>
      </c>
      <c r="AE362" s="93" t="str">
        <f>IF(ISNUMBER('Model_ of_individuals'!AE375), 'Model_ of_individuals'!AE375*'Model_ of_individuals'!$K375,"")</f>
        <v/>
      </c>
      <c r="AF362" s="93" t="str">
        <f>IF(ISNUMBER('Model_ of_individuals'!AF375), 'Model_ of_individuals'!AF375*'Model_ of_individuals'!$K375,"")</f>
        <v/>
      </c>
      <c r="AG362" s="93" t="str">
        <f>IF(ISNUMBER('Model_ of_individuals'!AG375), 'Model_ of_individuals'!AG375*'Model_ of_individuals'!$K375,"")</f>
        <v/>
      </c>
      <c r="AH362" s="93" t="str">
        <f>IF(ISNUMBER('Model_ of_individuals'!AH375), 'Model_ of_individuals'!AH375*'Model_ of_individuals'!$K375,"")</f>
        <v/>
      </c>
      <c r="AI362" s="93" t="str">
        <f>IF(ISNUMBER('Model_ of_individuals'!AI375), 'Model_ of_individuals'!AI375*'Model_ of_individuals'!$K375,"")</f>
        <v/>
      </c>
      <c r="AJ362" s="93" t="str">
        <f>IF(ISNUMBER('Model_ of_individuals'!AJ375), 'Model_ of_individuals'!AJ375*'Model_ of_individuals'!$K375,"")</f>
        <v/>
      </c>
      <c r="AK362" s="93" t="str">
        <f>IF(ISNUMBER('Model_ of_individuals'!AK375), 'Model_ of_individuals'!AK375*'Model_ of_individuals'!$K375,"")</f>
        <v/>
      </c>
      <c r="AL362" s="93" t="str">
        <f>IF(ISNUMBER('Model_ of_individuals'!AL375), 'Model_ of_individuals'!AL375*'Model_ of_individuals'!$K375,"")</f>
        <v/>
      </c>
      <c r="AM362" s="93" t="str">
        <f>IF(ISNUMBER('Model_ of_individuals'!AM375), 'Model_ of_individuals'!AM375*'Model_ of_individuals'!$K375,"")</f>
        <v/>
      </c>
      <c r="AN362" s="93" t="str">
        <f>IF(ISNUMBER('Model_ of_individuals'!AN375), 'Model_ of_individuals'!AN375*'Model_ of_individuals'!$K375,"")</f>
        <v/>
      </c>
      <c r="AO362" s="93" t="str">
        <f>IF(ISNUMBER('Model_ of_individuals'!AO375), 'Model_ of_individuals'!AO375*'Model_ of_individuals'!$K375,"")</f>
        <v/>
      </c>
      <c r="AP362" s="93" t="str">
        <f>IF(ISNUMBER('Model_ of_individuals'!AP375), 'Model_ of_individuals'!AP375*'Model_ of_individuals'!$K375,"")</f>
        <v/>
      </c>
      <c r="AQ362" s="93" t="str">
        <f>IF(ISNUMBER('Model_ of_individuals'!AQ375), 'Model_ of_individuals'!AQ375*'Model_ of_individuals'!$K375,"")</f>
        <v/>
      </c>
      <c r="AR362" s="93" t="str">
        <f>IF(ISNUMBER('Model_ of_individuals'!AR375), 'Model_ of_individuals'!AR375*'Model_ of_individuals'!$K375,"")</f>
        <v/>
      </c>
      <c r="AS362" s="93" t="str">
        <f>IF(ISNUMBER('Model_ of_individuals'!AS375), 'Model_ of_individuals'!AS375*'Model_ of_individuals'!$K375,"")</f>
        <v/>
      </c>
    </row>
    <row r="363" spans="1:46" x14ac:dyDescent="0.25">
      <c r="A363" s="518"/>
      <c r="B363" s="504"/>
      <c r="C363" s="104" t="str">
        <f>IF(AND(ISNUMBER(B356), OR('Cost Inputs'!$H$112&lt;&gt;"", 'Cost Inputs'!$I$112&lt;&gt;"", 'Cost Inputs'!$J$112&lt;&gt;"")), _4_4_3, "")</f>
        <v/>
      </c>
      <c r="D363" s="17" t="str">
        <f>IF(AND(C363&lt;&gt;"", 'Cost Inputs'!$G$112&lt;&gt;""), 'Cost Inputs'!$G$112, "")</f>
        <v/>
      </c>
      <c r="E363" s="17" t="str">
        <f>IF(AND(C363&lt;&gt;"", 'Cost Inputs'!$H$112&lt;&gt;""), 'Cost Inputs'!$H$112, "")</f>
        <v/>
      </c>
      <c r="F363" s="17" t="str">
        <f>IF(AND(C363&lt;&gt;"", 'Cost Inputs'!$I$112&lt;&gt;""), 'Cost Inputs'!$I$112, "")</f>
        <v/>
      </c>
      <c r="G363" s="105" t="str">
        <f t="shared" si="25"/>
        <v/>
      </c>
      <c r="H363" s="17" t="str">
        <f>IF(AND(C363&lt;&gt;"", 'Cost Inputs'!$J$112&lt;&gt;""), 'Cost Inputs'!$J$112, "")</f>
        <v/>
      </c>
      <c r="I363" s="17" t="str">
        <f t="shared" si="28"/>
        <v/>
      </c>
      <c r="J363" s="17" t="str">
        <f>IF(AND(C363&lt;&gt;"",('Cost Inputs'!$I$112+'Cost Inputs'!$J$112+'Cost Inputs'!$K$112)&gt;0), 'Cost Inputs'!$I$112+'Cost Inputs'!$J$112+'Cost Inputs'!$K$112, "")</f>
        <v/>
      </c>
      <c r="K363" s="17" t="str">
        <f t="shared" si="29"/>
        <v/>
      </c>
      <c r="L363" s="525"/>
      <c r="M363" s="525"/>
      <c r="R363" s="17" t="str">
        <f>IF(ISNUMBER('Model_ of_individuals'!R376), 'Model_ of_individuals'!R376*'Model_ of_individuals'!$K376,"")</f>
        <v/>
      </c>
      <c r="S363" s="17" t="str">
        <f>IF(ISNUMBER('Model_ of_individuals'!S376), 'Model_ of_individuals'!S376*'Model_ of_individuals'!$K376,"")</f>
        <v/>
      </c>
      <c r="T363" s="17" t="str">
        <f>IF(ISNUMBER('Model_ of_individuals'!T376), 'Model_ of_individuals'!T376*'Model_ of_individuals'!$K376,"")</f>
        <v/>
      </c>
      <c r="U363" s="17" t="str">
        <f>IF(ISNUMBER('Model_ of_individuals'!U376), 'Model_ of_individuals'!U376*'Model_ of_individuals'!$K376,"")</f>
        <v/>
      </c>
      <c r="V363" s="17" t="str">
        <f>IF(ISNUMBER('Model_ of_individuals'!V376), 'Model_ of_individuals'!V376*'Model_ of_individuals'!$K376,"")</f>
        <v/>
      </c>
      <c r="W363" s="17" t="str">
        <f>IF(ISNUMBER('Model_ of_individuals'!W376), 'Model_ of_individuals'!W376*'Model_ of_individuals'!$K376,"")</f>
        <v/>
      </c>
      <c r="X363" s="17" t="str">
        <f>IF(ISNUMBER('Model_ of_individuals'!X376), 'Model_ of_individuals'!X376*'Model_ of_individuals'!$K376,"")</f>
        <v/>
      </c>
      <c r="Y363" s="17" t="str">
        <f>IF(ISNUMBER('Model_ of_individuals'!Y376), 'Model_ of_individuals'!Y376*'Model_ of_individuals'!$K376,"")</f>
        <v/>
      </c>
      <c r="Z363" s="17" t="str">
        <f>IF(ISNUMBER('Model_ of_individuals'!Z376), 'Model_ of_individuals'!Z376*'Model_ of_individuals'!$K376,"")</f>
        <v/>
      </c>
      <c r="AA363" s="17" t="str">
        <f>IF(ISNUMBER('Model_ of_individuals'!AA376), 'Model_ of_individuals'!AA376*'Model_ of_individuals'!$K376,"")</f>
        <v/>
      </c>
      <c r="AB363" s="17" t="str">
        <f>IF(ISNUMBER('Model_ of_individuals'!AB376), 'Model_ of_individuals'!AB376*'Model_ of_individuals'!$K376,"")</f>
        <v/>
      </c>
      <c r="AC363" s="17" t="str">
        <f>IF(ISNUMBER('Model_ of_individuals'!AC376), 'Model_ of_individuals'!AC376*'Model_ of_individuals'!$K376,"")</f>
        <v/>
      </c>
      <c r="AD363" s="17" t="str">
        <f>IF(ISNUMBER('Model_ of_individuals'!AD376), 'Model_ of_individuals'!AD376*'Model_ of_individuals'!$K376,"")</f>
        <v/>
      </c>
      <c r="AE363" s="17" t="str">
        <f>IF(ISNUMBER('Model_ of_individuals'!AE376), 'Model_ of_individuals'!AE376*'Model_ of_individuals'!$K376,"")</f>
        <v/>
      </c>
      <c r="AF363" s="17" t="str">
        <f>IF(ISNUMBER('Model_ of_individuals'!AF376), 'Model_ of_individuals'!AF376*'Model_ of_individuals'!$K376,"")</f>
        <v/>
      </c>
      <c r="AG363" s="17" t="str">
        <f>IF(ISNUMBER('Model_ of_individuals'!AG376), 'Model_ of_individuals'!AG376*'Model_ of_individuals'!$K376,"")</f>
        <v/>
      </c>
      <c r="AH363" s="17" t="str">
        <f>IF(ISNUMBER('Model_ of_individuals'!AH376), 'Model_ of_individuals'!AH376*'Model_ of_individuals'!$K376,"")</f>
        <v/>
      </c>
      <c r="AI363" s="17" t="str">
        <f>IF(ISNUMBER('Model_ of_individuals'!AI376), 'Model_ of_individuals'!AI376*'Model_ of_individuals'!$K376,"")</f>
        <v/>
      </c>
      <c r="AJ363" s="17" t="str">
        <f>IF(ISNUMBER('Model_ of_individuals'!AJ376), 'Model_ of_individuals'!AJ376*'Model_ of_individuals'!$K376,"")</f>
        <v/>
      </c>
      <c r="AK363" s="17" t="str">
        <f>IF(ISNUMBER('Model_ of_individuals'!AK376), 'Model_ of_individuals'!AK376*'Model_ of_individuals'!$K376,"")</f>
        <v/>
      </c>
      <c r="AL363" s="17" t="str">
        <f>IF(ISNUMBER('Model_ of_individuals'!AL376), 'Model_ of_individuals'!AL376*'Model_ of_individuals'!$K376,"")</f>
        <v/>
      </c>
      <c r="AM363" s="17" t="str">
        <f>IF(ISNUMBER('Model_ of_individuals'!AM376), 'Model_ of_individuals'!AM376*'Model_ of_individuals'!$K376,"")</f>
        <v/>
      </c>
      <c r="AN363" s="17" t="str">
        <f>IF(ISNUMBER('Model_ of_individuals'!AN376), 'Model_ of_individuals'!AN376*'Model_ of_individuals'!$K376,"")</f>
        <v/>
      </c>
      <c r="AO363" s="17" t="str">
        <f>IF(ISNUMBER('Model_ of_individuals'!AO376), 'Model_ of_individuals'!AO376*'Model_ of_individuals'!$K376,"")</f>
        <v/>
      </c>
      <c r="AP363" s="17" t="str">
        <f>IF(ISNUMBER('Model_ of_individuals'!AP376), 'Model_ of_individuals'!AP376*'Model_ of_individuals'!$K376,"")</f>
        <v/>
      </c>
      <c r="AQ363" s="17" t="str">
        <f>IF(ISNUMBER('Model_ of_individuals'!AQ376), 'Model_ of_individuals'!AQ376*'Model_ of_individuals'!$K376,"")</f>
        <v/>
      </c>
      <c r="AR363" s="17" t="str">
        <f>IF(ISNUMBER('Model_ of_individuals'!AR376), 'Model_ of_individuals'!AR376*'Model_ of_individuals'!$K376,"")</f>
        <v/>
      </c>
      <c r="AS363" s="17" t="str">
        <f>IF(ISNUMBER('Model_ of_individuals'!AS376), 'Model_ of_individuals'!AS376*'Model_ of_individuals'!$K376,"")</f>
        <v/>
      </c>
    </row>
    <row r="364" spans="1:46" x14ac:dyDescent="0.25">
      <c r="A364" s="518"/>
      <c r="B364" s="504"/>
      <c r="C364" s="107" t="str">
        <f>IF(AND(ISNUMBER(B356), OR('Cost Inputs'!$H$113&lt;&gt;"", 'Cost Inputs'!$I$113&lt;&gt;"", 'Cost Inputs'!$J$113&lt;&gt;"")), _4_4_4, "")</f>
        <v/>
      </c>
      <c r="D364" s="93" t="str">
        <f>IF(AND(C364&lt;&gt;"", 'Cost Inputs'!$G$113&lt;&gt;""), 'Cost Inputs'!$G$113, "")</f>
        <v/>
      </c>
      <c r="E364" s="93" t="str">
        <f>IF(AND(C364&lt;&gt;"", 'Cost Inputs'!$H$113&lt;&gt;""), 'Cost Inputs'!$H$113, "")</f>
        <v/>
      </c>
      <c r="F364" s="93" t="str">
        <f>IF(AND(C364&lt;&gt;"", 'Cost Inputs'!$I$113&lt;&gt;""), 'Cost Inputs'!$I$113, "")</f>
        <v/>
      </c>
      <c r="G364" s="108" t="str">
        <f t="shared" si="25"/>
        <v/>
      </c>
      <c r="H364" s="93" t="str">
        <f>IF(AND(C364&lt;&gt;"", 'Cost Inputs'!$J$113&lt;&gt;""), 'Cost Inputs'!$J$113, "")</f>
        <v/>
      </c>
      <c r="I364" s="93" t="str">
        <f t="shared" si="28"/>
        <v/>
      </c>
      <c r="J364" s="93" t="str">
        <f>IF(AND(C364&lt;&gt;"",('Cost Inputs'!$I$113+'Cost Inputs'!$J$113+'Cost Inputs'!$K$113)&gt;0), 'Cost Inputs'!$I$113+'Cost Inputs'!$J$113+'Cost Inputs'!$K$113, "")</f>
        <v/>
      </c>
      <c r="K364" s="93" t="str">
        <f t="shared" si="29"/>
        <v/>
      </c>
      <c r="L364" s="525"/>
      <c r="M364" s="525"/>
      <c r="R364" s="93" t="str">
        <f>IF(ISNUMBER('Model_ of_individuals'!R377), 'Model_ of_individuals'!R377*'Model_ of_individuals'!$K377,"")</f>
        <v/>
      </c>
      <c r="S364" s="93" t="str">
        <f>IF(ISNUMBER('Model_ of_individuals'!S377), 'Model_ of_individuals'!S377*'Model_ of_individuals'!$K377,"")</f>
        <v/>
      </c>
      <c r="T364" s="93" t="str">
        <f>IF(ISNUMBER('Model_ of_individuals'!T377), 'Model_ of_individuals'!T377*'Model_ of_individuals'!$K377,"")</f>
        <v/>
      </c>
      <c r="U364" s="93" t="str">
        <f>IF(ISNUMBER('Model_ of_individuals'!U377), 'Model_ of_individuals'!U377*'Model_ of_individuals'!$K377,"")</f>
        <v/>
      </c>
      <c r="V364" s="93" t="str">
        <f>IF(ISNUMBER('Model_ of_individuals'!V377), 'Model_ of_individuals'!V377*'Model_ of_individuals'!$K377,"")</f>
        <v/>
      </c>
      <c r="W364" s="93" t="str">
        <f>IF(ISNUMBER('Model_ of_individuals'!W377), 'Model_ of_individuals'!W377*'Model_ of_individuals'!$K377,"")</f>
        <v/>
      </c>
      <c r="X364" s="93" t="str">
        <f>IF(ISNUMBER('Model_ of_individuals'!X377), 'Model_ of_individuals'!X377*'Model_ of_individuals'!$K377,"")</f>
        <v/>
      </c>
      <c r="Y364" s="93" t="str">
        <f>IF(ISNUMBER('Model_ of_individuals'!Y377), 'Model_ of_individuals'!Y377*'Model_ of_individuals'!$K377,"")</f>
        <v/>
      </c>
      <c r="Z364" s="93" t="str">
        <f>IF(ISNUMBER('Model_ of_individuals'!Z377), 'Model_ of_individuals'!Z377*'Model_ of_individuals'!$K377,"")</f>
        <v/>
      </c>
      <c r="AA364" s="93" t="str">
        <f>IF(ISNUMBER('Model_ of_individuals'!AA377), 'Model_ of_individuals'!AA377*'Model_ of_individuals'!$K377,"")</f>
        <v/>
      </c>
      <c r="AB364" s="93" t="str">
        <f>IF(ISNUMBER('Model_ of_individuals'!AB377), 'Model_ of_individuals'!AB377*'Model_ of_individuals'!$K377,"")</f>
        <v/>
      </c>
      <c r="AC364" s="93" t="str">
        <f>IF(ISNUMBER('Model_ of_individuals'!AC377), 'Model_ of_individuals'!AC377*'Model_ of_individuals'!$K377,"")</f>
        <v/>
      </c>
      <c r="AD364" s="93" t="str">
        <f>IF(ISNUMBER('Model_ of_individuals'!AD377), 'Model_ of_individuals'!AD377*'Model_ of_individuals'!$K377,"")</f>
        <v/>
      </c>
      <c r="AE364" s="93" t="str">
        <f>IF(ISNUMBER('Model_ of_individuals'!AE377), 'Model_ of_individuals'!AE377*'Model_ of_individuals'!$K377,"")</f>
        <v/>
      </c>
      <c r="AF364" s="93" t="str">
        <f>IF(ISNUMBER('Model_ of_individuals'!AF377), 'Model_ of_individuals'!AF377*'Model_ of_individuals'!$K377,"")</f>
        <v/>
      </c>
      <c r="AG364" s="93" t="str">
        <f>IF(ISNUMBER('Model_ of_individuals'!AG377), 'Model_ of_individuals'!AG377*'Model_ of_individuals'!$K377,"")</f>
        <v/>
      </c>
      <c r="AH364" s="93" t="str">
        <f>IF(ISNUMBER('Model_ of_individuals'!AH377), 'Model_ of_individuals'!AH377*'Model_ of_individuals'!$K377,"")</f>
        <v/>
      </c>
      <c r="AI364" s="93" t="str">
        <f>IF(ISNUMBER('Model_ of_individuals'!AI377), 'Model_ of_individuals'!AI377*'Model_ of_individuals'!$K377,"")</f>
        <v/>
      </c>
      <c r="AJ364" s="93" t="str">
        <f>IF(ISNUMBER('Model_ of_individuals'!AJ377), 'Model_ of_individuals'!AJ377*'Model_ of_individuals'!$K377,"")</f>
        <v/>
      </c>
      <c r="AK364" s="93" t="str">
        <f>IF(ISNUMBER('Model_ of_individuals'!AK377), 'Model_ of_individuals'!AK377*'Model_ of_individuals'!$K377,"")</f>
        <v/>
      </c>
      <c r="AL364" s="93" t="str">
        <f>IF(ISNUMBER('Model_ of_individuals'!AL377), 'Model_ of_individuals'!AL377*'Model_ of_individuals'!$K377,"")</f>
        <v/>
      </c>
      <c r="AM364" s="93" t="str">
        <f>IF(ISNUMBER('Model_ of_individuals'!AM377), 'Model_ of_individuals'!AM377*'Model_ of_individuals'!$K377,"")</f>
        <v/>
      </c>
      <c r="AN364" s="93" t="str">
        <f>IF(ISNUMBER('Model_ of_individuals'!AN377), 'Model_ of_individuals'!AN377*'Model_ of_individuals'!$K377,"")</f>
        <v/>
      </c>
      <c r="AO364" s="93" t="str">
        <f>IF(ISNUMBER('Model_ of_individuals'!AO377), 'Model_ of_individuals'!AO377*'Model_ of_individuals'!$K377,"")</f>
        <v/>
      </c>
      <c r="AP364" s="93" t="str">
        <f>IF(ISNUMBER('Model_ of_individuals'!AP377), 'Model_ of_individuals'!AP377*'Model_ of_individuals'!$K377,"")</f>
        <v/>
      </c>
      <c r="AQ364" s="93" t="str">
        <f>IF(ISNUMBER('Model_ of_individuals'!AQ377), 'Model_ of_individuals'!AQ377*'Model_ of_individuals'!$K377,"")</f>
        <v/>
      </c>
      <c r="AR364" s="93" t="str">
        <f>IF(ISNUMBER('Model_ of_individuals'!AR377), 'Model_ of_individuals'!AR377*'Model_ of_individuals'!$K377,"")</f>
        <v/>
      </c>
      <c r="AS364" s="93" t="str">
        <f>IF(ISNUMBER('Model_ of_individuals'!AS377), 'Model_ of_individuals'!AS377*'Model_ of_individuals'!$K377,"")</f>
        <v/>
      </c>
    </row>
    <row r="365" spans="1:46" x14ac:dyDescent="0.25">
      <c r="A365" s="518"/>
      <c r="B365" s="504"/>
      <c r="C365" s="104" t="str">
        <f>IF(AND(ISNUMBER(B356), OR('Cost Inputs'!$H$114&lt;&gt;"", 'Cost Inputs'!$I$114&lt;&gt;"", 'Cost Inputs'!$J$114&lt;&gt;"")), _4_4_5, "")</f>
        <v/>
      </c>
      <c r="D365" s="17" t="str">
        <f>IF(AND(C365&lt;&gt;"", 'Cost Inputs'!$G$114&lt;&gt;""), 'Cost Inputs'!$G$114, "")</f>
        <v/>
      </c>
      <c r="E365" s="17" t="str">
        <f>IF(AND(C365&lt;&gt;"", 'Cost Inputs'!$H$114&lt;&gt;""), 'Cost Inputs'!$H$114, "")</f>
        <v/>
      </c>
      <c r="F365" s="17" t="str">
        <f>IF(AND(C365&lt;&gt;"", 'Cost Inputs'!$I$114&lt;&gt;""), 'Cost Inputs'!$I$114, "")</f>
        <v/>
      </c>
      <c r="G365" s="105" t="str">
        <f t="shared" si="25"/>
        <v/>
      </c>
      <c r="H365" s="17" t="str">
        <f>IF(AND(C365&lt;&gt;"", 'Cost Inputs'!$J$114&lt;&gt;""), 'Cost Inputs'!$J$114, "")</f>
        <v/>
      </c>
      <c r="I365" s="17" t="str">
        <f t="shared" si="28"/>
        <v/>
      </c>
      <c r="J365" s="17" t="str">
        <f>IF(AND(C365&lt;&gt;"",('Cost Inputs'!$I$114+'Cost Inputs'!$J$114+'Cost Inputs'!$K$114)&gt;0), 'Cost Inputs'!$I$114+'Cost Inputs'!$J$114+'Cost Inputs'!$K$114, "")</f>
        <v/>
      </c>
      <c r="K365" s="17" t="str">
        <f t="shared" si="29"/>
        <v/>
      </c>
      <c r="L365" s="525"/>
      <c r="M365" s="525"/>
      <c r="R365" s="17" t="str">
        <f>IF(ISNUMBER('Model_ of_individuals'!R378), 'Model_ of_individuals'!R378*'Model_ of_individuals'!$K378,"")</f>
        <v/>
      </c>
      <c r="S365" s="17" t="str">
        <f>IF(ISNUMBER('Model_ of_individuals'!S378), 'Model_ of_individuals'!S378*'Model_ of_individuals'!$K378,"")</f>
        <v/>
      </c>
      <c r="T365" s="17" t="str">
        <f>IF(ISNUMBER('Model_ of_individuals'!T378), 'Model_ of_individuals'!T378*'Model_ of_individuals'!$K378,"")</f>
        <v/>
      </c>
      <c r="U365" s="17" t="str">
        <f>IF(ISNUMBER('Model_ of_individuals'!U378), 'Model_ of_individuals'!U378*'Model_ of_individuals'!$K378,"")</f>
        <v/>
      </c>
      <c r="V365" s="17" t="str">
        <f>IF(ISNUMBER('Model_ of_individuals'!V378), 'Model_ of_individuals'!V378*'Model_ of_individuals'!$K378,"")</f>
        <v/>
      </c>
      <c r="W365" s="17" t="str">
        <f>IF(ISNUMBER('Model_ of_individuals'!W378), 'Model_ of_individuals'!W378*'Model_ of_individuals'!$K378,"")</f>
        <v/>
      </c>
      <c r="X365" s="17" t="str">
        <f>IF(ISNUMBER('Model_ of_individuals'!X378), 'Model_ of_individuals'!X378*'Model_ of_individuals'!$K378,"")</f>
        <v/>
      </c>
      <c r="Y365" s="17" t="str">
        <f>IF(ISNUMBER('Model_ of_individuals'!Y378), 'Model_ of_individuals'!Y378*'Model_ of_individuals'!$K378,"")</f>
        <v/>
      </c>
      <c r="Z365" s="17" t="str">
        <f>IF(ISNUMBER('Model_ of_individuals'!Z378), 'Model_ of_individuals'!Z378*'Model_ of_individuals'!$K378,"")</f>
        <v/>
      </c>
      <c r="AA365" s="17" t="str">
        <f>IF(ISNUMBER('Model_ of_individuals'!AA378), 'Model_ of_individuals'!AA378*'Model_ of_individuals'!$K378,"")</f>
        <v/>
      </c>
      <c r="AB365" s="17" t="str">
        <f>IF(ISNUMBER('Model_ of_individuals'!AB378), 'Model_ of_individuals'!AB378*'Model_ of_individuals'!$K378,"")</f>
        <v/>
      </c>
      <c r="AC365" s="17" t="str">
        <f>IF(ISNUMBER('Model_ of_individuals'!AC378), 'Model_ of_individuals'!AC378*'Model_ of_individuals'!$K378,"")</f>
        <v/>
      </c>
      <c r="AD365" s="17" t="str">
        <f>IF(ISNUMBER('Model_ of_individuals'!AD378), 'Model_ of_individuals'!AD378*'Model_ of_individuals'!$K378,"")</f>
        <v/>
      </c>
      <c r="AE365" s="17" t="str">
        <f>IF(ISNUMBER('Model_ of_individuals'!AE378), 'Model_ of_individuals'!AE378*'Model_ of_individuals'!$K378,"")</f>
        <v/>
      </c>
      <c r="AF365" s="17" t="str">
        <f>IF(ISNUMBER('Model_ of_individuals'!AF378), 'Model_ of_individuals'!AF378*'Model_ of_individuals'!$K378,"")</f>
        <v/>
      </c>
      <c r="AG365" s="17" t="str">
        <f>IF(ISNUMBER('Model_ of_individuals'!AG378), 'Model_ of_individuals'!AG378*'Model_ of_individuals'!$K378,"")</f>
        <v/>
      </c>
      <c r="AH365" s="17" t="str">
        <f>IF(ISNUMBER('Model_ of_individuals'!AH378), 'Model_ of_individuals'!AH378*'Model_ of_individuals'!$K378,"")</f>
        <v/>
      </c>
      <c r="AI365" s="17" t="str">
        <f>IF(ISNUMBER('Model_ of_individuals'!AI378), 'Model_ of_individuals'!AI378*'Model_ of_individuals'!$K378,"")</f>
        <v/>
      </c>
      <c r="AJ365" s="17" t="str">
        <f>IF(ISNUMBER('Model_ of_individuals'!AJ378), 'Model_ of_individuals'!AJ378*'Model_ of_individuals'!$K378,"")</f>
        <v/>
      </c>
      <c r="AK365" s="17" t="str">
        <f>IF(ISNUMBER('Model_ of_individuals'!AK378), 'Model_ of_individuals'!AK378*'Model_ of_individuals'!$K378,"")</f>
        <v/>
      </c>
      <c r="AL365" s="17" t="str">
        <f>IF(ISNUMBER('Model_ of_individuals'!AL378), 'Model_ of_individuals'!AL378*'Model_ of_individuals'!$K378,"")</f>
        <v/>
      </c>
      <c r="AM365" s="17" t="str">
        <f>IF(ISNUMBER('Model_ of_individuals'!AM378), 'Model_ of_individuals'!AM378*'Model_ of_individuals'!$K378,"")</f>
        <v/>
      </c>
      <c r="AN365" s="17" t="str">
        <f>IF(ISNUMBER('Model_ of_individuals'!AN378), 'Model_ of_individuals'!AN378*'Model_ of_individuals'!$K378,"")</f>
        <v/>
      </c>
      <c r="AO365" s="17" t="str">
        <f>IF(ISNUMBER('Model_ of_individuals'!AO378), 'Model_ of_individuals'!AO378*'Model_ of_individuals'!$K378,"")</f>
        <v/>
      </c>
      <c r="AP365" s="17" t="str">
        <f>IF(ISNUMBER('Model_ of_individuals'!AP378), 'Model_ of_individuals'!AP378*'Model_ of_individuals'!$K378,"")</f>
        <v/>
      </c>
      <c r="AQ365" s="17" t="str">
        <f>IF(ISNUMBER('Model_ of_individuals'!AQ378), 'Model_ of_individuals'!AQ378*'Model_ of_individuals'!$K378,"")</f>
        <v/>
      </c>
      <c r="AR365" s="17" t="str">
        <f>IF(ISNUMBER('Model_ of_individuals'!AR378), 'Model_ of_individuals'!AR378*'Model_ of_individuals'!$K378,"")</f>
        <v/>
      </c>
      <c r="AS365" s="17" t="str">
        <f>IF(ISNUMBER('Model_ of_individuals'!AS378), 'Model_ of_individuals'!AS378*'Model_ of_individuals'!$K378,"")</f>
        <v/>
      </c>
    </row>
    <row r="366" spans="1:46" x14ac:dyDescent="0.25">
      <c r="A366" s="518"/>
      <c r="B366" s="504"/>
      <c r="C366" s="107" t="str">
        <f>IF(AND(ISNUMBER(B356), OR('Cost Inputs'!$H$115&lt;&gt;"", 'Cost Inputs'!$I$115&lt;&gt;"", 'Cost Inputs'!$J$115&lt;&gt;"")), _4_4_6, "")</f>
        <v/>
      </c>
      <c r="D366" s="93" t="str">
        <f>IF(AND(C366&lt;&gt;"", 'Cost Inputs'!$G$115&lt;&gt;""), 'Cost Inputs'!$G$115, "")</f>
        <v/>
      </c>
      <c r="E366" s="93" t="str">
        <f>IF(AND(C366&lt;&gt;"", 'Cost Inputs'!$H$115&lt;&gt;""), 'Cost Inputs'!$H$115, "")</f>
        <v/>
      </c>
      <c r="F366" s="93" t="str">
        <f>IF(AND(C366&lt;&gt;"", 'Cost Inputs'!$I$115&lt;&gt;""), 'Cost Inputs'!$I$115, "")</f>
        <v/>
      </c>
      <c r="G366" s="108" t="str">
        <f t="shared" si="25"/>
        <v/>
      </c>
      <c r="H366" s="93" t="str">
        <f>IF(AND(C366&lt;&gt;"", 'Cost Inputs'!$J$115&lt;&gt;""), 'Cost Inputs'!$J$115, "")</f>
        <v/>
      </c>
      <c r="I366" s="93" t="str">
        <f t="shared" si="28"/>
        <v/>
      </c>
      <c r="J366" s="93" t="str">
        <f>IF(AND(C366&lt;&gt;"",('Cost Inputs'!$I$115+'Cost Inputs'!$J$115+'Cost Inputs'!$K$115)&gt;0), 'Cost Inputs'!$I$115+'Cost Inputs'!$J$115+'Cost Inputs'!$K$115, "")</f>
        <v/>
      </c>
      <c r="K366" s="93" t="str">
        <f t="shared" si="29"/>
        <v/>
      </c>
      <c r="L366" s="525"/>
      <c r="M366" s="525"/>
      <c r="R366" s="93" t="str">
        <f>IF(ISNUMBER('Model_ of_individuals'!R379), 'Model_ of_individuals'!R379*'Model_ of_individuals'!$K379,"")</f>
        <v/>
      </c>
      <c r="S366" s="93" t="str">
        <f>IF(ISNUMBER('Model_ of_individuals'!S379), 'Model_ of_individuals'!S379*'Model_ of_individuals'!$K379,"")</f>
        <v/>
      </c>
      <c r="T366" s="93" t="str">
        <f>IF(ISNUMBER('Model_ of_individuals'!T379), 'Model_ of_individuals'!T379*'Model_ of_individuals'!$K379,"")</f>
        <v/>
      </c>
      <c r="U366" s="93" t="str">
        <f>IF(ISNUMBER('Model_ of_individuals'!U379), 'Model_ of_individuals'!U379*'Model_ of_individuals'!$K379,"")</f>
        <v/>
      </c>
      <c r="V366" s="93" t="str">
        <f>IF(ISNUMBER('Model_ of_individuals'!V379), 'Model_ of_individuals'!V379*'Model_ of_individuals'!$K379,"")</f>
        <v/>
      </c>
      <c r="W366" s="93" t="str">
        <f>IF(ISNUMBER('Model_ of_individuals'!W379), 'Model_ of_individuals'!W379*'Model_ of_individuals'!$K379,"")</f>
        <v/>
      </c>
      <c r="X366" s="93" t="str">
        <f>IF(ISNUMBER('Model_ of_individuals'!X379), 'Model_ of_individuals'!X379*'Model_ of_individuals'!$K379,"")</f>
        <v/>
      </c>
      <c r="Y366" s="93" t="str">
        <f>IF(ISNUMBER('Model_ of_individuals'!Y379), 'Model_ of_individuals'!Y379*'Model_ of_individuals'!$K379,"")</f>
        <v/>
      </c>
      <c r="Z366" s="93" t="str">
        <f>IF(ISNUMBER('Model_ of_individuals'!Z379), 'Model_ of_individuals'!Z379*'Model_ of_individuals'!$K379,"")</f>
        <v/>
      </c>
      <c r="AA366" s="93" t="str">
        <f>IF(ISNUMBER('Model_ of_individuals'!AA379), 'Model_ of_individuals'!AA379*'Model_ of_individuals'!$K379,"")</f>
        <v/>
      </c>
      <c r="AB366" s="93" t="str">
        <f>IF(ISNUMBER('Model_ of_individuals'!AB379), 'Model_ of_individuals'!AB379*'Model_ of_individuals'!$K379,"")</f>
        <v/>
      </c>
      <c r="AC366" s="93" t="str">
        <f>IF(ISNUMBER('Model_ of_individuals'!AC379), 'Model_ of_individuals'!AC379*'Model_ of_individuals'!$K379,"")</f>
        <v/>
      </c>
      <c r="AD366" s="93" t="str">
        <f>IF(ISNUMBER('Model_ of_individuals'!AD379), 'Model_ of_individuals'!AD379*'Model_ of_individuals'!$K379,"")</f>
        <v/>
      </c>
      <c r="AE366" s="93" t="str">
        <f>IF(ISNUMBER('Model_ of_individuals'!AE379), 'Model_ of_individuals'!AE379*'Model_ of_individuals'!$K379,"")</f>
        <v/>
      </c>
      <c r="AF366" s="93" t="str">
        <f>IF(ISNUMBER('Model_ of_individuals'!AF379), 'Model_ of_individuals'!AF379*'Model_ of_individuals'!$K379,"")</f>
        <v/>
      </c>
      <c r="AG366" s="93" t="str">
        <f>IF(ISNUMBER('Model_ of_individuals'!AG379), 'Model_ of_individuals'!AG379*'Model_ of_individuals'!$K379,"")</f>
        <v/>
      </c>
      <c r="AH366" s="93" t="str">
        <f>IF(ISNUMBER('Model_ of_individuals'!AH379), 'Model_ of_individuals'!AH379*'Model_ of_individuals'!$K379,"")</f>
        <v/>
      </c>
      <c r="AI366" s="93" t="str">
        <f>IF(ISNUMBER('Model_ of_individuals'!AI379), 'Model_ of_individuals'!AI379*'Model_ of_individuals'!$K379,"")</f>
        <v/>
      </c>
      <c r="AJ366" s="93" t="str">
        <f>IF(ISNUMBER('Model_ of_individuals'!AJ379), 'Model_ of_individuals'!AJ379*'Model_ of_individuals'!$K379,"")</f>
        <v/>
      </c>
      <c r="AK366" s="93" t="str">
        <f>IF(ISNUMBER('Model_ of_individuals'!AK379), 'Model_ of_individuals'!AK379*'Model_ of_individuals'!$K379,"")</f>
        <v/>
      </c>
      <c r="AL366" s="93" t="str">
        <f>IF(ISNUMBER('Model_ of_individuals'!AL379), 'Model_ of_individuals'!AL379*'Model_ of_individuals'!$K379,"")</f>
        <v/>
      </c>
      <c r="AM366" s="93" t="str">
        <f>IF(ISNUMBER('Model_ of_individuals'!AM379), 'Model_ of_individuals'!AM379*'Model_ of_individuals'!$K379,"")</f>
        <v/>
      </c>
      <c r="AN366" s="93" t="str">
        <f>IF(ISNUMBER('Model_ of_individuals'!AN379), 'Model_ of_individuals'!AN379*'Model_ of_individuals'!$K379,"")</f>
        <v/>
      </c>
      <c r="AO366" s="93" t="str">
        <f>IF(ISNUMBER('Model_ of_individuals'!AO379), 'Model_ of_individuals'!AO379*'Model_ of_individuals'!$K379,"")</f>
        <v/>
      </c>
      <c r="AP366" s="93" t="str">
        <f>IF(ISNUMBER('Model_ of_individuals'!AP379), 'Model_ of_individuals'!AP379*'Model_ of_individuals'!$K379,"")</f>
        <v/>
      </c>
      <c r="AQ366" s="93" t="str">
        <f>IF(ISNUMBER('Model_ of_individuals'!AQ379), 'Model_ of_individuals'!AQ379*'Model_ of_individuals'!$K379,"")</f>
        <v/>
      </c>
      <c r="AR366" s="93" t="str">
        <f>IF(ISNUMBER('Model_ of_individuals'!AR379), 'Model_ of_individuals'!AR379*'Model_ of_individuals'!$K379,"")</f>
        <v/>
      </c>
      <c r="AS366" s="93" t="str">
        <f>IF(ISNUMBER('Model_ of_individuals'!AS379), 'Model_ of_individuals'!AS379*'Model_ of_individuals'!$K379,"")</f>
        <v/>
      </c>
    </row>
    <row r="367" spans="1:46" x14ac:dyDescent="0.25">
      <c r="A367" s="518"/>
      <c r="B367" s="504"/>
      <c r="C367" s="521" t="str">
        <f>IF(AND(B356&lt;&gt;"", ISNUMBER(B356), ISNUMBER(Stage2EvaluationBegins)), IF((INDEX(ProgramYearStage2,MATCH(Stage2EvaluationBegins,Years_in_Stage2,0)))=B356, _4_5_0, IF(AND(B356&lt;&gt;"", C344&lt;&gt;""), _4_5_0, IF(AND(B356&lt;&gt;"", ISNUMBER(B356), OR(Stage2EvaluationBegins=0, Stage2EvaluationBegins="")),"", ""))),"")</f>
        <v/>
      </c>
      <c r="D367" s="94" t="str">
        <f>IF(AND(C367&lt;&gt;"", 'Cost Inputs'!$G$116&lt;&gt;""), 'Cost Inputs'!$G$116, "")</f>
        <v/>
      </c>
      <c r="E367" s="94" t="str">
        <f>IF(AND(C367&lt;&gt;"", 'Cost Inputs'!$H$116&lt;&gt;""), 'Cost Inputs'!$H$116, "")</f>
        <v/>
      </c>
      <c r="F367" s="492" t="str">
        <f>IF(AND(C367&lt;&gt;"", 'Cost Inputs'!$I$116&lt;&gt;""), 'Cost Inputs'!$I$116, "")</f>
        <v/>
      </c>
      <c r="G367" s="102" t="str">
        <f t="shared" si="25"/>
        <v/>
      </c>
      <c r="H367" s="492" t="str">
        <f>IF(AND(C367&lt;&gt;"", 'Cost Inputs'!$J$116&lt;&gt;""), 'Cost Inputs'!$J$116, "")</f>
        <v/>
      </c>
      <c r="I367" s="102" t="str">
        <f>IF($C367&lt;&gt;"",IF(AND($E367&lt;&gt;"",H367&lt;&gt;""), H367/$E367, 0),"")</f>
        <v/>
      </c>
      <c r="J367" s="492" t="str">
        <f>IF(AND(C367&lt;&gt;"",('Cost Inputs'!$I$116+'Cost Inputs'!$J$116+'Cost Inputs'!$K$116)&gt;0), 'Cost Inputs'!$I$116+'Cost Inputs'!$J$116+'Cost Inputs'!$K$116, "")</f>
        <v/>
      </c>
      <c r="K367" s="102" t="str">
        <f>IF($C367&lt;&gt;"",IF(AND($E367&lt;&gt;"",J367&lt;&gt;""), J367/$E367, 0),"")</f>
        <v/>
      </c>
      <c r="L367" s="525"/>
      <c r="M367" s="525"/>
      <c r="R367" s="496" t="str">
        <f>IF(ISNUMBER('Model_ of_individuals'!R381), 'Model_ of_individuals'!R381*'Model_ of_individuals'!$K381,"")</f>
        <v/>
      </c>
      <c r="S367" s="496" t="str">
        <f>IF(ISNUMBER('Model_ of_individuals'!S381), 'Model_ of_individuals'!S381*'Model_ of_individuals'!$K381,"")</f>
        <v/>
      </c>
      <c r="T367" s="496" t="str">
        <f>IF(ISNUMBER('Model_ of_individuals'!T381), 'Model_ of_individuals'!T381*'Model_ of_individuals'!$K381,"")</f>
        <v/>
      </c>
      <c r="U367" s="496" t="str">
        <f>IF(ISNUMBER('Model_ of_individuals'!U381), 'Model_ of_individuals'!U381*'Model_ of_individuals'!$K381,"")</f>
        <v/>
      </c>
      <c r="V367" s="496" t="str">
        <f>IF(ISNUMBER('Model_ of_individuals'!V381), 'Model_ of_individuals'!V381*'Model_ of_individuals'!$K381,"")</f>
        <v/>
      </c>
      <c r="W367" s="496" t="str">
        <f>IF(ISNUMBER('Model_ of_individuals'!W381), 'Model_ of_individuals'!W381*'Model_ of_individuals'!$K381,"")</f>
        <v/>
      </c>
      <c r="X367" s="496" t="str">
        <f>IF(ISNUMBER('Model_ of_individuals'!X381), 'Model_ of_individuals'!X381*'Model_ of_individuals'!$K381,"")</f>
        <v/>
      </c>
      <c r="Y367" s="496" t="str">
        <f>IF(ISNUMBER('Model_ of_individuals'!Y381), 'Model_ of_individuals'!Y381*'Model_ of_individuals'!$K381,"")</f>
        <v/>
      </c>
      <c r="Z367" s="496" t="str">
        <f>IF(ISNUMBER('Model_ of_individuals'!Z381), 'Model_ of_individuals'!Z381*'Model_ of_individuals'!$K381,"")</f>
        <v/>
      </c>
      <c r="AA367" s="496" t="str">
        <f>IF(ISNUMBER('Model_ of_individuals'!AA381), 'Model_ of_individuals'!AA381*'Model_ of_individuals'!$K381,"")</f>
        <v/>
      </c>
      <c r="AB367" s="496" t="str">
        <f>IF(ISNUMBER('Model_ of_individuals'!AB381), 'Model_ of_individuals'!AB381*'Model_ of_individuals'!$K381,"")</f>
        <v/>
      </c>
      <c r="AC367" s="496" t="str">
        <f>IF(ISNUMBER('Model_ of_individuals'!AC381), 'Model_ of_individuals'!AC381*'Model_ of_individuals'!$K381,"")</f>
        <v/>
      </c>
      <c r="AD367" s="496" t="str">
        <f>IF(ISNUMBER('Model_ of_individuals'!AD381), 'Model_ of_individuals'!AD381*'Model_ of_individuals'!$K381,"")</f>
        <v/>
      </c>
      <c r="AE367" s="496" t="str">
        <f>IF(ISNUMBER('Model_ of_individuals'!AE381), 'Model_ of_individuals'!AE381*'Model_ of_individuals'!$K381,"")</f>
        <v/>
      </c>
      <c r="AF367" s="496" t="str">
        <f>IF(ISNUMBER('Model_ of_individuals'!AF381), 'Model_ of_individuals'!AF381*'Model_ of_individuals'!$K381,"")</f>
        <v/>
      </c>
      <c r="AG367" s="496" t="str">
        <f>IF(ISNUMBER('Model_ of_individuals'!AG381), 'Model_ of_individuals'!AG381*'Model_ of_individuals'!$K381,"")</f>
        <v/>
      </c>
      <c r="AH367" s="496" t="str">
        <f>IF(ISNUMBER('Model_ of_individuals'!AH381), 'Model_ of_individuals'!AH381*'Model_ of_individuals'!$K381,"")</f>
        <v/>
      </c>
      <c r="AI367" s="496" t="str">
        <f>IF(ISNUMBER('Model_ of_individuals'!AI381), 'Model_ of_individuals'!AI381*'Model_ of_individuals'!$K381,"")</f>
        <v/>
      </c>
      <c r="AJ367" s="496" t="str">
        <f>IF(ISNUMBER('Model_ of_individuals'!AJ381), 'Model_ of_individuals'!AJ381*'Model_ of_individuals'!$K381,"")</f>
        <v/>
      </c>
      <c r="AK367" s="496" t="str">
        <f>IF(ISNUMBER('Model_ of_individuals'!AK381), 'Model_ of_individuals'!AK381*'Model_ of_individuals'!$K381,"")</f>
        <v/>
      </c>
      <c r="AL367" s="496" t="str">
        <f>IF(ISNUMBER('Model_ of_individuals'!AL381), 'Model_ of_individuals'!AL381*'Model_ of_individuals'!$K381,"")</f>
        <v/>
      </c>
      <c r="AM367" s="496" t="str">
        <f>IF(ISNUMBER('Model_ of_individuals'!AM381), 'Model_ of_individuals'!AM381*'Model_ of_individuals'!$K381,"")</f>
        <v/>
      </c>
      <c r="AN367" s="496" t="str">
        <f>IF(ISNUMBER('Model_ of_individuals'!AN381), 'Model_ of_individuals'!AN381*'Model_ of_individuals'!$K381,"")</f>
        <v/>
      </c>
      <c r="AO367" s="496" t="str">
        <f>IF(ISNUMBER('Model_ of_individuals'!AO381), 'Model_ of_individuals'!AO381*'Model_ of_individuals'!$K381,"")</f>
        <v/>
      </c>
      <c r="AP367" s="496" t="str">
        <f>IF(ISNUMBER('Model_ of_individuals'!AP381), 'Model_ of_individuals'!AP381*'Model_ of_individuals'!$K381,"")</f>
        <v/>
      </c>
      <c r="AQ367" s="496" t="str">
        <f>IF(ISNUMBER('Model_ of_individuals'!AQ381), 'Model_ of_individuals'!AQ381*'Model_ of_individuals'!$K381,"")</f>
        <v/>
      </c>
      <c r="AR367" s="496" t="str">
        <f>IF(ISNUMBER('Model_ of_individuals'!AR381), 'Model_ of_individuals'!AR381*'Model_ of_individuals'!$K381,"")</f>
        <v/>
      </c>
      <c r="AS367" s="496" t="str">
        <f>IF(ISNUMBER('Model_ of_individuals'!AS381), 'Model_ of_individuals'!AS381*'Model_ of_individuals'!$K381,"")</f>
        <v/>
      </c>
    </row>
    <row r="368" spans="1:46" x14ac:dyDescent="0.25">
      <c r="A368" s="518"/>
      <c r="B368" s="504"/>
      <c r="C368" s="521"/>
      <c r="D368" s="94" t="str">
        <f>IF(AND(C367&lt;&gt;"", 'Cost Inputs'!$G$117&lt;&gt;""), 'Cost Inputs'!$G$117, "")</f>
        <v/>
      </c>
      <c r="E368" s="94" t="str">
        <f>IF(AND(C367&lt;&gt;"", 'Cost Inputs'!$H$117&lt;&gt;""), 'Cost Inputs'!$H$117, "")</f>
        <v/>
      </c>
      <c r="F368" s="492"/>
      <c r="G368" s="102" t="str">
        <f t="shared" si="25"/>
        <v/>
      </c>
      <c r="H368" s="492"/>
      <c r="I368" s="102" t="str">
        <f>IF($C367&lt;&gt;"", IF(AND($E368&lt;&gt;"", H367&lt;&gt;""), H367/($E367*$E368), 0), "")</f>
        <v/>
      </c>
      <c r="J368" s="492" t="str">
        <f>IF(AND(C368&lt;&gt;"",('Cost Inputs'!$I$86+'Cost Inputs'!$J$86+'Cost Inputs'!$K$86)&gt;0), 'Cost Inputs'!$I$86+'Cost Inputs'!$J$86+'Cost Inputs'!$K$86, "")</f>
        <v/>
      </c>
      <c r="K368" s="102" t="str">
        <f>IF($C367&lt;&gt;"", IF(AND($E368&lt;&gt;"", J367&lt;&gt;""), J367/($E367*$E368), 0), "")</f>
        <v/>
      </c>
      <c r="L368" s="525"/>
      <c r="M368" s="525"/>
      <c r="R368" s="496" t="str">
        <f>IF(ISNUMBER('Model_ of_individuals'!R382), 'Model_ of_individuals'!R382*'Model_ of_individuals'!$K382,"")</f>
        <v/>
      </c>
      <c r="S368" s="496" t="str">
        <f>IF(ISNUMBER('Model_ of_individuals'!S382), 'Model_ of_individuals'!S382*'Model_ of_individuals'!$K382,"")</f>
        <v/>
      </c>
      <c r="T368" s="496" t="str">
        <f>IF(ISNUMBER('Model_ of_individuals'!T382), 'Model_ of_individuals'!T382*'Model_ of_individuals'!$K382,"")</f>
        <v/>
      </c>
      <c r="U368" s="496" t="str">
        <f>IF(ISNUMBER('Model_ of_individuals'!U382), 'Model_ of_individuals'!U382*'Model_ of_individuals'!$K382,"")</f>
        <v/>
      </c>
      <c r="V368" s="496" t="str">
        <f>IF(ISNUMBER('Model_ of_individuals'!V382), 'Model_ of_individuals'!V382*'Model_ of_individuals'!$K382,"")</f>
        <v/>
      </c>
      <c r="W368" s="496" t="str">
        <f>IF(ISNUMBER('Model_ of_individuals'!W382), 'Model_ of_individuals'!W382*'Model_ of_individuals'!$K382,"")</f>
        <v/>
      </c>
      <c r="X368" s="496" t="str">
        <f>IF(ISNUMBER('Model_ of_individuals'!X382), 'Model_ of_individuals'!X382*'Model_ of_individuals'!$K382,"")</f>
        <v/>
      </c>
      <c r="Y368" s="496" t="str">
        <f>IF(ISNUMBER('Model_ of_individuals'!Y382), 'Model_ of_individuals'!Y382*'Model_ of_individuals'!$K382,"")</f>
        <v/>
      </c>
      <c r="Z368" s="496" t="str">
        <f>IF(ISNUMBER('Model_ of_individuals'!Z382), 'Model_ of_individuals'!Z382*'Model_ of_individuals'!$K382,"")</f>
        <v/>
      </c>
      <c r="AA368" s="496" t="str">
        <f>IF(ISNUMBER('Model_ of_individuals'!AA382), 'Model_ of_individuals'!AA382*'Model_ of_individuals'!$K382,"")</f>
        <v/>
      </c>
      <c r="AB368" s="496" t="str">
        <f>IF(ISNUMBER('Model_ of_individuals'!AB382), 'Model_ of_individuals'!AB382*'Model_ of_individuals'!$K382,"")</f>
        <v/>
      </c>
      <c r="AC368" s="496" t="str">
        <f>IF(ISNUMBER('Model_ of_individuals'!AC382), 'Model_ of_individuals'!AC382*'Model_ of_individuals'!$K382,"")</f>
        <v/>
      </c>
      <c r="AD368" s="496" t="str">
        <f>IF(ISNUMBER('Model_ of_individuals'!AD382), 'Model_ of_individuals'!AD382*'Model_ of_individuals'!$K382,"")</f>
        <v/>
      </c>
      <c r="AE368" s="496" t="str">
        <f>IF(ISNUMBER('Model_ of_individuals'!AE382), 'Model_ of_individuals'!AE382*'Model_ of_individuals'!$K382,"")</f>
        <v/>
      </c>
      <c r="AF368" s="496" t="str">
        <f>IF(ISNUMBER('Model_ of_individuals'!AF382), 'Model_ of_individuals'!AF382*'Model_ of_individuals'!$K382,"")</f>
        <v/>
      </c>
      <c r="AG368" s="496" t="str">
        <f>IF(ISNUMBER('Model_ of_individuals'!AG382), 'Model_ of_individuals'!AG382*'Model_ of_individuals'!$K382,"")</f>
        <v/>
      </c>
      <c r="AH368" s="496" t="str">
        <f>IF(ISNUMBER('Model_ of_individuals'!AH382), 'Model_ of_individuals'!AH382*'Model_ of_individuals'!$K382,"")</f>
        <v/>
      </c>
      <c r="AI368" s="496" t="str">
        <f>IF(ISNUMBER('Model_ of_individuals'!AI382), 'Model_ of_individuals'!AI382*'Model_ of_individuals'!$K382,"")</f>
        <v/>
      </c>
      <c r="AJ368" s="496" t="str">
        <f>IF(ISNUMBER('Model_ of_individuals'!AJ382), 'Model_ of_individuals'!AJ382*'Model_ of_individuals'!$K382,"")</f>
        <v/>
      </c>
      <c r="AK368" s="496" t="str">
        <f>IF(ISNUMBER('Model_ of_individuals'!AK382), 'Model_ of_individuals'!AK382*'Model_ of_individuals'!$K382,"")</f>
        <v/>
      </c>
      <c r="AL368" s="496" t="str">
        <f>IF(ISNUMBER('Model_ of_individuals'!AL382), 'Model_ of_individuals'!AL382*'Model_ of_individuals'!$K382,"")</f>
        <v/>
      </c>
      <c r="AM368" s="496" t="str">
        <f>IF(ISNUMBER('Model_ of_individuals'!AM382), 'Model_ of_individuals'!AM382*'Model_ of_individuals'!$K382,"")</f>
        <v/>
      </c>
      <c r="AN368" s="496" t="str">
        <f>IF(ISNUMBER('Model_ of_individuals'!AN382), 'Model_ of_individuals'!AN382*'Model_ of_individuals'!$K382,"")</f>
        <v/>
      </c>
      <c r="AO368" s="496" t="str">
        <f>IF(ISNUMBER('Model_ of_individuals'!AO382), 'Model_ of_individuals'!AO382*'Model_ of_individuals'!$K382,"")</f>
        <v/>
      </c>
      <c r="AP368" s="496" t="str">
        <f>IF(ISNUMBER('Model_ of_individuals'!AP382), 'Model_ of_individuals'!AP382*'Model_ of_individuals'!$K382,"")</f>
        <v/>
      </c>
      <c r="AQ368" s="496" t="str">
        <f>IF(ISNUMBER('Model_ of_individuals'!AQ382), 'Model_ of_individuals'!AQ382*'Model_ of_individuals'!$K382,"")</f>
        <v/>
      </c>
      <c r="AR368" s="496" t="str">
        <f>IF(ISNUMBER('Model_ of_individuals'!AR382), 'Model_ of_individuals'!AR382*'Model_ of_individuals'!$K382,"")</f>
        <v/>
      </c>
      <c r="AS368" s="496" t="str">
        <f>IF(ISNUMBER('Model_ of_individuals'!AS382), 'Model_ of_individuals'!AS382*'Model_ of_individuals'!$K382,"")</f>
        <v/>
      </c>
    </row>
    <row r="369" spans="1:46" x14ac:dyDescent="0.25">
      <c r="A369" s="518"/>
      <c r="B369" s="504"/>
      <c r="C369" s="376" t="str">
        <f>IF(AND(ISNUMBER(B356), C367&lt;&gt;"", OR('Cost Inputs'!$H$118&lt;&gt;"", 'Cost Inputs'!$I$118&lt;&gt;"", 'Cost Inputs'!$J$118&lt;&gt;"")), _4_5_1, "")</f>
        <v/>
      </c>
      <c r="D369" s="17" t="str">
        <f>IF(AND(C369&lt;&gt;"", 'Cost Inputs'!$G$118&lt;&gt;""), 'Cost Inputs'!$G$118, "")</f>
        <v/>
      </c>
      <c r="E369" s="17" t="str">
        <f>IF(AND(C369&lt;&gt;"", 'Cost Inputs'!$H$118&lt;&gt;""), 'Cost Inputs'!$H$118, "")</f>
        <v/>
      </c>
      <c r="F369" s="493" t="str">
        <f>IF(AND(C369&lt;&gt;"", 'Cost Inputs'!$I$118&lt;&gt;""), 'Cost Inputs'!$I$118, "")</f>
        <v/>
      </c>
      <c r="G369" s="105" t="str">
        <f t="shared" si="25"/>
        <v/>
      </c>
      <c r="H369" s="493" t="str">
        <f>IF(AND(C369&lt;&gt;"", 'Cost Inputs'!$J$118&lt;&gt;""), 'Cost Inputs'!$J$118, "")</f>
        <v/>
      </c>
      <c r="I369" s="105" t="str">
        <f>IF($C369&lt;&gt;"",IF(AND($E369&lt;&gt;"",H369&lt;&gt;""), H369/$E369, 0),"")</f>
        <v/>
      </c>
      <c r="J369" s="493" t="str">
        <f>IF(AND(C369&lt;&gt;"",('Cost Inputs'!$I$118+'Cost Inputs'!$J$118+'Cost Inputs'!$K$118)&gt;0), 'Cost Inputs'!$I$118+'Cost Inputs'!$J$118+'Cost Inputs'!$K$118, "")</f>
        <v/>
      </c>
      <c r="K369" s="105" t="str">
        <f>IF($C369&lt;&gt;"",IF(AND($E369&lt;&gt;"",J369&lt;&gt;""), J369/$E369, 0),"")</f>
        <v/>
      </c>
      <c r="L369" s="525"/>
      <c r="M369" s="525"/>
      <c r="R369" s="497" t="str">
        <f>IF(ISNUMBER('Model_ of_individuals'!R383), 'Model_ of_individuals'!R383*'Model_ of_individuals'!$K383,"")</f>
        <v/>
      </c>
      <c r="S369" s="497" t="str">
        <f>IF(ISNUMBER('Model_ of_individuals'!S383), 'Model_ of_individuals'!S383*'Model_ of_individuals'!$K383,"")</f>
        <v/>
      </c>
      <c r="T369" s="497" t="str">
        <f>IF(ISNUMBER('Model_ of_individuals'!T383), 'Model_ of_individuals'!T383*'Model_ of_individuals'!$K383,"")</f>
        <v/>
      </c>
      <c r="U369" s="497" t="str">
        <f>IF(ISNUMBER('Model_ of_individuals'!U383), 'Model_ of_individuals'!U383*'Model_ of_individuals'!$K383,"")</f>
        <v/>
      </c>
      <c r="V369" s="497" t="str">
        <f>IF(ISNUMBER('Model_ of_individuals'!V383), 'Model_ of_individuals'!V383*'Model_ of_individuals'!$K383,"")</f>
        <v/>
      </c>
      <c r="W369" s="497" t="str">
        <f>IF(ISNUMBER('Model_ of_individuals'!W383), 'Model_ of_individuals'!W383*'Model_ of_individuals'!$K383,"")</f>
        <v/>
      </c>
      <c r="X369" s="497" t="str">
        <f>IF(ISNUMBER('Model_ of_individuals'!X383), 'Model_ of_individuals'!X383*'Model_ of_individuals'!$K383,"")</f>
        <v/>
      </c>
      <c r="Y369" s="497" t="str">
        <f>IF(ISNUMBER('Model_ of_individuals'!Y383), 'Model_ of_individuals'!Y383*'Model_ of_individuals'!$K383,"")</f>
        <v/>
      </c>
      <c r="Z369" s="497" t="str">
        <f>IF(ISNUMBER('Model_ of_individuals'!Z383), 'Model_ of_individuals'!Z383*'Model_ of_individuals'!$K383,"")</f>
        <v/>
      </c>
      <c r="AA369" s="497" t="str">
        <f>IF(ISNUMBER('Model_ of_individuals'!AA383), 'Model_ of_individuals'!AA383*'Model_ of_individuals'!$K383,"")</f>
        <v/>
      </c>
      <c r="AB369" s="497" t="str">
        <f>IF(ISNUMBER('Model_ of_individuals'!AB383), 'Model_ of_individuals'!AB383*'Model_ of_individuals'!$K383,"")</f>
        <v/>
      </c>
      <c r="AC369" s="497" t="str">
        <f>IF(ISNUMBER('Model_ of_individuals'!AC383), 'Model_ of_individuals'!AC383*'Model_ of_individuals'!$K383,"")</f>
        <v/>
      </c>
      <c r="AD369" s="497" t="str">
        <f>IF(ISNUMBER('Model_ of_individuals'!AD383), 'Model_ of_individuals'!AD383*'Model_ of_individuals'!$K383,"")</f>
        <v/>
      </c>
      <c r="AE369" s="497" t="str">
        <f>IF(ISNUMBER('Model_ of_individuals'!AE383), 'Model_ of_individuals'!AE383*'Model_ of_individuals'!$K383,"")</f>
        <v/>
      </c>
      <c r="AF369" s="497" t="str">
        <f>IF(ISNUMBER('Model_ of_individuals'!AF383), 'Model_ of_individuals'!AF383*'Model_ of_individuals'!$K383,"")</f>
        <v/>
      </c>
      <c r="AG369" s="497" t="str">
        <f>IF(ISNUMBER('Model_ of_individuals'!AG383), 'Model_ of_individuals'!AG383*'Model_ of_individuals'!$K383,"")</f>
        <v/>
      </c>
      <c r="AH369" s="497" t="str">
        <f>IF(ISNUMBER('Model_ of_individuals'!AH383), 'Model_ of_individuals'!AH383*'Model_ of_individuals'!$K383,"")</f>
        <v/>
      </c>
      <c r="AI369" s="497" t="str">
        <f>IF(ISNUMBER('Model_ of_individuals'!AI383), 'Model_ of_individuals'!AI383*'Model_ of_individuals'!$K383,"")</f>
        <v/>
      </c>
      <c r="AJ369" s="497" t="str">
        <f>IF(ISNUMBER('Model_ of_individuals'!AJ383), 'Model_ of_individuals'!AJ383*'Model_ of_individuals'!$K383,"")</f>
        <v/>
      </c>
      <c r="AK369" s="497" t="str">
        <f>IF(ISNUMBER('Model_ of_individuals'!AK383), 'Model_ of_individuals'!AK383*'Model_ of_individuals'!$K383,"")</f>
        <v/>
      </c>
      <c r="AL369" s="497" t="str">
        <f>IF(ISNUMBER('Model_ of_individuals'!AL383), 'Model_ of_individuals'!AL383*'Model_ of_individuals'!$K383,"")</f>
        <v/>
      </c>
      <c r="AM369" s="497" t="str">
        <f>IF(ISNUMBER('Model_ of_individuals'!AM383), 'Model_ of_individuals'!AM383*'Model_ of_individuals'!$K383,"")</f>
        <v/>
      </c>
      <c r="AN369" s="497" t="str">
        <f>IF(ISNUMBER('Model_ of_individuals'!AN383), 'Model_ of_individuals'!AN383*'Model_ of_individuals'!$K383,"")</f>
        <v/>
      </c>
      <c r="AO369" s="497" t="str">
        <f>IF(ISNUMBER('Model_ of_individuals'!AO383), 'Model_ of_individuals'!AO383*'Model_ of_individuals'!$K383,"")</f>
        <v/>
      </c>
      <c r="AP369" s="497" t="str">
        <f>IF(ISNUMBER('Model_ of_individuals'!AP383), 'Model_ of_individuals'!AP383*'Model_ of_individuals'!$K383,"")</f>
        <v/>
      </c>
      <c r="AQ369" s="497" t="str">
        <f>IF(ISNUMBER('Model_ of_individuals'!AQ383), 'Model_ of_individuals'!AQ383*'Model_ of_individuals'!$K383,"")</f>
        <v/>
      </c>
      <c r="AR369" s="497" t="str">
        <f>IF(ISNUMBER('Model_ of_individuals'!AR383), 'Model_ of_individuals'!AR383*'Model_ of_individuals'!$K383,"")</f>
        <v/>
      </c>
      <c r="AS369" s="497" t="str">
        <f>IF(ISNUMBER('Model_ of_individuals'!AS383), 'Model_ of_individuals'!AS383*'Model_ of_individuals'!$K383,"")</f>
        <v/>
      </c>
    </row>
    <row r="370" spans="1:46" x14ac:dyDescent="0.25">
      <c r="A370" s="518"/>
      <c r="B370" s="504"/>
      <c r="C370" s="376" t="str">
        <f>IF(AND(ISNUMBER(B351), OR('Cost Inputs'!$H$85&lt;&gt;"", 'Cost Inputs'!$I$85&lt;&gt;"", 'Cost Inputs'!$J$85&lt;&gt;"")), _3_5_1, "")</f>
        <v/>
      </c>
      <c r="D370" s="17" t="str">
        <f>IF(AND(C369&lt;&gt;"", 'Cost Inputs'!$G$119&lt;&gt;""), 'Cost Inputs'!$G$119, "")</f>
        <v/>
      </c>
      <c r="E370" s="17" t="str">
        <f>IF(AND(C369&lt;&gt;"", 'Cost Inputs'!$H$119&lt;&gt;""), 'Cost Inputs'!$H$119, "")</f>
        <v/>
      </c>
      <c r="F370" s="493"/>
      <c r="G370" s="105" t="str">
        <f t="shared" si="25"/>
        <v/>
      </c>
      <c r="H370" s="493"/>
      <c r="I370" s="105" t="str">
        <f>IF($C369&lt;&gt;"", IF(AND($E370&lt;&gt;"", H369&lt;&gt;""), H369/($E369*$E370), 0), "")</f>
        <v/>
      </c>
      <c r="J370" s="493" t="str">
        <f>IF(AND(C370&lt;&gt;"",('Cost Inputs'!$I$86+'Cost Inputs'!$J$86+'Cost Inputs'!$K$86)&gt;0), 'Cost Inputs'!$I$86+'Cost Inputs'!$J$86+'Cost Inputs'!$K$86, "")</f>
        <v/>
      </c>
      <c r="K370" s="105" t="str">
        <f>IF($C369&lt;&gt;"", IF(AND($E370&lt;&gt;"", J369&lt;&gt;""), J369/($E369*$E370), 0), "")</f>
        <v/>
      </c>
      <c r="L370" s="525"/>
      <c r="M370" s="525"/>
      <c r="R370" s="497" t="str">
        <f>IF(ISNUMBER('Model_ of_individuals'!R384), 'Model_ of_individuals'!R384*'Model_ of_individuals'!$K384,"")</f>
        <v/>
      </c>
      <c r="S370" s="497" t="str">
        <f>IF(ISNUMBER('Model_ of_individuals'!S384), 'Model_ of_individuals'!S384*'Model_ of_individuals'!$K384,"")</f>
        <v/>
      </c>
      <c r="T370" s="497" t="str">
        <f>IF(ISNUMBER('Model_ of_individuals'!T384), 'Model_ of_individuals'!T384*'Model_ of_individuals'!$K384,"")</f>
        <v/>
      </c>
      <c r="U370" s="497" t="str">
        <f>IF(ISNUMBER('Model_ of_individuals'!U384), 'Model_ of_individuals'!U384*'Model_ of_individuals'!$K384,"")</f>
        <v/>
      </c>
      <c r="V370" s="497" t="str">
        <f>IF(ISNUMBER('Model_ of_individuals'!V384), 'Model_ of_individuals'!V384*'Model_ of_individuals'!$K384,"")</f>
        <v/>
      </c>
      <c r="W370" s="497" t="str">
        <f>IF(ISNUMBER('Model_ of_individuals'!W384), 'Model_ of_individuals'!W384*'Model_ of_individuals'!$K384,"")</f>
        <v/>
      </c>
      <c r="X370" s="497" t="str">
        <f>IF(ISNUMBER('Model_ of_individuals'!X384), 'Model_ of_individuals'!X384*'Model_ of_individuals'!$K384,"")</f>
        <v/>
      </c>
      <c r="Y370" s="497" t="str">
        <f>IF(ISNUMBER('Model_ of_individuals'!Y384), 'Model_ of_individuals'!Y384*'Model_ of_individuals'!$K384,"")</f>
        <v/>
      </c>
      <c r="Z370" s="497" t="str">
        <f>IF(ISNUMBER('Model_ of_individuals'!Z384), 'Model_ of_individuals'!Z384*'Model_ of_individuals'!$K384,"")</f>
        <v/>
      </c>
      <c r="AA370" s="497" t="str">
        <f>IF(ISNUMBER('Model_ of_individuals'!AA384), 'Model_ of_individuals'!AA384*'Model_ of_individuals'!$K384,"")</f>
        <v/>
      </c>
      <c r="AB370" s="497" t="str">
        <f>IF(ISNUMBER('Model_ of_individuals'!AB384), 'Model_ of_individuals'!AB384*'Model_ of_individuals'!$K384,"")</f>
        <v/>
      </c>
      <c r="AC370" s="497" t="str">
        <f>IF(ISNUMBER('Model_ of_individuals'!AC384), 'Model_ of_individuals'!AC384*'Model_ of_individuals'!$K384,"")</f>
        <v/>
      </c>
      <c r="AD370" s="497" t="str">
        <f>IF(ISNUMBER('Model_ of_individuals'!AD384), 'Model_ of_individuals'!AD384*'Model_ of_individuals'!$K384,"")</f>
        <v/>
      </c>
      <c r="AE370" s="497" t="str">
        <f>IF(ISNUMBER('Model_ of_individuals'!AE384), 'Model_ of_individuals'!AE384*'Model_ of_individuals'!$K384,"")</f>
        <v/>
      </c>
      <c r="AF370" s="497" t="str">
        <f>IF(ISNUMBER('Model_ of_individuals'!AF384), 'Model_ of_individuals'!AF384*'Model_ of_individuals'!$K384,"")</f>
        <v/>
      </c>
      <c r="AG370" s="497" t="str">
        <f>IF(ISNUMBER('Model_ of_individuals'!AG384), 'Model_ of_individuals'!AG384*'Model_ of_individuals'!$K384,"")</f>
        <v/>
      </c>
      <c r="AH370" s="497" t="str">
        <f>IF(ISNUMBER('Model_ of_individuals'!AH384), 'Model_ of_individuals'!AH384*'Model_ of_individuals'!$K384,"")</f>
        <v/>
      </c>
      <c r="AI370" s="497" t="str">
        <f>IF(ISNUMBER('Model_ of_individuals'!AI384), 'Model_ of_individuals'!AI384*'Model_ of_individuals'!$K384,"")</f>
        <v/>
      </c>
      <c r="AJ370" s="497" t="str">
        <f>IF(ISNUMBER('Model_ of_individuals'!AJ384), 'Model_ of_individuals'!AJ384*'Model_ of_individuals'!$K384,"")</f>
        <v/>
      </c>
      <c r="AK370" s="497" t="str">
        <f>IF(ISNUMBER('Model_ of_individuals'!AK384), 'Model_ of_individuals'!AK384*'Model_ of_individuals'!$K384,"")</f>
        <v/>
      </c>
      <c r="AL370" s="497" t="str">
        <f>IF(ISNUMBER('Model_ of_individuals'!AL384), 'Model_ of_individuals'!AL384*'Model_ of_individuals'!$K384,"")</f>
        <v/>
      </c>
      <c r="AM370" s="497" t="str">
        <f>IF(ISNUMBER('Model_ of_individuals'!AM384), 'Model_ of_individuals'!AM384*'Model_ of_individuals'!$K384,"")</f>
        <v/>
      </c>
      <c r="AN370" s="497" t="str">
        <f>IF(ISNUMBER('Model_ of_individuals'!AN384), 'Model_ of_individuals'!AN384*'Model_ of_individuals'!$K384,"")</f>
        <v/>
      </c>
      <c r="AO370" s="497" t="str">
        <f>IF(ISNUMBER('Model_ of_individuals'!AO384), 'Model_ of_individuals'!AO384*'Model_ of_individuals'!$K384,"")</f>
        <v/>
      </c>
      <c r="AP370" s="497" t="str">
        <f>IF(ISNUMBER('Model_ of_individuals'!AP384), 'Model_ of_individuals'!AP384*'Model_ of_individuals'!$K384,"")</f>
        <v/>
      </c>
      <c r="AQ370" s="497" t="str">
        <f>IF(ISNUMBER('Model_ of_individuals'!AQ384), 'Model_ of_individuals'!AQ384*'Model_ of_individuals'!$K384,"")</f>
        <v/>
      </c>
      <c r="AR370" s="497" t="str">
        <f>IF(ISNUMBER('Model_ of_individuals'!AR384), 'Model_ of_individuals'!AR384*'Model_ of_individuals'!$K384,"")</f>
        <v/>
      </c>
      <c r="AS370" s="497" t="str">
        <f>IF(ISNUMBER('Model_ of_individuals'!AS384), 'Model_ of_individuals'!AS384*'Model_ of_individuals'!$K384,"")</f>
        <v/>
      </c>
    </row>
    <row r="371" spans="1:46" x14ac:dyDescent="0.25">
      <c r="A371" s="518"/>
      <c r="B371" s="504"/>
      <c r="C371" s="107" t="str">
        <f>IF(AND(ISNUMBER(B356), C367&lt;&gt;"", OR('Cost Inputs'!$H$120&lt;&gt;"", 'Cost Inputs'!$I$120&lt;&gt;"", 'Cost Inputs'!$J$120&lt;&gt;"")), _4_5_2, "")</f>
        <v/>
      </c>
      <c r="D371" s="93" t="str">
        <f>IF(AND(C371&lt;&gt;"", 'Cost Inputs'!$G$120&lt;&gt;""), 'Cost Inputs'!$G$120, "")</f>
        <v/>
      </c>
      <c r="E371" s="93" t="str">
        <f>IF(AND(C371&lt;&gt;"", 'Cost Inputs'!$H$120&lt;&gt;""), 'Cost Inputs'!$H$120, "")</f>
        <v/>
      </c>
      <c r="F371" s="93" t="str">
        <f>IF(AND(C371&lt;&gt;"", 'Cost Inputs'!$I$120&lt;&gt;""), 'Cost Inputs'!$I$120, "")</f>
        <v/>
      </c>
      <c r="G371" s="108" t="str">
        <f t="shared" si="25"/>
        <v/>
      </c>
      <c r="H371" s="93" t="str">
        <f>IF(AND(C371&lt;&gt;"", 'Cost Inputs'!$J$120&lt;&gt;""), 'Cost Inputs'!$J$120, "")</f>
        <v/>
      </c>
      <c r="I371" s="93" t="str">
        <f>IF($C371&lt;&gt;"", IF(AND($E371&lt;&gt;"", H371&lt;&gt;""), H371/$E371, 0),"")</f>
        <v/>
      </c>
      <c r="J371" s="93" t="str">
        <f>IF(AND(C371&lt;&gt;"",('Cost Inputs'!$I$120+'Cost Inputs'!$J$120+'Cost Inputs'!$K$120)&gt;0), 'Cost Inputs'!$I$120+'Cost Inputs'!$J$120+'Cost Inputs'!$K$120, "")</f>
        <v/>
      </c>
      <c r="K371" s="93" t="str">
        <f>IF($C371&lt;&gt;"", IF(AND($E371&lt;&gt;"", J371&lt;&gt;""), J371/$E371, 0),"")</f>
        <v/>
      </c>
      <c r="L371" s="525"/>
      <c r="M371" s="525"/>
      <c r="R371" s="93" t="str">
        <f>IF(ISNUMBER('Model_ of_individuals'!R385), 'Model_ of_individuals'!R385*'Model_ of_individuals'!$K385,"")</f>
        <v/>
      </c>
      <c r="S371" s="93" t="str">
        <f>IF(ISNUMBER('Model_ of_individuals'!S385), 'Model_ of_individuals'!S385*'Model_ of_individuals'!$K385,"")</f>
        <v/>
      </c>
      <c r="T371" s="93" t="str">
        <f>IF(ISNUMBER('Model_ of_individuals'!T385), 'Model_ of_individuals'!T385*'Model_ of_individuals'!$K385,"")</f>
        <v/>
      </c>
      <c r="U371" s="93" t="str">
        <f>IF(ISNUMBER('Model_ of_individuals'!U385), 'Model_ of_individuals'!U385*'Model_ of_individuals'!$K385,"")</f>
        <v/>
      </c>
      <c r="V371" s="93" t="str">
        <f>IF(ISNUMBER('Model_ of_individuals'!V385), 'Model_ of_individuals'!V385*'Model_ of_individuals'!$K385,"")</f>
        <v/>
      </c>
      <c r="W371" s="93" t="str">
        <f>IF(ISNUMBER('Model_ of_individuals'!W385), 'Model_ of_individuals'!W385*'Model_ of_individuals'!$K385,"")</f>
        <v/>
      </c>
      <c r="X371" s="93" t="str">
        <f>IF(ISNUMBER('Model_ of_individuals'!X385), 'Model_ of_individuals'!X385*'Model_ of_individuals'!$K385,"")</f>
        <v/>
      </c>
      <c r="Y371" s="93" t="str">
        <f>IF(ISNUMBER('Model_ of_individuals'!Y385), 'Model_ of_individuals'!Y385*'Model_ of_individuals'!$K385,"")</f>
        <v/>
      </c>
      <c r="Z371" s="93" t="str">
        <f>IF(ISNUMBER('Model_ of_individuals'!Z385), 'Model_ of_individuals'!Z385*'Model_ of_individuals'!$K385,"")</f>
        <v/>
      </c>
      <c r="AA371" s="93" t="str">
        <f>IF(ISNUMBER('Model_ of_individuals'!AA385), 'Model_ of_individuals'!AA385*'Model_ of_individuals'!$K385,"")</f>
        <v/>
      </c>
      <c r="AB371" s="93" t="str">
        <f>IF(ISNUMBER('Model_ of_individuals'!AB385), 'Model_ of_individuals'!AB385*'Model_ of_individuals'!$K385,"")</f>
        <v/>
      </c>
      <c r="AC371" s="93" t="str">
        <f>IF(ISNUMBER('Model_ of_individuals'!AC385), 'Model_ of_individuals'!AC385*'Model_ of_individuals'!$K385,"")</f>
        <v/>
      </c>
      <c r="AD371" s="93" t="str">
        <f>IF(ISNUMBER('Model_ of_individuals'!AD385), 'Model_ of_individuals'!AD385*'Model_ of_individuals'!$K385,"")</f>
        <v/>
      </c>
      <c r="AE371" s="93" t="str">
        <f>IF(ISNUMBER('Model_ of_individuals'!AE385), 'Model_ of_individuals'!AE385*'Model_ of_individuals'!$K385,"")</f>
        <v/>
      </c>
      <c r="AF371" s="93" t="str">
        <f>IF(ISNUMBER('Model_ of_individuals'!AF385), 'Model_ of_individuals'!AF385*'Model_ of_individuals'!$K385,"")</f>
        <v/>
      </c>
      <c r="AG371" s="93" t="str">
        <f>IF(ISNUMBER('Model_ of_individuals'!AG385), 'Model_ of_individuals'!AG385*'Model_ of_individuals'!$K385,"")</f>
        <v/>
      </c>
      <c r="AH371" s="93" t="str">
        <f>IF(ISNUMBER('Model_ of_individuals'!AH385), 'Model_ of_individuals'!AH385*'Model_ of_individuals'!$K385,"")</f>
        <v/>
      </c>
      <c r="AI371" s="93" t="str">
        <f>IF(ISNUMBER('Model_ of_individuals'!AI385), 'Model_ of_individuals'!AI385*'Model_ of_individuals'!$K385,"")</f>
        <v/>
      </c>
      <c r="AJ371" s="93" t="str">
        <f>IF(ISNUMBER('Model_ of_individuals'!AJ385), 'Model_ of_individuals'!AJ385*'Model_ of_individuals'!$K385,"")</f>
        <v/>
      </c>
      <c r="AK371" s="93" t="str">
        <f>IF(ISNUMBER('Model_ of_individuals'!AK385), 'Model_ of_individuals'!AK385*'Model_ of_individuals'!$K385,"")</f>
        <v/>
      </c>
      <c r="AL371" s="93" t="str">
        <f>IF(ISNUMBER('Model_ of_individuals'!AL385), 'Model_ of_individuals'!AL385*'Model_ of_individuals'!$K385,"")</f>
        <v/>
      </c>
      <c r="AM371" s="93" t="str">
        <f>IF(ISNUMBER('Model_ of_individuals'!AM385), 'Model_ of_individuals'!AM385*'Model_ of_individuals'!$K385,"")</f>
        <v/>
      </c>
      <c r="AN371" s="93" t="str">
        <f>IF(ISNUMBER('Model_ of_individuals'!AN385), 'Model_ of_individuals'!AN385*'Model_ of_individuals'!$K385,"")</f>
        <v/>
      </c>
      <c r="AO371" s="93" t="str">
        <f>IF(ISNUMBER('Model_ of_individuals'!AO385), 'Model_ of_individuals'!AO385*'Model_ of_individuals'!$K385,"")</f>
        <v/>
      </c>
      <c r="AP371" s="93" t="str">
        <f>IF(ISNUMBER('Model_ of_individuals'!AP385), 'Model_ of_individuals'!AP385*'Model_ of_individuals'!$K385,"")</f>
        <v/>
      </c>
      <c r="AQ371" s="93" t="str">
        <f>IF(ISNUMBER('Model_ of_individuals'!AQ385), 'Model_ of_individuals'!AQ385*'Model_ of_individuals'!$K385,"")</f>
        <v/>
      </c>
      <c r="AR371" s="93" t="str">
        <f>IF(ISNUMBER('Model_ of_individuals'!AR385), 'Model_ of_individuals'!AR385*'Model_ of_individuals'!$K385,"")</f>
        <v/>
      </c>
      <c r="AS371" s="93" t="str">
        <f>IF(ISNUMBER('Model_ of_individuals'!AS385), 'Model_ of_individuals'!AS385*'Model_ of_individuals'!$K385,"")</f>
        <v/>
      </c>
    </row>
    <row r="372" spans="1:46" x14ac:dyDescent="0.25">
      <c r="A372" s="518"/>
      <c r="B372" s="504"/>
      <c r="C372" s="104" t="str">
        <f>IF(AND(ISNUMBER(B356), C367&lt;&gt;"", OR('Cost Inputs'!$H$121&lt;&gt;"", 'Cost Inputs'!$I$121&lt;&gt;"", 'Cost Inputs'!$J$121&lt;&gt;"")), _4_5_3, "")</f>
        <v/>
      </c>
      <c r="D372" s="17" t="str">
        <f>IF(AND(C372&lt;&gt;"", 'Cost Inputs'!$G$121&lt;&gt;""), 'Cost Inputs'!$G$121, "")</f>
        <v/>
      </c>
      <c r="E372" s="17" t="str">
        <f>IF(AND(C372&lt;&gt;"", 'Cost Inputs'!$H$121&lt;&gt;""), 'Cost Inputs'!$H$121, "")</f>
        <v/>
      </c>
      <c r="F372" s="17" t="str">
        <f>IF(AND(C372&lt;&gt;"", 'Cost Inputs'!$I$121&lt;&gt;""), 'Cost Inputs'!$I$121, "")</f>
        <v/>
      </c>
      <c r="G372" s="105" t="str">
        <f t="shared" si="25"/>
        <v/>
      </c>
      <c r="H372" s="17" t="str">
        <f>IF(AND(C372&lt;&gt;"", 'Cost Inputs'!$J$121&lt;&gt;""), 'Cost Inputs'!$J$121, "")</f>
        <v/>
      </c>
      <c r="I372" s="17" t="str">
        <f>IF($C372&lt;&gt;"", IF(AND($E372&lt;&gt;"", H372&lt;&gt;""), H372/$E372, 0),"")</f>
        <v/>
      </c>
      <c r="J372" s="17" t="str">
        <f>IF(AND(C372&lt;&gt;"",('Cost Inputs'!$I$121+'Cost Inputs'!$J$121+'Cost Inputs'!$K$121)&gt;0), 'Cost Inputs'!$I$121+'Cost Inputs'!$J$121+'Cost Inputs'!$K$121, "")</f>
        <v/>
      </c>
      <c r="K372" s="17" t="str">
        <f>IF($C372&lt;&gt;"", IF(AND($E372&lt;&gt;"", J372&lt;&gt;""), J372/$E372, 0),"")</f>
        <v/>
      </c>
      <c r="L372" s="525"/>
      <c r="M372" s="525"/>
      <c r="R372" s="17" t="str">
        <f>IF(ISNUMBER('Model_ of_individuals'!R386), 'Model_ of_individuals'!R386*'Model_ of_individuals'!$K386,"")</f>
        <v/>
      </c>
      <c r="S372" s="17" t="str">
        <f>IF(ISNUMBER('Model_ of_individuals'!S386), 'Model_ of_individuals'!S386*'Model_ of_individuals'!$K386,"")</f>
        <v/>
      </c>
      <c r="T372" s="17" t="str">
        <f>IF(ISNUMBER('Model_ of_individuals'!T386), 'Model_ of_individuals'!T386*'Model_ of_individuals'!$K386,"")</f>
        <v/>
      </c>
      <c r="U372" s="17" t="str">
        <f>IF(ISNUMBER('Model_ of_individuals'!U386), 'Model_ of_individuals'!U386*'Model_ of_individuals'!$K386,"")</f>
        <v/>
      </c>
      <c r="V372" s="17" t="str">
        <f>IF(ISNUMBER('Model_ of_individuals'!V386), 'Model_ of_individuals'!V386*'Model_ of_individuals'!$K386,"")</f>
        <v/>
      </c>
      <c r="W372" s="17" t="str">
        <f>IF(ISNUMBER('Model_ of_individuals'!W386), 'Model_ of_individuals'!W386*'Model_ of_individuals'!$K386,"")</f>
        <v/>
      </c>
      <c r="X372" s="17" t="str">
        <f>IF(ISNUMBER('Model_ of_individuals'!X386), 'Model_ of_individuals'!X386*'Model_ of_individuals'!$K386,"")</f>
        <v/>
      </c>
      <c r="Y372" s="17" t="str">
        <f>IF(ISNUMBER('Model_ of_individuals'!Y386), 'Model_ of_individuals'!Y386*'Model_ of_individuals'!$K386,"")</f>
        <v/>
      </c>
      <c r="Z372" s="17" t="str">
        <f>IF(ISNUMBER('Model_ of_individuals'!Z386), 'Model_ of_individuals'!Z386*'Model_ of_individuals'!$K386,"")</f>
        <v/>
      </c>
      <c r="AA372" s="17" t="str">
        <f>IF(ISNUMBER('Model_ of_individuals'!AA386), 'Model_ of_individuals'!AA386*'Model_ of_individuals'!$K386,"")</f>
        <v/>
      </c>
      <c r="AB372" s="17" t="str">
        <f>IF(ISNUMBER('Model_ of_individuals'!AB386), 'Model_ of_individuals'!AB386*'Model_ of_individuals'!$K386,"")</f>
        <v/>
      </c>
      <c r="AC372" s="17" t="str">
        <f>IF(ISNUMBER('Model_ of_individuals'!AC386), 'Model_ of_individuals'!AC386*'Model_ of_individuals'!$K386,"")</f>
        <v/>
      </c>
      <c r="AD372" s="17" t="str">
        <f>IF(ISNUMBER('Model_ of_individuals'!AD386), 'Model_ of_individuals'!AD386*'Model_ of_individuals'!$K386,"")</f>
        <v/>
      </c>
      <c r="AE372" s="17" t="str">
        <f>IF(ISNUMBER('Model_ of_individuals'!AE386), 'Model_ of_individuals'!AE386*'Model_ of_individuals'!$K386,"")</f>
        <v/>
      </c>
      <c r="AF372" s="17" t="str">
        <f>IF(ISNUMBER('Model_ of_individuals'!AF386), 'Model_ of_individuals'!AF386*'Model_ of_individuals'!$K386,"")</f>
        <v/>
      </c>
      <c r="AG372" s="17" t="str">
        <f>IF(ISNUMBER('Model_ of_individuals'!AG386), 'Model_ of_individuals'!AG386*'Model_ of_individuals'!$K386,"")</f>
        <v/>
      </c>
      <c r="AH372" s="17" t="str">
        <f>IF(ISNUMBER('Model_ of_individuals'!AH386), 'Model_ of_individuals'!AH386*'Model_ of_individuals'!$K386,"")</f>
        <v/>
      </c>
      <c r="AI372" s="17" t="str">
        <f>IF(ISNUMBER('Model_ of_individuals'!AI386), 'Model_ of_individuals'!AI386*'Model_ of_individuals'!$K386,"")</f>
        <v/>
      </c>
      <c r="AJ372" s="17" t="str">
        <f>IF(ISNUMBER('Model_ of_individuals'!AJ386), 'Model_ of_individuals'!AJ386*'Model_ of_individuals'!$K386,"")</f>
        <v/>
      </c>
      <c r="AK372" s="17" t="str">
        <f>IF(ISNUMBER('Model_ of_individuals'!AK386), 'Model_ of_individuals'!AK386*'Model_ of_individuals'!$K386,"")</f>
        <v/>
      </c>
      <c r="AL372" s="17" t="str">
        <f>IF(ISNUMBER('Model_ of_individuals'!AL386), 'Model_ of_individuals'!AL386*'Model_ of_individuals'!$K386,"")</f>
        <v/>
      </c>
      <c r="AM372" s="17" t="str">
        <f>IF(ISNUMBER('Model_ of_individuals'!AM386), 'Model_ of_individuals'!AM386*'Model_ of_individuals'!$K386,"")</f>
        <v/>
      </c>
      <c r="AN372" s="17" t="str">
        <f>IF(ISNUMBER('Model_ of_individuals'!AN386), 'Model_ of_individuals'!AN386*'Model_ of_individuals'!$K386,"")</f>
        <v/>
      </c>
      <c r="AO372" s="17" t="str">
        <f>IF(ISNUMBER('Model_ of_individuals'!AO386), 'Model_ of_individuals'!AO386*'Model_ of_individuals'!$K386,"")</f>
        <v/>
      </c>
      <c r="AP372" s="17" t="str">
        <f>IF(ISNUMBER('Model_ of_individuals'!AP386), 'Model_ of_individuals'!AP386*'Model_ of_individuals'!$K386,"")</f>
        <v/>
      </c>
      <c r="AQ372" s="17" t="str">
        <f>IF(ISNUMBER('Model_ of_individuals'!AQ386), 'Model_ of_individuals'!AQ386*'Model_ of_individuals'!$K386,"")</f>
        <v/>
      </c>
      <c r="AR372" s="17" t="str">
        <f>IF(ISNUMBER('Model_ of_individuals'!AR386), 'Model_ of_individuals'!AR386*'Model_ of_individuals'!$K386,"")</f>
        <v/>
      </c>
      <c r="AS372" s="17" t="str">
        <f>IF(ISNUMBER('Model_ of_individuals'!AS386), 'Model_ of_individuals'!AS386*'Model_ of_individuals'!$K386,"")</f>
        <v/>
      </c>
    </row>
    <row r="373" spans="1:46" x14ac:dyDescent="0.25">
      <c r="A373" s="518"/>
      <c r="B373" s="504"/>
      <c r="C373" s="107" t="str">
        <f>IF(AND(ISNUMBER(B356), C367&lt;&gt;"", OR('Cost Inputs'!$H$122&lt;&gt;"", 'Cost Inputs'!$I$122&lt;&gt;"", 'Cost Inputs'!$J$122&lt;&gt;"")), _4_5_2, "")</f>
        <v/>
      </c>
      <c r="D373" s="93" t="str">
        <f>IF(AND(C373&lt;&gt;"", 'Cost Inputs'!$G$122&lt;&gt;""), 'Cost Inputs'!$G$122, "")</f>
        <v/>
      </c>
      <c r="E373" s="93" t="str">
        <f>IF(AND(C373&lt;&gt;"", 'Cost Inputs'!$H$122&lt;&gt;""), 'Cost Inputs'!$H$122, "")</f>
        <v/>
      </c>
      <c r="F373" s="93" t="str">
        <f>IF(AND(C373&lt;&gt;"", 'Cost Inputs'!$I$122&lt;&gt;""), 'Cost Inputs'!$I$122, "")</f>
        <v/>
      </c>
      <c r="G373" s="108" t="str">
        <f t="shared" si="25"/>
        <v/>
      </c>
      <c r="H373" s="93" t="str">
        <f>IF(AND(C373&lt;&gt;"", 'Cost Inputs'!$J$122&lt;&gt;""), 'Cost Inputs'!$J$122, "")</f>
        <v/>
      </c>
      <c r="I373" s="93" t="str">
        <f>IF($C373&lt;&gt;"", IF(AND($E373&lt;&gt;"", H373&lt;&gt;""), H373/$E373, 0),"")</f>
        <v/>
      </c>
      <c r="J373" s="93" t="str">
        <f>IF(AND(C373&lt;&gt;"",('Cost Inputs'!$I$122+'Cost Inputs'!$J$122+'Cost Inputs'!$K$122)&gt;0), 'Cost Inputs'!$I$122+'Cost Inputs'!$J$122+'Cost Inputs'!$K$122, "")</f>
        <v/>
      </c>
      <c r="K373" s="93" t="str">
        <f>IF($C373&lt;&gt;"", IF(AND($E373&lt;&gt;"", J373&lt;&gt;""), J373/$E373, 0),"")</f>
        <v/>
      </c>
      <c r="L373" s="525"/>
      <c r="M373" s="525"/>
      <c r="R373" s="93" t="str">
        <f>IF(ISNUMBER('Model_ of_individuals'!R387), 'Model_ of_individuals'!R387*'Model_ of_individuals'!$K387,"")</f>
        <v/>
      </c>
      <c r="S373" s="93" t="str">
        <f>IF(ISNUMBER('Model_ of_individuals'!S387), 'Model_ of_individuals'!S387*'Model_ of_individuals'!$K387,"")</f>
        <v/>
      </c>
      <c r="T373" s="93" t="str">
        <f>IF(ISNUMBER('Model_ of_individuals'!T387), 'Model_ of_individuals'!T387*'Model_ of_individuals'!$K387,"")</f>
        <v/>
      </c>
      <c r="U373" s="93" t="str">
        <f>IF(ISNUMBER('Model_ of_individuals'!U387), 'Model_ of_individuals'!U387*'Model_ of_individuals'!$K387,"")</f>
        <v/>
      </c>
      <c r="V373" s="93" t="str">
        <f>IF(ISNUMBER('Model_ of_individuals'!V387), 'Model_ of_individuals'!V387*'Model_ of_individuals'!$K387,"")</f>
        <v/>
      </c>
      <c r="W373" s="93" t="str">
        <f>IF(ISNUMBER('Model_ of_individuals'!W387), 'Model_ of_individuals'!W387*'Model_ of_individuals'!$K387,"")</f>
        <v/>
      </c>
      <c r="X373" s="93" t="str">
        <f>IF(ISNUMBER('Model_ of_individuals'!X387), 'Model_ of_individuals'!X387*'Model_ of_individuals'!$K387,"")</f>
        <v/>
      </c>
      <c r="Y373" s="93" t="str">
        <f>IF(ISNUMBER('Model_ of_individuals'!Y387), 'Model_ of_individuals'!Y387*'Model_ of_individuals'!$K387,"")</f>
        <v/>
      </c>
      <c r="Z373" s="93" t="str">
        <f>IF(ISNUMBER('Model_ of_individuals'!Z387), 'Model_ of_individuals'!Z387*'Model_ of_individuals'!$K387,"")</f>
        <v/>
      </c>
      <c r="AA373" s="93" t="str">
        <f>IF(ISNUMBER('Model_ of_individuals'!AA387), 'Model_ of_individuals'!AA387*'Model_ of_individuals'!$K387,"")</f>
        <v/>
      </c>
      <c r="AB373" s="93" t="str">
        <f>IF(ISNUMBER('Model_ of_individuals'!AB387), 'Model_ of_individuals'!AB387*'Model_ of_individuals'!$K387,"")</f>
        <v/>
      </c>
      <c r="AC373" s="93" t="str">
        <f>IF(ISNUMBER('Model_ of_individuals'!AC387), 'Model_ of_individuals'!AC387*'Model_ of_individuals'!$K387,"")</f>
        <v/>
      </c>
      <c r="AD373" s="93" t="str">
        <f>IF(ISNUMBER('Model_ of_individuals'!AD387), 'Model_ of_individuals'!AD387*'Model_ of_individuals'!$K387,"")</f>
        <v/>
      </c>
      <c r="AE373" s="93" t="str">
        <f>IF(ISNUMBER('Model_ of_individuals'!AE387), 'Model_ of_individuals'!AE387*'Model_ of_individuals'!$K387,"")</f>
        <v/>
      </c>
      <c r="AF373" s="93" t="str">
        <f>IF(ISNUMBER('Model_ of_individuals'!AF387), 'Model_ of_individuals'!AF387*'Model_ of_individuals'!$K387,"")</f>
        <v/>
      </c>
      <c r="AG373" s="93" t="str">
        <f>IF(ISNUMBER('Model_ of_individuals'!AG387), 'Model_ of_individuals'!AG387*'Model_ of_individuals'!$K387,"")</f>
        <v/>
      </c>
      <c r="AH373" s="93" t="str">
        <f>IF(ISNUMBER('Model_ of_individuals'!AH387), 'Model_ of_individuals'!AH387*'Model_ of_individuals'!$K387,"")</f>
        <v/>
      </c>
      <c r="AI373" s="93" t="str">
        <f>IF(ISNUMBER('Model_ of_individuals'!AI387), 'Model_ of_individuals'!AI387*'Model_ of_individuals'!$K387,"")</f>
        <v/>
      </c>
      <c r="AJ373" s="93" t="str">
        <f>IF(ISNUMBER('Model_ of_individuals'!AJ387), 'Model_ of_individuals'!AJ387*'Model_ of_individuals'!$K387,"")</f>
        <v/>
      </c>
      <c r="AK373" s="93" t="str">
        <f>IF(ISNUMBER('Model_ of_individuals'!AK387), 'Model_ of_individuals'!AK387*'Model_ of_individuals'!$K387,"")</f>
        <v/>
      </c>
      <c r="AL373" s="93" t="str">
        <f>IF(ISNUMBER('Model_ of_individuals'!AL387), 'Model_ of_individuals'!AL387*'Model_ of_individuals'!$K387,"")</f>
        <v/>
      </c>
      <c r="AM373" s="93" t="str">
        <f>IF(ISNUMBER('Model_ of_individuals'!AM387), 'Model_ of_individuals'!AM387*'Model_ of_individuals'!$K387,"")</f>
        <v/>
      </c>
      <c r="AN373" s="93" t="str">
        <f>IF(ISNUMBER('Model_ of_individuals'!AN387), 'Model_ of_individuals'!AN387*'Model_ of_individuals'!$K387,"")</f>
        <v/>
      </c>
      <c r="AO373" s="93" t="str">
        <f>IF(ISNUMBER('Model_ of_individuals'!AO387), 'Model_ of_individuals'!AO387*'Model_ of_individuals'!$K387,"")</f>
        <v/>
      </c>
      <c r="AP373" s="93" t="str">
        <f>IF(ISNUMBER('Model_ of_individuals'!AP387), 'Model_ of_individuals'!AP387*'Model_ of_individuals'!$K387,"")</f>
        <v/>
      </c>
      <c r="AQ373" s="93" t="str">
        <f>IF(ISNUMBER('Model_ of_individuals'!AQ387), 'Model_ of_individuals'!AQ387*'Model_ of_individuals'!$K387,"")</f>
        <v/>
      </c>
      <c r="AR373" s="93" t="str">
        <f>IF(ISNUMBER('Model_ of_individuals'!AR387), 'Model_ of_individuals'!AR387*'Model_ of_individuals'!$K387,"")</f>
        <v/>
      </c>
      <c r="AS373" s="93" t="str">
        <f>IF(ISNUMBER('Model_ of_individuals'!AS387), 'Model_ of_individuals'!AS387*'Model_ of_individuals'!$K387,"")</f>
        <v/>
      </c>
    </row>
    <row r="374" spans="1:46" x14ac:dyDescent="0.25">
      <c r="A374" s="518"/>
      <c r="B374" s="504"/>
      <c r="C374" s="104" t="str">
        <f>IF(AND(ISNUMBER(B356), C367&lt;&gt;"", OR('Cost Inputs'!$H$123&lt;&gt;"", 'Cost Inputs'!$I$123&lt;&gt;"", 'Cost Inputs'!$J$123&lt;&gt;"")), _4_5_3, "")</f>
        <v/>
      </c>
      <c r="D374" s="17" t="str">
        <f>IF(AND(C374&lt;&gt;"", 'Cost Inputs'!$G$123&lt;&gt;""), 'Cost Inputs'!$G$123, "")</f>
        <v/>
      </c>
      <c r="E374" s="17" t="str">
        <f>IF(AND(C374&lt;&gt;"", 'Cost Inputs'!$H$123&lt;&gt;""), 'Cost Inputs'!$H$123, "")</f>
        <v/>
      </c>
      <c r="F374" s="17" t="str">
        <f>IF(AND(C374&lt;&gt;"", 'Cost Inputs'!$I$123&lt;&gt;""), 'Cost Inputs'!$I$123, "")</f>
        <v/>
      </c>
      <c r="G374" s="105" t="str">
        <f t="shared" si="25"/>
        <v/>
      </c>
      <c r="H374" s="17" t="str">
        <f>IF(AND(C374&lt;&gt;"", 'Cost Inputs'!$J$123&lt;&gt;""), 'Cost Inputs'!$J$123, "")</f>
        <v/>
      </c>
      <c r="I374" s="17" t="str">
        <f>IF($C374&lt;&gt;"", IF(AND($E374&lt;&gt;"", H374&lt;&gt;""), H374/$E374, 0),"")</f>
        <v/>
      </c>
      <c r="J374" s="17" t="str">
        <f>IF(AND(C374&lt;&gt;"",('Cost Inputs'!$I$123+'Cost Inputs'!$J$123+'Cost Inputs'!$K$123)&gt;0), 'Cost Inputs'!$I$123+'Cost Inputs'!$J$123+'Cost Inputs'!$K$123, "")</f>
        <v/>
      </c>
      <c r="K374" s="17" t="str">
        <f>IF($C374&lt;&gt;"", IF(AND($E374&lt;&gt;"", J374&lt;&gt;""), J374/$E374, 0),"")</f>
        <v/>
      </c>
      <c r="L374" s="525"/>
      <c r="M374" s="525"/>
      <c r="R374" s="17" t="str">
        <f>IF(ISNUMBER('Model_ of_individuals'!R388), 'Model_ of_individuals'!R388*'Model_ of_individuals'!$K388,"")</f>
        <v/>
      </c>
      <c r="S374" s="17" t="str">
        <f>IF(ISNUMBER('Model_ of_individuals'!S388), 'Model_ of_individuals'!S388*'Model_ of_individuals'!$K388,"")</f>
        <v/>
      </c>
      <c r="T374" s="17" t="str">
        <f>IF(ISNUMBER('Model_ of_individuals'!T388), 'Model_ of_individuals'!T388*'Model_ of_individuals'!$K388,"")</f>
        <v/>
      </c>
      <c r="U374" s="17" t="str">
        <f>IF(ISNUMBER('Model_ of_individuals'!U388), 'Model_ of_individuals'!U388*'Model_ of_individuals'!$K388,"")</f>
        <v/>
      </c>
      <c r="V374" s="17" t="str">
        <f>IF(ISNUMBER('Model_ of_individuals'!V388), 'Model_ of_individuals'!V388*'Model_ of_individuals'!$K388,"")</f>
        <v/>
      </c>
      <c r="W374" s="17" t="str">
        <f>IF(ISNUMBER('Model_ of_individuals'!W388), 'Model_ of_individuals'!W388*'Model_ of_individuals'!$K388,"")</f>
        <v/>
      </c>
      <c r="X374" s="17" t="str">
        <f>IF(ISNUMBER('Model_ of_individuals'!X388), 'Model_ of_individuals'!X388*'Model_ of_individuals'!$K388,"")</f>
        <v/>
      </c>
      <c r="Y374" s="17" t="str">
        <f>IF(ISNUMBER('Model_ of_individuals'!Y388), 'Model_ of_individuals'!Y388*'Model_ of_individuals'!$K388,"")</f>
        <v/>
      </c>
      <c r="Z374" s="17" t="str">
        <f>IF(ISNUMBER('Model_ of_individuals'!Z388), 'Model_ of_individuals'!Z388*'Model_ of_individuals'!$K388,"")</f>
        <v/>
      </c>
      <c r="AA374" s="17" t="str">
        <f>IF(ISNUMBER('Model_ of_individuals'!AA388), 'Model_ of_individuals'!AA388*'Model_ of_individuals'!$K388,"")</f>
        <v/>
      </c>
      <c r="AB374" s="17" t="str">
        <f>IF(ISNUMBER('Model_ of_individuals'!AB388), 'Model_ of_individuals'!AB388*'Model_ of_individuals'!$K388,"")</f>
        <v/>
      </c>
      <c r="AC374" s="17" t="str">
        <f>IF(ISNUMBER('Model_ of_individuals'!AC388), 'Model_ of_individuals'!AC388*'Model_ of_individuals'!$K388,"")</f>
        <v/>
      </c>
      <c r="AD374" s="17" t="str">
        <f>IF(ISNUMBER('Model_ of_individuals'!AD388), 'Model_ of_individuals'!AD388*'Model_ of_individuals'!$K388,"")</f>
        <v/>
      </c>
      <c r="AE374" s="17" t="str">
        <f>IF(ISNUMBER('Model_ of_individuals'!AE388), 'Model_ of_individuals'!AE388*'Model_ of_individuals'!$K388,"")</f>
        <v/>
      </c>
      <c r="AF374" s="17" t="str">
        <f>IF(ISNUMBER('Model_ of_individuals'!AF388), 'Model_ of_individuals'!AF388*'Model_ of_individuals'!$K388,"")</f>
        <v/>
      </c>
      <c r="AG374" s="17" t="str">
        <f>IF(ISNUMBER('Model_ of_individuals'!AG388), 'Model_ of_individuals'!AG388*'Model_ of_individuals'!$K388,"")</f>
        <v/>
      </c>
      <c r="AH374" s="17" t="str">
        <f>IF(ISNUMBER('Model_ of_individuals'!AH388), 'Model_ of_individuals'!AH388*'Model_ of_individuals'!$K388,"")</f>
        <v/>
      </c>
      <c r="AI374" s="17" t="str">
        <f>IF(ISNUMBER('Model_ of_individuals'!AI388), 'Model_ of_individuals'!AI388*'Model_ of_individuals'!$K388,"")</f>
        <v/>
      </c>
      <c r="AJ374" s="17" t="str">
        <f>IF(ISNUMBER('Model_ of_individuals'!AJ388), 'Model_ of_individuals'!AJ388*'Model_ of_individuals'!$K388,"")</f>
        <v/>
      </c>
      <c r="AK374" s="17" t="str">
        <f>IF(ISNUMBER('Model_ of_individuals'!AK388), 'Model_ of_individuals'!AK388*'Model_ of_individuals'!$K388,"")</f>
        <v/>
      </c>
      <c r="AL374" s="17" t="str">
        <f>IF(ISNUMBER('Model_ of_individuals'!AL388), 'Model_ of_individuals'!AL388*'Model_ of_individuals'!$K388,"")</f>
        <v/>
      </c>
      <c r="AM374" s="17" t="str">
        <f>IF(ISNUMBER('Model_ of_individuals'!AM388), 'Model_ of_individuals'!AM388*'Model_ of_individuals'!$K388,"")</f>
        <v/>
      </c>
      <c r="AN374" s="17" t="str">
        <f>IF(ISNUMBER('Model_ of_individuals'!AN388), 'Model_ of_individuals'!AN388*'Model_ of_individuals'!$K388,"")</f>
        <v/>
      </c>
      <c r="AO374" s="17" t="str">
        <f>IF(ISNUMBER('Model_ of_individuals'!AO388), 'Model_ of_individuals'!AO388*'Model_ of_individuals'!$K388,"")</f>
        <v/>
      </c>
      <c r="AP374" s="17" t="str">
        <f>IF(ISNUMBER('Model_ of_individuals'!AP388), 'Model_ of_individuals'!AP388*'Model_ of_individuals'!$K388,"")</f>
        <v/>
      </c>
      <c r="AQ374" s="17" t="str">
        <f>IF(ISNUMBER('Model_ of_individuals'!AQ388), 'Model_ of_individuals'!AQ388*'Model_ of_individuals'!$K388,"")</f>
        <v/>
      </c>
      <c r="AR374" s="17" t="str">
        <f>IF(ISNUMBER('Model_ of_individuals'!AR388), 'Model_ of_individuals'!AR388*'Model_ of_individuals'!$K388,"")</f>
        <v/>
      </c>
      <c r="AS374" s="17" t="str">
        <f>IF(ISNUMBER('Model_ of_individuals'!AS388), 'Model_ of_individuals'!AS388*'Model_ of_individuals'!$K388,"")</f>
        <v/>
      </c>
    </row>
    <row r="375" spans="1:46" x14ac:dyDescent="0.25">
      <c r="A375" s="518"/>
      <c r="B375" s="504"/>
      <c r="C375" s="110" t="str">
        <f>IF(ISNUMBER(B356), _4_6_0, "")</f>
        <v/>
      </c>
      <c r="D375" s="94" t="str">
        <f>IF(AND(C375&lt;&gt;"", 'Cost Inputs'!$G$124&lt;&gt;""), 'Cost Inputs'!$G$124, "")</f>
        <v/>
      </c>
      <c r="E375" s="94" t="str">
        <f>IF(AND(C375&lt;&gt;"", 'Cost Inputs'!$H$124&lt;&gt;""), 'Cost Inputs'!$H$124, "")</f>
        <v/>
      </c>
      <c r="F375" s="94" t="str">
        <f>IF(AND(C375&lt;&gt;"", 'Cost Inputs'!$I$124&lt;&gt;""), 'Cost Inputs'!$I$124, "")</f>
        <v/>
      </c>
      <c r="G375" s="102" t="str">
        <f t="shared" si="25"/>
        <v/>
      </c>
      <c r="H375" s="94" t="str">
        <f>IF(AND(C375&lt;&gt;"", 'Cost Inputs'!$J$124&lt;&gt;""), 'Cost Inputs'!$J$124, "")</f>
        <v/>
      </c>
      <c r="I375" s="102" t="str">
        <f>IF($C375&lt;&gt;"",IF(AND($E375&lt;&gt;"",H375&lt;&gt;""), H375/$E375, 0),"")</f>
        <v/>
      </c>
      <c r="J375" s="94" t="str">
        <f>IF(AND(C375&lt;&gt;"",('Cost Inputs'!$I$124+'Cost Inputs'!$J$124+'Cost Inputs'!$K$124)&gt;0), 'Cost Inputs'!$I$124+'Cost Inputs'!$J$124+'Cost Inputs'!$K$124, "")</f>
        <v/>
      </c>
      <c r="K375" s="102" t="str">
        <f>IF($C375&lt;&gt;"",IF(AND($E375&lt;&gt;"",J375&lt;&gt;""), J375/$E375, 0),"")</f>
        <v/>
      </c>
      <c r="L375" s="525"/>
      <c r="M375" s="525"/>
      <c r="R375" s="102" t="str">
        <f>IF(ISNUMBER('Model_ of_individuals'!R389), 'Model_ of_individuals'!R389*'Model_ of_individuals'!$K389,"")</f>
        <v/>
      </c>
      <c r="S375" s="102" t="str">
        <f>IF(ISNUMBER('Model_ of_individuals'!S389), 'Model_ of_individuals'!S389*'Model_ of_individuals'!$K389,"")</f>
        <v/>
      </c>
      <c r="T375" s="102" t="str">
        <f>IF(ISNUMBER('Model_ of_individuals'!T389), 'Model_ of_individuals'!T389*'Model_ of_individuals'!$K389,"")</f>
        <v/>
      </c>
      <c r="U375" s="102" t="str">
        <f>IF(ISNUMBER('Model_ of_individuals'!U389), 'Model_ of_individuals'!U389*'Model_ of_individuals'!$K389,"")</f>
        <v/>
      </c>
      <c r="V375" s="102" t="str">
        <f>IF(ISNUMBER('Model_ of_individuals'!V389), 'Model_ of_individuals'!V389*'Model_ of_individuals'!$K389,"")</f>
        <v/>
      </c>
      <c r="W375" s="102" t="str">
        <f>IF(ISNUMBER('Model_ of_individuals'!W389), 'Model_ of_individuals'!W389*'Model_ of_individuals'!$K389,"")</f>
        <v/>
      </c>
      <c r="X375" s="102" t="str">
        <f>IF(ISNUMBER('Model_ of_individuals'!X389), 'Model_ of_individuals'!X389*'Model_ of_individuals'!$K389,"")</f>
        <v/>
      </c>
      <c r="Y375" s="102" t="str">
        <f>IF(ISNUMBER('Model_ of_individuals'!Y389), 'Model_ of_individuals'!Y389*'Model_ of_individuals'!$K389,"")</f>
        <v/>
      </c>
      <c r="Z375" s="102" t="str">
        <f>IF(ISNUMBER('Model_ of_individuals'!Z389), 'Model_ of_individuals'!Z389*'Model_ of_individuals'!$K389,"")</f>
        <v/>
      </c>
      <c r="AA375" s="102" t="str">
        <f>IF(ISNUMBER('Model_ of_individuals'!AA389), 'Model_ of_individuals'!AA389*'Model_ of_individuals'!$K389,"")</f>
        <v/>
      </c>
      <c r="AB375" s="102" t="str">
        <f>IF(ISNUMBER('Model_ of_individuals'!AB389), 'Model_ of_individuals'!AB389*'Model_ of_individuals'!$K389,"")</f>
        <v/>
      </c>
      <c r="AC375" s="102" t="str">
        <f>IF(ISNUMBER('Model_ of_individuals'!AC389), 'Model_ of_individuals'!AC389*'Model_ of_individuals'!$K389,"")</f>
        <v/>
      </c>
      <c r="AD375" s="102" t="str">
        <f>IF(ISNUMBER('Model_ of_individuals'!AD389), 'Model_ of_individuals'!AD389*'Model_ of_individuals'!$K389,"")</f>
        <v/>
      </c>
      <c r="AE375" s="102" t="str">
        <f>IF(ISNUMBER('Model_ of_individuals'!AE389), 'Model_ of_individuals'!AE389*'Model_ of_individuals'!$K389,"")</f>
        <v/>
      </c>
      <c r="AF375" s="102" t="str">
        <f>IF(ISNUMBER('Model_ of_individuals'!AF389), 'Model_ of_individuals'!AF389*'Model_ of_individuals'!$K389,"")</f>
        <v/>
      </c>
      <c r="AG375" s="102" t="str">
        <f>IF(ISNUMBER('Model_ of_individuals'!AG389), 'Model_ of_individuals'!AG389*'Model_ of_individuals'!$K389,"")</f>
        <v/>
      </c>
      <c r="AH375" s="102" t="str">
        <f>IF(ISNUMBER('Model_ of_individuals'!AH389), 'Model_ of_individuals'!AH389*'Model_ of_individuals'!$K389,"")</f>
        <v/>
      </c>
      <c r="AI375" s="102" t="str">
        <f>IF(ISNUMBER('Model_ of_individuals'!AI389), 'Model_ of_individuals'!AI389*'Model_ of_individuals'!$K389,"")</f>
        <v/>
      </c>
      <c r="AJ375" s="102" t="str">
        <f>IF(ISNUMBER('Model_ of_individuals'!AJ389), 'Model_ of_individuals'!AJ389*'Model_ of_individuals'!$K389,"")</f>
        <v/>
      </c>
      <c r="AK375" s="102" t="str">
        <f>IF(ISNUMBER('Model_ of_individuals'!AK389), 'Model_ of_individuals'!AK389*'Model_ of_individuals'!$K389,"")</f>
        <v/>
      </c>
      <c r="AL375" s="102" t="str">
        <f>IF(ISNUMBER('Model_ of_individuals'!AL389), 'Model_ of_individuals'!AL389*'Model_ of_individuals'!$K389,"")</f>
        <v/>
      </c>
      <c r="AM375" s="102" t="str">
        <f>IF(ISNUMBER('Model_ of_individuals'!AM389), 'Model_ of_individuals'!AM389*'Model_ of_individuals'!$K389,"")</f>
        <v/>
      </c>
      <c r="AN375" s="102" t="str">
        <f>IF(ISNUMBER('Model_ of_individuals'!AN389), 'Model_ of_individuals'!AN389*'Model_ of_individuals'!$K389,"")</f>
        <v/>
      </c>
      <c r="AO375" s="102" t="str">
        <f>IF(ISNUMBER('Model_ of_individuals'!AO389), 'Model_ of_individuals'!AO389*'Model_ of_individuals'!$K389,"")</f>
        <v/>
      </c>
      <c r="AP375" s="102" t="str">
        <f>IF(ISNUMBER('Model_ of_individuals'!AP389), 'Model_ of_individuals'!AP389*'Model_ of_individuals'!$K389,"")</f>
        <v/>
      </c>
      <c r="AQ375" s="102" t="str">
        <f>IF(ISNUMBER('Model_ of_individuals'!AQ389), 'Model_ of_individuals'!AQ389*'Model_ of_individuals'!$K389,"")</f>
        <v/>
      </c>
      <c r="AR375" s="102" t="str">
        <f>IF(ISNUMBER('Model_ of_individuals'!AR389), 'Model_ of_individuals'!AR389*'Model_ of_individuals'!$K389,"")</f>
        <v/>
      </c>
      <c r="AS375" s="102" t="str">
        <f>IF(ISNUMBER('Model_ of_individuals'!AS389), 'Model_ of_individuals'!AS389*'Model_ of_individuals'!$K389,"")</f>
        <v/>
      </c>
    </row>
    <row r="376" spans="1:46" x14ac:dyDescent="0.25">
      <c r="A376" s="518"/>
      <c r="B376" s="504"/>
      <c r="C376" s="104" t="str">
        <f>IF(AND(ISNUMBER(B356), OR('Cost Inputs'!$H$125&lt;&gt;"", 'Cost Inputs'!$I$125&lt;&gt;"", 'Cost Inputs'!$J$125&lt;&gt;"")), _4_5_3, "")</f>
        <v/>
      </c>
      <c r="D376" s="17" t="str">
        <f>IF(AND(C376&lt;&gt;"", 'Cost Inputs'!$G$125&lt;&gt;""), 'Cost Inputs'!$G$125, "")</f>
        <v/>
      </c>
      <c r="E376" s="17" t="str">
        <f>IF(AND(C376&lt;&gt;"", 'Cost Inputs'!$H$125&lt;&gt;""), 'Cost Inputs'!$H$125, "")</f>
        <v/>
      </c>
      <c r="F376" s="17" t="str">
        <f>IF(AND(C376&lt;&gt;"", 'Cost Inputs'!$I$125&lt;&gt;""), 'Cost Inputs'!$I$125, "")</f>
        <v/>
      </c>
      <c r="G376" s="105" t="str">
        <f t="shared" si="25"/>
        <v/>
      </c>
      <c r="H376" s="17" t="str">
        <f>IF(AND(C376&lt;&gt;"", 'Cost Inputs'!$J$125&lt;&gt;""), 'Cost Inputs'!$J$125, "")</f>
        <v/>
      </c>
      <c r="I376" s="17" t="str">
        <f>IF($C376&lt;&gt;"", IF(AND($E376&lt;&gt;"", H376&lt;&gt;""), H376/$E376, 0),"")</f>
        <v/>
      </c>
      <c r="J376" s="17" t="str">
        <f>IF(AND(C376&lt;&gt;"",('Cost Inputs'!$I$125+'Cost Inputs'!$J$125+'Cost Inputs'!$K$125)&gt;0), 'Cost Inputs'!$I$125+'Cost Inputs'!$J$125+'Cost Inputs'!$K$125, "")</f>
        <v/>
      </c>
      <c r="K376" s="17" t="str">
        <f>IF($C376&lt;&gt;"", IF(AND($E376&lt;&gt;"", J376&lt;&gt;""), J376/$E376, 0),"")</f>
        <v/>
      </c>
      <c r="L376" s="525"/>
      <c r="M376" s="525"/>
      <c r="R376" s="17" t="str">
        <f>IF(ISNUMBER('Model_ of_individuals'!R390), 'Model_ of_individuals'!R390*'Model_ of_individuals'!$K390,"")</f>
        <v/>
      </c>
      <c r="S376" s="17" t="str">
        <f>IF(ISNUMBER('Model_ of_individuals'!S390), 'Model_ of_individuals'!S390*'Model_ of_individuals'!$K390,"")</f>
        <v/>
      </c>
      <c r="T376" s="17" t="str">
        <f>IF(ISNUMBER('Model_ of_individuals'!T390), 'Model_ of_individuals'!T390*'Model_ of_individuals'!$K390,"")</f>
        <v/>
      </c>
      <c r="U376" s="17" t="str">
        <f>IF(ISNUMBER('Model_ of_individuals'!U390), 'Model_ of_individuals'!U390*'Model_ of_individuals'!$K390,"")</f>
        <v/>
      </c>
      <c r="V376" s="17" t="str">
        <f>IF(ISNUMBER('Model_ of_individuals'!V390), 'Model_ of_individuals'!V390*'Model_ of_individuals'!$K390,"")</f>
        <v/>
      </c>
      <c r="W376" s="17" t="str">
        <f>IF(ISNUMBER('Model_ of_individuals'!W390), 'Model_ of_individuals'!W390*'Model_ of_individuals'!$K390,"")</f>
        <v/>
      </c>
      <c r="X376" s="17" t="str">
        <f>IF(ISNUMBER('Model_ of_individuals'!X390), 'Model_ of_individuals'!X390*'Model_ of_individuals'!$K390,"")</f>
        <v/>
      </c>
      <c r="Y376" s="17" t="str">
        <f>IF(ISNUMBER('Model_ of_individuals'!Y390), 'Model_ of_individuals'!Y390*'Model_ of_individuals'!$K390,"")</f>
        <v/>
      </c>
      <c r="Z376" s="17" t="str">
        <f>IF(ISNUMBER('Model_ of_individuals'!Z390), 'Model_ of_individuals'!Z390*'Model_ of_individuals'!$K390,"")</f>
        <v/>
      </c>
      <c r="AA376" s="17" t="str">
        <f>IF(ISNUMBER('Model_ of_individuals'!AA390), 'Model_ of_individuals'!AA390*'Model_ of_individuals'!$K390,"")</f>
        <v/>
      </c>
      <c r="AB376" s="17" t="str">
        <f>IF(ISNUMBER('Model_ of_individuals'!AB390), 'Model_ of_individuals'!AB390*'Model_ of_individuals'!$K390,"")</f>
        <v/>
      </c>
      <c r="AC376" s="17" t="str">
        <f>IF(ISNUMBER('Model_ of_individuals'!AC390), 'Model_ of_individuals'!AC390*'Model_ of_individuals'!$K390,"")</f>
        <v/>
      </c>
      <c r="AD376" s="17" t="str">
        <f>IF(ISNUMBER('Model_ of_individuals'!AD390), 'Model_ of_individuals'!AD390*'Model_ of_individuals'!$K390,"")</f>
        <v/>
      </c>
      <c r="AE376" s="17" t="str">
        <f>IF(ISNUMBER('Model_ of_individuals'!AE390), 'Model_ of_individuals'!AE390*'Model_ of_individuals'!$K390,"")</f>
        <v/>
      </c>
      <c r="AF376" s="17" t="str">
        <f>IF(ISNUMBER('Model_ of_individuals'!AF390), 'Model_ of_individuals'!AF390*'Model_ of_individuals'!$K390,"")</f>
        <v/>
      </c>
      <c r="AG376" s="17" t="str">
        <f>IF(ISNUMBER('Model_ of_individuals'!AG390), 'Model_ of_individuals'!AG390*'Model_ of_individuals'!$K390,"")</f>
        <v/>
      </c>
      <c r="AH376" s="17" t="str">
        <f>IF(ISNUMBER('Model_ of_individuals'!AH390), 'Model_ of_individuals'!AH390*'Model_ of_individuals'!$K390,"")</f>
        <v/>
      </c>
      <c r="AI376" s="17" t="str">
        <f>IF(ISNUMBER('Model_ of_individuals'!AI390), 'Model_ of_individuals'!AI390*'Model_ of_individuals'!$K390,"")</f>
        <v/>
      </c>
      <c r="AJ376" s="17" t="str">
        <f>IF(ISNUMBER('Model_ of_individuals'!AJ390), 'Model_ of_individuals'!AJ390*'Model_ of_individuals'!$K390,"")</f>
        <v/>
      </c>
      <c r="AK376" s="17" t="str">
        <f>IF(ISNUMBER('Model_ of_individuals'!AK390), 'Model_ of_individuals'!AK390*'Model_ of_individuals'!$K390,"")</f>
        <v/>
      </c>
      <c r="AL376" s="17" t="str">
        <f>IF(ISNUMBER('Model_ of_individuals'!AL390), 'Model_ of_individuals'!AL390*'Model_ of_individuals'!$K390,"")</f>
        <v/>
      </c>
      <c r="AM376" s="17" t="str">
        <f>IF(ISNUMBER('Model_ of_individuals'!AM390), 'Model_ of_individuals'!AM390*'Model_ of_individuals'!$K390,"")</f>
        <v/>
      </c>
      <c r="AN376" s="17" t="str">
        <f>IF(ISNUMBER('Model_ of_individuals'!AN390), 'Model_ of_individuals'!AN390*'Model_ of_individuals'!$K390,"")</f>
        <v/>
      </c>
      <c r="AO376" s="17" t="str">
        <f>IF(ISNUMBER('Model_ of_individuals'!AO390), 'Model_ of_individuals'!AO390*'Model_ of_individuals'!$K390,"")</f>
        <v/>
      </c>
      <c r="AP376" s="17" t="str">
        <f>IF(ISNUMBER('Model_ of_individuals'!AP390), 'Model_ of_individuals'!AP390*'Model_ of_individuals'!$K390,"")</f>
        <v/>
      </c>
      <c r="AQ376" s="17" t="str">
        <f>IF(ISNUMBER('Model_ of_individuals'!AQ390), 'Model_ of_individuals'!AQ390*'Model_ of_individuals'!$K390,"")</f>
        <v/>
      </c>
      <c r="AR376" s="17" t="str">
        <f>IF(ISNUMBER('Model_ of_individuals'!AR390), 'Model_ of_individuals'!AR390*'Model_ of_individuals'!$K390,"")</f>
        <v/>
      </c>
      <c r="AS376" s="17" t="str">
        <f>IF(ISNUMBER('Model_ of_individuals'!AS390), 'Model_ of_individuals'!AS390*'Model_ of_individuals'!$K390,"")</f>
        <v/>
      </c>
    </row>
    <row r="377" spans="1:46" ht="15.75" thickBot="1" x14ac:dyDescent="0.3">
      <c r="A377" s="518"/>
      <c r="B377" s="504"/>
      <c r="C377" s="107" t="str">
        <f>IF(AND(ISNUMBER(B356), OR('Cost Inputs'!$H$126&lt;&gt;"", 'Cost Inputs'!$I$126&lt;&gt;"", 'Cost Inputs'!$J$126&lt;&gt;"")), _4_5_2, "")</f>
        <v/>
      </c>
      <c r="D377" s="93" t="str">
        <f>IF(AND(C377&lt;&gt;"", 'Cost Inputs'!$G$126&lt;&gt;""), 'Cost Inputs'!$G$126, "")</f>
        <v/>
      </c>
      <c r="E377" s="93" t="str">
        <f>IF(AND(C377&lt;&gt;"", 'Cost Inputs'!$H$126&lt;&gt;""), 'Cost Inputs'!$H$126, "")</f>
        <v/>
      </c>
      <c r="F377" s="93" t="str">
        <f>IF(AND(C377&lt;&gt;"", 'Cost Inputs'!$I$126&lt;&gt;""), 'Cost Inputs'!$I$126, "")</f>
        <v/>
      </c>
      <c r="G377" s="108" t="str">
        <f t="shared" si="25"/>
        <v/>
      </c>
      <c r="H377" s="93" t="str">
        <f>IF(AND(C377&lt;&gt;"", 'Cost Inputs'!$J$126&lt;&gt;""), 'Cost Inputs'!$J$126, "")</f>
        <v/>
      </c>
      <c r="I377" s="93" t="str">
        <f>IF($C377&lt;&gt;"", IF(AND($E377&lt;&gt;"", H377&lt;&gt;""), H377/$E377, 0),"")</f>
        <v/>
      </c>
      <c r="J377" s="93" t="str">
        <f>IF(AND(C377&lt;&gt;"",('Cost Inputs'!$I$126+'Cost Inputs'!$J$126+'Cost Inputs'!$K$126)&gt;0), 'Cost Inputs'!$I$126+'Cost Inputs'!$J$126+'Cost Inputs'!$K$126, "")</f>
        <v/>
      </c>
      <c r="K377" s="93" t="str">
        <f>IF($C377&lt;&gt;"", IF(AND($E377&lt;&gt;"", J377&lt;&gt;""), J377/$E377, 0),"")</f>
        <v/>
      </c>
      <c r="L377" s="525"/>
      <c r="M377" s="525"/>
      <c r="R377" s="95" t="str">
        <f>IF(ISNUMBER('Model_ of_individuals'!R391), 'Model_ of_individuals'!R391*'Model_ of_individuals'!$K391,"")</f>
        <v/>
      </c>
      <c r="S377" s="95" t="str">
        <f>IF(ISNUMBER('Model_ of_individuals'!S391), 'Model_ of_individuals'!S391*'Model_ of_individuals'!$K391,"")</f>
        <v/>
      </c>
      <c r="T377" s="95" t="str">
        <f>IF(ISNUMBER('Model_ of_individuals'!T391), 'Model_ of_individuals'!T391*'Model_ of_individuals'!$K391,"")</f>
        <v/>
      </c>
      <c r="U377" s="95" t="str">
        <f>IF(ISNUMBER('Model_ of_individuals'!U391), 'Model_ of_individuals'!U391*'Model_ of_individuals'!$K391,"")</f>
        <v/>
      </c>
      <c r="V377" s="95" t="str">
        <f>IF(ISNUMBER('Model_ of_individuals'!V391), 'Model_ of_individuals'!V391*'Model_ of_individuals'!$K391,"")</f>
        <v/>
      </c>
      <c r="W377" s="95" t="str">
        <f>IF(ISNUMBER('Model_ of_individuals'!W391), 'Model_ of_individuals'!W391*'Model_ of_individuals'!$K391,"")</f>
        <v/>
      </c>
      <c r="X377" s="95" t="str">
        <f>IF(ISNUMBER('Model_ of_individuals'!X391), 'Model_ of_individuals'!X391*'Model_ of_individuals'!$K391,"")</f>
        <v/>
      </c>
      <c r="Y377" s="95" t="str">
        <f>IF(ISNUMBER('Model_ of_individuals'!Y391), 'Model_ of_individuals'!Y391*'Model_ of_individuals'!$K391,"")</f>
        <v/>
      </c>
      <c r="Z377" s="95" t="str">
        <f>IF(ISNUMBER('Model_ of_individuals'!Z391), 'Model_ of_individuals'!Z391*'Model_ of_individuals'!$K391,"")</f>
        <v/>
      </c>
      <c r="AA377" s="95" t="str">
        <f>IF(ISNUMBER('Model_ of_individuals'!AA391), 'Model_ of_individuals'!AA391*'Model_ of_individuals'!$K391,"")</f>
        <v/>
      </c>
      <c r="AB377" s="95" t="str">
        <f>IF(ISNUMBER('Model_ of_individuals'!AB391), 'Model_ of_individuals'!AB391*'Model_ of_individuals'!$K391,"")</f>
        <v/>
      </c>
      <c r="AC377" s="95" t="str">
        <f>IF(ISNUMBER('Model_ of_individuals'!AC391), 'Model_ of_individuals'!AC391*'Model_ of_individuals'!$K391,"")</f>
        <v/>
      </c>
      <c r="AD377" s="95" t="str">
        <f>IF(ISNUMBER('Model_ of_individuals'!AD391), 'Model_ of_individuals'!AD391*'Model_ of_individuals'!$K391,"")</f>
        <v/>
      </c>
      <c r="AE377" s="95" t="str">
        <f>IF(ISNUMBER('Model_ of_individuals'!AE391), 'Model_ of_individuals'!AE391*'Model_ of_individuals'!$K391,"")</f>
        <v/>
      </c>
      <c r="AF377" s="95" t="str">
        <f>IF(ISNUMBER('Model_ of_individuals'!AF391), 'Model_ of_individuals'!AF391*'Model_ of_individuals'!$K391,"")</f>
        <v/>
      </c>
      <c r="AG377" s="95" t="str">
        <f>IF(ISNUMBER('Model_ of_individuals'!AG391), 'Model_ of_individuals'!AG391*'Model_ of_individuals'!$K391,"")</f>
        <v/>
      </c>
      <c r="AH377" s="95" t="str">
        <f>IF(ISNUMBER('Model_ of_individuals'!AH391), 'Model_ of_individuals'!AH391*'Model_ of_individuals'!$K391,"")</f>
        <v/>
      </c>
      <c r="AI377" s="95" t="str">
        <f>IF(ISNUMBER('Model_ of_individuals'!AI391), 'Model_ of_individuals'!AI391*'Model_ of_individuals'!$K391,"")</f>
        <v/>
      </c>
      <c r="AJ377" s="95" t="str">
        <f>IF(ISNUMBER('Model_ of_individuals'!AJ391), 'Model_ of_individuals'!AJ391*'Model_ of_individuals'!$K391,"")</f>
        <v/>
      </c>
      <c r="AK377" s="95" t="str">
        <f>IF(ISNUMBER('Model_ of_individuals'!AK391), 'Model_ of_individuals'!AK391*'Model_ of_individuals'!$K391,"")</f>
        <v/>
      </c>
      <c r="AL377" s="95" t="str">
        <f>IF(ISNUMBER('Model_ of_individuals'!AL391), 'Model_ of_individuals'!AL391*'Model_ of_individuals'!$K391,"")</f>
        <v/>
      </c>
      <c r="AM377" s="95" t="str">
        <f>IF(ISNUMBER('Model_ of_individuals'!AM391), 'Model_ of_individuals'!AM391*'Model_ of_individuals'!$K391,"")</f>
        <v/>
      </c>
      <c r="AN377" s="95" t="str">
        <f>IF(ISNUMBER('Model_ of_individuals'!AN391), 'Model_ of_individuals'!AN391*'Model_ of_individuals'!$K391,"")</f>
        <v/>
      </c>
      <c r="AO377" s="95" t="str">
        <f>IF(ISNUMBER('Model_ of_individuals'!AO391), 'Model_ of_individuals'!AO391*'Model_ of_individuals'!$K391,"")</f>
        <v/>
      </c>
      <c r="AP377" s="95" t="str">
        <f>IF(ISNUMBER('Model_ of_individuals'!AP391), 'Model_ of_individuals'!AP391*'Model_ of_individuals'!$K391,"")</f>
        <v/>
      </c>
      <c r="AQ377" s="95" t="str">
        <f>IF(ISNUMBER('Model_ of_individuals'!AQ391), 'Model_ of_individuals'!AQ391*'Model_ of_individuals'!$K391,"")</f>
        <v/>
      </c>
      <c r="AR377" s="95" t="str">
        <f>IF(ISNUMBER('Model_ of_individuals'!AR391), 'Model_ of_individuals'!AR391*'Model_ of_individuals'!$K391,"")</f>
        <v/>
      </c>
      <c r="AS377" s="95" t="str">
        <f>IF(ISNUMBER('Model_ of_individuals'!AS391), 'Model_ of_individuals'!AS391*'Model_ of_individuals'!$K391,"")</f>
        <v/>
      </c>
    </row>
    <row r="378" spans="1:46" ht="6.6" customHeight="1" thickBot="1" x14ac:dyDescent="0.3">
      <c r="A378" s="213"/>
      <c r="B378" s="282"/>
      <c r="C378" s="283"/>
      <c r="D378" s="114"/>
      <c r="E378" s="114"/>
      <c r="F378" s="114"/>
      <c r="G378" s="284"/>
      <c r="H378" s="114"/>
      <c r="I378" s="114"/>
      <c r="J378" s="114"/>
      <c r="K378" s="114"/>
      <c r="L378" s="285"/>
      <c r="M378" s="285"/>
      <c r="N378" s="99"/>
      <c r="O378" s="99"/>
      <c r="P378" s="99"/>
      <c r="Q378" s="286"/>
      <c r="R378" s="270" t="str">
        <f>IF(ISNUMBER($B$356),
IF(AND(ISNUMBER(Q$355), Q$355&gt;0),
IF(AND(R$269=123, Cultivar_1_Cohort_Year_Selection=$O$268,Cultivar_2_Cohort_Year_Selection=$O$268,Cultivar_3_Cohort_Year_Selection=$O$268), ROUND(MAX(0,(Q$355-('Stage 2 Randomized Selection'!G$2*$M356)) - 3),0),
IF(AND(OR(R$269=123, R$269=12), Cultivar_1_Cohort_Year_Selection=$O$268,Cultivar_2_Cohort_Year_Selection=$O$268),  ROUND(MAX(0,(Q$355-('Stage 2 Randomized Selection'!F$2*$M356)) - 2),0),
IF(AND(OR(R$269=123, R$269=13), Cultivar_1_Cohort_Year_Selection=$O$268,Cultivar_3_Cohort_Year_Selection=$O$268), ROUND(MAX(0,(Q$355-('Stage 2 Randomized Selection'!F$2*$M356)) - 2),0),
IF(AND(OR(R$269=123, R$269=23), Cultivar_2_Cohort_Year_Selection=$O$268,Cultivar_3_Cohort_Year_Selection=$O$268), ROUND(MAX(0,(Q$355-('Stage 2 Randomized Selection'!F$2*$M356)) - 2),0),
IF(AND(OR(R$269=123, R$269=12, R$269=13, R$269=1), Cultivar_1_Cohort_Year_Selection=$O$268), ROUND(MAX(0,(Q$355-('Stage 2 Randomized Selection'!F$2*$M356)) - 1),0),
IF(AND(OR(R$269=123, R$269=12, R$269=23, R$269=2), Cultivar_2_Cohort_Year_Selection=$O$268), ROUND(MAX(0,(Q$355-('Stage 2 Randomized Selection'!F$2*$M356)) - 1),0),
IF(AND(OR(R$269=123, R$269=13, R$269=23, R$269=3), Cultivar_3_Cohort_Year_Selection=$O$268), ROUND(MAX(0,(Q$355-('Stage 2 Randomized Selection'!F$2*$M356)) - 1),0),
ROUND(MAX(0,(Q$355-('Stage 2 Randomized Selection'!F$2*$M356))),0)))))))),0),"")</f>
        <v/>
      </c>
      <c r="S378" s="270" t="str">
        <f>IF(ISNUMBER($B$356),
IF(AND(ISNUMBER(R$355), R$355&gt;0),
IF(AND(S$269=123, Cultivar_1_Cohort_Year_Selection=$P$268,Cultivar_2_Cohort_Year_Selection=$P$268,Cultivar_3_Cohort_Year_Selection=$P$268), ROUND(MAX(0,(R$355-('Stage 2 Randomized Selection'!H$2*$M356)) - 3),0),
IF(AND(OR(S$269=123, S$269=12), Cultivar_1_Cohort_Year_Selection=$P$268,Cultivar_2_Cohort_Year_Selection=$P$268),  ROUND(MAX(0,(R$355-('Stage 2 Randomized Selection'!G$2*$M356)) - 2),0),
IF(AND(OR(S$269=123, S$269=13), Cultivar_1_Cohort_Year_Selection=$P$268,Cultivar_3_Cohort_Year_Selection=$P$268), ROUND(MAX(0,(R$355-('Stage 2 Randomized Selection'!G$2*$M356)) - 2),0),
IF(AND(OR(S$269=123, S$269=23), Cultivar_2_Cohort_Year_Selection=$P$268,Cultivar_3_Cohort_Year_Selection=$P$268), ROUND(MAX(0,(R$355-('Stage 2 Randomized Selection'!G$2*$M356)) - 2),0),
IF(AND(OR(S$269=123, S$269=12, S$269=13, S$269=1), Cultivar_1_Cohort_Year_Selection=$P$268), ROUND(MAX(0,(R$355-('Stage 2 Randomized Selection'!G$2*$M356)) - 1),0),
IF(AND(OR(S$269=123, S$269=12, S$269=23, S$269=2), Cultivar_2_Cohort_Year_Selection=$P$268), ROUND(MAX(0,(R$355-('Stage 2 Randomized Selection'!G$2*$M356)) - 1),0),
IF(AND(OR(S$269=123, S$269=13, S$269=23, S$269=3), Cultivar_3_Cohort_Year_Selection=$P$268), ROUND(MAX(0,(R$355-('Stage 2 Randomized Selection'!G$2*$M356)) - 1),0),
ROUND(MAX(0,(R$355-('Stage 2 Randomized Selection'!G$2*$M356))),0)))))))),0),"")</f>
        <v/>
      </c>
      <c r="T378" s="270" t="str">
        <f>IF(ISNUMBER($B$356),
IF(AND(ISNUMBER(S$355), S$355&gt;0),
IF(AND(T$269=123, Cultivar_1_Cohort_Year_Selection=$Q$268,Cultivar_2_Cohort_Year_Selection=$Q$268,Cultivar_3_Cohort_Year_Selection=$Q$268), ROUND(MAX(0,(S$355-('Stage 2 Randomized Selection'!I$2*$M356)) - 3),0),
IF(AND(OR(T$269=123, T$269=12), Cultivar_1_Cohort_Year_Selection=$Q$268,Cultivar_2_Cohort_Year_Selection=$Q$268),  ROUND(MAX(0,(S$355-('Stage 2 Randomized Selection'!H$2*$M356)) - 2),0),
IF(AND(OR(T$269=123, T$269=13), Cultivar_1_Cohort_Year_Selection=$Q$268,Cultivar_3_Cohort_Year_Selection=$Q$268), ROUND(MAX(0,(S$355-('Stage 2 Randomized Selection'!H$2*$M356)) - 2),0),
IF(AND(OR(T$269=123, T$269=23), Cultivar_2_Cohort_Year_Selection=$Q$268,Cultivar_3_Cohort_Year_Selection=$Q$268), ROUND(MAX(0,(S$355-('Stage 2 Randomized Selection'!H$2*$M356)) - 2),0),
IF(AND(OR(T$269=123, T$269=12, T$269=13, T$269=1), Cultivar_1_Cohort_Year_Selection=$Q$268), ROUND(MAX(0,(S$355-('Stage 2 Randomized Selection'!H$2*$M356)) - 1),0),
IF(AND(OR(T$269=123, T$269=12, T$269=23, T$269=2), Cultivar_2_Cohort_Year_Selection=$Q$268), ROUND(MAX(0,(S$355-('Stage 2 Randomized Selection'!H$2*$M356)) - 1),0),
IF(AND(OR(T$269=123, T$269=13, T$269=23, T$269=3), Cultivar_3_Cohort_Year_Selection=$Q$268), ROUND(MAX(0,(S$355-('Stage 2 Randomized Selection'!H$2*$M356)) - 1),0),
ROUND(MAX(0,(S$355-('Stage 2 Randomized Selection'!H$2*$M356))),0)))))))),0),"")</f>
        <v/>
      </c>
      <c r="U378" s="270" t="str">
        <f>IF(ISNUMBER($B$356),
IF(AND(ISNUMBER(T$355), T$355&gt;0),
IF(AND(U$269=123, Cultivar_1_Cohort_Year_Selection=$R$268,Cultivar_2_Cohort_Year_Selection=$R$268,Cultivar_3_Cohort_Year_Selection=$R$268), ROUND(MAX(0,(T$355-('Stage 2 Randomized Selection'!J$2*$M356)) - 3),0),
IF(AND(OR(U$269=123, U$269=12), Cultivar_1_Cohort_Year_Selection=$R$268,Cultivar_2_Cohort_Year_Selection=$R$268),  ROUND(MAX(0,(T$355-('Stage 2 Randomized Selection'!I$2*$M356)) - 2),0),
IF(AND(OR(U$269=123, U$269=13), Cultivar_1_Cohort_Year_Selection=$R$268,Cultivar_3_Cohort_Year_Selection=$R$268), ROUND(MAX(0,(T$355-('Stage 2 Randomized Selection'!I$2*$M356)) - 2),0),
IF(AND(OR(U$269=123, U$269=23), Cultivar_2_Cohort_Year_Selection=$R$268,Cultivar_3_Cohort_Year_Selection=$R$268), ROUND(MAX(0,(T$355-('Stage 2 Randomized Selection'!I$2*$M356)) - 2),0),
IF(AND(OR(U$269=123, U$269=12, U$269=13, U$269=1), Cultivar_1_Cohort_Year_Selection=$R$268), ROUND(MAX(0,(T$355-('Stage 2 Randomized Selection'!I$2*$M356)) - 1),0),
IF(AND(OR(U$269=123, U$269=12, U$269=23, U$269=2), Cultivar_2_Cohort_Year_Selection=$R$268), ROUND(MAX(0,(T$355-('Stage 2 Randomized Selection'!I$2*$M356)) - 1),0),
IF(AND(OR(U$269=123, U$269=13, U$269=23, U$269=3), Cultivar_3_Cohort_Year_Selection=$R$268), ROUND(MAX(0,(T$355-('Stage 2 Randomized Selection'!I$2*$M356)) - 1),0),
ROUND(MAX(0,(T$355-('Stage 2 Randomized Selection'!I$2*$M356))),0)))))))),0),"")</f>
        <v/>
      </c>
      <c r="V378" s="270" t="str">
        <f>IF(ISNUMBER($B$356),
IF(AND(ISNUMBER(U$355), U$355&gt;0),
IF(AND(V$269=123, Cultivar_1_Cohort_Year_Selection=$S$268,Cultivar_2_Cohort_Year_Selection=$S$268,Cultivar_3_Cohort_Year_Selection=$S$268), ROUND(MAX(0,(U$355-('Stage 2 Randomized Selection'!K$2*$M356)) - 3),0),
IF(AND(OR(V$269=123, V$269=12), Cultivar_1_Cohort_Year_Selection=$S$268,Cultivar_2_Cohort_Year_Selection=$S$268),  ROUND(MAX(0,(U$355-('Stage 2 Randomized Selection'!J$2*$M356)) - 2),0),
IF(AND(OR(V$269=123, V$269=13), Cultivar_1_Cohort_Year_Selection=$S$268,Cultivar_3_Cohort_Year_Selection=$S$268), ROUND(MAX(0,(U$355-('Stage 2 Randomized Selection'!J$2*$M356)) - 2),0),
IF(AND(OR(V$269=123, V$269=23), Cultivar_2_Cohort_Year_Selection=$S$268,Cultivar_3_Cohort_Year_Selection=$S$268), ROUND(MAX(0,(U$355-('Stage 2 Randomized Selection'!J$2*$M356)) - 2),0),
IF(AND(OR(V$269=123, V$269=12, V$269=13, V$269=1), Cultivar_1_Cohort_Year_Selection=$S$268), ROUND(MAX(0,(U$355-('Stage 2 Randomized Selection'!J$2*$M356)) - 1),0),
IF(AND(OR(V$269=123, V$269=12, V$269=23, V$269=2), Cultivar_2_Cohort_Year_Selection=$S$268), ROUND(MAX(0,(U$355-('Stage 2 Randomized Selection'!J$2*$M356)) - 1),0),
IF(AND(OR(V$269=123, V$269=13, V$269=23, V$269=3), Cultivar_3_Cohort_Year_Selection=$S$268), ROUND(MAX(0,(U$355-('Stage 2 Randomized Selection'!J$2*$M356)) - 1),0),
ROUND(MAX(0,(U$355-('Stage 2 Randomized Selection'!J$2*$M356))),0)))))))),0),"")</f>
        <v/>
      </c>
      <c r="W378" s="270" t="str">
        <f>IF(ISNUMBER($B$356),
IF(AND(ISNUMBER(V$355), V$355&gt;0),
IF(AND(W$269=123, Cultivar_1_Cohort_Year_Selection=$T$268,Cultivar_2_Cohort_Year_Selection=$T$268,Cultivar_3_Cohort_Year_Selection=$T$268), ROUND(MAX(0,(V$355-('Stage 2 Randomized Selection'!L$2*$M356)) - 3),0),
IF(AND(OR(W$269=123, W$269=12), Cultivar_1_Cohort_Year_Selection=$T$268,Cultivar_2_Cohort_Year_Selection=$T$268),  ROUND(MAX(0,(V$355-('Stage 2 Randomized Selection'!K$2*$M356)) - 2),0),
IF(AND(OR(W$269=123, W$269=13), Cultivar_1_Cohort_Year_Selection=$T$268,Cultivar_3_Cohort_Year_Selection=$T$268), ROUND(MAX(0,(V$355-('Stage 2 Randomized Selection'!K$2*$M356)) - 2),0),
IF(AND(OR(W$269=123, W$269=23), Cultivar_2_Cohort_Year_Selection=$T$268,Cultivar_3_Cohort_Year_Selection=$T$268), ROUND(MAX(0,(V$355-('Stage 2 Randomized Selection'!K$2*$M356)) - 2),0),
IF(AND(OR(W$269=123, W$269=12, W$269=13, W$269=1), Cultivar_1_Cohort_Year_Selection=$T$268), ROUND(MAX(0,(V$355-('Stage 2 Randomized Selection'!K$2*$M356)) - 1),0),
IF(AND(OR(W$269=123, W$269=12, W$269=23, W$269=2), Cultivar_2_Cohort_Year_Selection=$T$268), ROUND(MAX(0,(V$355-('Stage 2 Randomized Selection'!K$2*$M356)) - 1),0),
IF(AND(OR(W$269=123, W$269=13, W$269=23, W$269=3), Cultivar_3_Cohort_Year_Selection=$T$268), ROUND(MAX(0,(V$355-('Stage 2 Randomized Selection'!K$2*$M356)) - 1),0),
ROUND(MAX(0,(V$355-('Stage 2 Randomized Selection'!K$2*$M356))),0)))))))),0),"")</f>
        <v/>
      </c>
      <c r="X378" s="270" t="str">
        <f>IF(ISNUMBER($B$356),
IF(AND(ISNUMBER(W$355), W$355&gt;0),
IF(AND(X$269=123, Cultivar_1_Cohort_Year_Selection=$U$268,Cultivar_2_Cohort_Year_Selection=$U$268,Cultivar_3_Cohort_Year_Selection=$U$268), ROUND(MAX(0,(W$355-('Stage 2 Randomized Selection'!M$2*$M356)) - 3),0),
IF(AND(OR(X$269=123, X$269=12), Cultivar_1_Cohort_Year_Selection=$U$268,Cultivar_2_Cohort_Year_Selection=$U$268),  ROUND(MAX(0,(W$355-('Stage 2 Randomized Selection'!L$2*$M356)) - 2),0),
IF(AND(OR(X$269=123, X$269=13), Cultivar_1_Cohort_Year_Selection=$U$268,Cultivar_3_Cohort_Year_Selection=$U$268), ROUND(MAX(0,(W$355-('Stage 2 Randomized Selection'!L$2*$M356)) - 2),0),
IF(AND(OR(X$269=123, X$269=23), Cultivar_2_Cohort_Year_Selection=$U$268,Cultivar_3_Cohort_Year_Selection=$U$268), ROUND(MAX(0,(W$355-('Stage 2 Randomized Selection'!L$2*$M356)) - 2),0),
IF(AND(OR(X$269=123, X$269=12, X$269=13, X$269=1), Cultivar_1_Cohort_Year_Selection=$U$268), ROUND(MAX(0,(W$355-('Stage 2 Randomized Selection'!L$2*$M356)) - 1),0),
IF(AND(OR(X$269=123, X$269=12, X$269=23, X$269=2), Cultivar_2_Cohort_Year_Selection=$U$268), ROUND(MAX(0,(W$355-('Stage 2 Randomized Selection'!L$2*$M356)) - 1),0),
IF(AND(OR(X$269=123, X$269=13, X$269=23, X$269=3), Cultivar_3_Cohort_Year_Selection=$U$268), ROUND(MAX(0,(W$355-('Stage 2 Randomized Selection'!L$2*$M356)) - 1),0),
ROUND(MAX(0,(W$355-('Stage 2 Randomized Selection'!L$2*$M356))),0)))))))),0),"")</f>
        <v/>
      </c>
      <c r="Y378" s="270" t="str">
        <f>IF(ISNUMBER($B$356),
IF(AND(ISNUMBER(X$355), X$355&gt;0),
IF(AND(Y$269=123, Cultivar_1_Cohort_Year_Selection=$V$268,Cultivar_2_Cohort_Year_Selection=$V$268,Cultivar_3_Cohort_Year_Selection=$V$268), ROUND(MAX(0,(X$355-('Stage 2 Randomized Selection'!N$2*$M356)) - 3),0),
IF(AND(OR(Y$269=123, Y$269=12), Cultivar_1_Cohort_Year_Selection=$V$268,Cultivar_2_Cohort_Year_Selection=$V$268),  ROUND(MAX(0,(X$355-('Stage 2 Randomized Selection'!M$2*$M356)) - 2),0),
IF(AND(OR(Y$269=123, Y$269=13), Cultivar_1_Cohort_Year_Selection=$V$268,Cultivar_3_Cohort_Year_Selection=$V$268), ROUND(MAX(0,(X$355-('Stage 2 Randomized Selection'!M$2*$M356)) - 2),0),
IF(AND(OR(Y$269=123, Y$269=23), Cultivar_2_Cohort_Year_Selection=$V$268,Cultivar_3_Cohort_Year_Selection=$V$268), ROUND(MAX(0,(X$355-('Stage 2 Randomized Selection'!M$2*$M356)) - 2),0),
IF(AND(OR(Y$269=123, Y$269=12, Y$269=13, Y$269=1), Cultivar_1_Cohort_Year_Selection=$V$268), ROUND(MAX(0,(X$355-('Stage 2 Randomized Selection'!M$2*$M356)) - 1),0),
IF(AND(OR(Y$269=123, Y$269=12, Y$269=23, Y$269=2), Cultivar_2_Cohort_Year_Selection=$V$268), ROUND(MAX(0,(X$355-('Stage 2 Randomized Selection'!M$2*$M356)) - 1),0),
IF(AND(OR(Y$269=123, Y$269=13, Y$269=23, Y$269=3), Cultivar_3_Cohort_Year_Selection=$V$268), ROUND(MAX(0,(X$355-('Stage 2 Randomized Selection'!M$2*$M356)) - 1),0),
ROUND(MAX(0,(X$355-('Stage 2 Randomized Selection'!M$2*$M356))),0)))))))),0),"")</f>
        <v/>
      </c>
      <c r="Z378" s="270" t="str">
        <f>IF(ISNUMBER($B$356),
IF(AND(ISNUMBER(Y$355), Y$355&gt;0),
IF(AND(Z$269=123, Cultivar_1_Cohort_Year_Selection=$W$268,Cultivar_2_Cohort_Year_Selection=$W$268,Cultivar_3_Cohort_Year_Selection=$W$268), ROUND(MAX(0,(Y$355-('Stage 2 Randomized Selection'!O$2*$M356)) - 3),0),
IF(AND(OR(Z$269=123, Z$269=12), Cultivar_1_Cohort_Year_Selection=$W$268,Cultivar_2_Cohort_Year_Selection=$W$268),  ROUND(MAX(0,(Y$355-('Stage 2 Randomized Selection'!N$2*$M356)) - 2),0),
IF(AND(OR(Z$269=123, Z$269=13), Cultivar_1_Cohort_Year_Selection=$W$268,Cultivar_3_Cohort_Year_Selection=$W$268), ROUND(MAX(0,(Y$355-('Stage 2 Randomized Selection'!N$2*$M356)) - 2),0),
IF(AND(OR(Z$269=123, Z$269=23), Cultivar_2_Cohort_Year_Selection=$W$268,Cultivar_3_Cohort_Year_Selection=$W$268), ROUND(MAX(0,(Y$355-('Stage 2 Randomized Selection'!N$2*$M356)) - 2),0),
IF(AND(OR(Z$269=123, Z$269=12, Z$269=13, Z$269=1), Cultivar_1_Cohort_Year_Selection=$W$268), ROUND(MAX(0,(Y$355-('Stage 2 Randomized Selection'!N$2*$M356)) - 1),0),
IF(AND(OR(Z$269=123, Z$269=12, Z$269=23, Z$269=2), Cultivar_2_Cohort_Year_Selection=$W$268), ROUND(MAX(0,(Y$355-('Stage 2 Randomized Selection'!N$2*$M356)) - 1),0),
IF(AND(OR(Z$269=123, Z$269=13, Z$269=23, Z$269=3), Cultivar_3_Cohort_Year_Selection=$W$268), ROUND(MAX(0,(Y$355-('Stage 2 Randomized Selection'!N$2*$M356)) - 1),0),
ROUND(MAX(0,(Y$355-('Stage 2 Randomized Selection'!N$2*$M356))),0)))))))),0),"")</f>
        <v/>
      </c>
      <c r="AA378" s="270" t="str">
        <f>IF(ISNUMBER($B$356),
IF(AND(ISNUMBER(Z$355), Z$355&gt;0),
IF(AND(AA$269=123, Cultivar_1_Cohort_Year_Selection=$X$268,Cultivar_2_Cohort_Year_Selection=$X$268,Cultivar_3_Cohort_Year_Selection=$X$268), ROUND(MAX(0,(Z$355-('Stage 2 Randomized Selection'!P$2*$M356)) - 3),0),
IF(AND(OR(AA$269=123, AA$269=12), Cultivar_1_Cohort_Year_Selection=$X$268,Cultivar_2_Cohort_Year_Selection=$X$268),  ROUND(MAX(0,(Z$355-('Stage 2 Randomized Selection'!O$2*$M356)) - 2),0),
IF(AND(OR(AA$269=123, AA$269=13), Cultivar_1_Cohort_Year_Selection=$X$268,Cultivar_3_Cohort_Year_Selection=$X$268), ROUND(MAX(0,(Z$355-('Stage 2 Randomized Selection'!O$2*$M356)) - 2),0),
IF(AND(OR(AA$269=123, AA$269=23), Cultivar_2_Cohort_Year_Selection=$X$268,Cultivar_3_Cohort_Year_Selection=$X$268), ROUND(MAX(0,(Z$355-('Stage 2 Randomized Selection'!O$2*$M356)) - 2),0),
IF(AND(OR(AA$269=123, AA$269=12, AA$269=13, AA$269=1), Cultivar_1_Cohort_Year_Selection=$X$268), ROUND(MAX(0,(Z$355-('Stage 2 Randomized Selection'!O$2*$M356)) - 1),0),
IF(AND(OR(AA$269=123, AA$269=12, AA$269=23, AA$269=2), Cultivar_2_Cohort_Year_Selection=$X$268), ROUND(MAX(0,(Z$355-('Stage 2 Randomized Selection'!O$2*$M356)) - 1),0),
IF(AND(OR(AA$269=123, AA$269=13, AA$269=23, AA$269=3), Cultivar_3_Cohort_Year_Selection=$X$268), ROUND(MAX(0,(Z$355-('Stage 2 Randomized Selection'!O$2*$M356)) - 1),0),
ROUND(MAX(0,(Z$355-('Stage 2 Randomized Selection'!O$2*$M356))),0)))))))),0),"")</f>
        <v/>
      </c>
      <c r="AB378" s="270" t="str">
        <f>IF(ISNUMBER($B$356),
IF(AND(ISNUMBER(AA$355), AA$355&gt;0),
IF(AND(AB$269=123, Cultivar_1_Cohort_Year_Selection=$Y$268,Cultivar_2_Cohort_Year_Selection=$Y$268,Cultivar_3_Cohort_Year_Selection=$Y$268), ROUND(MAX(0,(AA$355-('Stage 2 Randomized Selection'!Q$2*$M356)) - 3),0),
IF(AND(OR(AB$269=123, AB$269=12), Cultivar_1_Cohort_Year_Selection=$Y$268,Cultivar_2_Cohort_Year_Selection=$Y$268),  ROUND(MAX(0,(AA$355-('Stage 2 Randomized Selection'!P$2*$M356)) - 2),0),
IF(AND(OR(AB$269=123, AB$269=13), Cultivar_1_Cohort_Year_Selection=$Y$268,Cultivar_3_Cohort_Year_Selection=$Y$268), ROUND(MAX(0,(AA$355-('Stage 2 Randomized Selection'!P$2*$M356)) - 2),0),
IF(AND(OR(AB$269=123, AB$269=23), Cultivar_2_Cohort_Year_Selection=$Y$268,Cultivar_3_Cohort_Year_Selection=$Y$268), ROUND(MAX(0,(AA$355-('Stage 2 Randomized Selection'!P$2*$M356)) - 2),0),
IF(AND(OR(AB$269=123, AB$269=12, AB$269=13, AB$269=1), Cultivar_1_Cohort_Year_Selection=$Y$268), ROUND(MAX(0,(AA$355-('Stage 2 Randomized Selection'!P$2*$M356)) - 1),0),
IF(AND(OR(AB$269=123, AB$269=12, AB$269=23, AB$269=2), Cultivar_2_Cohort_Year_Selection=$Y$268), ROUND(MAX(0,(AA$355-('Stage 2 Randomized Selection'!P$2*$M356)) - 1),0),
IF(AND(OR(AB$269=123, AB$269=13, AB$269=23, AB$269=3), Cultivar_3_Cohort_Year_Selection=$Y$268), ROUND(MAX(0,(AA$355-('Stage 2 Randomized Selection'!P$2*$M356)) - 1),0),
ROUND(MAX(0,(AA$355-('Stage 2 Randomized Selection'!P$2*$M356))),0)))))))),0),"")</f>
        <v/>
      </c>
      <c r="AC378" s="270" t="str">
        <f>IF(ISNUMBER($B$356),
IF(AND(ISNUMBER(AB$355), AB$355&gt;0),
IF(AND(AC$269=123, Cultivar_1_Cohort_Year_Selection=$Z$268,Cultivar_2_Cohort_Year_Selection=$Z$268,Cultivar_3_Cohort_Year_Selection=$Z$268), ROUND(MAX(0,(AB$355-('Stage 2 Randomized Selection'!R$2*$M356)) - 3),0),
IF(AND(OR(AC$269=123, AC$269=12), Cultivar_1_Cohort_Year_Selection=$Z$268,Cultivar_2_Cohort_Year_Selection=$Z$268),  ROUND(MAX(0,(AB$355-('Stage 2 Randomized Selection'!Q$2*$M356)) - 2),0),
IF(AND(OR(AC$269=123, AC$269=13), Cultivar_1_Cohort_Year_Selection=$Z$268,Cultivar_3_Cohort_Year_Selection=$Z$268), ROUND(MAX(0,(AB$355-('Stage 2 Randomized Selection'!Q$2*$M356)) - 2),0),
IF(AND(OR(AC$269=123, AC$269=23), Cultivar_2_Cohort_Year_Selection=$Z$268,Cultivar_3_Cohort_Year_Selection=$Z$268), ROUND(MAX(0,(AB$355-('Stage 2 Randomized Selection'!Q$2*$M356)) - 2),0),
IF(AND(OR(AC$269=123, AC$269=12, AC$269=13, AC$269=1), Cultivar_1_Cohort_Year_Selection=$Z$268), ROUND(MAX(0,(AB$355-('Stage 2 Randomized Selection'!Q$2*$M356)) - 1),0),
IF(AND(OR(AC$269=123, AC$269=12, AC$269=23, AC$269=2), Cultivar_2_Cohort_Year_Selection=$Z$268), ROUND(MAX(0,(AB$355-('Stage 2 Randomized Selection'!Q$2*$M356)) - 1),0),
IF(AND(OR(AC$269=123, AC$269=13, AC$269=23, AC$269=3), Cultivar_3_Cohort_Year_Selection=$Z$268), ROUND(MAX(0,(AB$355-('Stage 2 Randomized Selection'!Q$2*$M356)) - 1),0),
ROUND(MAX(0,(AB$355-('Stage 2 Randomized Selection'!Q$2*$M356))),0)))))))),0),"")</f>
        <v/>
      </c>
      <c r="AD378" s="270" t="str">
        <f>IF(ISNUMBER($B$356),
IF(AND(ISNUMBER(AC$355), AC$355&gt;0),
IF(AND(AD$269=123, Cultivar_1_Cohort_Year_Selection=$AA$268,Cultivar_2_Cohort_Year_Selection=$AA$268,Cultivar_3_Cohort_Year_Selection=$AA$268), ROUND(MAX(0,(AC$355-('Stage 2 Randomized Selection'!S$2*$M356)) - 3),0),
IF(AND(OR(AD$269=123, AD$269=12), Cultivar_1_Cohort_Year_Selection=$AA$268,Cultivar_2_Cohort_Year_Selection=$AA$268),  ROUND(MAX(0,(AC$355-('Stage 2 Randomized Selection'!R$2*$M356)) - 2),0),
IF(AND(OR(AD$269=123, AD$269=13), Cultivar_1_Cohort_Year_Selection=$AA$268,Cultivar_3_Cohort_Year_Selection=$AA$268), ROUND(MAX(0,(AC$355-('Stage 2 Randomized Selection'!R$2*$M356)) - 2),0),
IF(AND(OR(AD$269=123, AD$269=23), Cultivar_2_Cohort_Year_Selection=$AA$268,Cultivar_3_Cohort_Year_Selection=$AA$268), ROUND(MAX(0,(AC$355-('Stage 2 Randomized Selection'!R$2*$M356)) - 2),0),
IF(AND(OR(AD$269=123, AD$269=12, AD$269=13, AD$269=1), Cultivar_1_Cohort_Year_Selection=$AA$268), ROUND(MAX(0,(AC$355-('Stage 2 Randomized Selection'!R$2*$M356)) - 1),0),
IF(AND(OR(AD$269=123, AD$269=12, AD$269=23, AD$269=2), Cultivar_2_Cohort_Year_Selection=$AA$268), ROUND(MAX(0,(AC$355-('Stage 2 Randomized Selection'!R$2*$M356)) - 1),0),
IF(AND(OR(AD$269=123, AD$269=13, AD$269=23, AD$269=3), Cultivar_3_Cohort_Year_Selection=$AA$268), ROUND(MAX(0,(AC$355-('Stage 2 Randomized Selection'!R$2*$M356)) - 1),0),
ROUND(MAX(0,(AC$355-('Stage 2 Randomized Selection'!R$2*$M356))),0)))))))),0),"")</f>
        <v/>
      </c>
      <c r="AE378" s="270" t="str">
        <f>IF(ISNUMBER($B$356),
IF(AND(ISNUMBER(AD$355), AD$355&gt;0),
IF(AND(AE$269=123, Cultivar_1_Cohort_Year_Selection=$AB$268,Cultivar_2_Cohort_Year_Selection=$AB$268,Cultivar_3_Cohort_Year_Selection=$AB$268), ROUND(MAX(0,(AD$355-('Stage 2 Randomized Selection'!T$2*$M356)) - 3),0),
IF(AND(OR(AE$269=123, AE$269=12), Cultivar_1_Cohort_Year_Selection=$AB$268,Cultivar_2_Cohort_Year_Selection=$AB$268),  ROUND(MAX(0,(AD$355-('Stage 2 Randomized Selection'!S$2*$M356)) - 2),0),
IF(AND(OR(AE$269=123, AE$269=13), Cultivar_1_Cohort_Year_Selection=$AB$268,Cultivar_3_Cohort_Year_Selection=$AB$268), ROUND(MAX(0,(AD$355-('Stage 2 Randomized Selection'!S$2*$M356)) - 2),0),
IF(AND(OR(AE$269=123, AE$269=23), Cultivar_2_Cohort_Year_Selection=$AB$268,Cultivar_3_Cohort_Year_Selection=$AB$268), ROUND(MAX(0,(AD$355-('Stage 2 Randomized Selection'!S$2*$M356)) - 2),0),
IF(AND(OR(AE$269=123, AE$269=12, AE$269=13, AE$269=1), Cultivar_1_Cohort_Year_Selection=$AB$268), ROUND(MAX(0,(AD$355-('Stage 2 Randomized Selection'!S$2*$M356)) - 1),0),
IF(AND(OR(AE$269=123, AE$269=12, AE$269=23, AE$269=2), Cultivar_2_Cohort_Year_Selection=$AB$268), ROUND(MAX(0,(AD$355-('Stage 2 Randomized Selection'!S$2*$M356)) - 1),0),
IF(AND(OR(AE$269=123, AE$269=13, AE$269=23, AE$269=3), Cultivar_3_Cohort_Year_Selection=$AB$268), ROUND(MAX(0,(AD$355-('Stage 2 Randomized Selection'!S$2*$M356)) - 1),0),
ROUND(MAX(0,(AD$355-('Stage 2 Randomized Selection'!S$2*$M356))),0)))))))),0),"")</f>
        <v/>
      </c>
      <c r="AF378" s="270" t="str">
        <f>IF(ISNUMBER($B$356),
IF(AND(ISNUMBER(AE$355), AE$355&gt;0),
IF(AND(AF$269=123, Cultivar_1_Cohort_Year_Selection=$AC$268,Cultivar_2_Cohort_Year_Selection=$AC$268,Cultivar_3_Cohort_Year_Selection=$AC$268), ROUND(MAX(0,(AE$355-('Stage 2 Randomized Selection'!U$2*$M356)) - 3),0),
IF(AND(OR(AF$269=123, AF$269=12), Cultivar_1_Cohort_Year_Selection=$AC$268,Cultivar_2_Cohort_Year_Selection=$AC$268),  ROUND(MAX(0,(AE$355-('Stage 2 Randomized Selection'!T$2*$M356)) - 2),0),
IF(AND(OR(AF$269=123, AF$269=13), Cultivar_1_Cohort_Year_Selection=$AC$268,Cultivar_3_Cohort_Year_Selection=$AC$268), ROUND(MAX(0,(AE$355-('Stage 2 Randomized Selection'!T$2*$M356)) - 2),0),
IF(AND(OR(AF$269=123, AF$269=23), Cultivar_2_Cohort_Year_Selection=$AC$268,Cultivar_3_Cohort_Year_Selection=$AC$268), ROUND(MAX(0,(AE$355-('Stage 2 Randomized Selection'!T$2*$M356)) - 2),0),
IF(AND(OR(AF$269=123, AF$269=12, AF$269=13, AF$269=1), Cultivar_1_Cohort_Year_Selection=$AC$268), ROUND(MAX(0,(AE$355-('Stage 2 Randomized Selection'!T$2*$M356)) - 1),0),
IF(AND(OR(AF$269=123, AF$269=12, AF$269=23, AF$269=2), Cultivar_2_Cohort_Year_Selection=$AC$268), ROUND(MAX(0,(AE$355-('Stage 2 Randomized Selection'!T$2*$M356)) - 1),0),
IF(AND(OR(AF$269=123, AF$269=13, AF$269=23, AF$269=3), Cultivar_3_Cohort_Year_Selection=$AC$268), ROUND(MAX(0,(AE$355-('Stage 2 Randomized Selection'!T$2*$M356)) - 1),0),
ROUND(MAX(0,(AE$355-('Stage 2 Randomized Selection'!T$2*$M356))),0)))))))),0),"")</f>
        <v/>
      </c>
      <c r="AG378" s="270" t="str">
        <f>IF(ISNUMBER($B$356),
IF(AND(ISNUMBER(AF$355), AF$355&gt;0),
IF(AND(AG$269=123, Cultivar_1_Cohort_Year_Selection=$AD$268,Cultivar_2_Cohort_Year_Selection=$AD$268,Cultivar_3_Cohort_Year_Selection=$AD$268), ROUND(MAX(0,(AF$355-('Stage 2 Randomized Selection'!V$2*$M356)) - 3),0),
IF(AND(OR(AG$269=123, AG$269=12), Cultivar_1_Cohort_Year_Selection=$AD$268,Cultivar_2_Cohort_Year_Selection=$AD$268),  ROUND(MAX(0,(AF$355-('Stage 2 Randomized Selection'!U$2*$M356)) - 2),0),
IF(AND(OR(AG$269=123, AG$269=13), Cultivar_1_Cohort_Year_Selection=$AD$268,Cultivar_3_Cohort_Year_Selection=$AD$268), ROUND(MAX(0,(AF$355-('Stage 2 Randomized Selection'!U$2*$M356)) - 2),0),
IF(AND(OR(AG$269=123, AG$269=23), Cultivar_2_Cohort_Year_Selection=$AD$268,Cultivar_3_Cohort_Year_Selection=$AD$268), ROUND(MAX(0,(AF$355-('Stage 2 Randomized Selection'!U$2*$M356)) - 2),0),
IF(AND(OR(AG$269=123, AG$269=12, AG$269=13, AG$269=1), Cultivar_1_Cohort_Year_Selection=$AD$268), ROUND(MAX(0,(AF$355-('Stage 2 Randomized Selection'!U$2*$M356)) - 1),0),
IF(AND(OR(AG$269=123, AG$269=12, AG$269=23, AG$269=2), Cultivar_2_Cohort_Year_Selection=$AD$268), ROUND(MAX(0,(AF$355-('Stage 2 Randomized Selection'!U$2*$M356)) - 1),0),
IF(AND(OR(AG$269=123, AG$269=13, AG$269=23, AG$269=3), Cultivar_3_Cohort_Year_Selection=$AD$268), ROUND(MAX(0,(AF$355-('Stage 2 Randomized Selection'!U$2*$M356)) - 1),0),
ROUND(MAX(0,(AF$355-('Stage 2 Randomized Selection'!U$2*$M356))),0)))))))),0),"")</f>
        <v/>
      </c>
      <c r="AH378" s="270" t="str">
        <f>IF(ISNUMBER($B$356),
IF(AND(ISNUMBER(AG$355), AG$355&gt;0),
IF(AND(AH$269=123, Cultivar_1_Cohort_Year_Selection=$AE$268,Cultivar_2_Cohort_Year_Selection=$AE$268,Cultivar_3_Cohort_Year_Selection=$AE$268), ROUND(MAX(0,(AG$355-('Stage 2 Randomized Selection'!W$2*$M356)) - 3),0),
IF(AND(OR(AH$269=123, AH$269=12), Cultivar_1_Cohort_Year_Selection=$AE$268,Cultivar_2_Cohort_Year_Selection=$AE$268),  ROUND(MAX(0,(AG$355-('Stage 2 Randomized Selection'!V$2*$M356)) - 2),0),
IF(AND(OR(AH$269=123, AH$269=13), Cultivar_1_Cohort_Year_Selection=$AE$268,Cultivar_3_Cohort_Year_Selection=$AE$268), ROUND(MAX(0,(AG$355-('Stage 2 Randomized Selection'!V$2*$M356)) - 2),0),
IF(AND(OR(AH$269=123, AH$269=23), Cultivar_2_Cohort_Year_Selection=$AE$268,Cultivar_3_Cohort_Year_Selection=$AE$268), ROUND(MAX(0,(AG$355-('Stage 2 Randomized Selection'!V$2*$M356)) - 2),0),
IF(AND(OR(AH$269=123, AH$269=12, AH$269=13, AH$269=1), Cultivar_1_Cohort_Year_Selection=$AE$268), ROUND(MAX(0,(AG$355-('Stage 2 Randomized Selection'!V$2*$M356)) - 1),0),
IF(AND(OR(AH$269=123, AH$269=12, AH$269=23, AH$269=2), Cultivar_2_Cohort_Year_Selection=$AE$268), ROUND(MAX(0,(AG$355-('Stage 2 Randomized Selection'!V$2*$M356)) - 1),0),
IF(AND(OR(AH$269=123, AH$269=13, AH$269=23, AH$269=3), Cultivar_3_Cohort_Year_Selection=$AE$268), ROUND(MAX(0,(AG$355-('Stage 2 Randomized Selection'!V$2*$M356)) - 1),0),
ROUND(MAX(0,(AG$355-('Stage 2 Randomized Selection'!V$2*$M356))),0)))))))),0),"")</f>
        <v/>
      </c>
      <c r="AI378" s="270" t="str">
        <f>IF(ISNUMBER($B$356),
IF(AND(ISNUMBER(AH$355), AH$355&gt;0),
IF(AND(AI$269=123, Cultivar_1_Cohort_Year_Selection=$AF$268,Cultivar_2_Cohort_Year_Selection=$AF$268,Cultivar_3_Cohort_Year_Selection=$AF$268), ROUND(MAX(0,(AH$355-('Stage 2 Randomized Selection'!X$2*$M356)) - 3),0),
IF(AND(OR(AI$269=123, AI$269=12), Cultivar_1_Cohort_Year_Selection=$AF$268,Cultivar_2_Cohort_Year_Selection=$AF$268),  ROUND(MAX(0,(AH$355-('Stage 2 Randomized Selection'!W$2*$M356)) - 2),0),
IF(AND(OR(AI$269=123, AI$269=13), Cultivar_1_Cohort_Year_Selection=$AF$268,Cultivar_3_Cohort_Year_Selection=$AF$268), ROUND(MAX(0,(AH$355-('Stage 2 Randomized Selection'!W$2*$M356)) - 2),0),
IF(AND(OR(AI$269=123, AI$269=23), Cultivar_2_Cohort_Year_Selection=$AF$268,Cultivar_3_Cohort_Year_Selection=$AF$268), ROUND(MAX(0,(AH$355-('Stage 2 Randomized Selection'!W$2*$M356)) - 2),0),
IF(AND(OR(AI$269=123, AI$269=12, AI$269=13, AI$269=1), Cultivar_1_Cohort_Year_Selection=$AF$268), ROUND(MAX(0,(AH$355-('Stage 2 Randomized Selection'!W$2*$M356)) - 1),0),
IF(AND(OR(AI$269=123, AI$269=12, AI$269=23, AI$269=2), Cultivar_2_Cohort_Year_Selection=$AF$268), ROUND(MAX(0,(AH$355-('Stage 2 Randomized Selection'!W$2*$M356)) - 1),0),
IF(AND(OR(AI$269=123, AI$269=13, AI$269=23, AI$269=3), Cultivar_3_Cohort_Year_Selection=$AF$268), ROUND(MAX(0,(AH$355-('Stage 2 Randomized Selection'!W$2*$M356)) - 1),0),
ROUND(MAX(0,(AH$355-('Stage 2 Randomized Selection'!W$2*$M356))),0)))))))),0),"")</f>
        <v/>
      </c>
      <c r="AJ378" s="270" t="str">
        <f>IF(ISNUMBER($B$356),
IF(AND(ISNUMBER(AI$355), AI$355&gt;0),
IF(AND(AJ$269=123, Cultivar_1_Cohort_Year_Selection=$AG$268,Cultivar_2_Cohort_Year_Selection=$AG$268,Cultivar_3_Cohort_Year_Selection=$AG$268), ROUND(MAX(0,(AI$355-('Stage 2 Randomized Selection'!Y$2*$M356)) - 3),0),
IF(AND(OR(AJ$269=123, AJ$269=12), Cultivar_1_Cohort_Year_Selection=$AG$268,Cultivar_2_Cohort_Year_Selection=$AG$268),  ROUND(MAX(0,(AI$355-('Stage 2 Randomized Selection'!X$2*$M356)) - 2),0),
IF(AND(OR(AJ$269=123, AJ$269=13), Cultivar_1_Cohort_Year_Selection=$AG$268,Cultivar_3_Cohort_Year_Selection=$AG$268), ROUND(MAX(0,(AI$355-('Stage 2 Randomized Selection'!X$2*$M356)) - 2),0),
IF(AND(OR(AJ$269=123, AJ$269=23), Cultivar_2_Cohort_Year_Selection=$AG$268,Cultivar_3_Cohort_Year_Selection=$AG$268), ROUND(MAX(0,(AI$355-('Stage 2 Randomized Selection'!X$2*$M356)) - 2),0),
IF(AND(OR(AJ$269=123, AJ$269=12, AJ$269=13, AJ$269=1), Cultivar_1_Cohort_Year_Selection=$AG$268), ROUND(MAX(0,(AI$355-('Stage 2 Randomized Selection'!X$2*$M356)) - 1),0),
IF(AND(OR(AJ$269=123, AJ$269=12, AJ$269=23, AJ$269=2), Cultivar_2_Cohort_Year_Selection=$AG$268), ROUND(MAX(0,(AI$355-('Stage 2 Randomized Selection'!X$2*$M356)) - 1),0),
IF(AND(OR(AJ$269=123, AJ$269=13, AJ$269=23, AJ$269=3), Cultivar_3_Cohort_Year_Selection=$AG$268), ROUND(MAX(0,(AI$355-('Stage 2 Randomized Selection'!X$2*$M356)) - 1),0),
ROUND(MAX(0,(AI$355-('Stage 2 Randomized Selection'!X$2*$M356))),0)))))))),0),"")</f>
        <v/>
      </c>
      <c r="AK378" s="270" t="str">
        <f>IF(ISNUMBER($B$356),
IF(AND(ISNUMBER(AJ$355), AJ$355&gt;0),
IF(AND(AK$269=123, Cultivar_1_Cohort_Year_Selection=$AH$268,Cultivar_2_Cohort_Year_Selection=$AH$268,Cultivar_3_Cohort_Year_Selection=$AH$268), ROUND(MAX(0,(AJ$355-('Stage 2 Randomized Selection'!Z$2*$M356)) - 3),0),
IF(AND(OR(AK$269=123, AK$269=12), Cultivar_1_Cohort_Year_Selection=$AH$268,Cultivar_2_Cohort_Year_Selection=$AH$268),  ROUND(MAX(0,(AJ$355-('Stage 2 Randomized Selection'!Y$2*$M356)) - 2),0),
IF(AND(OR(AK$269=123, AK$269=13), Cultivar_1_Cohort_Year_Selection=$AH$268,Cultivar_3_Cohort_Year_Selection=$AH$268), ROUND(MAX(0,(AJ$355-('Stage 2 Randomized Selection'!Y$2*$M356)) - 2),0),
IF(AND(OR(AK$269=123, AK$269=23), Cultivar_2_Cohort_Year_Selection=$AH$268,Cultivar_3_Cohort_Year_Selection=$AH$268), ROUND(MAX(0,(AJ$355-('Stage 2 Randomized Selection'!Y$2*$M356)) - 2),0),
IF(AND(OR(AK$269=123, AK$269=12, AK$269=13, AK$269=1), Cultivar_1_Cohort_Year_Selection=$AH$268), ROUND(MAX(0,(AJ$355-('Stage 2 Randomized Selection'!Y$2*$M356)) - 1),0),
IF(AND(OR(AK$269=123, AK$269=12, AK$269=23, AK$269=2), Cultivar_2_Cohort_Year_Selection=$AH$268), ROUND(MAX(0,(AJ$355-('Stage 2 Randomized Selection'!Y$2*$M356)) - 1),0),
IF(AND(OR(AK$269=123, AK$269=13, AK$269=23, AK$269=3), Cultivar_3_Cohort_Year_Selection=$AH$268), ROUND(MAX(0,(AJ$355-('Stage 2 Randomized Selection'!Y$2*$M356)) - 1),0),
ROUND(MAX(0,(AJ$355-('Stage 2 Randomized Selection'!Y$2*$M356))),0)))))))),0),"")</f>
        <v/>
      </c>
      <c r="AL378" s="270" t="str">
        <f>IF(ISNUMBER($B$356),
IF(AND(ISNUMBER(AK$355), AK$355&gt;0),
IF(AND(AL$269=123, Cultivar_1_Cohort_Year_Selection=$AI$268,Cultivar_2_Cohort_Year_Selection=$AI$268,Cultivar_3_Cohort_Year_Selection=$AI$268), ROUND(MAX(0,(AK$355-('Stage 2 Randomized Selection'!AA$2*$M356)) - 3),0),
IF(AND(OR(AL$269=123, AL$269=12), Cultivar_1_Cohort_Year_Selection=$AI$268,Cultivar_2_Cohort_Year_Selection=$AI$268),  ROUND(MAX(0,(AK$355-('Stage 2 Randomized Selection'!Z$2*$M356)) - 2),0),
IF(AND(OR(AL$269=123, AL$269=13), Cultivar_1_Cohort_Year_Selection=$AI$268,Cultivar_3_Cohort_Year_Selection=$AI$268), ROUND(MAX(0,(AK$355-('Stage 2 Randomized Selection'!Z$2*$M356)) - 2),0),
IF(AND(OR(AL$269=123, AL$269=23), Cultivar_2_Cohort_Year_Selection=$AI$268,Cultivar_3_Cohort_Year_Selection=$AI$268), ROUND(MAX(0,(AK$355-('Stage 2 Randomized Selection'!Z$2*$M356)) - 2),0),
IF(AND(OR(AL$269=123, AL$269=12, AL$269=13, AL$269=1), Cultivar_1_Cohort_Year_Selection=$AI$268), ROUND(MAX(0,(AK$355-('Stage 2 Randomized Selection'!Z$2*$M356)) - 1),0),
IF(AND(OR(AL$269=123, AL$269=12, AL$269=23, AL$269=2), Cultivar_2_Cohort_Year_Selection=$AI$268), ROUND(MAX(0,(AK$355-('Stage 2 Randomized Selection'!Z$2*$M356)) - 1),0),
IF(AND(OR(AL$269=123, AL$269=13, AL$269=23, AL$269=3), Cultivar_3_Cohort_Year_Selection=$AI$268), ROUND(MAX(0,(AK$355-('Stage 2 Randomized Selection'!Z$2*$M356)) - 1),0),
ROUND(MAX(0,(AK$355-('Stage 2 Randomized Selection'!Z$2*$M356))),0)))))))),0),"")</f>
        <v/>
      </c>
      <c r="AM378" s="270" t="str">
        <f>IF(ISNUMBER($B$356),
IF(AND(ISNUMBER(AL$355), AL$355&gt;0),
IF(AND(AM$269=123, Cultivar_1_Cohort_Year_Selection=$AJ$268,Cultivar_2_Cohort_Year_Selection=$AJ$268,Cultivar_3_Cohort_Year_Selection=$AJ$268), ROUND(MAX(0,(AL$355-('Stage 2 Randomized Selection'!AB$2*$M356)) - 3),0),
IF(AND(OR(AM$269=123, AM$269=12), Cultivar_1_Cohort_Year_Selection=$AJ$268,Cultivar_2_Cohort_Year_Selection=$AJ$268),  ROUND(MAX(0,(AL$355-('Stage 2 Randomized Selection'!AA$2*$M356)) - 2),0),
IF(AND(OR(AM$269=123, AM$269=13), Cultivar_1_Cohort_Year_Selection=$AJ$268,Cultivar_3_Cohort_Year_Selection=$AJ$268), ROUND(MAX(0,(AL$355-('Stage 2 Randomized Selection'!AA$2*$M356)) - 2),0),
IF(AND(OR(AM$269=123, AM$269=23), Cultivar_2_Cohort_Year_Selection=$AJ$268,Cultivar_3_Cohort_Year_Selection=$AJ$268), ROUND(MAX(0,(AL$355-('Stage 2 Randomized Selection'!AA$2*$M356)) - 2),0),
IF(AND(OR(AM$269=123, AM$269=12, AM$269=13, AM$269=1), Cultivar_1_Cohort_Year_Selection=$AJ$268), ROUND(MAX(0,(AL$355-('Stage 2 Randomized Selection'!AA$2*$M356)) - 1),0),
IF(AND(OR(AM$269=123, AM$269=12, AM$269=23, AM$269=2), Cultivar_2_Cohort_Year_Selection=$AJ$268), ROUND(MAX(0,(AL$355-('Stage 2 Randomized Selection'!AA$2*$M356)) - 1),0),
IF(AND(OR(AM$269=123, AM$269=13, AM$269=23, AM$269=3), Cultivar_3_Cohort_Year_Selection=$AJ$268), ROUND(MAX(0,(AL$355-('Stage 2 Randomized Selection'!AA$2*$M356)) - 1),0),
ROUND(MAX(0,(AL$355-('Stage 2 Randomized Selection'!AA$2*$M356))),0)))))))),0),"")</f>
        <v/>
      </c>
      <c r="AN378" s="270" t="str">
        <f>IF(ISNUMBER($B$356),
IF(AND(ISNUMBER(AM$355), AM$355&gt;0),
IF(AND(AN$269=123, Cultivar_1_Cohort_Year_Selection=$AK$268,Cultivar_2_Cohort_Year_Selection=$AK$268,Cultivar_3_Cohort_Year_Selection=$AK$268), ROUND(MAX(0,(AM$355-('Stage 2 Randomized Selection'!AC$2*$M356)) - 3),0),
IF(AND(OR(AN$269=123, AN$269=12), Cultivar_1_Cohort_Year_Selection=$AK$268,Cultivar_2_Cohort_Year_Selection=$AK$268),  ROUND(MAX(0,(AM$355-('Stage 2 Randomized Selection'!AB$2*$M356)) - 2),0),
IF(AND(OR(AN$269=123, AN$269=13), Cultivar_1_Cohort_Year_Selection=$AK$268,Cultivar_3_Cohort_Year_Selection=$AK$268), ROUND(MAX(0,(AM$355-('Stage 2 Randomized Selection'!AB$2*$M356)) - 2),0),
IF(AND(OR(AN$269=123, AN$269=23), Cultivar_2_Cohort_Year_Selection=$AK$268,Cultivar_3_Cohort_Year_Selection=$AK$268), ROUND(MAX(0,(AM$355-('Stage 2 Randomized Selection'!AB$2*$M356)) - 2),0),
IF(AND(OR(AN$269=123, AN$269=12, AN$269=13, AN$269=1), Cultivar_1_Cohort_Year_Selection=$AK$268), ROUND(MAX(0,(AM$355-('Stage 2 Randomized Selection'!AB$2*$M356)) - 1),0),
IF(AND(OR(AN$269=123, AN$269=12, AN$269=23, AN$269=2), Cultivar_2_Cohort_Year_Selection=$AK$268), ROUND(MAX(0,(AM$355-('Stage 2 Randomized Selection'!AB$2*$M356)) - 1),0),
IF(AND(OR(AN$269=123, AN$269=13, AN$269=23, AN$269=3), Cultivar_3_Cohort_Year_Selection=$AK$268), ROUND(MAX(0,(AM$355-('Stage 2 Randomized Selection'!AB$2*$M356)) - 1),0),
ROUND(MAX(0,(AM$355-('Stage 2 Randomized Selection'!AB$2*$M356))),0)))))))),0),"")</f>
        <v/>
      </c>
      <c r="AO378" s="270" t="str">
        <f>IF(ISNUMBER($B$356),
IF(AND(ISNUMBER(AN$355), AN$355&gt;0),
IF(AND(AO$269=123, Cultivar_1_Cohort_Year_Selection=$AL$268,Cultivar_2_Cohort_Year_Selection=$AL$268,Cultivar_3_Cohort_Year_Selection=$AL$268), ROUND(MAX(0,(AN$355-('Stage 2 Randomized Selection'!AD$2*$M356)) - 3),0),
IF(AND(OR(AO$269=123, AO$269=12), Cultivar_1_Cohort_Year_Selection=$AL$268,Cultivar_2_Cohort_Year_Selection=$AL$268),  ROUND(MAX(0,(AN$355-('Stage 2 Randomized Selection'!AC$2*$M356)) - 2),0),
IF(AND(OR(AO$269=123, AO$269=13), Cultivar_1_Cohort_Year_Selection=$AL$268,Cultivar_3_Cohort_Year_Selection=$AL$268), ROUND(MAX(0,(AN$355-('Stage 2 Randomized Selection'!AC$2*$M356)) - 2),0),
IF(AND(OR(AO$269=123, AO$269=23), Cultivar_2_Cohort_Year_Selection=$AL$268,Cultivar_3_Cohort_Year_Selection=$AL$268), ROUND(MAX(0,(AN$355-('Stage 2 Randomized Selection'!AC$2*$M356)) - 2),0),
IF(AND(OR(AO$269=123, AO$269=12, AO$269=13, AO$269=1), Cultivar_1_Cohort_Year_Selection=$AL$268), ROUND(MAX(0,(AN$355-('Stage 2 Randomized Selection'!AC$2*$M356)) - 1),0),
IF(AND(OR(AO$269=123, AO$269=12, AO$269=23, AO$269=2), Cultivar_2_Cohort_Year_Selection=$AL$268), ROUND(MAX(0,(AN$355-('Stage 2 Randomized Selection'!AC$2*$M356)) - 1),0),
IF(AND(OR(AO$269=123, AO$269=13, AO$269=23, AO$269=3), Cultivar_3_Cohort_Year_Selection=$AL$268), ROUND(MAX(0,(AN$355-('Stage 2 Randomized Selection'!AC$2*$M356)) - 1),0),
ROUND(MAX(0,(AN$355-('Stage 2 Randomized Selection'!AC$2*$M356))),0)))))))),0),"")</f>
        <v/>
      </c>
      <c r="AP378" s="270" t="str">
        <f>IF(ISNUMBER($B$356),
IF(AND(ISNUMBER(AO$355), AO$355&gt;0),
IF(AND(AP$269=123, Cultivar_1_Cohort_Year_Selection=$AM$268,Cultivar_2_Cohort_Year_Selection=$AM$268,Cultivar_3_Cohort_Year_Selection=$AM$268), ROUND(MAX(0,(AO$355-('Stage 2 Randomized Selection'!AE$2*$M356)) - 3),0),
IF(AND(OR(AP$269=123, AP$269=12), Cultivar_1_Cohort_Year_Selection=$AM$268,Cultivar_2_Cohort_Year_Selection=$AM$268),  ROUND(MAX(0,(AO$355-('Stage 2 Randomized Selection'!AD$2*$M356)) - 2),0),
IF(AND(OR(AP$269=123, AP$269=13), Cultivar_1_Cohort_Year_Selection=$AM$268,Cultivar_3_Cohort_Year_Selection=$AM$268), ROUND(MAX(0,(AO$355-('Stage 2 Randomized Selection'!AD$2*$M356)) - 2),0),
IF(AND(OR(AP$269=123, AP$269=23), Cultivar_2_Cohort_Year_Selection=$AM$268,Cultivar_3_Cohort_Year_Selection=$AM$268), ROUND(MAX(0,(AO$355-('Stage 2 Randomized Selection'!AD$2*$M356)) - 2),0),
IF(AND(OR(AP$269=123, AP$269=12, AP$269=13, AP$269=1), Cultivar_1_Cohort_Year_Selection=$AM$268), ROUND(MAX(0,(AO$355-('Stage 2 Randomized Selection'!AD$2*$M356)) - 1),0),
IF(AND(OR(AP$269=123, AP$269=12, AP$269=23, AP$269=2), Cultivar_2_Cohort_Year_Selection=$AM$268), ROUND(MAX(0,(AO$355-('Stage 2 Randomized Selection'!AD$2*$M356)) - 1),0),
IF(AND(OR(AP$269=123, AP$269=13, AP$269=23, AP$269=3), Cultivar_3_Cohort_Year_Selection=$AM$268), ROUND(MAX(0,(AO$355-('Stage 2 Randomized Selection'!AD$2*$M356)) - 1),0),
ROUND(MAX(0,(AO$355-('Stage 2 Randomized Selection'!AD$2*$M356))),0)))))))),0),"")</f>
        <v/>
      </c>
      <c r="AQ378" s="270" t="str">
        <f>IF(ISNUMBER($B$356),
IF(AND(ISNUMBER(AP$355), AP$355&gt;0),
IF(AND(AQ$269=123, Cultivar_1_Cohort_Year_Selection=$AN$268,Cultivar_2_Cohort_Year_Selection=$AN$268,Cultivar_3_Cohort_Year_Selection=$AN$268), ROUND(MAX(0,(AP$355-('Stage 2 Randomized Selection'!AF$2*$M356)) - 3),0),
IF(AND(OR(AQ$269=123, AQ$269=12), Cultivar_1_Cohort_Year_Selection=$AN$268,Cultivar_2_Cohort_Year_Selection=$AN$268),  ROUND(MAX(0,(AP$355-('Stage 2 Randomized Selection'!AE$2*$M356)) - 2),0),
IF(AND(OR(AQ$269=123, AQ$269=13), Cultivar_1_Cohort_Year_Selection=$AN$268,Cultivar_3_Cohort_Year_Selection=$AN$268), ROUND(MAX(0,(AP$355-('Stage 2 Randomized Selection'!AE$2*$M356)) - 2),0),
IF(AND(OR(AQ$269=123, AQ$269=23), Cultivar_2_Cohort_Year_Selection=$AN$268,Cultivar_3_Cohort_Year_Selection=$AN$268), ROUND(MAX(0,(AP$355-('Stage 2 Randomized Selection'!AE$2*$M356)) - 2),0),
IF(AND(OR(AQ$269=123, AQ$269=12, AQ$269=13, AQ$269=1), Cultivar_1_Cohort_Year_Selection=$AN$268), ROUND(MAX(0,(AP$355-('Stage 2 Randomized Selection'!AE$2*$M356)) - 1),0),
IF(AND(OR(AQ$269=123, AQ$269=12, AQ$269=23, AQ$269=2), Cultivar_2_Cohort_Year_Selection=$AN$268), ROUND(MAX(0,(AP$355-('Stage 2 Randomized Selection'!AE$2*$M356)) - 1),0),
IF(AND(OR(AQ$269=123, AQ$269=13, AQ$269=23, AQ$269=3), Cultivar_3_Cohort_Year_Selection=$AN$268), ROUND(MAX(0,(AP$355-('Stage 2 Randomized Selection'!AE$2*$M356)) - 1),0),
ROUND(MAX(0,(AP$355-('Stage 2 Randomized Selection'!AE$2*$M356))),0)))))))),0),"")</f>
        <v/>
      </c>
      <c r="AR378" s="270" t="str">
        <f>IF(ISNUMBER($B$356),
IF(AND(ISNUMBER(AQ$355), AQ$355&gt;0),
IF(AND(AR$269=123, Cultivar_1_Cohort_Year_Selection=$AO$268,Cultivar_2_Cohort_Year_Selection=$AO$268,Cultivar_3_Cohort_Year_Selection=$AO$268), ROUND(MAX(0,(AQ$355-('Stage 2 Randomized Selection'!AG$2*$M356)) - 3),0),
IF(AND(OR(AR$269=123, AR$269=12), Cultivar_1_Cohort_Year_Selection=$AO$268,Cultivar_2_Cohort_Year_Selection=$AO$268),  ROUND(MAX(0,(AQ$355-('Stage 2 Randomized Selection'!AF$2*$M356)) - 2),0),
IF(AND(OR(AR$269=123, AR$269=13), Cultivar_1_Cohort_Year_Selection=$AO$268,Cultivar_3_Cohort_Year_Selection=$AO$268), ROUND(MAX(0,(AQ$355-('Stage 2 Randomized Selection'!AF$2*$M356)) - 2),0),
IF(AND(OR(AR$269=123, AR$269=23), Cultivar_2_Cohort_Year_Selection=$AO$268,Cultivar_3_Cohort_Year_Selection=$AO$268), ROUND(MAX(0,(AQ$355-('Stage 2 Randomized Selection'!AF$2*$M356)) - 2),0),
IF(AND(OR(AR$269=123, AR$269=12, AR$269=13, AR$269=1), Cultivar_1_Cohort_Year_Selection=$AO$268), ROUND(MAX(0,(AQ$355-('Stage 2 Randomized Selection'!AF$2*$M356)) - 1),0),
IF(AND(OR(AR$269=123, AR$269=12, AR$269=23, AR$269=2), Cultivar_2_Cohort_Year_Selection=$AO$268), ROUND(MAX(0,(AQ$355-('Stage 2 Randomized Selection'!AF$2*$M356)) - 1),0),
IF(AND(OR(AR$269=123, AR$269=13, AR$269=23, AR$269=3), Cultivar_3_Cohort_Year_Selection=$AO$268), ROUND(MAX(0,(AQ$355-('Stage 2 Randomized Selection'!AF$2*$M356)) - 1),0),
ROUND(MAX(0,(AQ$355-('Stage 2 Randomized Selection'!AF$2*$M356))),0)))))))),0),"")</f>
        <v/>
      </c>
      <c r="AS378" s="270" t="str">
        <f>IF(ISNUMBER($B$356),
IF(AND(ISNUMBER(AR$355), AR$355&gt;0),
IF(AND(AS$269=123, Cultivar_1_Cohort_Year_Selection=$AP$268,Cultivar_2_Cohort_Year_Selection=$AP$268,Cultivar_3_Cohort_Year_Selection=$AP$268), ROUND(MAX(0,(AR$355-('Stage 2 Randomized Selection'!AH$2*$M356)) - 3),0),
IF(AND(OR(AS$269=123, AS$269=12), Cultivar_1_Cohort_Year_Selection=$AP$268,Cultivar_2_Cohort_Year_Selection=$AP$268),  ROUND(MAX(0,(AR$355-('Stage 2 Randomized Selection'!AG$2*$M356)) - 2),0),
IF(AND(OR(AS$269=123, AS$269=13), Cultivar_1_Cohort_Year_Selection=$AP$268,Cultivar_3_Cohort_Year_Selection=$AP$268), ROUND(MAX(0,(AR$355-('Stage 2 Randomized Selection'!AG$2*$M356)) - 2),0),
IF(AND(OR(AS$269=123, AS$269=23), Cultivar_2_Cohort_Year_Selection=$AP$268,Cultivar_3_Cohort_Year_Selection=$AP$268), ROUND(MAX(0,(AR$355-('Stage 2 Randomized Selection'!AG$2*$M356)) - 2),0),
IF(AND(OR(AS$269=123, AS$269=12, AS$269=13, AS$269=1), Cultivar_1_Cohort_Year_Selection=$AP$268), ROUND(MAX(0,(AR$355-('Stage 2 Randomized Selection'!AG$2*$M356)) - 1),0),
IF(AND(OR(AS$269=123, AS$269=12, AS$269=23, AS$269=2), Cultivar_2_Cohort_Year_Selection=$AP$268), ROUND(MAX(0,(AR$355-('Stage 2 Randomized Selection'!AG$2*$M356)) - 1),0),
IF(AND(OR(AS$269=123, AS$269=13, AS$269=23, AS$269=3), Cultivar_3_Cohort_Year_Selection=$AP$268), ROUND(MAX(0,(AR$355-('Stage 2 Randomized Selection'!AG$2*$M356)) - 1),0),
ROUND(MAX(0,(AR$355-('Stage 2 Randomized Selection'!AG$2*$M356))),0)))))))),0),"")</f>
        <v/>
      </c>
    </row>
    <row r="379" spans="1:46" ht="14.45" customHeight="1" x14ac:dyDescent="0.25">
      <c r="A379" s="518" t="str">
        <f>Fourth_Stage</f>
        <v>Stage 2 Clonal Test Plots</v>
      </c>
      <c r="B379" s="504" t="str">
        <f>'Breeding Inputs'!B93</f>
        <v/>
      </c>
      <c r="C379" s="521" t="str">
        <f>IF(ISNUMBER(B379), _4_3_0, "")</f>
        <v/>
      </c>
      <c r="D379" s="94" t="str">
        <f>IF(AND(C379&lt;&gt;"", 'Cost Inputs'!$G$105&lt;&gt;""), 'Cost Inputs'!$G$105, "")</f>
        <v/>
      </c>
      <c r="E379" s="94" t="str">
        <f>IF(AND(C379&lt;&gt;"", 'Cost Inputs'!$H$105&lt;&gt;""), 'Cost Inputs'!$H$105, "")</f>
        <v/>
      </c>
      <c r="F379" s="492" t="str">
        <f>IF(AND(C379&lt;&gt;"", 'Cost Inputs'!$I$105&lt;&gt;""), 'Cost Inputs'!$I$105, "")</f>
        <v/>
      </c>
      <c r="G379" s="102" t="str">
        <f t="shared" si="25"/>
        <v/>
      </c>
      <c r="H379" s="492" t="str">
        <f>IF(AND(C379&lt;&gt;"", 'Cost Inputs'!$J$105&lt;&gt;""), 'Cost Inputs'!$J$105, "")</f>
        <v/>
      </c>
      <c r="I379" s="102" t="str">
        <f>IF($C379&lt;&gt;"",IF(AND($E379&lt;&gt;"",H379&lt;&gt;""), H379/$E379, 0),"")</f>
        <v/>
      </c>
      <c r="J379" s="492" t="str">
        <f>IF(AND(C379&lt;&gt;"",('Cost Inputs'!$I$105+'Cost Inputs'!$J$105+'Cost Inputs'!$K$105)&gt;0), 'Cost Inputs'!$I$105+'Cost Inputs'!$J$105+'Cost Inputs'!$K$105, "")</f>
        <v/>
      </c>
      <c r="K379" s="102" t="str">
        <f>IF($C379&lt;&gt;"",IF(AND($E379&lt;&gt;"",J379&lt;&gt;""), J379/$E379, 0),"")</f>
        <v/>
      </c>
      <c r="L379" s="525" t="str">
        <f>IF(AND($B379&lt;&gt;"", 'Breeding Inputs'!$C$89&lt;&gt;""), INDEX('Breeding Inputs'!$C$89:$C$98, MATCH($B379,'Breeding Inputs'!$B$89:$B$98,0)), IF($B379="", "", 0%))</f>
        <v/>
      </c>
      <c r="M379" s="525" t="str">
        <f>IF(AND($B379&lt;&gt;"", 'Breeding Inputs'!$D$89&lt;&gt;""), INDEX('Breeding Inputs'!$D$89:$D$98, MATCH($B379,'Breeding Inputs'!$B$89:$B$98,0))+INDEX('Breeding Inputs'!$E$89:$E$98, MATCH($B379,'Breeding Inputs'!$B$89:$B$98,0)), IF($B379="", "", 0%))</f>
        <v/>
      </c>
      <c r="S379" s="495" t="str">
        <f>IF(ISNUMBER('Model_ of_individuals'!S393), 'Model_ of_individuals'!S393*'Model_ of_individuals'!$K393,"")</f>
        <v/>
      </c>
      <c r="T379" s="495" t="str">
        <f>IF(ISNUMBER('Model_ of_individuals'!T393), 'Model_ of_individuals'!T393*'Model_ of_individuals'!$K393,"")</f>
        <v/>
      </c>
      <c r="U379" s="495" t="str">
        <f>IF(ISNUMBER('Model_ of_individuals'!U393), 'Model_ of_individuals'!U393*'Model_ of_individuals'!$K393,"")</f>
        <v/>
      </c>
      <c r="V379" s="495" t="str">
        <f>IF(ISNUMBER('Model_ of_individuals'!V393), 'Model_ of_individuals'!V393*'Model_ of_individuals'!$K393,"")</f>
        <v/>
      </c>
      <c r="W379" s="495" t="str">
        <f>IF(ISNUMBER('Model_ of_individuals'!W393), 'Model_ of_individuals'!W393*'Model_ of_individuals'!$K393,"")</f>
        <v/>
      </c>
      <c r="X379" s="495" t="str">
        <f>IF(ISNUMBER('Model_ of_individuals'!X393), 'Model_ of_individuals'!X393*'Model_ of_individuals'!$K393,"")</f>
        <v/>
      </c>
      <c r="Y379" s="495" t="str">
        <f>IF(ISNUMBER('Model_ of_individuals'!Y393), 'Model_ of_individuals'!Y393*'Model_ of_individuals'!$K393,"")</f>
        <v/>
      </c>
      <c r="Z379" s="495" t="str">
        <f>IF(ISNUMBER('Model_ of_individuals'!Z393), 'Model_ of_individuals'!Z393*'Model_ of_individuals'!$K393,"")</f>
        <v/>
      </c>
      <c r="AA379" s="495" t="str">
        <f>IF(ISNUMBER('Model_ of_individuals'!AA393), 'Model_ of_individuals'!AA393*'Model_ of_individuals'!$K393,"")</f>
        <v/>
      </c>
      <c r="AB379" s="495" t="str">
        <f>IF(ISNUMBER('Model_ of_individuals'!AB393), 'Model_ of_individuals'!AB393*'Model_ of_individuals'!$K393,"")</f>
        <v/>
      </c>
      <c r="AC379" s="495" t="str">
        <f>IF(ISNUMBER('Model_ of_individuals'!AC393), 'Model_ of_individuals'!AC393*'Model_ of_individuals'!$K393,"")</f>
        <v/>
      </c>
      <c r="AD379" s="495" t="str">
        <f>IF(ISNUMBER('Model_ of_individuals'!AD393), 'Model_ of_individuals'!AD393*'Model_ of_individuals'!$K393,"")</f>
        <v/>
      </c>
      <c r="AE379" s="495" t="str">
        <f>IF(ISNUMBER('Model_ of_individuals'!AE393), 'Model_ of_individuals'!AE393*'Model_ of_individuals'!$K393,"")</f>
        <v/>
      </c>
      <c r="AF379" s="495" t="str">
        <f>IF(ISNUMBER('Model_ of_individuals'!AF393), 'Model_ of_individuals'!AF393*'Model_ of_individuals'!$K393,"")</f>
        <v/>
      </c>
      <c r="AG379" s="495" t="str">
        <f>IF(ISNUMBER('Model_ of_individuals'!AG393), 'Model_ of_individuals'!AG393*'Model_ of_individuals'!$K393,"")</f>
        <v/>
      </c>
      <c r="AH379" s="495" t="str">
        <f>IF(ISNUMBER('Model_ of_individuals'!AH393), 'Model_ of_individuals'!AH393*'Model_ of_individuals'!$K393,"")</f>
        <v/>
      </c>
      <c r="AI379" s="495" t="str">
        <f>IF(ISNUMBER('Model_ of_individuals'!AI393), 'Model_ of_individuals'!AI393*'Model_ of_individuals'!$K393,"")</f>
        <v/>
      </c>
      <c r="AJ379" s="495" t="str">
        <f>IF(ISNUMBER('Model_ of_individuals'!AJ393), 'Model_ of_individuals'!AJ393*'Model_ of_individuals'!$K393,"")</f>
        <v/>
      </c>
      <c r="AK379" s="495" t="str">
        <f>IF(ISNUMBER('Model_ of_individuals'!AK393), 'Model_ of_individuals'!AK393*'Model_ of_individuals'!$K393,"")</f>
        <v/>
      </c>
      <c r="AL379" s="495" t="str">
        <f>IF(ISNUMBER('Model_ of_individuals'!AL393), 'Model_ of_individuals'!AL393*'Model_ of_individuals'!$K393,"")</f>
        <v/>
      </c>
      <c r="AM379" s="495" t="str">
        <f>IF(ISNUMBER('Model_ of_individuals'!AM393), 'Model_ of_individuals'!AM393*'Model_ of_individuals'!$K393,"")</f>
        <v/>
      </c>
      <c r="AN379" s="495" t="str">
        <f>IF(ISNUMBER('Model_ of_individuals'!AN393), 'Model_ of_individuals'!AN393*'Model_ of_individuals'!$K393,"")</f>
        <v/>
      </c>
      <c r="AO379" s="495" t="str">
        <f>IF(ISNUMBER('Model_ of_individuals'!AO393), 'Model_ of_individuals'!AO393*'Model_ of_individuals'!$K393,"")</f>
        <v/>
      </c>
      <c r="AP379" s="495" t="str">
        <f>IF(ISNUMBER('Model_ of_individuals'!AP393), 'Model_ of_individuals'!AP393*'Model_ of_individuals'!$K393,"")</f>
        <v/>
      </c>
      <c r="AQ379" s="495" t="str">
        <f>IF(ISNUMBER('Model_ of_individuals'!AQ393), 'Model_ of_individuals'!AQ393*'Model_ of_individuals'!$K393,"")</f>
        <v/>
      </c>
      <c r="AR379" s="495" t="str">
        <f>IF(ISNUMBER('Model_ of_individuals'!AR393), 'Model_ of_individuals'!AR393*'Model_ of_individuals'!$K393,"")</f>
        <v/>
      </c>
      <c r="AS379" s="495" t="str">
        <f>IF(ISNUMBER('Model_ of_individuals'!AS393), 'Model_ of_individuals'!AS393*'Model_ of_individuals'!$K393,"")</f>
        <v/>
      </c>
      <c r="AT379" s="517" t="str">
        <f>IF(ISNUMBER('Model_ of_individuals'!AT393), 'Model_ of_individuals'!AT393*'Model_ of_individuals'!$K393,"")</f>
        <v/>
      </c>
    </row>
    <row r="380" spans="1:46" x14ac:dyDescent="0.25">
      <c r="A380" s="518"/>
      <c r="B380" s="504"/>
      <c r="C380" s="521"/>
      <c r="D380" s="94" t="str">
        <f>IF(AND(C379&lt;&gt;"", 'Cost Inputs'!$G$106&lt;&gt;""), 'Cost Inputs'!$G$106, "")</f>
        <v/>
      </c>
      <c r="E380" s="94" t="str">
        <f>IF(AND(C379&lt;&gt;"", 'Cost Inputs'!H213&lt;&gt;""), 'Cost Inputs'!H213, "")</f>
        <v/>
      </c>
      <c r="F380" s="492"/>
      <c r="G380" s="102" t="str">
        <f t="shared" si="25"/>
        <v/>
      </c>
      <c r="H380" s="492"/>
      <c r="I380" s="102" t="str">
        <f>IF($C379&lt;&gt;"", IF(AND($E380&lt;&gt;"", H379&lt;&gt;""), H379/($E379*$E380), 0), "")</f>
        <v/>
      </c>
      <c r="J380" s="492" t="str">
        <f>IF(AND(C380&lt;&gt;"",('Cost Inputs'!$I$86+'Cost Inputs'!$J$86+'Cost Inputs'!$K$86)&gt;0), 'Cost Inputs'!$I$86+'Cost Inputs'!$J$86+'Cost Inputs'!$K$86, "")</f>
        <v/>
      </c>
      <c r="K380" s="102" t="str">
        <f>IF($C379&lt;&gt;"", IF(AND($E380&lt;&gt;"", J379&lt;&gt;""), J379/($E379*$E380), 0), "")</f>
        <v/>
      </c>
      <c r="L380" s="525"/>
      <c r="M380" s="525"/>
      <c r="S380" s="496" t="str">
        <f>IF(ISNUMBER('Model_ of_individuals'!S394), 'Model_ of_individuals'!S394*'Model_ of_individuals'!$K394,"")</f>
        <v/>
      </c>
      <c r="T380" s="496" t="str">
        <f>IF(ISNUMBER('Model_ of_individuals'!T394), 'Model_ of_individuals'!T394*'Model_ of_individuals'!$K394,"")</f>
        <v/>
      </c>
      <c r="U380" s="496" t="str">
        <f>IF(ISNUMBER('Model_ of_individuals'!U394), 'Model_ of_individuals'!U394*'Model_ of_individuals'!$K394,"")</f>
        <v/>
      </c>
      <c r="V380" s="496" t="str">
        <f>IF(ISNUMBER('Model_ of_individuals'!V394), 'Model_ of_individuals'!V394*'Model_ of_individuals'!$K394,"")</f>
        <v/>
      </c>
      <c r="W380" s="496" t="str">
        <f>IF(ISNUMBER('Model_ of_individuals'!W394), 'Model_ of_individuals'!W394*'Model_ of_individuals'!$K394,"")</f>
        <v/>
      </c>
      <c r="X380" s="496" t="str">
        <f>IF(ISNUMBER('Model_ of_individuals'!X394), 'Model_ of_individuals'!X394*'Model_ of_individuals'!$K394,"")</f>
        <v/>
      </c>
      <c r="Y380" s="496" t="str">
        <f>IF(ISNUMBER('Model_ of_individuals'!Y394), 'Model_ of_individuals'!Y394*'Model_ of_individuals'!$K394,"")</f>
        <v/>
      </c>
      <c r="Z380" s="496" t="str">
        <f>IF(ISNUMBER('Model_ of_individuals'!Z394), 'Model_ of_individuals'!Z394*'Model_ of_individuals'!$K394,"")</f>
        <v/>
      </c>
      <c r="AA380" s="496" t="str">
        <f>IF(ISNUMBER('Model_ of_individuals'!AA394), 'Model_ of_individuals'!AA394*'Model_ of_individuals'!$K394,"")</f>
        <v/>
      </c>
      <c r="AB380" s="496" t="str">
        <f>IF(ISNUMBER('Model_ of_individuals'!AB394), 'Model_ of_individuals'!AB394*'Model_ of_individuals'!$K394,"")</f>
        <v/>
      </c>
      <c r="AC380" s="496" t="str">
        <f>IF(ISNUMBER('Model_ of_individuals'!AC394), 'Model_ of_individuals'!AC394*'Model_ of_individuals'!$K394,"")</f>
        <v/>
      </c>
      <c r="AD380" s="496" t="str">
        <f>IF(ISNUMBER('Model_ of_individuals'!AD394), 'Model_ of_individuals'!AD394*'Model_ of_individuals'!$K394,"")</f>
        <v/>
      </c>
      <c r="AE380" s="496" t="str">
        <f>IF(ISNUMBER('Model_ of_individuals'!AE394), 'Model_ of_individuals'!AE394*'Model_ of_individuals'!$K394,"")</f>
        <v/>
      </c>
      <c r="AF380" s="496" t="str">
        <f>IF(ISNUMBER('Model_ of_individuals'!AF394), 'Model_ of_individuals'!AF394*'Model_ of_individuals'!$K394,"")</f>
        <v/>
      </c>
      <c r="AG380" s="496" t="str">
        <f>IF(ISNUMBER('Model_ of_individuals'!AG394), 'Model_ of_individuals'!AG394*'Model_ of_individuals'!$K394,"")</f>
        <v/>
      </c>
      <c r="AH380" s="496" t="str">
        <f>IF(ISNUMBER('Model_ of_individuals'!AH394), 'Model_ of_individuals'!AH394*'Model_ of_individuals'!$K394,"")</f>
        <v/>
      </c>
      <c r="AI380" s="496" t="str">
        <f>IF(ISNUMBER('Model_ of_individuals'!AI394), 'Model_ of_individuals'!AI394*'Model_ of_individuals'!$K394,"")</f>
        <v/>
      </c>
      <c r="AJ380" s="496" t="str">
        <f>IF(ISNUMBER('Model_ of_individuals'!AJ394), 'Model_ of_individuals'!AJ394*'Model_ of_individuals'!$K394,"")</f>
        <v/>
      </c>
      <c r="AK380" s="496" t="str">
        <f>IF(ISNUMBER('Model_ of_individuals'!AK394), 'Model_ of_individuals'!AK394*'Model_ of_individuals'!$K394,"")</f>
        <v/>
      </c>
      <c r="AL380" s="496" t="str">
        <f>IF(ISNUMBER('Model_ of_individuals'!AL394), 'Model_ of_individuals'!AL394*'Model_ of_individuals'!$K394,"")</f>
        <v/>
      </c>
      <c r="AM380" s="496" t="str">
        <f>IF(ISNUMBER('Model_ of_individuals'!AM394), 'Model_ of_individuals'!AM394*'Model_ of_individuals'!$K394,"")</f>
        <v/>
      </c>
      <c r="AN380" s="496" t="str">
        <f>IF(ISNUMBER('Model_ of_individuals'!AN394), 'Model_ of_individuals'!AN394*'Model_ of_individuals'!$K394,"")</f>
        <v/>
      </c>
      <c r="AO380" s="496" t="str">
        <f>IF(ISNUMBER('Model_ of_individuals'!AO394), 'Model_ of_individuals'!AO394*'Model_ of_individuals'!$K394,"")</f>
        <v/>
      </c>
      <c r="AP380" s="496" t="str">
        <f>IF(ISNUMBER('Model_ of_individuals'!AP394), 'Model_ of_individuals'!AP394*'Model_ of_individuals'!$K394,"")</f>
        <v/>
      </c>
      <c r="AQ380" s="496" t="str">
        <f>IF(ISNUMBER('Model_ of_individuals'!AQ394), 'Model_ of_individuals'!AQ394*'Model_ of_individuals'!$K394,"")</f>
        <v/>
      </c>
      <c r="AR380" s="496" t="str">
        <f>IF(ISNUMBER('Model_ of_individuals'!AR394), 'Model_ of_individuals'!AR394*'Model_ of_individuals'!$K394,"")</f>
        <v/>
      </c>
      <c r="AS380" s="496" t="str">
        <f>IF(ISNUMBER('Model_ of_individuals'!AS394), 'Model_ of_individuals'!AS394*'Model_ of_individuals'!$K394,"")</f>
        <v/>
      </c>
      <c r="AT380" s="517" t="str">
        <f>IF(ISNUMBER('Model_ of_individuals'!AT394), 'Model_ of_individuals'!AT394*'Model_ of_individuals'!$K394,"")</f>
        <v/>
      </c>
    </row>
    <row r="381" spans="1:46" x14ac:dyDescent="0.25">
      <c r="A381" s="518"/>
      <c r="B381" s="504"/>
      <c r="C381" s="104" t="str">
        <f>IF(AND(ISNUMBER(B379), OR('Cost Inputs'!$H$107&lt;&gt;"", 'Cost Inputs'!$I$107&lt;&gt;"", 'Cost Inputs'!$J$107&lt;&gt;"")), _4_3_1, "")</f>
        <v/>
      </c>
      <c r="D381" s="17" t="str">
        <f>IF(AND(C381&lt;&gt;"", 'Cost Inputs'!$G$107&lt;&gt;""), 'Cost Inputs'!$G$107, "")</f>
        <v/>
      </c>
      <c r="E381" s="17" t="str">
        <f>IF(AND(C381&lt;&gt;"", 'Cost Inputs'!$H$107&lt;&gt;""), 'Cost Inputs'!$H$107, "")</f>
        <v/>
      </c>
      <c r="F381" s="17" t="str">
        <f>IF(AND(C381&lt;&gt;"", 'Cost Inputs'!$I$107&lt;&gt;""), 'Cost Inputs'!$I$107, "")</f>
        <v/>
      </c>
      <c r="G381" s="105" t="str">
        <f t="shared" si="25"/>
        <v/>
      </c>
      <c r="H381" s="17" t="str">
        <f>IF(AND(C381&lt;&gt;"", 'Cost Inputs'!$J$107&lt;&gt;""), 'Cost Inputs'!$J$107, "")</f>
        <v/>
      </c>
      <c r="I381" s="17" t="str">
        <f t="shared" ref="I381:I389" si="30">IF($C381&lt;&gt;"", IF(AND($E381&lt;&gt;"", H381&lt;&gt;""), H381/$E381, 0),"")</f>
        <v/>
      </c>
      <c r="J381" s="17" t="str">
        <f>IF(AND(C381&lt;&gt;"",('Cost Inputs'!$I$107+'Cost Inputs'!$J$107+'Cost Inputs'!$K$107)&gt;0), 'Cost Inputs'!$I$107+'Cost Inputs'!$J$107+'Cost Inputs'!$K$107, "")</f>
        <v/>
      </c>
      <c r="K381" s="17" t="str">
        <f t="shared" ref="K381:K389" si="31">IF($C381&lt;&gt;"", IF(AND($E381&lt;&gt;"", J381&lt;&gt;""), J381/$E381, 0),"")</f>
        <v/>
      </c>
      <c r="L381" s="525"/>
      <c r="M381" s="525"/>
      <c r="S381" s="17" t="str">
        <f>IF(ISNUMBER('Model_ of_individuals'!S395), 'Model_ of_individuals'!S395*'Model_ of_individuals'!$K395,"")</f>
        <v/>
      </c>
      <c r="T381" s="17" t="str">
        <f>IF(ISNUMBER('Model_ of_individuals'!T395), 'Model_ of_individuals'!T395*'Model_ of_individuals'!$K395,"")</f>
        <v/>
      </c>
      <c r="U381" s="17" t="str">
        <f>IF(ISNUMBER('Model_ of_individuals'!U395), 'Model_ of_individuals'!U395*'Model_ of_individuals'!$K395,"")</f>
        <v/>
      </c>
      <c r="V381" s="17" t="str">
        <f>IF(ISNUMBER('Model_ of_individuals'!V395), 'Model_ of_individuals'!V395*'Model_ of_individuals'!$K395,"")</f>
        <v/>
      </c>
      <c r="W381" s="17" t="str">
        <f>IF(ISNUMBER('Model_ of_individuals'!W395), 'Model_ of_individuals'!W395*'Model_ of_individuals'!$K395,"")</f>
        <v/>
      </c>
      <c r="X381" s="17" t="str">
        <f>IF(ISNUMBER('Model_ of_individuals'!X395), 'Model_ of_individuals'!X395*'Model_ of_individuals'!$K395,"")</f>
        <v/>
      </c>
      <c r="Y381" s="17" t="str">
        <f>IF(ISNUMBER('Model_ of_individuals'!Y395), 'Model_ of_individuals'!Y395*'Model_ of_individuals'!$K395,"")</f>
        <v/>
      </c>
      <c r="Z381" s="17" t="str">
        <f>IF(ISNUMBER('Model_ of_individuals'!Z395), 'Model_ of_individuals'!Z395*'Model_ of_individuals'!$K395,"")</f>
        <v/>
      </c>
      <c r="AA381" s="17" t="str">
        <f>IF(ISNUMBER('Model_ of_individuals'!AA395), 'Model_ of_individuals'!AA395*'Model_ of_individuals'!$K395,"")</f>
        <v/>
      </c>
      <c r="AB381" s="17" t="str">
        <f>IF(ISNUMBER('Model_ of_individuals'!AB395), 'Model_ of_individuals'!AB395*'Model_ of_individuals'!$K395,"")</f>
        <v/>
      </c>
      <c r="AC381" s="17" t="str">
        <f>IF(ISNUMBER('Model_ of_individuals'!AC395), 'Model_ of_individuals'!AC395*'Model_ of_individuals'!$K395,"")</f>
        <v/>
      </c>
      <c r="AD381" s="17" t="str">
        <f>IF(ISNUMBER('Model_ of_individuals'!AD395), 'Model_ of_individuals'!AD395*'Model_ of_individuals'!$K395,"")</f>
        <v/>
      </c>
      <c r="AE381" s="17" t="str">
        <f>IF(ISNUMBER('Model_ of_individuals'!AE395), 'Model_ of_individuals'!AE395*'Model_ of_individuals'!$K395,"")</f>
        <v/>
      </c>
      <c r="AF381" s="17" t="str">
        <f>IF(ISNUMBER('Model_ of_individuals'!AF395), 'Model_ of_individuals'!AF395*'Model_ of_individuals'!$K395,"")</f>
        <v/>
      </c>
      <c r="AG381" s="17" t="str">
        <f>IF(ISNUMBER('Model_ of_individuals'!AG395), 'Model_ of_individuals'!AG395*'Model_ of_individuals'!$K395,"")</f>
        <v/>
      </c>
      <c r="AH381" s="17" t="str">
        <f>IF(ISNUMBER('Model_ of_individuals'!AH395), 'Model_ of_individuals'!AH395*'Model_ of_individuals'!$K395,"")</f>
        <v/>
      </c>
      <c r="AI381" s="17" t="str">
        <f>IF(ISNUMBER('Model_ of_individuals'!AI395), 'Model_ of_individuals'!AI395*'Model_ of_individuals'!$K395,"")</f>
        <v/>
      </c>
      <c r="AJ381" s="17" t="str">
        <f>IF(ISNUMBER('Model_ of_individuals'!AJ395), 'Model_ of_individuals'!AJ395*'Model_ of_individuals'!$K395,"")</f>
        <v/>
      </c>
      <c r="AK381" s="17" t="str">
        <f>IF(ISNUMBER('Model_ of_individuals'!AK395), 'Model_ of_individuals'!AK395*'Model_ of_individuals'!$K395,"")</f>
        <v/>
      </c>
      <c r="AL381" s="17" t="str">
        <f>IF(ISNUMBER('Model_ of_individuals'!AL395), 'Model_ of_individuals'!AL395*'Model_ of_individuals'!$K395,"")</f>
        <v/>
      </c>
      <c r="AM381" s="17" t="str">
        <f>IF(ISNUMBER('Model_ of_individuals'!AM395), 'Model_ of_individuals'!AM395*'Model_ of_individuals'!$K395,"")</f>
        <v/>
      </c>
      <c r="AN381" s="17" t="str">
        <f>IF(ISNUMBER('Model_ of_individuals'!AN395), 'Model_ of_individuals'!AN395*'Model_ of_individuals'!$K395,"")</f>
        <v/>
      </c>
      <c r="AO381" s="17" t="str">
        <f>IF(ISNUMBER('Model_ of_individuals'!AO395), 'Model_ of_individuals'!AO395*'Model_ of_individuals'!$K395,"")</f>
        <v/>
      </c>
      <c r="AP381" s="17" t="str">
        <f>IF(ISNUMBER('Model_ of_individuals'!AP395), 'Model_ of_individuals'!AP395*'Model_ of_individuals'!$K395,"")</f>
        <v/>
      </c>
      <c r="AQ381" s="17" t="str">
        <f>IF(ISNUMBER('Model_ of_individuals'!AQ395), 'Model_ of_individuals'!AQ395*'Model_ of_individuals'!$K395,"")</f>
        <v/>
      </c>
      <c r="AR381" s="17" t="str">
        <f>IF(ISNUMBER('Model_ of_individuals'!AR395), 'Model_ of_individuals'!AR395*'Model_ of_individuals'!$K395,"")</f>
        <v/>
      </c>
      <c r="AS381" s="17" t="str">
        <f>IF(ISNUMBER('Model_ of_individuals'!AS395), 'Model_ of_individuals'!AS395*'Model_ of_individuals'!$K395,"")</f>
        <v/>
      </c>
      <c r="AT381" s="17" t="str">
        <f>IF(ISNUMBER('Model_ of_individuals'!AT395), 'Model_ of_individuals'!AT395*'Model_ of_individuals'!$K395,"")</f>
        <v/>
      </c>
    </row>
    <row r="382" spans="1:46" x14ac:dyDescent="0.25">
      <c r="A382" s="518"/>
      <c r="B382" s="504"/>
      <c r="C382" s="107" t="str">
        <f>IF(AND(ISNUMBER(B379), OR('Cost Inputs'!$H$108&lt;&gt;"", 'Cost Inputs'!$I$108&lt;&gt;"", 'Cost Inputs'!$J$108&lt;&gt;"")), _4_3_2, "")</f>
        <v/>
      </c>
      <c r="D382" s="93" t="str">
        <f>IF(AND(C382&lt;&gt;"", 'Cost Inputs'!$G$108&lt;&gt;""), 'Cost Inputs'!$G$108, "")</f>
        <v/>
      </c>
      <c r="E382" s="93" t="str">
        <f>IF(AND(C382&lt;&gt;"", 'Cost Inputs'!$H$108&lt;&gt;""), 'Cost Inputs'!$H$108, "")</f>
        <v/>
      </c>
      <c r="F382" s="93" t="str">
        <f>IF(AND(C382&lt;&gt;"", 'Cost Inputs'!$I$108&lt;&gt;""), 'Cost Inputs'!$I$108, "")</f>
        <v/>
      </c>
      <c r="G382" s="108" t="str">
        <f t="shared" si="25"/>
        <v/>
      </c>
      <c r="H382" s="93" t="str">
        <f>IF(AND(C382&lt;&gt;"", 'Cost Inputs'!$J$108&lt;&gt;""), 'Cost Inputs'!$J$108, "")</f>
        <v/>
      </c>
      <c r="I382" s="93" t="str">
        <f t="shared" si="30"/>
        <v/>
      </c>
      <c r="J382" s="93" t="str">
        <f>IF(AND(C382&lt;&gt;"",('Cost Inputs'!$I$108+'Cost Inputs'!$J$108+'Cost Inputs'!$K$108)&gt;0), 'Cost Inputs'!$I$108+'Cost Inputs'!$J$108+'Cost Inputs'!$K$108, "")</f>
        <v/>
      </c>
      <c r="K382" s="93" t="str">
        <f t="shared" si="31"/>
        <v/>
      </c>
      <c r="L382" s="525"/>
      <c r="M382" s="525"/>
      <c r="S382" s="93" t="str">
        <f>IF(ISNUMBER('Model_ of_individuals'!S396), 'Model_ of_individuals'!S396*'Model_ of_individuals'!$K396,"")</f>
        <v/>
      </c>
      <c r="T382" s="93" t="str">
        <f>IF(ISNUMBER('Model_ of_individuals'!T396), 'Model_ of_individuals'!T396*'Model_ of_individuals'!$K396,"")</f>
        <v/>
      </c>
      <c r="U382" s="93" t="str">
        <f>IF(ISNUMBER('Model_ of_individuals'!U396), 'Model_ of_individuals'!U396*'Model_ of_individuals'!$K396,"")</f>
        <v/>
      </c>
      <c r="V382" s="93" t="str">
        <f>IF(ISNUMBER('Model_ of_individuals'!V396), 'Model_ of_individuals'!V396*'Model_ of_individuals'!$K396,"")</f>
        <v/>
      </c>
      <c r="W382" s="93" t="str">
        <f>IF(ISNUMBER('Model_ of_individuals'!W396), 'Model_ of_individuals'!W396*'Model_ of_individuals'!$K396,"")</f>
        <v/>
      </c>
      <c r="X382" s="93" t="str">
        <f>IF(ISNUMBER('Model_ of_individuals'!X396), 'Model_ of_individuals'!X396*'Model_ of_individuals'!$K396,"")</f>
        <v/>
      </c>
      <c r="Y382" s="93" t="str">
        <f>IF(ISNUMBER('Model_ of_individuals'!Y396), 'Model_ of_individuals'!Y396*'Model_ of_individuals'!$K396,"")</f>
        <v/>
      </c>
      <c r="Z382" s="93" t="str">
        <f>IF(ISNUMBER('Model_ of_individuals'!Z396), 'Model_ of_individuals'!Z396*'Model_ of_individuals'!$K396,"")</f>
        <v/>
      </c>
      <c r="AA382" s="93" t="str">
        <f>IF(ISNUMBER('Model_ of_individuals'!AA396), 'Model_ of_individuals'!AA396*'Model_ of_individuals'!$K396,"")</f>
        <v/>
      </c>
      <c r="AB382" s="93" t="str">
        <f>IF(ISNUMBER('Model_ of_individuals'!AB396), 'Model_ of_individuals'!AB396*'Model_ of_individuals'!$K396,"")</f>
        <v/>
      </c>
      <c r="AC382" s="93" t="str">
        <f>IF(ISNUMBER('Model_ of_individuals'!AC396), 'Model_ of_individuals'!AC396*'Model_ of_individuals'!$K396,"")</f>
        <v/>
      </c>
      <c r="AD382" s="93" t="str">
        <f>IF(ISNUMBER('Model_ of_individuals'!AD396), 'Model_ of_individuals'!AD396*'Model_ of_individuals'!$K396,"")</f>
        <v/>
      </c>
      <c r="AE382" s="93" t="str">
        <f>IF(ISNUMBER('Model_ of_individuals'!AE396), 'Model_ of_individuals'!AE396*'Model_ of_individuals'!$K396,"")</f>
        <v/>
      </c>
      <c r="AF382" s="93" t="str">
        <f>IF(ISNUMBER('Model_ of_individuals'!AF396), 'Model_ of_individuals'!AF396*'Model_ of_individuals'!$K396,"")</f>
        <v/>
      </c>
      <c r="AG382" s="93" t="str">
        <f>IF(ISNUMBER('Model_ of_individuals'!AG396), 'Model_ of_individuals'!AG396*'Model_ of_individuals'!$K396,"")</f>
        <v/>
      </c>
      <c r="AH382" s="93" t="str">
        <f>IF(ISNUMBER('Model_ of_individuals'!AH396), 'Model_ of_individuals'!AH396*'Model_ of_individuals'!$K396,"")</f>
        <v/>
      </c>
      <c r="AI382" s="93" t="str">
        <f>IF(ISNUMBER('Model_ of_individuals'!AI396), 'Model_ of_individuals'!AI396*'Model_ of_individuals'!$K396,"")</f>
        <v/>
      </c>
      <c r="AJ382" s="93" t="str">
        <f>IF(ISNUMBER('Model_ of_individuals'!AJ396), 'Model_ of_individuals'!AJ396*'Model_ of_individuals'!$K396,"")</f>
        <v/>
      </c>
      <c r="AK382" s="93" t="str">
        <f>IF(ISNUMBER('Model_ of_individuals'!AK396), 'Model_ of_individuals'!AK396*'Model_ of_individuals'!$K396,"")</f>
        <v/>
      </c>
      <c r="AL382" s="93" t="str">
        <f>IF(ISNUMBER('Model_ of_individuals'!AL396), 'Model_ of_individuals'!AL396*'Model_ of_individuals'!$K396,"")</f>
        <v/>
      </c>
      <c r="AM382" s="93" t="str">
        <f>IF(ISNUMBER('Model_ of_individuals'!AM396), 'Model_ of_individuals'!AM396*'Model_ of_individuals'!$K396,"")</f>
        <v/>
      </c>
      <c r="AN382" s="93" t="str">
        <f>IF(ISNUMBER('Model_ of_individuals'!AN396), 'Model_ of_individuals'!AN396*'Model_ of_individuals'!$K396,"")</f>
        <v/>
      </c>
      <c r="AO382" s="93" t="str">
        <f>IF(ISNUMBER('Model_ of_individuals'!AO396), 'Model_ of_individuals'!AO396*'Model_ of_individuals'!$K396,"")</f>
        <v/>
      </c>
      <c r="AP382" s="93" t="str">
        <f>IF(ISNUMBER('Model_ of_individuals'!AP396), 'Model_ of_individuals'!AP396*'Model_ of_individuals'!$K396,"")</f>
        <v/>
      </c>
      <c r="AQ382" s="93" t="str">
        <f>IF(ISNUMBER('Model_ of_individuals'!AQ396), 'Model_ of_individuals'!AQ396*'Model_ of_individuals'!$K396,"")</f>
        <v/>
      </c>
      <c r="AR382" s="93" t="str">
        <f>IF(ISNUMBER('Model_ of_individuals'!AR396), 'Model_ of_individuals'!AR396*'Model_ of_individuals'!$K396,"")</f>
        <v/>
      </c>
      <c r="AS382" s="93" t="str">
        <f>IF(ISNUMBER('Model_ of_individuals'!AS396), 'Model_ of_individuals'!AS396*'Model_ of_individuals'!$K396,"")</f>
        <v/>
      </c>
      <c r="AT382" s="93" t="str">
        <f>IF(ISNUMBER('Model_ of_individuals'!AT396), 'Model_ of_individuals'!AT396*'Model_ of_individuals'!$K396,"")</f>
        <v/>
      </c>
    </row>
    <row r="383" spans="1:46" x14ac:dyDescent="0.25">
      <c r="A383" s="518"/>
      <c r="B383" s="504"/>
      <c r="C383" s="110" t="str">
        <f>IF(ISNUMBER(B379), _4_4_0, "")</f>
        <v/>
      </c>
      <c r="D383" s="94" t="str">
        <f>IF(AND(C383&lt;&gt;"", 'Cost Inputs'!$G$109&lt;&gt;""), 'Cost Inputs'!$G$109, "")</f>
        <v/>
      </c>
      <c r="E383" s="94" t="str">
        <f>IF(AND(C383&lt;&gt;"", 'Cost Inputs'!$H$109&lt;&gt;""), 'Cost Inputs'!$H$109, "")</f>
        <v/>
      </c>
      <c r="F383" s="94" t="str">
        <f>IF(AND(C383&lt;&gt;"", 'Cost Inputs'!$I$109&lt;&gt;""), 'Cost Inputs'!$I$109, "")</f>
        <v/>
      </c>
      <c r="G383" s="102" t="str">
        <f t="shared" si="25"/>
        <v/>
      </c>
      <c r="H383" s="102" t="str">
        <f>IF(AND(C383&lt;&gt;"", 'Cost Inputs'!$J$109&lt;&gt;""), 'Cost Inputs'!$J$109, "")</f>
        <v/>
      </c>
      <c r="I383" s="102" t="str">
        <f t="shared" si="30"/>
        <v/>
      </c>
      <c r="J383" s="102" t="str">
        <f>IF(AND(C383&lt;&gt;"",('Cost Inputs'!$I$109+'Cost Inputs'!$J$109+'Cost Inputs'!$K$109)&gt;0), 'Cost Inputs'!$I$109+'Cost Inputs'!$J$109+'Cost Inputs'!$K$109, "")</f>
        <v/>
      </c>
      <c r="K383" s="102" t="str">
        <f t="shared" si="31"/>
        <v/>
      </c>
      <c r="L383" s="525"/>
      <c r="M383" s="525"/>
      <c r="S383" s="102" t="str">
        <f>IF(ISNUMBER('Model_ of_individuals'!S397), 'Model_ of_individuals'!S397*'Model_ of_individuals'!$K397,"")</f>
        <v/>
      </c>
      <c r="T383" s="102" t="str">
        <f>IF(ISNUMBER('Model_ of_individuals'!T397), 'Model_ of_individuals'!T397*'Model_ of_individuals'!$K397,"")</f>
        <v/>
      </c>
      <c r="U383" s="102" t="str">
        <f>IF(ISNUMBER('Model_ of_individuals'!U397), 'Model_ of_individuals'!U397*'Model_ of_individuals'!$K397,"")</f>
        <v/>
      </c>
      <c r="V383" s="102" t="str">
        <f>IF(ISNUMBER('Model_ of_individuals'!V397), 'Model_ of_individuals'!V397*'Model_ of_individuals'!$K397,"")</f>
        <v/>
      </c>
      <c r="W383" s="102" t="str">
        <f>IF(ISNUMBER('Model_ of_individuals'!W397), 'Model_ of_individuals'!W397*'Model_ of_individuals'!$K397,"")</f>
        <v/>
      </c>
      <c r="X383" s="102" t="str">
        <f>IF(ISNUMBER('Model_ of_individuals'!X397), 'Model_ of_individuals'!X397*'Model_ of_individuals'!$K397,"")</f>
        <v/>
      </c>
      <c r="Y383" s="102" t="str">
        <f>IF(ISNUMBER('Model_ of_individuals'!Y397), 'Model_ of_individuals'!Y397*'Model_ of_individuals'!$K397,"")</f>
        <v/>
      </c>
      <c r="Z383" s="102" t="str">
        <f>IF(ISNUMBER('Model_ of_individuals'!Z397), 'Model_ of_individuals'!Z397*'Model_ of_individuals'!$K397,"")</f>
        <v/>
      </c>
      <c r="AA383" s="102" t="str">
        <f>IF(ISNUMBER('Model_ of_individuals'!AA397), 'Model_ of_individuals'!AA397*'Model_ of_individuals'!$K397,"")</f>
        <v/>
      </c>
      <c r="AB383" s="102" t="str">
        <f>IF(ISNUMBER('Model_ of_individuals'!AB397), 'Model_ of_individuals'!AB397*'Model_ of_individuals'!$K397,"")</f>
        <v/>
      </c>
      <c r="AC383" s="102" t="str">
        <f>IF(ISNUMBER('Model_ of_individuals'!AC397), 'Model_ of_individuals'!AC397*'Model_ of_individuals'!$K397,"")</f>
        <v/>
      </c>
      <c r="AD383" s="102" t="str">
        <f>IF(ISNUMBER('Model_ of_individuals'!AD397), 'Model_ of_individuals'!AD397*'Model_ of_individuals'!$K397,"")</f>
        <v/>
      </c>
      <c r="AE383" s="102" t="str">
        <f>IF(ISNUMBER('Model_ of_individuals'!AE397), 'Model_ of_individuals'!AE397*'Model_ of_individuals'!$K397,"")</f>
        <v/>
      </c>
      <c r="AF383" s="102" t="str">
        <f>IF(ISNUMBER('Model_ of_individuals'!AF397), 'Model_ of_individuals'!AF397*'Model_ of_individuals'!$K397,"")</f>
        <v/>
      </c>
      <c r="AG383" s="102" t="str">
        <f>IF(ISNUMBER('Model_ of_individuals'!AG397), 'Model_ of_individuals'!AG397*'Model_ of_individuals'!$K397,"")</f>
        <v/>
      </c>
      <c r="AH383" s="102" t="str">
        <f>IF(ISNUMBER('Model_ of_individuals'!AH397), 'Model_ of_individuals'!AH397*'Model_ of_individuals'!$K397,"")</f>
        <v/>
      </c>
      <c r="AI383" s="102" t="str">
        <f>IF(ISNUMBER('Model_ of_individuals'!AI397), 'Model_ of_individuals'!AI397*'Model_ of_individuals'!$K397,"")</f>
        <v/>
      </c>
      <c r="AJ383" s="102" t="str">
        <f>IF(ISNUMBER('Model_ of_individuals'!AJ397), 'Model_ of_individuals'!AJ397*'Model_ of_individuals'!$K397,"")</f>
        <v/>
      </c>
      <c r="AK383" s="102" t="str">
        <f>IF(ISNUMBER('Model_ of_individuals'!AK397), 'Model_ of_individuals'!AK397*'Model_ of_individuals'!$K397,"")</f>
        <v/>
      </c>
      <c r="AL383" s="102" t="str">
        <f>IF(ISNUMBER('Model_ of_individuals'!AL397), 'Model_ of_individuals'!AL397*'Model_ of_individuals'!$K397,"")</f>
        <v/>
      </c>
      <c r="AM383" s="102" t="str">
        <f>IF(ISNUMBER('Model_ of_individuals'!AM397), 'Model_ of_individuals'!AM397*'Model_ of_individuals'!$K397,"")</f>
        <v/>
      </c>
      <c r="AN383" s="102" t="str">
        <f>IF(ISNUMBER('Model_ of_individuals'!AN397), 'Model_ of_individuals'!AN397*'Model_ of_individuals'!$K397,"")</f>
        <v/>
      </c>
      <c r="AO383" s="102" t="str">
        <f>IF(ISNUMBER('Model_ of_individuals'!AO397), 'Model_ of_individuals'!AO397*'Model_ of_individuals'!$K397,"")</f>
        <v/>
      </c>
      <c r="AP383" s="102" t="str">
        <f>IF(ISNUMBER('Model_ of_individuals'!AP397), 'Model_ of_individuals'!AP397*'Model_ of_individuals'!$K397,"")</f>
        <v/>
      </c>
      <c r="AQ383" s="102" t="str">
        <f>IF(ISNUMBER('Model_ of_individuals'!AQ397), 'Model_ of_individuals'!AQ397*'Model_ of_individuals'!$K397,"")</f>
        <v/>
      </c>
      <c r="AR383" s="102" t="str">
        <f>IF(ISNUMBER('Model_ of_individuals'!AR397), 'Model_ of_individuals'!AR397*'Model_ of_individuals'!$K397,"")</f>
        <v/>
      </c>
      <c r="AS383" s="102" t="str">
        <f>IF(ISNUMBER('Model_ of_individuals'!AS397), 'Model_ of_individuals'!AS397*'Model_ of_individuals'!$K397,"")</f>
        <v/>
      </c>
      <c r="AT383" s="102" t="str">
        <f>IF(ISNUMBER('Model_ of_individuals'!AT397), 'Model_ of_individuals'!AT397*'Model_ of_individuals'!$K397,"")</f>
        <v/>
      </c>
    </row>
    <row r="384" spans="1:46" x14ac:dyDescent="0.25">
      <c r="A384" s="518"/>
      <c r="B384" s="504"/>
      <c r="C384" s="104" t="str">
        <f>IF(AND(ISNUMBER(B379), OR('Cost Inputs'!$H$110&lt;&gt;"", 'Cost Inputs'!$I$110&lt;&gt;"", 'Cost Inputs'!$J$110&lt;&gt;"")), _4_4_1, "")</f>
        <v/>
      </c>
      <c r="D384" s="17" t="str">
        <f>IF(AND(C384&lt;&gt;"", 'Cost Inputs'!$G$110&lt;&gt;""), 'Cost Inputs'!$G$110, "")</f>
        <v/>
      </c>
      <c r="E384" s="17" t="str">
        <f>IF(AND(C384&lt;&gt;"", 'Cost Inputs'!$H$110&lt;&gt;""), 'Cost Inputs'!$H$110, "")</f>
        <v/>
      </c>
      <c r="F384" s="17" t="str">
        <f>IF(AND(C384&lt;&gt;"", 'Cost Inputs'!$I$110&lt;&gt;""), 'Cost Inputs'!$I$110, "")</f>
        <v/>
      </c>
      <c r="G384" s="105" t="str">
        <f t="shared" si="25"/>
        <v/>
      </c>
      <c r="H384" s="17" t="str">
        <f>IF(AND(C384&lt;&gt;"", 'Cost Inputs'!$J$110&lt;&gt;""), 'Cost Inputs'!$J$110, "")</f>
        <v/>
      </c>
      <c r="I384" s="17" t="str">
        <f t="shared" si="30"/>
        <v/>
      </c>
      <c r="J384" s="17" t="str">
        <f>IF(AND(C384&lt;&gt;"",('Cost Inputs'!$I$110+'Cost Inputs'!$J$110+'Cost Inputs'!$K$110)&gt;0), 'Cost Inputs'!$I$110+'Cost Inputs'!$J$110+'Cost Inputs'!$K$110, "")</f>
        <v/>
      </c>
      <c r="K384" s="17" t="str">
        <f t="shared" si="31"/>
        <v/>
      </c>
      <c r="L384" s="525"/>
      <c r="M384" s="525"/>
      <c r="S384" s="17" t="str">
        <f>IF(ISNUMBER('Model_ of_individuals'!S398), 'Model_ of_individuals'!S398*'Model_ of_individuals'!$K398,"")</f>
        <v/>
      </c>
      <c r="T384" s="17" t="str">
        <f>IF(ISNUMBER('Model_ of_individuals'!T398), 'Model_ of_individuals'!T398*'Model_ of_individuals'!$K398,"")</f>
        <v/>
      </c>
      <c r="U384" s="17" t="str">
        <f>IF(ISNUMBER('Model_ of_individuals'!U398), 'Model_ of_individuals'!U398*'Model_ of_individuals'!$K398,"")</f>
        <v/>
      </c>
      <c r="V384" s="17" t="str">
        <f>IF(ISNUMBER('Model_ of_individuals'!V398), 'Model_ of_individuals'!V398*'Model_ of_individuals'!$K398,"")</f>
        <v/>
      </c>
      <c r="W384" s="17" t="str">
        <f>IF(ISNUMBER('Model_ of_individuals'!W398), 'Model_ of_individuals'!W398*'Model_ of_individuals'!$K398,"")</f>
        <v/>
      </c>
      <c r="X384" s="17" t="str">
        <f>IF(ISNUMBER('Model_ of_individuals'!X398), 'Model_ of_individuals'!X398*'Model_ of_individuals'!$K398,"")</f>
        <v/>
      </c>
      <c r="Y384" s="17" t="str">
        <f>IF(ISNUMBER('Model_ of_individuals'!Y398), 'Model_ of_individuals'!Y398*'Model_ of_individuals'!$K398,"")</f>
        <v/>
      </c>
      <c r="Z384" s="17" t="str">
        <f>IF(ISNUMBER('Model_ of_individuals'!Z398), 'Model_ of_individuals'!Z398*'Model_ of_individuals'!$K398,"")</f>
        <v/>
      </c>
      <c r="AA384" s="17" t="str">
        <f>IF(ISNUMBER('Model_ of_individuals'!AA398), 'Model_ of_individuals'!AA398*'Model_ of_individuals'!$K398,"")</f>
        <v/>
      </c>
      <c r="AB384" s="17" t="str">
        <f>IF(ISNUMBER('Model_ of_individuals'!AB398), 'Model_ of_individuals'!AB398*'Model_ of_individuals'!$K398,"")</f>
        <v/>
      </c>
      <c r="AC384" s="17" t="str">
        <f>IF(ISNUMBER('Model_ of_individuals'!AC398), 'Model_ of_individuals'!AC398*'Model_ of_individuals'!$K398,"")</f>
        <v/>
      </c>
      <c r="AD384" s="17" t="str">
        <f>IF(ISNUMBER('Model_ of_individuals'!AD398), 'Model_ of_individuals'!AD398*'Model_ of_individuals'!$K398,"")</f>
        <v/>
      </c>
      <c r="AE384" s="17" t="str">
        <f>IF(ISNUMBER('Model_ of_individuals'!AE398), 'Model_ of_individuals'!AE398*'Model_ of_individuals'!$K398,"")</f>
        <v/>
      </c>
      <c r="AF384" s="17" t="str">
        <f>IF(ISNUMBER('Model_ of_individuals'!AF398), 'Model_ of_individuals'!AF398*'Model_ of_individuals'!$K398,"")</f>
        <v/>
      </c>
      <c r="AG384" s="17" t="str">
        <f>IF(ISNUMBER('Model_ of_individuals'!AG398), 'Model_ of_individuals'!AG398*'Model_ of_individuals'!$K398,"")</f>
        <v/>
      </c>
      <c r="AH384" s="17" t="str">
        <f>IF(ISNUMBER('Model_ of_individuals'!AH398), 'Model_ of_individuals'!AH398*'Model_ of_individuals'!$K398,"")</f>
        <v/>
      </c>
      <c r="AI384" s="17" t="str">
        <f>IF(ISNUMBER('Model_ of_individuals'!AI398), 'Model_ of_individuals'!AI398*'Model_ of_individuals'!$K398,"")</f>
        <v/>
      </c>
      <c r="AJ384" s="17" t="str">
        <f>IF(ISNUMBER('Model_ of_individuals'!AJ398), 'Model_ of_individuals'!AJ398*'Model_ of_individuals'!$K398,"")</f>
        <v/>
      </c>
      <c r="AK384" s="17" t="str">
        <f>IF(ISNUMBER('Model_ of_individuals'!AK398), 'Model_ of_individuals'!AK398*'Model_ of_individuals'!$K398,"")</f>
        <v/>
      </c>
      <c r="AL384" s="17" t="str">
        <f>IF(ISNUMBER('Model_ of_individuals'!AL398), 'Model_ of_individuals'!AL398*'Model_ of_individuals'!$K398,"")</f>
        <v/>
      </c>
      <c r="AM384" s="17" t="str">
        <f>IF(ISNUMBER('Model_ of_individuals'!AM398), 'Model_ of_individuals'!AM398*'Model_ of_individuals'!$K398,"")</f>
        <v/>
      </c>
      <c r="AN384" s="17" t="str">
        <f>IF(ISNUMBER('Model_ of_individuals'!AN398), 'Model_ of_individuals'!AN398*'Model_ of_individuals'!$K398,"")</f>
        <v/>
      </c>
      <c r="AO384" s="17" t="str">
        <f>IF(ISNUMBER('Model_ of_individuals'!AO398), 'Model_ of_individuals'!AO398*'Model_ of_individuals'!$K398,"")</f>
        <v/>
      </c>
      <c r="AP384" s="17" t="str">
        <f>IF(ISNUMBER('Model_ of_individuals'!AP398), 'Model_ of_individuals'!AP398*'Model_ of_individuals'!$K398,"")</f>
        <v/>
      </c>
      <c r="AQ384" s="17" t="str">
        <f>IF(ISNUMBER('Model_ of_individuals'!AQ398), 'Model_ of_individuals'!AQ398*'Model_ of_individuals'!$K398,"")</f>
        <v/>
      </c>
      <c r="AR384" s="17" t="str">
        <f>IF(ISNUMBER('Model_ of_individuals'!AR398), 'Model_ of_individuals'!AR398*'Model_ of_individuals'!$K398,"")</f>
        <v/>
      </c>
      <c r="AS384" s="17" t="str">
        <f>IF(ISNUMBER('Model_ of_individuals'!AS398), 'Model_ of_individuals'!AS398*'Model_ of_individuals'!$K398,"")</f>
        <v/>
      </c>
      <c r="AT384" s="17" t="str">
        <f>IF(ISNUMBER('Model_ of_individuals'!AT398), 'Model_ of_individuals'!AT398*'Model_ of_individuals'!$K398,"")</f>
        <v/>
      </c>
    </row>
    <row r="385" spans="1:46" x14ac:dyDescent="0.25">
      <c r="A385" s="518"/>
      <c r="B385" s="504"/>
      <c r="C385" s="107" t="str">
        <f>IF(AND(ISNUMBER(B379), OR('Cost Inputs'!$H$111&lt;&gt;"", 'Cost Inputs'!$I$111&lt;&gt;"", 'Cost Inputs'!$J$111&lt;&gt;"")), _4_4_2, "")</f>
        <v/>
      </c>
      <c r="D385" s="93" t="str">
        <f>IF(AND(C385&lt;&gt;"", 'Cost Inputs'!$G$111&lt;&gt;""), 'Cost Inputs'!$G$111, "")</f>
        <v/>
      </c>
      <c r="E385" s="93" t="str">
        <f>IF(AND(C385&lt;&gt;"", 'Cost Inputs'!$H$111&lt;&gt;""), 'Cost Inputs'!$H$111, "")</f>
        <v/>
      </c>
      <c r="F385" s="93" t="str">
        <f>IF(AND(C385&lt;&gt;"", 'Cost Inputs'!$I$111&lt;&gt;""), 'Cost Inputs'!$I$111, "")</f>
        <v/>
      </c>
      <c r="G385" s="108" t="str">
        <f t="shared" si="25"/>
        <v/>
      </c>
      <c r="H385" s="93" t="str">
        <f>IF(AND(C385&lt;&gt;"", 'Cost Inputs'!$J$111&lt;&gt;""), 'Cost Inputs'!$J$111, "")</f>
        <v/>
      </c>
      <c r="I385" s="93" t="str">
        <f t="shared" si="30"/>
        <v/>
      </c>
      <c r="J385" s="93" t="str">
        <f>IF(AND(C385&lt;&gt;"",('Cost Inputs'!$I$111+'Cost Inputs'!$J$111+'Cost Inputs'!$K$111)&gt;0), 'Cost Inputs'!$I$111+'Cost Inputs'!$J$111+'Cost Inputs'!$K$111, "")</f>
        <v/>
      </c>
      <c r="K385" s="93" t="str">
        <f t="shared" si="31"/>
        <v/>
      </c>
      <c r="L385" s="525"/>
      <c r="M385" s="525"/>
      <c r="S385" s="93" t="str">
        <f>IF(ISNUMBER('Model_ of_individuals'!S399), 'Model_ of_individuals'!S399*'Model_ of_individuals'!$K399,"")</f>
        <v/>
      </c>
      <c r="T385" s="93" t="str">
        <f>IF(ISNUMBER('Model_ of_individuals'!T399), 'Model_ of_individuals'!T399*'Model_ of_individuals'!$K399,"")</f>
        <v/>
      </c>
      <c r="U385" s="93" t="str">
        <f>IF(ISNUMBER('Model_ of_individuals'!U399), 'Model_ of_individuals'!U399*'Model_ of_individuals'!$K399,"")</f>
        <v/>
      </c>
      <c r="V385" s="93" t="str">
        <f>IF(ISNUMBER('Model_ of_individuals'!V399), 'Model_ of_individuals'!V399*'Model_ of_individuals'!$K399,"")</f>
        <v/>
      </c>
      <c r="W385" s="93" t="str">
        <f>IF(ISNUMBER('Model_ of_individuals'!W399), 'Model_ of_individuals'!W399*'Model_ of_individuals'!$K399,"")</f>
        <v/>
      </c>
      <c r="X385" s="93" t="str">
        <f>IF(ISNUMBER('Model_ of_individuals'!X399), 'Model_ of_individuals'!X399*'Model_ of_individuals'!$K399,"")</f>
        <v/>
      </c>
      <c r="Y385" s="93" t="str">
        <f>IF(ISNUMBER('Model_ of_individuals'!Y399), 'Model_ of_individuals'!Y399*'Model_ of_individuals'!$K399,"")</f>
        <v/>
      </c>
      <c r="Z385" s="93" t="str">
        <f>IF(ISNUMBER('Model_ of_individuals'!Z399), 'Model_ of_individuals'!Z399*'Model_ of_individuals'!$K399,"")</f>
        <v/>
      </c>
      <c r="AA385" s="93" t="str">
        <f>IF(ISNUMBER('Model_ of_individuals'!AA399), 'Model_ of_individuals'!AA399*'Model_ of_individuals'!$K399,"")</f>
        <v/>
      </c>
      <c r="AB385" s="93" t="str">
        <f>IF(ISNUMBER('Model_ of_individuals'!AB399), 'Model_ of_individuals'!AB399*'Model_ of_individuals'!$K399,"")</f>
        <v/>
      </c>
      <c r="AC385" s="93" t="str">
        <f>IF(ISNUMBER('Model_ of_individuals'!AC399), 'Model_ of_individuals'!AC399*'Model_ of_individuals'!$K399,"")</f>
        <v/>
      </c>
      <c r="AD385" s="93" t="str">
        <f>IF(ISNUMBER('Model_ of_individuals'!AD399), 'Model_ of_individuals'!AD399*'Model_ of_individuals'!$K399,"")</f>
        <v/>
      </c>
      <c r="AE385" s="93" t="str">
        <f>IF(ISNUMBER('Model_ of_individuals'!AE399), 'Model_ of_individuals'!AE399*'Model_ of_individuals'!$K399,"")</f>
        <v/>
      </c>
      <c r="AF385" s="93" t="str">
        <f>IF(ISNUMBER('Model_ of_individuals'!AF399), 'Model_ of_individuals'!AF399*'Model_ of_individuals'!$K399,"")</f>
        <v/>
      </c>
      <c r="AG385" s="93" t="str">
        <f>IF(ISNUMBER('Model_ of_individuals'!AG399), 'Model_ of_individuals'!AG399*'Model_ of_individuals'!$K399,"")</f>
        <v/>
      </c>
      <c r="AH385" s="93" t="str">
        <f>IF(ISNUMBER('Model_ of_individuals'!AH399), 'Model_ of_individuals'!AH399*'Model_ of_individuals'!$K399,"")</f>
        <v/>
      </c>
      <c r="AI385" s="93" t="str">
        <f>IF(ISNUMBER('Model_ of_individuals'!AI399), 'Model_ of_individuals'!AI399*'Model_ of_individuals'!$K399,"")</f>
        <v/>
      </c>
      <c r="AJ385" s="93" t="str">
        <f>IF(ISNUMBER('Model_ of_individuals'!AJ399), 'Model_ of_individuals'!AJ399*'Model_ of_individuals'!$K399,"")</f>
        <v/>
      </c>
      <c r="AK385" s="93" t="str">
        <f>IF(ISNUMBER('Model_ of_individuals'!AK399), 'Model_ of_individuals'!AK399*'Model_ of_individuals'!$K399,"")</f>
        <v/>
      </c>
      <c r="AL385" s="93" t="str">
        <f>IF(ISNUMBER('Model_ of_individuals'!AL399), 'Model_ of_individuals'!AL399*'Model_ of_individuals'!$K399,"")</f>
        <v/>
      </c>
      <c r="AM385" s="93" t="str">
        <f>IF(ISNUMBER('Model_ of_individuals'!AM399), 'Model_ of_individuals'!AM399*'Model_ of_individuals'!$K399,"")</f>
        <v/>
      </c>
      <c r="AN385" s="93" t="str">
        <f>IF(ISNUMBER('Model_ of_individuals'!AN399), 'Model_ of_individuals'!AN399*'Model_ of_individuals'!$K399,"")</f>
        <v/>
      </c>
      <c r="AO385" s="93" t="str">
        <f>IF(ISNUMBER('Model_ of_individuals'!AO399), 'Model_ of_individuals'!AO399*'Model_ of_individuals'!$K399,"")</f>
        <v/>
      </c>
      <c r="AP385" s="93" t="str">
        <f>IF(ISNUMBER('Model_ of_individuals'!AP399), 'Model_ of_individuals'!AP399*'Model_ of_individuals'!$K399,"")</f>
        <v/>
      </c>
      <c r="AQ385" s="93" t="str">
        <f>IF(ISNUMBER('Model_ of_individuals'!AQ399), 'Model_ of_individuals'!AQ399*'Model_ of_individuals'!$K399,"")</f>
        <v/>
      </c>
      <c r="AR385" s="93" t="str">
        <f>IF(ISNUMBER('Model_ of_individuals'!AR399), 'Model_ of_individuals'!AR399*'Model_ of_individuals'!$K399,"")</f>
        <v/>
      </c>
      <c r="AS385" s="93" t="str">
        <f>IF(ISNUMBER('Model_ of_individuals'!AS399), 'Model_ of_individuals'!AS399*'Model_ of_individuals'!$K399,"")</f>
        <v/>
      </c>
      <c r="AT385" s="93" t="str">
        <f>IF(ISNUMBER('Model_ of_individuals'!AT399), 'Model_ of_individuals'!AT399*'Model_ of_individuals'!$K399,"")</f>
        <v/>
      </c>
    </row>
    <row r="386" spans="1:46" x14ac:dyDescent="0.25">
      <c r="A386" s="518"/>
      <c r="B386" s="504"/>
      <c r="C386" s="104" t="str">
        <f>IF(AND(ISNUMBER(B379), OR('Cost Inputs'!$H$112&lt;&gt;"", 'Cost Inputs'!$I$112&lt;&gt;"", 'Cost Inputs'!$J$112&lt;&gt;"")), _4_4_3, "")</f>
        <v/>
      </c>
      <c r="D386" s="17" t="str">
        <f>IF(AND(C386&lt;&gt;"", 'Cost Inputs'!$G$112&lt;&gt;""), 'Cost Inputs'!$G$112, "")</f>
        <v/>
      </c>
      <c r="E386" s="17" t="str">
        <f>IF(AND(C386&lt;&gt;"", 'Cost Inputs'!$H$112&lt;&gt;""), 'Cost Inputs'!$H$112, "")</f>
        <v/>
      </c>
      <c r="F386" s="17" t="str">
        <f>IF(AND(C386&lt;&gt;"", 'Cost Inputs'!$I$112&lt;&gt;""), 'Cost Inputs'!$I$112, "")</f>
        <v/>
      </c>
      <c r="G386" s="105" t="str">
        <f t="shared" si="25"/>
        <v/>
      </c>
      <c r="H386" s="17" t="str">
        <f>IF(AND(C386&lt;&gt;"", 'Cost Inputs'!$J$112&lt;&gt;""), 'Cost Inputs'!$J$112, "")</f>
        <v/>
      </c>
      <c r="I386" s="17" t="str">
        <f t="shared" si="30"/>
        <v/>
      </c>
      <c r="J386" s="17" t="str">
        <f>IF(AND(C386&lt;&gt;"",('Cost Inputs'!$I$112+'Cost Inputs'!$J$112+'Cost Inputs'!$K$112)&gt;0), 'Cost Inputs'!$I$112+'Cost Inputs'!$J$112+'Cost Inputs'!$K$112, "")</f>
        <v/>
      </c>
      <c r="K386" s="17" t="str">
        <f t="shared" si="31"/>
        <v/>
      </c>
      <c r="L386" s="525"/>
      <c r="M386" s="525"/>
      <c r="S386" s="17" t="str">
        <f>IF(ISNUMBER('Model_ of_individuals'!S400), 'Model_ of_individuals'!S400*'Model_ of_individuals'!$K400,"")</f>
        <v/>
      </c>
      <c r="T386" s="17" t="str">
        <f>IF(ISNUMBER('Model_ of_individuals'!T400), 'Model_ of_individuals'!T400*'Model_ of_individuals'!$K400,"")</f>
        <v/>
      </c>
      <c r="U386" s="17" t="str">
        <f>IF(ISNUMBER('Model_ of_individuals'!U400), 'Model_ of_individuals'!U400*'Model_ of_individuals'!$K400,"")</f>
        <v/>
      </c>
      <c r="V386" s="17" t="str">
        <f>IF(ISNUMBER('Model_ of_individuals'!V400), 'Model_ of_individuals'!V400*'Model_ of_individuals'!$K400,"")</f>
        <v/>
      </c>
      <c r="W386" s="17" t="str">
        <f>IF(ISNUMBER('Model_ of_individuals'!W400), 'Model_ of_individuals'!W400*'Model_ of_individuals'!$K400,"")</f>
        <v/>
      </c>
      <c r="X386" s="17" t="str">
        <f>IF(ISNUMBER('Model_ of_individuals'!X400), 'Model_ of_individuals'!X400*'Model_ of_individuals'!$K400,"")</f>
        <v/>
      </c>
      <c r="Y386" s="17" t="str">
        <f>IF(ISNUMBER('Model_ of_individuals'!Y400), 'Model_ of_individuals'!Y400*'Model_ of_individuals'!$K400,"")</f>
        <v/>
      </c>
      <c r="Z386" s="17" t="str">
        <f>IF(ISNUMBER('Model_ of_individuals'!Z400), 'Model_ of_individuals'!Z400*'Model_ of_individuals'!$K400,"")</f>
        <v/>
      </c>
      <c r="AA386" s="17" t="str">
        <f>IF(ISNUMBER('Model_ of_individuals'!AA400), 'Model_ of_individuals'!AA400*'Model_ of_individuals'!$K400,"")</f>
        <v/>
      </c>
      <c r="AB386" s="17" t="str">
        <f>IF(ISNUMBER('Model_ of_individuals'!AB400), 'Model_ of_individuals'!AB400*'Model_ of_individuals'!$K400,"")</f>
        <v/>
      </c>
      <c r="AC386" s="17" t="str">
        <f>IF(ISNUMBER('Model_ of_individuals'!AC400), 'Model_ of_individuals'!AC400*'Model_ of_individuals'!$K400,"")</f>
        <v/>
      </c>
      <c r="AD386" s="17" t="str">
        <f>IF(ISNUMBER('Model_ of_individuals'!AD400), 'Model_ of_individuals'!AD400*'Model_ of_individuals'!$K400,"")</f>
        <v/>
      </c>
      <c r="AE386" s="17" t="str">
        <f>IF(ISNUMBER('Model_ of_individuals'!AE400), 'Model_ of_individuals'!AE400*'Model_ of_individuals'!$K400,"")</f>
        <v/>
      </c>
      <c r="AF386" s="17" t="str">
        <f>IF(ISNUMBER('Model_ of_individuals'!AF400), 'Model_ of_individuals'!AF400*'Model_ of_individuals'!$K400,"")</f>
        <v/>
      </c>
      <c r="AG386" s="17" t="str">
        <f>IF(ISNUMBER('Model_ of_individuals'!AG400), 'Model_ of_individuals'!AG400*'Model_ of_individuals'!$K400,"")</f>
        <v/>
      </c>
      <c r="AH386" s="17" t="str">
        <f>IF(ISNUMBER('Model_ of_individuals'!AH400), 'Model_ of_individuals'!AH400*'Model_ of_individuals'!$K400,"")</f>
        <v/>
      </c>
      <c r="AI386" s="17" t="str">
        <f>IF(ISNUMBER('Model_ of_individuals'!AI400), 'Model_ of_individuals'!AI400*'Model_ of_individuals'!$K400,"")</f>
        <v/>
      </c>
      <c r="AJ386" s="17" t="str">
        <f>IF(ISNUMBER('Model_ of_individuals'!AJ400), 'Model_ of_individuals'!AJ400*'Model_ of_individuals'!$K400,"")</f>
        <v/>
      </c>
      <c r="AK386" s="17" t="str">
        <f>IF(ISNUMBER('Model_ of_individuals'!AK400), 'Model_ of_individuals'!AK400*'Model_ of_individuals'!$K400,"")</f>
        <v/>
      </c>
      <c r="AL386" s="17" t="str">
        <f>IF(ISNUMBER('Model_ of_individuals'!AL400), 'Model_ of_individuals'!AL400*'Model_ of_individuals'!$K400,"")</f>
        <v/>
      </c>
      <c r="AM386" s="17" t="str">
        <f>IF(ISNUMBER('Model_ of_individuals'!AM400), 'Model_ of_individuals'!AM400*'Model_ of_individuals'!$K400,"")</f>
        <v/>
      </c>
      <c r="AN386" s="17" t="str">
        <f>IF(ISNUMBER('Model_ of_individuals'!AN400), 'Model_ of_individuals'!AN400*'Model_ of_individuals'!$K400,"")</f>
        <v/>
      </c>
      <c r="AO386" s="17" t="str">
        <f>IF(ISNUMBER('Model_ of_individuals'!AO400), 'Model_ of_individuals'!AO400*'Model_ of_individuals'!$K400,"")</f>
        <v/>
      </c>
      <c r="AP386" s="17" t="str">
        <f>IF(ISNUMBER('Model_ of_individuals'!AP400), 'Model_ of_individuals'!AP400*'Model_ of_individuals'!$K400,"")</f>
        <v/>
      </c>
      <c r="AQ386" s="17" t="str">
        <f>IF(ISNUMBER('Model_ of_individuals'!AQ400), 'Model_ of_individuals'!AQ400*'Model_ of_individuals'!$K400,"")</f>
        <v/>
      </c>
      <c r="AR386" s="17" t="str">
        <f>IF(ISNUMBER('Model_ of_individuals'!AR400), 'Model_ of_individuals'!AR400*'Model_ of_individuals'!$K400,"")</f>
        <v/>
      </c>
      <c r="AS386" s="17" t="str">
        <f>IF(ISNUMBER('Model_ of_individuals'!AS400), 'Model_ of_individuals'!AS400*'Model_ of_individuals'!$K400,"")</f>
        <v/>
      </c>
      <c r="AT386" s="17" t="str">
        <f>IF(ISNUMBER('Model_ of_individuals'!AT400), 'Model_ of_individuals'!AT400*'Model_ of_individuals'!$K400,"")</f>
        <v/>
      </c>
    </row>
    <row r="387" spans="1:46" x14ac:dyDescent="0.25">
      <c r="A387" s="518"/>
      <c r="B387" s="504"/>
      <c r="C387" s="107" t="str">
        <f>IF(AND(ISNUMBER(B379), OR('Cost Inputs'!$H$113&lt;&gt;"", 'Cost Inputs'!$I$113&lt;&gt;"", 'Cost Inputs'!$J$113&lt;&gt;"")), _4_4_4, "")</f>
        <v/>
      </c>
      <c r="D387" s="93" t="str">
        <f>IF(AND(C387&lt;&gt;"", 'Cost Inputs'!$G$113&lt;&gt;""), 'Cost Inputs'!$G$113, "")</f>
        <v/>
      </c>
      <c r="E387" s="93" t="str">
        <f>IF(AND(C387&lt;&gt;"", 'Cost Inputs'!$H$113&lt;&gt;""), 'Cost Inputs'!$H$113, "")</f>
        <v/>
      </c>
      <c r="F387" s="93" t="str">
        <f>IF(AND(C387&lt;&gt;"", 'Cost Inputs'!$I$113&lt;&gt;""), 'Cost Inputs'!$I$113, "")</f>
        <v/>
      </c>
      <c r="G387" s="108" t="str">
        <f t="shared" si="25"/>
        <v/>
      </c>
      <c r="H387" s="93" t="str">
        <f>IF(AND(C387&lt;&gt;"", 'Cost Inputs'!$J$113&lt;&gt;""), 'Cost Inputs'!$J$113, "")</f>
        <v/>
      </c>
      <c r="I387" s="93" t="str">
        <f t="shared" si="30"/>
        <v/>
      </c>
      <c r="J387" s="93" t="str">
        <f>IF(AND(C387&lt;&gt;"",('Cost Inputs'!$I$113+'Cost Inputs'!$J$113+'Cost Inputs'!$K$113)&gt;0), 'Cost Inputs'!$I$113+'Cost Inputs'!$J$113+'Cost Inputs'!$K$113, "")</f>
        <v/>
      </c>
      <c r="K387" s="93" t="str">
        <f t="shared" si="31"/>
        <v/>
      </c>
      <c r="L387" s="525"/>
      <c r="M387" s="525"/>
      <c r="S387" s="93" t="str">
        <f>IF(ISNUMBER('Model_ of_individuals'!S401), 'Model_ of_individuals'!S401*'Model_ of_individuals'!$K401,"")</f>
        <v/>
      </c>
      <c r="T387" s="93" t="str">
        <f>IF(ISNUMBER('Model_ of_individuals'!T401), 'Model_ of_individuals'!T401*'Model_ of_individuals'!$K401,"")</f>
        <v/>
      </c>
      <c r="U387" s="93" t="str">
        <f>IF(ISNUMBER('Model_ of_individuals'!U401), 'Model_ of_individuals'!U401*'Model_ of_individuals'!$K401,"")</f>
        <v/>
      </c>
      <c r="V387" s="93" t="str">
        <f>IF(ISNUMBER('Model_ of_individuals'!V401), 'Model_ of_individuals'!V401*'Model_ of_individuals'!$K401,"")</f>
        <v/>
      </c>
      <c r="W387" s="93" t="str">
        <f>IF(ISNUMBER('Model_ of_individuals'!W401), 'Model_ of_individuals'!W401*'Model_ of_individuals'!$K401,"")</f>
        <v/>
      </c>
      <c r="X387" s="93" t="str">
        <f>IF(ISNUMBER('Model_ of_individuals'!X401), 'Model_ of_individuals'!X401*'Model_ of_individuals'!$K401,"")</f>
        <v/>
      </c>
      <c r="Y387" s="93" t="str">
        <f>IF(ISNUMBER('Model_ of_individuals'!Y401), 'Model_ of_individuals'!Y401*'Model_ of_individuals'!$K401,"")</f>
        <v/>
      </c>
      <c r="Z387" s="93" t="str">
        <f>IF(ISNUMBER('Model_ of_individuals'!Z401), 'Model_ of_individuals'!Z401*'Model_ of_individuals'!$K401,"")</f>
        <v/>
      </c>
      <c r="AA387" s="93" t="str">
        <f>IF(ISNUMBER('Model_ of_individuals'!AA401), 'Model_ of_individuals'!AA401*'Model_ of_individuals'!$K401,"")</f>
        <v/>
      </c>
      <c r="AB387" s="93" t="str">
        <f>IF(ISNUMBER('Model_ of_individuals'!AB401), 'Model_ of_individuals'!AB401*'Model_ of_individuals'!$K401,"")</f>
        <v/>
      </c>
      <c r="AC387" s="93" t="str">
        <f>IF(ISNUMBER('Model_ of_individuals'!AC401), 'Model_ of_individuals'!AC401*'Model_ of_individuals'!$K401,"")</f>
        <v/>
      </c>
      <c r="AD387" s="93" t="str">
        <f>IF(ISNUMBER('Model_ of_individuals'!AD401), 'Model_ of_individuals'!AD401*'Model_ of_individuals'!$K401,"")</f>
        <v/>
      </c>
      <c r="AE387" s="93" t="str">
        <f>IF(ISNUMBER('Model_ of_individuals'!AE401), 'Model_ of_individuals'!AE401*'Model_ of_individuals'!$K401,"")</f>
        <v/>
      </c>
      <c r="AF387" s="93" t="str">
        <f>IF(ISNUMBER('Model_ of_individuals'!AF401), 'Model_ of_individuals'!AF401*'Model_ of_individuals'!$K401,"")</f>
        <v/>
      </c>
      <c r="AG387" s="93" t="str">
        <f>IF(ISNUMBER('Model_ of_individuals'!AG401), 'Model_ of_individuals'!AG401*'Model_ of_individuals'!$K401,"")</f>
        <v/>
      </c>
      <c r="AH387" s="93" t="str">
        <f>IF(ISNUMBER('Model_ of_individuals'!AH401), 'Model_ of_individuals'!AH401*'Model_ of_individuals'!$K401,"")</f>
        <v/>
      </c>
      <c r="AI387" s="93" t="str">
        <f>IF(ISNUMBER('Model_ of_individuals'!AI401), 'Model_ of_individuals'!AI401*'Model_ of_individuals'!$K401,"")</f>
        <v/>
      </c>
      <c r="AJ387" s="93" t="str">
        <f>IF(ISNUMBER('Model_ of_individuals'!AJ401), 'Model_ of_individuals'!AJ401*'Model_ of_individuals'!$K401,"")</f>
        <v/>
      </c>
      <c r="AK387" s="93" t="str">
        <f>IF(ISNUMBER('Model_ of_individuals'!AK401), 'Model_ of_individuals'!AK401*'Model_ of_individuals'!$K401,"")</f>
        <v/>
      </c>
      <c r="AL387" s="93" t="str">
        <f>IF(ISNUMBER('Model_ of_individuals'!AL401), 'Model_ of_individuals'!AL401*'Model_ of_individuals'!$K401,"")</f>
        <v/>
      </c>
      <c r="AM387" s="93" t="str">
        <f>IF(ISNUMBER('Model_ of_individuals'!AM401), 'Model_ of_individuals'!AM401*'Model_ of_individuals'!$K401,"")</f>
        <v/>
      </c>
      <c r="AN387" s="93" t="str">
        <f>IF(ISNUMBER('Model_ of_individuals'!AN401), 'Model_ of_individuals'!AN401*'Model_ of_individuals'!$K401,"")</f>
        <v/>
      </c>
      <c r="AO387" s="93" t="str">
        <f>IF(ISNUMBER('Model_ of_individuals'!AO401), 'Model_ of_individuals'!AO401*'Model_ of_individuals'!$K401,"")</f>
        <v/>
      </c>
      <c r="AP387" s="93" t="str">
        <f>IF(ISNUMBER('Model_ of_individuals'!AP401), 'Model_ of_individuals'!AP401*'Model_ of_individuals'!$K401,"")</f>
        <v/>
      </c>
      <c r="AQ387" s="93" t="str">
        <f>IF(ISNUMBER('Model_ of_individuals'!AQ401), 'Model_ of_individuals'!AQ401*'Model_ of_individuals'!$K401,"")</f>
        <v/>
      </c>
      <c r="AR387" s="93" t="str">
        <f>IF(ISNUMBER('Model_ of_individuals'!AR401), 'Model_ of_individuals'!AR401*'Model_ of_individuals'!$K401,"")</f>
        <v/>
      </c>
      <c r="AS387" s="93" t="str">
        <f>IF(ISNUMBER('Model_ of_individuals'!AS401), 'Model_ of_individuals'!AS401*'Model_ of_individuals'!$K401,"")</f>
        <v/>
      </c>
      <c r="AT387" s="93" t="str">
        <f>IF(ISNUMBER('Model_ of_individuals'!AT401), 'Model_ of_individuals'!AT401*'Model_ of_individuals'!$K401,"")</f>
        <v/>
      </c>
    </row>
    <row r="388" spans="1:46" x14ac:dyDescent="0.25">
      <c r="A388" s="518"/>
      <c r="B388" s="504"/>
      <c r="C388" s="104" t="str">
        <f>IF(AND(ISNUMBER(B379), OR('Cost Inputs'!$H$114&lt;&gt;"", 'Cost Inputs'!$I$114&lt;&gt;"", 'Cost Inputs'!$J$114&lt;&gt;"")), _4_4_5, "")</f>
        <v/>
      </c>
      <c r="D388" s="17" t="str">
        <f>IF(AND(C388&lt;&gt;"", 'Cost Inputs'!$G$114&lt;&gt;""), 'Cost Inputs'!$G$114, "")</f>
        <v/>
      </c>
      <c r="E388" s="17" t="str">
        <f>IF(AND(C388&lt;&gt;"", 'Cost Inputs'!$H$114&lt;&gt;""), 'Cost Inputs'!$H$114, "")</f>
        <v/>
      </c>
      <c r="F388" s="17" t="str">
        <f>IF(AND(C388&lt;&gt;"", 'Cost Inputs'!$I$114&lt;&gt;""), 'Cost Inputs'!$I$114, "")</f>
        <v/>
      </c>
      <c r="G388" s="105" t="str">
        <f t="shared" si="25"/>
        <v/>
      </c>
      <c r="H388" s="17" t="str">
        <f>IF(AND(C388&lt;&gt;"", 'Cost Inputs'!$J$114&lt;&gt;""), 'Cost Inputs'!$J$114, "")</f>
        <v/>
      </c>
      <c r="I388" s="17" t="str">
        <f t="shared" si="30"/>
        <v/>
      </c>
      <c r="J388" s="17" t="str">
        <f>IF(AND(C388&lt;&gt;"",('Cost Inputs'!$I$114+'Cost Inputs'!$J$114+'Cost Inputs'!$K$114)&gt;0), 'Cost Inputs'!$I$114+'Cost Inputs'!$J$114+'Cost Inputs'!$K$114, "")</f>
        <v/>
      </c>
      <c r="K388" s="17" t="str">
        <f t="shared" si="31"/>
        <v/>
      </c>
      <c r="L388" s="525"/>
      <c r="M388" s="525"/>
      <c r="S388" s="17" t="str">
        <f>IF(ISNUMBER('Model_ of_individuals'!S402), 'Model_ of_individuals'!S402*'Model_ of_individuals'!$K402,"")</f>
        <v/>
      </c>
      <c r="T388" s="17" t="str">
        <f>IF(ISNUMBER('Model_ of_individuals'!T402), 'Model_ of_individuals'!T402*'Model_ of_individuals'!$K402,"")</f>
        <v/>
      </c>
      <c r="U388" s="17" t="str">
        <f>IF(ISNUMBER('Model_ of_individuals'!U402), 'Model_ of_individuals'!U402*'Model_ of_individuals'!$K402,"")</f>
        <v/>
      </c>
      <c r="V388" s="17" t="str">
        <f>IF(ISNUMBER('Model_ of_individuals'!V402), 'Model_ of_individuals'!V402*'Model_ of_individuals'!$K402,"")</f>
        <v/>
      </c>
      <c r="W388" s="17" t="str">
        <f>IF(ISNUMBER('Model_ of_individuals'!W402), 'Model_ of_individuals'!W402*'Model_ of_individuals'!$K402,"")</f>
        <v/>
      </c>
      <c r="X388" s="17" t="str">
        <f>IF(ISNUMBER('Model_ of_individuals'!X402), 'Model_ of_individuals'!X402*'Model_ of_individuals'!$K402,"")</f>
        <v/>
      </c>
      <c r="Y388" s="17" t="str">
        <f>IF(ISNUMBER('Model_ of_individuals'!Y402), 'Model_ of_individuals'!Y402*'Model_ of_individuals'!$K402,"")</f>
        <v/>
      </c>
      <c r="Z388" s="17" t="str">
        <f>IF(ISNUMBER('Model_ of_individuals'!Z402), 'Model_ of_individuals'!Z402*'Model_ of_individuals'!$K402,"")</f>
        <v/>
      </c>
      <c r="AA388" s="17" t="str">
        <f>IF(ISNUMBER('Model_ of_individuals'!AA402), 'Model_ of_individuals'!AA402*'Model_ of_individuals'!$K402,"")</f>
        <v/>
      </c>
      <c r="AB388" s="17" t="str">
        <f>IF(ISNUMBER('Model_ of_individuals'!AB402), 'Model_ of_individuals'!AB402*'Model_ of_individuals'!$K402,"")</f>
        <v/>
      </c>
      <c r="AC388" s="17" t="str">
        <f>IF(ISNUMBER('Model_ of_individuals'!AC402), 'Model_ of_individuals'!AC402*'Model_ of_individuals'!$K402,"")</f>
        <v/>
      </c>
      <c r="AD388" s="17" t="str">
        <f>IF(ISNUMBER('Model_ of_individuals'!AD402), 'Model_ of_individuals'!AD402*'Model_ of_individuals'!$K402,"")</f>
        <v/>
      </c>
      <c r="AE388" s="17" t="str">
        <f>IF(ISNUMBER('Model_ of_individuals'!AE402), 'Model_ of_individuals'!AE402*'Model_ of_individuals'!$K402,"")</f>
        <v/>
      </c>
      <c r="AF388" s="17" t="str">
        <f>IF(ISNUMBER('Model_ of_individuals'!AF402), 'Model_ of_individuals'!AF402*'Model_ of_individuals'!$K402,"")</f>
        <v/>
      </c>
      <c r="AG388" s="17" t="str">
        <f>IF(ISNUMBER('Model_ of_individuals'!AG402), 'Model_ of_individuals'!AG402*'Model_ of_individuals'!$K402,"")</f>
        <v/>
      </c>
      <c r="AH388" s="17" t="str">
        <f>IF(ISNUMBER('Model_ of_individuals'!AH402), 'Model_ of_individuals'!AH402*'Model_ of_individuals'!$K402,"")</f>
        <v/>
      </c>
      <c r="AI388" s="17" t="str">
        <f>IF(ISNUMBER('Model_ of_individuals'!AI402), 'Model_ of_individuals'!AI402*'Model_ of_individuals'!$K402,"")</f>
        <v/>
      </c>
      <c r="AJ388" s="17" t="str">
        <f>IF(ISNUMBER('Model_ of_individuals'!AJ402), 'Model_ of_individuals'!AJ402*'Model_ of_individuals'!$K402,"")</f>
        <v/>
      </c>
      <c r="AK388" s="17" t="str">
        <f>IF(ISNUMBER('Model_ of_individuals'!AK402), 'Model_ of_individuals'!AK402*'Model_ of_individuals'!$K402,"")</f>
        <v/>
      </c>
      <c r="AL388" s="17" t="str">
        <f>IF(ISNUMBER('Model_ of_individuals'!AL402), 'Model_ of_individuals'!AL402*'Model_ of_individuals'!$K402,"")</f>
        <v/>
      </c>
      <c r="AM388" s="17" t="str">
        <f>IF(ISNUMBER('Model_ of_individuals'!AM402), 'Model_ of_individuals'!AM402*'Model_ of_individuals'!$K402,"")</f>
        <v/>
      </c>
      <c r="AN388" s="17" t="str">
        <f>IF(ISNUMBER('Model_ of_individuals'!AN402), 'Model_ of_individuals'!AN402*'Model_ of_individuals'!$K402,"")</f>
        <v/>
      </c>
      <c r="AO388" s="17" t="str">
        <f>IF(ISNUMBER('Model_ of_individuals'!AO402), 'Model_ of_individuals'!AO402*'Model_ of_individuals'!$K402,"")</f>
        <v/>
      </c>
      <c r="AP388" s="17" t="str">
        <f>IF(ISNUMBER('Model_ of_individuals'!AP402), 'Model_ of_individuals'!AP402*'Model_ of_individuals'!$K402,"")</f>
        <v/>
      </c>
      <c r="AQ388" s="17" t="str">
        <f>IF(ISNUMBER('Model_ of_individuals'!AQ402), 'Model_ of_individuals'!AQ402*'Model_ of_individuals'!$K402,"")</f>
        <v/>
      </c>
      <c r="AR388" s="17" t="str">
        <f>IF(ISNUMBER('Model_ of_individuals'!AR402), 'Model_ of_individuals'!AR402*'Model_ of_individuals'!$K402,"")</f>
        <v/>
      </c>
      <c r="AS388" s="17" t="str">
        <f>IF(ISNUMBER('Model_ of_individuals'!AS402), 'Model_ of_individuals'!AS402*'Model_ of_individuals'!$K402,"")</f>
        <v/>
      </c>
      <c r="AT388" s="17" t="str">
        <f>IF(ISNUMBER('Model_ of_individuals'!AT402), 'Model_ of_individuals'!AT402*'Model_ of_individuals'!$K402,"")</f>
        <v/>
      </c>
    </row>
    <row r="389" spans="1:46" x14ac:dyDescent="0.25">
      <c r="A389" s="518"/>
      <c r="B389" s="504"/>
      <c r="C389" s="107" t="str">
        <f>IF(AND(ISNUMBER(B379), OR('Cost Inputs'!$H$115&lt;&gt;"", 'Cost Inputs'!$I$115&lt;&gt;"", 'Cost Inputs'!$J$115&lt;&gt;"")), _4_4_6, "")</f>
        <v/>
      </c>
      <c r="D389" s="93" t="str">
        <f>IF(AND(C389&lt;&gt;"", 'Cost Inputs'!$G$115&lt;&gt;""), 'Cost Inputs'!$G$115, "")</f>
        <v/>
      </c>
      <c r="E389" s="93" t="str">
        <f>IF(AND(C389&lt;&gt;"", 'Cost Inputs'!$H$115&lt;&gt;""), 'Cost Inputs'!$H$115, "")</f>
        <v/>
      </c>
      <c r="F389" s="93" t="str">
        <f>IF(AND(C389&lt;&gt;"", 'Cost Inputs'!$I$115&lt;&gt;""), 'Cost Inputs'!$I$115, "")</f>
        <v/>
      </c>
      <c r="G389" s="108" t="str">
        <f t="shared" si="25"/>
        <v/>
      </c>
      <c r="H389" s="93" t="str">
        <f>IF(AND(C389&lt;&gt;"", 'Cost Inputs'!$J$115&lt;&gt;""), 'Cost Inputs'!$J$115, "")</f>
        <v/>
      </c>
      <c r="I389" s="93" t="str">
        <f t="shared" si="30"/>
        <v/>
      </c>
      <c r="J389" s="93" t="str">
        <f>IF(AND(C389&lt;&gt;"",('Cost Inputs'!$I$115+'Cost Inputs'!$J$115+'Cost Inputs'!$K$115)&gt;0), 'Cost Inputs'!$I$115+'Cost Inputs'!$J$115+'Cost Inputs'!$K$115, "")</f>
        <v/>
      </c>
      <c r="K389" s="93" t="str">
        <f t="shared" si="31"/>
        <v/>
      </c>
      <c r="L389" s="525"/>
      <c r="M389" s="525"/>
      <c r="S389" s="93" t="str">
        <f>IF(ISNUMBER('Model_ of_individuals'!S403), 'Model_ of_individuals'!S403*'Model_ of_individuals'!$K403,"")</f>
        <v/>
      </c>
      <c r="T389" s="93" t="str">
        <f>IF(ISNUMBER('Model_ of_individuals'!T403), 'Model_ of_individuals'!T403*'Model_ of_individuals'!$K403,"")</f>
        <v/>
      </c>
      <c r="U389" s="93" t="str">
        <f>IF(ISNUMBER('Model_ of_individuals'!U403), 'Model_ of_individuals'!U403*'Model_ of_individuals'!$K403,"")</f>
        <v/>
      </c>
      <c r="V389" s="93" t="str">
        <f>IF(ISNUMBER('Model_ of_individuals'!V403), 'Model_ of_individuals'!V403*'Model_ of_individuals'!$K403,"")</f>
        <v/>
      </c>
      <c r="W389" s="93" t="str">
        <f>IF(ISNUMBER('Model_ of_individuals'!W403), 'Model_ of_individuals'!W403*'Model_ of_individuals'!$K403,"")</f>
        <v/>
      </c>
      <c r="X389" s="93" t="str">
        <f>IF(ISNUMBER('Model_ of_individuals'!X403), 'Model_ of_individuals'!X403*'Model_ of_individuals'!$K403,"")</f>
        <v/>
      </c>
      <c r="Y389" s="93" t="str">
        <f>IF(ISNUMBER('Model_ of_individuals'!Y403), 'Model_ of_individuals'!Y403*'Model_ of_individuals'!$K403,"")</f>
        <v/>
      </c>
      <c r="Z389" s="93" t="str">
        <f>IF(ISNUMBER('Model_ of_individuals'!Z403), 'Model_ of_individuals'!Z403*'Model_ of_individuals'!$K403,"")</f>
        <v/>
      </c>
      <c r="AA389" s="93" t="str">
        <f>IF(ISNUMBER('Model_ of_individuals'!AA403), 'Model_ of_individuals'!AA403*'Model_ of_individuals'!$K403,"")</f>
        <v/>
      </c>
      <c r="AB389" s="93" t="str">
        <f>IF(ISNUMBER('Model_ of_individuals'!AB403), 'Model_ of_individuals'!AB403*'Model_ of_individuals'!$K403,"")</f>
        <v/>
      </c>
      <c r="AC389" s="93" t="str">
        <f>IF(ISNUMBER('Model_ of_individuals'!AC403), 'Model_ of_individuals'!AC403*'Model_ of_individuals'!$K403,"")</f>
        <v/>
      </c>
      <c r="AD389" s="93" t="str">
        <f>IF(ISNUMBER('Model_ of_individuals'!AD403), 'Model_ of_individuals'!AD403*'Model_ of_individuals'!$K403,"")</f>
        <v/>
      </c>
      <c r="AE389" s="93" t="str">
        <f>IF(ISNUMBER('Model_ of_individuals'!AE403), 'Model_ of_individuals'!AE403*'Model_ of_individuals'!$K403,"")</f>
        <v/>
      </c>
      <c r="AF389" s="93" t="str">
        <f>IF(ISNUMBER('Model_ of_individuals'!AF403), 'Model_ of_individuals'!AF403*'Model_ of_individuals'!$K403,"")</f>
        <v/>
      </c>
      <c r="AG389" s="93" t="str">
        <f>IF(ISNUMBER('Model_ of_individuals'!AG403), 'Model_ of_individuals'!AG403*'Model_ of_individuals'!$K403,"")</f>
        <v/>
      </c>
      <c r="AH389" s="93" t="str">
        <f>IF(ISNUMBER('Model_ of_individuals'!AH403), 'Model_ of_individuals'!AH403*'Model_ of_individuals'!$K403,"")</f>
        <v/>
      </c>
      <c r="AI389" s="93" t="str">
        <f>IF(ISNUMBER('Model_ of_individuals'!AI403), 'Model_ of_individuals'!AI403*'Model_ of_individuals'!$K403,"")</f>
        <v/>
      </c>
      <c r="AJ389" s="93" t="str">
        <f>IF(ISNUMBER('Model_ of_individuals'!AJ403), 'Model_ of_individuals'!AJ403*'Model_ of_individuals'!$K403,"")</f>
        <v/>
      </c>
      <c r="AK389" s="93" t="str">
        <f>IF(ISNUMBER('Model_ of_individuals'!AK403), 'Model_ of_individuals'!AK403*'Model_ of_individuals'!$K403,"")</f>
        <v/>
      </c>
      <c r="AL389" s="93" t="str">
        <f>IF(ISNUMBER('Model_ of_individuals'!AL403), 'Model_ of_individuals'!AL403*'Model_ of_individuals'!$K403,"")</f>
        <v/>
      </c>
      <c r="AM389" s="93" t="str">
        <f>IF(ISNUMBER('Model_ of_individuals'!AM403), 'Model_ of_individuals'!AM403*'Model_ of_individuals'!$K403,"")</f>
        <v/>
      </c>
      <c r="AN389" s="93" t="str">
        <f>IF(ISNUMBER('Model_ of_individuals'!AN403), 'Model_ of_individuals'!AN403*'Model_ of_individuals'!$K403,"")</f>
        <v/>
      </c>
      <c r="AO389" s="93" t="str">
        <f>IF(ISNUMBER('Model_ of_individuals'!AO403), 'Model_ of_individuals'!AO403*'Model_ of_individuals'!$K403,"")</f>
        <v/>
      </c>
      <c r="AP389" s="93" t="str">
        <f>IF(ISNUMBER('Model_ of_individuals'!AP403), 'Model_ of_individuals'!AP403*'Model_ of_individuals'!$K403,"")</f>
        <v/>
      </c>
      <c r="AQ389" s="93" t="str">
        <f>IF(ISNUMBER('Model_ of_individuals'!AQ403), 'Model_ of_individuals'!AQ403*'Model_ of_individuals'!$K403,"")</f>
        <v/>
      </c>
      <c r="AR389" s="93" t="str">
        <f>IF(ISNUMBER('Model_ of_individuals'!AR403), 'Model_ of_individuals'!AR403*'Model_ of_individuals'!$K403,"")</f>
        <v/>
      </c>
      <c r="AS389" s="93" t="str">
        <f>IF(ISNUMBER('Model_ of_individuals'!AS403), 'Model_ of_individuals'!AS403*'Model_ of_individuals'!$K403,"")</f>
        <v/>
      </c>
      <c r="AT389" s="93" t="str">
        <f>IF(ISNUMBER('Model_ of_individuals'!AT403), 'Model_ of_individuals'!AT403*'Model_ of_individuals'!$K403,"")</f>
        <v/>
      </c>
    </row>
    <row r="390" spans="1:46" x14ac:dyDescent="0.25">
      <c r="A390" s="518"/>
      <c r="B390" s="504"/>
      <c r="C390" s="521" t="str">
        <f>IF(AND(B379&lt;&gt;"", ISNUMBER(B379), ISNUMBER(Stage2EvaluationBegins)), IF((INDEX(ProgramYearStage2,MATCH(Stage2EvaluationBegins,Years_in_Stage2,0)))=B379, _4_5_0, IF(AND(B379&lt;&gt;"", C367&lt;&gt;""), _4_5_0, IF(AND(B379&lt;&gt;"", ISNUMBER(B379), OR(Stage2EvaluationBegins=0, Stage2EvaluationBegins="")),"", ""))),"")</f>
        <v/>
      </c>
      <c r="D390" s="94" t="str">
        <f>IF(AND(C390&lt;&gt;"", 'Cost Inputs'!$G$116&lt;&gt;""), 'Cost Inputs'!$G$116, "")</f>
        <v/>
      </c>
      <c r="E390" s="94" t="str">
        <f>IF(AND(C390&lt;&gt;"", 'Cost Inputs'!$H$116&lt;&gt;""), 'Cost Inputs'!$H$116, "")</f>
        <v/>
      </c>
      <c r="F390" s="492" t="str">
        <f>IF(AND(C390&lt;&gt;"", 'Cost Inputs'!$I$116&lt;&gt;""), 'Cost Inputs'!$I$116, "")</f>
        <v/>
      </c>
      <c r="G390" s="102" t="str">
        <f t="shared" si="25"/>
        <v/>
      </c>
      <c r="H390" s="492" t="str">
        <f>IF(AND(C390&lt;&gt;"", 'Cost Inputs'!$J$116&lt;&gt;""), 'Cost Inputs'!$J$116, "")</f>
        <v/>
      </c>
      <c r="I390" s="102" t="str">
        <f>IF($C390&lt;&gt;"",IF(AND($E390&lt;&gt;"",H390&lt;&gt;""), H390/$E390, 0),"")</f>
        <v/>
      </c>
      <c r="J390" s="492" t="str">
        <f>IF(AND(C390&lt;&gt;"",('Cost Inputs'!$I$116+'Cost Inputs'!$J$116+'Cost Inputs'!$K$116)&gt;0), 'Cost Inputs'!$I$116+'Cost Inputs'!$J$116+'Cost Inputs'!$K$116, "")</f>
        <v/>
      </c>
      <c r="K390" s="102" t="str">
        <f>IF($C390&lt;&gt;"",IF(AND($E390&lt;&gt;"",J390&lt;&gt;""), J390/$E390, 0),"")</f>
        <v/>
      </c>
      <c r="L390" s="525"/>
      <c r="M390" s="525"/>
      <c r="S390" s="496" t="str">
        <f>IF(ISNUMBER('Model_ of_individuals'!S405), 'Model_ of_individuals'!S405*'Model_ of_individuals'!$K405,"")</f>
        <v/>
      </c>
      <c r="T390" s="496" t="str">
        <f>IF(ISNUMBER('Model_ of_individuals'!T405), 'Model_ of_individuals'!T405*'Model_ of_individuals'!$K405,"")</f>
        <v/>
      </c>
      <c r="U390" s="496" t="str">
        <f>IF(ISNUMBER('Model_ of_individuals'!U405), 'Model_ of_individuals'!U405*'Model_ of_individuals'!$K405,"")</f>
        <v/>
      </c>
      <c r="V390" s="496" t="str">
        <f>IF(ISNUMBER('Model_ of_individuals'!V405), 'Model_ of_individuals'!V405*'Model_ of_individuals'!$K405,"")</f>
        <v/>
      </c>
      <c r="W390" s="496" t="str">
        <f>IF(ISNUMBER('Model_ of_individuals'!W405), 'Model_ of_individuals'!W405*'Model_ of_individuals'!$K405,"")</f>
        <v/>
      </c>
      <c r="X390" s="496" t="str">
        <f>IF(ISNUMBER('Model_ of_individuals'!X405), 'Model_ of_individuals'!X405*'Model_ of_individuals'!$K405,"")</f>
        <v/>
      </c>
      <c r="Y390" s="496" t="str">
        <f>IF(ISNUMBER('Model_ of_individuals'!Y405), 'Model_ of_individuals'!Y405*'Model_ of_individuals'!$K405,"")</f>
        <v/>
      </c>
      <c r="Z390" s="496" t="str">
        <f>IF(ISNUMBER('Model_ of_individuals'!Z405), 'Model_ of_individuals'!Z405*'Model_ of_individuals'!$K405,"")</f>
        <v/>
      </c>
      <c r="AA390" s="496" t="str">
        <f>IF(ISNUMBER('Model_ of_individuals'!AA405), 'Model_ of_individuals'!AA405*'Model_ of_individuals'!$K405,"")</f>
        <v/>
      </c>
      <c r="AB390" s="496" t="str">
        <f>IF(ISNUMBER('Model_ of_individuals'!AB405), 'Model_ of_individuals'!AB405*'Model_ of_individuals'!$K405,"")</f>
        <v/>
      </c>
      <c r="AC390" s="496" t="str">
        <f>IF(ISNUMBER('Model_ of_individuals'!AC405), 'Model_ of_individuals'!AC405*'Model_ of_individuals'!$K405,"")</f>
        <v/>
      </c>
      <c r="AD390" s="496" t="str">
        <f>IF(ISNUMBER('Model_ of_individuals'!AD405), 'Model_ of_individuals'!AD405*'Model_ of_individuals'!$K405,"")</f>
        <v/>
      </c>
      <c r="AE390" s="496" t="str">
        <f>IF(ISNUMBER('Model_ of_individuals'!AE405), 'Model_ of_individuals'!AE405*'Model_ of_individuals'!$K405,"")</f>
        <v/>
      </c>
      <c r="AF390" s="496" t="str">
        <f>IF(ISNUMBER('Model_ of_individuals'!AF405), 'Model_ of_individuals'!AF405*'Model_ of_individuals'!$K405,"")</f>
        <v/>
      </c>
      <c r="AG390" s="496" t="str">
        <f>IF(ISNUMBER('Model_ of_individuals'!AG405), 'Model_ of_individuals'!AG405*'Model_ of_individuals'!$K405,"")</f>
        <v/>
      </c>
      <c r="AH390" s="496" t="str">
        <f>IF(ISNUMBER('Model_ of_individuals'!AH405), 'Model_ of_individuals'!AH405*'Model_ of_individuals'!$K405,"")</f>
        <v/>
      </c>
      <c r="AI390" s="496" t="str">
        <f>IF(ISNUMBER('Model_ of_individuals'!AI405), 'Model_ of_individuals'!AI405*'Model_ of_individuals'!$K405,"")</f>
        <v/>
      </c>
      <c r="AJ390" s="496" t="str">
        <f>IF(ISNUMBER('Model_ of_individuals'!AJ405), 'Model_ of_individuals'!AJ405*'Model_ of_individuals'!$K405,"")</f>
        <v/>
      </c>
      <c r="AK390" s="496" t="str">
        <f>IF(ISNUMBER('Model_ of_individuals'!AK405), 'Model_ of_individuals'!AK405*'Model_ of_individuals'!$K405,"")</f>
        <v/>
      </c>
      <c r="AL390" s="496" t="str">
        <f>IF(ISNUMBER('Model_ of_individuals'!AL405), 'Model_ of_individuals'!AL405*'Model_ of_individuals'!$K405,"")</f>
        <v/>
      </c>
      <c r="AM390" s="496" t="str">
        <f>IF(ISNUMBER('Model_ of_individuals'!AM405), 'Model_ of_individuals'!AM405*'Model_ of_individuals'!$K405,"")</f>
        <v/>
      </c>
      <c r="AN390" s="496" t="str">
        <f>IF(ISNUMBER('Model_ of_individuals'!AN405), 'Model_ of_individuals'!AN405*'Model_ of_individuals'!$K405,"")</f>
        <v/>
      </c>
      <c r="AO390" s="496" t="str">
        <f>IF(ISNUMBER('Model_ of_individuals'!AO405), 'Model_ of_individuals'!AO405*'Model_ of_individuals'!$K405,"")</f>
        <v/>
      </c>
      <c r="AP390" s="496" t="str">
        <f>IF(ISNUMBER('Model_ of_individuals'!AP405), 'Model_ of_individuals'!AP405*'Model_ of_individuals'!$K405,"")</f>
        <v/>
      </c>
      <c r="AQ390" s="496" t="str">
        <f>IF(ISNUMBER('Model_ of_individuals'!AQ405), 'Model_ of_individuals'!AQ405*'Model_ of_individuals'!$K405,"")</f>
        <v/>
      </c>
      <c r="AR390" s="496" t="str">
        <f>IF(ISNUMBER('Model_ of_individuals'!AR405), 'Model_ of_individuals'!AR405*'Model_ of_individuals'!$K405,"")</f>
        <v/>
      </c>
      <c r="AS390" s="496" t="str">
        <f>IF(ISNUMBER('Model_ of_individuals'!AS405), 'Model_ of_individuals'!AS405*'Model_ of_individuals'!$K405,"")</f>
        <v/>
      </c>
      <c r="AT390" s="496" t="str">
        <f>IF(ISNUMBER('Model_ of_individuals'!AT405), 'Model_ of_individuals'!AT405*'Model_ of_individuals'!$K405,"")</f>
        <v/>
      </c>
    </row>
    <row r="391" spans="1:46" x14ac:dyDescent="0.25">
      <c r="A391" s="518"/>
      <c r="B391" s="504"/>
      <c r="C391" s="521"/>
      <c r="D391" s="94" t="str">
        <f>IF(AND(C390&lt;&gt;"", 'Cost Inputs'!$G$117&lt;&gt;""), 'Cost Inputs'!$G$117, "")</f>
        <v/>
      </c>
      <c r="E391" s="94" t="str">
        <f>IF(AND(C390&lt;&gt;"", 'Cost Inputs'!$H$117&lt;&gt;""), 'Cost Inputs'!$H$117, "")</f>
        <v/>
      </c>
      <c r="F391" s="492"/>
      <c r="G391" s="102" t="str">
        <f t="shared" si="25"/>
        <v/>
      </c>
      <c r="H391" s="492"/>
      <c r="I391" s="102" t="str">
        <f>IF($C390&lt;&gt;"", IF(AND($E391&lt;&gt;"", H390&lt;&gt;""), H390/($E390*$E391), 0), "")</f>
        <v/>
      </c>
      <c r="J391" s="492" t="str">
        <f>IF(AND(C391&lt;&gt;"",('Cost Inputs'!$I$86+'Cost Inputs'!$J$86+'Cost Inputs'!$K$86)&gt;0), 'Cost Inputs'!$I$86+'Cost Inputs'!$J$86+'Cost Inputs'!$K$86, "")</f>
        <v/>
      </c>
      <c r="K391" s="102" t="str">
        <f>IF($C390&lt;&gt;"", IF(AND($E391&lt;&gt;"", J390&lt;&gt;""), J390/($E390*$E391), 0), "")</f>
        <v/>
      </c>
      <c r="L391" s="525"/>
      <c r="M391" s="525"/>
      <c r="S391" s="496" t="str">
        <f>IF(ISNUMBER('Model_ of_individuals'!S406), 'Model_ of_individuals'!S406*'Model_ of_individuals'!$K406,"")</f>
        <v/>
      </c>
      <c r="T391" s="496" t="str">
        <f>IF(ISNUMBER('Model_ of_individuals'!T406), 'Model_ of_individuals'!T406*'Model_ of_individuals'!$K406,"")</f>
        <v/>
      </c>
      <c r="U391" s="496" t="str">
        <f>IF(ISNUMBER('Model_ of_individuals'!U406), 'Model_ of_individuals'!U406*'Model_ of_individuals'!$K406,"")</f>
        <v/>
      </c>
      <c r="V391" s="496" t="str">
        <f>IF(ISNUMBER('Model_ of_individuals'!V406), 'Model_ of_individuals'!V406*'Model_ of_individuals'!$K406,"")</f>
        <v/>
      </c>
      <c r="W391" s="496" t="str">
        <f>IF(ISNUMBER('Model_ of_individuals'!W406), 'Model_ of_individuals'!W406*'Model_ of_individuals'!$K406,"")</f>
        <v/>
      </c>
      <c r="X391" s="496" t="str">
        <f>IF(ISNUMBER('Model_ of_individuals'!X406), 'Model_ of_individuals'!X406*'Model_ of_individuals'!$K406,"")</f>
        <v/>
      </c>
      <c r="Y391" s="496" t="str">
        <f>IF(ISNUMBER('Model_ of_individuals'!Y406), 'Model_ of_individuals'!Y406*'Model_ of_individuals'!$K406,"")</f>
        <v/>
      </c>
      <c r="Z391" s="496" t="str">
        <f>IF(ISNUMBER('Model_ of_individuals'!Z406), 'Model_ of_individuals'!Z406*'Model_ of_individuals'!$K406,"")</f>
        <v/>
      </c>
      <c r="AA391" s="496" t="str">
        <f>IF(ISNUMBER('Model_ of_individuals'!AA406), 'Model_ of_individuals'!AA406*'Model_ of_individuals'!$K406,"")</f>
        <v/>
      </c>
      <c r="AB391" s="496" t="str">
        <f>IF(ISNUMBER('Model_ of_individuals'!AB406), 'Model_ of_individuals'!AB406*'Model_ of_individuals'!$K406,"")</f>
        <v/>
      </c>
      <c r="AC391" s="496" t="str">
        <f>IF(ISNUMBER('Model_ of_individuals'!AC406), 'Model_ of_individuals'!AC406*'Model_ of_individuals'!$K406,"")</f>
        <v/>
      </c>
      <c r="AD391" s="496" t="str">
        <f>IF(ISNUMBER('Model_ of_individuals'!AD406), 'Model_ of_individuals'!AD406*'Model_ of_individuals'!$K406,"")</f>
        <v/>
      </c>
      <c r="AE391" s="496" t="str">
        <f>IF(ISNUMBER('Model_ of_individuals'!AE406), 'Model_ of_individuals'!AE406*'Model_ of_individuals'!$K406,"")</f>
        <v/>
      </c>
      <c r="AF391" s="496" t="str">
        <f>IF(ISNUMBER('Model_ of_individuals'!AF406), 'Model_ of_individuals'!AF406*'Model_ of_individuals'!$K406,"")</f>
        <v/>
      </c>
      <c r="AG391" s="496" t="str">
        <f>IF(ISNUMBER('Model_ of_individuals'!AG406), 'Model_ of_individuals'!AG406*'Model_ of_individuals'!$K406,"")</f>
        <v/>
      </c>
      <c r="AH391" s="496" t="str">
        <f>IF(ISNUMBER('Model_ of_individuals'!AH406), 'Model_ of_individuals'!AH406*'Model_ of_individuals'!$K406,"")</f>
        <v/>
      </c>
      <c r="AI391" s="496" t="str">
        <f>IF(ISNUMBER('Model_ of_individuals'!AI406), 'Model_ of_individuals'!AI406*'Model_ of_individuals'!$K406,"")</f>
        <v/>
      </c>
      <c r="AJ391" s="496" t="str">
        <f>IF(ISNUMBER('Model_ of_individuals'!AJ406), 'Model_ of_individuals'!AJ406*'Model_ of_individuals'!$K406,"")</f>
        <v/>
      </c>
      <c r="AK391" s="496" t="str">
        <f>IF(ISNUMBER('Model_ of_individuals'!AK406), 'Model_ of_individuals'!AK406*'Model_ of_individuals'!$K406,"")</f>
        <v/>
      </c>
      <c r="AL391" s="496" t="str">
        <f>IF(ISNUMBER('Model_ of_individuals'!AL406), 'Model_ of_individuals'!AL406*'Model_ of_individuals'!$K406,"")</f>
        <v/>
      </c>
      <c r="AM391" s="496" t="str">
        <f>IF(ISNUMBER('Model_ of_individuals'!AM406), 'Model_ of_individuals'!AM406*'Model_ of_individuals'!$K406,"")</f>
        <v/>
      </c>
      <c r="AN391" s="496" t="str">
        <f>IF(ISNUMBER('Model_ of_individuals'!AN406), 'Model_ of_individuals'!AN406*'Model_ of_individuals'!$K406,"")</f>
        <v/>
      </c>
      <c r="AO391" s="496" t="str">
        <f>IF(ISNUMBER('Model_ of_individuals'!AO406), 'Model_ of_individuals'!AO406*'Model_ of_individuals'!$K406,"")</f>
        <v/>
      </c>
      <c r="AP391" s="496" t="str">
        <f>IF(ISNUMBER('Model_ of_individuals'!AP406), 'Model_ of_individuals'!AP406*'Model_ of_individuals'!$K406,"")</f>
        <v/>
      </c>
      <c r="AQ391" s="496" t="str">
        <f>IF(ISNUMBER('Model_ of_individuals'!AQ406), 'Model_ of_individuals'!AQ406*'Model_ of_individuals'!$K406,"")</f>
        <v/>
      </c>
      <c r="AR391" s="496" t="str">
        <f>IF(ISNUMBER('Model_ of_individuals'!AR406), 'Model_ of_individuals'!AR406*'Model_ of_individuals'!$K406,"")</f>
        <v/>
      </c>
      <c r="AS391" s="496" t="str">
        <f>IF(ISNUMBER('Model_ of_individuals'!AS406), 'Model_ of_individuals'!AS406*'Model_ of_individuals'!$K406,"")</f>
        <v/>
      </c>
      <c r="AT391" s="496" t="str">
        <f>IF(ISNUMBER('Model_ of_individuals'!AT406), 'Model_ of_individuals'!AT406*'Model_ of_individuals'!$K406,"")</f>
        <v/>
      </c>
    </row>
    <row r="392" spans="1:46" x14ac:dyDescent="0.25">
      <c r="A392" s="518"/>
      <c r="B392" s="504"/>
      <c r="C392" s="376" t="str">
        <f>IF(AND(ISNUMBER(B379), C390&lt;&gt;"", OR('Cost Inputs'!$H$118&lt;&gt;"", 'Cost Inputs'!$I$118&lt;&gt;"", 'Cost Inputs'!$J$118&lt;&gt;"")), _4_5_1, "")</f>
        <v/>
      </c>
      <c r="D392" s="17" t="str">
        <f>IF(AND(C392&lt;&gt;"", 'Cost Inputs'!$G$118&lt;&gt;""), 'Cost Inputs'!$G$118, "")</f>
        <v/>
      </c>
      <c r="E392" s="17" t="str">
        <f>IF(AND(C392&lt;&gt;"", 'Cost Inputs'!$H$118&lt;&gt;""), 'Cost Inputs'!$H$118, "")</f>
        <v/>
      </c>
      <c r="F392" s="493" t="str">
        <f>IF(AND(C392&lt;&gt;"", 'Cost Inputs'!$I$118&lt;&gt;""), 'Cost Inputs'!$I$118, "")</f>
        <v/>
      </c>
      <c r="G392" s="105" t="str">
        <f t="shared" si="25"/>
        <v/>
      </c>
      <c r="H392" s="493" t="str">
        <f>IF(AND(C392&lt;&gt;"", 'Cost Inputs'!$J$118&lt;&gt;""), 'Cost Inputs'!$J$118, "")</f>
        <v/>
      </c>
      <c r="I392" s="105" t="str">
        <f>IF($C392&lt;&gt;"",IF(AND($E392&lt;&gt;"",H392&lt;&gt;""), H392/$E392, 0),"")</f>
        <v/>
      </c>
      <c r="J392" s="493" t="str">
        <f>IF(AND(C392&lt;&gt;"",('Cost Inputs'!$I$118+'Cost Inputs'!$J$118+'Cost Inputs'!$K$118)&gt;0), 'Cost Inputs'!$I$118+'Cost Inputs'!$J$118+'Cost Inputs'!$K$118, "")</f>
        <v/>
      </c>
      <c r="K392" s="105" t="str">
        <f>IF($C392&lt;&gt;"",IF(AND($E392&lt;&gt;"",J392&lt;&gt;""), J392/$E392, 0),"")</f>
        <v/>
      </c>
      <c r="L392" s="525"/>
      <c r="M392" s="525"/>
      <c r="S392" s="497" t="str">
        <f>IF(ISNUMBER('Model_ of_individuals'!S407), 'Model_ of_individuals'!S407*'Model_ of_individuals'!$K407,"")</f>
        <v/>
      </c>
      <c r="T392" s="497" t="str">
        <f>IF(ISNUMBER('Model_ of_individuals'!T407), 'Model_ of_individuals'!T407*'Model_ of_individuals'!$K407,"")</f>
        <v/>
      </c>
      <c r="U392" s="497" t="str">
        <f>IF(ISNUMBER('Model_ of_individuals'!U407), 'Model_ of_individuals'!U407*'Model_ of_individuals'!$K407,"")</f>
        <v/>
      </c>
      <c r="V392" s="497" t="str">
        <f>IF(ISNUMBER('Model_ of_individuals'!V407), 'Model_ of_individuals'!V407*'Model_ of_individuals'!$K407,"")</f>
        <v/>
      </c>
      <c r="W392" s="497" t="str">
        <f>IF(ISNUMBER('Model_ of_individuals'!W407), 'Model_ of_individuals'!W407*'Model_ of_individuals'!$K407,"")</f>
        <v/>
      </c>
      <c r="X392" s="497" t="str">
        <f>IF(ISNUMBER('Model_ of_individuals'!X407), 'Model_ of_individuals'!X407*'Model_ of_individuals'!$K407,"")</f>
        <v/>
      </c>
      <c r="Y392" s="497" t="str">
        <f>IF(ISNUMBER('Model_ of_individuals'!Y407), 'Model_ of_individuals'!Y407*'Model_ of_individuals'!$K407,"")</f>
        <v/>
      </c>
      <c r="Z392" s="497" t="str">
        <f>IF(ISNUMBER('Model_ of_individuals'!Z407), 'Model_ of_individuals'!Z407*'Model_ of_individuals'!$K407,"")</f>
        <v/>
      </c>
      <c r="AA392" s="497" t="str">
        <f>IF(ISNUMBER('Model_ of_individuals'!AA407), 'Model_ of_individuals'!AA407*'Model_ of_individuals'!$K407,"")</f>
        <v/>
      </c>
      <c r="AB392" s="497" t="str">
        <f>IF(ISNUMBER('Model_ of_individuals'!AB407), 'Model_ of_individuals'!AB407*'Model_ of_individuals'!$K407,"")</f>
        <v/>
      </c>
      <c r="AC392" s="497" t="str">
        <f>IF(ISNUMBER('Model_ of_individuals'!AC407), 'Model_ of_individuals'!AC407*'Model_ of_individuals'!$K407,"")</f>
        <v/>
      </c>
      <c r="AD392" s="497" t="str">
        <f>IF(ISNUMBER('Model_ of_individuals'!AD407), 'Model_ of_individuals'!AD407*'Model_ of_individuals'!$K407,"")</f>
        <v/>
      </c>
      <c r="AE392" s="497" t="str">
        <f>IF(ISNUMBER('Model_ of_individuals'!AE407), 'Model_ of_individuals'!AE407*'Model_ of_individuals'!$K407,"")</f>
        <v/>
      </c>
      <c r="AF392" s="497" t="str">
        <f>IF(ISNUMBER('Model_ of_individuals'!AF407), 'Model_ of_individuals'!AF407*'Model_ of_individuals'!$K407,"")</f>
        <v/>
      </c>
      <c r="AG392" s="497" t="str">
        <f>IF(ISNUMBER('Model_ of_individuals'!AG407), 'Model_ of_individuals'!AG407*'Model_ of_individuals'!$K407,"")</f>
        <v/>
      </c>
      <c r="AH392" s="497" t="str">
        <f>IF(ISNUMBER('Model_ of_individuals'!AH407), 'Model_ of_individuals'!AH407*'Model_ of_individuals'!$K407,"")</f>
        <v/>
      </c>
      <c r="AI392" s="497" t="str">
        <f>IF(ISNUMBER('Model_ of_individuals'!AI407), 'Model_ of_individuals'!AI407*'Model_ of_individuals'!$K407,"")</f>
        <v/>
      </c>
      <c r="AJ392" s="497" t="str">
        <f>IF(ISNUMBER('Model_ of_individuals'!AJ407), 'Model_ of_individuals'!AJ407*'Model_ of_individuals'!$K407,"")</f>
        <v/>
      </c>
      <c r="AK392" s="497" t="str">
        <f>IF(ISNUMBER('Model_ of_individuals'!AK407), 'Model_ of_individuals'!AK407*'Model_ of_individuals'!$K407,"")</f>
        <v/>
      </c>
      <c r="AL392" s="497" t="str">
        <f>IF(ISNUMBER('Model_ of_individuals'!AL407), 'Model_ of_individuals'!AL407*'Model_ of_individuals'!$K407,"")</f>
        <v/>
      </c>
      <c r="AM392" s="497" t="str">
        <f>IF(ISNUMBER('Model_ of_individuals'!AM407), 'Model_ of_individuals'!AM407*'Model_ of_individuals'!$K407,"")</f>
        <v/>
      </c>
      <c r="AN392" s="497" t="str">
        <f>IF(ISNUMBER('Model_ of_individuals'!AN407), 'Model_ of_individuals'!AN407*'Model_ of_individuals'!$K407,"")</f>
        <v/>
      </c>
      <c r="AO392" s="497" t="str">
        <f>IF(ISNUMBER('Model_ of_individuals'!AO407), 'Model_ of_individuals'!AO407*'Model_ of_individuals'!$K407,"")</f>
        <v/>
      </c>
      <c r="AP392" s="497" t="str">
        <f>IF(ISNUMBER('Model_ of_individuals'!AP407), 'Model_ of_individuals'!AP407*'Model_ of_individuals'!$K407,"")</f>
        <v/>
      </c>
      <c r="AQ392" s="497" t="str">
        <f>IF(ISNUMBER('Model_ of_individuals'!AQ407), 'Model_ of_individuals'!AQ407*'Model_ of_individuals'!$K407,"")</f>
        <v/>
      </c>
      <c r="AR392" s="497" t="str">
        <f>IF(ISNUMBER('Model_ of_individuals'!AR407), 'Model_ of_individuals'!AR407*'Model_ of_individuals'!$K407,"")</f>
        <v/>
      </c>
      <c r="AS392" s="497" t="str">
        <f>IF(ISNUMBER('Model_ of_individuals'!AS407), 'Model_ of_individuals'!AS407*'Model_ of_individuals'!$K407,"")</f>
        <v/>
      </c>
      <c r="AT392" s="497" t="str">
        <f>IF(ISNUMBER('Model_ of_individuals'!AT407), 'Model_ of_individuals'!AT407*'Model_ of_individuals'!$K407,"")</f>
        <v/>
      </c>
    </row>
    <row r="393" spans="1:46" x14ac:dyDescent="0.25">
      <c r="A393" s="518"/>
      <c r="B393" s="504"/>
      <c r="C393" s="376" t="str">
        <f>IF(AND(ISNUMBER(B374), OR('Cost Inputs'!$H$85&lt;&gt;"", 'Cost Inputs'!$I$85&lt;&gt;"", 'Cost Inputs'!$J$85&lt;&gt;"")), _3_5_1, "")</f>
        <v/>
      </c>
      <c r="D393" s="17" t="str">
        <f>IF(AND(C392&lt;&gt;"", 'Cost Inputs'!$G$119&lt;&gt;""), 'Cost Inputs'!$G$119, "")</f>
        <v/>
      </c>
      <c r="E393" s="17" t="str">
        <f>IF(AND(C392&lt;&gt;"", 'Cost Inputs'!$H$119&lt;&gt;""), 'Cost Inputs'!$H$119, "")</f>
        <v/>
      </c>
      <c r="F393" s="493"/>
      <c r="G393" s="105" t="str">
        <f t="shared" si="25"/>
        <v/>
      </c>
      <c r="H393" s="493"/>
      <c r="I393" s="105" t="str">
        <f>IF($C392&lt;&gt;"", IF(AND($E393&lt;&gt;"", H392&lt;&gt;""), H392/($E392*$E393), 0), "")</f>
        <v/>
      </c>
      <c r="J393" s="493" t="str">
        <f>IF(AND(C393&lt;&gt;"",('Cost Inputs'!$I$86+'Cost Inputs'!$J$86+'Cost Inputs'!$K$86)&gt;0), 'Cost Inputs'!$I$86+'Cost Inputs'!$J$86+'Cost Inputs'!$K$86, "")</f>
        <v/>
      </c>
      <c r="K393" s="105" t="str">
        <f>IF($C392&lt;&gt;"", IF(AND($E393&lt;&gt;"", J392&lt;&gt;""), J392/($E392*$E393), 0), "")</f>
        <v/>
      </c>
      <c r="L393" s="525"/>
      <c r="M393" s="525"/>
      <c r="S393" s="497" t="str">
        <f>IF(ISNUMBER('Model_ of_individuals'!S408), 'Model_ of_individuals'!S408*'Model_ of_individuals'!$K408,"")</f>
        <v/>
      </c>
      <c r="T393" s="497" t="str">
        <f>IF(ISNUMBER('Model_ of_individuals'!T408), 'Model_ of_individuals'!T408*'Model_ of_individuals'!$K408,"")</f>
        <v/>
      </c>
      <c r="U393" s="497" t="str">
        <f>IF(ISNUMBER('Model_ of_individuals'!U408), 'Model_ of_individuals'!U408*'Model_ of_individuals'!$K408,"")</f>
        <v/>
      </c>
      <c r="V393" s="497" t="str">
        <f>IF(ISNUMBER('Model_ of_individuals'!V408), 'Model_ of_individuals'!V408*'Model_ of_individuals'!$K408,"")</f>
        <v/>
      </c>
      <c r="W393" s="497" t="str">
        <f>IF(ISNUMBER('Model_ of_individuals'!W408), 'Model_ of_individuals'!W408*'Model_ of_individuals'!$K408,"")</f>
        <v/>
      </c>
      <c r="X393" s="497" t="str">
        <f>IF(ISNUMBER('Model_ of_individuals'!X408), 'Model_ of_individuals'!X408*'Model_ of_individuals'!$K408,"")</f>
        <v/>
      </c>
      <c r="Y393" s="497" t="str">
        <f>IF(ISNUMBER('Model_ of_individuals'!Y408), 'Model_ of_individuals'!Y408*'Model_ of_individuals'!$K408,"")</f>
        <v/>
      </c>
      <c r="Z393" s="497" t="str">
        <f>IF(ISNUMBER('Model_ of_individuals'!Z408), 'Model_ of_individuals'!Z408*'Model_ of_individuals'!$K408,"")</f>
        <v/>
      </c>
      <c r="AA393" s="497" t="str">
        <f>IF(ISNUMBER('Model_ of_individuals'!AA408), 'Model_ of_individuals'!AA408*'Model_ of_individuals'!$K408,"")</f>
        <v/>
      </c>
      <c r="AB393" s="497" t="str">
        <f>IF(ISNUMBER('Model_ of_individuals'!AB408), 'Model_ of_individuals'!AB408*'Model_ of_individuals'!$K408,"")</f>
        <v/>
      </c>
      <c r="AC393" s="497" t="str">
        <f>IF(ISNUMBER('Model_ of_individuals'!AC408), 'Model_ of_individuals'!AC408*'Model_ of_individuals'!$K408,"")</f>
        <v/>
      </c>
      <c r="AD393" s="497" t="str">
        <f>IF(ISNUMBER('Model_ of_individuals'!AD408), 'Model_ of_individuals'!AD408*'Model_ of_individuals'!$K408,"")</f>
        <v/>
      </c>
      <c r="AE393" s="497" t="str">
        <f>IF(ISNUMBER('Model_ of_individuals'!AE408), 'Model_ of_individuals'!AE408*'Model_ of_individuals'!$K408,"")</f>
        <v/>
      </c>
      <c r="AF393" s="497" t="str">
        <f>IF(ISNUMBER('Model_ of_individuals'!AF408), 'Model_ of_individuals'!AF408*'Model_ of_individuals'!$K408,"")</f>
        <v/>
      </c>
      <c r="AG393" s="497" t="str">
        <f>IF(ISNUMBER('Model_ of_individuals'!AG408), 'Model_ of_individuals'!AG408*'Model_ of_individuals'!$K408,"")</f>
        <v/>
      </c>
      <c r="AH393" s="497" t="str">
        <f>IF(ISNUMBER('Model_ of_individuals'!AH408), 'Model_ of_individuals'!AH408*'Model_ of_individuals'!$K408,"")</f>
        <v/>
      </c>
      <c r="AI393" s="497" t="str">
        <f>IF(ISNUMBER('Model_ of_individuals'!AI408), 'Model_ of_individuals'!AI408*'Model_ of_individuals'!$K408,"")</f>
        <v/>
      </c>
      <c r="AJ393" s="497" t="str">
        <f>IF(ISNUMBER('Model_ of_individuals'!AJ408), 'Model_ of_individuals'!AJ408*'Model_ of_individuals'!$K408,"")</f>
        <v/>
      </c>
      <c r="AK393" s="497" t="str">
        <f>IF(ISNUMBER('Model_ of_individuals'!AK408), 'Model_ of_individuals'!AK408*'Model_ of_individuals'!$K408,"")</f>
        <v/>
      </c>
      <c r="AL393" s="497" t="str">
        <f>IF(ISNUMBER('Model_ of_individuals'!AL408), 'Model_ of_individuals'!AL408*'Model_ of_individuals'!$K408,"")</f>
        <v/>
      </c>
      <c r="AM393" s="497" t="str">
        <f>IF(ISNUMBER('Model_ of_individuals'!AM408), 'Model_ of_individuals'!AM408*'Model_ of_individuals'!$K408,"")</f>
        <v/>
      </c>
      <c r="AN393" s="497" t="str">
        <f>IF(ISNUMBER('Model_ of_individuals'!AN408), 'Model_ of_individuals'!AN408*'Model_ of_individuals'!$K408,"")</f>
        <v/>
      </c>
      <c r="AO393" s="497" t="str">
        <f>IF(ISNUMBER('Model_ of_individuals'!AO408), 'Model_ of_individuals'!AO408*'Model_ of_individuals'!$K408,"")</f>
        <v/>
      </c>
      <c r="AP393" s="497" t="str">
        <f>IF(ISNUMBER('Model_ of_individuals'!AP408), 'Model_ of_individuals'!AP408*'Model_ of_individuals'!$K408,"")</f>
        <v/>
      </c>
      <c r="AQ393" s="497" t="str">
        <f>IF(ISNUMBER('Model_ of_individuals'!AQ408), 'Model_ of_individuals'!AQ408*'Model_ of_individuals'!$K408,"")</f>
        <v/>
      </c>
      <c r="AR393" s="497" t="str">
        <f>IF(ISNUMBER('Model_ of_individuals'!AR408), 'Model_ of_individuals'!AR408*'Model_ of_individuals'!$K408,"")</f>
        <v/>
      </c>
      <c r="AS393" s="497" t="str">
        <f>IF(ISNUMBER('Model_ of_individuals'!AS408), 'Model_ of_individuals'!AS408*'Model_ of_individuals'!$K408,"")</f>
        <v/>
      </c>
      <c r="AT393" s="497" t="str">
        <f>IF(ISNUMBER('Model_ of_individuals'!AT408), 'Model_ of_individuals'!AT408*'Model_ of_individuals'!$K408,"")</f>
        <v/>
      </c>
    </row>
    <row r="394" spans="1:46" x14ac:dyDescent="0.25">
      <c r="A394" s="518"/>
      <c r="B394" s="504"/>
      <c r="C394" s="107" t="str">
        <f>IF(AND(ISNUMBER(B379), C390&lt;&gt;"", OR('Cost Inputs'!$H$120&lt;&gt;"", 'Cost Inputs'!$I$120&lt;&gt;"", 'Cost Inputs'!$J$120&lt;&gt;"")), _4_5_2, "")</f>
        <v/>
      </c>
      <c r="D394" s="93" t="str">
        <f>IF(AND(C394&lt;&gt;"", 'Cost Inputs'!$G$120&lt;&gt;""), 'Cost Inputs'!$G$120, "")</f>
        <v/>
      </c>
      <c r="E394" s="93" t="str">
        <f>IF(AND(C394&lt;&gt;"", 'Cost Inputs'!$H$120&lt;&gt;""), 'Cost Inputs'!$H$120, "")</f>
        <v/>
      </c>
      <c r="F394" s="93" t="str">
        <f>IF(AND(C394&lt;&gt;"", 'Cost Inputs'!$I$120&lt;&gt;""), 'Cost Inputs'!$I$120, "")</f>
        <v/>
      </c>
      <c r="G394" s="108" t="str">
        <f t="shared" ref="G394:G460" si="32">IF(AND($E394&lt;&gt;"", $E394&gt;0, F394&lt;&gt;""), F394/$E394, "")</f>
        <v/>
      </c>
      <c r="H394" s="93" t="str">
        <f>IF(AND(C394&lt;&gt;"", 'Cost Inputs'!$J$120&lt;&gt;""), 'Cost Inputs'!$J$120, "")</f>
        <v/>
      </c>
      <c r="I394" s="93" t="str">
        <f>IF($C394&lt;&gt;"", IF(AND($E394&lt;&gt;"", H394&lt;&gt;""), H394/$E394, 0),"")</f>
        <v/>
      </c>
      <c r="J394" s="93" t="str">
        <f>IF(AND(C394&lt;&gt;"",('Cost Inputs'!$I$120+'Cost Inputs'!$J$120+'Cost Inputs'!$K$120)&gt;0), 'Cost Inputs'!$I$120+'Cost Inputs'!$J$120+'Cost Inputs'!$K$120, "")</f>
        <v/>
      </c>
      <c r="K394" s="93" t="str">
        <f>IF($C394&lt;&gt;"", IF(AND($E394&lt;&gt;"", J394&lt;&gt;""), J394/$E394, 0),"")</f>
        <v/>
      </c>
      <c r="L394" s="525"/>
      <c r="M394" s="525"/>
      <c r="S394" s="93" t="str">
        <f>IF(ISNUMBER('Model_ of_individuals'!S409), 'Model_ of_individuals'!S409*'Model_ of_individuals'!$K409,"")</f>
        <v/>
      </c>
      <c r="T394" s="93" t="str">
        <f>IF(ISNUMBER('Model_ of_individuals'!T409), 'Model_ of_individuals'!T409*'Model_ of_individuals'!$K409,"")</f>
        <v/>
      </c>
      <c r="U394" s="93" t="str">
        <f>IF(ISNUMBER('Model_ of_individuals'!U409), 'Model_ of_individuals'!U409*'Model_ of_individuals'!$K409,"")</f>
        <v/>
      </c>
      <c r="V394" s="93" t="str">
        <f>IF(ISNUMBER('Model_ of_individuals'!V409), 'Model_ of_individuals'!V409*'Model_ of_individuals'!$K409,"")</f>
        <v/>
      </c>
      <c r="W394" s="93" t="str">
        <f>IF(ISNUMBER('Model_ of_individuals'!W409), 'Model_ of_individuals'!W409*'Model_ of_individuals'!$K409,"")</f>
        <v/>
      </c>
      <c r="X394" s="93" t="str">
        <f>IF(ISNUMBER('Model_ of_individuals'!X409), 'Model_ of_individuals'!X409*'Model_ of_individuals'!$K409,"")</f>
        <v/>
      </c>
      <c r="Y394" s="93" t="str">
        <f>IF(ISNUMBER('Model_ of_individuals'!Y409), 'Model_ of_individuals'!Y409*'Model_ of_individuals'!$K409,"")</f>
        <v/>
      </c>
      <c r="Z394" s="93" t="str">
        <f>IF(ISNUMBER('Model_ of_individuals'!Z409), 'Model_ of_individuals'!Z409*'Model_ of_individuals'!$K409,"")</f>
        <v/>
      </c>
      <c r="AA394" s="93" t="str">
        <f>IF(ISNUMBER('Model_ of_individuals'!AA409), 'Model_ of_individuals'!AA409*'Model_ of_individuals'!$K409,"")</f>
        <v/>
      </c>
      <c r="AB394" s="93" t="str">
        <f>IF(ISNUMBER('Model_ of_individuals'!AB409), 'Model_ of_individuals'!AB409*'Model_ of_individuals'!$K409,"")</f>
        <v/>
      </c>
      <c r="AC394" s="93" t="str">
        <f>IF(ISNUMBER('Model_ of_individuals'!AC409), 'Model_ of_individuals'!AC409*'Model_ of_individuals'!$K409,"")</f>
        <v/>
      </c>
      <c r="AD394" s="93" t="str">
        <f>IF(ISNUMBER('Model_ of_individuals'!AD409), 'Model_ of_individuals'!AD409*'Model_ of_individuals'!$K409,"")</f>
        <v/>
      </c>
      <c r="AE394" s="93" t="str">
        <f>IF(ISNUMBER('Model_ of_individuals'!AE409), 'Model_ of_individuals'!AE409*'Model_ of_individuals'!$K409,"")</f>
        <v/>
      </c>
      <c r="AF394" s="93" t="str">
        <f>IF(ISNUMBER('Model_ of_individuals'!AF409), 'Model_ of_individuals'!AF409*'Model_ of_individuals'!$K409,"")</f>
        <v/>
      </c>
      <c r="AG394" s="93" t="str">
        <f>IF(ISNUMBER('Model_ of_individuals'!AG409), 'Model_ of_individuals'!AG409*'Model_ of_individuals'!$K409,"")</f>
        <v/>
      </c>
      <c r="AH394" s="93" t="str">
        <f>IF(ISNUMBER('Model_ of_individuals'!AH409), 'Model_ of_individuals'!AH409*'Model_ of_individuals'!$K409,"")</f>
        <v/>
      </c>
      <c r="AI394" s="93" t="str">
        <f>IF(ISNUMBER('Model_ of_individuals'!AI409), 'Model_ of_individuals'!AI409*'Model_ of_individuals'!$K409,"")</f>
        <v/>
      </c>
      <c r="AJ394" s="93" t="str">
        <f>IF(ISNUMBER('Model_ of_individuals'!AJ409), 'Model_ of_individuals'!AJ409*'Model_ of_individuals'!$K409,"")</f>
        <v/>
      </c>
      <c r="AK394" s="93" t="str">
        <f>IF(ISNUMBER('Model_ of_individuals'!AK409), 'Model_ of_individuals'!AK409*'Model_ of_individuals'!$K409,"")</f>
        <v/>
      </c>
      <c r="AL394" s="93" t="str">
        <f>IF(ISNUMBER('Model_ of_individuals'!AL409), 'Model_ of_individuals'!AL409*'Model_ of_individuals'!$K409,"")</f>
        <v/>
      </c>
      <c r="AM394" s="93" t="str">
        <f>IF(ISNUMBER('Model_ of_individuals'!AM409), 'Model_ of_individuals'!AM409*'Model_ of_individuals'!$K409,"")</f>
        <v/>
      </c>
      <c r="AN394" s="93" t="str">
        <f>IF(ISNUMBER('Model_ of_individuals'!AN409), 'Model_ of_individuals'!AN409*'Model_ of_individuals'!$K409,"")</f>
        <v/>
      </c>
      <c r="AO394" s="93" t="str">
        <f>IF(ISNUMBER('Model_ of_individuals'!AO409), 'Model_ of_individuals'!AO409*'Model_ of_individuals'!$K409,"")</f>
        <v/>
      </c>
      <c r="AP394" s="93" t="str">
        <f>IF(ISNUMBER('Model_ of_individuals'!AP409), 'Model_ of_individuals'!AP409*'Model_ of_individuals'!$K409,"")</f>
        <v/>
      </c>
      <c r="AQ394" s="93" t="str">
        <f>IF(ISNUMBER('Model_ of_individuals'!AQ409), 'Model_ of_individuals'!AQ409*'Model_ of_individuals'!$K409,"")</f>
        <v/>
      </c>
      <c r="AR394" s="93" t="str">
        <f>IF(ISNUMBER('Model_ of_individuals'!AR409), 'Model_ of_individuals'!AR409*'Model_ of_individuals'!$K409,"")</f>
        <v/>
      </c>
      <c r="AS394" s="93" t="str">
        <f>IF(ISNUMBER('Model_ of_individuals'!AS409), 'Model_ of_individuals'!AS409*'Model_ of_individuals'!$K409,"")</f>
        <v/>
      </c>
      <c r="AT394" s="93" t="str">
        <f>IF(ISNUMBER('Model_ of_individuals'!AT409), 'Model_ of_individuals'!AT409*'Model_ of_individuals'!$K409,"")</f>
        <v/>
      </c>
    </row>
    <row r="395" spans="1:46" x14ac:dyDescent="0.25">
      <c r="A395" s="518"/>
      <c r="B395" s="504"/>
      <c r="C395" s="104" t="str">
        <f>IF(AND(ISNUMBER(B379), C390&lt;&gt;"", OR('Cost Inputs'!$H$121&lt;&gt;"", 'Cost Inputs'!$I$121&lt;&gt;"", 'Cost Inputs'!$J$121&lt;&gt;"")), _4_5_3, "")</f>
        <v/>
      </c>
      <c r="D395" s="17" t="str">
        <f>IF(AND(C395&lt;&gt;"", 'Cost Inputs'!$G$121&lt;&gt;""), 'Cost Inputs'!$G$121, "")</f>
        <v/>
      </c>
      <c r="E395" s="17" t="str">
        <f>IF(AND(C395&lt;&gt;"", 'Cost Inputs'!$H$121&lt;&gt;""), 'Cost Inputs'!$H$121, "")</f>
        <v/>
      </c>
      <c r="F395" s="17" t="str">
        <f>IF(AND(C395&lt;&gt;"", 'Cost Inputs'!$I$121&lt;&gt;""), 'Cost Inputs'!$I$121, "")</f>
        <v/>
      </c>
      <c r="G395" s="105" t="str">
        <f t="shared" si="32"/>
        <v/>
      </c>
      <c r="H395" s="17" t="str">
        <f>IF(AND(C395&lt;&gt;"", 'Cost Inputs'!$J$121&lt;&gt;""), 'Cost Inputs'!$J$121, "")</f>
        <v/>
      </c>
      <c r="I395" s="17" t="str">
        <f>IF($C395&lt;&gt;"", IF(AND($E395&lt;&gt;"", H395&lt;&gt;""), H395/$E395, 0),"")</f>
        <v/>
      </c>
      <c r="J395" s="17" t="str">
        <f>IF(AND(C395&lt;&gt;"",('Cost Inputs'!$I$121+'Cost Inputs'!$J$121+'Cost Inputs'!$K$121)&gt;0), 'Cost Inputs'!$I$121+'Cost Inputs'!$J$121+'Cost Inputs'!$K$121, "")</f>
        <v/>
      </c>
      <c r="K395" s="17" t="str">
        <f>IF($C395&lt;&gt;"", IF(AND($E395&lt;&gt;"", J395&lt;&gt;""), J395/$E395, 0),"")</f>
        <v/>
      </c>
      <c r="L395" s="525"/>
      <c r="M395" s="525"/>
      <c r="S395" s="17" t="str">
        <f>IF(ISNUMBER('Model_ of_individuals'!S410), 'Model_ of_individuals'!S410*'Model_ of_individuals'!$K410,"")</f>
        <v/>
      </c>
      <c r="T395" s="17" t="str">
        <f>IF(ISNUMBER('Model_ of_individuals'!T410), 'Model_ of_individuals'!T410*'Model_ of_individuals'!$K410,"")</f>
        <v/>
      </c>
      <c r="U395" s="17" t="str">
        <f>IF(ISNUMBER('Model_ of_individuals'!U410), 'Model_ of_individuals'!U410*'Model_ of_individuals'!$K410,"")</f>
        <v/>
      </c>
      <c r="V395" s="17" t="str">
        <f>IF(ISNUMBER('Model_ of_individuals'!V410), 'Model_ of_individuals'!V410*'Model_ of_individuals'!$K410,"")</f>
        <v/>
      </c>
      <c r="W395" s="17" t="str">
        <f>IF(ISNUMBER('Model_ of_individuals'!W410), 'Model_ of_individuals'!W410*'Model_ of_individuals'!$K410,"")</f>
        <v/>
      </c>
      <c r="X395" s="17" t="str">
        <f>IF(ISNUMBER('Model_ of_individuals'!X410), 'Model_ of_individuals'!X410*'Model_ of_individuals'!$K410,"")</f>
        <v/>
      </c>
      <c r="Y395" s="17" t="str">
        <f>IF(ISNUMBER('Model_ of_individuals'!Y410), 'Model_ of_individuals'!Y410*'Model_ of_individuals'!$K410,"")</f>
        <v/>
      </c>
      <c r="Z395" s="17" t="str">
        <f>IF(ISNUMBER('Model_ of_individuals'!Z410), 'Model_ of_individuals'!Z410*'Model_ of_individuals'!$K410,"")</f>
        <v/>
      </c>
      <c r="AA395" s="17" t="str">
        <f>IF(ISNUMBER('Model_ of_individuals'!AA410), 'Model_ of_individuals'!AA410*'Model_ of_individuals'!$K410,"")</f>
        <v/>
      </c>
      <c r="AB395" s="17" t="str">
        <f>IF(ISNUMBER('Model_ of_individuals'!AB410), 'Model_ of_individuals'!AB410*'Model_ of_individuals'!$K410,"")</f>
        <v/>
      </c>
      <c r="AC395" s="17" t="str">
        <f>IF(ISNUMBER('Model_ of_individuals'!AC410), 'Model_ of_individuals'!AC410*'Model_ of_individuals'!$K410,"")</f>
        <v/>
      </c>
      <c r="AD395" s="17" t="str">
        <f>IF(ISNUMBER('Model_ of_individuals'!AD410), 'Model_ of_individuals'!AD410*'Model_ of_individuals'!$K410,"")</f>
        <v/>
      </c>
      <c r="AE395" s="17" t="str">
        <f>IF(ISNUMBER('Model_ of_individuals'!AE410), 'Model_ of_individuals'!AE410*'Model_ of_individuals'!$K410,"")</f>
        <v/>
      </c>
      <c r="AF395" s="17" t="str">
        <f>IF(ISNUMBER('Model_ of_individuals'!AF410), 'Model_ of_individuals'!AF410*'Model_ of_individuals'!$K410,"")</f>
        <v/>
      </c>
      <c r="AG395" s="17" t="str">
        <f>IF(ISNUMBER('Model_ of_individuals'!AG410), 'Model_ of_individuals'!AG410*'Model_ of_individuals'!$K410,"")</f>
        <v/>
      </c>
      <c r="AH395" s="17" t="str">
        <f>IF(ISNUMBER('Model_ of_individuals'!AH410), 'Model_ of_individuals'!AH410*'Model_ of_individuals'!$K410,"")</f>
        <v/>
      </c>
      <c r="AI395" s="17" t="str">
        <f>IF(ISNUMBER('Model_ of_individuals'!AI410), 'Model_ of_individuals'!AI410*'Model_ of_individuals'!$K410,"")</f>
        <v/>
      </c>
      <c r="AJ395" s="17" t="str">
        <f>IF(ISNUMBER('Model_ of_individuals'!AJ410), 'Model_ of_individuals'!AJ410*'Model_ of_individuals'!$K410,"")</f>
        <v/>
      </c>
      <c r="AK395" s="17" t="str">
        <f>IF(ISNUMBER('Model_ of_individuals'!AK410), 'Model_ of_individuals'!AK410*'Model_ of_individuals'!$K410,"")</f>
        <v/>
      </c>
      <c r="AL395" s="17" t="str">
        <f>IF(ISNUMBER('Model_ of_individuals'!AL410), 'Model_ of_individuals'!AL410*'Model_ of_individuals'!$K410,"")</f>
        <v/>
      </c>
      <c r="AM395" s="17" t="str">
        <f>IF(ISNUMBER('Model_ of_individuals'!AM410), 'Model_ of_individuals'!AM410*'Model_ of_individuals'!$K410,"")</f>
        <v/>
      </c>
      <c r="AN395" s="17" t="str">
        <f>IF(ISNUMBER('Model_ of_individuals'!AN410), 'Model_ of_individuals'!AN410*'Model_ of_individuals'!$K410,"")</f>
        <v/>
      </c>
      <c r="AO395" s="17" t="str">
        <f>IF(ISNUMBER('Model_ of_individuals'!AO410), 'Model_ of_individuals'!AO410*'Model_ of_individuals'!$K410,"")</f>
        <v/>
      </c>
      <c r="AP395" s="17" t="str">
        <f>IF(ISNUMBER('Model_ of_individuals'!AP410), 'Model_ of_individuals'!AP410*'Model_ of_individuals'!$K410,"")</f>
        <v/>
      </c>
      <c r="AQ395" s="17" t="str">
        <f>IF(ISNUMBER('Model_ of_individuals'!AQ410), 'Model_ of_individuals'!AQ410*'Model_ of_individuals'!$K410,"")</f>
        <v/>
      </c>
      <c r="AR395" s="17" t="str">
        <f>IF(ISNUMBER('Model_ of_individuals'!AR410), 'Model_ of_individuals'!AR410*'Model_ of_individuals'!$K410,"")</f>
        <v/>
      </c>
      <c r="AS395" s="17" t="str">
        <f>IF(ISNUMBER('Model_ of_individuals'!AS410), 'Model_ of_individuals'!AS410*'Model_ of_individuals'!$K410,"")</f>
        <v/>
      </c>
      <c r="AT395" s="17" t="str">
        <f>IF(ISNUMBER('Model_ of_individuals'!AT410), 'Model_ of_individuals'!AT410*'Model_ of_individuals'!$K410,"")</f>
        <v/>
      </c>
    </row>
    <row r="396" spans="1:46" x14ac:dyDescent="0.25">
      <c r="A396" s="518"/>
      <c r="B396" s="504"/>
      <c r="C396" s="107" t="str">
        <f>IF(AND(ISNUMBER(B379), C390&lt;&gt;"", OR('Cost Inputs'!$H$122&lt;&gt;"", 'Cost Inputs'!$I$122&lt;&gt;"", 'Cost Inputs'!$J$122&lt;&gt;"")), _4_5_2, "")</f>
        <v/>
      </c>
      <c r="D396" s="93" t="str">
        <f>IF(AND(C396&lt;&gt;"", 'Cost Inputs'!$G$122&lt;&gt;""), 'Cost Inputs'!$G$122, "")</f>
        <v/>
      </c>
      <c r="E396" s="93" t="str">
        <f>IF(AND(C396&lt;&gt;"", 'Cost Inputs'!$H$122&lt;&gt;""), 'Cost Inputs'!$H$122, "")</f>
        <v/>
      </c>
      <c r="F396" s="93" t="str">
        <f>IF(AND(C396&lt;&gt;"", 'Cost Inputs'!$I$122&lt;&gt;""), 'Cost Inputs'!$I$122, "")</f>
        <v/>
      </c>
      <c r="G396" s="108" t="str">
        <f t="shared" si="32"/>
        <v/>
      </c>
      <c r="H396" s="93" t="str">
        <f>IF(AND(C396&lt;&gt;"", 'Cost Inputs'!$J$122&lt;&gt;""), 'Cost Inputs'!$J$122, "")</f>
        <v/>
      </c>
      <c r="I396" s="93" t="str">
        <f>IF($C396&lt;&gt;"", IF(AND($E396&lt;&gt;"", H396&lt;&gt;""), H396/$E396, 0),"")</f>
        <v/>
      </c>
      <c r="J396" s="93" t="str">
        <f>IF(AND(C396&lt;&gt;"",('Cost Inputs'!$I$122+'Cost Inputs'!$J$122+'Cost Inputs'!$K$122)&gt;0), 'Cost Inputs'!$I$122+'Cost Inputs'!$J$122+'Cost Inputs'!$K$122, "")</f>
        <v/>
      </c>
      <c r="K396" s="93" t="str">
        <f>IF($C396&lt;&gt;"", IF(AND($E396&lt;&gt;"", J396&lt;&gt;""), J396/$E396, 0),"")</f>
        <v/>
      </c>
      <c r="L396" s="525"/>
      <c r="M396" s="525"/>
      <c r="S396" s="93" t="str">
        <f>IF(ISNUMBER('Model_ of_individuals'!S411), 'Model_ of_individuals'!S411*'Model_ of_individuals'!$K411,"")</f>
        <v/>
      </c>
      <c r="T396" s="93" t="str">
        <f>IF(ISNUMBER('Model_ of_individuals'!T411), 'Model_ of_individuals'!T411*'Model_ of_individuals'!$K411,"")</f>
        <v/>
      </c>
      <c r="U396" s="93" t="str">
        <f>IF(ISNUMBER('Model_ of_individuals'!U411), 'Model_ of_individuals'!U411*'Model_ of_individuals'!$K411,"")</f>
        <v/>
      </c>
      <c r="V396" s="93" t="str">
        <f>IF(ISNUMBER('Model_ of_individuals'!V411), 'Model_ of_individuals'!V411*'Model_ of_individuals'!$K411,"")</f>
        <v/>
      </c>
      <c r="W396" s="93" t="str">
        <f>IF(ISNUMBER('Model_ of_individuals'!W411), 'Model_ of_individuals'!W411*'Model_ of_individuals'!$K411,"")</f>
        <v/>
      </c>
      <c r="X396" s="93" t="str">
        <f>IF(ISNUMBER('Model_ of_individuals'!X411), 'Model_ of_individuals'!X411*'Model_ of_individuals'!$K411,"")</f>
        <v/>
      </c>
      <c r="Y396" s="93" t="str">
        <f>IF(ISNUMBER('Model_ of_individuals'!Y411), 'Model_ of_individuals'!Y411*'Model_ of_individuals'!$K411,"")</f>
        <v/>
      </c>
      <c r="Z396" s="93" t="str">
        <f>IF(ISNUMBER('Model_ of_individuals'!Z411), 'Model_ of_individuals'!Z411*'Model_ of_individuals'!$K411,"")</f>
        <v/>
      </c>
      <c r="AA396" s="93" t="str">
        <f>IF(ISNUMBER('Model_ of_individuals'!AA411), 'Model_ of_individuals'!AA411*'Model_ of_individuals'!$K411,"")</f>
        <v/>
      </c>
      <c r="AB396" s="93" t="str">
        <f>IF(ISNUMBER('Model_ of_individuals'!AB411), 'Model_ of_individuals'!AB411*'Model_ of_individuals'!$K411,"")</f>
        <v/>
      </c>
      <c r="AC396" s="93" t="str">
        <f>IF(ISNUMBER('Model_ of_individuals'!AC411), 'Model_ of_individuals'!AC411*'Model_ of_individuals'!$K411,"")</f>
        <v/>
      </c>
      <c r="AD396" s="93" t="str">
        <f>IF(ISNUMBER('Model_ of_individuals'!AD411), 'Model_ of_individuals'!AD411*'Model_ of_individuals'!$K411,"")</f>
        <v/>
      </c>
      <c r="AE396" s="93" t="str">
        <f>IF(ISNUMBER('Model_ of_individuals'!AE411), 'Model_ of_individuals'!AE411*'Model_ of_individuals'!$K411,"")</f>
        <v/>
      </c>
      <c r="AF396" s="93" t="str">
        <f>IF(ISNUMBER('Model_ of_individuals'!AF411), 'Model_ of_individuals'!AF411*'Model_ of_individuals'!$K411,"")</f>
        <v/>
      </c>
      <c r="AG396" s="93" t="str">
        <f>IF(ISNUMBER('Model_ of_individuals'!AG411), 'Model_ of_individuals'!AG411*'Model_ of_individuals'!$K411,"")</f>
        <v/>
      </c>
      <c r="AH396" s="93" t="str">
        <f>IF(ISNUMBER('Model_ of_individuals'!AH411), 'Model_ of_individuals'!AH411*'Model_ of_individuals'!$K411,"")</f>
        <v/>
      </c>
      <c r="AI396" s="93" t="str">
        <f>IF(ISNUMBER('Model_ of_individuals'!AI411), 'Model_ of_individuals'!AI411*'Model_ of_individuals'!$K411,"")</f>
        <v/>
      </c>
      <c r="AJ396" s="93" t="str">
        <f>IF(ISNUMBER('Model_ of_individuals'!AJ411), 'Model_ of_individuals'!AJ411*'Model_ of_individuals'!$K411,"")</f>
        <v/>
      </c>
      <c r="AK396" s="93" t="str">
        <f>IF(ISNUMBER('Model_ of_individuals'!AK411), 'Model_ of_individuals'!AK411*'Model_ of_individuals'!$K411,"")</f>
        <v/>
      </c>
      <c r="AL396" s="93" t="str">
        <f>IF(ISNUMBER('Model_ of_individuals'!AL411), 'Model_ of_individuals'!AL411*'Model_ of_individuals'!$K411,"")</f>
        <v/>
      </c>
      <c r="AM396" s="93" t="str">
        <f>IF(ISNUMBER('Model_ of_individuals'!AM411), 'Model_ of_individuals'!AM411*'Model_ of_individuals'!$K411,"")</f>
        <v/>
      </c>
      <c r="AN396" s="93" t="str">
        <f>IF(ISNUMBER('Model_ of_individuals'!AN411), 'Model_ of_individuals'!AN411*'Model_ of_individuals'!$K411,"")</f>
        <v/>
      </c>
      <c r="AO396" s="93" t="str">
        <f>IF(ISNUMBER('Model_ of_individuals'!AO411), 'Model_ of_individuals'!AO411*'Model_ of_individuals'!$K411,"")</f>
        <v/>
      </c>
      <c r="AP396" s="93" t="str">
        <f>IF(ISNUMBER('Model_ of_individuals'!AP411), 'Model_ of_individuals'!AP411*'Model_ of_individuals'!$K411,"")</f>
        <v/>
      </c>
      <c r="AQ396" s="93" t="str">
        <f>IF(ISNUMBER('Model_ of_individuals'!AQ411), 'Model_ of_individuals'!AQ411*'Model_ of_individuals'!$K411,"")</f>
        <v/>
      </c>
      <c r="AR396" s="93" t="str">
        <f>IF(ISNUMBER('Model_ of_individuals'!AR411), 'Model_ of_individuals'!AR411*'Model_ of_individuals'!$K411,"")</f>
        <v/>
      </c>
      <c r="AS396" s="93" t="str">
        <f>IF(ISNUMBER('Model_ of_individuals'!AS411), 'Model_ of_individuals'!AS411*'Model_ of_individuals'!$K411,"")</f>
        <v/>
      </c>
      <c r="AT396" s="93" t="str">
        <f>IF(ISNUMBER('Model_ of_individuals'!AT411), 'Model_ of_individuals'!AT411*'Model_ of_individuals'!$K411,"")</f>
        <v/>
      </c>
    </row>
    <row r="397" spans="1:46" x14ac:dyDescent="0.25">
      <c r="A397" s="518"/>
      <c r="B397" s="504"/>
      <c r="C397" s="104" t="str">
        <f>IF(AND(ISNUMBER(B379), C390&lt;&gt;"", OR('Cost Inputs'!$H$123&lt;&gt;"", 'Cost Inputs'!$I$123&lt;&gt;"", 'Cost Inputs'!$J$123&lt;&gt;"")), _4_5_3, "")</f>
        <v/>
      </c>
      <c r="D397" s="17" t="str">
        <f>IF(AND(C397&lt;&gt;"", 'Cost Inputs'!$G$123&lt;&gt;""), 'Cost Inputs'!$G$123, "")</f>
        <v/>
      </c>
      <c r="E397" s="17" t="str">
        <f>IF(AND(C397&lt;&gt;"", 'Cost Inputs'!$H$123&lt;&gt;""), 'Cost Inputs'!$H$123, "")</f>
        <v/>
      </c>
      <c r="F397" s="17" t="str">
        <f>IF(AND(C397&lt;&gt;"", 'Cost Inputs'!$I$123&lt;&gt;""), 'Cost Inputs'!$I$123, "")</f>
        <v/>
      </c>
      <c r="G397" s="105" t="str">
        <f t="shared" si="32"/>
        <v/>
      </c>
      <c r="H397" s="17" t="str">
        <f>IF(AND(C397&lt;&gt;"", 'Cost Inputs'!$J$123&lt;&gt;""), 'Cost Inputs'!$J$123, "")</f>
        <v/>
      </c>
      <c r="I397" s="17" t="str">
        <f>IF($C397&lt;&gt;"", IF(AND($E397&lt;&gt;"", H397&lt;&gt;""), H397/$E397, 0),"")</f>
        <v/>
      </c>
      <c r="J397" s="17" t="str">
        <f>IF(AND(C397&lt;&gt;"",('Cost Inputs'!$I$123+'Cost Inputs'!$J$123+'Cost Inputs'!$K$123)&gt;0), 'Cost Inputs'!$I$123+'Cost Inputs'!$J$123+'Cost Inputs'!$K$123, "")</f>
        <v/>
      </c>
      <c r="K397" s="17" t="str">
        <f>IF($C397&lt;&gt;"", IF(AND($E397&lt;&gt;"", J397&lt;&gt;""), J397/$E397, 0),"")</f>
        <v/>
      </c>
      <c r="L397" s="525"/>
      <c r="M397" s="525"/>
      <c r="S397" s="17" t="str">
        <f>IF(ISNUMBER('Model_ of_individuals'!S412), 'Model_ of_individuals'!S412*'Model_ of_individuals'!$K412,"")</f>
        <v/>
      </c>
      <c r="T397" s="17" t="str">
        <f>IF(ISNUMBER('Model_ of_individuals'!T412), 'Model_ of_individuals'!T412*'Model_ of_individuals'!$K412,"")</f>
        <v/>
      </c>
      <c r="U397" s="17" t="str">
        <f>IF(ISNUMBER('Model_ of_individuals'!U412), 'Model_ of_individuals'!U412*'Model_ of_individuals'!$K412,"")</f>
        <v/>
      </c>
      <c r="V397" s="17" t="str">
        <f>IF(ISNUMBER('Model_ of_individuals'!V412), 'Model_ of_individuals'!V412*'Model_ of_individuals'!$K412,"")</f>
        <v/>
      </c>
      <c r="W397" s="17" t="str">
        <f>IF(ISNUMBER('Model_ of_individuals'!W412), 'Model_ of_individuals'!W412*'Model_ of_individuals'!$K412,"")</f>
        <v/>
      </c>
      <c r="X397" s="17" t="str">
        <f>IF(ISNUMBER('Model_ of_individuals'!X412), 'Model_ of_individuals'!X412*'Model_ of_individuals'!$K412,"")</f>
        <v/>
      </c>
      <c r="Y397" s="17" t="str">
        <f>IF(ISNUMBER('Model_ of_individuals'!Y412), 'Model_ of_individuals'!Y412*'Model_ of_individuals'!$K412,"")</f>
        <v/>
      </c>
      <c r="Z397" s="17" t="str">
        <f>IF(ISNUMBER('Model_ of_individuals'!Z412), 'Model_ of_individuals'!Z412*'Model_ of_individuals'!$K412,"")</f>
        <v/>
      </c>
      <c r="AA397" s="17" t="str">
        <f>IF(ISNUMBER('Model_ of_individuals'!AA412), 'Model_ of_individuals'!AA412*'Model_ of_individuals'!$K412,"")</f>
        <v/>
      </c>
      <c r="AB397" s="17" t="str">
        <f>IF(ISNUMBER('Model_ of_individuals'!AB412), 'Model_ of_individuals'!AB412*'Model_ of_individuals'!$K412,"")</f>
        <v/>
      </c>
      <c r="AC397" s="17" t="str">
        <f>IF(ISNUMBER('Model_ of_individuals'!AC412), 'Model_ of_individuals'!AC412*'Model_ of_individuals'!$K412,"")</f>
        <v/>
      </c>
      <c r="AD397" s="17" t="str">
        <f>IF(ISNUMBER('Model_ of_individuals'!AD412), 'Model_ of_individuals'!AD412*'Model_ of_individuals'!$K412,"")</f>
        <v/>
      </c>
      <c r="AE397" s="17" t="str">
        <f>IF(ISNUMBER('Model_ of_individuals'!AE412), 'Model_ of_individuals'!AE412*'Model_ of_individuals'!$K412,"")</f>
        <v/>
      </c>
      <c r="AF397" s="17" t="str">
        <f>IF(ISNUMBER('Model_ of_individuals'!AF412), 'Model_ of_individuals'!AF412*'Model_ of_individuals'!$K412,"")</f>
        <v/>
      </c>
      <c r="AG397" s="17" t="str">
        <f>IF(ISNUMBER('Model_ of_individuals'!AG412), 'Model_ of_individuals'!AG412*'Model_ of_individuals'!$K412,"")</f>
        <v/>
      </c>
      <c r="AH397" s="17" t="str">
        <f>IF(ISNUMBER('Model_ of_individuals'!AH412), 'Model_ of_individuals'!AH412*'Model_ of_individuals'!$K412,"")</f>
        <v/>
      </c>
      <c r="AI397" s="17" t="str">
        <f>IF(ISNUMBER('Model_ of_individuals'!AI412), 'Model_ of_individuals'!AI412*'Model_ of_individuals'!$K412,"")</f>
        <v/>
      </c>
      <c r="AJ397" s="17" t="str">
        <f>IF(ISNUMBER('Model_ of_individuals'!AJ412), 'Model_ of_individuals'!AJ412*'Model_ of_individuals'!$K412,"")</f>
        <v/>
      </c>
      <c r="AK397" s="17" t="str">
        <f>IF(ISNUMBER('Model_ of_individuals'!AK412), 'Model_ of_individuals'!AK412*'Model_ of_individuals'!$K412,"")</f>
        <v/>
      </c>
      <c r="AL397" s="17" t="str">
        <f>IF(ISNUMBER('Model_ of_individuals'!AL412), 'Model_ of_individuals'!AL412*'Model_ of_individuals'!$K412,"")</f>
        <v/>
      </c>
      <c r="AM397" s="17" t="str">
        <f>IF(ISNUMBER('Model_ of_individuals'!AM412), 'Model_ of_individuals'!AM412*'Model_ of_individuals'!$K412,"")</f>
        <v/>
      </c>
      <c r="AN397" s="17" t="str">
        <f>IF(ISNUMBER('Model_ of_individuals'!AN412), 'Model_ of_individuals'!AN412*'Model_ of_individuals'!$K412,"")</f>
        <v/>
      </c>
      <c r="AO397" s="17" t="str">
        <f>IF(ISNUMBER('Model_ of_individuals'!AO412), 'Model_ of_individuals'!AO412*'Model_ of_individuals'!$K412,"")</f>
        <v/>
      </c>
      <c r="AP397" s="17" t="str">
        <f>IF(ISNUMBER('Model_ of_individuals'!AP412), 'Model_ of_individuals'!AP412*'Model_ of_individuals'!$K412,"")</f>
        <v/>
      </c>
      <c r="AQ397" s="17" t="str">
        <f>IF(ISNUMBER('Model_ of_individuals'!AQ412), 'Model_ of_individuals'!AQ412*'Model_ of_individuals'!$K412,"")</f>
        <v/>
      </c>
      <c r="AR397" s="17" t="str">
        <f>IF(ISNUMBER('Model_ of_individuals'!AR412), 'Model_ of_individuals'!AR412*'Model_ of_individuals'!$K412,"")</f>
        <v/>
      </c>
      <c r="AS397" s="17" t="str">
        <f>IF(ISNUMBER('Model_ of_individuals'!AS412), 'Model_ of_individuals'!AS412*'Model_ of_individuals'!$K412,"")</f>
        <v/>
      </c>
      <c r="AT397" s="17" t="str">
        <f>IF(ISNUMBER('Model_ of_individuals'!AT412), 'Model_ of_individuals'!AT412*'Model_ of_individuals'!$K412,"")</f>
        <v/>
      </c>
    </row>
    <row r="398" spans="1:46" x14ac:dyDescent="0.25">
      <c r="A398" s="518"/>
      <c r="B398" s="504"/>
      <c r="C398" s="110" t="str">
        <f>IF(ISNUMBER(B379), _4_6_0, "")</f>
        <v/>
      </c>
      <c r="D398" s="94" t="str">
        <f>IF(AND(C398&lt;&gt;"", 'Cost Inputs'!$G$124&lt;&gt;""), 'Cost Inputs'!$G$124, "")</f>
        <v/>
      </c>
      <c r="E398" s="94" t="str">
        <f>IF(AND(C398&lt;&gt;"", 'Cost Inputs'!$H$124&lt;&gt;""), 'Cost Inputs'!$H$124, "")</f>
        <v/>
      </c>
      <c r="F398" s="94" t="str">
        <f>IF(AND(C398&lt;&gt;"", 'Cost Inputs'!$I$124&lt;&gt;""), 'Cost Inputs'!$I$124, "")</f>
        <v/>
      </c>
      <c r="G398" s="102" t="str">
        <f t="shared" si="32"/>
        <v/>
      </c>
      <c r="H398" s="94" t="str">
        <f>IF(AND(C398&lt;&gt;"", 'Cost Inputs'!$J$124&lt;&gt;""), 'Cost Inputs'!$J$124, "")</f>
        <v/>
      </c>
      <c r="I398" s="102" t="str">
        <f>IF($C398&lt;&gt;"",IF(AND($E398&lt;&gt;"",H398&lt;&gt;""), H398/$E398, 0),"")</f>
        <v/>
      </c>
      <c r="J398" s="94" t="str">
        <f>IF(AND(C398&lt;&gt;"",('Cost Inputs'!$I$124+'Cost Inputs'!$J$124+'Cost Inputs'!$K$124)&gt;0), 'Cost Inputs'!$I$124+'Cost Inputs'!$J$124+'Cost Inputs'!$K$124, "")</f>
        <v/>
      </c>
      <c r="K398" s="102" t="str">
        <f>IF($C398&lt;&gt;"",IF(AND($E398&lt;&gt;"",J398&lt;&gt;""), J398/$E398, 0),"")</f>
        <v/>
      </c>
      <c r="L398" s="525"/>
      <c r="M398" s="525"/>
      <c r="S398" s="102" t="str">
        <f>IF(ISNUMBER('Model_ of_individuals'!S413), 'Model_ of_individuals'!S413*'Model_ of_individuals'!$K413,"")</f>
        <v/>
      </c>
      <c r="T398" s="102" t="str">
        <f>IF(ISNUMBER('Model_ of_individuals'!T413), 'Model_ of_individuals'!T413*'Model_ of_individuals'!$K413,"")</f>
        <v/>
      </c>
      <c r="U398" s="102" t="str">
        <f>IF(ISNUMBER('Model_ of_individuals'!U413), 'Model_ of_individuals'!U413*'Model_ of_individuals'!$K413,"")</f>
        <v/>
      </c>
      <c r="V398" s="102" t="str">
        <f>IF(ISNUMBER('Model_ of_individuals'!V413), 'Model_ of_individuals'!V413*'Model_ of_individuals'!$K413,"")</f>
        <v/>
      </c>
      <c r="W398" s="102" t="str">
        <f>IF(ISNUMBER('Model_ of_individuals'!W413), 'Model_ of_individuals'!W413*'Model_ of_individuals'!$K413,"")</f>
        <v/>
      </c>
      <c r="X398" s="102" t="str">
        <f>IF(ISNUMBER('Model_ of_individuals'!X413), 'Model_ of_individuals'!X413*'Model_ of_individuals'!$K413,"")</f>
        <v/>
      </c>
      <c r="Y398" s="102" t="str">
        <f>IF(ISNUMBER('Model_ of_individuals'!Y413), 'Model_ of_individuals'!Y413*'Model_ of_individuals'!$K413,"")</f>
        <v/>
      </c>
      <c r="Z398" s="102" t="str">
        <f>IF(ISNUMBER('Model_ of_individuals'!Z413), 'Model_ of_individuals'!Z413*'Model_ of_individuals'!$K413,"")</f>
        <v/>
      </c>
      <c r="AA398" s="102" t="str">
        <f>IF(ISNUMBER('Model_ of_individuals'!AA413), 'Model_ of_individuals'!AA413*'Model_ of_individuals'!$K413,"")</f>
        <v/>
      </c>
      <c r="AB398" s="102" t="str">
        <f>IF(ISNUMBER('Model_ of_individuals'!AB413), 'Model_ of_individuals'!AB413*'Model_ of_individuals'!$K413,"")</f>
        <v/>
      </c>
      <c r="AC398" s="102" t="str">
        <f>IF(ISNUMBER('Model_ of_individuals'!AC413), 'Model_ of_individuals'!AC413*'Model_ of_individuals'!$K413,"")</f>
        <v/>
      </c>
      <c r="AD398" s="102" t="str">
        <f>IF(ISNUMBER('Model_ of_individuals'!AD413), 'Model_ of_individuals'!AD413*'Model_ of_individuals'!$K413,"")</f>
        <v/>
      </c>
      <c r="AE398" s="102" t="str">
        <f>IF(ISNUMBER('Model_ of_individuals'!AE413), 'Model_ of_individuals'!AE413*'Model_ of_individuals'!$K413,"")</f>
        <v/>
      </c>
      <c r="AF398" s="102" t="str">
        <f>IF(ISNUMBER('Model_ of_individuals'!AF413), 'Model_ of_individuals'!AF413*'Model_ of_individuals'!$K413,"")</f>
        <v/>
      </c>
      <c r="AG398" s="102" t="str">
        <f>IF(ISNUMBER('Model_ of_individuals'!AG413), 'Model_ of_individuals'!AG413*'Model_ of_individuals'!$K413,"")</f>
        <v/>
      </c>
      <c r="AH398" s="102" t="str">
        <f>IF(ISNUMBER('Model_ of_individuals'!AH413), 'Model_ of_individuals'!AH413*'Model_ of_individuals'!$K413,"")</f>
        <v/>
      </c>
      <c r="AI398" s="102" t="str">
        <f>IF(ISNUMBER('Model_ of_individuals'!AI413), 'Model_ of_individuals'!AI413*'Model_ of_individuals'!$K413,"")</f>
        <v/>
      </c>
      <c r="AJ398" s="102" t="str">
        <f>IF(ISNUMBER('Model_ of_individuals'!AJ413), 'Model_ of_individuals'!AJ413*'Model_ of_individuals'!$K413,"")</f>
        <v/>
      </c>
      <c r="AK398" s="102" t="str">
        <f>IF(ISNUMBER('Model_ of_individuals'!AK413), 'Model_ of_individuals'!AK413*'Model_ of_individuals'!$K413,"")</f>
        <v/>
      </c>
      <c r="AL398" s="102" t="str">
        <f>IF(ISNUMBER('Model_ of_individuals'!AL413), 'Model_ of_individuals'!AL413*'Model_ of_individuals'!$K413,"")</f>
        <v/>
      </c>
      <c r="AM398" s="102" t="str">
        <f>IF(ISNUMBER('Model_ of_individuals'!AM413), 'Model_ of_individuals'!AM413*'Model_ of_individuals'!$K413,"")</f>
        <v/>
      </c>
      <c r="AN398" s="102" t="str">
        <f>IF(ISNUMBER('Model_ of_individuals'!AN413), 'Model_ of_individuals'!AN413*'Model_ of_individuals'!$K413,"")</f>
        <v/>
      </c>
      <c r="AO398" s="102" t="str">
        <f>IF(ISNUMBER('Model_ of_individuals'!AO413), 'Model_ of_individuals'!AO413*'Model_ of_individuals'!$K413,"")</f>
        <v/>
      </c>
      <c r="AP398" s="102" t="str">
        <f>IF(ISNUMBER('Model_ of_individuals'!AP413), 'Model_ of_individuals'!AP413*'Model_ of_individuals'!$K413,"")</f>
        <v/>
      </c>
      <c r="AQ398" s="102" t="str">
        <f>IF(ISNUMBER('Model_ of_individuals'!AQ413), 'Model_ of_individuals'!AQ413*'Model_ of_individuals'!$K413,"")</f>
        <v/>
      </c>
      <c r="AR398" s="102" t="str">
        <f>IF(ISNUMBER('Model_ of_individuals'!AR413), 'Model_ of_individuals'!AR413*'Model_ of_individuals'!$K413,"")</f>
        <v/>
      </c>
      <c r="AS398" s="102" t="str">
        <f>IF(ISNUMBER('Model_ of_individuals'!AS413), 'Model_ of_individuals'!AS413*'Model_ of_individuals'!$K413,"")</f>
        <v/>
      </c>
      <c r="AT398" s="102" t="str">
        <f>IF(ISNUMBER('Model_ of_individuals'!AT413), 'Model_ of_individuals'!AT413*'Model_ of_individuals'!$K413,"")</f>
        <v/>
      </c>
    </row>
    <row r="399" spans="1:46" x14ac:dyDescent="0.25">
      <c r="A399" s="518"/>
      <c r="B399" s="504"/>
      <c r="C399" s="104" t="str">
        <f>IF(AND(ISNUMBER(B379), OR('Cost Inputs'!$H$125&lt;&gt;"", 'Cost Inputs'!$I$125&lt;&gt;"", 'Cost Inputs'!$J$125&lt;&gt;"")), _4_5_3, "")</f>
        <v/>
      </c>
      <c r="D399" s="17" t="str">
        <f>IF(AND(C399&lt;&gt;"", 'Cost Inputs'!$G$125&lt;&gt;""), 'Cost Inputs'!$G$125, "")</f>
        <v/>
      </c>
      <c r="E399" s="17" t="str">
        <f>IF(AND(C399&lt;&gt;"", 'Cost Inputs'!$H$125&lt;&gt;""), 'Cost Inputs'!$H$125, "")</f>
        <v/>
      </c>
      <c r="F399" s="17" t="str">
        <f>IF(AND(C399&lt;&gt;"", 'Cost Inputs'!$I$125&lt;&gt;""), 'Cost Inputs'!$I$125, "")</f>
        <v/>
      </c>
      <c r="G399" s="105" t="str">
        <f t="shared" si="32"/>
        <v/>
      </c>
      <c r="H399" s="17" t="str">
        <f>IF(AND(C399&lt;&gt;"", 'Cost Inputs'!$J$125&lt;&gt;""), 'Cost Inputs'!$J$125, "")</f>
        <v/>
      </c>
      <c r="I399" s="17" t="str">
        <f>IF($C399&lt;&gt;"", IF(AND($E399&lt;&gt;"", H399&lt;&gt;""), H399/$E399, 0),"")</f>
        <v/>
      </c>
      <c r="J399" s="17" t="str">
        <f>IF(AND(C399&lt;&gt;"",('Cost Inputs'!$I$125+'Cost Inputs'!$J$125+'Cost Inputs'!$K$125)&gt;0), 'Cost Inputs'!$I$125+'Cost Inputs'!$J$125+'Cost Inputs'!$K$125, "")</f>
        <v/>
      </c>
      <c r="K399" s="17" t="str">
        <f>IF($C399&lt;&gt;"", IF(AND($E399&lt;&gt;"", J399&lt;&gt;""), J399/$E399, 0),"")</f>
        <v/>
      </c>
      <c r="L399" s="525"/>
      <c r="M399" s="525"/>
      <c r="S399" s="17" t="str">
        <f>IF(ISNUMBER('Model_ of_individuals'!S414), 'Model_ of_individuals'!S414*'Model_ of_individuals'!$K414,"")</f>
        <v/>
      </c>
      <c r="T399" s="17" t="str">
        <f>IF(ISNUMBER('Model_ of_individuals'!T414), 'Model_ of_individuals'!T414*'Model_ of_individuals'!$K414,"")</f>
        <v/>
      </c>
      <c r="U399" s="17" t="str">
        <f>IF(ISNUMBER('Model_ of_individuals'!U414), 'Model_ of_individuals'!U414*'Model_ of_individuals'!$K414,"")</f>
        <v/>
      </c>
      <c r="V399" s="17" t="str">
        <f>IF(ISNUMBER('Model_ of_individuals'!V414), 'Model_ of_individuals'!V414*'Model_ of_individuals'!$K414,"")</f>
        <v/>
      </c>
      <c r="W399" s="17" t="str">
        <f>IF(ISNUMBER('Model_ of_individuals'!W414), 'Model_ of_individuals'!W414*'Model_ of_individuals'!$K414,"")</f>
        <v/>
      </c>
      <c r="X399" s="17" t="str">
        <f>IF(ISNUMBER('Model_ of_individuals'!X414), 'Model_ of_individuals'!X414*'Model_ of_individuals'!$K414,"")</f>
        <v/>
      </c>
      <c r="Y399" s="17" t="str">
        <f>IF(ISNUMBER('Model_ of_individuals'!Y414), 'Model_ of_individuals'!Y414*'Model_ of_individuals'!$K414,"")</f>
        <v/>
      </c>
      <c r="Z399" s="17" t="str">
        <f>IF(ISNUMBER('Model_ of_individuals'!Z414), 'Model_ of_individuals'!Z414*'Model_ of_individuals'!$K414,"")</f>
        <v/>
      </c>
      <c r="AA399" s="17" t="str">
        <f>IF(ISNUMBER('Model_ of_individuals'!AA414), 'Model_ of_individuals'!AA414*'Model_ of_individuals'!$K414,"")</f>
        <v/>
      </c>
      <c r="AB399" s="17" t="str">
        <f>IF(ISNUMBER('Model_ of_individuals'!AB414), 'Model_ of_individuals'!AB414*'Model_ of_individuals'!$K414,"")</f>
        <v/>
      </c>
      <c r="AC399" s="17" t="str">
        <f>IF(ISNUMBER('Model_ of_individuals'!AC414), 'Model_ of_individuals'!AC414*'Model_ of_individuals'!$K414,"")</f>
        <v/>
      </c>
      <c r="AD399" s="17" t="str">
        <f>IF(ISNUMBER('Model_ of_individuals'!AD414), 'Model_ of_individuals'!AD414*'Model_ of_individuals'!$K414,"")</f>
        <v/>
      </c>
      <c r="AE399" s="17" t="str">
        <f>IF(ISNUMBER('Model_ of_individuals'!AE414), 'Model_ of_individuals'!AE414*'Model_ of_individuals'!$K414,"")</f>
        <v/>
      </c>
      <c r="AF399" s="17" t="str">
        <f>IF(ISNUMBER('Model_ of_individuals'!AF414), 'Model_ of_individuals'!AF414*'Model_ of_individuals'!$K414,"")</f>
        <v/>
      </c>
      <c r="AG399" s="17" t="str">
        <f>IF(ISNUMBER('Model_ of_individuals'!AG414), 'Model_ of_individuals'!AG414*'Model_ of_individuals'!$K414,"")</f>
        <v/>
      </c>
      <c r="AH399" s="17" t="str">
        <f>IF(ISNUMBER('Model_ of_individuals'!AH414), 'Model_ of_individuals'!AH414*'Model_ of_individuals'!$K414,"")</f>
        <v/>
      </c>
      <c r="AI399" s="17" t="str">
        <f>IF(ISNUMBER('Model_ of_individuals'!AI414), 'Model_ of_individuals'!AI414*'Model_ of_individuals'!$K414,"")</f>
        <v/>
      </c>
      <c r="AJ399" s="17" t="str">
        <f>IF(ISNUMBER('Model_ of_individuals'!AJ414), 'Model_ of_individuals'!AJ414*'Model_ of_individuals'!$K414,"")</f>
        <v/>
      </c>
      <c r="AK399" s="17" t="str">
        <f>IF(ISNUMBER('Model_ of_individuals'!AK414), 'Model_ of_individuals'!AK414*'Model_ of_individuals'!$K414,"")</f>
        <v/>
      </c>
      <c r="AL399" s="17" t="str">
        <f>IF(ISNUMBER('Model_ of_individuals'!AL414), 'Model_ of_individuals'!AL414*'Model_ of_individuals'!$K414,"")</f>
        <v/>
      </c>
      <c r="AM399" s="17" t="str">
        <f>IF(ISNUMBER('Model_ of_individuals'!AM414), 'Model_ of_individuals'!AM414*'Model_ of_individuals'!$K414,"")</f>
        <v/>
      </c>
      <c r="AN399" s="17" t="str">
        <f>IF(ISNUMBER('Model_ of_individuals'!AN414), 'Model_ of_individuals'!AN414*'Model_ of_individuals'!$K414,"")</f>
        <v/>
      </c>
      <c r="AO399" s="17" t="str">
        <f>IF(ISNUMBER('Model_ of_individuals'!AO414), 'Model_ of_individuals'!AO414*'Model_ of_individuals'!$K414,"")</f>
        <v/>
      </c>
      <c r="AP399" s="17" t="str">
        <f>IF(ISNUMBER('Model_ of_individuals'!AP414), 'Model_ of_individuals'!AP414*'Model_ of_individuals'!$K414,"")</f>
        <v/>
      </c>
      <c r="AQ399" s="17" t="str">
        <f>IF(ISNUMBER('Model_ of_individuals'!AQ414), 'Model_ of_individuals'!AQ414*'Model_ of_individuals'!$K414,"")</f>
        <v/>
      </c>
      <c r="AR399" s="17" t="str">
        <f>IF(ISNUMBER('Model_ of_individuals'!AR414), 'Model_ of_individuals'!AR414*'Model_ of_individuals'!$K414,"")</f>
        <v/>
      </c>
      <c r="AS399" s="17" t="str">
        <f>IF(ISNUMBER('Model_ of_individuals'!AS414), 'Model_ of_individuals'!AS414*'Model_ of_individuals'!$K414,"")</f>
        <v/>
      </c>
      <c r="AT399" s="17" t="str">
        <f>IF(ISNUMBER('Model_ of_individuals'!AT414), 'Model_ of_individuals'!AT414*'Model_ of_individuals'!$K414,"")</f>
        <v/>
      </c>
    </row>
    <row r="400" spans="1:46" ht="15.75" thickBot="1" x14ac:dyDescent="0.3">
      <c r="A400" s="518"/>
      <c r="B400" s="504"/>
      <c r="C400" s="107" t="str">
        <f>IF(AND(ISNUMBER(B379), OR('Cost Inputs'!$H$126&lt;&gt;"", 'Cost Inputs'!$I$126&lt;&gt;"", 'Cost Inputs'!$J$126&lt;&gt;"")), _4_5_2, "")</f>
        <v/>
      </c>
      <c r="D400" s="93" t="str">
        <f>IF(AND(C400&lt;&gt;"", 'Cost Inputs'!$G$126&lt;&gt;""), 'Cost Inputs'!$G$126, "")</f>
        <v/>
      </c>
      <c r="E400" s="93" t="str">
        <f>IF(AND(C400&lt;&gt;"", 'Cost Inputs'!$H$126&lt;&gt;""), 'Cost Inputs'!$H$126, "")</f>
        <v/>
      </c>
      <c r="F400" s="93" t="str">
        <f>IF(AND(C400&lt;&gt;"", 'Cost Inputs'!$I$126&lt;&gt;""), 'Cost Inputs'!$I$126, "")</f>
        <v/>
      </c>
      <c r="G400" s="108" t="str">
        <f t="shared" si="32"/>
        <v/>
      </c>
      <c r="H400" s="93" t="str">
        <f>IF(AND(C400&lt;&gt;"", 'Cost Inputs'!$J$126&lt;&gt;""), 'Cost Inputs'!$J$126, "")</f>
        <v/>
      </c>
      <c r="I400" s="93" t="str">
        <f>IF($C400&lt;&gt;"", IF(AND($E400&lt;&gt;"", H400&lt;&gt;""), H400/$E400, 0),"")</f>
        <v/>
      </c>
      <c r="J400" s="93" t="str">
        <f>IF(AND(C400&lt;&gt;"",('Cost Inputs'!$I$126+'Cost Inputs'!$J$126+'Cost Inputs'!$K$126)&gt;0), 'Cost Inputs'!$I$126+'Cost Inputs'!$J$126+'Cost Inputs'!$K$126, "")</f>
        <v/>
      </c>
      <c r="K400" s="93" t="str">
        <f>IF($C400&lt;&gt;"", IF(AND($E400&lt;&gt;"", J400&lt;&gt;""), J400/$E400, 0),"")</f>
        <v/>
      </c>
      <c r="L400" s="525"/>
      <c r="M400" s="525"/>
      <c r="S400" s="95" t="str">
        <f>IF(ISNUMBER('Model_ of_individuals'!S415), 'Model_ of_individuals'!S415*'Model_ of_individuals'!$K415,"")</f>
        <v/>
      </c>
      <c r="T400" s="95" t="str">
        <f>IF(ISNUMBER('Model_ of_individuals'!T415), 'Model_ of_individuals'!T415*'Model_ of_individuals'!$K415,"")</f>
        <v/>
      </c>
      <c r="U400" s="95" t="str">
        <f>IF(ISNUMBER('Model_ of_individuals'!U415), 'Model_ of_individuals'!U415*'Model_ of_individuals'!$K415,"")</f>
        <v/>
      </c>
      <c r="V400" s="95" t="str">
        <f>IF(ISNUMBER('Model_ of_individuals'!V415), 'Model_ of_individuals'!V415*'Model_ of_individuals'!$K415,"")</f>
        <v/>
      </c>
      <c r="W400" s="95" t="str">
        <f>IF(ISNUMBER('Model_ of_individuals'!W415), 'Model_ of_individuals'!W415*'Model_ of_individuals'!$K415,"")</f>
        <v/>
      </c>
      <c r="X400" s="95" t="str">
        <f>IF(ISNUMBER('Model_ of_individuals'!X415), 'Model_ of_individuals'!X415*'Model_ of_individuals'!$K415,"")</f>
        <v/>
      </c>
      <c r="Y400" s="95" t="str">
        <f>IF(ISNUMBER('Model_ of_individuals'!Y415), 'Model_ of_individuals'!Y415*'Model_ of_individuals'!$K415,"")</f>
        <v/>
      </c>
      <c r="Z400" s="95" t="str">
        <f>IF(ISNUMBER('Model_ of_individuals'!Z415), 'Model_ of_individuals'!Z415*'Model_ of_individuals'!$K415,"")</f>
        <v/>
      </c>
      <c r="AA400" s="95" t="str">
        <f>IF(ISNUMBER('Model_ of_individuals'!AA415), 'Model_ of_individuals'!AA415*'Model_ of_individuals'!$K415,"")</f>
        <v/>
      </c>
      <c r="AB400" s="95" t="str">
        <f>IF(ISNUMBER('Model_ of_individuals'!AB415), 'Model_ of_individuals'!AB415*'Model_ of_individuals'!$K415,"")</f>
        <v/>
      </c>
      <c r="AC400" s="95" t="str">
        <f>IF(ISNUMBER('Model_ of_individuals'!AC415), 'Model_ of_individuals'!AC415*'Model_ of_individuals'!$K415,"")</f>
        <v/>
      </c>
      <c r="AD400" s="95" t="str">
        <f>IF(ISNUMBER('Model_ of_individuals'!AD415), 'Model_ of_individuals'!AD415*'Model_ of_individuals'!$K415,"")</f>
        <v/>
      </c>
      <c r="AE400" s="95" t="str">
        <f>IF(ISNUMBER('Model_ of_individuals'!AE415), 'Model_ of_individuals'!AE415*'Model_ of_individuals'!$K415,"")</f>
        <v/>
      </c>
      <c r="AF400" s="95" t="str">
        <f>IF(ISNUMBER('Model_ of_individuals'!AF415), 'Model_ of_individuals'!AF415*'Model_ of_individuals'!$K415,"")</f>
        <v/>
      </c>
      <c r="AG400" s="95" t="str">
        <f>IF(ISNUMBER('Model_ of_individuals'!AG415), 'Model_ of_individuals'!AG415*'Model_ of_individuals'!$K415,"")</f>
        <v/>
      </c>
      <c r="AH400" s="95" t="str">
        <f>IF(ISNUMBER('Model_ of_individuals'!AH415), 'Model_ of_individuals'!AH415*'Model_ of_individuals'!$K415,"")</f>
        <v/>
      </c>
      <c r="AI400" s="95" t="str">
        <f>IF(ISNUMBER('Model_ of_individuals'!AI415), 'Model_ of_individuals'!AI415*'Model_ of_individuals'!$K415,"")</f>
        <v/>
      </c>
      <c r="AJ400" s="95" t="str">
        <f>IF(ISNUMBER('Model_ of_individuals'!AJ415), 'Model_ of_individuals'!AJ415*'Model_ of_individuals'!$K415,"")</f>
        <v/>
      </c>
      <c r="AK400" s="95" t="str">
        <f>IF(ISNUMBER('Model_ of_individuals'!AK415), 'Model_ of_individuals'!AK415*'Model_ of_individuals'!$K415,"")</f>
        <v/>
      </c>
      <c r="AL400" s="95" t="str">
        <f>IF(ISNUMBER('Model_ of_individuals'!AL415), 'Model_ of_individuals'!AL415*'Model_ of_individuals'!$K415,"")</f>
        <v/>
      </c>
      <c r="AM400" s="95" t="str">
        <f>IF(ISNUMBER('Model_ of_individuals'!AM415), 'Model_ of_individuals'!AM415*'Model_ of_individuals'!$K415,"")</f>
        <v/>
      </c>
      <c r="AN400" s="95" t="str">
        <f>IF(ISNUMBER('Model_ of_individuals'!AN415), 'Model_ of_individuals'!AN415*'Model_ of_individuals'!$K415,"")</f>
        <v/>
      </c>
      <c r="AO400" s="95" t="str">
        <f>IF(ISNUMBER('Model_ of_individuals'!AO415), 'Model_ of_individuals'!AO415*'Model_ of_individuals'!$K415,"")</f>
        <v/>
      </c>
      <c r="AP400" s="95" t="str">
        <f>IF(ISNUMBER('Model_ of_individuals'!AP415), 'Model_ of_individuals'!AP415*'Model_ of_individuals'!$K415,"")</f>
        <v/>
      </c>
      <c r="AQ400" s="95" t="str">
        <f>IF(ISNUMBER('Model_ of_individuals'!AQ415), 'Model_ of_individuals'!AQ415*'Model_ of_individuals'!$K415,"")</f>
        <v/>
      </c>
      <c r="AR400" s="95" t="str">
        <f>IF(ISNUMBER('Model_ of_individuals'!AR415), 'Model_ of_individuals'!AR415*'Model_ of_individuals'!$K415,"")</f>
        <v/>
      </c>
      <c r="AS400" s="95" t="str">
        <f>IF(ISNUMBER('Model_ of_individuals'!AS415), 'Model_ of_individuals'!AS415*'Model_ of_individuals'!$K415,"")</f>
        <v/>
      </c>
      <c r="AT400" s="95" t="str">
        <f>IF(ISNUMBER('Model_ of_individuals'!AT415), 'Model_ of_individuals'!AT415*'Model_ of_individuals'!$K415,"")</f>
        <v/>
      </c>
    </row>
    <row r="401" spans="1:47" ht="6.6" customHeight="1" thickBot="1" x14ac:dyDescent="0.3">
      <c r="A401" s="213"/>
      <c r="B401" s="282"/>
      <c r="C401" s="283"/>
      <c r="D401" s="114"/>
      <c r="E401" s="114"/>
      <c r="F401" s="114"/>
      <c r="G401" s="284"/>
      <c r="H401" s="114"/>
      <c r="I401" s="114"/>
      <c r="J401" s="114"/>
      <c r="K401" s="114"/>
      <c r="L401" s="285"/>
      <c r="M401" s="285"/>
      <c r="N401" s="99"/>
      <c r="O401" s="99"/>
      <c r="P401" s="99"/>
      <c r="Q401" s="99"/>
      <c r="R401" s="286"/>
      <c r="S401" s="136" t="str">
        <f>IF(ISNUMBER($B$379),
IF(AND(ISNUMBER(R$378), R$378&gt;0),
IF(AND(S$269=123, Cultivar_1_Cohort_Year_Selection=$O$268,Cultivar_2_Cohort_Year_Selection=$O$268,Cultivar_3_Cohort_Year_Selection=$O$268), ROUND(MAX(0,(R$378-('Stage 2 Randomized Selection'!H$2*$M379)) - 3),0),
IF(AND(OR(S$269=123, S$269=12), Cultivar_1_Cohort_Year_Selection=$O$268,Cultivar_2_Cohort_Year_Selection=$O$268),  ROUND(MAX(0,(R$378-('Stage 2 Randomized Selection'!G$2*$M379)) - 2),0),
IF(AND(OR(S$269=123, S$269=13), Cultivar_1_Cohort_Year_Selection=$O$268,Cultivar_3_Cohort_Year_Selection=$O$268), ROUND(MAX(0,(R$378-('Stage 2 Randomized Selection'!G$2*$M379)) - 2),0),
IF(AND(OR(S$269=123, S$269=23), Cultivar_2_Cohort_Year_Selection=$O$268,Cultivar_3_Cohort_Year_Selection=$O$268), ROUND(MAX(0,(R$378-('Stage 2 Randomized Selection'!G$2*$M379)) - 2),0),
IF(AND(OR(S$269=123, S$269=12, S$269=13, S$269=1), Cultivar_1_Cohort_Year_Selection=$O$268), ROUND(MAX(0,(R$378-('Stage 2 Randomized Selection'!G$2*$M379)) - 1),0),
IF(AND(OR(S$269=123, S$269=12, S$269=23, S$269=2), Cultivar_2_Cohort_Year_Selection=$O$268), ROUND(MAX(0,(R$378-('Stage 2 Randomized Selection'!G$2*$M379)) - 1),0),
IF(AND(OR(S$269=123, S$269=13, S$269=23, S$269=3), Cultivar_3_Cohort_Year_Selection=$O$268), ROUND(MAX(0,(R$378-('Stage 2 Randomized Selection'!G$2*$M379)) - 1),0),
ROUND(MAX(0,(R$378-('Stage 2 Randomized Selection'!G$2*$M379))),0)))))))),0),"")</f>
        <v/>
      </c>
      <c r="T401" s="270" t="str">
        <f>IF(ISNUMBER($B$379),
IF(AND(ISNUMBER(S$378), S$378&gt;0),
IF(AND(T$269=123, Cultivar_1_Cohort_Year_Selection=$P$268,Cultivar_2_Cohort_Year_Selection=$P$268,Cultivar_3_Cohort_Year_Selection=$P$268), ROUND(MAX(0,(S$378-('Stage 2 Randomized Selection'!I$2*$M379)) - 3),0),
IF(AND(OR(T$269=123, T$269=12), Cultivar_1_Cohort_Year_Selection=$P$268,Cultivar_2_Cohort_Year_Selection=$P$268),  ROUND(MAX(0,(S$378-('Stage 2 Randomized Selection'!H$2*$M379)) - 2),0),
IF(AND(OR(T$269=123, T$269=13), Cultivar_1_Cohort_Year_Selection=$P$268,Cultivar_3_Cohort_Year_Selection=$P$268), ROUND(MAX(0,(S$378-('Stage 2 Randomized Selection'!H$2*$M379)) - 2),0),
IF(AND(OR(T$269=123, T$269=23), Cultivar_2_Cohort_Year_Selection=$P$268,Cultivar_3_Cohort_Year_Selection=$P$268), ROUND(MAX(0,(S$378-('Stage 2 Randomized Selection'!H$2*$M379)) - 2),0),
IF(AND(OR(T$269=123, T$269=12, T$269=13, T$269=1), Cultivar_1_Cohort_Year_Selection=$P$268), ROUND(MAX(0,(S$378-('Stage 2 Randomized Selection'!H$2*$M379)) - 1),0),
IF(AND(OR(T$269=123, T$269=12, T$269=23, T$269=2), Cultivar_2_Cohort_Year_Selection=$P$268), ROUND(MAX(0,(S$378-('Stage 2 Randomized Selection'!H$2*$M379)) - 1),0),
IF(AND(OR(T$269=123, T$269=13, T$269=23, T$269=3), Cultivar_3_Cohort_Year_Selection=$P$268), ROUND(MAX(0,(S$378-('Stage 2 Randomized Selection'!H$2*$M379)) - 1),0),
ROUND(MAX(0,(S$378-('Stage 2 Randomized Selection'!H$2*$M379))),0)))))))),0),"")</f>
        <v/>
      </c>
      <c r="U401" s="270" t="str">
        <f>IF(ISNUMBER($B$379),
IF(AND(ISNUMBER(T$378), T$378&gt;0),
IF(AND(U$269=123, Cultivar_1_Cohort_Year_Selection=$Q$268,Cultivar_2_Cohort_Year_Selection=$Q$268,Cultivar_3_Cohort_Year_Selection=$Q$268), ROUND(MAX(0,(T$378-('Stage 2 Randomized Selection'!J$2*$M379)) - 3),0),
IF(AND(OR(U$269=123, U$269=12), Cultivar_1_Cohort_Year_Selection=$Q$268,Cultivar_2_Cohort_Year_Selection=$Q$268),  ROUND(MAX(0,(T$378-('Stage 2 Randomized Selection'!I$2*$M379)) - 2),0),
IF(AND(OR(U$269=123, U$269=13), Cultivar_1_Cohort_Year_Selection=$Q$268,Cultivar_3_Cohort_Year_Selection=$Q$268), ROUND(MAX(0,(T$378-('Stage 2 Randomized Selection'!I$2*$M379)) - 2),0),
IF(AND(OR(U$269=123, U$269=23), Cultivar_2_Cohort_Year_Selection=$Q$268,Cultivar_3_Cohort_Year_Selection=$Q$268), ROUND(MAX(0,(T$378-('Stage 2 Randomized Selection'!I$2*$M379)) - 2),0),
IF(AND(OR(U$269=123, U$269=12, U$269=13, U$269=1), Cultivar_1_Cohort_Year_Selection=$Q$268), ROUND(MAX(0,(T$378-('Stage 2 Randomized Selection'!I$2*$M379)) - 1),0),
IF(AND(OR(U$269=123, U$269=12, U$269=23, U$269=2), Cultivar_2_Cohort_Year_Selection=$Q$268), ROUND(MAX(0,(T$378-('Stage 2 Randomized Selection'!I$2*$M379)) - 1),0),
IF(AND(OR(U$269=123, U$269=13, U$269=23, U$269=3), Cultivar_3_Cohort_Year_Selection=$Q$268), ROUND(MAX(0,(T$378-('Stage 2 Randomized Selection'!I$2*$M379)) - 1),0),
ROUND(MAX(0,(T$378-('Stage 2 Randomized Selection'!I$2*$M379))),0)))))))),0),"")</f>
        <v/>
      </c>
      <c r="V401" s="270" t="str">
        <f>IF(ISNUMBER($B$379),
IF(AND(ISNUMBER(U$378), U$378&gt;0),
IF(AND(V$269=123, Cultivar_1_Cohort_Year_Selection=$R$268,Cultivar_2_Cohort_Year_Selection=$R$268,Cultivar_3_Cohort_Year_Selection=$R$268), ROUND(MAX(0,(U$378-('Stage 2 Randomized Selection'!K$2*$M379)) - 3),0),
IF(AND(OR(V$269=123, V$269=12), Cultivar_1_Cohort_Year_Selection=$R$268,Cultivar_2_Cohort_Year_Selection=$R$268),  ROUND(MAX(0,(U$378-('Stage 2 Randomized Selection'!J$2*$M379)) - 2),0),
IF(AND(OR(V$269=123, V$269=13), Cultivar_1_Cohort_Year_Selection=$R$268,Cultivar_3_Cohort_Year_Selection=$R$268), ROUND(MAX(0,(U$378-('Stage 2 Randomized Selection'!J$2*$M379)) - 2),0),
IF(AND(OR(V$269=123, V$269=23), Cultivar_2_Cohort_Year_Selection=$R$268,Cultivar_3_Cohort_Year_Selection=$R$268), ROUND(MAX(0,(U$378-('Stage 2 Randomized Selection'!J$2*$M379)) - 2),0),
IF(AND(OR(V$269=123, V$269=12, V$269=13, V$269=1), Cultivar_1_Cohort_Year_Selection=$R$268), ROUND(MAX(0,(U$378-('Stage 2 Randomized Selection'!J$2*$M379)) - 1),0),
IF(AND(OR(V$269=123, V$269=12, V$269=23, V$269=2), Cultivar_2_Cohort_Year_Selection=$R$268), ROUND(MAX(0,(U$378-('Stage 2 Randomized Selection'!J$2*$M379)) - 1),0),
IF(AND(OR(V$269=123, V$269=13, V$269=23, V$269=3), Cultivar_3_Cohort_Year_Selection=$R$268), ROUND(MAX(0,(U$378-('Stage 2 Randomized Selection'!J$2*$M379)) - 1),0),
ROUND(MAX(0,(U$378-('Stage 2 Randomized Selection'!J$2*$M379))),0)))))))),0),"")</f>
        <v/>
      </c>
      <c r="W401" s="270" t="str">
        <f>IF(ISNUMBER($B$379),
IF(AND(ISNUMBER(V$378), V$378&gt;0),
IF(AND(W$269=123, Cultivar_1_Cohort_Year_Selection=$S$268,Cultivar_2_Cohort_Year_Selection=$S$268,Cultivar_3_Cohort_Year_Selection=$S$268), ROUND(MAX(0,(V$378-('Stage 2 Randomized Selection'!L$2*$M379)) - 3),0),
IF(AND(OR(W$269=123, W$269=12), Cultivar_1_Cohort_Year_Selection=$S$268,Cultivar_2_Cohort_Year_Selection=$S$268),  ROUND(MAX(0,(V$378-('Stage 2 Randomized Selection'!K$2*$M379)) - 2),0),
IF(AND(OR(W$269=123, W$269=13), Cultivar_1_Cohort_Year_Selection=$S$268,Cultivar_3_Cohort_Year_Selection=$S$268), ROUND(MAX(0,(V$378-('Stage 2 Randomized Selection'!K$2*$M379)) - 2),0),
IF(AND(OR(W$269=123, W$269=23), Cultivar_2_Cohort_Year_Selection=$S$268,Cultivar_3_Cohort_Year_Selection=$S$268), ROUND(MAX(0,(V$378-('Stage 2 Randomized Selection'!K$2*$M379)) - 2),0),
IF(AND(OR(W$269=123, W$269=12, W$269=13, W$269=1), Cultivar_1_Cohort_Year_Selection=$S$268), ROUND(MAX(0,(V$378-('Stage 2 Randomized Selection'!K$2*$M379)) - 1),0),
IF(AND(OR(W$269=123, W$269=12, W$269=23, W$269=2), Cultivar_2_Cohort_Year_Selection=$S$268), ROUND(MAX(0,(V$378-('Stage 2 Randomized Selection'!K$2*$M379)) - 1),0),
IF(AND(OR(W$269=123, W$269=13, W$269=23, W$269=3), Cultivar_3_Cohort_Year_Selection=$S$268), ROUND(MAX(0,(V$378-('Stage 2 Randomized Selection'!K$2*$M379)) - 1),0),
ROUND(MAX(0,(V$378-('Stage 2 Randomized Selection'!K$2*$M379))),0)))))))),0),"")</f>
        <v/>
      </c>
      <c r="X401" s="270" t="str">
        <f>IF(ISNUMBER($B$379),
IF(AND(ISNUMBER(W$378), W$378&gt;0),
IF(AND(X$269=123, Cultivar_1_Cohort_Year_Selection=$T$268,Cultivar_2_Cohort_Year_Selection=$T$268,Cultivar_3_Cohort_Year_Selection=$T$268), ROUND(MAX(0,(W$378-('Stage 2 Randomized Selection'!M$2*$M379)) - 3),0),
IF(AND(OR(X$269=123, X$269=12), Cultivar_1_Cohort_Year_Selection=$T$268,Cultivar_2_Cohort_Year_Selection=$T$268),  ROUND(MAX(0,(W$378-('Stage 2 Randomized Selection'!L$2*$M379)) - 2),0),
IF(AND(OR(X$269=123, X$269=13), Cultivar_1_Cohort_Year_Selection=$T$268,Cultivar_3_Cohort_Year_Selection=$T$268), ROUND(MAX(0,(W$378-('Stage 2 Randomized Selection'!L$2*$M379)) - 2),0),
IF(AND(OR(X$269=123, X$269=23), Cultivar_2_Cohort_Year_Selection=$T$268,Cultivar_3_Cohort_Year_Selection=$T$268), ROUND(MAX(0,(W$378-('Stage 2 Randomized Selection'!L$2*$M379)) - 2),0),
IF(AND(OR(X$269=123, X$269=12, X$269=13, X$269=1), Cultivar_1_Cohort_Year_Selection=$T$268), ROUND(MAX(0,(W$378-('Stage 2 Randomized Selection'!L$2*$M379)) - 1),0),
IF(AND(OR(X$269=123, X$269=12, X$269=23, X$269=2), Cultivar_2_Cohort_Year_Selection=$T$268), ROUND(MAX(0,(W$378-('Stage 2 Randomized Selection'!L$2*$M379)) - 1),0),
IF(AND(OR(X$269=123, X$269=13, X$269=23, X$269=3), Cultivar_3_Cohort_Year_Selection=$T$268), ROUND(MAX(0,(W$378-('Stage 2 Randomized Selection'!L$2*$M379)) - 1),0),
ROUND(MAX(0,(W$378-('Stage 2 Randomized Selection'!L$2*$M379))),0)))))))),0),"")</f>
        <v/>
      </c>
      <c r="Y401" s="270" t="str">
        <f>IF(ISNUMBER($B$379),
IF(AND(ISNUMBER(X$378), X$378&gt;0),
IF(AND(Y$269=123, Cultivar_1_Cohort_Year_Selection=$U$268,Cultivar_2_Cohort_Year_Selection=$U$268,Cultivar_3_Cohort_Year_Selection=$U$268), ROUND(MAX(0,(X$378-('Stage 2 Randomized Selection'!N$2*$M379)) - 3),0),
IF(AND(OR(Y$269=123, Y$269=12), Cultivar_1_Cohort_Year_Selection=$U$268,Cultivar_2_Cohort_Year_Selection=$U$268),  ROUND(MAX(0,(X$378-('Stage 2 Randomized Selection'!M$2*$M379)) - 2),0),
IF(AND(OR(Y$269=123, Y$269=13), Cultivar_1_Cohort_Year_Selection=$U$268,Cultivar_3_Cohort_Year_Selection=$U$268), ROUND(MAX(0,(X$378-('Stage 2 Randomized Selection'!M$2*$M379)) - 2),0),
IF(AND(OR(Y$269=123, Y$269=23), Cultivar_2_Cohort_Year_Selection=$U$268,Cultivar_3_Cohort_Year_Selection=$U$268), ROUND(MAX(0,(X$378-('Stage 2 Randomized Selection'!M$2*$M379)) - 2),0),
IF(AND(OR(Y$269=123, Y$269=12, Y$269=13, Y$269=1), Cultivar_1_Cohort_Year_Selection=$U$268), ROUND(MAX(0,(X$378-('Stage 2 Randomized Selection'!M$2*$M379)) - 1),0),
IF(AND(OR(Y$269=123, Y$269=12, Y$269=23, Y$269=2), Cultivar_2_Cohort_Year_Selection=$U$268), ROUND(MAX(0,(X$378-('Stage 2 Randomized Selection'!M$2*$M379)) - 1),0),
IF(AND(OR(Y$269=123, Y$269=13, Y$269=23, Y$269=3), Cultivar_3_Cohort_Year_Selection=$U$268), ROUND(MAX(0,(X$378-('Stage 2 Randomized Selection'!M$2*$M379)) - 1),0),
ROUND(MAX(0,(X$378-('Stage 2 Randomized Selection'!M$2*$M379))),0)))))))),0),"")</f>
        <v/>
      </c>
      <c r="Z401" s="270" t="str">
        <f>IF(ISNUMBER($B$379),
IF(AND(ISNUMBER(Y$378), Y$378&gt;0),
IF(AND(Z$269=123, Cultivar_1_Cohort_Year_Selection=$V$268,Cultivar_2_Cohort_Year_Selection=$V$268,Cultivar_3_Cohort_Year_Selection=$V$268), ROUND(MAX(0,(Y$378-('Stage 2 Randomized Selection'!O$2*$M379)) - 3),0),
IF(AND(OR(Z$269=123, Z$269=12), Cultivar_1_Cohort_Year_Selection=$V$268,Cultivar_2_Cohort_Year_Selection=$V$268),  ROUND(MAX(0,(Y$378-('Stage 2 Randomized Selection'!N$2*$M379)) - 2),0),
IF(AND(OR(Z$269=123, Z$269=13), Cultivar_1_Cohort_Year_Selection=$V$268,Cultivar_3_Cohort_Year_Selection=$V$268), ROUND(MAX(0,(Y$378-('Stage 2 Randomized Selection'!N$2*$M379)) - 2),0),
IF(AND(OR(Z$269=123, Z$269=23), Cultivar_2_Cohort_Year_Selection=$V$268,Cultivar_3_Cohort_Year_Selection=$V$268), ROUND(MAX(0,(Y$378-('Stage 2 Randomized Selection'!N$2*$M379)) - 2),0),
IF(AND(OR(Z$269=123, Z$269=12, Z$269=13, Z$269=1), Cultivar_1_Cohort_Year_Selection=$V$268), ROUND(MAX(0,(Y$378-('Stage 2 Randomized Selection'!N$2*$M379)) - 1),0),
IF(AND(OR(Z$269=123, Z$269=12, Z$269=23, Z$269=2), Cultivar_2_Cohort_Year_Selection=$V$268), ROUND(MAX(0,(Y$378-('Stage 2 Randomized Selection'!N$2*$M379)) - 1),0),
IF(AND(OR(Z$269=123, Z$269=13, Z$269=23, Z$269=3), Cultivar_3_Cohort_Year_Selection=$V$268), ROUND(MAX(0,(Y$378-('Stage 2 Randomized Selection'!N$2*$M379)) - 1),0),
ROUND(MAX(0,(Y$378-('Stage 2 Randomized Selection'!N$2*$M379))),0)))))))),0),"")</f>
        <v/>
      </c>
      <c r="AA401" s="270" t="str">
        <f>IF(ISNUMBER($B$379),
IF(AND(ISNUMBER(Z$378), Z$378&gt;0),
IF(AND(AA$269=123, Cultivar_1_Cohort_Year_Selection=$W$268,Cultivar_2_Cohort_Year_Selection=$W$268,Cultivar_3_Cohort_Year_Selection=$W$268), ROUND(MAX(0,(Z$378-('Stage 2 Randomized Selection'!P$2*$M379)) - 3),0),
IF(AND(OR(AA$269=123, AA$269=12), Cultivar_1_Cohort_Year_Selection=$W$268,Cultivar_2_Cohort_Year_Selection=$W$268),  ROUND(MAX(0,(Z$378-('Stage 2 Randomized Selection'!O$2*$M379)) - 2),0),
IF(AND(OR(AA$269=123, AA$269=13), Cultivar_1_Cohort_Year_Selection=$W$268,Cultivar_3_Cohort_Year_Selection=$W$268), ROUND(MAX(0,(Z$378-('Stage 2 Randomized Selection'!O$2*$M379)) - 2),0),
IF(AND(OR(AA$269=123, AA$269=23), Cultivar_2_Cohort_Year_Selection=$W$268,Cultivar_3_Cohort_Year_Selection=$W$268), ROUND(MAX(0,(Z$378-('Stage 2 Randomized Selection'!O$2*$M379)) - 2),0),
IF(AND(OR(AA$269=123, AA$269=12, AA$269=13, AA$269=1), Cultivar_1_Cohort_Year_Selection=$W$268), ROUND(MAX(0,(Z$378-('Stage 2 Randomized Selection'!O$2*$M379)) - 1),0),
IF(AND(OR(AA$269=123, AA$269=12, AA$269=23, AA$269=2), Cultivar_2_Cohort_Year_Selection=$W$268), ROUND(MAX(0,(Z$378-('Stage 2 Randomized Selection'!O$2*$M379)) - 1),0),
IF(AND(OR(AA$269=123, AA$269=13, AA$269=23, AA$269=3), Cultivar_3_Cohort_Year_Selection=$W$268), ROUND(MAX(0,(Z$378-('Stage 2 Randomized Selection'!O$2*$M379)) - 1),0),
ROUND(MAX(0,(Z$378-('Stage 2 Randomized Selection'!O$2*$M379))),0)))))))),0),"")</f>
        <v/>
      </c>
      <c r="AB401" s="270" t="str">
        <f>IF(ISNUMBER($B$379),
IF(AND(ISNUMBER(AA$378), AA$378&gt;0),
IF(AND(AB$269=123, Cultivar_1_Cohort_Year_Selection=$X$268,Cultivar_2_Cohort_Year_Selection=$X$268,Cultivar_3_Cohort_Year_Selection=$X$268), ROUND(MAX(0,(AA$378-('Stage 2 Randomized Selection'!Q$2*$M379)) - 3),0),
IF(AND(OR(AB$269=123, AB$269=12), Cultivar_1_Cohort_Year_Selection=$X$268,Cultivar_2_Cohort_Year_Selection=$X$268),  ROUND(MAX(0,(AA$378-('Stage 2 Randomized Selection'!P$2*$M379)) - 2),0),
IF(AND(OR(AB$269=123, AB$269=13), Cultivar_1_Cohort_Year_Selection=$X$268,Cultivar_3_Cohort_Year_Selection=$X$268), ROUND(MAX(0,(AA$378-('Stage 2 Randomized Selection'!P$2*$M379)) - 2),0),
IF(AND(OR(AB$269=123, AB$269=23), Cultivar_2_Cohort_Year_Selection=$X$268,Cultivar_3_Cohort_Year_Selection=$X$268), ROUND(MAX(0,(AA$378-('Stage 2 Randomized Selection'!P$2*$M379)) - 2),0),
IF(AND(OR(AB$269=123, AB$269=12, AB$269=13, AB$269=1), Cultivar_1_Cohort_Year_Selection=$X$268), ROUND(MAX(0,(AA$378-('Stage 2 Randomized Selection'!P$2*$M379)) - 1),0),
IF(AND(OR(AB$269=123, AB$269=12, AB$269=23, AB$269=2), Cultivar_2_Cohort_Year_Selection=$X$268), ROUND(MAX(0,(AA$378-('Stage 2 Randomized Selection'!P$2*$M379)) - 1),0),
IF(AND(OR(AB$269=123, AB$269=13, AB$269=23, AB$269=3), Cultivar_3_Cohort_Year_Selection=$X$268), ROUND(MAX(0,(AA$378-('Stage 2 Randomized Selection'!P$2*$M379)) - 1),0),
ROUND(MAX(0,(AA$378-('Stage 2 Randomized Selection'!P$2*$M379))),0)))))))),0),"")</f>
        <v/>
      </c>
      <c r="AC401" s="270" t="str">
        <f>IF(ISNUMBER($B$379),
IF(AND(ISNUMBER(AB$378), AB$378&gt;0),
IF(AND(AC$269=123, Cultivar_1_Cohort_Year_Selection=$Y$268,Cultivar_2_Cohort_Year_Selection=$Y$268,Cultivar_3_Cohort_Year_Selection=$Y$268), ROUND(MAX(0,(AB$378-('Stage 2 Randomized Selection'!R$2*$M379)) - 3),0),
IF(AND(OR(AC$269=123, AC$269=12), Cultivar_1_Cohort_Year_Selection=$Y$268,Cultivar_2_Cohort_Year_Selection=$Y$268),  ROUND(MAX(0,(AB$378-('Stage 2 Randomized Selection'!Q$2*$M379)) - 2),0),
IF(AND(OR(AC$269=123, AC$269=13), Cultivar_1_Cohort_Year_Selection=$Y$268,Cultivar_3_Cohort_Year_Selection=$Y$268), ROUND(MAX(0,(AB$378-('Stage 2 Randomized Selection'!Q$2*$M379)) - 2),0),
IF(AND(OR(AC$269=123, AC$269=23), Cultivar_2_Cohort_Year_Selection=$Y$268,Cultivar_3_Cohort_Year_Selection=$Y$268), ROUND(MAX(0,(AB$378-('Stage 2 Randomized Selection'!Q$2*$M379)) - 2),0),
IF(AND(OR(AC$269=123, AC$269=12, AC$269=13, AC$269=1), Cultivar_1_Cohort_Year_Selection=$Y$268), ROUND(MAX(0,(AB$378-('Stage 2 Randomized Selection'!Q$2*$M379)) - 1),0),
IF(AND(OR(AC$269=123, AC$269=12, AC$269=23, AC$269=2), Cultivar_2_Cohort_Year_Selection=$Y$268), ROUND(MAX(0,(AB$378-('Stage 2 Randomized Selection'!Q$2*$M379)) - 1),0),
IF(AND(OR(AC$269=123, AC$269=13, AC$269=23, AC$269=3), Cultivar_3_Cohort_Year_Selection=$Y$268), ROUND(MAX(0,(AB$378-('Stage 2 Randomized Selection'!Q$2*$M379)) - 1),0),
ROUND(MAX(0,(AB$378-('Stage 2 Randomized Selection'!Q$2*$M379))),0)))))))),0),"")</f>
        <v/>
      </c>
      <c r="AD401" s="270" t="str">
        <f>IF(ISNUMBER($B$379),
IF(AND(ISNUMBER(AC$378), AC$378&gt;0),
IF(AND(AD$269=123, Cultivar_1_Cohort_Year_Selection=$Z$268,Cultivar_2_Cohort_Year_Selection=$Z$268,Cultivar_3_Cohort_Year_Selection=$Z$268), ROUND(MAX(0,(AC$378-('Stage 2 Randomized Selection'!S$2*$M379)) - 3),0),
IF(AND(OR(AD$269=123, AD$269=12), Cultivar_1_Cohort_Year_Selection=$Z$268,Cultivar_2_Cohort_Year_Selection=$Z$268),  ROUND(MAX(0,(AC$378-('Stage 2 Randomized Selection'!R$2*$M379)) - 2),0),
IF(AND(OR(AD$269=123, AD$269=13), Cultivar_1_Cohort_Year_Selection=$Z$268,Cultivar_3_Cohort_Year_Selection=$Z$268), ROUND(MAX(0,(AC$378-('Stage 2 Randomized Selection'!R$2*$M379)) - 2),0),
IF(AND(OR(AD$269=123, AD$269=23), Cultivar_2_Cohort_Year_Selection=$Z$268,Cultivar_3_Cohort_Year_Selection=$Z$268), ROUND(MAX(0,(AC$378-('Stage 2 Randomized Selection'!R$2*$M379)) - 2),0),
IF(AND(OR(AD$269=123, AD$269=12, AD$269=13, AD$269=1), Cultivar_1_Cohort_Year_Selection=$Z$268), ROUND(MAX(0,(AC$378-('Stage 2 Randomized Selection'!R$2*$M379)) - 1),0),
IF(AND(OR(AD$269=123, AD$269=12, AD$269=23, AD$269=2), Cultivar_2_Cohort_Year_Selection=$Z$268), ROUND(MAX(0,(AC$378-('Stage 2 Randomized Selection'!R$2*$M379)) - 1),0),
IF(AND(OR(AD$269=123, AD$269=13, AD$269=23, AD$269=3), Cultivar_3_Cohort_Year_Selection=$Z$268), ROUND(MAX(0,(AC$378-('Stage 2 Randomized Selection'!R$2*$M379)) - 1),0),
ROUND(MAX(0,(AC$378-('Stage 2 Randomized Selection'!R$2*$M379))),0)))))))),0),"")</f>
        <v/>
      </c>
      <c r="AE401" s="270" t="str">
        <f>IF(ISNUMBER($B$379),
IF(AND(ISNUMBER(AD$378), AD$378&gt;0),
IF(AND(AE$269=123, Cultivar_1_Cohort_Year_Selection=$AA$268,Cultivar_2_Cohort_Year_Selection=$AA$268,Cultivar_3_Cohort_Year_Selection=$AA$268), ROUND(MAX(0,(AD$378-('Stage 2 Randomized Selection'!T$2*$M379)) - 3),0),
IF(AND(OR(AE$269=123, AE$269=12), Cultivar_1_Cohort_Year_Selection=$AA$268,Cultivar_2_Cohort_Year_Selection=$AA$268),  ROUND(MAX(0,(AD$378-('Stage 2 Randomized Selection'!S$2*$M379)) - 2),0),
IF(AND(OR(AE$269=123, AE$269=13), Cultivar_1_Cohort_Year_Selection=$AA$268,Cultivar_3_Cohort_Year_Selection=$AA$268), ROUND(MAX(0,(AD$378-('Stage 2 Randomized Selection'!S$2*$M379)) - 2),0),
IF(AND(OR(AE$269=123, AE$269=23), Cultivar_2_Cohort_Year_Selection=$AA$268,Cultivar_3_Cohort_Year_Selection=$AA$268), ROUND(MAX(0,(AD$378-('Stage 2 Randomized Selection'!S$2*$M379)) - 2),0),
IF(AND(OR(AE$269=123, AE$269=12, AE$269=13, AE$269=1), Cultivar_1_Cohort_Year_Selection=$AA$268), ROUND(MAX(0,(AD$378-('Stage 2 Randomized Selection'!S$2*$M379)) - 1),0),
IF(AND(OR(AE$269=123, AE$269=12, AE$269=23, AE$269=2), Cultivar_2_Cohort_Year_Selection=$AA$268), ROUND(MAX(0,(AD$378-('Stage 2 Randomized Selection'!S$2*$M379)) - 1),0),
IF(AND(OR(AE$269=123, AE$269=13, AE$269=23, AE$269=3), Cultivar_3_Cohort_Year_Selection=$AA$268), ROUND(MAX(0,(AD$378-('Stage 2 Randomized Selection'!S$2*$M379)) - 1),0),
ROUND(MAX(0,(AD$378-('Stage 2 Randomized Selection'!S$2*$M379))),0)))))))),0),"")</f>
        <v/>
      </c>
      <c r="AF401" s="270" t="str">
        <f>IF(ISNUMBER($B$379),
IF(AND(ISNUMBER(AE$378), AE$378&gt;0),
IF(AND(AF$269=123, Cultivar_1_Cohort_Year_Selection=$AB$268,Cultivar_2_Cohort_Year_Selection=$AB$268,Cultivar_3_Cohort_Year_Selection=$AB$268), ROUND(MAX(0,(AE$378-('Stage 2 Randomized Selection'!U$2*$M379)) - 3),0),
IF(AND(OR(AF$269=123, AF$269=12), Cultivar_1_Cohort_Year_Selection=$AB$268,Cultivar_2_Cohort_Year_Selection=$AB$268),  ROUND(MAX(0,(AE$378-('Stage 2 Randomized Selection'!T$2*$M379)) - 2),0),
IF(AND(OR(AF$269=123, AF$269=13), Cultivar_1_Cohort_Year_Selection=$AB$268,Cultivar_3_Cohort_Year_Selection=$AB$268), ROUND(MAX(0,(AE$378-('Stage 2 Randomized Selection'!T$2*$M379)) - 2),0),
IF(AND(OR(AF$269=123, AF$269=23), Cultivar_2_Cohort_Year_Selection=$AB$268,Cultivar_3_Cohort_Year_Selection=$AB$268), ROUND(MAX(0,(AE$378-('Stage 2 Randomized Selection'!T$2*$M379)) - 2),0),
IF(AND(OR(AF$269=123, AF$269=12, AF$269=13, AF$269=1), Cultivar_1_Cohort_Year_Selection=$AB$268), ROUND(MAX(0,(AE$378-('Stage 2 Randomized Selection'!T$2*$M379)) - 1),0),
IF(AND(OR(AF$269=123, AF$269=12, AF$269=23, AF$269=2), Cultivar_2_Cohort_Year_Selection=$AB$268), ROUND(MAX(0,(AE$378-('Stage 2 Randomized Selection'!T$2*$M379)) - 1),0),
IF(AND(OR(AF$269=123, AF$269=13, AF$269=23, AF$269=3), Cultivar_3_Cohort_Year_Selection=$AB$268), ROUND(MAX(0,(AE$378-('Stage 2 Randomized Selection'!T$2*$M379)) - 1),0),
ROUND(MAX(0,(AE$378-('Stage 2 Randomized Selection'!T$2*$M379))),0)))))))),0),"")</f>
        <v/>
      </c>
      <c r="AG401" s="270" t="str">
        <f>IF(ISNUMBER($B$379),
IF(AND(ISNUMBER(AF$378), AF$378&gt;0),
IF(AND(AG$269=123, Cultivar_1_Cohort_Year_Selection=$AC$268,Cultivar_2_Cohort_Year_Selection=$AC$268,Cultivar_3_Cohort_Year_Selection=$AC$268), ROUND(MAX(0,(AF$378-('Stage 2 Randomized Selection'!V$2*$M379)) - 3),0),
IF(AND(OR(AG$269=123, AG$269=12), Cultivar_1_Cohort_Year_Selection=$AC$268,Cultivar_2_Cohort_Year_Selection=$AC$268),  ROUND(MAX(0,(AF$378-('Stage 2 Randomized Selection'!U$2*$M379)) - 2),0),
IF(AND(OR(AG$269=123, AG$269=13), Cultivar_1_Cohort_Year_Selection=$AC$268,Cultivar_3_Cohort_Year_Selection=$AC$268), ROUND(MAX(0,(AF$378-('Stage 2 Randomized Selection'!U$2*$M379)) - 2),0),
IF(AND(OR(AG$269=123, AG$269=23), Cultivar_2_Cohort_Year_Selection=$AC$268,Cultivar_3_Cohort_Year_Selection=$AC$268), ROUND(MAX(0,(AF$378-('Stage 2 Randomized Selection'!U$2*$M379)) - 2),0),
IF(AND(OR(AG$269=123, AG$269=12, AG$269=13, AG$269=1), Cultivar_1_Cohort_Year_Selection=$AC$268), ROUND(MAX(0,(AF$378-('Stage 2 Randomized Selection'!U$2*$M379)) - 1),0),
IF(AND(OR(AG$269=123, AG$269=12, AG$269=23, AG$269=2), Cultivar_2_Cohort_Year_Selection=$AC$268), ROUND(MAX(0,(AF$378-('Stage 2 Randomized Selection'!U$2*$M379)) - 1),0),
IF(AND(OR(AG$269=123, AG$269=13, AG$269=23, AG$269=3), Cultivar_3_Cohort_Year_Selection=$AC$268), ROUND(MAX(0,(AF$378-('Stage 2 Randomized Selection'!U$2*$M379)) - 1),0),
ROUND(MAX(0,(AF$378-('Stage 2 Randomized Selection'!U$2*$M379))),0)))))))),0),"")</f>
        <v/>
      </c>
      <c r="AH401" s="270" t="str">
        <f>IF(ISNUMBER($B$379),
IF(AND(ISNUMBER(AG$378), AG$378&gt;0),
IF(AND(AH$269=123, Cultivar_1_Cohort_Year_Selection=$AD$268,Cultivar_2_Cohort_Year_Selection=$AD$268,Cultivar_3_Cohort_Year_Selection=$AD$268), ROUND(MAX(0,(AG$378-('Stage 2 Randomized Selection'!W$2*$M379)) - 3),0),
IF(AND(OR(AH$269=123, AH$269=12), Cultivar_1_Cohort_Year_Selection=$AD$268,Cultivar_2_Cohort_Year_Selection=$AD$268),  ROUND(MAX(0,(AG$378-('Stage 2 Randomized Selection'!V$2*$M379)) - 2),0),
IF(AND(OR(AH$269=123, AH$269=13), Cultivar_1_Cohort_Year_Selection=$AD$268,Cultivar_3_Cohort_Year_Selection=$AD$268), ROUND(MAX(0,(AG$378-('Stage 2 Randomized Selection'!V$2*$M379)) - 2),0),
IF(AND(OR(AH$269=123, AH$269=23), Cultivar_2_Cohort_Year_Selection=$AD$268,Cultivar_3_Cohort_Year_Selection=$AD$268), ROUND(MAX(0,(AG$378-('Stage 2 Randomized Selection'!V$2*$M379)) - 2),0),
IF(AND(OR(AH$269=123, AH$269=12, AH$269=13, AH$269=1), Cultivar_1_Cohort_Year_Selection=$AD$268), ROUND(MAX(0,(AG$378-('Stage 2 Randomized Selection'!V$2*$M379)) - 1),0),
IF(AND(OR(AH$269=123, AH$269=12, AH$269=23, AH$269=2), Cultivar_2_Cohort_Year_Selection=$AD$268), ROUND(MAX(0,(AG$378-('Stage 2 Randomized Selection'!V$2*$M379)) - 1),0),
IF(AND(OR(AH$269=123, AH$269=13, AH$269=23, AH$269=3), Cultivar_3_Cohort_Year_Selection=$AD$268), ROUND(MAX(0,(AG$378-('Stage 2 Randomized Selection'!V$2*$M379)) - 1),0),
ROUND(MAX(0,(AG$378-('Stage 2 Randomized Selection'!V$2*$M379))),0)))))))),0),"")</f>
        <v/>
      </c>
      <c r="AI401" s="270" t="str">
        <f>IF(ISNUMBER($B$379),
IF(AND(ISNUMBER(AH$378), AH$378&gt;0),
IF(AND(AI$269=123, Cultivar_1_Cohort_Year_Selection=$AE$268,Cultivar_2_Cohort_Year_Selection=$AE$268,Cultivar_3_Cohort_Year_Selection=$AE$268), ROUND(MAX(0,(AH$378-('Stage 2 Randomized Selection'!X$2*$M379)) - 3),0),
IF(AND(OR(AI$269=123, AI$269=12), Cultivar_1_Cohort_Year_Selection=$AE$268,Cultivar_2_Cohort_Year_Selection=$AE$268),  ROUND(MAX(0,(AH$378-('Stage 2 Randomized Selection'!W$2*$M379)) - 2),0),
IF(AND(OR(AI$269=123, AI$269=13), Cultivar_1_Cohort_Year_Selection=$AE$268,Cultivar_3_Cohort_Year_Selection=$AE$268), ROUND(MAX(0,(AH$378-('Stage 2 Randomized Selection'!W$2*$M379)) - 2),0),
IF(AND(OR(AI$269=123, AI$269=23), Cultivar_2_Cohort_Year_Selection=$AE$268,Cultivar_3_Cohort_Year_Selection=$AE$268), ROUND(MAX(0,(AH$378-('Stage 2 Randomized Selection'!W$2*$M379)) - 2),0),
IF(AND(OR(AI$269=123, AI$269=12, AI$269=13, AI$269=1), Cultivar_1_Cohort_Year_Selection=$AE$268), ROUND(MAX(0,(AH$378-('Stage 2 Randomized Selection'!W$2*$M379)) - 1),0),
IF(AND(OR(AI$269=123, AI$269=12, AI$269=23, AI$269=2), Cultivar_2_Cohort_Year_Selection=$AE$268), ROUND(MAX(0,(AH$378-('Stage 2 Randomized Selection'!W$2*$M379)) - 1),0),
IF(AND(OR(AI$269=123, AI$269=13, AI$269=23, AI$269=3), Cultivar_3_Cohort_Year_Selection=$AE$268), ROUND(MAX(0,(AH$378-('Stage 2 Randomized Selection'!W$2*$M379)) - 1),0),
ROUND(MAX(0,(AH$378-('Stage 2 Randomized Selection'!W$2*$M379))),0)))))))),0),"")</f>
        <v/>
      </c>
      <c r="AJ401" s="270" t="str">
        <f>IF(ISNUMBER($B$379),
IF(AND(ISNUMBER(AI$378), AI$378&gt;0),
IF(AND(AJ$269=123, Cultivar_1_Cohort_Year_Selection=$AF$268,Cultivar_2_Cohort_Year_Selection=$AF$268,Cultivar_3_Cohort_Year_Selection=$AF$268), ROUND(MAX(0,(AI$378-('Stage 2 Randomized Selection'!Y$2*$M379)) - 3),0),
IF(AND(OR(AJ$269=123, AJ$269=12), Cultivar_1_Cohort_Year_Selection=$AF$268,Cultivar_2_Cohort_Year_Selection=$AF$268),  ROUND(MAX(0,(AI$378-('Stage 2 Randomized Selection'!X$2*$M379)) - 2),0),
IF(AND(OR(AJ$269=123, AJ$269=13), Cultivar_1_Cohort_Year_Selection=$AF$268,Cultivar_3_Cohort_Year_Selection=$AF$268), ROUND(MAX(0,(AI$378-('Stage 2 Randomized Selection'!X$2*$M379)) - 2),0),
IF(AND(OR(AJ$269=123, AJ$269=23), Cultivar_2_Cohort_Year_Selection=$AF$268,Cultivar_3_Cohort_Year_Selection=$AF$268), ROUND(MAX(0,(AI$378-('Stage 2 Randomized Selection'!X$2*$M379)) - 2),0),
IF(AND(OR(AJ$269=123, AJ$269=12, AJ$269=13, AJ$269=1), Cultivar_1_Cohort_Year_Selection=$AF$268), ROUND(MAX(0,(AI$378-('Stage 2 Randomized Selection'!X$2*$M379)) - 1),0),
IF(AND(OR(AJ$269=123, AJ$269=12, AJ$269=23, AJ$269=2), Cultivar_2_Cohort_Year_Selection=$AF$268), ROUND(MAX(0,(AI$378-('Stage 2 Randomized Selection'!X$2*$M379)) - 1),0),
IF(AND(OR(AJ$269=123, AJ$269=13, AJ$269=23, AJ$269=3), Cultivar_3_Cohort_Year_Selection=$AF$268), ROUND(MAX(0,(AI$378-('Stage 2 Randomized Selection'!X$2*$M379)) - 1),0),
ROUND(MAX(0,(AI$378-('Stage 2 Randomized Selection'!X$2*$M379))),0)))))))),0),"")</f>
        <v/>
      </c>
      <c r="AK401" s="270" t="str">
        <f>IF(ISNUMBER($B$379),
IF(AND(ISNUMBER(AJ$378), AJ$378&gt;0),
IF(AND(AK$269=123, Cultivar_1_Cohort_Year_Selection=$AG$268,Cultivar_2_Cohort_Year_Selection=$AG$268,Cultivar_3_Cohort_Year_Selection=$AG$268), ROUND(MAX(0,(AJ$378-('Stage 2 Randomized Selection'!Z$2*$M379)) - 3),0),
IF(AND(OR(AK$269=123, AK$269=12), Cultivar_1_Cohort_Year_Selection=$AG$268,Cultivar_2_Cohort_Year_Selection=$AG$268),  ROUND(MAX(0,(AJ$378-('Stage 2 Randomized Selection'!Y$2*$M379)) - 2),0),
IF(AND(OR(AK$269=123, AK$269=13), Cultivar_1_Cohort_Year_Selection=$AG$268,Cultivar_3_Cohort_Year_Selection=$AG$268), ROUND(MAX(0,(AJ$378-('Stage 2 Randomized Selection'!Y$2*$M379)) - 2),0),
IF(AND(OR(AK$269=123, AK$269=23), Cultivar_2_Cohort_Year_Selection=$AG$268,Cultivar_3_Cohort_Year_Selection=$AG$268), ROUND(MAX(0,(AJ$378-('Stage 2 Randomized Selection'!Y$2*$M379)) - 2),0),
IF(AND(OR(AK$269=123, AK$269=12, AK$269=13, AK$269=1), Cultivar_1_Cohort_Year_Selection=$AG$268), ROUND(MAX(0,(AJ$378-('Stage 2 Randomized Selection'!Y$2*$M379)) - 1),0),
IF(AND(OR(AK$269=123, AK$269=12, AK$269=23, AK$269=2), Cultivar_2_Cohort_Year_Selection=$AG$268), ROUND(MAX(0,(AJ$378-('Stage 2 Randomized Selection'!Y$2*$M379)) - 1),0),
IF(AND(OR(AK$269=123, AK$269=13, AK$269=23, AK$269=3), Cultivar_3_Cohort_Year_Selection=$AG$268), ROUND(MAX(0,(AJ$378-('Stage 2 Randomized Selection'!Y$2*$M379)) - 1),0),
ROUND(MAX(0,(AJ$378-('Stage 2 Randomized Selection'!Y$2*$M379))),0)))))))),0),"")</f>
        <v/>
      </c>
      <c r="AL401" s="270" t="str">
        <f>IF(ISNUMBER($B$379),
IF(AND(ISNUMBER(AK$378), AK$378&gt;0),
IF(AND(AL$269=123, Cultivar_1_Cohort_Year_Selection=$AH$268,Cultivar_2_Cohort_Year_Selection=$AH$268,Cultivar_3_Cohort_Year_Selection=$AH$268), ROUND(MAX(0,(AK$378-('Stage 2 Randomized Selection'!AA$2*$M379)) - 3),0),
IF(AND(OR(AL$269=123, AL$269=12), Cultivar_1_Cohort_Year_Selection=$AH$268,Cultivar_2_Cohort_Year_Selection=$AH$268),  ROUND(MAX(0,(AK$378-('Stage 2 Randomized Selection'!Z$2*$M379)) - 2),0),
IF(AND(OR(AL$269=123, AL$269=13), Cultivar_1_Cohort_Year_Selection=$AH$268,Cultivar_3_Cohort_Year_Selection=$AH$268), ROUND(MAX(0,(AK$378-('Stage 2 Randomized Selection'!Z$2*$M379)) - 2),0),
IF(AND(OR(AL$269=123, AL$269=23), Cultivar_2_Cohort_Year_Selection=$AH$268,Cultivar_3_Cohort_Year_Selection=$AH$268), ROUND(MAX(0,(AK$378-('Stage 2 Randomized Selection'!Z$2*$M379)) - 2),0),
IF(AND(OR(AL$269=123, AL$269=12, AL$269=13, AL$269=1), Cultivar_1_Cohort_Year_Selection=$AH$268), ROUND(MAX(0,(AK$378-('Stage 2 Randomized Selection'!Z$2*$M379)) - 1),0),
IF(AND(OR(AL$269=123, AL$269=12, AL$269=23, AL$269=2), Cultivar_2_Cohort_Year_Selection=$AH$268), ROUND(MAX(0,(AK$378-('Stage 2 Randomized Selection'!Z$2*$M379)) - 1),0),
IF(AND(OR(AL$269=123, AL$269=13, AL$269=23, AL$269=3), Cultivar_3_Cohort_Year_Selection=$AH$268), ROUND(MAX(0,(AK$378-('Stage 2 Randomized Selection'!Z$2*$M379)) - 1),0),
ROUND(MAX(0,(AK$378-('Stage 2 Randomized Selection'!Z$2*$M379))),0)))))))),0),"")</f>
        <v/>
      </c>
      <c r="AM401" s="270" t="str">
        <f>IF(ISNUMBER($B$379),
IF(AND(ISNUMBER(AL$378), AL$378&gt;0),
IF(AND(AM$269=123, Cultivar_1_Cohort_Year_Selection=$AI$268,Cultivar_2_Cohort_Year_Selection=$AI$268,Cultivar_3_Cohort_Year_Selection=$AI$268), ROUND(MAX(0,(AL$378-('Stage 2 Randomized Selection'!AB$2*$M379)) - 3),0),
IF(AND(OR(AM$269=123, AM$269=12), Cultivar_1_Cohort_Year_Selection=$AI$268,Cultivar_2_Cohort_Year_Selection=$AI$268),  ROUND(MAX(0,(AL$378-('Stage 2 Randomized Selection'!AA$2*$M379)) - 2),0),
IF(AND(OR(AM$269=123, AM$269=13), Cultivar_1_Cohort_Year_Selection=$AI$268,Cultivar_3_Cohort_Year_Selection=$AI$268), ROUND(MAX(0,(AL$378-('Stage 2 Randomized Selection'!AA$2*$M379)) - 2),0),
IF(AND(OR(AM$269=123, AM$269=23), Cultivar_2_Cohort_Year_Selection=$AI$268,Cultivar_3_Cohort_Year_Selection=$AI$268), ROUND(MAX(0,(AL$378-('Stage 2 Randomized Selection'!AA$2*$M379)) - 2),0),
IF(AND(OR(AM$269=123, AM$269=12, AM$269=13, AM$269=1), Cultivar_1_Cohort_Year_Selection=$AI$268), ROUND(MAX(0,(AL$378-('Stage 2 Randomized Selection'!AA$2*$M379)) - 1),0),
IF(AND(OR(AM$269=123, AM$269=12, AM$269=23, AM$269=2), Cultivar_2_Cohort_Year_Selection=$AI$268), ROUND(MAX(0,(AL$378-('Stage 2 Randomized Selection'!AA$2*$M379)) - 1),0),
IF(AND(OR(AM$269=123, AM$269=13, AM$269=23, AM$269=3), Cultivar_3_Cohort_Year_Selection=$AI$268), ROUND(MAX(0,(AL$378-('Stage 2 Randomized Selection'!AA$2*$M379)) - 1),0),
ROUND(MAX(0,(AL$378-('Stage 2 Randomized Selection'!AA$2*$M379))),0)))))))),0),"")</f>
        <v/>
      </c>
      <c r="AN401" s="270" t="str">
        <f>IF(ISNUMBER($B$379),
IF(AND(ISNUMBER(AM$378), AM$378&gt;0),
IF(AND(AN$269=123, Cultivar_1_Cohort_Year_Selection=$AJ$268,Cultivar_2_Cohort_Year_Selection=$AJ$268,Cultivar_3_Cohort_Year_Selection=$AJ$268), ROUND(MAX(0,(AM$378-('Stage 2 Randomized Selection'!AC$2*$M379)) - 3),0),
IF(AND(OR(AN$269=123, AN$269=12), Cultivar_1_Cohort_Year_Selection=$AJ$268,Cultivar_2_Cohort_Year_Selection=$AJ$268),  ROUND(MAX(0,(AM$378-('Stage 2 Randomized Selection'!AB$2*$M379)) - 2),0),
IF(AND(OR(AN$269=123, AN$269=13), Cultivar_1_Cohort_Year_Selection=$AJ$268,Cultivar_3_Cohort_Year_Selection=$AJ$268), ROUND(MAX(0,(AM$378-('Stage 2 Randomized Selection'!AB$2*$M379)) - 2),0),
IF(AND(OR(AN$269=123, AN$269=23), Cultivar_2_Cohort_Year_Selection=$AJ$268,Cultivar_3_Cohort_Year_Selection=$AJ$268), ROUND(MAX(0,(AM$378-('Stage 2 Randomized Selection'!AB$2*$M379)) - 2),0),
IF(AND(OR(AN$269=123, AN$269=12, AN$269=13, AN$269=1), Cultivar_1_Cohort_Year_Selection=$AJ$268), ROUND(MAX(0,(AM$378-('Stage 2 Randomized Selection'!AB$2*$M379)) - 1),0),
IF(AND(OR(AN$269=123, AN$269=12, AN$269=23, AN$269=2), Cultivar_2_Cohort_Year_Selection=$AJ$268), ROUND(MAX(0,(AM$378-('Stage 2 Randomized Selection'!AB$2*$M379)) - 1),0),
IF(AND(OR(AN$269=123, AN$269=13, AN$269=23, AN$269=3), Cultivar_3_Cohort_Year_Selection=$AJ$268), ROUND(MAX(0,(AM$378-('Stage 2 Randomized Selection'!AB$2*$M379)) - 1),0),
ROUND(MAX(0,(AM$378-('Stage 2 Randomized Selection'!AB$2*$M379))),0)))))))),0),"")</f>
        <v/>
      </c>
      <c r="AO401" s="270" t="str">
        <f>IF(ISNUMBER($B$379),
IF(AND(ISNUMBER(AN$378), AN$378&gt;0),
IF(AND(AO$269=123, Cultivar_1_Cohort_Year_Selection=$AK$268,Cultivar_2_Cohort_Year_Selection=$AK$268,Cultivar_3_Cohort_Year_Selection=$AK$268), ROUND(MAX(0,(AN$378-('Stage 2 Randomized Selection'!AD$2*$M379)) - 3),0),
IF(AND(OR(AO$269=123, AO$269=12), Cultivar_1_Cohort_Year_Selection=$AK$268,Cultivar_2_Cohort_Year_Selection=$AK$268),  ROUND(MAX(0,(AN$378-('Stage 2 Randomized Selection'!AC$2*$M379)) - 2),0),
IF(AND(OR(AO$269=123, AO$269=13), Cultivar_1_Cohort_Year_Selection=$AK$268,Cultivar_3_Cohort_Year_Selection=$AK$268), ROUND(MAX(0,(AN$378-('Stage 2 Randomized Selection'!AC$2*$M379)) - 2),0),
IF(AND(OR(AO$269=123, AO$269=23), Cultivar_2_Cohort_Year_Selection=$AK$268,Cultivar_3_Cohort_Year_Selection=$AK$268), ROUND(MAX(0,(AN$378-('Stage 2 Randomized Selection'!AC$2*$M379)) - 2),0),
IF(AND(OR(AO$269=123, AO$269=12, AO$269=13, AO$269=1), Cultivar_1_Cohort_Year_Selection=$AK$268), ROUND(MAX(0,(AN$378-('Stage 2 Randomized Selection'!AC$2*$M379)) - 1),0),
IF(AND(OR(AO$269=123, AO$269=12, AO$269=23, AO$269=2), Cultivar_2_Cohort_Year_Selection=$AK$268), ROUND(MAX(0,(AN$378-('Stage 2 Randomized Selection'!AC$2*$M379)) - 1),0),
IF(AND(OR(AO$269=123, AO$269=13, AO$269=23, AO$269=3), Cultivar_3_Cohort_Year_Selection=$AK$268), ROUND(MAX(0,(AN$378-('Stage 2 Randomized Selection'!AC$2*$M379)) - 1),0),
ROUND(MAX(0,(AN$378-('Stage 2 Randomized Selection'!AC$2*$M379))),0)))))))),0),"")</f>
        <v/>
      </c>
      <c r="AP401" s="270" t="str">
        <f>IF(ISNUMBER($B$379),
IF(AND(ISNUMBER(AO$378), AO$378&gt;0),
IF(AND(AP$269=123, Cultivar_1_Cohort_Year_Selection=$AL$268,Cultivar_2_Cohort_Year_Selection=$AL$268,Cultivar_3_Cohort_Year_Selection=$AL$268), ROUND(MAX(0,(AO$378-('Stage 2 Randomized Selection'!AE$2*$M379)) - 3),0),
IF(AND(OR(AP$269=123, AP$269=12), Cultivar_1_Cohort_Year_Selection=$AL$268,Cultivar_2_Cohort_Year_Selection=$AL$268),  ROUND(MAX(0,(AO$378-('Stage 2 Randomized Selection'!AD$2*$M379)) - 2),0),
IF(AND(OR(AP$269=123, AP$269=13), Cultivar_1_Cohort_Year_Selection=$AL$268,Cultivar_3_Cohort_Year_Selection=$AL$268), ROUND(MAX(0,(AO$378-('Stage 2 Randomized Selection'!AD$2*$M379)) - 2),0),
IF(AND(OR(AP$269=123, AP$269=23), Cultivar_2_Cohort_Year_Selection=$AL$268,Cultivar_3_Cohort_Year_Selection=$AL$268), ROUND(MAX(0,(AO$378-('Stage 2 Randomized Selection'!AD$2*$M379)) - 2),0),
IF(AND(OR(AP$269=123, AP$269=12, AP$269=13, AP$269=1), Cultivar_1_Cohort_Year_Selection=$AL$268), ROUND(MAX(0,(AO$378-('Stage 2 Randomized Selection'!AD$2*$M379)) - 1),0),
IF(AND(OR(AP$269=123, AP$269=12, AP$269=23, AP$269=2), Cultivar_2_Cohort_Year_Selection=$AL$268), ROUND(MAX(0,(AO$378-('Stage 2 Randomized Selection'!AD$2*$M379)) - 1),0),
IF(AND(OR(AP$269=123, AP$269=13, AP$269=23, AP$269=3), Cultivar_3_Cohort_Year_Selection=$AL$268), ROUND(MAX(0,(AO$378-('Stage 2 Randomized Selection'!AD$2*$M379)) - 1),0),
ROUND(MAX(0,(AO$378-('Stage 2 Randomized Selection'!AD$2*$M379))),0)))))))),0),"")</f>
        <v/>
      </c>
      <c r="AQ401" s="270" t="str">
        <f>IF(ISNUMBER($B$379),
IF(AND(ISNUMBER(AP$378), AP$378&gt;0),
IF(AND(AQ$269=123, Cultivar_1_Cohort_Year_Selection=$AM$268,Cultivar_2_Cohort_Year_Selection=$AM$268,Cultivar_3_Cohort_Year_Selection=$AM$268), ROUND(MAX(0,(AP$378-('Stage 2 Randomized Selection'!AF$2*$M379)) - 3),0),
IF(AND(OR(AQ$269=123, AQ$269=12), Cultivar_1_Cohort_Year_Selection=$AM$268,Cultivar_2_Cohort_Year_Selection=$AM$268),  ROUND(MAX(0,(AP$378-('Stage 2 Randomized Selection'!AE$2*$M379)) - 2),0),
IF(AND(OR(AQ$269=123, AQ$269=13), Cultivar_1_Cohort_Year_Selection=$AM$268,Cultivar_3_Cohort_Year_Selection=$AM$268), ROUND(MAX(0,(AP$378-('Stage 2 Randomized Selection'!AE$2*$M379)) - 2),0),
IF(AND(OR(AQ$269=123, AQ$269=23), Cultivar_2_Cohort_Year_Selection=$AM$268,Cultivar_3_Cohort_Year_Selection=$AM$268), ROUND(MAX(0,(AP$378-('Stage 2 Randomized Selection'!AE$2*$M379)) - 2),0),
IF(AND(OR(AQ$269=123, AQ$269=12, AQ$269=13, AQ$269=1), Cultivar_1_Cohort_Year_Selection=$AM$268), ROUND(MAX(0,(AP$378-('Stage 2 Randomized Selection'!AE$2*$M379)) - 1),0),
IF(AND(OR(AQ$269=123, AQ$269=12, AQ$269=23, AQ$269=2), Cultivar_2_Cohort_Year_Selection=$AM$268), ROUND(MAX(0,(AP$378-('Stage 2 Randomized Selection'!AE$2*$M379)) - 1),0),
IF(AND(OR(AQ$269=123, AQ$269=13, AQ$269=23, AQ$269=3), Cultivar_3_Cohort_Year_Selection=$AM$268), ROUND(MAX(0,(AP$378-('Stage 2 Randomized Selection'!AE$2*$M379)) - 1),0),
ROUND(MAX(0,(AP$378-('Stage 2 Randomized Selection'!AE$2*$M379))),0)))))))),0),"")</f>
        <v/>
      </c>
      <c r="AR401" s="270" t="str">
        <f>IF(ISNUMBER($B$379),
IF(AND(ISNUMBER(AQ$378), AQ$378&gt;0),
IF(AND(AR$269=123, Cultivar_1_Cohort_Year_Selection=$AN$268,Cultivar_2_Cohort_Year_Selection=$AN$268,Cultivar_3_Cohort_Year_Selection=$AN$268), ROUND(MAX(0,(AQ$378-('Stage 2 Randomized Selection'!AG$2*$M379)) - 3),0),
IF(AND(OR(AR$269=123, AR$269=12), Cultivar_1_Cohort_Year_Selection=$AN$268,Cultivar_2_Cohort_Year_Selection=$AN$268),  ROUND(MAX(0,(AQ$378-('Stage 2 Randomized Selection'!AF$2*$M379)) - 2),0),
IF(AND(OR(AR$269=123, AR$269=13), Cultivar_1_Cohort_Year_Selection=$AN$268,Cultivar_3_Cohort_Year_Selection=$AN$268), ROUND(MAX(0,(AQ$378-('Stage 2 Randomized Selection'!AF$2*$M379)) - 2),0),
IF(AND(OR(AR$269=123, AR$269=23), Cultivar_2_Cohort_Year_Selection=$AN$268,Cultivar_3_Cohort_Year_Selection=$AN$268), ROUND(MAX(0,(AQ$378-('Stage 2 Randomized Selection'!AF$2*$M379)) - 2),0),
IF(AND(OR(AR$269=123, AR$269=12, AR$269=13, AR$269=1), Cultivar_1_Cohort_Year_Selection=$AN$268), ROUND(MAX(0,(AQ$378-('Stage 2 Randomized Selection'!AF$2*$M379)) - 1),0),
IF(AND(OR(AR$269=123, AR$269=12, AR$269=23, AR$269=2), Cultivar_2_Cohort_Year_Selection=$AN$268), ROUND(MAX(0,(AQ$378-('Stage 2 Randomized Selection'!AF$2*$M379)) - 1),0),
IF(AND(OR(AR$269=123, AR$269=13, AR$269=23, AR$269=3), Cultivar_3_Cohort_Year_Selection=$AN$268), ROUND(MAX(0,(AQ$378-('Stage 2 Randomized Selection'!AF$2*$M379)) - 1),0),
ROUND(MAX(0,(AQ$378-('Stage 2 Randomized Selection'!AF$2*$M379))),0)))))))),0),"")</f>
        <v/>
      </c>
      <c r="AS401" s="270" t="str">
        <f>IF(ISNUMBER($B$379),
IF(AND(ISNUMBER(AR$378), AR$378&gt;0),
IF(AND(AS$269=123, Cultivar_1_Cohort_Year_Selection=$AO$268,Cultivar_2_Cohort_Year_Selection=$AO$268,Cultivar_3_Cohort_Year_Selection=$AO$268), ROUND(MAX(0,(AR$378-('Stage 2 Randomized Selection'!AH$2*$M379)) - 3),0),
IF(AND(OR(AS$269=123, AS$269=12), Cultivar_1_Cohort_Year_Selection=$AO$268,Cultivar_2_Cohort_Year_Selection=$AO$268),  ROUND(MAX(0,(AR$378-('Stage 2 Randomized Selection'!AG$2*$M379)) - 2),0),
IF(AND(OR(AS$269=123, AS$269=13), Cultivar_1_Cohort_Year_Selection=$AO$268,Cultivar_3_Cohort_Year_Selection=$AO$268), ROUND(MAX(0,(AR$378-('Stage 2 Randomized Selection'!AG$2*$M379)) - 2),0),
IF(AND(OR(AS$269=123, AS$269=23), Cultivar_2_Cohort_Year_Selection=$AO$268,Cultivar_3_Cohort_Year_Selection=$AO$268), ROUND(MAX(0,(AR$378-('Stage 2 Randomized Selection'!AG$2*$M379)) - 2),0),
IF(AND(OR(AS$269=123, AS$269=12, AS$269=13, AS$269=1), Cultivar_1_Cohort_Year_Selection=$AO$268), ROUND(MAX(0,(AR$378-('Stage 2 Randomized Selection'!AG$2*$M379)) - 1),0),
IF(AND(OR(AS$269=123, AS$269=12, AS$269=23, AS$269=2), Cultivar_2_Cohort_Year_Selection=$AO$268), ROUND(MAX(0,(AR$378-('Stage 2 Randomized Selection'!AG$2*$M379)) - 1),0),
IF(AND(OR(AS$269=123, AS$269=13, AS$269=23, AS$269=3), Cultivar_3_Cohort_Year_Selection=$AO$268), ROUND(MAX(0,(AR$378-('Stage 2 Randomized Selection'!AG$2*$M379)) - 1),0),
ROUND(MAX(0,(AR$378-('Stage 2 Randomized Selection'!AG$2*$M379))),0)))))))),0),"")</f>
        <v/>
      </c>
      <c r="AT401" s="271" t="str">
        <f>IF(ISNUMBER($B$379),
IF(AND(ISNUMBER(AS$378), AS$378&gt;0),
IF(AND(AT$269=123, Cultivar_1_Cohort_Year_Selection=$AP$268,Cultivar_2_Cohort_Year_Selection=$AP$268,Cultivar_3_Cohort_Year_Selection=$AP$268), ROUND(MAX(0,(AS$378-('Stage 2 Randomized Selection'!AI$2*$M379)) - 3),0),
IF(AND(OR(AT$269=123, AT$269=12), Cultivar_1_Cohort_Year_Selection=$AP$268,Cultivar_2_Cohort_Year_Selection=$AP$268),  ROUND(MAX(0,(AS$378-('Stage 2 Randomized Selection'!AH$2*$M379)) - 2),0),
IF(AND(OR(AT$269=123, AT$269=13), Cultivar_1_Cohort_Year_Selection=$AP$268,Cultivar_3_Cohort_Year_Selection=$AP$268), ROUND(MAX(0,(AS$378-('Stage 2 Randomized Selection'!AH$2*$M379)) - 2),0),
IF(AND(OR(AT$269=123, AT$269=23), Cultivar_2_Cohort_Year_Selection=$AP$268,Cultivar_3_Cohort_Year_Selection=$AP$268), ROUND(MAX(0,(AS$378-('Stage 2 Randomized Selection'!AH$2*$M379)) - 2),0),
IF(AND(OR(AT$269=123, AT$269=12, AT$269=13, AT$269=1), Cultivar_1_Cohort_Year_Selection=$AP$268), ROUND(MAX(0,(AS$378-('Stage 2 Randomized Selection'!AH$2*$M379)) - 1),0),
IF(AND(OR(AT$269=123, AT$269=12, AT$269=23, AT$269=2), Cultivar_2_Cohort_Year_Selection=$AP$268), ROUND(MAX(0,(AS$378-('Stage 2 Randomized Selection'!AH$2*$M379)) - 1),0),
IF(AND(OR(AT$269=123, AT$269=13, AT$269=23, AT$269=3), Cultivar_3_Cohort_Year_Selection=$AP$268), ROUND(MAX(0,(AS$378-('Stage 2 Randomized Selection'!AH$2*$M379)) - 1),0),
ROUND(MAX(0,(AS$378-('Stage 2 Randomized Selection'!AH$2*$M379))),0)))))))),0),"")</f>
        <v/>
      </c>
    </row>
    <row r="402" spans="1:47" ht="14.45" customHeight="1" x14ac:dyDescent="0.25">
      <c r="A402" s="518" t="str">
        <f>Fourth_Stage</f>
        <v>Stage 2 Clonal Test Plots</v>
      </c>
      <c r="B402" s="504" t="str">
        <f>'Breeding Inputs'!B94</f>
        <v/>
      </c>
      <c r="C402" s="521" t="str">
        <f>IF(ISNUMBER(B402), _4_3_0, "")</f>
        <v/>
      </c>
      <c r="D402" s="94" t="str">
        <f>IF(AND(C402&lt;&gt;"", 'Cost Inputs'!$G$105&lt;&gt;""), 'Cost Inputs'!$G$105, "")</f>
        <v/>
      </c>
      <c r="E402" s="94" t="str">
        <f>IF(AND(C402&lt;&gt;"", 'Cost Inputs'!$H$105&lt;&gt;""), 'Cost Inputs'!$H$105, "")</f>
        <v/>
      </c>
      <c r="F402" s="492" t="str">
        <f>IF(AND(C402&lt;&gt;"", 'Cost Inputs'!$I$105&lt;&gt;""), 'Cost Inputs'!$I$105, "")</f>
        <v/>
      </c>
      <c r="G402" s="102" t="str">
        <f t="shared" si="32"/>
        <v/>
      </c>
      <c r="H402" s="492" t="str">
        <f>IF(AND(C402&lt;&gt;"", 'Cost Inputs'!$J$105&lt;&gt;""), 'Cost Inputs'!$J$105, "")</f>
        <v/>
      </c>
      <c r="I402" s="102" t="str">
        <f>IF($C402&lt;&gt;"",IF(AND($E402&lt;&gt;"",H402&lt;&gt;""), H402/$E402, 0),"")</f>
        <v/>
      </c>
      <c r="J402" s="492" t="str">
        <f>IF(AND(C402&lt;&gt;"",('Cost Inputs'!$I$105+'Cost Inputs'!$J$105+'Cost Inputs'!$K$105)&gt;0), 'Cost Inputs'!$I$105+'Cost Inputs'!$J$105+'Cost Inputs'!$K$105, "")</f>
        <v/>
      </c>
      <c r="K402" s="102" t="str">
        <f>IF($C402&lt;&gt;"",IF(AND($E402&lt;&gt;"",J402&lt;&gt;""), J402/$E402, 0),"")</f>
        <v/>
      </c>
      <c r="L402" s="525" t="str">
        <f>IF(AND($B402&lt;&gt;"", 'Breeding Inputs'!$C$89&lt;&gt;""), INDEX('Breeding Inputs'!$C$89:$C$98, MATCH($B402,'Breeding Inputs'!$B$89:$B$98,0)), IF($B402="", "", 0%))</f>
        <v/>
      </c>
      <c r="M402" s="525" t="str">
        <f>IF(AND($B402&lt;&gt;"", 'Breeding Inputs'!$D$89&lt;&gt;""), INDEX('Breeding Inputs'!$D$89:$D$98, MATCH($B402,'Breeding Inputs'!$B$89:$B$98,0))+INDEX('Breeding Inputs'!$E$89:$E$98, MATCH($B402,'Breeding Inputs'!$B$89:$B$98,0)), IF($B402="", "", 0%))</f>
        <v/>
      </c>
      <c r="T402" s="495" t="str">
        <f>IF(ISNUMBER('Model_ of_individuals'!T417), 'Model_ of_individuals'!T417*'Model_ of_individuals'!$K417,"")</f>
        <v/>
      </c>
      <c r="U402" s="495" t="str">
        <f>IF(ISNUMBER('Model_ of_individuals'!U417), 'Model_ of_individuals'!U417*'Model_ of_individuals'!$K417,"")</f>
        <v/>
      </c>
      <c r="V402" s="495" t="str">
        <f>IF(ISNUMBER('Model_ of_individuals'!V417), 'Model_ of_individuals'!V417*'Model_ of_individuals'!$K417,"")</f>
        <v/>
      </c>
      <c r="W402" s="495" t="str">
        <f>IF(ISNUMBER('Model_ of_individuals'!W417), 'Model_ of_individuals'!W417*'Model_ of_individuals'!$K417,"")</f>
        <v/>
      </c>
      <c r="X402" s="495" t="str">
        <f>IF(ISNUMBER('Model_ of_individuals'!X417), 'Model_ of_individuals'!X417*'Model_ of_individuals'!$K417,"")</f>
        <v/>
      </c>
      <c r="Y402" s="495" t="str">
        <f>IF(ISNUMBER('Model_ of_individuals'!Y417), 'Model_ of_individuals'!Y417*'Model_ of_individuals'!$K417,"")</f>
        <v/>
      </c>
      <c r="Z402" s="495" t="str">
        <f>IF(ISNUMBER('Model_ of_individuals'!Z417), 'Model_ of_individuals'!Z417*'Model_ of_individuals'!$K417,"")</f>
        <v/>
      </c>
      <c r="AA402" s="495" t="str">
        <f>IF(ISNUMBER('Model_ of_individuals'!AA417), 'Model_ of_individuals'!AA417*'Model_ of_individuals'!$K417,"")</f>
        <v/>
      </c>
      <c r="AB402" s="495" t="str">
        <f>IF(ISNUMBER('Model_ of_individuals'!AB417), 'Model_ of_individuals'!AB417*'Model_ of_individuals'!$K417,"")</f>
        <v/>
      </c>
      <c r="AC402" s="495" t="str">
        <f>IF(ISNUMBER('Model_ of_individuals'!AC417), 'Model_ of_individuals'!AC417*'Model_ of_individuals'!$K417,"")</f>
        <v/>
      </c>
      <c r="AD402" s="495" t="str">
        <f>IF(ISNUMBER('Model_ of_individuals'!AD417), 'Model_ of_individuals'!AD417*'Model_ of_individuals'!$K417,"")</f>
        <v/>
      </c>
      <c r="AE402" s="495" t="str">
        <f>IF(ISNUMBER('Model_ of_individuals'!AE417), 'Model_ of_individuals'!AE417*'Model_ of_individuals'!$K417,"")</f>
        <v/>
      </c>
      <c r="AF402" s="495" t="str">
        <f>IF(ISNUMBER('Model_ of_individuals'!AF417), 'Model_ of_individuals'!AF417*'Model_ of_individuals'!$K417,"")</f>
        <v/>
      </c>
      <c r="AG402" s="495" t="str">
        <f>IF(ISNUMBER('Model_ of_individuals'!AG417), 'Model_ of_individuals'!AG417*'Model_ of_individuals'!$K417,"")</f>
        <v/>
      </c>
      <c r="AH402" s="495" t="str">
        <f>IF(ISNUMBER('Model_ of_individuals'!AH417), 'Model_ of_individuals'!AH417*'Model_ of_individuals'!$K417,"")</f>
        <v/>
      </c>
      <c r="AI402" s="495" t="str">
        <f>IF(ISNUMBER('Model_ of_individuals'!AI417), 'Model_ of_individuals'!AI417*'Model_ of_individuals'!$K417,"")</f>
        <v/>
      </c>
      <c r="AJ402" s="495" t="str">
        <f>IF(ISNUMBER('Model_ of_individuals'!AJ417), 'Model_ of_individuals'!AJ417*'Model_ of_individuals'!$K417,"")</f>
        <v/>
      </c>
      <c r="AK402" s="495" t="str">
        <f>IF(ISNUMBER('Model_ of_individuals'!AK417), 'Model_ of_individuals'!AK417*'Model_ of_individuals'!$K417,"")</f>
        <v/>
      </c>
      <c r="AL402" s="495" t="str">
        <f>IF(ISNUMBER('Model_ of_individuals'!AL417), 'Model_ of_individuals'!AL417*'Model_ of_individuals'!$K417,"")</f>
        <v/>
      </c>
      <c r="AM402" s="495" t="str">
        <f>IF(ISNUMBER('Model_ of_individuals'!AM417), 'Model_ of_individuals'!AM417*'Model_ of_individuals'!$K417,"")</f>
        <v/>
      </c>
      <c r="AN402" s="495" t="str">
        <f>IF(ISNUMBER('Model_ of_individuals'!AN417), 'Model_ of_individuals'!AN417*'Model_ of_individuals'!$K417,"")</f>
        <v/>
      </c>
      <c r="AO402" s="495" t="str">
        <f>IF(ISNUMBER('Model_ of_individuals'!AO417), 'Model_ of_individuals'!AO417*'Model_ of_individuals'!$K417,"")</f>
        <v/>
      </c>
      <c r="AP402" s="495" t="str">
        <f>IF(ISNUMBER('Model_ of_individuals'!AP417), 'Model_ of_individuals'!AP417*'Model_ of_individuals'!$K417,"")</f>
        <v/>
      </c>
      <c r="AQ402" s="495" t="str">
        <f>IF(ISNUMBER('Model_ of_individuals'!AQ417), 'Model_ of_individuals'!AQ417*'Model_ of_individuals'!$K417,"")</f>
        <v/>
      </c>
      <c r="AR402" s="495" t="str">
        <f>IF(ISNUMBER('Model_ of_individuals'!AR417), 'Model_ of_individuals'!AR417*'Model_ of_individuals'!$K417,"")</f>
        <v/>
      </c>
      <c r="AS402" s="495" t="str">
        <f>IF(ISNUMBER('Model_ of_individuals'!AS417), 'Model_ of_individuals'!AS417*'Model_ of_individuals'!$K417,"")</f>
        <v/>
      </c>
      <c r="AT402" s="495" t="str">
        <f>IF(ISNUMBER('Model_ of_individuals'!AT417), 'Model_ of_individuals'!AT417*'Model_ of_individuals'!$K417,"")</f>
        <v/>
      </c>
      <c r="AU402" s="495" t="str">
        <f>IF(ISNUMBER('Model_ of_individuals'!AU417), 'Model_ of_individuals'!AU417*'Model_ of_individuals'!$K417,"")</f>
        <v/>
      </c>
    </row>
    <row r="403" spans="1:47" x14ac:dyDescent="0.25">
      <c r="A403" s="518"/>
      <c r="B403" s="504"/>
      <c r="C403" s="521"/>
      <c r="D403" s="94" t="str">
        <f>IF(AND(C402&lt;&gt;"", 'Cost Inputs'!$G$106&lt;&gt;""), 'Cost Inputs'!$G$106, "")</f>
        <v/>
      </c>
      <c r="E403" s="94" t="str">
        <f>IF(AND(C402&lt;&gt;"", 'Cost Inputs'!H235&lt;&gt;""), 'Cost Inputs'!H235, "")</f>
        <v/>
      </c>
      <c r="F403" s="492"/>
      <c r="G403" s="102" t="str">
        <f t="shared" si="32"/>
        <v/>
      </c>
      <c r="H403" s="492"/>
      <c r="I403" s="102" t="str">
        <f>IF($C402&lt;&gt;"", IF(AND($E403&lt;&gt;"", H402&lt;&gt;""), H402/($E402*$E403), 0), "")</f>
        <v/>
      </c>
      <c r="J403" s="492" t="str">
        <f>IF(AND(C403&lt;&gt;"",('Cost Inputs'!$I$86+'Cost Inputs'!$J$86+'Cost Inputs'!$K$86)&gt;0), 'Cost Inputs'!$I$86+'Cost Inputs'!$J$86+'Cost Inputs'!$K$86, "")</f>
        <v/>
      </c>
      <c r="K403" s="102" t="str">
        <f>IF($C402&lt;&gt;"", IF(AND($E403&lt;&gt;"", J402&lt;&gt;""), J402/($E402*$E403), 0), "")</f>
        <v/>
      </c>
      <c r="L403" s="525"/>
      <c r="M403" s="525"/>
      <c r="T403" s="496" t="str">
        <f>IF(ISNUMBER('Model_ of_individuals'!T418), 'Model_ of_individuals'!T418*'Model_ of_individuals'!$K418,"")</f>
        <v/>
      </c>
      <c r="U403" s="496" t="str">
        <f>IF(ISNUMBER('Model_ of_individuals'!U418), 'Model_ of_individuals'!U418*'Model_ of_individuals'!$K418,"")</f>
        <v/>
      </c>
      <c r="V403" s="496" t="str">
        <f>IF(ISNUMBER('Model_ of_individuals'!V418), 'Model_ of_individuals'!V418*'Model_ of_individuals'!$K418,"")</f>
        <v/>
      </c>
      <c r="W403" s="496" t="str">
        <f>IF(ISNUMBER('Model_ of_individuals'!W418), 'Model_ of_individuals'!W418*'Model_ of_individuals'!$K418,"")</f>
        <v/>
      </c>
      <c r="X403" s="496" t="str">
        <f>IF(ISNUMBER('Model_ of_individuals'!X418), 'Model_ of_individuals'!X418*'Model_ of_individuals'!$K418,"")</f>
        <v/>
      </c>
      <c r="Y403" s="496" t="str">
        <f>IF(ISNUMBER('Model_ of_individuals'!Y418), 'Model_ of_individuals'!Y418*'Model_ of_individuals'!$K418,"")</f>
        <v/>
      </c>
      <c r="Z403" s="496" t="str">
        <f>IF(ISNUMBER('Model_ of_individuals'!Z418), 'Model_ of_individuals'!Z418*'Model_ of_individuals'!$K418,"")</f>
        <v/>
      </c>
      <c r="AA403" s="496" t="str">
        <f>IF(ISNUMBER('Model_ of_individuals'!AA418), 'Model_ of_individuals'!AA418*'Model_ of_individuals'!$K418,"")</f>
        <v/>
      </c>
      <c r="AB403" s="496" t="str">
        <f>IF(ISNUMBER('Model_ of_individuals'!AB418), 'Model_ of_individuals'!AB418*'Model_ of_individuals'!$K418,"")</f>
        <v/>
      </c>
      <c r="AC403" s="496" t="str">
        <f>IF(ISNUMBER('Model_ of_individuals'!AC418), 'Model_ of_individuals'!AC418*'Model_ of_individuals'!$K418,"")</f>
        <v/>
      </c>
      <c r="AD403" s="496" t="str">
        <f>IF(ISNUMBER('Model_ of_individuals'!AD418), 'Model_ of_individuals'!AD418*'Model_ of_individuals'!$K418,"")</f>
        <v/>
      </c>
      <c r="AE403" s="496" t="str">
        <f>IF(ISNUMBER('Model_ of_individuals'!AE418), 'Model_ of_individuals'!AE418*'Model_ of_individuals'!$K418,"")</f>
        <v/>
      </c>
      <c r="AF403" s="496" t="str">
        <f>IF(ISNUMBER('Model_ of_individuals'!AF418), 'Model_ of_individuals'!AF418*'Model_ of_individuals'!$K418,"")</f>
        <v/>
      </c>
      <c r="AG403" s="496" t="str">
        <f>IF(ISNUMBER('Model_ of_individuals'!AG418), 'Model_ of_individuals'!AG418*'Model_ of_individuals'!$K418,"")</f>
        <v/>
      </c>
      <c r="AH403" s="496" t="str">
        <f>IF(ISNUMBER('Model_ of_individuals'!AH418), 'Model_ of_individuals'!AH418*'Model_ of_individuals'!$K418,"")</f>
        <v/>
      </c>
      <c r="AI403" s="496" t="str">
        <f>IF(ISNUMBER('Model_ of_individuals'!AI418), 'Model_ of_individuals'!AI418*'Model_ of_individuals'!$K418,"")</f>
        <v/>
      </c>
      <c r="AJ403" s="496" t="str">
        <f>IF(ISNUMBER('Model_ of_individuals'!AJ418), 'Model_ of_individuals'!AJ418*'Model_ of_individuals'!$K418,"")</f>
        <v/>
      </c>
      <c r="AK403" s="496" t="str">
        <f>IF(ISNUMBER('Model_ of_individuals'!AK418), 'Model_ of_individuals'!AK418*'Model_ of_individuals'!$K418,"")</f>
        <v/>
      </c>
      <c r="AL403" s="496" t="str">
        <f>IF(ISNUMBER('Model_ of_individuals'!AL418), 'Model_ of_individuals'!AL418*'Model_ of_individuals'!$K418,"")</f>
        <v/>
      </c>
      <c r="AM403" s="496" t="str">
        <f>IF(ISNUMBER('Model_ of_individuals'!AM418), 'Model_ of_individuals'!AM418*'Model_ of_individuals'!$K418,"")</f>
        <v/>
      </c>
      <c r="AN403" s="496" t="str">
        <f>IF(ISNUMBER('Model_ of_individuals'!AN418), 'Model_ of_individuals'!AN418*'Model_ of_individuals'!$K418,"")</f>
        <v/>
      </c>
      <c r="AO403" s="496" t="str">
        <f>IF(ISNUMBER('Model_ of_individuals'!AO418), 'Model_ of_individuals'!AO418*'Model_ of_individuals'!$K418,"")</f>
        <v/>
      </c>
      <c r="AP403" s="496" t="str">
        <f>IF(ISNUMBER('Model_ of_individuals'!AP418), 'Model_ of_individuals'!AP418*'Model_ of_individuals'!$K418,"")</f>
        <v/>
      </c>
      <c r="AQ403" s="496" t="str">
        <f>IF(ISNUMBER('Model_ of_individuals'!AQ418), 'Model_ of_individuals'!AQ418*'Model_ of_individuals'!$K418,"")</f>
        <v/>
      </c>
      <c r="AR403" s="496" t="str">
        <f>IF(ISNUMBER('Model_ of_individuals'!AR418), 'Model_ of_individuals'!AR418*'Model_ of_individuals'!$K418,"")</f>
        <v/>
      </c>
      <c r="AS403" s="496" t="str">
        <f>IF(ISNUMBER('Model_ of_individuals'!AS418), 'Model_ of_individuals'!AS418*'Model_ of_individuals'!$K418,"")</f>
        <v/>
      </c>
      <c r="AT403" s="496" t="str">
        <f>IF(ISNUMBER('Model_ of_individuals'!AT418), 'Model_ of_individuals'!AT418*'Model_ of_individuals'!$K418,"")</f>
        <v/>
      </c>
      <c r="AU403" s="496" t="str">
        <f>IF(ISNUMBER('Model_ of_individuals'!AU418), 'Model_ of_individuals'!AU418*'Model_ of_individuals'!$K418,"")</f>
        <v/>
      </c>
    </row>
    <row r="404" spans="1:47" x14ac:dyDescent="0.25">
      <c r="A404" s="518"/>
      <c r="B404" s="504"/>
      <c r="C404" s="104" t="str">
        <f>IF(AND(ISNUMBER(B402), OR('Cost Inputs'!$H$107&lt;&gt;"", 'Cost Inputs'!$I$107&lt;&gt;"", 'Cost Inputs'!$J$107&lt;&gt;"")), _4_3_1, "")</f>
        <v/>
      </c>
      <c r="D404" s="17" t="str">
        <f>IF(AND(C404&lt;&gt;"", 'Cost Inputs'!$G$107&lt;&gt;""), 'Cost Inputs'!$G$107, "")</f>
        <v/>
      </c>
      <c r="E404" s="17" t="str">
        <f>IF(AND(C404&lt;&gt;"", 'Cost Inputs'!$H$107&lt;&gt;""), 'Cost Inputs'!$H$107, "")</f>
        <v/>
      </c>
      <c r="F404" s="17" t="str">
        <f>IF(AND(C404&lt;&gt;"", 'Cost Inputs'!$I$107&lt;&gt;""), 'Cost Inputs'!$I$107, "")</f>
        <v/>
      </c>
      <c r="G404" s="105" t="str">
        <f t="shared" si="32"/>
        <v/>
      </c>
      <c r="H404" s="17" t="str">
        <f>IF(AND(C404&lt;&gt;"", 'Cost Inputs'!$J$107&lt;&gt;""), 'Cost Inputs'!$J$107, "")</f>
        <v/>
      </c>
      <c r="I404" s="17" t="str">
        <f t="shared" ref="I404:I412" si="33">IF($C404&lt;&gt;"", IF(AND($E404&lt;&gt;"", H404&lt;&gt;""), H404/$E404, 0),"")</f>
        <v/>
      </c>
      <c r="J404" s="17" t="str">
        <f>IF(AND(C404&lt;&gt;"",('Cost Inputs'!$I$107+'Cost Inputs'!$J$107+'Cost Inputs'!$K$107)&gt;0), 'Cost Inputs'!$I$107+'Cost Inputs'!$J$107+'Cost Inputs'!$K$107, "")</f>
        <v/>
      </c>
      <c r="K404" s="17" t="str">
        <f t="shared" ref="K404:K412" si="34">IF($C404&lt;&gt;"", IF(AND($E404&lt;&gt;"", J404&lt;&gt;""), J404/$E404, 0),"")</f>
        <v/>
      </c>
      <c r="L404" s="525"/>
      <c r="M404" s="525"/>
      <c r="T404" s="17" t="str">
        <f>IF(ISNUMBER('Model_ of_individuals'!T419), 'Model_ of_individuals'!T419*'Model_ of_individuals'!$K419,"")</f>
        <v/>
      </c>
      <c r="U404" s="17" t="str">
        <f>IF(ISNUMBER('Model_ of_individuals'!U419), 'Model_ of_individuals'!U419*'Model_ of_individuals'!$K419,"")</f>
        <v/>
      </c>
      <c r="V404" s="17" t="str">
        <f>IF(ISNUMBER('Model_ of_individuals'!V419), 'Model_ of_individuals'!V419*'Model_ of_individuals'!$K419,"")</f>
        <v/>
      </c>
      <c r="W404" s="17" t="str">
        <f>IF(ISNUMBER('Model_ of_individuals'!W419), 'Model_ of_individuals'!W419*'Model_ of_individuals'!$K419,"")</f>
        <v/>
      </c>
      <c r="X404" s="17" t="str">
        <f>IF(ISNUMBER('Model_ of_individuals'!X419), 'Model_ of_individuals'!X419*'Model_ of_individuals'!$K419,"")</f>
        <v/>
      </c>
      <c r="Y404" s="17" t="str">
        <f>IF(ISNUMBER('Model_ of_individuals'!Y419), 'Model_ of_individuals'!Y419*'Model_ of_individuals'!$K419,"")</f>
        <v/>
      </c>
      <c r="Z404" s="17" t="str">
        <f>IF(ISNUMBER('Model_ of_individuals'!Z419), 'Model_ of_individuals'!Z419*'Model_ of_individuals'!$K419,"")</f>
        <v/>
      </c>
      <c r="AA404" s="17" t="str">
        <f>IF(ISNUMBER('Model_ of_individuals'!AA419), 'Model_ of_individuals'!AA419*'Model_ of_individuals'!$K419,"")</f>
        <v/>
      </c>
      <c r="AB404" s="17" t="str">
        <f>IF(ISNUMBER('Model_ of_individuals'!AB419), 'Model_ of_individuals'!AB419*'Model_ of_individuals'!$K419,"")</f>
        <v/>
      </c>
      <c r="AC404" s="17" t="str">
        <f>IF(ISNUMBER('Model_ of_individuals'!AC419), 'Model_ of_individuals'!AC419*'Model_ of_individuals'!$K419,"")</f>
        <v/>
      </c>
      <c r="AD404" s="17" t="str">
        <f>IF(ISNUMBER('Model_ of_individuals'!AD419), 'Model_ of_individuals'!AD419*'Model_ of_individuals'!$K419,"")</f>
        <v/>
      </c>
      <c r="AE404" s="17" t="str">
        <f>IF(ISNUMBER('Model_ of_individuals'!AE419), 'Model_ of_individuals'!AE419*'Model_ of_individuals'!$K419,"")</f>
        <v/>
      </c>
      <c r="AF404" s="17" t="str">
        <f>IF(ISNUMBER('Model_ of_individuals'!AF419), 'Model_ of_individuals'!AF419*'Model_ of_individuals'!$K419,"")</f>
        <v/>
      </c>
      <c r="AG404" s="17" t="str">
        <f>IF(ISNUMBER('Model_ of_individuals'!AG419), 'Model_ of_individuals'!AG419*'Model_ of_individuals'!$K419,"")</f>
        <v/>
      </c>
      <c r="AH404" s="17" t="str">
        <f>IF(ISNUMBER('Model_ of_individuals'!AH419), 'Model_ of_individuals'!AH419*'Model_ of_individuals'!$K419,"")</f>
        <v/>
      </c>
      <c r="AI404" s="17" t="str">
        <f>IF(ISNUMBER('Model_ of_individuals'!AI419), 'Model_ of_individuals'!AI419*'Model_ of_individuals'!$K419,"")</f>
        <v/>
      </c>
      <c r="AJ404" s="17" t="str">
        <f>IF(ISNUMBER('Model_ of_individuals'!AJ419), 'Model_ of_individuals'!AJ419*'Model_ of_individuals'!$K419,"")</f>
        <v/>
      </c>
      <c r="AK404" s="17" t="str">
        <f>IF(ISNUMBER('Model_ of_individuals'!AK419), 'Model_ of_individuals'!AK419*'Model_ of_individuals'!$K419,"")</f>
        <v/>
      </c>
      <c r="AL404" s="17" t="str">
        <f>IF(ISNUMBER('Model_ of_individuals'!AL419), 'Model_ of_individuals'!AL419*'Model_ of_individuals'!$K419,"")</f>
        <v/>
      </c>
      <c r="AM404" s="17" t="str">
        <f>IF(ISNUMBER('Model_ of_individuals'!AM419), 'Model_ of_individuals'!AM419*'Model_ of_individuals'!$K419,"")</f>
        <v/>
      </c>
      <c r="AN404" s="17" t="str">
        <f>IF(ISNUMBER('Model_ of_individuals'!AN419), 'Model_ of_individuals'!AN419*'Model_ of_individuals'!$K419,"")</f>
        <v/>
      </c>
      <c r="AO404" s="17" t="str">
        <f>IF(ISNUMBER('Model_ of_individuals'!AO419), 'Model_ of_individuals'!AO419*'Model_ of_individuals'!$K419,"")</f>
        <v/>
      </c>
      <c r="AP404" s="17" t="str">
        <f>IF(ISNUMBER('Model_ of_individuals'!AP419), 'Model_ of_individuals'!AP419*'Model_ of_individuals'!$K419,"")</f>
        <v/>
      </c>
      <c r="AQ404" s="17" t="str">
        <f>IF(ISNUMBER('Model_ of_individuals'!AQ419), 'Model_ of_individuals'!AQ419*'Model_ of_individuals'!$K419,"")</f>
        <v/>
      </c>
      <c r="AR404" s="17" t="str">
        <f>IF(ISNUMBER('Model_ of_individuals'!AR419), 'Model_ of_individuals'!AR419*'Model_ of_individuals'!$K419,"")</f>
        <v/>
      </c>
      <c r="AS404" s="17" t="str">
        <f>IF(ISNUMBER('Model_ of_individuals'!AS419), 'Model_ of_individuals'!AS419*'Model_ of_individuals'!$K419,"")</f>
        <v/>
      </c>
      <c r="AT404" s="17" t="str">
        <f>IF(ISNUMBER('Model_ of_individuals'!AT419), 'Model_ of_individuals'!AT419*'Model_ of_individuals'!$K419,"")</f>
        <v/>
      </c>
      <c r="AU404" s="17" t="str">
        <f>IF(ISNUMBER('Model_ of_individuals'!AU419), 'Model_ of_individuals'!AU419*'Model_ of_individuals'!$K419,"")</f>
        <v/>
      </c>
    </row>
    <row r="405" spans="1:47" x14ac:dyDescent="0.25">
      <c r="A405" s="518"/>
      <c r="B405" s="504"/>
      <c r="C405" s="107" t="str">
        <f>IF(AND(ISNUMBER(B402), OR('Cost Inputs'!$H$108&lt;&gt;"", 'Cost Inputs'!$I$108&lt;&gt;"", 'Cost Inputs'!$J$108&lt;&gt;"")), _4_3_2, "")</f>
        <v/>
      </c>
      <c r="D405" s="93" t="str">
        <f>IF(AND(C405&lt;&gt;"", 'Cost Inputs'!$G$108&lt;&gt;""), 'Cost Inputs'!$G$108, "")</f>
        <v/>
      </c>
      <c r="E405" s="93" t="str">
        <f>IF(AND(C405&lt;&gt;"", 'Cost Inputs'!$H$108&lt;&gt;""), 'Cost Inputs'!$H$108, "")</f>
        <v/>
      </c>
      <c r="F405" s="93" t="str">
        <f>IF(AND(C405&lt;&gt;"", 'Cost Inputs'!$I$108&lt;&gt;""), 'Cost Inputs'!$I$108, "")</f>
        <v/>
      </c>
      <c r="G405" s="108" t="str">
        <f t="shared" si="32"/>
        <v/>
      </c>
      <c r="H405" s="93" t="str">
        <f>IF(AND(C405&lt;&gt;"", 'Cost Inputs'!$J$108&lt;&gt;""), 'Cost Inputs'!$J$108, "")</f>
        <v/>
      </c>
      <c r="I405" s="93" t="str">
        <f t="shared" si="33"/>
        <v/>
      </c>
      <c r="J405" s="93" t="str">
        <f>IF(AND(C405&lt;&gt;"",('Cost Inputs'!$I$108+'Cost Inputs'!$J$108+'Cost Inputs'!$K$108)&gt;0), 'Cost Inputs'!$I$108+'Cost Inputs'!$J$108+'Cost Inputs'!$K$108, "")</f>
        <v/>
      </c>
      <c r="K405" s="93" t="str">
        <f t="shared" si="34"/>
        <v/>
      </c>
      <c r="L405" s="525"/>
      <c r="M405" s="525"/>
      <c r="T405" s="93" t="str">
        <f>IF(ISNUMBER('Model_ of_individuals'!T420), 'Model_ of_individuals'!T420*'Model_ of_individuals'!$K420,"")</f>
        <v/>
      </c>
      <c r="U405" s="93" t="str">
        <f>IF(ISNUMBER('Model_ of_individuals'!U420), 'Model_ of_individuals'!U420*'Model_ of_individuals'!$K420,"")</f>
        <v/>
      </c>
      <c r="V405" s="93" t="str">
        <f>IF(ISNUMBER('Model_ of_individuals'!V420), 'Model_ of_individuals'!V420*'Model_ of_individuals'!$K420,"")</f>
        <v/>
      </c>
      <c r="W405" s="93" t="str">
        <f>IF(ISNUMBER('Model_ of_individuals'!W420), 'Model_ of_individuals'!W420*'Model_ of_individuals'!$K420,"")</f>
        <v/>
      </c>
      <c r="X405" s="93" t="str">
        <f>IF(ISNUMBER('Model_ of_individuals'!X420), 'Model_ of_individuals'!X420*'Model_ of_individuals'!$K420,"")</f>
        <v/>
      </c>
      <c r="Y405" s="93" t="str">
        <f>IF(ISNUMBER('Model_ of_individuals'!Y420), 'Model_ of_individuals'!Y420*'Model_ of_individuals'!$K420,"")</f>
        <v/>
      </c>
      <c r="Z405" s="93" t="str">
        <f>IF(ISNUMBER('Model_ of_individuals'!Z420), 'Model_ of_individuals'!Z420*'Model_ of_individuals'!$K420,"")</f>
        <v/>
      </c>
      <c r="AA405" s="93" t="str">
        <f>IF(ISNUMBER('Model_ of_individuals'!AA420), 'Model_ of_individuals'!AA420*'Model_ of_individuals'!$K420,"")</f>
        <v/>
      </c>
      <c r="AB405" s="93" t="str">
        <f>IF(ISNUMBER('Model_ of_individuals'!AB420), 'Model_ of_individuals'!AB420*'Model_ of_individuals'!$K420,"")</f>
        <v/>
      </c>
      <c r="AC405" s="93" t="str">
        <f>IF(ISNUMBER('Model_ of_individuals'!AC420), 'Model_ of_individuals'!AC420*'Model_ of_individuals'!$K420,"")</f>
        <v/>
      </c>
      <c r="AD405" s="93" t="str">
        <f>IF(ISNUMBER('Model_ of_individuals'!AD420), 'Model_ of_individuals'!AD420*'Model_ of_individuals'!$K420,"")</f>
        <v/>
      </c>
      <c r="AE405" s="93" t="str">
        <f>IF(ISNUMBER('Model_ of_individuals'!AE420), 'Model_ of_individuals'!AE420*'Model_ of_individuals'!$K420,"")</f>
        <v/>
      </c>
      <c r="AF405" s="93" t="str">
        <f>IF(ISNUMBER('Model_ of_individuals'!AF420), 'Model_ of_individuals'!AF420*'Model_ of_individuals'!$K420,"")</f>
        <v/>
      </c>
      <c r="AG405" s="93" t="str">
        <f>IF(ISNUMBER('Model_ of_individuals'!AG420), 'Model_ of_individuals'!AG420*'Model_ of_individuals'!$K420,"")</f>
        <v/>
      </c>
      <c r="AH405" s="93" t="str">
        <f>IF(ISNUMBER('Model_ of_individuals'!AH420), 'Model_ of_individuals'!AH420*'Model_ of_individuals'!$K420,"")</f>
        <v/>
      </c>
      <c r="AI405" s="93" t="str">
        <f>IF(ISNUMBER('Model_ of_individuals'!AI420), 'Model_ of_individuals'!AI420*'Model_ of_individuals'!$K420,"")</f>
        <v/>
      </c>
      <c r="AJ405" s="93" t="str">
        <f>IF(ISNUMBER('Model_ of_individuals'!AJ420), 'Model_ of_individuals'!AJ420*'Model_ of_individuals'!$K420,"")</f>
        <v/>
      </c>
      <c r="AK405" s="93" t="str">
        <f>IF(ISNUMBER('Model_ of_individuals'!AK420), 'Model_ of_individuals'!AK420*'Model_ of_individuals'!$K420,"")</f>
        <v/>
      </c>
      <c r="AL405" s="93" t="str">
        <f>IF(ISNUMBER('Model_ of_individuals'!AL420), 'Model_ of_individuals'!AL420*'Model_ of_individuals'!$K420,"")</f>
        <v/>
      </c>
      <c r="AM405" s="93" t="str">
        <f>IF(ISNUMBER('Model_ of_individuals'!AM420), 'Model_ of_individuals'!AM420*'Model_ of_individuals'!$K420,"")</f>
        <v/>
      </c>
      <c r="AN405" s="93" t="str">
        <f>IF(ISNUMBER('Model_ of_individuals'!AN420), 'Model_ of_individuals'!AN420*'Model_ of_individuals'!$K420,"")</f>
        <v/>
      </c>
      <c r="AO405" s="93" t="str">
        <f>IF(ISNUMBER('Model_ of_individuals'!AO420), 'Model_ of_individuals'!AO420*'Model_ of_individuals'!$K420,"")</f>
        <v/>
      </c>
      <c r="AP405" s="93" t="str">
        <f>IF(ISNUMBER('Model_ of_individuals'!AP420), 'Model_ of_individuals'!AP420*'Model_ of_individuals'!$K420,"")</f>
        <v/>
      </c>
      <c r="AQ405" s="93" t="str">
        <f>IF(ISNUMBER('Model_ of_individuals'!AQ420), 'Model_ of_individuals'!AQ420*'Model_ of_individuals'!$K420,"")</f>
        <v/>
      </c>
      <c r="AR405" s="93" t="str">
        <f>IF(ISNUMBER('Model_ of_individuals'!AR420), 'Model_ of_individuals'!AR420*'Model_ of_individuals'!$K420,"")</f>
        <v/>
      </c>
      <c r="AS405" s="93" t="str">
        <f>IF(ISNUMBER('Model_ of_individuals'!AS420), 'Model_ of_individuals'!AS420*'Model_ of_individuals'!$K420,"")</f>
        <v/>
      </c>
      <c r="AT405" s="93" t="str">
        <f>IF(ISNUMBER('Model_ of_individuals'!AT420), 'Model_ of_individuals'!AT420*'Model_ of_individuals'!$K420,"")</f>
        <v/>
      </c>
      <c r="AU405" s="93" t="str">
        <f>IF(ISNUMBER('Model_ of_individuals'!AU420), 'Model_ of_individuals'!AU420*'Model_ of_individuals'!$K420,"")</f>
        <v/>
      </c>
    </row>
    <row r="406" spans="1:47" x14ac:dyDescent="0.25">
      <c r="A406" s="518"/>
      <c r="B406" s="504"/>
      <c r="C406" s="110" t="str">
        <f>IF(ISNUMBER(B402), _4_4_0, "")</f>
        <v/>
      </c>
      <c r="D406" s="94" t="str">
        <f>IF(AND(C406&lt;&gt;"", 'Cost Inputs'!$G$109&lt;&gt;""), 'Cost Inputs'!$G$109, "")</f>
        <v/>
      </c>
      <c r="E406" s="94" t="str">
        <f>IF(AND(C406&lt;&gt;"", 'Cost Inputs'!$H$109&lt;&gt;""), 'Cost Inputs'!$H$109, "")</f>
        <v/>
      </c>
      <c r="F406" s="94" t="str">
        <f>IF(AND(C406&lt;&gt;"", 'Cost Inputs'!$I$109&lt;&gt;""), 'Cost Inputs'!$I$109, "")</f>
        <v/>
      </c>
      <c r="G406" s="102" t="str">
        <f t="shared" si="32"/>
        <v/>
      </c>
      <c r="H406" s="102" t="str">
        <f>IF(AND(C406&lt;&gt;"", 'Cost Inputs'!$J$109&lt;&gt;""), 'Cost Inputs'!$J$109, "")</f>
        <v/>
      </c>
      <c r="I406" s="102" t="str">
        <f t="shared" si="33"/>
        <v/>
      </c>
      <c r="J406" s="102" t="str">
        <f>IF(AND(C406&lt;&gt;"",('Cost Inputs'!$I$109+'Cost Inputs'!$J$109+'Cost Inputs'!$K$109)&gt;0), 'Cost Inputs'!$I$109+'Cost Inputs'!$J$109+'Cost Inputs'!$K$109, "")</f>
        <v/>
      </c>
      <c r="K406" s="102" t="str">
        <f t="shared" si="34"/>
        <v/>
      </c>
      <c r="L406" s="525"/>
      <c r="M406" s="525"/>
      <c r="T406" s="102" t="str">
        <f>IF(ISNUMBER('Model_ of_individuals'!T421), 'Model_ of_individuals'!T421*'Model_ of_individuals'!$K421,"")</f>
        <v/>
      </c>
      <c r="U406" s="102" t="str">
        <f>IF(ISNUMBER('Model_ of_individuals'!U421), 'Model_ of_individuals'!U421*'Model_ of_individuals'!$K421,"")</f>
        <v/>
      </c>
      <c r="V406" s="102" t="str">
        <f>IF(ISNUMBER('Model_ of_individuals'!V421), 'Model_ of_individuals'!V421*'Model_ of_individuals'!$K421,"")</f>
        <v/>
      </c>
      <c r="W406" s="102" t="str">
        <f>IF(ISNUMBER('Model_ of_individuals'!W421), 'Model_ of_individuals'!W421*'Model_ of_individuals'!$K421,"")</f>
        <v/>
      </c>
      <c r="X406" s="102" t="str">
        <f>IF(ISNUMBER('Model_ of_individuals'!X421), 'Model_ of_individuals'!X421*'Model_ of_individuals'!$K421,"")</f>
        <v/>
      </c>
      <c r="Y406" s="102" t="str">
        <f>IF(ISNUMBER('Model_ of_individuals'!Y421), 'Model_ of_individuals'!Y421*'Model_ of_individuals'!$K421,"")</f>
        <v/>
      </c>
      <c r="Z406" s="102" t="str">
        <f>IF(ISNUMBER('Model_ of_individuals'!Z421), 'Model_ of_individuals'!Z421*'Model_ of_individuals'!$K421,"")</f>
        <v/>
      </c>
      <c r="AA406" s="102" t="str">
        <f>IF(ISNUMBER('Model_ of_individuals'!AA421), 'Model_ of_individuals'!AA421*'Model_ of_individuals'!$K421,"")</f>
        <v/>
      </c>
      <c r="AB406" s="102" t="str">
        <f>IF(ISNUMBER('Model_ of_individuals'!AB421), 'Model_ of_individuals'!AB421*'Model_ of_individuals'!$K421,"")</f>
        <v/>
      </c>
      <c r="AC406" s="102" t="str">
        <f>IF(ISNUMBER('Model_ of_individuals'!AC421), 'Model_ of_individuals'!AC421*'Model_ of_individuals'!$K421,"")</f>
        <v/>
      </c>
      <c r="AD406" s="102" t="str">
        <f>IF(ISNUMBER('Model_ of_individuals'!AD421), 'Model_ of_individuals'!AD421*'Model_ of_individuals'!$K421,"")</f>
        <v/>
      </c>
      <c r="AE406" s="102" t="str">
        <f>IF(ISNUMBER('Model_ of_individuals'!AE421), 'Model_ of_individuals'!AE421*'Model_ of_individuals'!$K421,"")</f>
        <v/>
      </c>
      <c r="AF406" s="102" t="str">
        <f>IF(ISNUMBER('Model_ of_individuals'!AF421), 'Model_ of_individuals'!AF421*'Model_ of_individuals'!$K421,"")</f>
        <v/>
      </c>
      <c r="AG406" s="102" t="str">
        <f>IF(ISNUMBER('Model_ of_individuals'!AG421), 'Model_ of_individuals'!AG421*'Model_ of_individuals'!$K421,"")</f>
        <v/>
      </c>
      <c r="AH406" s="102" t="str">
        <f>IF(ISNUMBER('Model_ of_individuals'!AH421), 'Model_ of_individuals'!AH421*'Model_ of_individuals'!$K421,"")</f>
        <v/>
      </c>
      <c r="AI406" s="102" t="str">
        <f>IF(ISNUMBER('Model_ of_individuals'!AI421), 'Model_ of_individuals'!AI421*'Model_ of_individuals'!$K421,"")</f>
        <v/>
      </c>
      <c r="AJ406" s="102" t="str">
        <f>IF(ISNUMBER('Model_ of_individuals'!AJ421), 'Model_ of_individuals'!AJ421*'Model_ of_individuals'!$K421,"")</f>
        <v/>
      </c>
      <c r="AK406" s="102" t="str">
        <f>IF(ISNUMBER('Model_ of_individuals'!AK421), 'Model_ of_individuals'!AK421*'Model_ of_individuals'!$K421,"")</f>
        <v/>
      </c>
      <c r="AL406" s="102" t="str">
        <f>IF(ISNUMBER('Model_ of_individuals'!AL421), 'Model_ of_individuals'!AL421*'Model_ of_individuals'!$K421,"")</f>
        <v/>
      </c>
      <c r="AM406" s="102" t="str">
        <f>IF(ISNUMBER('Model_ of_individuals'!AM421), 'Model_ of_individuals'!AM421*'Model_ of_individuals'!$K421,"")</f>
        <v/>
      </c>
      <c r="AN406" s="102" t="str">
        <f>IF(ISNUMBER('Model_ of_individuals'!AN421), 'Model_ of_individuals'!AN421*'Model_ of_individuals'!$K421,"")</f>
        <v/>
      </c>
      <c r="AO406" s="102" t="str">
        <f>IF(ISNUMBER('Model_ of_individuals'!AO421), 'Model_ of_individuals'!AO421*'Model_ of_individuals'!$K421,"")</f>
        <v/>
      </c>
      <c r="AP406" s="102" t="str">
        <f>IF(ISNUMBER('Model_ of_individuals'!AP421), 'Model_ of_individuals'!AP421*'Model_ of_individuals'!$K421,"")</f>
        <v/>
      </c>
      <c r="AQ406" s="102" t="str">
        <f>IF(ISNUMBER('Model_ of_individuals'!AQ421), 'Model_ of_individuals'!AQ421*'Model_ of_individuals'!$K421,"")</f>
        <v/>
      </c>
      <c r="AR406" s="102" t="str">
        <f>IF(ISNUMBER('Model_ of_individuals'!AR421), 'Model_ of_individuals'!AR421*'Model_ of_individuals'!$K421,"")</f>
        <v/>
      </c>
      <c r="AS406" s="102" t="str">
        <f>IF(ISNUMBER('Model_ of_individuals'!AS421), 'Model_ of_individuals'!AS421*'Model_ of_individuals'!$K421,"")</f>
        <v/>
      </c>
      <c r="AT406" s="102" t="str">
        <f>IF(ISNUMBER('Model_ of_individuals'!AT421), 'Model_ of_individuals'!AT421*'Model_ of_individuals'!$K421,"")</f>
        <v/>
      </c>
      <c r="AU406" s="102" t="str">
        <f>IF(ISNUMBER('Model_ of_individuals'!AU421), 'Model_ of_individuals'!AU421*'Model_ of_individuals'!$K421,"")</f>
        <v/>
      </c>
    </row>
    <row r="407" spans="1:47" x14ac:dyDescent="0.25">
      <c r="A407" s="518"/>
      <c r="B407" s="504"/>
      <c r="C407" s="104" t="str">
        <f>IF(AND(ISNUMBER(B402), OR('Cost Inputs'!$H$110&lt;&gt;"", 'Cost Inputs'!$I$110&lt;&gt;"", 'Cost Inputs'!$J$110&lt;&gt;"")), _4_4_1, "")</f>
        <v/>
      </c>
      <c r="D407" s="17" t="str">
        <f>IF(AND(C407&lt;&gt;"", 'Cost Inputs'!$G$110&lt;&gt;""), 'Cost Inputs'!$G$110, "")</f>
        <v/>
      </c>
      <c r="E407" s="17" t="str">
        <f>IF(AND(C407&lt;&gt;"", 'Cost Inputs'!$H$110&lt;&gt;""), 'Cost Inputs'!$H$110, "")</f>
        <v/>
      </c>
      <c r="F407" s="17" t="str">
        <f>IF(AND(C407&lt;&gt;"", 'Cost Inputs'!$I$110&lt;&gt;""), 'Cost Inputs'!$I$110, "")</f>
        <v/>
      </c>
      <c r="G407" s="105" t="str">
        <f t="shared" si="32"/>
        <v/>
      </c>
      <c r="H407" s="17" t="str">
        <f>IF(AND(C407&lt;&gt;"", 'Cost Inputs'!$J$110&lt;&gt;""), 'Cost Inputs'!$J$110, "")</f>
        <v/>
      </c>
      <c r="I407" s="17" t="str">
        <f t="shared" si="33"/>
        <v/>
      </c>
      <c r="J407" s="17" t="str">
        <f>IF(AND(C407&lt;&gt;"",('Cost Inputs'!$I$110+'Cost Inputs'!$J$110+'Cost Inputs'!$K$110)&gt;0), 'Cost Inputs'!$I$110+'Cost Inputs'!$J$110+'Cost Inputs'!$K$110, "")</f>
        <v/>
      </c>
      <c r="K407" s="17" t="str">
        <f t="shared" si="34"/>
        <v/>
      </c>
      <c r="L407" s="525"/>
      <c r="M407" s="525"/>
      <c r="T407" s="17" t="str">
        <f>IF(ISNUMBER('Model_ of_individuals'!T422), 'Model_ of_individuals'!T422*'Model_ of_individuals'!$K422,"")</f>
        <v/>
      </c>
      <c r="U407" s="17" t="str">
        <f>IF(ISNUMBER('Model_ of_individuals'!U422), 'Model_ of_individuals'!U422*'Model_ of_individuals'!$K422,"")</f>
        <v/>
      </c>
      <c r="V407" s="17" t="str">
        <f>IF(ISNUMBER('Model_ of_individuals'!V422), 'Model_ of_individuals'!V422*'Model_ of_individuals'!$K422,"")</f>
        <v/>
      </c>
      <c r="W407" s="17" t="str">
        <f>IF(ISNUMBER('Model_ of_individuals'!W422), 'Model_ of_individuals'!W422*'Model_ of_individuals'!$K422,"")</f>
        <v/>
      </c>
      <c r="X407" s="17" t="str">
        <f>IF(ISNUMBER('Model_ of_individuals'!X422), 'Model_ of_individuals'!X422*'Model_ of_individuals'!$K422,"")</f>
        <v/>
      </c>
      <c r="Y407" s="17" t="str">
        <f>IF(ISNUMBER('Model_ of_individuals'!Y422), 'Model_ of_individuals'!Y422*'Model_ of_individuals'!$K422,"")</f>
        <v/>
      </c>
      <c r="Z407" s="17" t="str">
        <f>IF(ISNUMBER('Model_ of_individuals'!Z422), 'Model_ of_individuals'!Z422*'Model_ of_individuals'!$K422,"")</f>
        <v/>
      </c>
      <c r="AA407" s="17" t="str">
        <f>IF(ISNUMBER('Model_ of_individuals'!AA422), 'Model_ of_individuals'!AA422*'Model_ of_individuals'!$K422,"")</f>
        <v/>
      </c>
      <c r="AB407" s="17" t="str">
        <f>IF(ISNUMBER('Model_ of_individuals'!AB422), 'Model_ of_individuals'!AB422*'Model_ of_individuals'!$K422,"")</f>
        <v/>
      </c>
      <c r="AC407" s="17" t="str">
        <f>IF(ISNUMBER('Model_ of_individuals'!AC422), 'Model_ of_individuals'!AC422*'Model_ of_individuals'!$K422,"")</f>
        <v/>
      </c>
      <c r="AD407" s="17" t="str">
        <f>IF(ISNUMBER('Model_ of_individuals'!AD422), 'Model_ of_individuals'!AD422*'Model_ of_individuals'!$K422,"")</f>
        <v/>
      </c>
      <c r="AE407" s="17" t="str">
        <f>IF(ISNUMBER('Model_ of_individuals'!AE422), 'Model_ of_individuals'!AE422*'Model_ of_individuals'!$K422,"")</f>
        <v/>
      </c>
      <c r="AF407" s="17" t="str">
        <f>IF(ISNUMBER('Model_ of_individuals'!AF422), 'Model_ of_individuals'!AF422*'Model_ of_individuals'!$K422,"")</f>
        <v/>
      </c>
      <c r="AG407" s="17" t="str">
        <f>IF(ISNUMBER('Model_ of_individuals'!AG422), 'Model_ of_individuals'!AG422*'Model_ of_individuals'!$K422,"")</f>
        <v/>
      </c>
      <c r="AH407" s="17" t="str">
        <f>IF(ISNUMBER('Model_ of_individuals'!AH422), 'Model_ of_individuals'!AH422*'Model_ of_individuals'!$K422,"")</f>
        <v/>
      </c>
      <c r="AI407" s="17" t="str">
        <f>IF(ISNUMBER('Model_ of_individuals'!AI422), 'Model_ of_individuals'!AI422*'Model_ of_individuals'!$K422,"")</f>
        <v/>
      </c>
      <c r="AJ407" s="17" t="str">
        <f>IF(ISNUMBER('Model_ of_individuals'!AJ422), 'Model_ of_individuals'!AJ422*'Model_ of_individuals'!$K422,"")</f>
        <v/>
      </c>
      <c r="AK407" s="17" t="str">
        <f>IF(ISNUMBER('Model_ of_individuals'!AK422), 'Model_ of_individuals'!AK422*'Model_ of_individuals'!$K422,"")</f>
        <v/>
      </c>
      <c r="AL407" s="17" t="str">
        <f>IF(ISNUMBER('Model_ of_individuals'!AL422), 'Model_ of_individuals'!AL422*'Model_ of_individuals'!$K422,"")</f>
        <v/>
      </c>
      <c r="AM407" s="17" t="str">
        <f>IF(ISNUMBER('Model_ of_individuals'!AM422), 'Model_ of_individuals'!AM422*'Model_ of_individuals'!$K422,"")</f>
        <v/>
      </c>
      <c r="AN407" s="17" t="str">
        <f>IF(ISNUMBER('Model_ of_individuals'!AN422), 'Model_ of_individuals'!AN422*'Model_ of_individuals'!$K422,"")</f>
        <v/>
      </c>
      <c r="AO407" s="17" t="str">
        <f>IF(ISNUMBER('Model_ of_individuals'!AO422), 'Model_ of_individuals'!AO422*'Model_ of_individuals'!$K422,"")</f>
        <v/>
      </c>
      <c r="AP407" s="17" t="str">
        <f>IF(ISNUMBER('Model_ of_individuals'!AP422), 'Model_ of_individuals'!AP422*'Model_ of_individuals'!$K422,"")</f>
        <v/>
      </c>
      <c r="AQ407" s="17" t="str">
        <f>IF(ISNUMBER('Model_ of_individuals'!AQ422), 'Model_ of_individuals'!AQ422*'Model_ of_individuals'!$K422,"")</f>
        <v/>
      </c>
      <c r="AR407" s="17" t="str">
        <f>IF(ISNUMBER('Model_ of_individuals'!AR422), 'Model_ of_individuals'!AR422*'Model_ of_individuals'!$K422,"")</f>
        <v/>
      </c>
      <c r="AS407" s="17" t="str">
        <f>IF(ISNUMBER('Model_ of_individuals'!AS422), 'Model_ of_individuals'!AS422*'Model_ of_individuals'!$K422,"")</f>
        <v/>
      </c>
      <c r="AT407" s="17" t="str">
        <f>IF(ISNUMBER('Model_ of_individuals'!AT422), 'Model_ of_individuals'!AT422*'Model_ of_individuals'!$K422,"")</f>
        <v/>
      </c>
      <c r="AU407" s="17" t="str">
        <f>IF(ISNUMBER('Model_ of_individuals'!AU422), 'Model_ of_individuals'!AU422*'Model_ of_individuals'!$K422,"")</f>
        <v/>
      </c>
    </row>
    <row r="408" spans="1:47" x14ac:dyDescent="0.25">
      <c r="A408" s="518"/>
      <c r="B408" s="504"/>
      <c r="C408" s="107" t="str">
        <f>IF(AND(ISNUMBER(B402), OR('Cost Inputs'!$H$111&lt;&gt;"", 'Cost Inputs'!$I$111&lt;&gt;"", 'Cost Inputs'!$J$111&lt;&gt;"")), _4_4_2, "")</f>
        <v/>
      </c>
      <c r="D408" s="93" t="str">
        <f>IF(AND(C408&lt;&gt;"", 'Cost Inputs'!$G$111&lt;&gt;""), 'Cost Inputs'!$G$111, "")</f>
        <v/>
      </c>
      <c r="E408" s="93" t="str">
        <f>IF(AND(C408&lt;&gt;"", 'Cost Inputs'!$H$111&lt;&gt;""), 'Cost Inputs'!$H$111, "")</f>
        <v/>
      </c>
      <c r="F408" s="93" t="str">
        <f>IF(AND(C408&lt;&gt;"", 'Cost Inputs'!$I$111&lt;&gt;""), 'Cost Inputs'!$I$111, "")</f>
        <v/>
      </c>
      <c r="G408" s="108" t="str">
        <f t="shared" si="32"/>
        <v/>
      </c>
      <c r="H408" s="93" t="str">
        <f>IF(AND(C408&lt;&gt;"", 'Cost Inputs'!$J$111&lt;&gt;""), 'Cost Inputs'!$J$111, "")</f>
        <v/>
      </c>
      <c r="I408" s="93" t="str">
        <f t="shared" si="33"/>
        <v/>
      </c>
      <c r="J408" s="93" t="str">
        <f>IF(AND(C408&lt;&gt;"",('Cost Inputs'!$I$111+'Cost Inputs'!$J$111+'Cost Inputs'!$K$111)&gt;0), 'Cost Inputs'!$I$111+'Cost Inputs'!$J$111+'Cost Inputs'!$K$111, "")</f>
        <v/>
      </c>
      <c r="K408" s="93" t="str">
        <f t="shared" si="34"/>
        <v/>
      </c>
      <c r="L408" s="525"/>
      <c r="M408" s="525"/>
      <c r="T408" s="93" t="str">
        <f>IF(ISNUMBER('Model_ of_individuals'!T423), 'Model_ of_individuals'!T423*'Model_ of_individuals'!$K423,"")</f>
        <v/>
      </c>
      <c r="U408" s="93" t="str">
        <f>IF(ISNUMBER('Model_ of_individuals'!U423), 'Model_ of_individuals'!U423*'Model_ of_individuals'!$K423,"")</f>
        <v/>
      </c>
      <c r="V408" s="93" t="str">
        <f>IF(ISNUMBER('Model_ of_individuals'!V423), 'Model_ of_individuals'!V423*'Model_ of_individuals'!$K423,"")</f>
        <v/>
      </c>
      <c r="W408" s="93" t="str">
        <f>IF(ISNUMBER('Model_ of_individuals'!W423), 'Model_ of_individuals'!W423*'Model_ of_individuals'!$K423,"")</f>
        <v/>
      </c>
      <c r="X408" s="93" t="str">
        <f>IF(ISNUMBER('Model_ of_individuals'!X423), 'Model_ of_individuals'!X423*'Model_ of_individuals'!$K423,"")</f>
        <v/>
      </c>
      <c r="Y408" s="93" t="str">
        <f>IF(ISNUMBER('Model_ of_individuals'!Y423), 'Model_ of_individuals'!Y423*'Model_ of_individuals'!$K423,"")</f>
        <v/>
      </c>
      <c r="Z408" s="93" t="str">
        <f>IF(ISNUMBER('Model_ of_individuals'!Z423), 'Model_ of_individuals'!Z423*'Model_ of_individuals'!$K423,"")</f>
        <v/>
      </c>
      <c r="AA408" s="93" t="str">
        <f>IF(ISNUMBER('Model_ of_individuals'!AA423), 'Model_ of_individuals'!AA423*'Model_ of_individuals'!$K423,"")</f>
        <v/>
      </c>
      <c r="AB408" s="93" t="str">
        <f>IF(ISNUMBER('Model_ of_individuals'!AB423), 'Model_ of_individuals'!AB423*'Model_ of_individuals'!$K423,"")</f>
        <v/>
      </c>
      <c r="AC408" s="93" t="str">
        <f>IF(ISNUMBER('Model_ of_individuals'!AC423), 'Model_ of_individuals'!AC423*'Model_ of_individuals'!$K423,"")</f>
        <v/>
      </c>
      <c r="AD408" s="93" t="str">
        <f>IF(ISNUMBER('Model_ of_individuals'!AD423), 'Model_ of_individuals'!AD423*'Model_ of_individuals'!$K423,"")</f>
        <v/>
      </c>
      <c r="AE408" s="93" t="str">
        <f>IF(ISNUMBER('Model_ of_individuals'!AE423), 'Model_ of_individuals'!AE423*'Model_ of_individuals'!$K423,"")</f>
        <v/>
      </c>
      <c r="AF408" s="93" t="str">
        <f>IF(ISNUMBER('Model_ of_individuals'!AF423), 'Model_ of_individuals'!AF423*'Model_ of_individuals'!$K423,"")</f>
        <v/>
      </c>
      <c r="AG408" s="93" t="str">
        <f>IF(ISNUMBER('Model_ of_individuals'!AG423), 'Model_ of_individuals'!AG423*'Model_ of_individuals'!$K423,"")</f>
        <v/>
      </c>
      <c r="AH408" s="93" t="str">
        <f>IF(ISNUMBER('Model_ of_individuals'!AH423), 'Model_ of_individuals'!AH423*'Model_ of_individuals'!$K423,"")</f>
        <v/>
      </c>
      <c r="AI408" s="93" t="str">
        <f>IF(ISNUMBER('Model_ of_individuals'!AI423), 'Model_ of_individuals'!AI423*'Model_ of_individuals'!$K423,"")</f>
        <v/>
      </c>
      <c r="AJ408" s="93" t="str">
        <f>IF(ISNUMBER('Model_ of_individuals'!AJ423), 'Model_ of_individuals'!AJ423*'Model_ of_individuals'!$K423,"")</f>
        <v/>
      </c>
      <c r="AK408" s="93" t="str">
        <f>IF(ISNUMBER('Model_ of_individuals'!AK423), 'Model_ of_individuals'!AK423*'Model_ of_individuals'!$K423,"")</f>
        <v/>
      </c>
      <c r="AL408" s="93" t="str">
        <f>IF(ISNUMBER('Model_ of_individuals'!AL423), 'Model_ of_individuals'!AL423*'Model_ of_individuals'!$K423,"")</f>
        <v/>
      </c>
      <c r="AM408" s="93" t="str">
        <f>IF(ISNUMBER('Model_ of_individuals'!AM423), 'Model_ of_individuals'!AM423*'Model_ of_individuals'!$K423,"")</f>
        <v/>
      </c>
      <c r="AN408" s="93" t="str">
        <f>IF(ISNUMBER('Model_ of_individuals'!AN423), 'Model_ of_individuals'!AN423*'Model_ of_individuals'!$K423,"")</f>
        <v/>
      </c>
      <c r="AO408" s="93" t="str">
        <f>IF(ISNUMBER('Model_ of_individuals'!AO423), 'Model_ of_individuals'!AO423*'Model_ of_individuals'!$K423,"")</f>
        <v/>
      </c>
      <c r="AP408" s="93" t="str">
        <f>IF(ISNUMBER('Model_ of_individuals'!AP423), 'Model_ of_individuals'!AP423*'Model_ of_individuals'!$K423,"")</f>
        <v/>
      </c>
      <c r="AQ408" s="93" t="str">
        <f>IF(ISNUMBER('Model_ of_individuals'!AQ423), 'Model_ of_individuals'!AQ423*'Model_ of_individuals'!$K423,"")</f>
        <v/>
      </c>
      <c r="AR408" s="93" t="str">
        <f>IF(ISNUMBER('Model_ of_individuals'!AR423), 'Model_ of_individuals'!AR423*'Model_ of_individuals'!$K423,"")</f>
        <v/>
      </c>
      <c r="AS408" s="93" t="str">
        <f>IF(ISNUMBER('Model_ of_individuals'!AS423), 'Model_ of_individuals'!AS423*'Model_ of_individuals'!$K423,"")</f>
        <v/>
      </c>
      <c r="AT408" s="93" t="str">
        <f>IF(ISNUMBER('Model_ of_individuals'!AT423), 'Model_ of_individuals'!AT423*'Model_ of_individuals'!$K423,"")</f>
        <v/>
      </c>
      <c r="AU408" s="93" t="str">
        <f>IF(ISNUMBER('Model_ of_individuals'!AU423), 'Model_ of_individuals'!AU423*'Model_ of_individuals'!$K423,"")</f>
        <v/>
      </c>
    </row>
    <row r="409" spans="1:47" x14ac:dyDescent="0.25">
      <c r="A409" s="518"/>
      <c r="B409" s="504"/>
      <c r="C409" s="104" t="str">
        <f>IF(AND(ISNUMBER(B402), OR('Cost Inputs'!$H$112&lt;&gt;"", 'Cost Inputs'!$I$112&lt;&gt;"", 'Cost Inputs'!$J$112&lt;&gt;"")), _4_4_3, "")</f>
        <v/>
      </c>
      <c r="D409" s="17" t="str">
        <f>IF(AND(C409&lt;&gt;"", 'Cost Inputs'!$G$112&lt;&gt;""), 'Cost Inputs'!$G$112, "")</f>
        <v/>
      </c>
      <c r="E409" s="17" t="str">
        <f>IF(AND(C409&lt;&gt;"", 'Cost Inputs'!$H$112&lt;&gt;""), 'Cost Inputs'!$H$112, "")</f>
        <v/>
      </c>
      <c r="F409" s="17" t="str">
        <f>IF(AND(C409&lt;&gt;"", 'Cost Inputs'!$I$112&lt;&gt;""), 'Cost Inputs'!$I$112, "")</f>
        <v/>
      </c>
      <c r="G409" s="105" t="str">
        <f t="shared" si="32"/>
        <v/>
      </c>
      <c r="H409" s="17" t="str">
        <f>IF(AND(C409&lt;&gt;"", 'Cost Inputs'!$J$112&lt;&gt;""), 'Cost Inputs'!$J$112, "")</f>
        <v/>
      </c>
      <c r="I409" s="17" t="str">
        <f t="shared" si="33"/>
        <v/>
      </c>
      <c r="J409" s="17" t="str">
        <f>IF(AND(C409&lt;&gt;"",('Cost Inputs'!$I$112+'Cost Inputs'!$J$112+'Cost Inputs'!$K$112)&gt;0), 'Cost Inputs'!$I$112+'Cost Inputs'!$J$112+'Cost Inputs'!$K$112, "")</f>
        <v/>
      </c>
      <c r="K409" s="17" t="str">
        <f t="shared" si="34"/>
        <v/>
      </c>
      <c r="L409" s="525"/>
      <c r="M409" s="525"/>
      <c r="T409" s="17" t="str">
        <f>IF(ISNUMBER('Model_ of_individuals'!T424), 'Model_ of_individuals'!T424*'Model_ of_individuals'!$K424,"")</f>
        <v/>
      </c>
      <c r="U409" s="17" t="str">
        <f>IF(ISNUMBER('Model_ of_individuals'!U424), 'Model_ of_individuals'!U424*'Model_ of_individuals'!$K424,"")</f>
        <v/>
      </c>
      <c r="V409" s="17" t="str">
        <f>IF(ISNUMBER('Model_ of_individuals'!V424), 'Model_ of_individuals'!V424*'Model_ of_individuals'!$K424,"")</f>
        <v/>
      </c>
      <c r="W409" s="17" t="str">
        <f>IF(ISNUMBER('Model_ of_individuals'!W424), 'Model_ of_individuals'!W424*'Model_ of_individuals'!$K424,"")</f>
        <v/>
      </c>
      <c r="X409" s="17" t="str">
        <f>IF(ISNUMBER('Model_ of_individuals'!X424), 'Model_ of_individuals'!X424*'Model_ of_individuals'!$K424,"")</f>
        <v/>
      </c>
      <c r="Y409" s="17" t="str">
        <f>IF(ISNUMBER('Model_ of_individuals'!Y424), 'Model_ of_individuals'!Y424*'Model_ of_individuals'!$K424,"")</f>
        <v/>
      </c>
      <c r="Z409" s="17" t="str">
        <f>IF(ISNUMBER('Model_ of_individuals'!Z424), 'Model_ of_individuals'!Z424*'Model_ of_individuals'!$K424,"")</f>
        <v/>
      </c>
      <c r="AA409" s="17" t="str">
        <f>IF(ISNUMBER('Model_ of_individuals'!AA424), 'Model_ of_individuals'!AA424*'Model_ of_individuals'!$K424,"")</f>
        <v/>
      </c>
      <c r="AB409" s="17" t="str">
        <f>IF(ISNUMBER('Model_ of_individuals'!AB424), 'Model_ of_individuals'!AB424*'Model_ of_individuals'!$K424,"")</f>
        <v/>
      </c>
      <c r="AC409" s="17" t="str">
        <f>IF(ISNUMBER('Model_ of_individuals'!AC424), 'Model_ of_individuals'!AC424*'Model_ of_individuals'!$K424,"")</f>
        <v/>
      </c>
      <c r="AD409" s="17" t="str">
        <f>IF(ISNUMBER('Model_ of_individuals'!AD424), 'Model_ of_individuals'!AD424*'Model_ of_individuals'!$K424,"")</f>
        <v/>
      </c>
      <c r="AE409" s="17" t="str">
        <f>IF(ISNUMBER('Model_ of_individuals'!AE424), 'Model_ of_individuals'!AE424*'Model_ of_individuals'!$K424,"")</f>
        <v/>
      </c>
      <c r="AF409" s="17" t="str">
        <f>IF(ISNUMBER('Model_ of_individuals'!AF424), 'Model_ of_individuals'!AF424*'Model_ of_individuals'!$K424,"")</f>
        <v/>
      </c>
      <c r="AG409" s="17" t="str">
        <f>IF(ISNUMBER('Model_ of_individuals'!AG424), 'Model_ of_individuals'!AG424*'Model_ of_individuals'!$K424,"")</f>
        <v/>
      </c>
      <c r="AH409" s="17" t="str">
        <f>IF(ISNUMBER('Model_ of_individuals'!AH424), 'Model_ of_individuals'!AH424*'Model_ of_individuals'!$K424,"")</f>
        <v/>
      </c>
      <c r="AI409" s="17" t="str">
        <f>IF(ISNUMBER('Model_ of_individuals'!AI424), 'Model_ of_individuals'!AI424*'Model_ of_individuals'!$K424,"")</f>
        <v/>
      </c>
      <c r="AJ409" s="17" t="str">
        <f>IF(ISNUMBER('Model_ of_individuals'!AJ424), 'Model_ of_individuals'!AJ424*'Model_ of_individuals'!$K424,"")</f>
        <v/>
      </c>
      <c r="AK409" s="17" t="str">
        <f>IF(ISNUMBER('Model_ of_individuals'!AK424), 'Model_ of_individuals'!AK424*'Model_ of_individuals'!$K424,"")</f>
        <v/>
      </c>
      <c r="AL409" s="17" t="str">
        <f>IF(ISNUMBER('Model_ of_individuals'!AL424), 'Model_ of_individuals'!AL424*'Model_ of_individuals'!$K424,"")</f>
        <v/>
      </c>
      <c r="AM409" s="17" t="str">
        <f>IF(ISNUMBER('Model_ of_individuals'!AM424), 'Model_ of_individuals'!AM424*'Model_ of_individuals'!$K424,"")</f>
        <v/>
      </c>
      <c r="AN409" s="17" t="str">
        <f>IF(ISNUMBER('Model_ of_individuals'!AN424), 'Model_ of_individuals'!AN424*'Model_ of_individuals'!$K424,"")</f>
        <v/>
      </c>
      <c r="AO409" s="17" t="str">
        <f>IF(ISNUMBER('Model_ of_individuals'!AO424), 'Model_ of_individuals'!AO424*'Model_ of_individuals'!$K424,"")</f>
        <v/>
      </c>
      <c r="AP409" s="17" t="str">
        <f>IF(ISNUMBER('Model_ of_individuals'!AP424), 'Model_ of_individuals'!AP424*'Model_ of_individuals'!$K424,"")</f>
        <v/>
      </c>
      <c r="AQ409" s="17" t="str">
        <f>IF(ISNUMBER('Model_ of_individuals'!AQ424), 'Model_ of_individuals'!AQ424*'Model_ of_individuals'!$K424,"")</f>
        <v/>
      </c>
      <c r="AR409" s="17" t="str">
        <f>IF(ISNUMBER('Model_ of_individuals'!AR424), 'Model_ of_individuals'!AR424*'Model_ of_individuals'!$K424,"")</f>
        <v/>
      </c>
      <c r="AS409" s="17" t="str">
        <f>IF(ISNUMBER('Model_ of_individuals'!AS424), 'Model_ of_individuals'!AS424*'Model_ of_individuals'!$K424,"")</f>
        <v/>
      </c>
      <c r="AT409" s="17" t="str">
        <f>IF(ISNUMBER('Model_ of_individuals'!AT424), 'Model_ of_individuals'!AT424*'Model_ of_individuals'!$K424,"")</f>
        <v/>
      </c>
      <c r="AU409" s="17" t="str">
        <f>IF(ISNUMBER('Model_ of_individuals'!AU424), 'Model_ of_individuals'!AU424*'Model_ of_individuals'!$K424,"")</f>
        <v/>
      </c>
    </row>
    <row r="410" spans="1:47" x14ac:dyDescent="0.25">
      <c r="A410" s="518"/>
      <c r="B410" s="504"/>
      <c r="C410" s="107" t="str">
        <f>IF(AND(ISNUMBER(B402), OR('Cost Inputs'!$H$113&lt;&gt;"", 'Cost Inputs'!$I$113&lt;&gt;"", 'Cost Inputs'!$J$113&lt;&gt;"")), _4_4_4, "")</f>
        <v/>
      </c>
      <c r="D410" s="93" t="str">
        <f>IF(AND(C410&lt;&gt;"", 'Cost Inputs'!$G$113&lt;&gt;""), 'Cost Inputs'!$G$113, "")</f>
        <v/>
      </c>
      <c r="E410" s="93" t="str">
        <f>IF(AND(C410&lt;&gt;"", 'Cost Inputs'!$H$113&lt;&gt;""), 'Cost Inputs'!$H$113, "")</f>
        <v/>
      </c>
      <c r="F410" s="93" t="str">
        <f>IF(AND(C410&lt;&gt;"", 'Cost Inputs'!$I$113&lt;&gt;""), 'Cost Inputs'!$I$113, "")</f>
        <v/>
      </c>
      <c r="G410" s="108" t="str">
        <f t="shared" si="32"/>
        <v/>
      </c>
      <c r="H410" s="93" t="str">
        <f>IF(AND(C410&lt;&gt;"", 'Cost Inputs'!$J$113&lt;&gt;""), 'Cost Inputs'!$J$113, "")</f>
        <v/>
      </c>
      <c r="I410" s="93" t="str">
        <f t="shared" si="33"/>
        <v/>
      </c>
      <c r="J410" s="93" t="str">
        <f>IF(AND(C410&lt;&gt;"",('Cost Inputs'!$I$113+'Cost Inputs'!$J$113+'Cost Inputs'!$K$113)&gt;0), 'Cost Inputs'!$I$113+'Cost Inputs'!$J$113+'Cost Inputs'!$K$113, "")</f>
        <v/>
      </c>
      <c r="K410" s="93" t="str">
        <f t="shared" si="34"/>
        <v/>
      </c>
      <c r="L410" s="525"/>
      <c r="M410" s="525"/>
      <c r="T410" s="93" t="str">
        <f>IF(ISNUMBER('Model_ of_individuals'!T425), 'Model_ of_individuals'!T425*'Model_ of_individuals'!$K425,"")</f>
        <v/>
      </c>
      <c r="U410" s="93" t="str">
        <f>IF(ISNUMBER('Model_ of_individuals'!U425), 'Model_ of_individuals'!U425*'Model_ of_individuals'!$K425,"")</f>
        <v/>
      </c>
      <c r="V410" s="93" t="str">
        <f>IF(ISNUMBER('Model_ of_individuals'!V425), 'Model_ of_individuals'!V425*'Model_ of_individuals'!$K425,"")</f>
        <v/>
      </c>
      <c r="W410" s="93" t="str">
        <f>IF(ISNUMBER('Model_ of_individuals'!W425), 'Model_ of_individuals'!W425*'Model_ of_individuals'!$K425,"")</f>
        <v/>
      </c>
      <c r="X410" s="93" t="str">
        <f>IF(ISNUMBER('Model_ of_individuals'!X425), 'Model_ of_individuals'!X425*'Model_ of_individuals'!$K425,"")</f>
        <v/>
      </c>
      <c r="Y410" s="93" t="str">
        <f>IF(ISNUMBER('Model_ of_individuals'!Y425), 'Model_ of_individuals'!Y425*'Model_ of_individuals'!$K425,"")</f>
        <v/>
      </c>
      <c r="Z410" s="93" t="str">
        <f>IF(ISNUMBER('Model_ of_individuals'!Z425), 'Model_ of_individuals'!Z425*'Model_ of_individuals'!$K425,"")</f>
        <v/>
      </c>
      <c r="AA410" s="93" t="str">
        <f>IF(ISNUMBER('Model_ of_individuals'!AA425), 'Model_ of_individuals'!AA425*'Model_ of_individuals'!$K425,"")</f>
        <v/>
      </c>
      <c r="AB410" s="93" t="str">
        <f>IF(ISNUMBER('Model_ of_individuals'!AB425), 'Model_ of_individuals'!AB425*'Model_ of_individuals'!$K425,"")</f>
        <v/>
      </c>
      <c r="AC410" s="93" t="str">
        <f>IF(ISNUMBER('Model_ of_individuals'!AC425), 'Model_ of_individuals'!AC425*'Model_ of_individuals'!$K425,"")</f>
        <v/>
      </c>
      <c r="AD410" s="93" t="str">
        <f>IF(ISNUMBER('Model_ of_individuals'!AD425), 'Model_ of_individuals'!AD425*'Model_ of_individuals'!$K425,"")</f>
        <v/>
      </c>
      <c r="AE410" s="93" t="str">
        <f>IF(ISNUMBER('Model_ of_individuals'!AE425), 'Model_ of_individuals'!AE425*'Model_ of_individuals'!$K425,"")</f>
        <v/>
      </c>
      <c r="AF410" s="93" t="str">
        <f>IF(ISNUMBER('Model_ of_individuals'!AF425), 'Model_ of_individuals'!AF425*'Model_ of_individuals'!$K425,"")</f>
        <v/>
      </c>
      <c r="AG410" s="93" t="str">
        <f>IF(ISNUMBER('Model_ of_individuals'!AG425), 'Model_ of_individuals'!AG425*'Model_ of_individuals'!$K425,"")</f>
        <v/>
      </c>
      <c r="AH410" s="93" t="str">
        <f>IF(ISNUMBER('Model_ of_individuals'!AH425), 'Model_ of_individuals'!AH425*'Model_ of_individuals'!$K425,"")</f>
        <v/>
      </c>
      <c r="AI410" s="93" t="str">
        <f>IF(ISNUMBER('Model_ of_individuals'!AI425), 'Model_ of_individuals'!AI425*'Model_ of_individuals'!$K425,"")</f>
        <v/>
      </c>
      <c r="AJ410" s="93" t="str">
        <f>IF(ISNUMBER('Model_ of_individuals'!AJ425), 'Model_ of_individuals'!AJ425*'Model_ of_individuals'!$K425,"")</f>
        <v/>
      </c>
      <c r="AK410" s="93" t="str">
        <f>IF(ISNUMBER('Model_ of_individuals'!AK425), 'Model_ of_individuals'!AK425*'Model_ of_individuals'!$K425,"")</f>
        <v/>
      </c>
      <c r="AL410" s="93" t="str">
        <f>IF(ISNUMBER('Model_ of_individuals'!AL425), 'Model_ of_individuals'!AL425*'Model_ of_individuals'!$K425,"")</f>
        <v/>
      </c>
      <c r="AM410" s="93" t="str">
        <f>IF(ISNUMBER('Model_ of_individuals'!AM425), 'Model_ of_individuals'!AM425*'Model_ of_individuals'!$K425,"")</f>
        <v/>
      </c>
      <c r="AN410" s="93" t="str">
        <f>IF(ISNUMBER('Model_ of_individuals'!AN425), 'Model_ of_individuals'!AN425*'Model_ of_individuals'!$K425,"")</f>
        <v/>
      </c>
      <c r="AO410" s="93" t="str">
        <f>IF(ISNUMBER('Model_ of_individuals'!AO425), 'Model_ of_individuals'!AO425*'Model_ of_individuals'!$K425,"")</f>
        <v/>
      </c>
      <c r="AP410" s="93" t="str">
        <f>IF(ISNUMBER('Model_ of_individuals'!AP425), 'Model_ of_individuals'!AP425*'Model_ of_individuals'!$K425,"")</f>
        <v/>
      </c>
      <c r="AQ410" s="93" t="str">
        <f>IF(ISNUMBER('Model_ of_individuals'!AQ425), 'Model_ of_individuals'!AQ425*'Model_ of_individuals'!$K425,"")</f>
        <v/>
      </c>
      <c r="AR410" s="93" t="str">
        <f>IF(ISNUMBER('Model_ of_individuals'!AR425), 'Model_ of_individuals'!AR425*'Model_ of_individuals'!$K425,"")</f>
        <v/>
      </c>
      <c r="AS410" s="93" t="str">
        <f>IF(ISNUMBER('Model_ of_individuals'!AS425), 'Model_ of_individuals'!AS425*'Model_ of_individuals'!$K425,"")</f>
        <v/>
      </c>
      <c r="AT410" s="93" t="str">
        <f>IF(ISNUMBER('Model_ of_individuals'!AT425), 'Model_ of_individuals'!AT425*'Model_ of_individuals'!$K425,"")</f>
        <v/>
      </c>
      <c r="AU410" s="93" t="str">
        <f>IF(ISNUMBER('Model_ of_individuals'!AU425), 'Model_ of_individuals'!AU425*'Model_ of_individuals'!$K425,"")</f>
        <v/>
      </c>
    </row>
    <row r="411" spans="1:47" x14ac:dyDescent="0.25">
      <c r="A411" s="518"/>
      <c r="B411" s="504"/>
      <c r="C411" s="104" t="str">
        <f>IF(AND(ISNUMBER(B402), OR('Cost Inputs'!$H$114&lt;&gt;"", 'Cost Inputs'!$I$114&lt;&gt;"", 'Cost Inputs'!$J$114&lt;&gt;"")), _4_4_5, "")</f>
        <v/>
      </c>
      <c r="D411" s="17" t="str">
        <f>IF(AND(C411&lt;&gt;"", 'Cost Inputs'!$G$114&lt;&gt;""), 'Cost Inputs'!$G$114, "")</f>
        <v/>
      </c>
      <c r="E411" s="17" t="str">
        <f>IF(AND(C411&lt;&gt;"", 'Cost Inputs'!$H$114&lt;&gt;""), 'Cost Inputs'!$H$114, "")</f>
        <v/>
      </c>
      <c r="F411" s="17" t="str">
        <f>IF(AND(C411&lt;&gt;"", 'Cost Inputs'!$I$114&lt;&gt;""), 'Cost Inputs'!$I$114, "")</f>
        <v/>
      </c>
      <c r="G411" s="105" t="str">
        <f t="shared" si="32"/>
        <v/>
      </c>
      <c r="H411" s="17" t="str">
        <f>IF(AND(C411&lt;&gt;"", 'Cost Inputs'!$J$114&lt;&gt;""), 'Cost Inputs'!$J$114, "")</f>
        <v/>
      </c>
      <c r="I411" s="17" t="str">
        <f t="shared" si="33"/>
        <v/>
      </c>
      <c r="J411" s="17" t="str">
        <f>IF(AND(C411&lt;&gt;"",('Cost Inputs'!$I$114+'Cost Inputs'!$J$114+'Cost Inputs'!$K$114)&gt;0), 'Cost Inputs'!$I$114+'Cost Inputs'!$J$114+'Cost Inputs'!$K$114, "")</f>
        <v/>
      </c>
      <c r="K411" s="17" t="str">
        <f t="shared" si="34"/>
        <v/>
      </c>
      <c r="L411" s="525"/>
      <c r="M411" s="525"/>
      <c r="T411" s="17" t="str">
        <f>IF(ISNUMBER('Model_ of_individuals'!T426), 'Model_ of_individuals'!T426*'Model_ of_individuals'!$K426,"")</f>
        <v/>
      </c>
      <c r="U411" s="17" t="str">
        <f>IF(ISNUMBER('Model_ of_individuals'!U426), 'Model_ of_individuals'!U426*'Model_ of_individuals'!$K426,"")</f>
        <v/>
      </c>
      <c r="V411" s="17" t="str">
        <f>IF(ISNUMBER('Model_ of_individuals'!V426), 'Model_ of_individuals'!V426*'Model_ of_individuals'!$K426,"")</f>
        <v/>
      </c>
      <c r="W411" s="17" t="str">
        <f>IF(ISNUMBER('Model_ of_individuals'!W426), 'Model_ of_individuals'!W426*'Model_ of_individuals'!$K426,"")</f>
        <v/>
      </c>
      <c r="X411" s="17" t="str">
        <f>IF(ISNUMBER('Model_ of_individuals'!X426), 'Model_ of_individuals'!X426*'Model_ of_individuals'!$K426,"")</f>
        <v/>
      </c>
      <c r="Y411" s="17" t="str">
        <f>IF(ISNUMBER('Model_ of_individuals'!Y426), 'Model_ of_individuals'!Y426*'Model_ of_individuals'!$K426,"")</f>
        <v/>
      </c>
      <c r="Z411" s="17" t="str">
        <f>IF(ISNUMBER('Model_ of_individuals'!Z426), 'Model_ of_individuals'!Z426*'Model_ of_individuals'!$K426,"")</f>
        <v/>
      </c>
      <c r="AA411" s="17" t="str">
        <f>IF(ISNUMBER('Model_ of_individuals'!AA426), 'Model_ of_individuals'!AA426*'Model_ of_individuals'!$K426,"")</f>
        <v/>
      </c>
      <c r="AB411" s="17" t="str">
        <f>IF(ISNUMBER('Model_ of_individuals'!AB426), 'Model_ of_individuals'!AB426*'Model_ of_individuals'!$K426,"")</f>
        <v/>
      </c>
      <c r="AC411" s="17" t="str">
        <f>IF(ISNUMBER('Model_ of_individuals'!AC426), 'Model_ of_individuals'!AC426*'Model_ of_individuals'!$K426,"")</f>
        <v/>
      </c>
      <c r="AD411" s="17" t="str">
        <f>IF(ISNUMBER('Model_ of_individuals'!AD426), 'Model_ of_individuals'!AD426*'Model_ of_individuals'!$K426,"")</f>
        <v/>
      </c>
      <c r="AE411" s="17" t="str">
        <f>IF(ISNUMBER('Model_ of_individuals'!AE426), 'Model_ of_individuals'!AE426*'Model_ of_individuals'!$K426,"")</f>
        <v/>
      </c>
      <c r="AF411" s="17" t="str">
        <f>IF(ISNUMBER('Model_ of_individuals'!AF426), 'Model_ of_individuals'!AF426*'Model_ of_individuals'!$K426,"")</f>
        <v/>
      </c>
      <c r="AG411" s="17" t="str">
        <f>IF(ISNUMBER('Model_ of_individuals'!AG426), 'Model_ of_individuals'!AG426*'Model_ of_individuals'!$K426,"")</f>
        <v/>
      </c>
      <c r="AH411" s="17" t="str">
        <f>IF(ISNUMBER('Model_ of_individuals'!AH426), 'Model_ of_individuals'!AH426*'Model_ of_individuals'!$K426,"")</f>
        <v/>
      </c>
      <c r="AI411" s="17" t="str">
        <f>IF(ISNUMBER('Model_ of_individuals'!AI426), 'Model_ of_individuals'!AI426*'Model_ of_individuals'!$K426,"")</f>
        <v/>
      </c>
      <c r="AJ411" s="17" t="str">
        <f>IF(ISNUMBER('Model_ of_individuals'!AJ426), 'Model_ of_individuals'!AJ426*'Model_ of_individuals'!$K426,"")</f>
        <v/>
      </c>
      <c r="AK411" s="17" t="str">
        <f>IF(ISNUMBER('Model_ of_individuals'!AK426), 'Model_ of_individuals'!AK426*'Model_ of_individuals'!$K426,"")</f>
        <v/>
      </c>
      <c r="AL411" s="17" t="str">
        <f>IF(ISNUMBER('Model_ of_individuals'!AL426), 'Model_ of_individuals'!AL426*'Model_ of_individuals'!$K426,"")</f>
        <v/>
      </c>
      <c r="AM411" s="17" t="str">
        <f>IF(ISNUMBER('Model_ of_individuals'!AM426), 'Model_ of_individuals'!AM426*'Model_ of_individuals'!$K426,"")</f>
        <v/>
      </c>
      <c r="AN411" s="17" t="str">
        <f>IF(ISNUMBER('Model_ of_individuals'!AN426), 'Model_ of_individuals'!AN426*'Model_ of_individuals'!$K426,"")</f>
        <v/>
      </c>
      <c r="AO411" s="17" t="str">
        <f>IF(ISNUMBER('Model_ of_individuals'!AO426), 'Model_ of_individuals'!AO426*'Model_ of_individuals'!$K426,"")</f>
        <v/>
      </c>
      <c r="AP411" s="17" t="str">
        <f>IF(ISNUMBER('Model_ of_individuals'!AP426), 'Model_ of_individuals'!AP426*'Model_ of_individuals'!$K426,"")</f>
        <v/>
      </c>
      <c r="AQ411" s="17" t="str">
        <f>IF(ISNUMBER('Model_ of_individuals'!AQ426), 'Model_ of_individuals'!AQ426*'Model_ of_individuals'!$K426,"")</f>
        <v/>
      </c>
      <c r="AR411" s="17" t="str">
        <f>IF(ISNUMBER('Model_ of_individuals'!AR426), 'Model_ of_individuals'!AR426*'Model_ of_individuals'!$K426,"")</f>
        <v/>
      </c>
      <c r="AS411" s="17" t="str">
        <f>IF(ISNUMBER('Model_ of_individuals'!AS426), 'Model_ of_individuals'!AS426*'Model_ of_individuals'!$K426,"")</f>
        <v/>
      </c>
      <c r="AT411" s="17" t="str">
        <f>IF(ISNUMBER('Model_ of_individuals'!AT426), 'Model_ of_individuals'!AT426*'Model_ of_individuals'!$K426,"")</f>
        <v/>
      </c>
      <c r="AU411" s="17" t="str">
        <f>IF(ISNUMBER('Model_ of_individuals'!AU426), 'Model_ of_individuals'!AU426*'Model_ of_individuals'!$K426,"")</f>
        <v/>
      </c>
    </row>
    <row r="412" spans="1:47" x14ac:dyDescent="0.25">
      <c r="A412" s="518"/>
      <c r="B412" s="504"/>
      <c r="C412" s="107" t="str">
        <f>IF(AND(ISNUMBER(B402), OR('Cost Inputs'!$H$115&lt;&gt;"", 'Cost Inputs'!$I$115&lt;&gt;"", 'Cost Inputs'!$J$115&lt;&gt;"")), _4_4_6, "")</f>
        <v/>
      </c>
      <c r="D412" s="93" t="str">
        <f>IF(AND(C412&lt;&gt;"", 'Cost Inputs'!$G$115&lt;&gt;""), 'Cost Inputs'!$G$115, "")</f>
        <v/>
      </c>
      <c r="E412" s="93" t="str">
        <f>IF(AND(C412&lt;&gt;"", 'Cost Inputs'!$H$115&lt;&gt;""), 'Cost Inputs'!$H$115, "")</f>
        <v/>
      </c>
      <c r="F412" s="93" t="str">
        <f>IF(AND(C412&lt;&gt;"", 'Cost Inputs'!$I$115&lt;&gt;""), 'Cost Inputs'!$I$115, "")</f>
        <v/>
      </c>
      <c r="G412" s="108" t="str">
        <f t="shared" si="32"/>
        <v/>
      </c>
      <c r="H412" s="93" t="str">
        <f>IF(AND(C412&lt;&gt;"", 'Cost Inputs'!$J$115&lt;&gt;""), 'Cost Inputs'!$J$115, "")</f>
        <v/>
      </c>
      <c r="I412" s="93" t="str">
        <f t="shared" si="33"/>
        <v/>
      </c>
      <c r="J412" s="93" t="str">
        <f>IF(AND(C412&lt;&gt;"",('Cost Inputs'!$I$115+'Cost Inputs'!$J$115+'Cost Inputs'!$K$115)&gt;0), 'Cost Inputs'!$I$115+'Cost Inputs'!$J$115+'Cost Inputs'!$K$115, "")</f>
        <v/>
      </c>
      <c r="K412" s="93" t="str">
        <f t="shared" si="34"/>
        <v/>
      </c>
      <c r="L412" s="525"/>
      <c r="M412" s="525"/>
      <c r="T412" s="93" t="str">
        <f>IF(ISNUMBER('Model_ of_individuals'!T427), 'Model_ of_individuals'!T427*'Model_ of_individuals'!$K427,"")</f>
        <v/>
      </c>
      <c r="U412" s="93" t="str">
        <f>IF(ISNUMBER('Model_ of_individuals'!U427), 'Model_ of_individuals'!U427*'Model_ of_individuals'!$K427,"")</f>
        <v/>
      </c>
      <c r="V412" s="93" t="str">
        <f>IF(ISNUMBER('Model_ of_individuals'!V427), 'Model_ of_individuals'!V427*'Model_ of_individuals'!$K427,"")</f>
        <v/>
      </c>
      <c r="W412" s="93" t="str">
        <f>IF(ISNUMBER('Model_ of_individuals'!W427), 'Model_ of_individuals'!W427*'Model_ of_individuals'!$K427,"")</f>
        <v/>
      </c>
      <c r="X412" s="93" t="str">
        <f>IF(ISNUMBER('Model_ of_individuals'!X427), 'Model_ of_individuals'!X427*'Model_ of_individuals'!$K427,"")</f>
        <v/>
      </c>
      <c r="Y412" s="93" t="str">
        <f>IF(ISNUMBER('Model_ of_individuals'!Y427), 'Model_ of_individuals'!Y427*'Model_ of_individuals'!$K427,"")</f>
        <v/>
      </c>
      <c r="Z412" s="93" t="str">
        <f>IF(ISNUMBER('Model_ of_individuals'!Z427), 'Model_ of_individuals'!Z427*'Model_ of_individuals'!$K427,"")</f>
        <v/>
      </c>
      <c r="AA412" s="93" t="str">
        <f>IF(ISNUMBER('Model_ of_individuals'!AA427), 'Model_ of_individuals'!AA427*'Model_ of_individuals'!$K427,"")</f>
        <v/>
      </c>
      <c r="AB412" s="93" t="str">
        <f>IF(ISNUMBER('Model_ of_individuals'!AB427), 'Model_ of_individuals'!AB427*'Model_ of_individuals'!$K427,"")</f>
        <v/>
      </c>
      <c r="AC412" s="93" t="str">
        <f>IF(ISNUMBER('Model_ of_individuals'!AC427), 'Model_ of_individuals'!AC427*'Model_ of_individuals'!$K427,"")</f>
        <v/>
      </c>
      <c r="AD412" s="93" t="str">
        <f>IF(ISNUMBER('Model_ of_individuals'!AD427), 'Model_ of_individuals'!AD427*'Model_ of_individuals'!$K427,"")</f>
        <v/>
      </c>
      <c r="AE412" s="93" t="str">
        <f>IF(ISNUMBER('Model_ of_individuals'!AE427), 'Model_ of_individuals'!AE427*'Model_ of_individuals'!$K427,"")</f>
        <v/>
      </c>
      <c r="AF412" s="93" t="str">
        <f>IF(ISNUMBER('Model_ of_individuals'!AF427), 'Model_ of_individuals'!AF427*'Model_ of_individuals'!$K427,"")</f>
        <v/>
      </c>
      <c r="AG412" s="93" t="str">
        <f>IF(ISNUMBER('Model_ of_individuals'!AG427), 'Model_ of_individuals'!AG427*'Model_ of_individuals'!$K427,"")</f>
        <v/>
      </c>
      <c r="AH412" s="93" t="str">
        <f>IF(ISNUMBER('Model_ of_individuals'!AH427), 'Model_ of_individuals'!AH427*'Model_ of_individuals'!$K427,"")</f>
        <v/>
      </c>
      <c r="AI412" s="93" t="str">
        <f>IF(ISNUMBER('Model_ of_individuals'!AI427), 'Model_ of_individuals'!AI427*'Model_ of_individuals'!$K427,"")</f>
        <v/>
      </c>
      <c r="AJ412" s="93" t="str">
        <f>IF(ISNUMBER('Model_ of_individuals'!AJ427), 'Model_ of_individuals'!AJ427*'Model_ of_individuals'!$K427,"")</f>
        <v/>
      </c>
      <c r="AK412" s="93" t="str">
        <f>IF(ISNUMBER('Model_ of_individuals'!AK427), 'Model_ of_individuals'!AK427*'Model_ of_individuals'!$K427,"")</f>
        <v/>
      </c>
      <c r="AL412" s="93" t="str">
        <f>IF(ISNUMBER('Model_ of_individuals'!AL427), 'Model_ of_individuals'!AL427*'Model_ of_individuals'!$K427,"")</f>
        <v/>
      </c>
      <c r="AM412" s="93" t="str">
        <f>IF(ISNUMBER('Model_ of_individuals'!AM427), 'Model_ of_individuals'!AM427*'Model_ of_individuals'!$K427,"")</f>
        <v/>
      </c>
      <c r="AN412" s="93" t="str">
        <f>IF(ISNUMBER('Model_ of_individuals'!AN427), 'Model_ of_individuals'!AN427*'Model_ of_individuals'!$K427,"")</f>
        <v/>
      </c>
      <c r="AO412" s="93" t="str">
        <f>IF(ISNUMBER('Model_ of_individuals'!AO427), 'Model_ of_individuals'!AO427*'Model_ of_individuals'!$K427,"")</f>
        <v/>
      </c>
      <c r="AP412" s="93" t="str">
        <f>IF(ISNUMBER('Model_ of_individuals'!AP427), 'Model_ of_individuals'!AP427*'Model_ of_individuals'!$K427,"")</f>
        <v/>
      </c>
      <c r="AQ412" s="93" t="str">
        <f>IF(ISNUMBER('Model_ of_individuals'!AQ427), 'Model_ of_individuals'!AQ427*'Model_ of_individuals'!$K427,"")</f>
        <v/>
      </c>
      <c r="AR412" s="93" t="str">
        <f>IF(ISNUMBER('Model_ of_individuals'!AR427), 'Model_ of_individuals'!AR427*'Model_ of_individuals'!$K427,"")</f>
        <v/>
      </c>
      <c r="AS412" s="93" t="str">
        <f>IF(ISNUMBER('Model_ of_individuals'!AS427), 'Model_ of_individuals'!AS427*'Model_ of_individuals'!$K427,"")</f>
        <v/>
      </c>
      <c r="AT412" s="93" t="str">
        <f>IF(ISNUMBER('Model_ of_individuals'!AT427), 'Model_ of_individuals'!AT427*'Model_ of_individuals'!$K427,"")</f>
        <v/>
      </c>
      <c r="AU412" s="93" t="str">
        <f>IF(ISNUMBER('Model_ of_individuals'!AU427), 'Model_ of_individuals'!AU427*'Model_ of_individuals'!$K427,"")</f>
        <v/>
      </c>
    </row>
    <row r="413" spans="1:47" x14ac:dyDescent="0.25">
      <c r="A413" s="518"/>
      <c r="B413" s="504"/>
      <c r="C413" s="521" t="str">
        <f>IF(AND(B402&lt;&gt;"", ISNUMBER(B402), ISNUMBER(Stage2EvaluationBegins)), IF((INDEX(ProgramYearStage2,MATCH(Stage2EvaluationBegins,Years_in_Stage2,0)))=B402, _4_5_0, IF(AND(B402&lt;&gt;"", C390&lt;&gt;""), _4_5_0, IF(AND(B402&lt;&gt;"", ISNUMBER(B402), OR(Stage2EvaluationBegins=0, Stage2EvaluationBegins="")),"", ""))),"")</f>
        <v/>
      </c>
      <c r="D413" s="94" t="str">
        <f>IF(AND(C413&lt;&gt;"", 'Cost Inputs'!$G$116&lt;&gt;""), 'Cost Inputs'!$G$116, "")</f>
        <v/>
      </c>
      <c r="E413" s="94" t="str">
        <f>IF(AND(C413&lt;&gt;"", 'Cost Inputs'!$H$116&lt;&gt;""), 'Cost Inputs'!$H$116, "")</f>
        <v/>
      </c>
      <c r="F413" s="492" t="str">
        <f>IF(AND(C413&lt;&gt;"", 'Cost Inputs'!$I$116&lt;&gt;""), 'Cost Inputs'!$I$116, "")</f>
        <v/>
      </c>
      <c r="G413" s="102" t="str">
        <f t="shared" si="32"/>
        <v/>
      </c>
      <c r="H413" s="492" t="str">
        <f>IF(AND(C413&lt;&gt;"", 'Cost Inputs'!$J$116&lt;&gt;""), 'Cost Inputs'!$J$116, "")</f>
        <v/>
      </c>
      <c r="I413" s="102" t="str">
        <f>IF($C413&lt;&gt;"",IF(AND($E413&lt;&gt;"",H413&lt;&gt;""), H413/$E413, 0),"")</f>
        <v/>
      </c>
      <c r="J413" s="492" t="str">
        <f>IF(AND(C413&lt;&gt;"",('Cost Inputs'!$I$116+'Cost Inputs'!$J$116+'Cost Inputs'!$K$116)&gt;0), 'Cost Inputs'!$I$116+'Cost Inputs'!$J$116+'Cost Inputs'!$K$116, "")</f>
        <v/>
      </c>
      <c r="K413" s="102" t="str">
        <f>IF($C413&lt;&gt;"",IF(AND($E413&lt;&gt;"",J413&lt;&gt;""), J413/$E413, 0),"")</f>
        <v/>
      </c>
      <c r="L413" s="525"/>
      <c r="M413" s="525"/>
      <c r="T413" s="496" t="str">
        <f>IF(ISNUMBER('Model_ of_individuals'!T429), 'Model_ of_individuals'!T429*'Model_ of_individuals'!$K429,"")</f>
        <v/>
      </c>
      <c r="U413" s="496" t="str">
        <f>IF(ISNUMBER('Model_ of_individuals'!U429), 'Model_ of_individuals'!U429*'Model_ of_individuals'!$K429,"")</f>
        <v/>
      </c>
      <c r="V413" s="496" t="str">
        <f>IF(ISNUMBER('Model_ of_individuals'!V429), 'Model_ of_individuals'!V429*'Model_ of_individuals'!$K429,"")</f>
        <v/>
      </c>
      <c r="W413" s="496" t="str">
        <f>IF(ISNUMBER('Model_ of_individuals'!W429), 'Model_ of_individuals'!W429*'Model_ of_individuals'!$K429,"")</f>
        <v/>
      </c>
      <c r="X413" s="496" t="str">
        <f>IF(ISNUMBER('Model_ of_individuals'!X429), 'Model_ of_individuals'!X429*'Model_ of_individuals'!$K429,"")</f>
        <v/>
      </c>
      <c r="Y413" s="496" t="str">
        <f>IF(ISNUMBER('Model_ of_individuals'!Y429), 'Model_ of_individuals'!Y429*'Model_ of_individuals'!$K429,"")</f>
        <v/>
      </c>
      <c r="Z413" s="496" t="str">
        <f>IF(ISNUMBER('Model_ of_individuals'!Z429), 'Model_ of_individuals'!Z429*'Model_ of_individuals'!$K429,"")</f>
        <v/>
      </c>
      <c r="AA413" s="496" t="str">
        <f>IF(ISNUMBER('Model_ of_individuals'!AA429), 'Model_ of_individuals'!AA429*'Model_ of_individuals'!$K429,"")</f>
        <v/>
      </c>
      <c r="AB413" s="496" t="str">
        <f>IF(ISNUMBER('Model_ of_individuals'!AB429), 'Model_ of_individuals'!AB429*'Model_ of_individuals'!$K429,"")</f>
        <v/>
      </c>
      <c r="AC413" s="496" t="str">
        <f>IF(ISNUMBER('Model_ of_individuals'!AC429), 'Model_ of_individuals'!AC429*'Model_ of_individuals'!$K429,"")</f>
        <v/>
      </c>
      <c r="AD413" s="496" t="str">
        <f>IF(ISNUMBER('Model_ of_individuals'!AD429), 'Model_ of_individuals'!AD429*'Model_ of_individuals'!$K429,"")</f>
        <v/>
      </c>
      <c r="AE413" s="496" t="str">
        <f>IF(ISNUMBER('Model_ of_individuals'!AE429), 'Model_ of_individuals'!AE429*'Model_ of_individuals'!$K429,"")</f>
        <v/>
      </c>
      <c r="AF413" s="496" t="str">
        <f>IF(ISNUMBER('Model_ of_individuals'!AF429), 'Model_ of_individuals'!AF429*'Model_ of_individuals'!$K429,"")</f>
        <v/>
      </c>
      <c r="AG413" s="496" t="str">
        <f>IF(ISNUMBER('Model_ of_individuals'!AG429), 'Model_ of_individuals'!AG429*'Model_ of_individuals'!$K429,"")</f>
        <v/>
      </c>
      <c r="AH413" s="496" t="str">
        <f>IF(ISNUMBER('Model_ of_individuals'!AH429), 'Model_ of_individuals'!AH429*'Model_ of_individuals'!$K429,"")</f>
        <v/>
      </c>
      <c r="AI413" s="496" t="str">
        <f>IF(ISNUMBER('Model_ of_individuals'!AI429), 'Model_ of_individuals'!AI429*'Model_ of_individuals'!$K429,"")</f>
        <v/>
      </c>
      <c r="AJ413" s="496" t="str">
        <f>IF(ISNUMBER('Model_ of_individuals'!AJ429), 'Model_ of_individuals'!AJ429*'Model_ of_individuals'!$K429,"")</f>
        <v/>
      </c>
      <c r="AK413" s="496" t="str">
        <f>IF(ISNUMBER('Model_ of_individuals'!AK429), 'Model_ of_individuals'!AK429*'Model_ of_individuals'!$K429,"")</f>
        <v/>
      </c>
      <c r="AL413" s="496" t="str">
        <f>IF(ISNUMBER('Model_ of_individuals'!AL429), 'Model_ of_individuals'!AL429*'Model_ of_individuals'!$K429,"")</f>
        <v/>
      </c>
      <c r="AM413" s="496" t="str">
        <f>IF(ISNUMBER('Model_ of_individuals'!AM429), 'Model_ of_individuals'!AM429*'Model_ of_individuals'!$K429,"")</f>
        <v/>
      </c>
      <c r="AN413" s="496" t="str">
        <f>IF(ISNUMBER('Model_ of_individuals'!AN429), 'Model_ of_individuals'!AN429*'Model_ of_individuals'!$K429,"")</f>
        <v/>
      </c>
      <c r="AO413" s="496" t="str">
        <f>IF(ISNUMBER('Model_ of_individuals'!AO429), 'Model_ of_individuals'!AO429*'Model_ of_individuals'!$K429,"")</f>
        <v/>
      </c>
      <c r="AP413" s="496" t="str">
        <f>IF(ISNUMBER('Model_ of_individuals'!AP429), 'Model_ of_individuals'!AP429*'Model_ of_individuals'!$K429,"")</f>
        <v/>
      </c>
      <c r="AQ413" s="496" t="str">
        <f>IF(ISNUMBER('Model_ of_individuals'!AQ429), 'Model_ of_individuals'!AQ429*'Model_ of_individuals'!$K429,"")</f>
        <v/>
      </c>
      <c r="AR413" s="496" t="str">
        <f>IF(ISNUMBER('Model_ of_individuals'!AR429), 'Model_ of_individuals'!AR429*'Model_ of_individuals'!$K429,"")</f>
        <v/>
      </c>
      <c r="AS413" s="496" t="str">
        <f>IF(ISNUMBER('Model_ of_individuals'!AS429), 'Model_ of_individuals'!AS429*'Model_ of_individuals'!$K429,"")</f>
        <v/>
      </c>
      <c r="AT413" s="496" t="str">
        <f>IF(ISNUMBER('Model_ of_individuals'!AT429), 'Model_ of_individuals'!AT429*'Model_ of_individuals'!$K429,"")</f>
        <v/>
      </c>
      <c r="AU413" s="496" t="str">
        <f>IF(ISNUMBER('Model_ of_individuals'!AU429), 'Model_ of_individuals'!AU429*'Model_ of_individuals'!$K429,"")</f>
        <v/>
      </c>
    </row>
    <row r="414" spans="1:47" x14ac:dyDescent="0.25">
      <c r="A414" s="518"/>
      <c r="B414" s="504"/>
      <c r="C414" s="521"/>
      <c r="D414" s="94" t="str">
        <f>IF(AND(C413&lt;&gt;"", 'Cost Inputs'!$G$117&lt;&gt;""), 'Cost Inputs'!$G$117, "")</f>
        <v/>
      </c>
      <c r="E414" s="94" t="str">
        <f>IF(AND(C413&lt;&gt;"", 'Cost Inputs'!$H$117&lt;&gt;""), 'Cost Inputs'!$H$117, "")</f>
        <v/>
      </c>
      <c r="F414" s="492"/>
      <c r="G414" s="102" t="str">
        <f t="shared" si="32"/>
        <v/>
      </c>
      <c r="H414" s="492"/>
      <c r="I414" s="102" t="str">
        <f>IF($C413&lt;&gt;"", IF(AND($E414&lt;&gt;"", H413&lt;&gt;""), H413/($E413*$E414), 0), "")</f>
        <v/>
      </c>
      <c r="J414" s="492" t="str">
        <f>IF(AND(C414&lt;&gt;"",('Cost Inputs'!$I$86+'Cost Inputs'!$J$86+'Cost Inputs'!$K$86)&gt;0), 'Cost Inputs'!$I$86+'Cost Inputs'!$J$86+'Cost Inputs'!$K$86, "")</f>
        <v/>
      </c>
      <c r="K414" s="102" t="str">
        <f>IF($C413&lt;&gt;"", IF(AND($E414&lt;&gt;"", J413&lt;&gt;""), J413/($E413*$E414), 0), "")</f>
        <v/>
      </c>
      <c r="L414" s="525"/>
      <c r="M414" s="525"/>
      <c r="T414" s="496" t="str">
        <f>IF(ISNUMBER('Model_ of_individuals'!T430), 'Model_ of_individuals'!T430*'Model_ of_individuals'!$K430,"")</f>
        <v/>
      </c>
      <c r="U414" s="496" t="str">
        <f>IF(ISNUMBER('Model_ of_individuals'!U430), 'Model_ of_individuals'!U430*'Model_ of_individuals'!$K430,"")</f>
        <v/>
      </c>
      <c r="V414" s="496" t="str">
        <f>IF(ISNUMBER('Model_ of_individuals'!V430), 'Model_ of_individuals'!V430*'Model_ of_individuals'!$K430,"")</f>
        <v/>
      </c>
      <c r="W414" s="496" t="str">
        <f>IF(ISNUMBER('Model_ of_individuals'!W430), 'Model_ of_individuals'!W430*'Model_ of_individuals'!$K430,"")</f>
        <v/>
      </c>
      <c r="X414" s="496" t="str">
        <f>IF(ISNUMBER('Model_ of_individuals'!X430), 'Model_ of_individuals'!X430*'Model_ of_individuals'!$K430,"")</f>
        <v/>
      </c>
      <c r="Y414" s="496" t="str">
        <f>IF(ISNUMBER('Model_ of_individuals'!Y430), 'Model_ of_individuals'!Y430*'Model_ of_individuals'!$K430,"")</f>
        <v/>
      </c>
      <c r="Z414" s="496" t="str">
        <f>IF(ISNUMBER('Model_ of_individuals'!Z430), 'Model_ of_individuals'!Z430*'Model_ of_individuals'!$K430,"")</f>
        <v/>
      </c>
      <c r="AA414" s="496" t="str">
        <f>IF(ISNUMBER('Model_ of_individuals'!AA430), 'Model_ of_individuals'!AA430*'Model_ of_individuals'!$K430,"")</f>
        <v/>
      </c>
      <c r="AB414" s="496" t="str">
        <f>IF(ISNUMBER('Model_ of_individuals'!AB430), 'Model_ of_individuals'!AB430*'Model_ of_individuals'!$K430,"")</f>
        <v/>
      </c>
      <c r="AC414" s="496" t="str">
        <f>IF(ISNUMBER('Model_ of_individuals'!AC430), 'Model_ of_individuals'!AC430*'Model_ of_individuals'!$K430,"")</f>
        <v/>
      </c>
      <c r="AD414" s="496" t="str">
        <f>IF(ISNUMBER('Model_ of_individuals'!AD430), 'Model_ of_individuals'!AD430*'Model_ of_individuals'!$K430,"")</f>
        <v/>
      </c>
      <c r="AE414" s="496" t="str">
        <f>IF(ISNUMBER('Model_ of_individuals'!AE430), 'Model_ of_individuals'!AE430*'Model_ of_individuals'!$K430,"")</f>
        <v/>
      </c>
      <c r="AF414" s="496" t="str">
        <f>IF(ISNUMBER('Model_ of_individuals'!AF430), 'Model_ of_individuals'!AF430*'Model_ of_individuals'!$K430,"")</f>
        <v/>
      </c>
      <c r="AG414" s="496" t="str">
        <f>IF(ISNUMBER('Model_ of_individuals'!AG430), 'Model_ of_individuals'!AG430*'Model_ of_individuals'!$K430,"")</f>
        <v/>
      </c>
      <c r="AH414" s="496" t="str">
        <f>IF(ISNUMBER('Model_ of_individuals'!AH430), 'Model_ of_individuals'!AH430*'Model_ of_individuals'!$K430,"")</f>
        <v/>
      </c>
      <c r="AI414" s="496" t="str">
        <f>IF(ISNUMBER('Model_ of_individuals'!AI430), 'Model_ of_individuals'!AI430*'Model_ of_individuals'!$K430,"")</f>
        <v/>
      </c>
      <c r="AJ414" s="496" t="str">
        <f>IF(ISNUMBER('Model_ of_individuals'!AJ430), 'Model_ of_individuals'!AJ430*'Model_ of_individuals'!$K430,"")</f>
        <v/>
      </c>
      <c r="AK414" s="496" t="str">
        <f>IF(ISNUMBER('Model_ of_individuals'!AK430), 'Model_ of_individuals'!AK430*'Model_ of_individuals'!$K430,"")</f>
        <v/>
      </c>
      <c r="AL414" s="496" t="str">
        <f>IF(ISNUMBER('Model_ of_individuals'!AL430), 'Model_ of_individuals'!AL430*'Model_ of_individuals'!$K430,"")</f>
        <v/>
      </c>
      <c r="AM414" s="496" t="str">
        <f>IF(ISNUMBER('Model_ of_individuals'!AM430), 'Model_ of_individuals'!AM430*'Model_ of_individuals'!$K430,"")</f>
        <v/>
      </c>
      <c r="AN414" s="496" t="str">
        <f>IF(ISNUMBER('Model_ of_individuals'!AN430), 'Model_ of_individuals'!AN430*'Model_ of_individuals'!$K430,"")</f>
        <v/>
      </c>
      <c r="AO414" s="496" t="str">
        <f>IF(ISNUMBER('Model_ of_individuals'!AO430), 'Model_ of_individuals'!AO430*'Model_ of_individuals'!$K430,"")</f>
        <v/>
      </c>
      <c r="AP414" s="496" t="str">
        <f>IF(ISNUMBER('Model_ of_individuals'!AP430), 'Model_ of_individuals'!AP430*'Model_ of_individuals'!$K430,"")</f>
        <v/>
      </c>
      <c r="AQ414" s="496" t="str">
        <f>IF(ISNUMBER('Model_ of_individuals'!AQ430), 'Model_ of_individuals'!AQ430*'Model_ of_individuals'!$K430,"")</f>
        <v/>
      </c>
      <c r="AR414" s="496" t="str">
        <f>IF(ISNUMBER('Model_ of_individuals'!AR430), 'Model_ of_individuals'!AR430*'Model_ of_individuals'!$K430,"")</f>
        <v/>
      </c>
      <c r="AS414" s="496" t="str">
        <f>IF(ISNUMBER('Model_ of_individuals'!AS430), 'Model_ of_individuals'!AS430*'Model_ of_individuals'!$K430,"")</f>
        <v/>
      </c>
      <c r="AT414" s="496" t="str">
        <f>IF(ISNUMBER('Model_ of_individuals'!AT430), 'Model_ of_individuals'!AT430*'Model_ of_individuals'!$K430,"")</f>
        <v/>
      </c>
      <c r="AU414" s="496" t="str">
        <f>IF(ISNUMBER('Model_ of_individuals'!AU430), 'Model_ of_individuals'!AU430*'Model_ of_individuals'!$K430,"")</f>
        <v/>
      </c>
    </row>
    <row r="415" spans="1:47" x14ac:dyDescent="0.25">
      <c r="A415" s="518"/>
      <c r="B415" s="504"/>
      <c r="C415" s="376" t="str">
        <f>IF(AND(ISNUMBER(B402), C413&lt;&gt;"", OR('Cost Inputs'!$H$118&lt;&gt;"", 'Cost Inputs'!$I$118&lt;&gt;"", 'Cost Inputs'!$J$118&lt;&gt;"")), _4_5_1, "")</f>
        <v/>
      </c>
      <c r="D415" s="17" t="str">
        <f>IF(AND(C415&lt;&gt;"", 'Cost Inputs'!$G$118&lt;&gt;""), 'Cost Inputs'!$G$118, "")</f>
        <v/>
      </c>
      <c r="E415" s="17" t="str">
        <f>IF(AND(C415&lt;&gt;"", 'Cost Inputs'!$H$118&lt;&gt;""), 'Cost Inputs'!$H$118, "")</f>
        <v/>
      </c>
      <c r="F415" s="493" t="str">
        <f>IF(AND(C415&lt;&gt;"", 'Cost Inputs'!$I$118&lt;&gt;""), 'Cost Inputs'!$I$118, "")</f>
        <v/>
      </c>
      <c r="G415" s="105" t="str">
        <f t="shared" si="32"/>
        <v/>
      </c>
      <c r="H415" s="493" t="str">
        <f>IF(AND(C415&lt;&gt;"", 'Cost Inputs'!$J$118&lt;&gt;""), 'Cost Inputs'!$J$118, "")</f>
        <v/>
      </c>
      <c r="I415" s="105" t="str">
        <f>IF($C415&lt;&gt;"",IF(AND($E415&lt;&gt;"",H415&lt;&gt;""), H415/$E415, 0),"")</f>
        <v/>
      </c>
      <c r="J415" s="493" t="str">
        <f>IF(AND(C415&lt;&gt;"",('Cost Inputs'!$I$118+'Cost Inputs'!$J$118+'Cost Inputs'!$K$118)&gt;0), 'Cost Inputs'!$I$118+'Cost Inputs'!$J$118+'Cost Inputs'!$K$118, "")</f>
        <v/>
      </c>
      <c r="K415" s="105" t="str">
        <f>IF($C415&lt;&gt;"",IF(AND($E415&lt;&gt;"",J415&lt;&gt;""), J415/$E415, 0),"")</f>
        <v/>
      </c>
      <c r="L415" s="525"/>
      <c r="M415" s="525"/>
      <c r="T415" s="497" t="str">
        <f>IF(ISNUMBER('Model_ of_individuals'!T431), 'Model_ of_individuals'!T431*'Model_ of_individuals'!$K431,"")</f>
        <v/>
      </c>
      <c r="U415" s="497" t="str">
        <f>IF(ISNUMBER('Model_ of_individuals'!U431), 'Model_ of_individuals'!U431*'Model_ of_individuals'!$K431,"")</f>
        <v/>
      </c>
      <c r="V415" s="497" t="str">
        <f>IF(ISNUMBER('Model_ of_individuals'!V431), 'Model_ of_individuals'!V431*'Model_ of_individuals'!$K431,"")</f>
        <v/>
      </c>
      <c r="W415" s="497" t="str">
        <f>IF(ISNUMBER('Model_ of_individuals'!W431), 'Model_ of_individuals'!W431*'Model_ of_individuals'!$K431,"")</f>
        <v/>
      </c>
      <c r="X415" s="497" t="str">
        <f>IF(ISNUMBER('Model_ of_individuals'!X431), 'Model_ of_individuals'!X431*'Model_ of_individuals'!$K431,"")</f>
        <v/>
      </c>
      <c r="Y415" s="497" t="str">
        <f>IF(ISNUMBER('Model_ of_individuals'!Y431), 'Model_ of_individuals'!Y431*'Model_ of_individuals'!$K431,"")</f>
        <v/>
      </c>
      <c r="Z415" s="497" t="str">
        <f>IF(ISNUMBER('Model_ of_individuals'!Z431), 'Model_ of_individuals'!Z431*'Model_ of_individuals'!$K431,"")</f>
        <v/>
      </c>
      <c r="AA415" s="497" t="str">
        <f>IF(ISNUMBER('Model_ of_individuals'!AA431), 'Model_ of_individuals'!AA431*'Model_ of_individuals'!$K431,"")</f>
        <v/>
      </c>
      <c r="AB415" s="497" t="str">
        <f>IF(ISNUMBER('Model_ of_individuals'!AB431), 'Model_ of_individuals'!AB431*'Model_ of_individuals'!$K431,"")</f>
        <v/>
      </c>
      <c r="AC415" s="497" t="str">
        <f>IF(ISNUMBER('Model_ of_individuals'!AC431), 'Model_ of_individuals'!AC431*'Model_ of_individuals'!$K431,"")</f>
        <v/>
      </c>
      <c r="AD415" s="497" t="str">
        <f>IF(ISNUMBER('Model_ of_individuals'!AD431), 'Model_ of_individuals'!AD431*'Model_ of_individuals'!$K431,"")</f>
        <v/>
      </c>
      <c r="AE415" s="497" t="str">
        <f>IF(ISNUMBER('Model_ of_individuals'!AE431), 'Model_ of_individuals'!AE431*'Model_ of_individuals'!$K431,"")</f>
        <v/>
      </c>
      <c r="AF415" s="497" t="str">
        <f>IF(ISNUMBER('Model_ of_individuals'!AF431), 'Model_ of_individuals'!AF431*'Model_ of_individuals'!$K431,"")</f>
        <v/>
      </c>
      <c r="AG415" s="497" t="str">
        <f>IF(ISNUMBER('Model_ of_individuals'!AG431), 'Model_ of_individuals'!AG431*'Model_ of_individuals'!$K431,"")</f>
        <v/>
      </c>
      <c r="AH415" s="497" t="str">
        <f>IF(ISNUMBER('Model_ of_individuals'!AH431), 'Model_ of_individuals'!AH431*'Model_ of_individuals'!$K431,"")</f>
        <v/>
      </c>
      <c r="AI415" s="497" t="str">
        <f>IF(ISNUMBER('Model_ of_individuals'!AI431), 'Model_ of_individuals'!AI431*'Model_ of_individuals'!$K431,"")</f>
        <v/>
      </c>
      <c r="AJ415" s="497" t="str">
        <f>IF(ISNUMBER('Model_ of_individuals'!AJ431), 'Model_ of_individuals'!AJ431*'Model_ of_individuals'!$K431,"")</f>
        <v/>
      </c>
      <c r="AK415" s="497" t="str">
        <f>IF(ISNUMBER('Model_ of_individuals'!AK431), 'Model_ of_individuals'!AK431*'Model_ of_individuals'!$K431,"")</f>
        <v/>
      </c>
      <c r="AL415" s="497" t="str">
        <f>IF(ISNUMBER('Model_ of_individuals'!AL431), 'Model_ of_individuals'!AL431*'Model_ of_individuals'!$K431,"")</f>
        <v/>
      </c>
      <c r="AM415" s="497" t="str">
        <f>IF(ISNUMBER('Model_ of_individuals'!AM431), 'Model_ of_individuals'!AM431*'Model_ of_individuals'!$K431,"")</f>
        <v/>
      </c>
      <c r="AN415" s="497" t="str">
        <f>IF(ISNUMBER('Model_ of_individuals'!AN431), 'Model_ of_individuals'!AN431*'Model_ of_individuals'!$K431,"")</f>
        <v/>
      </c>
      <c r="AO415" s="497" t="str">
        <f>IF(ISNUMBER('Model_ of_individuals'!AO431), 'Model_ of_individuals'!AO431*'Model_ of_individuals'!$K431,"")</f>
        <v/>
      </c>
      <c r="AP415" s="497" t="str">
        <f>IF(ISNUMBER('Model_ of_individuals'!AP431), 'Model_ of_individuals'!AP431*'Model_ of_individuals'!$K431,"")</f>
        <v/>
      </c>
      <c r="AQ415" s="497" t="str">
        <f>IF(ISNUMBER('Model_ of_individuals'!AQ431), 'Model_ of_individuals'!AQ431*'Model_ of_individuals'!$K431,"")</f>
        <v/>
      </c>
      <c r="AR415" s="497" t="str">
        <f>IF(ISNUMBER('Model_ of_individuals'!AR431), 'Model_ of_individuals'!AR431*'Model_ of_individuals'!$K431,"")</f>
        <v/>
      </c>
      <c r="AS415" s="497" t="str">
        <f>IF(ISNUMBER('Model_ of_individuals'!AS431), 'Model_ of_individuals'!AS431*'Model_ of_individuals'!$K431,"")</f>
        <v/>
      </c>
      <c r="AT415" s="497" t="str">
        <f>IF(ISNUMBER('Model_ of_individuals'!AT431), 'Model_ of_individuals'!AT431*'Model_ of_individuals'!$K431,"")</f>
        <v/>
      </c>
      <c r="AU415" s="497" t="str">
        <f>IF(ISNUMBER('Model_ of_individuals'!AU431), 'Model_ of_individuals'!AU431*'Model_ of_individuals'!$K431,"")</f>
        <v/>
      </c>
    </row>
    <row r="416" spans="1:47" x14ac:dyDescent="0.25">
      <c r="A416" s="518"/>
      <c r="B416" s="504"/>
      <c r="C416" s="376" t="str">
        <f>IF(AND(ISNUMBER(B397), OR('Cost Inputs'!$H$85&lt;&gt;"", 'Cost Inputs'!$I$85&lt;&gt;"", 'Cost Inputs'!$J$85&lt;&gt;"")), _3_5_1, "")</f>
        <v/>
      </c>
      <c r="D416" s="17" t="str">
        <f>IF(AND(C415&lt;&gt;"", 'Cost Inputs'!$G$119&lt;&gt;""), 'Cost Inputs'!$G$119, "")</f>
        <v/>
      </c>
      <c r="E416" s="17" t="str">
        <f>IF(AND(C415&lt;&gt;"", 'Cost Inputs'!$H$119&lt;&gt;""), 'Cost Inputs'!$H$119, "")</f>
        <v/>
      </c>
      <c r="F416" s="493"/>
      <c r="G416" s="105" t="str">
        <f t="shared" si="32"/>
        <v/>
      </c>
      <c r="H416" s="493"/>
      <c r="I416" s="105" t="str">
        <f>IF($C415&lt;&gt;"", IF(AND($E416&lt;&gt;"", H415&lt;&gt;""), H415/($E415*$E416), 0), "")</f>
        <v/>
      </c>
      <c r="J416" s="493" t="str">
        <f>IF(AND(C416&lt;&gt;"",('Cost Inputs'!$I$86+'Cost Inputs'!$J$86+'Cost Inputs'!$K$86)&gt;0), 'Cost Inputs'!$I$86+'Cost Inputs'!$J$86+'Cost Inputs'!$K$86, "")</f>
        <v/>
      </c>
      <c r="K416" s="105" t="str">
        <f>IF($C415&lt;&gt;"", IF(AND($E416&lt;&gt;"", J415&lt;&gt;""), J415/($E415*$E416), 0), "")</f>
        <v/>
      </c>
      <c r="L416" s="525"/>
      <c r="M416" s="525"/>
      <c r="T416" s="497" t="str">
        <f>IF(ISNUMBER('Model_ of_individuals'!T432), 'Model_ of_individuals'!T432*'Model_ of_individuals'!$K432,"")</f>
        <v/>
      </c>
      <c r="U416" s="497" t="str">
        <f>IF(ISNUMBER('Model_ of_individuals'!U432), 'Model_ of_individuals'!U432*'Model_ of_individuals'!$K432,"")</f>
        <v/>
      </c>
      <c r="V416" s="497" t="str">
        <f>IF(ISNUMBER('Model_ of_individuals'!V432), 'Model_ of_individuals'!V432*'Model_ of_individuals'!$K432,"")</f>
        <v/>
      </c>
      <c r="W416" s="497" t="str">
        <f>IF(ISNUMBER('Model_ of_individuals'!W432), 'Model_ of_individuals'!W432*'Model_ of_individuals'!$K432,"")</f>
        <v/>
      </c>
      <c r="X416" s="497" t="str">
        <f>IF(ISNUMBER('Model_ of_individuals'!X432), 'Model_ of_individuals'!X432*'Model_ of_individuals'!$K432,"")</f>
        <v/>
      </c>
      <c r="Y416" s="497" t="str">
        <f>IF(ISNUMBER('Model_ of_individuals'!Y432), 'Model_ of_individuals'!Y432*'Model_ of_individuals'!$K432,"")</f>
        <v/>
      </c>
      <c r="Z416" s="497" t="str">
        <f>IF(ISNUMBER('Model_ of_individuals'!Z432), 'Model_ of_individuals'!Z432*'Model_ of_individuals'!$K432,"")</f>
        <v/>
      </c>
      <c r="AA416" s="497" t="str">
        <f>IF(ISNUMBER('Model_ of_individuals'!AA432), 'Model_ of_individuals'!AA432*'Model_ of_individuals'!$K432,"")</f>
        <v/>
      </c>
      <c r="AB416" s="497" t="str">
        <f>IF(ISNUMBER('Model_ of_individuals'!AB432), 'Model_ of_individuals'!AB432*'Model_ of_individuals'!$K432,"")</f>
        <v/>
      </c>
      <c r="AC416" s="497" t="str">
        <f>IF(ISNUMBER('Model_ of_individuals'!AC432), 'Model_ of_individuals'!AC432*'Model_ of_individuals'!$K432,"")</f>
        <v/>
      </c>
      <c r="AD416" s="497" t="str">
        <f>IF(ISNUMBER('Model_ of_individuals'!AD432), 'Model_ of_individuals'!AD432*'Model_ of_individuals'!$K432,"")</f>
        <v/>
      </c>
      <c r="AE416" s="497" t="str">
        <f>IF(ISNUMBER('Model_ of_individuals'!AE432), 'Model_ of_individuals'!AE432*'Model_ of_individuals'!$K432,"")</f>
        <v/>
      </c>
      <c r="AF416" s="497" t="str">
        <f>IF(ISNUMBER('Model_ of_individuals'!AF432), 'Model_ of_individuals'!AF432*'Model_ of_individuals'!$K432,"")</f>
        <v/>
      </c>
      <c r="AG416" s="497" t="str">
        <f>IF(ISNUMBER('Model_ of_individuals'!AG432), 'Model_ of_individuals'!AG432*'Model_ of_individuals'!$K432,"")</f>
        <v/>
      </c>
      <c r="AH416" s="497" t="str">
        <f>IF(ISNUMBER('Model_ of_individuals'!AH432), 'Model_ of_individuals'!AH432*'Model_ of_individuals'!$K432,"")</f>
        <v/>
      </c>
      <c r="AI416" s="497" t="str">
        <f>IF(ISNUMBER('Model_ of_individuals'!AI432), 'Model_ of_individuals'!AI432*'Model_ of_individuals'!$K432,"")</f>
        <v/>
      </c>
      <c r="AJ416" s="497" t="str">
        <f>IF(ISNUMBER('Model_ of_individuals'!AJ432), 'Model_ of_individuals'!AJ432*'Model_ of_individuals'!$K432,"")</f>
        <v/>
      </c>
      <c r="AK416" s="497" t="str">
        <f>IF(ISNUMBER('Model_ of_individuals'!AK432), 'Model_ of_individuals'!AK432*'Model_ of_individuals'!$K432,"")</f>
        <v/>
      </c>
      <c r="AL416" s="497" t="str">
        <f>IF(ISNUMBER('Model_ of_individuals'!AL432), 'Model_ of_individuals'!AL432*'Model_ of_individuals'!$K432,"")</f>
        <v/>
      </c>
      <c r="AM416" s="497" t="str">
        <f>IF(ISNUMBER('Model_ of_individuals'!AM432), 'Model_ of_individuals'!AM432*'Model_ of_individuals'!$K432,"")</f>
        <v/>
      </c>
      <c r="AN416" s="497" t="str">
        <f>IF(ISNUMBER('Model_ of_individuals'!AN432), 'Model_ of_individuals'!AN432*'Model_ of_individuals'!$K432,"")</f>
        <v/>
      </c>
      <c r="AO416" s="497" t="str">
        <f>IF(ISNUMBER('Model_ of_individuals'!AO432), 'Model_ of_individuals'!AO432*'Model_ of_individuals'!$K432,"")</f>
        <v/>
      </c>
      <c r="AP416" s="497" t="str">
        <f>IF(ISNUMBER('Model_ of_individuals'!AP432), 'Model_ of_individuals'!AP432*'Model_ of_individuals'!$K432,"")</f>
        <v/>
      </c>
      <c r="AQ416" s="497" t="str">
        <f>IF(ISNUMBER('Model_ of_individuals'!AQ432), 'Model_ of_individuals'!AQ432*'Model_ of_individuals'!$K432,"")</f>
        <v/>
      </c>
      <c r="AR416" s="497" t="str">
        <f>IF(ISNUMBER('Model_ of_individuals'!AR432), 'Model_ of_individuals'!AR432*'Model_ of_individuals'!$K432,"")</f>
        <v/>
      </c>
      <c r="AS416" s="497" t="str">
        <f>IF(ISNUMBER('Model_ of_individuals'!AS432), 'Model_ of_individuals'!AS432*'Model_ of_individuals'!$K432,"")</f>
        <v/>
      </c>
      <c r="AT416" s="497" t="str">
        <f>IF(ISNUMBER('Model_ of_individuals'!AT432), 'Model_ of_individuals'!AT432*'Model_ of_individuals'!$K432,"")</f>
        <v/>
      </c>
      <c r="AU416" s="497" t="str">
        <f>IF(ISNUMBER('Model_ of_individuals'!AU432), 'Model_ of_individuals'!AU432*'Model_ of_individuals'!$K432,"")</f>
        <v/>
      </c>
    </row>
    <row r="417" spans="1:48" x14ac:dyDescent="0.25">
      <c r="A417" s="518"/>
      <c r="B417" s="504"/>
      <c r="C417" s="107" t="str">
        <f>IF(AND(ISNUMBER(B402), C413&lt;&gt;"", OR('Cost Inputs'!$H$120&lt;&gt;"", 'Cost Inputs'!$I$120&lt;&gt;"", 'Cost Inputs'!$J$120&lt;&gt;"")), _4_5_2, "")</f>
        <v/>
      </c>
      <c r="D417" s="93" t="str">
        <f>IF(AND(C417&lt;&gt;"", 'Cost Inputs'!$G$120&lt;&gt;""), 'Cost Inputs'!$G$120, "")</f>
        <v/>
      </c>
      <c r="E417" s="93" t="str">
        <f>IF(AND(C417&lt;&gt;"", 'Cost Inputs'!$H$120&lt;&gt;""), 'Cost Inputs'!$H$120, "")</f>
        <v/>
      </c>
      <c r="F417" s="93" t="str">
        <f>IF(AND(C417&lt;&gt;"", 'Cost Inputs'!$I$120&lt;&gt;""), 'Cost Inputs'!$I$120, "")</f>
        <v/>
      </c>
      <c r="G417" s="108" t="str">
        <f t="shared" si="32"/>
        <v/>
      </c>
      <c r="H417" s="93" t="str">
        <f>IF(AND(C417&lt;&gt;"", 'Cost Inputs'!$J$120&lt;&gt;""), 'Cost Inputs'!$J$120, "")</f>
        <v/>
      </c>
      <c r="I417" s="93" t="str">
        <f>IF($C417&lt;&gt;"", IF(AND($E417&lt;&gt;"", H417&lt;&gt;""), H417/$E417, 0),"")</f>
        <v/>
      </c>
      <c r="J417" s="93" t="str">
        <f>IF(AND(C417&lt;&gt;"",('Cost Inputs'!$I$120+'Cost Inputs'!$J$120+'Cost Inputs'!$K$120)&gt;0), 'Cost Inputs'!$I$120+'Cost Inputs'!$J$120+'Cost Inputs'!$K$120, "")</f>
        <v/>
      </c>
      <c r="K417" s="93" t="str">
        <f>IF($C417&lt;&gt;"", IF(AND($E417&lt;&gt;"", J417&lt;&gt;""), J417/$E417, 0),"")</f>
        <v/>
      </c>
      <c r="L417" s="525"/>
      <c r="M417" s="525"/>
      <c r="T417" s="93" t="str">
        <f>IF(ISNUMBER('Model_ of_individuals'!T433), 'Model_ of_individuals'!T433*'Model_ of_individuals'!$K433,"")</f>
        <v/>
      </c>
      <c r="U417" s="93" t="str">
        <f>IF(ISNUMBER('Model_ of_individuals'!U433), 'Model_ of_individuals'!U433*'Model_ of_individuals'!$K433,"")</f>
        <v/>
      </c>
      <c r="V417" s="93" t="str">
        <f>IF(ISNUMBER('Model_ of_individuals'!V433), 'Model_ of_individuals'!V433*'Model_ of_individuals'!$K433,"")</f>
        <v/>
      </c>
      <c r="W417" s="93" t="str">
        <f>IF(ISNUMBER('Model_ of_individuals'!W433), 'Model_ of_individuals'!W433*'Model_ of_individuals'!$K433,"")</f>
        <v/>
      </c>
      <c r="X417" s="93" t="str">
        <f>IF(ISNUMBER('Model_ of_individuals'!X433), 'Model_ of_individuals'!X433*'Model_ of_individuals'!$K433,"")</f>
        <v/>
      </c>
      <c r="Y417" s="93" t="str">
        <f>IF(ISNUMBER('Model_ of_individuals'!Y433), 'Model_ of_individuals'!Y433*'Model_ of_individuals'!$K433,"")</f>
        <v/>
      </c>
      <c r="Z417" s="93" t="str">
        <f>IF(ISNUMBER('Model_ of_individuals'!Z433), 'Model_ of_individuals'!Z433*'Model_ of_individuals'!$K433,"")</f>
        <v/>
      </c>
      <c r="AA417" s="93" t="str">
        <f>IF(ISNUMBER('Model_ of_individuals'!AA433), 'Model_ of_individuals'!AA433*'Model_ of_individuals'!$K433,"")</f>
        <v/>
      </c>
      <c r="AB417" s="93" t="str">
        <f>IF(ISNUMBER('Model_ of_individuals'!AB433), 'Model_ of_individuals'!AB433*'Model_ of_individuals'!$K433,"")</f>
        <v/>
      </c>
      <c r="AC417" s="93" t="str">
        <f>IF(ISNUMBER('Model_ of_individuals'!AC433), 'Model_ of_individuals'!AC433*'Model_ of_individuals'!$K433,"")</f>
        <v/>
      </c>
      <c r="AD417" s="93" t="str">
        <f>IF(ISNUMBER('Model_ of_individuals'!AD433), 'Model_ of_individuals'!AD433*'Model_ of_individuals'!$K433,"")</f>
        <v/>
      </c>
      <c r="AE417" s="93" t="str">
        <f>IF(ISNUMBER('Model_ of_individuals'!AE433), 'Model_ of_individuals'!AE433*'Model_ of_individuals'!$K433,"")</f>
        <v/>
      </c>
      <c r="AF417" s="93" t="str">
        <f>IF(ISNUMBER('Model_ of_individuals'!AF433), 'Model_ of_individuals'!AF433*'Model_ of_individuals'!$K433,"")</f>
        <v/>
      </c>
      <c r="AG417" s="93" t="str">
        <f>IF(ISNUMBER('Model_ of_individuals'!AG433), 'Model_ of_individuals'!AG433*'Model_ of_individuals'!$K433,"")</f>
        <v/>
      </c>
      <c r="AH417" s="93" t="str">
        <f>IF(ISNUMBER('Model_ of_individuals'!AH433), 'Model_ of_individuals'!AH433*'Model_ of_individuals'!$K433,"")</f>
        <v/>
      </c>
      <c r="AI417" s="93" t="str">
        <f>IF(ISNUMBER('Model_ of_individuals'!AI433), 'Model_ of_individuals'!AI433*'Model_ of_individuals'!$K433,"")</f>
        <v/>
      </c>
      <c r="AJ417" s="93" t="str">
        <f>IF(ISNUMBER('Model_ of_individuals'!AJ433), 'Model_ of_individuals'!AJ433*'Model_ of_individuals'!$K433,"")</f>
        <v/>
      </c>
      <c r="AK417" s="93" t="str">
        <f>IF(ISNUMBER('Model_ of_individuals'!AK433), 'Model_ of_individuals'!AK433*'Model_ of_individuals'!$K433,"")</f>
        <v/>
      </c>
      <c r="AL417" s="93" t="str">
        <f>IF(ISNUMBER('Model_ of_individuals'!AL433), 'Model_ of_individuals'!AL433*'Model_ of_individuals'!$K433,"")</f>
        <v/>
      </c>
      <c r="AM417" s="93" t="str">
        <f>IF(ISNUMBER('Model_ of_individuals'!AM433), 'Model_ of_individuals'!AM433*'Model_ of_individuals'!$K433,"")</f>
        <v/>
      </c>
      <c r="AN417" s="93" t="str">
        <f>IF(ISNUMBER('Model_ of_individuals'!AN433), 'Model_ of_individuals'!AN433*'Model_ of_individuals'!$K433,"")</f>
        <v/>
      </c>
      <c r="AO417" s="93" t="str">
        <f>IF(ISNUMBER('Model_ of_individuals'!AO433), 'Model_ of_individuals'!AO433*'Model_ of_individuals'!$K433,"")</f>
        <v/>
      </c>
      <c r="AP417" s="93" t="str">
        <f>IF(ISNUMBER('Model_ of_individuals'!AP433), 'Model_ of_individuals'!AP433*'Model_ of_individuals'!$K433,"")</f>
        <v/>
      </c>
      <c r="AQ417" s="93" t="str">
        <f>IF(ISNUMBER('Model_ of_individuals'!AQ433), 'Model_ of_individuals'!AQ433*'Model_ of_individuals'!$K433,"")</f>
        <v/>
      </c>
      <c r="AR417" s="93" t="str">
        <f>IF(ISNUMBER('Model_ of_individuals'!AR433), 'Model_ of_individuals'!AR433*'Model_ of_individuals'!$K433,"")</f>
        <v/>
      </c>
      <c r="AS417" s="93" t="str">
        <f>IF(ISNUMBER('Model_ of_individuals'!AS433), 'Model_ of_individuals'!AS433*'Model_ of_individuals'!$K433,"")</f>
        <v/>
      </c>
      <c r="AT417" s="93" t="str">
        <f>IF(ISNUMBER('Model_ of_individuals'!AT433), 'Model_ of_individuals'!AT433*'Model_ of_individuals'!$K433,"")</f>
        <v/>
      </c>
      <c r="AU417" s="93" t="str">
        <f>IF(ISNUMBER('Model_ of_individuals'!AU433), 'Model_ of_individuals'!AU433*'Model_ of_individuals'!$K433,"")</f>
        <v/>
      </c>
    </row>
    <row r="418" spans="1:48" x14ac:dyDescent="0.25">
      <c r="A418" s="518"/>
      <c r="B418" s="504"/>
      <c r="C418" s="104" t="str">
        <f>IF(AND(ISNUMBER(B402), C413&lt;&gt;"", OR('Cost Inputs'!$H$121&lt;&gt;"", 'Cost Inputs'!$I$121&lt;&gt;"", 'Cost Inputs'!$J$121&lt;&gt;"")), _4_5_3, "")</f>
        <v/>
      </c>
      <c r="D418" s="17" t="str">
        <f>IF(AND(C418&lt;&gt;"", 'Cost Inputs'!$G$121&lt;&gt;""), 'Cost Inputs'!$G$121, "")</f>
        <v/>
      </c>
      <c r="E418" s="17" t="str">
        <f>IF(AND(C418&lt;&gt;"", 'Cost Inputs'!$H$121&lt;&gt;""), 'Cost Inputs'!$H$121, "")</f>
        <v/>
      </c>
      <c r="F418" s="17" t="str">
        <f>IF(AND(C418&lt;&gt;"", 'Cost Inputs'!$I$121&lt;&gt;""), 'Cost Inputs'!$I$121, "")</f>
        <v/>
      </c>
      <c r="G418" s="105" t="str">
        <f t="shared" si="32"/>
        <v/>
      </c>
      <c r="H418" s="17" t="str">
        <f>IF(AND(C418&lt;&gt;"", 'Cost Inputs'!$J$121&lt;&gt;""), 'Cost Inputs'!$J$121, "")</f>
        <v/>
      </c>
      <c r="I418" s="17" t="str">
        <f>IF($C418&lt;&gt;"", IF(AND($E418&lt;&gt;"", H418&lt;&gt;""), H418/$E418, 0),"")</f>
        <v/>
      </c>
      <c r="J418" s="17" t="str">
        <f>IF(AND(C418&lt;&gt;"",('Cost Inputs'!$I$121+'Cost Inputs'!$J$121+'Cost Inputs'!$K$121)&gt;0), 'Cost Inputs'!$I$121+'Cost Inputs'!$J$121+'Cost Inputs'!$K$121, "")</f>
        <v/>
      </c>
      <c r="K418" s="17" t="str">
        <f>IF($C418&lt;&gt;"", IF(AND($E418&lt;&gt;"", J418&lt;&gt;""), J418/$E418, 0),"")</f>
        <v/>
      </c>
      <c r="L418" s="525"/>
      <c r="M418" s="525"/>
      <c r="T418" s="17" t="str">
        <f>IF(ISNUMBER('Model_ of_individuals'!T434), 'Model_ of_individuals'!T434*'Model_ of_individuals'!$K434,"")</f>
        <v/>
      </c>
      <c r="U418" s="17" t="str">
        <f>IF(ISNUMBER('Model_ of_individuals'!U434), 'Model_ of_individuals'!U434*'Model_ of_individuals'!$K434,"")</f>
        <v/>
      </c>
      <c r="V418" s="17" t="str">
        <f>IF(ISNUMBER('Model_ of_individuals'!V434), 'Model_ of_individuals'!V434*'Model_ of_individuals'!$K434,"")</f>
        <v/>
      </c>
      <c r="W418" s="17" t="str">
        <f>IF(ISNUMBER('Model_ of_individuals'!W434), 'Model_ of_individuals'!W434*'Model_ of_individuals'!$K434,"")</f>
        <v/>
      </c>
      <c r="X418" s="17" t="str">
        <f>IF(ISNUMBER('Model_ of_individuals'!X434), 'Model_ of_individuals'!X434*'Model_ of_individuals'!$K434,"")</f>
        <v/>
      </c>
      <c r="Y418" s="17" t="str">
        <f>IF(ISNUMBER('Model_ of_individuals'!Y434), 'Model_ of_individuals'!Y434*'Model_ of_individuals'!$K434,"")</f>
        <v/>
      </c>
      <c r="Z418" s="17" t="str">
        <f>IF(ISNUMBER('Model_ of_individuals'!Z434), 'Model_ of_individuals'!Z434*'Model_ of_individuals'!$K434,"")</f>
        <v/>
      </c>
      <c r="AA418" s="17" t="str">
        <f>IF(ISNUMBER('Model_ of_individuals'!AA434), 'Model_ of_individuals'!AA434*'Model_ of_individuals'!$K434,"")</f>
        <v/>
      </c>
      <c r="AB418" s="17" t="str">
        <f>IF(ISNUMBER('Model_ of_individuals'!AB434), 'Model_ of_individuals'!AB434*'Model_ of_individuals'!$K434,"")</f>
        <v/>
      </c>
      <c r="AC418" s="17" t="str">
        <f>IF(ISNUMBER('Model_ of_individuals'!AC434), 'Model_ of_individuals'!AC434*'Model_ of_individuals'!$K434,"")</f>
        <v/>
      </c>
      <c r="AD418" s="17" t="str">
        <f>IF(ISNUMBER('Model_ of_individuals'!AD434), 'Model_ of_individuals'!AD434*'Model_ of_individuals'!$K434,"")</f>
        <v/>
      </c>
      <c r="AE418" s="17" t="str">
        <f>IF(ISNUMBER('Model_ of_individuals'!AE434), 'Model_ of_individuals'!AE434*'Model_ of_individuals'!$K434,"")</f>
        <v/>
      </c>
      <c r="AF418" s="17" t="str">
        <f>IF(ISNUMBER('Model_ of_individuals'!AF434), 'Model_ of_individuals'!AF434*'Model_ of_individuals'!$K434,"")</f>
        <v/>
      </c>
      <c r="AG418" s="17" t="str">
        <f>IF(ISNUMBER('Model_ of_individuals'!AG434), 'Model_ of_individuals'!AG434*'Model_ of_individuals'!$K434,"")</f>
        <v/>
      </c>
      <c r="AH418" s="17" t="str">
        <f>IF(ISNUMBER('Model_ of_individuals'!AH434), 'Model_ of_individuals'!AH434*'Model_ of_individuals'!$K434,"")</f>
        <v/>
      </c>
      <c r="AI418" s="17" t="str">
        <f>IF(ISNUMBER('Model_ of_individuals'!AI434), 'Model_ of_individuals'!AI434*'Model_ of_individuals'!$K434,"")</f>
        <v/>
      </c>
      <c r="AJ418" s="17" t="str">
        <f>IF(ISNUMBER('Model_ of_individuals'!AJ434), 'Model_ of_individuals'!AJ434*'Model_ of_individuals'!$K434,"")</f>
        <v/>
      </c>
      <c r="AK418" s="17" t="str">
        <f>IF(ISNUMBER('Model_ of_individuals'!AK434), 'Model_ of_individuals'!AK434*'Model_ of_individuals'!$K434,"")</f>
        <v/>
      </c>
      <c r="AL418" s="17" t="str">
        <f>IF(ISNUMBER('Model_ of_individuals'!AL434), 'Model_ of_individuals'!AL434*'Model_ of_individuals'!$K434,"")</f>
        <v/>
      </c>
      <c r="AM418" s="17" t="str">
        <f>IF(ISNUMBER('Model_ of_individuals'!AM434), 'Model_ of_individuals'!AM434*'Model_ of_individuals'!$K434,"")</f>
        <v/>
      </c>
      <c r="AN418" s="17" t="str">
        <f>IF(ISNUMBER('Model_ of_individuals'!AN434), 'Model_ of_individuals'!AN434*'Model_ of_individuals'!$K434,"")</f>
        <v/>
      </c>
      <c r="AO418" s="17" t="str">
        <f>IF(ISNUMBER('Model_ of_individuals'!AO434), 'Model_ of_individuals'!AO434*'Model_ of_individuals'!$K434,"")</f>
        <v/>
      </c>
      <c r="AP418" s="17" t="str">
        <f>IF(ISNUMBER('Model_ of_individuals'!AP434), 'Model_ of_individuals'!AP434*'Model_ of_individuals'!$K434,"")</f>
        <v/>
      </c>
      <c r="AQ418" s="17" t="str">
        <f>IF(ISNUMBER('Model_ of_individuals'!AQ434), 'Model_ of_individuals'!AQ434*'Model_ of_individuals'!$K434,"")</f>
        <v/>
      </c>
      <c r="AR418" s="17" t="str">
        <f>IF(ISNUMBER('Model_ of_individuals'!AR434), 'Model_ of_individuals'!AR434*'Model_ of_individuals'!$K434,"")</f>
        <v/>
      </c>
      <c r="AS418" s="17" t="str">
        <f>IF(ISNUMBER('Model_ of_individuals'!AS434), 'Model_ of_individuals'!AS434*'Model_ of_individuals'!$K434,"")</f>
        <v/>
      </c>
      <c r="AT418" s="17" t="str">
        <f>IF(ISNUMBER('Model_ of_individuals'!AT434), 'Model_ of_individuals'!AT434*'Model_ of_individuals'!$K434,"")</f>
        <v/>
      </c>
      <c r="AU418" s="17" t="str">
        <f>IF(ISNUMBER('Model_ of_individuals'!AU434), 'Model_ of_individuals'!AU434*'Model_ of_individuals'!$K434,"")</f>
        <v/>
      </c>
    </row>
    <row r="419" spans="1:48" x14ac:dyDescent="0.25">
      <c r="A419" s="518"/>
      <c r="B419" s="504"/>
      <c r="C419" s="107" t="str">
        <f>IF(AND(ISNUMBER(B402), C413&lt;&gt;"", OR('Cost Inputs'!$H$122&lt;&gt;"", 'Cost Inputs'!$I$122&lt;&gt;"", 'Cost Inputs'!$J$122&lt;&gt;"")), _4_5_2, "")</f>
        <v/>
      </c>
      <c r="D419" s="93" t="str">
        <f>IF(AND(C419&lt;&gt;"", 'Cost Inputs'!$G$122&lt;&gt;""), 'Cost Inputs'!$G$122, "")</f>
        <v/>
      </c>
      <c r="E419" s="93" t="str">
        <f>IF(AND(C419&lt;&gt;"", 'Cost Inputs'!$H$122&lt;&gt;""), 'Cost Inputs'!$H$122, "")</f>
        <v/>
      </c>
      <c r="F419" s="93" t="str">
        <f>IF(AND(C419&lt;&gt;"", 'Cost Inputs'!$I$122&lt;&gt;""), 'Cost Inputs'!$I$122, "")</f>
        <v/>
      </c>
      <c r="G419" s="108" t="str">
        <f t="shared" si="32"/>
        <v/>
      </c>
      <c r="H419" s="93" t="str">
        <f>IF(AND(C419&lt;&gt;"", 'Cost Inputs'!$J$122&lt;&gt;""), 'Cost Inputs'!$J$122, "")</f>
        <v/>
      </c>
      <c r="I419" s="93" t="str">
        <f>IF($C419&lt;&gt;"", IF(AND($E419&lt;&gt;"", H419&lt;&gt;""), H419/$E419, 0),"")</f>
        <v/>
      </c>
      <c r="J419" s="93" t="str">
        <f>IF(AND(C419&lt;&gt;"",('Cost Inputs'!$I$122+'Cost Inputs'!$J$122+'Cost Inputs'!$K$122)&gt;0), 'Cost Inputs'!$I$122+'Cost Inputs'!$J$122+'Cost Inputs'!$K$122, "")</f>
        <v/>
      </c>
      <c r="K419" s="93" t="str">
        <f>IF($C419&lt;&gt;"", IF(AND($E419&lt;&gt;"", J419&lt;&gt;""), J419/$E419, 0),"")</f>
        <v/>
      </c>
      <c r="L419" s="525"/>
      <c r="M419" s="525"/>
      <c r="T419" s="93" t="str">
        <f>IF(ISNUMBER('Model_ of_individuals'!T435), 'Model_ of_individuals'!T435*'Model_ of_individuals'!$K435,"")</f>
        <v/>
      </c>
      <c r="U419" s="93" t="str">
        <f>IF(ISNUMBER('Model_ of_individuals'!U435), 'Model_ of_individuals'!U435*'Model_ of_individuals'!$K435,"")</f>
        <v/>
      </c>
      <c r="V419" s="93" t="str">
        <f>IF(ISNUMBER('Model_ of_individuals'!V435), 'Model_ of_individuals'!V435*'Model_ of_individuals'!$K435,"")</f>
        <v/>
      </c>
      <c r="W419" s="93" t="str">
        <f>IF(ISNUMBER('Model_ of_individuals'!W435), 'Model_ of_individuals'!W435*'Model_ of_individuals'!$K435,"")</f>
        <v/>
      </c>
      <c r="X419" s="93" t="str">
        <f>IF(ISNUMBER('Model_ of_individuals'!X435), 'Model_ of_individuals'!X435*'Model_ of_individuals'!$K435,"")</f>
        <v/>
      </c>
      <c r="Y419" s="93" t="str">
        <f>IF(ISNUMBER('Model_ of_individuals'!Y435), 'Model_ of_individuals'!Y435*'Model_ of_individuals'!$K435,"")</f>
        <v/>
      </c>
      <c r="Z419" s="93" t="str">
        <f>IF(ISNUMBER('Model_ of_individuals'!Z435), 'Model_ of_individuals'!Z435*'Model_ of_individuals'!$K435,"")</f>
        <v/>
      </c>
      <c r="AA419" s="93" t="str">
        <f>IF(ISNUMBER('Model_ of_individuals'!AA435), 'Model_ of_individuals'!AA435*'Model_ of_individuals'!$K435,"")</f>
        <v/>
      </c>
      <c r="AB419" s="93" t="str">
        <f>IF(ISNUMBER('Model_ of_individuals'!AB435), 'Model_ of_individuals'!AB435*'Model_ of_individuals'!$K435,"")</f>
        <v/>
      </c>
      <c r="AC419" s="93" t="str">
        <f>IF(ISNUMBER('Model_ of_individuals'!AC435), 'Model_ of_individuals'!AC435*'Model_ of_individuals'!$K435,"")</f>
        <v/>
      </c>
      <c r="AD419" s="93" t="str">
        <f>IF(ISNUMBER('Model_ of_individuals'!AD435), 'Model_ of_individuals'!AD435*'Model_ of_individuals'!$K435,"")</f>
        <v/>
      </c>
      <c r="AE419" s="93" t="str">
        <f>IF(ISNUMBER('Model_ of_individuals'!AE435), 'Model_ of_individuals'!AE435*'Model_ of_individuals'!$K435,"")</f>
        <v/>
      </c>
      <c r="AF419" s="93" t="str">
        <f>IF(ISNUMBER('Model_ of_individuals'!AF435), 'Model_ of_individuals'!AF435*'Model_ of_individuals'!$K435,"")</f>
        <v/>
      </c>
      <c r="AG419" s="93" t="str">
        <f>IF(ISNUMBER('Model_ of_individuals'!AG435), 'Model_ of_individuals'!AG435*'Model_ of_individuals'!$K435,"")</f>
        <v/>
      </c>
      <c r="AH419" s="93" t="str">
        <f>IF(ISNUMBER('Model_ of_individuals'!AH435), 'Model_ of_individuals'!AH435*'Model_ of_individuals'!$K435,"")</f>
        <v/>
      </c>
      <c r="AI419" s="93" t="str">
        <f>IF(ISNUMBER('Model_ of_individuals'!AI435), 'Model_ of_individuals'!AI435*'Model_ of_individuals'!$K435,"")</f>
        <v/>
      </c>
      <c r="AJ419" s="93" t="str">
        <f>IF(ISNUMBER('Model_ of_individuals'!AJ435), 'Model_ of_individuals'!AJ435*'Model_ of_individuals'!$K435,"")</f>
        <v/>
      </c>
      <c r="AK419" s="93" t="str">
        <f>IF(ISNUMBER('Model_ of_individuals'!AK435), 'Model_ of_individuals'!AK435*'Model_ of_individuals'!$K435,"")</f>
        <v/>
      </c>
      <c r="AL419" s="93" t="str">
        <f>IF(ISNUMBER('Model_ of_individuals'!AL435), 'Model_ of_individuals'!AL435*'Model_ of_individuals'!$K435,"")</f>
        <v/>
      </c>
      <c r="AM419" s="93" t="str">
        <f>IF(ISNUMBER('Model_ of_individuals'!AM435), 'Model_ of_individuals'!AM435*'Model_ of_individuals'!$K435,"")</f>
        <v/>
      </c>
      <c r="AN419" s="93" t="str">
        <f>IF(ISNUMBER('Model_ of_individuals'!AN435), 'Model_ of_individuals'!AN435*'Model_ of_individuals'!$K435,"")</f>
        <v/>
      </c>
      <c r="AO419" s="93" t="str">
        <f>IF(ISNUMBER('Model_ of_individuals'!AO435), 'Model_ of_individuals'!AO435*'Model_ of_individuals'!$K435,"")</f>
        <v/>
      </c>
      <c r="AP419" s="93" t="str">
        <f>IF(ISNUMBER('Model_ of_individuals'!AP435), 'Model_ of_individuals'!AP435*'Model_ of_individuals'!$K435,"")</f>
        <v/>
      </c>
      <c r="AQ419" s="93" t="str">
        <f>IF(ISNUMBER('Model_ of_individuals'!AQ435), 'Model_ of_individuals'!AQ435*'Model_ of_individuals'!$K435,"")</f>
        <v/>
      </c>
      <c r="AR419" s="93" t="str">
        <f>IF(ISNUMBER('Model_ of_individuals'!AR435), 'Model_ of_individuals'!AR435*'Model_ of_individuals'!$K435,"")</f>
        <v/>
      </c>
      <c r="AS419" s="93" t="str">
        <f>IF(ISNUMBER('Model_ of_individuals'!AS435), 'Model_ of_individuals'!AS435*'Model_ of_individuals'!$K435,"")</f>
        <v/>
      </c>
      <c r="AT419" s="93" t="str">
        <f>IF(ISNUMBER('Model_ of_individuals'!AT435), 'Model_ of_individuals'!AT435*'Model_ of_individuals'!$K435,"")</f>
        <v/>
      </c>
      <c r="AU419" s="93" t="str">
        <f>IF(ISNUMBER('Model_ of_individuals'!AU435), 'Model_ of_individuals'!AU435*'Model_ of_individuals'!$K435,"")</f>
        <v/>
      </c>
    </row>
    <row r="420" spans="1:48" x14ac:dyDescent="0.25">
      <c r="A420" s="518"/>
      <c r="B420" s="504"/>
      <c r="C420" s="104" t="str">
        <f>IF(AND(ISNUMBER(B402), C413&lt;&gt;"", OR('Cost Inputs'!$H$123&lt;&gt;"", 'Cost Inputs'!$I$123&lt;&gt;"", 'Cost Inputs'!$J$123&lt;&gt;"")), _4_5_3, "")</f>
        <v/>
      </c>
      <c r="D420" s="17" t="str">
        <f>IF(AND(C420&lt;&gt;"", 'Cost Inputs'!$G$123&lt;&gt;""), 'Cost Inputs'!$G$123, "")</f>
        <v/>
      </c>
      <c r="E420" s="17" t="str">
        <f>IF(AND(C420&lt;&gt;"", 'Cost Inputs'!$H$123&lt;&gt;""), 'Cost Inputs'!$H$123, "")</f>
        <v/>
      </c>
      <c r="F420" s="17" t="str">
        <f>IF(AND(C420&lt;&gt;"", 'Cost Inputs'!$I$123&lt;&gt;""), 'Cost Inputs'!$I$123, "")</f>
        <v/>
      </c>
      <c r="G420" s="105" t="str">
        <f t="shared" si="32"/>
        <v/>
      </c>
      <c r="H420" s="17" t="str">
        <f>IF(AND(C420&lt;&gt;"", 'Cost Inputs'!$J$123&lt;&gt;""), 'Cost Inputs'!$J$123, "")</f>
        <v/>
      </c>
      <c r="I420" s="17" t="str">
        <f>IF($C420&lt;&gt;"", IF(AND($E420&lt;&gt;"", H420&lt;&gt;""), H420/$E420, 0),"")</f>
        <v/>
      </c>
      <c r="J420" s="17" t="str">
        <f>IF(AND(C420&lt;&gt;"",('Cost Inputs'!$I$123+'Cost Inputs'!$J$123+'Cost Inputs'!$K$123)&gt;0), 'Cost Inputs'!$I$123+'Cost Inputs'!$J$123+'Cost Inputs'!$K$123, "")</f>
        <v/>
      </c>
      <c r="K420" s="17" t="str">
        <f>IF($C420&lt;&gt;"", IF(AND($E420&lt;&gt;"", J420&lt;&gt;""), J420/$E420, 0),"")</f>
        <v/>
      </c>
      <c r="L420" s="525"/>
      <c r="M420" s="525"/>
      <c r="T420" s="17" t="str">
        <f>IF(ISNUMBER('Model_ of_individuals'!T436), 'Model_ of_individuals'!T436*'Model_ of_individuals'!$K436,"")</f>
        <v/>
      </c>
      <c r="U420" s="17" t="str">
        <f>IF(ISNUMBER('Model_ of_individuals'!U436), 'Model_ of_individuals'!U436*'Model_ of_individuals'!$K436,"")</f>
        <v/>
      </c>
      <c r="V420" s="17" t="str">
        <f>IF(ISNUMBER('Model_ of_individuals'!V436), 'Model_ of_individuals'!V436*'Model_ of_individuals'!$K436,"")</f>
        <v/>
      </c>
      <c r="W420" s="17" t="str">
        <f>IF(ISNUMBER('Model_ of_individuals'!W436), 'Model_ of_individuals'!W436*'Model_ of_individuals'!$K436,"")</f>
        <v/>
      </c>
      <c r="X420" s="17" t="str">
        <f>IF(ISNUMBER('Model_ of_individuals'!X436), 'Model_ of_individuals'!X436*'Model_ of_individuals'!$K436,"")</f>
        <v/>
      </c>
      <c r="Y420" s="17" t="str">
        <f>IF(ISNUMBER('Model_ of_individuals'!Y436), 'Model_ of_individuals'!Y436*'Model_ of_individuals'!$K436,"")</f>
        <v/>
      </c>
      <c r="Z420" s="17" t="str">
        <f>IF(ISNUMBER('Model_ of_individuals'!Z436), 'Model_ of_individuals'!Z436*'Model_ of_individuals'!$K436,"")</f>
        <v/>
      </c>
      <c r="AA420" s="17" t="str">
        <f>IF(ISNUMBER('Model_ of_individuals'!AA436), 'Model_ of_individuals'!AA436*'Model_ of_individuals'!$K436,"")</f>
        <v/>
      </c>
      <c r="AB420" s="17" t="str">
        <f>IF(ISNUMBER('Model_ of_individuals'!AB436), 'Model_ of_individuals'!AB436*'Model_ of_individuals'!$K436,"")</f>
        <v/>
      </c>
      <c r="AC420" s="17" t="str">
        <f>IF(ISNUMBER('Model_ of_individuals'!AC436), 'Model_ of_individuals'!AC436*'Model_ of_individuals'!$K436,"")</f>
        <v/>
      </c>
      <c r="AD420" s="17" t="str">
        <f>IF(ISNUMBER('Model_ of_individuals'!AD436), 'Model_ of_individuals'!AD436*'Model_ of_individuals'!$K436,"")</f>
        <v/>
      </c>
      <c r="AE420" s="17" t="str">
        <f>IF(ISNUMBER('Model_ of_individuals'!AE436), 'Model_ of_individuals'!AE436*'Model_ of_individuals'!$K436,"")</f>
        <v/>
      </c>
      <c r="AF420" s="17" t="str">
        <f>IF(ISNUMBER('Model_ of_individuals'!AF436), 'Model_ of_individuals'!AF436*'Model_ of_individuals'!$K436,"")</f>
        <v/>
      </c>
      <c r="AG420" s="17" t="str">
        <f>IF(ISNUMBER('Model_ of_individuals'!AG436), 'Model_ of_individuals'!AG436*'Model_ of_individuals'!$K436,"")</f>
        <v/>
      </c>
      <c r="AH420" s="17" t="str">
        <f>IF(ISNUMBER('Model_ of_individuals'!AH436), 'Model_ of_individuals'!AH436*'Model_ of_individuals'!$K436,"")</f>
        <v/>
      </c>
      <c r="AI420" s="17" t="str">
        <f>IF(ISNUMBER('Model_ of_individuals'!AI436), 'Model_ of_individuals'!AI436*'Model_ of_individuals'!$K436,"")</f>
        <v/>
      </c>
      <c r="AJ420" s="17" t="str">
        <f>IF(ISNUMBER('Model_ of_individuals'!AJ436), 'Model_ of_individuals'!AJ436*'Model_ of_individuals'!$K436,"")</f>
        <v/>
      </c>
      <c r="AK420" s="17" t="str">
        <f>IF(ISNUMBER('Model_ of_individuals'!AK436), 'Model_ of_individuals'!AK436*'Model_ of_individuals'!$K436,"")</f>
        <v/>
      </c>
      <c r="AL420" s="17" t="str">
        <f>IF(ISNUMBER('Model_ of_individuals'!AL436), 'Model_ of_individuals'!AL436*'Model_ of_individuals'!$K436,"")</f>
        <v/>
      </c>
      <c r="AM420" s="17" t="str">
        <f>IF(ISNUMBER('Model_ of_individuals'!AM436), 'Model_ of_individuals'!AM436*'Model_ of_individuals'!$K436,"")</f>
        <v/>
      </c>
      <c r="AN420" s="17" t="str">
        <f>IF(ISNUMBER('Model_ of_individuals'!AN436), 'Model_ of_individuals'!AN436*'Model_ of_individuals'!$K436,"")</f>
        <v/>
      </c>
      <c r="AO420" s="17" t="str">
        <f>IF(ISNUMBER('Model_ of_individuals'!AO436), 'Model_ of_individuals'!AO436*'Model_ of_individuals'!$K436,"")</f>
        <v/>
      </c>
      <c r="AP420" s="17" t="str">
        <f>IF(ISNUMBER('Model_ of_individuals'!AP436), 'Model_ of_individuals'!AP436*'Model_ of_individuals'!$K436,"")</f>
        <v/>
      </c>
      <c r="AQ420" s="17" t="str">
        <f>IF(ISNUMBER('Model_ of_individuals'!AQ436), 'Model_ of_individuals'!AQ436*'Model_ of_individuals'!$K436,"")</f>
        <v/>
      </c>
      <c r="AR420" s="17" t="str">
        <f>IF(ISNUMBER('Model_ of_individuals'!AR436), 'Model_ of_individuals'!AR436*'Model_ of_individuals'!$K436,"")</f>
        <v/>
      </c>
      <c r="AS420" s="17" t="str">
        <f>IF(ISNUMBER('Model_ of_individuals'!AS436), 'Model_ of_individuals'!AS436*'Model_ of_individuals'!$K436,"")</f>
        <v/>
      </c>
      <c r="AT420" s="17" t="str">
        <f>IF(ISNUMBER('Model_ of_individuals'!AT436), 'Model_ of_individuals'!AT436*'Model_ of_individuals'!$K436,"")</f>
        <v/>
      </c>
      <c r="AU420" s="17" t="str">
        <f>IF(ISNUMBER('Model_ of_individuals'!AU436), 'Model_ of_individuals'!AU436*'Model_ of_individuals'!$K436,"")</f>
        <v/>
      </c>
    </row>
    <row r="421" spans="1:48" x14ac:dyDescent="0.25">
      <c r="A421" s="518"/>
      <c r="B421" s="504"/>
      <c r="C421" s="110" t="str">
        <f>IF(ISNUMBER(B402), _4_6_0, "")</f>
        <v/>
      </c>
      <c r="D421" s="94" t="str">
        <f>IF(AND(C421&lt;&gt;"", 'Cost Inputs'!$G$124&lt;&gt;""), 'Cost Inputs'!$G$124, "")</f>
        <v/>
      </c>
      <c r="E421" s="94" t="str">
        <f>IF(AND(C421&lt;&gt;"", 'Cost Inputs'!$H$124&lt;&gt;""), 'Cost Inputs'!$H$124, "")</f>
        <v/>
      </c>
      <c r="F421" s="94" t="str">
        <f>IF(AND(C421&lt;&gt;"", 'Cost Inputs'!$I$124&lt;&gt;""), 'Cost Inputs'!$I$124, "")</f>
        <v/>
      </c>
      <c r="G421" s="102" t="str">
        <f t="shared" si="32"/>
        <v/>
      </c>
      <c r="H421" s="94" t="str">
        <f>IF(AND(C421&lt;&gt;"", 'Cost Inputs'!$J$124&lt;&gt;""), 'Cost Inputs'!$J$124, "")</f>
        <v/>
      </c>
      <c r="I421" s="102" t="str">
        <f>IF($C421&lt;&gt;"",IF(AND($E421&lt;&gt;"",H421&lt;&gt;""), H421/$E421, 0),"")</f>
        <v/>
      </c>
      <c r="J421" s="94" t="str">
        <f>IF(AND(C421&lt;&gt;"",('Cost Inputs'!$I$124+'Cost Inputs'!$J$124+'Cost Inputs'!$K$124)&gt;0), 'Cost Inputs'!$I$124+'Cost Inputs'!$J$124+'Cost Inputs'!$K$124, "")</f>
        <v/>
      </c>
      <c r="K421" s="102" t="str">
        <f>IF($C421&lt;&gt;"",IF(AND($E421&lt;&gt;"",J421&lt;&gt;""), J421/$E421, 0),"")</f>
        <v/>
      </c>
      <c r="L421" s="525"/>
      <c r="M421" s="525"/>
      <c r="T421" s="102" t="str">
        <f>IF(ISNUMBER('Model_ of_individuals'!T437), 'Model_ of_individuals'!T437*'Model_ of_individuals'!$K437,"")</f>
        <v/>
      </c>
      <c r="U421" s="102" t="str">
        <f>IF(ISNUMBER('Model_ of_individuals'!U437), 'Model_ of_individuals'!U437*'Model_ of_individuals'!$K437,"")</f>
        <v/>
      </c>
      <c r="V421" s="102" t="str">
        <f>IF(ISNUMBER('Model_ of_individuals'!V437), 'Model_ of_individuals'!V437*'Model_ of_individuals'!$K437,"")</f>
        <v/>
      </c>
      <c r="W421" s="102" t="str">
        <f>IF(ISNUMBER('Model_ of_individuals'!W437), 'Model_ of_individuals'!W437*'Model_ of_individuals'!$K437,"")</f>
        <v/>
      </c>
      <c r="X421" s="102" t="str">
        <f>IF(ISNUMBER('Model_ of_individuals'!X437), 'Model_ of_individuals'!X437*'Model_ of_individuals'!$K437,"")</f>
        <v/>
      </c>
      <c r="Y421" s="102" t="str">
        <f>IF(ISNUMBER('Model_ of_individuals'!Y437), 'Model_ of_individuals'!Y437*'Model_ of_individuals'!$K437,"")</f>
        <v/>
      </c>
      <c r="Z421" s="102" t="str">
        <f>IF(ISNUMBER('Model_ of_individuals'!Z437), 'Model_ of_individuals'!Z437*'Model_ of_individuals'!$K437,"")</f>
        <v/>
      </c>
      <c r="AA421" s="102" t="str">
        <f>IF(ISNUMBER('Model_ of_individuals'!AA437), 'Model_ of_individuals'!AA437*'Model_ of_individuals'!$K437,"")</f>
        <v/>
      </c>
      <c r="AB421" s="102" t="str">
        <f>IF(ISNUMBER('Model_ of_individuals'!AB437), 'Model_ of_individuals'!AB437*'Model_ of_individuals'!$K437,"")</f>
        <v/>
      </c>
      <c r="AC421" s="102" t="str">
        <f>IF(ISNUMBER('Model_ of_individuals'!AC437), 'Model_ of_individuals'!AC437*'Model_ of_individuals'!$K437,"")</f>
        <v/>
      </c>
      <c r="AD421" s="102" t="str">
        <f>IF(ISNUMBER('Model_ of_individuals'!AD437), 'Model_ of_individuals'!AD437*'Model_ of_individuals'!$K437,"")</f>
        <v/>
      </c>
      <c r="AE421" s="102" t="str">
        <f>IF(ISNUMBER('Model_ of_individuals'!AE437), 'Model_ of_individuals'!AE437*'Model_ of_individuals'!$K437,"")</f>
        <v/>
      </c>
      <c r="AF421" s="102" t="str">
        <f>IF(ISNUMBER('Model_ of_individuals'!AF437), 'Model_ of_individuals'!AF437*'Model_ of_individuals'!$K437,"")</f>
        <v/>
      </c>
      <c r="AG421" s="102" t="str">
        <f>IF(ISNUMBER('Model_ of_individuals'!AG437), 'Model_ of_individuals'!AG437*'Model_ of_individuals'!$K437,"")</f>
        <v/>
      </c>
      <c r="AH421" s="102" t="str">
        <f>IF(ISNUMBER('Model_ of_individuals'!AH437), 'Model_ of_individuals'!AH437*'Model_ of_individuals'!$K437,"")</f>
        <v/>
      </c>
      <c r="AI421" s="102" t="str">
        <f>IF(ISNUMBER('Model_ of_individuals'!AI437), 'Model_ of_individuals'!AI437*'Model_ of_individuals'!$K437,"")</f>
        <v/>
      </c>
      <c r="AJ421" s="102" t="str">
        <f>IF(ISNUMBER('Model_ of_individuals'!AJ437), 'Model_ of_individuals'!AJ437*'Model_ of_individuals'!$K437,"")</f>
        <v/>
      </c>
      <c r="AK421" s="102" t="str">
        <f>IF(ISNUMBER('Model_ of_individuals'!AK437), 'Model_ of_individuals'!AK437*'Model_ of_individuals'!$K437,"")</f>
        <v/>
      </c>
      <c r="AL421" s="102" t="str">
        <f>IF(ISNUMBER('Model_ of_individuals'!AL437), 'Model_ of_individuals'!AL437*'Model_ of_individuals'!$K437,"")</f>
        <v/>
      </c>
      <c r="AM421" s="102" t="str">
        <f>IF(ISNUMBER('Model_ of_individuals'!AM437), 'Model_ of_individuals'!AM437*'Model_ of_individuals'!$K437,"")</f>
        <v/>
      </c>
      <c r="AN421" s="102" t="str">
        <f>IF(ISNUMBER('Model_ of_individuals'!AN437), 'Model_ of_individuals'!AN437*'Model_ of_individuals'!$K437,"")</f>
        <v/>
      </c>
      <c r="AO421" s="102" t="str">
        <f>IF(ISNUMBER('Model_ of_individuals'!AO437), 'Model_ of_individuals'!AO437*'Model_ of_individuals'!$K437,"")</f>
        <v/>
      </c>
      <c r="AP421" s="102" t="str">
        <f>IF(ISNUMBER('Model_ of_individuals'!AP437), 'Model_ of_individuals'!AP437*'Model_ of_individuals'!$K437,"")</f>
        <v/>
      </c>
      <c r="AQ421" s="102" t="str">
        <f>IF(ISNUMBER('Model_ of_individuals'!AQ437), 'Model_ of_individuals'!AQ437*'Model_ of_individuals'!$K437,"")</f>
        <v/>
      </c>
      <c r="AR421" s="102" t="str">
        <f>IF(ISNUMBER('Model_ of_individuals'!AR437), 'Model_ of_individuals'!AR437*'Model_ of_individuals'!$K437,"")</f>
        <v/>
      </c>
      <c r="AS421" s="102" t="str">
        <f>IF(ISNUMBER('Model_ of_individuals'!AS437), 'Model_ of_individuals'!AS437*'Model_ of_individuals'!$K437,"")</f>
        <v/>
      </c>
      <c r="AT421" s="102" t="str">
        <f>IF(ISNUMBER('Model_ of_individuals'!AT437), 'Model_ of_individuals'!AT437*'Model_ of_individuals'!$K437,"")</f>
        <v/>
      </c>
      <c r="AU421" s="102" t="str">
        <f>IF(ISNUMBER('Model_ of_individuals'!AU437), 'Model_ of_individuals'!AU437*'Model_ of_individuals'!$K437,"")</f>
        <v/>
      </c>
    </row>
    <row r="422" spans="1:48" x14ac:dyDescent="0.25">
      <c r="A422" s="518"/>
      <c r="B422" s="504"/>
      <c r="C422" s="104" t="str">
        <f>IF(AND(ISNUMBER(B402), OR('Cost Inputs'!$H$125&lt;&gt;"", 'Cost Inputs'!$I$125&lt;&gt;"", 'Cost Inputs'!$J$125&lt;&gt;"")), _4_5_3, "")</f>
        <v/>
      </c>
      <c r="D422" s="17" t="str">
        <f>IF(AND(C422&lt;&gt;"", 'Cost Inputs'!$G$125&lt;&gt;""), 'Cost Inputs'!$G$125, "")</f>
        <v/>
      </c>
      <c r="E422" s="17" t="str">
        <f>IF(AND(C422&lt;&gt;"", 'Cost Inputs'!$H$125&lt;&gt;""), 'Cost Inputs'!$H$125, "")</f>
        <v/>
      </c>
      <c r="F422" s="17" t="str">
        <f>IF(AND(C422&lt;&gt;"", 'Cost Inputs'!$I$125&lt;&gt;""), 'Cost Inputs'!$I$125, "")</f>
        <v/>
      </c>
      <c r="G422" s="105" t="str">
        <f t="shared" si="32"/>
        <v/>
      </c>
      <c r="H422" s="17" t="str">
        <f>IF(AND(C422&lt;&gt;"", 'Cost Inputs'!$J$125&lt;&gt;""), 'Cost Inputs'!$J$125, "")</f>
        <v/>
      </c>
      <c r="I422" s="17" t="str">
        <f>IF($C422&lt;&gt;"", IF(AND($E422&lt;&gt;"", H422&lt;&gt;""), H422/$E422, 0),"")</f>
        <v/>
      </c>
      <c r="J422" s="17" t="str">
        <f>IF(AND(C422&lt;&gt;"",('Cost Inputs'!$I$125+'Cost Inputs'!$J$125+'Cost Inputs'!$K$125)&gt;0), 'Cost Inputs'!$I$125+'Cost Inputs'!$J$125+'Cost Inputs'!$K$125, "")</f>
        <v/>
      </c>
      <c r="K422" s="17" t="str">
        <f>IF($C422&lt;&gt;"", IF(AND($E422&lt;&gt;"", J422&lt;&gt;""), J422/$E422, 0),"")</f>
        <v/>
      </c>
      <c r="L422" s="525"/>
      <c r="M422" s="525"/>
      <c r="T422" s="17" t="str">
        <f>IF(ISNUMBER('Model_ of_individuals'!T438), 'Model_ of_individuals'!T438*'Model_ of_individuals'!$K438,"")</f>
        <v/>
      </c>
      <c r="U422" s="17" t="str">
        <f>IF(ISNUMBER('Model_ of_individuals'!U438), 'Model_ of_individuals'!U438*'Model_ of_individuals'!$K438,"")</f>
        <v/>
      </c>
      <c r="V422" s="17" t="str">
        <f>IF(ISNUMBER('Model_ of_individuals'!V438), 'Model_ of_individuals'!V438*'Model_ of_individuals'!$K438,"")</f>
        <v/>
      </c>
      <c r="W422" s="17" t="str">
        <f>IF(ISNUMBER('Model_ of_individuals'!W438), 'Model_ of_individuals'!W438*'Model_ of_individuals'!$K438,"")</f>
        <v/>
      </c>
      <c r="X422" s="17" t="str">
        <f>IF(ISNUMBER('Model_ of_individuals'!X438), 'Model_ of_individuals'!X438*'Model_ of_individuals'!$K438,"")</f>
        <v/>
      </c>
      <c r="Y422" s="17" t="str">
        <f>IF(ISNUMBER('Model_ of_individuals'!Y438), 'Model_ of_individuals'!Y438*'Model_ of_individuals'!$K438,"")</f>
        <v/>
      </c>
      <c r="Z422" s="17" t="str">
        <f>IF(ISNUMBER('Model_ of_individuals'!Z438), 'Model_ of_individuals'!Z438*'Model_ of_individuals'!$K438,"")</f>
        <v/>
      </c>
      <c r="AA422" s="17" t="str">
        <f>IF(ISNUMBER('Model_ of_individuals'!AA438), 'Model_ of_individuals'!AA438*'Model_ of_individuals'!$K438,"")</f>
        <v/>
      </c>
      <c r="AB422" s="17" t="str">
        <f>IF(ISNUMBER('Model_ of_individuals'!AB438), 'Model_ of_individuals'!AB438*'Model_ of_individuals'!$K438,"")</f>
        <v/>
      </c>
      <c r="AC422" s="17" t="str">
        <f>IF(ISNUMBER('Model_ of_individuals'!AC438), 'Model_ of_individuals'!AC438*'Model_ of_individuals'!$K438,"")</f>
        <v/>
      </c>
      <c r="AD422" s="17" t="str">
        <f>IF(ISNUMBER('Model_ of_individuals'!AD438), 'Model_ of_individuals'!AD438*'Model_ of_individuals'!$K438,"")</f>
        <v/>
      </c>
      <c r="AE422" s="17" t="str">
        <f>IF(ISNUMBER('Model_ of_individuals'!AE438), 'Model_ of_individuals'!AE438*'Model_ of_individuals'!$K438,"")</f>
        <v/>
      </c>
      <c r="AF422" s="17" t="str">
        <f>IF(ISNUMBER('Model_ of_individuals'!AF438), 'Model_ of_individuals'!AF438*'Model_ of_individuals'!$K438,"")</f>
        <v/>
      </c>
      <c r="AG422" s="17" t="str">
        <f>IF(ISNUMBER('Model_ of_individuals'!AG438), 'Model_ of_individuals'!AG438*'Model_ of_individuals'!$K438,"")</f>
        <v/>
      </c>
      <c r="AH422" s="17" t="str">
        <f>IF(ISNUMBER('Model_ of_individuals'!AH438), 'Model_ of_individuals'!AH438*'Model_ of_individuals'!$K438,"")</f>
        <v/>
      </c>
      <c r="AI422" s="17" t="str">
        <f>IF(ISNUMBER('Model_ of_individuals'!AI438), 'Model_ of_individuals'!AI438*'Model_ of_individuals'!$K438,"")</f>
        <v/>
      </c>
      <c r="AJ422" s="17" t="str">
        <f>IF(ISNUMBER('Model_ of_individuals'!AJ438), 'Model_ of_individuals'!AJ438*'Model_ of_individuals'!$K438,"")</f>
        <v/>
      </c>
      <c r="AK422" s="17" t="str">
        <f>IF(ISNUMBER('Model_ of_individuals'!AK438), 'Model_ of_individuals'!AK438*'Model_ of_individuals'!$K438,"")</f>
        <v/>
      </c>
      <c r="AL422" s="17" t="str">
        <f>IF(ISNUMBER('Model_ of_individuals'!AL438), 'Model_ of_individuals'!AL438*'Model_ of_individuals'!$K438,"")</f>
        <v/>
      </c>
      <c r="AM422" s="17" t="str">
        <f>IF(ISNUMBER('Model_ of_individuals'!AM438), 'Model_ of_individuals'!AM438*'Model_ of_individuals'!$K438,"")</f>
        <v/>
      </c>
      <c r="AN422" s="17" t="str">
        <f>IF(ISNUMBER('Model_ of_individuals'!AN438), 'Model_ of_individuals'!AN438*'Model_ of_individuals'!$K438,"")</f>
        <v/>
      </c>
      <c r="AO422" s="17" t="str">
        <f>IF(ISNUMBER('Model_ of_individuals'!AO438), 'Model_ of_individuals'!AO438*'Model_ of_individuals'!$K438,"")</f>
        <v/>
      </c>
      <c r="AP422" s="17" t="str">
        <f>IF(ISNUMBER('Model_ of_individuals'!AP438), 'Model_ of_individuals'!AP438*'Model_ of_individuals'!$K438,"")</f>
        <v/>
      </c>
      <c r="AQ422" s="17" t="str">
        <f>IF(ISNUMBER('Model_ of_individuals'!AQ438), 'Model_ of_individuals'!AQ438*'Model_ of_individuals'!$K438,"")</f>
        <v/>
      </c>
      <c r="AR422" s="17" t="str">
        <f>IF(ISNUMBER('Model_ of_individuals'!AR438), 'Model_ of_individuals'!AR438*'Model_ of_individuals'!$K438,"")</f>
        <v/>
      </c>
      <c r="AS422" s="17" t="str">
        <f>IF(ISNUMBER('Model_ of_individuals'!AS438), 'Model_ of_individuals'!AS438*'Model_ of_individuals'!$K438,"")</f>
        <v/>
      </c>
      <c r="AT422" s="17" t="str">
        <f>IF(ISNUMBER('Model_ of_individuals'!AT438), 'Model_ of_individuals'!AT438*'Model_ of_individuals'!$K438,"")</f>
        <v/>
      </c>
      <c r="AU422" s="17" t="str">
        <f>IF(ISNUMBER('Model_ of_individuals'!AU438), 'Model_ of_individuals'!AU438*'Model_ of_individuals'!$K438,"")</f>
        <v/>
      </c>
    </row>
    <row r="423" spans="1:48" ht="15.75" thickBot="1" x14ac:dyDescent="0.3">
      <c r="A423" s="518"/>
      <c r="B423" s="505"/>
      <c r="C423" s="107" t="str">
        <f>IF(AND(ISNUMBER(B402), OR('Cost Inputs'!$H$126&lt;&gt;"", 'Cost Inputs'!$I$126&lt;&gt;"", 'Cost Inputs'!$J$126&lt;&gt;"")), _4_5_2, "")</f>
        <v/>
      </c>
      <c r="D423" s="93" t="str">
        <f>IF(AND(C423&lt;&gt;"", 'Cost Inputs'!$G$126&lt;&gt;""), 'Cost Inputs'!$G$126, "")</f>
        <v/>
      </c>
      <c r="E423" s="93" t="str">
        <f>IF(AND(C423&lt;&gt;"", 'Cost Inputs'!$H$126&lt;&gt;""), 'Cost Inputs'!$H$126, "")</f>
        <v/>
      </c>
      <c r="F423" s="93" t="str">
        <f>IF(AND(C423&lt;&gt;"", 'Cost Inputs'!$I$126&lt;&gt;""), 'Cost Inputs'!$I$126, "")</f>
        <v/>
      </c>
      <c r="G423" s="108" t="str">
        <f t="shared" si="32"/>
        <v/>
      </c>
      <c r="H423" s="93" t="str">
        <f>IF(AND(C423&lt;&gt;"", 'Cost Inputs'!$J$126&lt;&gt;""), 'Cost Inputs'!$J$126, "")</f>
        <v/>
      </c>
      <c r="I423" s="93" t="str">
        <f>IF($C423&lt;&gt;"", IF(AND($E423&lt;&gt;"", H423&lt;&gt;""), H423/$E423, 0),"")</f>
        <v/>
      </c>
      <c r="J423" s="93" t="str">
        <f>IF(AND(C423&lt;&gt;"",('Cost Inputs'!$I$126+'Cost Inputs'!$J$126+'Cost Inputs'!$K$126)&gt;0), 'Cost Inputs'!$I$126+'Cost Inputs'!$J$126+'Cost Inputs'!$K$126, "")</f>
        <v/>
      </c>
      <c r="K423" s="93" t="str">
        <f>IF($C423&lt;&gt;"", IF(AND($E423&lt;&gt;"", J423&lt;&gt;""), J423/$E423, 0),"")</f>
        <v/>
      </c>
      <c r="L423" s="525"/>
      <c r="M423" s="525"/>
      <c r="T423" s="95" t="str">
        <f>IF(ISNUMBER('Model_ of_individuals'!T439), 'Model_ of_individuals'!T439*'Model_ of_individuals'!$K439,"")</f>
        <v/>
      </c>
      <c r="U423" s="95" t="str">
        <f>IF(ISNUMBER('Model_ of_individuals'!U439), 'Model_ of_individuals'!U439*'Model_ of_individuals'!$K439,"")</f>
        <v/>
      </c>
      <c r="V423" s="95" t="str">
        <f>IF(ISNUMBER('Model_ of_individuals'!V439), 'Model_ of_individuals'!V439*'Model_ of_individuals'!$K439,"")</f>
        <v/>
      </c>
      <c r="W423" s="95" t="str">
        <f>IF(ISNUMBER('Model_ of_individuals'!W439), 'Model_ of_individuals'!W439*'Model_ of_individuals'!$K439,"")</f>
        <v/>
      </c>
      <c r="X423" s="95" t="str">
        <f>IF(ISNUMBER('Model_ of_individuals'!X439), 'Model_ of_individuals'!X439*'Model_ of_individuals'!$K439,"")</f>
        <v/>
      </c>
      <c r="Y423" s="95" t="str">
        <f>IF(ISNUMBER('Model_ of_individuals'!Y439), 'Model_ of_individuals'!Y439*'Model_ of_individuals'!$K439,"")</f>
        <v/>
      </c>
      <c r="Z423" s="95" t="str">
        <f>IF(ISNUMBER('Model_ of_individuals'!Z439), 'Model_ of_individuals'!Z439*'Model_ of_individuals'!$K439,"")</f>
        <v/>
      </c>
      <c r="AA423" s="95" t="str">
        <f>IF(ISNUMBER('Model_ of_individuals'!AA439), 'Model_ of_individuals'!AA439*'Model_ of_individuals'!$K439,"")</f>
        <v/>
      </c>
      <c r="AB423" s="95" t="str">
        <f>IF(ISNUMBER('Model_ of_individuals'!AB439), 'Model_ of_individuals'!AB439*'Model_ of_individuals'!$K439,"")</f>
        <v/>
      </c>
      <c r="AC423" s="95" t="str">
        <f>IF(ISNUMBER('Model_ of_individuals'!AC439), 'Model_ of_individuals'!AC439*'Model_ of_individuals'!$K439,"")</f>
        <v/>
      </c>
      <c r="AD423" s="95" t="str">
        <f>IF(ISNUMBER('Model_ of_individuals'!AD439), 'Model_ of_individuals'!AD439*'Model_ of_individuals'!$K439,"")</f>
        <v/>
      </c>
      <c r="AE423" s="95" t="str">
        <f>IF(ISNUMBER('Model_ of_individuals'!AE439), 'Model_ of_individuals'!AE439*'Model_ of_individuals'!$K439,"")</f>
        <v/>
      </c>
      <c r="AF423" s="95" t="str">
        <f>IF(ISNUMBER('Model_ of_individuals'!AF439), 'Model_ of_individuals'!AF439*'Model_ of_individuals'!$K439,"")</f>
        <v/>
      </c>
      <c r="AG423" s="95" t="str">
        <f>IF(ISNUMBER('Model_ of_individuals'!AG439), 'Model_ of_individuals'!AG439*'Model_ of_individuals'!$K439,"")</f>
        <v/>
      </c>
      <c r="AH423" s="95" t="str">
        <f>IF(ISNUMBER('Model_ of_individuals'!AH439), 'Model_ of_individuals'!AH439*'Model_ of_individuals'!$K439,"")</f>
        <v/>
      </c>
      <c r="AI423" s="95" t="str">
        <f>IF(ISNUMBER('Model_ of_individuals'!AI439), 'Model_ of_individuals'!AI439*'Model_ of_individuals'!$K439,"")</f>
        <v/>
      </c>
      <c r="AJ423" s="95" t="str">
        <f>IF(ISNUMBER('Model_ of_individuals'!AJ439), 'Model_ of_individuals'!AJ439*'Model_ of_individuals'!$K439,"")</f>
        <v/>
      </c>
      <c r="AK423" s="95" t="str">
        <f>IF(ISNUMBER('Model_ of_individuals'!AK439), 'Model_ of_individuals'!AK439*'Model_ of_individuals'!$K439,"")</f>
        <v/>
      </c>
      <c r="AL423" s="95" t="str">
        <f>IF(ISNUMBER('Model_ of_individuals'!AL439), 'Model_ of_individuals'!AL439*'Model_ of_individuals'!$K439,"")</f>
        <v/>
      </c>
      <c r="AM423" s="95" t="str">
        <f>IF(ISNUMBER('Model_ of_individuals'!AM439), 'Model_ of_individuals'!AM439*'Model_ of_individuals'!$K439,"")</f>
        <v/>
      </c>
      <c r="AN423" s="95" t="str">
        <f>IF(ISNUMBER('Model_ of_individuals'!AN439), 'Model_ of_individuals'!AN439*'Model_ of_individuals'!$K439,"")</f>
        <v/>
      </c>
      <c r="AO423" s="95" t="str">
        <f>IF(ISNUMBER('Model_ of_individuals'!AO439), 'Model_ of_individuals'!AO439*'Model_ of_individuals'!$K439,"")</f>
        <v/>
      </c>
      <c r="AP423" s="95" t="str">
        <f>IF(ISNUMBER('Model_ of_individuals'!AP439), 'Model_ of_individuals'!AP439*'Model_ of_individuals'!$K439,"")</f>
        <v/>
      </c>
      <c r="AQ423" s="95" t="str">
        <f>IF(ISNUMBER('Model_ of_individuals'!AQ439), 'Model_ of_individuals'!AQ439*'Model_ of_individuals'!$K439,"")</f>
        <v/>
      </c>
      <c r="AR423" s="95" t="str">
        <f>IF(ISNUMBER('Model_ of_individuals'!AR439), 'Model_ of_individuals'!AR439*'Model_ of_individuals'!$K439,"")</f>
        <v/>
      </c>
      <c r="AS423" s="95" t="str">
        <f>IF(ISNUMBER('Model_ of_individuals'!AS439), 'Model_ of_individuals'!AS439*'Model_ of_individuals'!$K439,"")</f>
        <v/>
      </c>
      <c r="AT423" s="95" t="str">
        <f>IF(ISNUMBER('Model_ of_individuals'!AT439), 'Model_ of_individuals'!AT439*'Model_ of_individuals'!$K439,"")</f>
        <v/>
      </c>
      <c r="AU423" s="95" t="str">
        <f>IF(ISNUMBER('Model_ of_individuals'!AU439), 'Model_ of_individuals'!AU439*'Model_ of_individuals'!$K439,"")</f>
        <v/>
      </c>
    </row>
    <row r="424" spans="1:48" ht="6.6" customHeight="1" thickBot="1" x14ac:dyDescent="0.3">
      <c r="A424" s="213"/>
      <c r="B424" s="281"/>
      <c r="C424" s="283"/>
      <c r="D424" s="114"/>
      <c r="E424" s="114"/>
      <c r="F424" s="114"/>
      <c r="G424" s="284"/>
      <c r="H424" s="114"/>
      <c r="I424" s="114"/>
      <c r="J424" s="114"/>
      <c r="K424" s="114"/>
      <c r="L424" s="285"/>
      <c r="M424" s="285"/>
      <c r="N424" s="99"/>
      <c r="O424" s="99"/>
      <c r="P424" s="99"/>
      <c r="Q424" s="99"/>
      <c r="R424" s="99"/>
      <c r="S424" s="286"/>
      <c r="T424" s="136" t="str">
        <f>IF(ISNUMBER($B$402),
IF(AND(ISNUMBER(S$401), S$401&gt;0),
IF(AND(T$269=123, Cultivar_1_Cohort_Year_Selection=$O$268,Cultivar_2_Cohort_Year_Selection=$O$268,Cultivar_3_Cohort_Year_Selection=$O$268), ROUND(MAX(0,(S$401-('Stage 2 Randomized Selection'!I$2*$M402)) - 3),0),
IF(AND(OR(T$269=123, T$269=12), Cultivar_1_Cohort_Year_Selection=$O$268,Cultivar_2_Cohort_Year_Selection=$O$268),  ROUND(MAX(0,(S$401-('Stage 2 Randomized Selection'!H$2*$M402)) - 2),0),
IF(AND(OR(T$269=123, T$269=13), Cultivar_1_Cohort_Year_Selection=$O$268,Cultivar_3_Cohort_Year_Selection=$O$268), ROUND(MAX(0,(S$401-('Stage 2 Randomized Selection'!H$2*$M402)) - 2),0),
IF(AND(OR(T$269=123, T$269=23), Cultivar_2_Cohort_Year_Selection=$O$268,Cultivar_3_Cohort_Year_Selection=$O$268), ROUND(MAX(0,(S$401-('Stage 2 Randomized Selection'!H$2*$M402)) - 2),0),
IF(AND(OR(T$269=123, T$269=12, T$269=13, T$269=1), Cultivar_1_Cohort_Year_Selection=$O$268), ROUND(MAX(0,(S$401-('Stage 2 Randomized Selection'!H$2*$M402)) - 1),0),
IF(AND(OR(T$269=123, T$269=12, T$269=23, T$269=2), Cultivar_2_Cohort_Year_Selection=$O$268), ROUND(MAX(0,(S$401-('Stage 2 Randomized Selection'!H$2*$M402)) - 1),0),
IF(AND(OR(T$269=123, T$269=13, T$269=23, T$269=3), Cultivar_3_Cohort_Year_Selection=$O$268), ROUND(MAX(0,(S$401-('Stage 2 Randomized Selection'!H$2*$M402)) - 1),0),
ROUND(MAX(0,(S$401-('Stage 2 Randomized Selection'!H$2*$M402))),0)))))))),0),"")</f>
        <v/>
      </c>
      <c r="U424" s="270" t="str">
        <f>IF(ISNUMBER($B$402),
IF(AND(ISNUMBER(T$401), T$401&gt;0),
IF(AND(U$269=123, Cultivar_1_Cohort_Year_Selection=$P$268,Cultivar_2_Cohort_Year_Selection=$P$268,Cultivar_3_Cohort_Year_Selection=$P$268), ROUND(MAX(0,(T$401-('Stage 2 Randomized Selection'!J$2*$M402)) - 3),0),
IF(AND(OR(U$269=123, U$269=12), Cultivar_1_Cohort_Year_Selection=$P$268,Cultivar_2_Cohort_Year_Selection=$P$268),  ROUND(MAX(0,(T$401-('Stage 2 Randomized Selection'!I$2*$M402)) - 2),0),
IF(AND(OR(U$269=123, U$269=13), Cultivar_1_Cohort_Year_Selection=$P$268,Cultivar_3_Cohort_Year_Selection=$P$268), ROUND(MAX(0,(T$401-('Stage 2 Randomized Selection'!I$2*$M402)) - 2),0),
IF(AND(OR(U$269=123, U$269=23), Cultivar_2_Cohort_Year_Selection=$P$268,Cultivar_3_Cohort_Year_Selection=$P$268), ROUND(MAX(0,(T$401-('Stage 2 Randomized Selection'!I$2*$M402)) - 2),0),
IF(AND(OR(U$269=123, U$269=12, U$269=13, U$269=1), Cultivar_1_Cohort_Year_Selection=$P$268), ROUND(MAX(0,(T$401-('Stage 2 Randomized Selection'!I$2*$M402)) - 1),0),
IF(AND(OR(U$269=123, U$269=12, U$269=23, U$269=2), Cultivar_2_Cohort_Year_Selection=$P$268), ROUND(MAX(0,(T$401-('Stage 2 Randomized Selection'!I$2*$M402)) - 1),0),
IF(AND(OR(U$269=123, U$269=13, U$269=23, U$269=3), Cultivar_3_Cohort_Year_Selection=$P$268), ROUND(MAX(0,(T$401-('Stage 2 Randomized Selection'!I$2*$M402)) - 1),0),
ROUND(MAX(0,(T$401-('Stage 2 Randomized Selection'!I$2*$M402))),0)))))))),0),"")</f>
        <v/>
      </c>
      <c r="V424" s="270" t="str">
        <f>IF(ISNUMBER($B$402),
IF(AND(ISNUMBER(U$401), U$401&gt;0),
IF(AND(V$269=123, Cultivar_1_Cohort_Year_Selection=$Q$268,Cultivar_2_Cohort_Year_Selection=$Q$268,Cultivar_3_Cohort_Year_Selection=$Q$268), ROUND(MAX(0,(U$401-('Stage 2 Randomized Selection'!K$2*$M402)) - 3),0),
IF(AND(OR(V$269=123, V$269=12), Cultivar_1_Cohort_Year_Selection=$Q$268,Cultivar_2_Cohort_Year_Selection=$Q$268),  ROUND(MAX(0,(U$401-('Stage 2 Randomized Selection'!J$2*$M402)) - 2),0),
IF(AND(OR(V$269=123, V$269=13), Cultivar_1_Cohort_Year_Selection=$Q$268,Cultivar_3_Cohort_Year_Selection=$Q$268), ROUND(MAX(0,(U$401-('Stage 2 Randomized Selection'!J$2*$M402)) - 2),0),
IF(AND(OR(V$269=123, V$269=23), Cultivar_2_Cohort_Year_Selection=$Q$268,Cultivar_3_Cohort_Year_Selection=$Q$268), ROUND(MAX(0,(U$401-('Stage 2 Randomized Selection'!J$2*$M402)) - 2),0),
IF(AND(OR(V$269=123, V$269=12, V$269=13, V$269=1), Cultivar_1_Cohort_Year_Selection=$Q$268), ROUND(MAX(0,(U$401-('Stage 2 Randomized Selection'!J$2*$M402)) - 1),0),
IF(AND(OR(V$269=123, V$269=12, V$269=23, V$269=2), Cultivar_2_Cohort_Year_Selection=$Q$268), ROUND(MAX(0,(U$401-('Stage 2 Randomized Selection'!J$2*$M402)) - 1),0),
IF(AND(OR(V$269=123, V$269=13, V$269=23, V$269=3), Cultivar_3_Cohort_Year_Selection=$Q$268), ROUND(MAX(0,(U$401-('Stage 2 Randomized Selection'!J$2*$M402)) - 1),0),
ROUND(MAX(0,(U$401-('Stage 2 Randomized Selection'!J$2*$M402))),0)))))))),0),"")</f>
        <v/>
      </c>
      <c r="W424" s="270" t="str">
        <f>IF(ISNUMBER($B$402),
IF(AND(ISNUMBER(V$401), V$401&gt;0),
IF(AND(W$269=123, Cultivar_1_Cohort_Year_Selection=$R$268,Cultivar_2_Cohort_Year_Selection=$R$268,Cultivar_3_Cohort_Year_Selection=$R$268), ROUND(MAX(0,(V$401-('Stage 2 Randomized Selection'!L$2*$M402)) - 3),0),
IF(AND(OR(W$269=123, W$269=12), Cultivar_1_Cohort_Year_Selection=$R$268,Cultivar_2_Cohort_Year_Selection=$R$268),  ROUND(MAX(0,(V$401-('Stage 2 Randomized Selection'!K$2*$M402)) - 2),0),
IF(AND(OR(W$269=123, W$269=13), Cultivar_1_Cohort_Year_Selection=$R$268,Cultivar_3_Cohort_Year_Selection=$R$268), ROUND(MAX(0,(V$401-('Stage 2 Randomized Selection'!K$2*$M402)) - 2),0),
IF(AND(OR(W$269=123, W$269=23), Cultivar_2_Cohort_Year_Selection=$R$268,Cultivar_3_Cohort_Year_Selection=$R$268), ROUND(MAX(0,(V$401-('Stage 2 Randomized Selection'!K$2*$M402)) - 2),0),
IF(AND(OR(W$269=123, W$269=12, W$269=13, W$269=1), Cultivar_1_Cohort_Year_Selection=$R$268), ROUND(MAX(0,(V$401-('Stage 2 Randomized Selection'!K$2*$M402)) - 1),0),
IF(AND(OR(W$269=123, W$269=12, W$269=23, W$269=2), Cultivar_2_Cohort_Year_Selection=$R$268), ROUND(MAX(0,(V$401-('Stage 2 Randomized Selection'!K$2*$M402)) - 1),0),
IF(AND(OR(W$269=123, W$269=13, W$269=23, W$269=3), Cultivar_3_Cohort_Year_Selection=$R$268), ROUND(MAX(0,(V$401-('Stage 2 Randomized Selection'!K$2*$M402)) - 1),0),
ROUND(MAX(0,(V$401-('Stage 2 Randomized Selection'!K$2*$M402))),0)))))))),0),"")</f>
        <v/>
      </c>
      <c r="X424" s="270" t="str">
        <f>IF(ISNUMBER($B$402),
IF(AND(ISNUMBER(W$401), W$401&gt;0),
IF(AND(X$269=123, Cultivar_1_Cohort_Year_Selection=$S$268,Cultivar_2_Cohort_Year_Selection=$S$268,Cultivar_3_Cohort_Year_Selection=$S$268), ROUND(MAX(0,(W$401-('Stage 2 Randomized Selection'!M$2*$M402)) - 3),0),
IF(AND(OR(X$269=123, X$269=12), Cultivar_1_Cohort_Year_Selection=$S$268,Cultivar_2_Cohort_Year_Selection=$S$268),  ROUND(MAX(0,(W$401-('Stage 2 Randomized Selection'!L$2*$M402)) - 2),0),
IF(AND(OR(X$269=123, X$269=13), Cultivar_1_Cohort_Year_Selection=$S$268,Cultivar_3_Cohort_Year_Selection=$S$268), ROUND(MAX(0,(W$401-('Stage 2 Randomized Selection'!L$2*$M402)) - 2),0),
IF(AND(OR(X$269=123, X$269=23), Cultivar_2_Cohort_Year_Selection=$S$268,Cultivar_3_Cohort_Year_Selection=$S$268), ROUND(MAX(0,(W$401-('Stage 2 Randomized Selection'!L$2*$M402)) - 2),0),
IF(AND(OR(X$269=123, X$269=12, X$269=13, X$269=1), Cultivar_1_Cohort_Year_Selection=$S$268), ROUND(MAX(0,(W$401-('Stage 2 Randomized Selection'!L$2*$M402)) - 1),0),
IF(AND(OR(X$269=123, X$269=12, X$269=23, X$269=2), Cultivar_2_Cohort_Year_Selection=$S$268), ROUND(MAX(0,(W$401-('Stage 2 Randomized Selection'!L$2*$M402)) - 1),0),
IF(AND(OR(X$269=123, X$269=13, X$269=23, X$269=3), Cultivar_3_Cohort_Year_Selection=$S$268), ROUND(MAX(0,(W$401-('Stage 2 Randomized Selection'!L$2*$M402)) - 1),0),
ROUND(MAX(0,(W$401-('Stage 2 Randomized Selection'!L$2*$M402))),0)))))))),0),"")</f>
        <v/>
      </c>
      <c r="Y424" s="270" t="str">
        <f>IF(ISNUMBER($B$402),
IF(AND(ISNUMBER(X$401), X$401&gt;0),
IF(AND(Y$269=123, Cultivar_1_Cohort_Year_Selection=$T$268,Cultivar_2_Cohort_Year_Selection=$T$268,Cultivar_3_Cohort_Year_Selection=$T$268), ROUND(MAX(0,(X$401-('Stage 2 Randomized Selection'!N$2*$M402)) - 3),0),
IF(AND(OR(Y$269=123, Y$269=12), Cultivar_1_Cohort_Year_Selection=$T$268,Cultivar_2_Cohort_Year_Selection=$T$268),  ROUND(MAX(0,(X$401-('Stage 2 Randomized Selection'!M$2*$M402)) - 2),0),
IF(AND(OR(Y$269=123, Y$269=13), Cultivar_1_Cohort_Year_Selection=$T$268,Cultivar_3_Cohort_Year_Selection=$T$268), ROUND(MAX(0,(X$401-('Stage 2 Randomized Selection'!M$2*$M402)) - 2),0),
IF(AND(OR(Y$269=123, Y$269=23), Cultivar_2_Cohort_Year_Selection=$T$268,Cultivar_3_Cohort_Year_Selection=$T$268), ROUND(MAX(0,(X$401-('Stage 2 Randomized Selection'!M$2*$M402)) - 2),0),
IF(AND(OR(Y$269=123, Y$269=12, Y$269=13, Y$269=1), Cultivar_1_Cohort_Year_Selection=$T$268), ROUND(MAX(0,(X$401-('Stage 2 Randomized Selection'!M$2*$M402)) - 1),0),
IF(AND(OR(Y$269=123, Y$269=12, Y$269=23, Y$269=2), Cultivar_2_Cohort_Year_Selection=$T$268), ROUND(MAX(0,(X$401-('Stage 2 Randomized Selection'!M$2*$M402)) - 1),0),
IF(AND(OR(Y$269=123, Y$269=13, Y$269=23, Y$269=3), Cultivar_3_Cohort_Year_Selection=$T$268), ROUND(MAX(0,(X$401-('Stage 2 Randomized Selection'!M$2*$M402)) - 1),0),
ROUND(MAX(0,(X$401-('Stage 2 Randomized Selection'!M$2*$M402))),0)))))))),0),"")</f>
        <v/>
      </c>
      <c r="Z424" s="270" t="str">
        <f>IF(ISNUMBER($B$402),
IF(AND(ISNUMBER(Y$401), Y$401&gt;0),
IF(AND(Z$269=123, Cultivar_1_Cohort_Year_Selection=$U$268,Cultivar_2_Cohort_Year_Selection=$U$268,Cultivar_3_Cohort_Year_Selection=$U$268), ROUND(MAX(0,(Y$401-('Stage 2 Randomized Selection'!O$2*$M402)) - 3),0),
IF(AND(OR(Z$269=123, Z$269=12), Cultivar_1_Cohort_Year_Selection=$U$268,Cultivar_2_Cohort_Year_Selection=$U$268),  ROUND(MAX(0,(Y$401-('Stage 2 Randomized Selection'!N$2*$M402)) - 2),0),
IF(AND(OR(Z$269=123, Z$269=13), Cultivar_1_Cohort_Year_Selection=$U$268,Cultivar_3_Cohort_Year_Selection=$U$268), ROUND(MAX(0,(Y$401-('Stage 2 Randomized Selection'!N$2*$M402)) - 2),0),
IF(AND(OR(Z$269=123, Z$269=23), Cultivar_2_Cohort_Year_Selection=$U$268,Cultivar_3_Cohort_Year_Selection=$U$268), ROUND(MAX(0,(Y$401-('Stage 2 Randomized Selection'!N$2*$M402)) - 2),0),
IF(AND(OR(Z$269=123, Z$269=12, Z$269=13, Z$269=1), Cultivar_1_Cohort_Year_Selection=$U$268), ROUND(MAX(0,(Y$401-('Stage 2 Randomized Selection'!N$2*$M402)) - 1),0),
IF(AND(OR(Z$269=123, Z$269=12, Z$269=23, Z$269=2), Cultivar_2_Cohort_Year_Selection=$U$268), ROUND(MAX(0,(Y$401-('Stage 2 Randomized Selection'!N$2*$M402)) - 1),0),
IF(AND(OR(Z$269=123, Z$269=13, Z$269=23, Z$269=3), Cultivar_3_Cohort_Year_Selection=$U$268), ROUND(MAX(0,(Y$401-('Stage 2 Randomized Selection'!N$2*$M402)) - 1),0),
ROUND(MAX(0,(Y$401-('Stage 2 Randomized Selection'!N$2*$M402))),0)))))))),0),"")</f>
        <v/>
      </c>
      <c r="AA424" s="270" t="str">
        <f>IF(ISNUMBER($B$402),
IF(AND(ISNUMBER(Z$401), Z$401&gt;0),
IF(AND(AA$269=123, Cultivar_1_Cohort_Year_Selection=$V$268,Cultivar_2_Cohort_Year_Selection=$V$268,Cultivar_3_Cohort_Year_Selection=$V$268), ROUND(MAX(0,(Z$401-('Stage 2 Randomized Selection'!P$2*$M402)) - 3),0),
IF(AND(OR(AA$269=123, AA$269=12), Cultivar_1_Cohort_Year_Selection=$V$268,Cultivar_2_Cohort_Year_Selection=$V$268),  ROUND(MAX(0,(Z$401-('Stage 2 Randomized Selection'!O$2*$M402)) - 2),0),
IF(AND(OR(AA$269=123, AA$269=13), Cultivar_1_Cohort_Year_Selection=$V$268,Cultivar_3_Cohort_Year_Selection=$V$268), ROUND(MAX(0,(Z$401-('Stage 2 Randomized Selection'!O$2*$M402)) - 2),0),
IF(AND(OR(AA$269=123, AA$269=23), Cultivar_2_Cohort_Year_Selection=$V$268,Cultivar_3_Cohort_Year_Selection=$V$268), ROUND(MAX(0,(Z$401-('Stage 2 Randomized Selection'!O$2*$M402)) - 2),0),
IF(AND(OR(AA$269=123, AA$269=12, AA$269=13, AA$269=1), Cultivar_1_Cohort_Year_Selection=$V$268), ROUND(MAX(0,(Z$401-('Stage 2 Randomized Selection'!O$2*$M402)) - 1),0),
IF(AND(OR(AA$269=123, AA$269=12, AA$269=23, AA$269=2), Cultivar_2_Cohort_Year_Selection=$V$268), ROUND(MAX(0,(Z$401-('Stage 2 Randomized Selection'!O$2*$M402)) - 1),0),
IF(AND(OR(AA$269=123, AA$269=13, AA$269=23, AA$269=3), Cultivar_3_Cohort_Year_Selection=$V$268), ROUND(MAX(0,(Z$401-('Stage 2 Randomized Selection'!O$2*$M402)) - 1),0),
ROUND(MAX(0,(Z$401-('Stage 2 Randomized Selection'!O$2*$M402))),0)))))))),0),"")</f>
        <v/>
      </c>
      <c r="AB424" s="270" t="str">
        <f>IF(ISNUMBER($B$402),
IF(AND(ISNUMBER(AA$401), AA$401&gt;0),
IF(AND(AB$269=123, Cultivar_1_Cohort_Year_Selection=$W$268,Cultivar_2_Cohort_Year_Selection=$W$268,Cultivar_3_Cohort_Year_Selection=$W$268), ROUND(MAX(0,(AA$401-('Stage 2 Randomized Selection'!Q$2*$M402)) - 3),0),
IF(AND(OR(AB$269=123, AB$269=12), Cultivar_1_Cohort_Year_Selection=$W$268,Cultivar_2_Cohort_Year_Selection=$W$268),  ROUND(MAX(0,(AA$401-('Stage 2 Randomized Selection'!P$2*$M402)) - 2),0),
IF(AND(OR(AB$269=123, AB$269=13), Cultivar_1_Cohort_Year_Selection=$W$268,Cultivar_3_Cohort_Year_Selection=$W$268), ROUND(MAX(0,(AA$401-('Stage 2 Randomized Selection'!P$2*$M402)) - 2),0),
IF(AND(OR(AB$269=123, AB$269=23), Cultivar_2_Cohort_Year_Selection=$W$268,Cultivar_3_Cohort_Year_Selection=$W$268), ROUND(MAX(0,(AA$401-('Stage 2 Randomized Selection'!P$2*$M402)) - 2),0),
IF(AND(OR(AB$269=123, AB$269=12, AB$269=13, AB$269=1), Cultivar_1_Cohort_Year_Selection=$W$268), ROUND(MAX(0,(AA$401-('Stage 2 Randomized Selection'!P$2*$M402)) - 1),0),
IF(AND(OR(AB$269=123, AB$269=12, AB$269=23, AB$269=2), Cultivar_2_Cohort_Year_Selection=$W$268), ROUND(MAX(0,(AA$401-('Stage 2 Randomized Selection'!P$2*$M402)) - 1),0),
IF(AND(OR(AB$269=123, AB$269=13, AB$269=23, AB$269=3), Cultivar_3_Cohort_Year_Selection=$W$268), ROUND(MAX(0,(AA$401-('Stage 2 Randomized Selection'!P$2*$M402)) - 1),0),
ROUND(MAX(0,(AA$401-('Stage 2 Randomized Selection'!P$2*$M402))),0)))))))),0),"")</f>
        <v/>
      </c>
      <c r="AC424" s="270" t="str">
        <f>IF(ISNUMBER($B$402),
IF(AND(ISNUMBER(AB$401), AB$401&gt;0),
IF(AND(AC$269=123, Cultivar_1_Cohort_Year_Selection=$X$268,Cultivar_2_Cohort_Year_Selection=$X$268,Cultivar_3_Cohort_Year_Selection=$X$268), ROUND(MAX(0,(AB$401-('Stage 2 Randomized Selection'!R$2*$M402)) - 3),0),
IF(AND(OR(AC$269=123, AC$269=12), Cultivar_1_Cohort_Year_Selection=$X$268,Cultivar_2_Cohort_Year_Selection=$X$268),  ROUND(MAX(0,(AB$401-('Stage 2 Randomized Selection'!Q$2*$M402)) - 2),0),
IF(AND(OR(AC$269=123, AC$269=13), Cultivar_1_Cohort_Year_Selection=$X$268,Cultivar_3_Cohort_Year_Selection=$X$268), ROUND(MAX(0,(AB$401-('Stage 2 Randomized Selection'!Q$2*$M402)) - 2),0),
IF(AND(OR(AC$269=123, AC$269=23), Cultivar_2_Cohort_Year_Selection=$X$268,Cultivar_3_Cohort_Year_Selection=$X$268), ROUND(MAX(0,(AB$401-('Stage 2 Randomized Selection'!Q$2*$M402)) - 2),0),
IF(AND(OR(AC$269=123, AC$269=12, AC$269=13, AC$269=1), Cultivar_1_Cohort_Year_Selection=$X$268), ROUND(MAX(0,(AB$401-('Stage 2 Randomized Selection'!Q$2*$M402)) - 1),0),
IF(AND(OR(AC$269=123, AC$269=12, AC$269=23, AC$269=2), Cultivar_2_Cohort_Year_Selection=$X$268), ROUND(MAX(0,(AB$401-('Stage 2 Randomized Selection'!Q$2*$M402)) - 1),0),
IF(AND(OR(AC$269=123, AC$269=13, AC$269=23, AC$269=3), Cultivar_3_Cohort_Year_Selection=$X$268), ROUND(MAX(0,(AB$401-('Stage 2 Randomized Selection'!Q$2*$M402)) - 1),0),
ROUND(MAX(0,(AB$401-('Stage 2 Randomized Selection'!Q$2*$M402))),0)))))))),0),"")</f>
        <v/>
      </c>
      <c r="AD424" s="270" t="str">
        <f>IF(ISNUMBER($B$402),
IF(AND(ISNUMBER(AC$401), AC$401&gt;0),
IF(AND(AD$269=123, Cultivar_1_Cohort_Year_Selection=$Y$268,Cultivar_2_Cohort_Year_Selection=$Y$268,Cultivar_3_Cohort_Year_Selection=$Y$268), ROUND(MAX(0,(AC$401-('Stage 2 Randomized Selection'!S$2*$M402)) - 3),0),
IF(AND(OR(AD$269=123, AD$269=12), Cultivar_1_Cohort_Year_Selection=$Y$268,Cultivar_2_Cohort_Year_Selection=$Y$268),  ROUND(MAX(0,(AC$401-('Stage 2 Randomized Selection'!R$2*$M402)) - 2),0),
IF(AND(OR(AD$269=123, AD$269=13), Cultivar_1_Cohort_Year_Selection=$Y$268,Cultivar_3_Cohort_Year_Selection=$Y$268), ROUND(MAX(0,(AC$401-('Stage 2 Randomized Selection'!R$2*$M402)) - 2),0),
IF(AND(OR(AD$269=123, AD$269=23), Cultivar_2_Cohort_Year_Selection=$Y$268,Cultivar_3_Cohort_Year_Selection=$Y$268), ROUND(MAX(0,(AC$401-('Stage 2 Randomized Selection'!R$2*$M402)) - 2),0),
IF(AND(OR(AD$269=123, AD$269=12, AD$269=13, AD$269=1), Cultivar_1_Cohort_Year_Selection=$Y$268), ROUND(MAX(0,(AC$401-('Stage 2 Randomized Selection'!R$2*$M402)) - 1),0),
IF(AND(OR(AD$269=123, AD$269=12, AD$269=23, AD$269=2), Cultivar_2_Cohort_Year_Selection=$Y$268), ROUND(MAX(0,(AC$401-('Stage 2 Randomized Selection'!R$2*$M402)) - 1),0),
IF(AND(OR(AD$269=123, AD$269=13, AD$269=23, AD$269=3), Cultivar_3_Cohort_Year_Selection=$Y$268), ROUND(MAX(0,(AC$401-('Stage 2 Randomized Selection'!R$2*$M402)) - 1),0),
ROUND(MAX(0,(AC$401-('Stage 2 Randomized Selection'!R$2*$M402))),0)))))))),0),"")</f>
        <v/>
      </c>
      <c r="AE424" s="270" t="str">
        <f>IF(ISNUMBER($B$402),
IF(AND(ISNUMBER(AD$401), AD$401&gt;0),
IF(AND(AE$269=123, Cultivar_1_Cohort_Year_Selection=$Z$268,Cultivar_2_Cohort_Year_Selection=$Z$268,Cultivar_3_Cohort_Year_Selection=$Z$268), ROUND(MAX(0,(AD$401-('Stage 2 Randomized Selection'!T$2*$M402)) - 3),0),
IF(AND(OR(AE$269=123, AE$269=12), Cultivar_1_Cohort_Year_Selection=$Z$268,Cultivar_2_Cohort_Year_Selection=$Z$268),  ROUND(MAX(0,(AD$401-('Stage 2 Randomized Selection'!S$2*$M402)) - 2),0),
IF(AND(OR(AE$269=123, AE$269=13), Cultivar_1_Cohort_Year_Selection=$Z$268,Cultivar_3_Cohort_Year_Selection=$Z$268), ROUND(MAX(0,(AD$401-('Stage 2 Randomized Selection'!S$2*$M402)) - 2),0),
IF(AND(OR(AE$269=123, AE$269=23), Cultivar_2_Cohort_Year_Selection=$Z$268,Cultivar_3_Cohort_Year_Selection=$Z$268), ROUND(MAX(0,(AD$401-('Stage 2 Randomized Selection'!S$2*$M402)) - 2),0),
IF(AND(OR(AE$269=123, AE$269=12, AE$269=13, AE$269=1), Cultivar_1_Cohort_Year_Selection=$Z$268), ROUND(MAX(0,(AD$401-('Stage 2 Randomized Selection'!S$2*$M402)) - 1),0),
IF(AND(OR(AE$269=123, AE$269=12, AE$269=23, AE$269=2), Cultivar_2_Cohort_Year_Selection=$Z$268), ROUND(MAX(0,(AD$401-('Stage 2 Randomized Selection'!S$2*$M402)) - 1),0),
IF(AND(OR(AE$269=123, AE$269=13, AE$269=23, AE$269=3), Cultivar_3_Cohort_Year_Selection=$Z$268), ROUND(MAX(0,(AD$401-('Stage 2 Randomized Selection'!S$2*$M402)) - 1),0),
ROUND(MAX(0,(AD$401-('Stage 2 Randomized Selection'!S$2*$M402))),0)))))))),0),"")</f>
        <v/>
      </c>
      <c r="AF424" s="270" t="str">
        <f>IF(ISNUMBER($B$402),
IF(AND(ISNUMBER(AE$401), AE$401&gt;0),
IF(AND(AF$269=123, Cultivar_1_Cohort_Year_Selection=$AA$268,Cultivar_2_Cohort_Year_Selection=$AA$268,Cultivar_3_Cohort_Year_Selection=$AA$268), ROUND(MAX(0,(AE$401-('Stage 2 Randomized Selection'!U$2*$M402)) - 3),0),
IF(AND(OR(AF$269=123, AF$269=12), Cultivar_1_Cohort_Year_Selection=$AA$268,Cultivar_2_Cohort_Year_Selection=$AA$268),  ROUND(MAX(0,(AE$401-('Stage 2 Randomized Selection'!T$2*$M402)) - 2),0),
IF(AND(OR(AF$269=123, AF$269=13), Cultivar_1_Cohort_Year_Selection=$AA$268,Cultivar_3_Cohort_Year_Selection=$AA$268), ROUND(MAX(0,(AE$401-('Stage 2 Randomized Selection'!T$2*$M402)) - 2),0),
IF(AND(OR(AF$269=123, AF$269=23), Cultivar_2_Cohort_Year_Selection=$AA$268,Cultivar_3_Cohort_Year_Selection=$AA$268), ROUND(MAX(0,(AE$401-('Stage 2 Randomized Selection'!T$2*$M402)) - 2),0),
IF(AND(OR(AF$269=123, AF$269=12, AF$269=13, AF$269=1), Cultivar_1_Cohort_Year_Selection=$AA$268), ROUND(MAX(0,(AE$401-('Stage 2 Randomized Selection'!T$2*$M402)) - 1),0),
IF(AND(OR(AF$269=123, AF$269=12, AF$269=23, AF$269=2), Cultivar_2_Cohort_Year_Selection=$AA$268), ROUND(MAX(0,(AE$401-('Stage 2 Randomized Selection'!T$2*$M402)) - 1),0),
IF(AND(OR(AF$269=123, AF$269=13, AF$269=23, AF$269=3), Cultivar_3_Cohort_Year_Selection=$AA$268), ROUND(MAX(0,(AE$401-('Stage 2 Randomized Selection'!T$2*$M402)) - 1),0),
ROUND(MAX(0,(AE$401-('Stage 2 Randomized Selection'!T$2*$M402))),0)))))))),0),"")</f>
        <v/>
      </c>
      <c r="AG424" s="270" t="str">
        <f>IF(ISNUMBER($B$402),
IF(AND(ISNUMBER(AF$401), AF$401&gt;0),
IF(AND(AG$269=123, Cultivar_1_Cohort_Year_Selection=$AB$268,Cultivar_2_Cohort_Year_Selection=$AB$268,Cultivar_3_Cohort_Year_Selection=$AB$268), ROUND(MAX(0,(AF$401-('Stage 2 Randomized Selection'!V$2*$M402)) - 3),0),
IF(AND(OR(AG$269=123, AG$269=12), Cultivar_1_Cohort_Year_Selection=$AB$268,Cultivar_2_Cohort_Year_Selection=$AB$268),  ROUND(MAX(0,(AF$401-('Stage 2 Randomized Selection'!U$2*$M402)) - 2),0),
IF(AND(OR(AG$269=123, AG$269=13), Cultivar_1_Cohort_Year_Selection=$AB$268,Cultivar_3_Cohort_Year_Selection=$AB$268), ROUND(MAX(0,(AF$401-('Stage 2 Randomized Selection'!U$2*$M402)) - 2),0),
IF(AND(OR(AG$269=123, AG$269=23), Cultivar_2_Cohort_Year_Selection=$AB$268,Cultivar_3_Cohort_Year_Selection=$AB$268), ROUND(MAX(0,(AF$401-('Stage 2 Randomized Selection'!U$2*$M402)) - 2),0),
IF(AND(OR(AG$269=123, AG$269=12, AG$269=13, AG$269=1), Cultivar_1_Cohort_Year_Selection=$AB$268), ROUND(MAX(0,(AF$401-('Stage 2 Randomized Selection'!U$2*$M402)) - 1),0),
IF(AND(OR(AG$269=123, AG$269=12, AG$269=23, AG$269=2), Cultivar_2_Cohort_Year_Selection=$AB$268), ROUND(MAX(0,(AF$401-('Stage 2 Randomized Selection'!U$2*$M402)) - 1),0),
IF(AND(OR(AG$269=123, AG$269=13, AG$269=23, AG$269=3), Cultivar_3_Cohort_Year_Selection=$AB$268), ROUND(MAX(0,(AF$401-('Stage 2 Randomized Selection'!U$2*$M402)) - 1),0),
ROUND(MAX(0,(AF$401-('Stage 2 Randomized Selection'!U$2*$M402))),0)))))))),0),"")</f>
        <v/>
      </c>
      <c r="AH424" s="270" t="str">
        <f>IF(ISNUMBER($B$402),
IF(AND(ISNUMBER(AG$401), AG$401&gt;0),
IF(AND(AH$269=123, Cultivar_1_Cohort_Year_Selection=$AC$268,Cultivar_2_Cohort_Year_Selection=$AC$268,Cultivar_3_Cohort_Year_Selection=$AC$268), ROUND(MAX(0,(AG$401-('Stage 2 Randomized Selection'!W$2*$M402)) - 3),0),
IF(AND(OR(AH$269=123, AH$269=12), Cultivar_1_Cohort_Year_Selection=$AC$268,Cultivar_2_Cohort_Year_Selection=$AC$268),  ROUND(MAX(0,(AG$401-('Stage 2 Randomized Selection'!V$2*$M402)) - 2),0),
IF(AND(OR(AH$269=123, AH$269=13), Cultivar_1_Cohort_Year_Selection=$AC$268,Cultivar_3_Cohort_Year_Selection=$AC$268), ROUND(MAX(0,(AG$401-('Stage 2 Randomized Selection'!V$2*$M402)) - 2),0),
IF(AND(OR(AH$269=123, AH$269=23), Cultivar_2_Cohort_Year_Selection=$AC$268,Cultivar_3_Cohort_Year_Selection=$AC$268), ROUND(MAX(0,(AG$401-('Stage 2 Randomized Selection'!V$2*$M402)) - 2),0),
IF(AND(OR(AH$269=123, AH$269=12, AH$269=13, AH$269=1), Cultivar_1_Cohort_Year_Selection=$AC$268), ROUND(MAX(0,(AG$401-('Stage 2 Randomized Selection'!V$2*$M402)) - 1),0),
IF(AND(OR(AH$269=123, AH$269=12, AH$269=23, AH$269=2), Cultivar_2_Cohort_Year_Selection=$AC$268), ROUND(MAX(0,(AG$401-('Stage 2 Randomized Selection'!V$2*$M402)) - 1),0),
IF(AND(OR(AH$269=123, AH$269=13, AH$269=23, AH$269=3), Cultivar_3_Cohort_Year_Selection=$AC$268), ROUND(MAX(0,(AG$401-('Stage 2 Randomized Selection'!V$2*$M402)) - 1),0),
ROUND(MAX(0,(AG$401-('Stage 2 Randomized Selection'!V$2*$M402))),0)))))))),0),"")</f>
        <v/>
      </c>
      <c r="AI424" s="270" t="str">
        <f>IF(ISNUMBER($B$402),
IF(AND(ISNUMBER(AH$401), AH$401&gt;0),
IF(AND(AI$269=123, Cultivar_1_Cohort_Year_Selection=$AD$268,Cultivar_2_Cohort_Year_Selection=$AD$268,Cultivar_3_Cohort_Year_Selection=$AD$268), ROUND(MAX(0,(AH$401-('Stage 2 Randomized Selection'!X$2*$M402)) - 3),0),
IF(AND(OR(AI$269=123, AI$269=12), Cultivar_1_Cohort_Year_Selection=$AD$268,Cultivar_2_Cohort_Year_Selection=$AD$268),  ROUND(MAX(0,(AH$401-('Stage 2 Randomized Selection'!W$2*$M402)) - 2),0),
IF(AND(OR(AI$269=123, AI$269=13), Cultivar_1_Cohort_Year_Selection=$AD$268,Cultivar_3_Cohort_Year_Selection=$AD$268), ROUND(MAX(0,(AH$401-('Stage 2 Randomized Selection'!W$2*$M402)) - 2),0),
IF(AND(OR(AI$269=123, AI$269=23), Cultivar_2_Cohort_Year_Selection=$AD$268,Cultivar_3_Cohort_Year_Selection=$AD$268), ROUND(MAX(0,(AH$401-('Stage 2 Randomized Selection'!W$2*$M402)) - 2),0),
IF(AND(OR(AI$269=123, AI$269=12, AI$269=13, AI$269=1), Cultivar_1_Cohort_Year_Selection=$AD$268), ROUND(MAX(0,(AH$401-('Stage 2 Randomized Selection'!W$2*$M402)) - 1),0),
IF(AND(OR(AI$269=123, AI$269=12, AI$269=23, AI$269=2), Cultivar_2_Cohort_Year_Selection=$AD$268), ROUND(MAX(0,(AH$401-('Stage 2 Randomized Selection'!W$2*$M402)) - 1),0),
IF(AND(OR(AI$269=123, AI$269=13, AI$269=23, AI$269=3), Cultivar_3_Cohort_Year_Selection=$AD$268), ROUND(MAX(0,(AH$401-('Stage 2 Randomized Selection'!W$2*$M402)) - 1),0),
ROUND(MAX(0,(AH$401-('Stage 2 Randomized Selection'!W$2*$M402))),0)))))))),0),"")</f>
        <v/>
      </c>
      <c r="AJ424" s="270" t="str">
        <f>IF(ISNUMBER($B$402),
IF(AND(ISNUMBER(AI$401), AI$401&gt;0),
IF(AND(AJ$269=123, Cultivar_1_Cohort_Year_Selection=$AE$268,Cultivar_2_Cohort_Year_Selection=$AE$268,Cultivar_3_Cohort_Year_Selection=$AE$268), ROUND(MAX(0,(AI$401-('Stage 2 Randomized Selection'!Y$2*$M402)) - 3),0),
IF(AND(OR(AJ$269=123, AJ$269=12), Cultivar_1_Cohort_Year_Selection=$AE$268,Cultivar_2_Cohort_Year_Selection=$AE$268),  ROUND(MAX(0,(AI$401-('Stage 2 Randomized Selection'!X$2*$M402)) - 2),0),
IF(AND(OR(AJ$269=123, AJ$269=13), Cultivar_1_Cohort_Year_Selection=$AE$268,Cultivar_3_Cohort_Year_Selection=$AE$268), ROUND(MAX(0,(AI$401-('Stage 2 Randomized Selection'!X$2*$M402)) - 2),0),
IF(AND(OR(AJ$269=123, AJ$269=23), Cultivar_2_Cohort_Year_Selection=$AE$268,Cultivar_3_Cohort_Year_Selection=$AE$268), ROUND(MAX(0,(AI$401-('Stage 2 Randomized Selection'!X$2*$M402)) - 2),0),
IF(AND(OR(AJ$269=123, AJ$269=12, AJ$269=13, AJ$269=1), Cultivar_1_Cohort_Year_Selection=$AE$268), ROUND(MAX(0,(AI$401-('Stage 2 Randomized Selection'!X$2*$M402)) - 1),0),
IF(AND(OR(AJ$269=123, AJ$269=12, AJ$269=23, AJ$269=2), Cultivar_2_Cohort_Year_Selection=$AE$268), ROUND(MAX(0,(AI$401-('Stage 2 Randomized Selection'!X$2*$M402)) - 1),0),
IF(AND(OR(AJ$269=123, AJ$269=13, AJ$269=23, AJ$269=3), Cultivar_3_Cohort_Year_Selection=$AE$268), ROUND(MAX(0,(AI$401-('Stage 2 Randomized Selection'!X$2*$M402)) - 1),0),
ROUND(MAX(0,(AI$401-('Stage 2 Randomized Selection'!X$2*$M402))),0)))))))),0),"")</f>
        <v/>
      </c>
      <c r="AK424" s="270" t="str">
        <f>IF(ISNUMBER($B$402),
IF(AND(ISNUMBER(AJ$401), AJ$401&gt;0),
IF(AND(AK$269=123, Cultivar_1_Cohort_Year_Selection=$AF$268,Cultivar_2_Cohort_Year_Selection=$AF$268,Cultivar_3_Cohort_Year_Selection=$AF$268), ROUND(MAX(0,(AJ$401-('Stage 2 Randomized Selection'!Z$2*$M402)) - 3),0),
IF(AND(OR(AK$269=123, AK$269=12), Cultivar_1_Cohort_Year_Selection=$AF$268,Cultivar_2_Cohort_Year_Selection=$AF$268),  ROUND(MAX(0,(AJ$401-('Stage 2 Randomized Selection'!Y$2*$M402)) - 2),0),
IF(AND(OR(AK$269=123, AK$269=13), Cultivar_1_Cohort_Year_Selection=$AF$268,Cultivar_3_Cohort_Year_Selection=$AF$268), ROUND(MAX(0,(AJ$401-('Stage 2 Randomized Selection'!Y$2*$M402)) - 2),0),
IF(AND(OR(AK$269=123, AK$269=23), Cultivar_2_Cohort_Year_Selection=$AF$268,Cultivar_3_Cohort_Year_Selection=$AF$268), ROUND(MAX(0,(AJ$401-('Stage 2 Randomized Selection'!Y$2*$M402)) - 2),0),
IF(AND(OR(AK$269=123, AK$269=12, AK$269=13, AK$269=1), Cultivar_1_Cohort_Year_Selection=$AF$268), ROUND(MAX(0,(AJ$401-('Stage 2 Randomized Selection'!Y$2*$M402)) - 1),0),
IF(AND(OR(AK$269=123, AK$269=12, AK$269=23, AK$269=2), Cultivar_2_Cohort_Year_Selection=$AF$268), ROUND(MAX(0,(AJ$401-('Stage 2 Randomized Selection'!Y$2*$M402)) - 1),0),
IF(AND(OR(AK$269=123, AK$269=13, AK$269=23, AK$269=3), Cultivar_3_Cohort_Year_Selection=$AF$268), ROUND(MAX(0,(AJ$401-('Stage 2 Randomized Selection'!Y$2*$M402)) - 1),0),
ROUND(MAX(0,(AJ$401-('Stage 2 Randomized Selection'!Y$2*$M402))),0)))))))),0),"")</f>
        <v/>
      </c>
      <c r="AL424" s="270" t="str">
        <f>IF(ISNUMBER($B$402),
IF(AND(ISNUMBER(AK$401), AK$401&gt;0),
IF(AND(AL$269=123, Cultivar_1_Cohort_Year_Selection=$AG$268,Cultivar_2_Cohort_Year_Selection=$AG$268,Cultivar_3_Cohort_Year_Selection=$AG$268), ROUND(MAX(0,(AK$401-('Stage 2 Randomized Selection'!AA$2*$M402)) - 3),0),
IF(AND(OR(AL$269=123, AL$269=12), Cultivar_1_Cohort_Year_Selection=$AG$268,Cultivar_2_Cohort_Year_Selection=$AG$268),  ROUND(MAX(0,(AK$401-('Stage 2 Randomized Selection'!Z$2*$M402)) - 2),0),
IF(AND(OR(AL$269=123, AL$269=13), Cultivar_1_Cohort_Year_Selection=$AG$268,Cultivar_3_Cohort_Year_Selection=$AG$268), ROUND(MAX(0,(AK$401-('Stage 2 Randomized Selection'!Z$2*$M402)) - 2),0),
IF(AND(OR(AL$269=123, AL$269=23), Cultivar_2_Cohort_Year_Selection=$AG$268,Cultivar_3_Cohort_Year_Selection=$AG$268), ROUND(MAX(0,(AK$401-('Stage 2 Randomized Selection'!Z$2*$M402)) - 2),0),
IF(AND(OR(AL$269=123, AL$269=12, AL$269=13, AL$269=1), Cultivar_1_Cohort_Year_Selection=$AG$268), ROUND(MAX(0,(AK$401-('Stage 2 Randomized Selection'!Z$2*$M402)) - 1),0),
IF(AND(OR(AL$269=123, AL$269=12, AL$269=23, AL$269=2), Cultivar_2_Cohort_Year_Selection=$AG$268), ROUND(MAX(0,(AK$401-('Stage 2 Randomized Selection'!Z$2*$M402)) - 1),0),
IF(AND(OR(AL$269=123, AL$269=13, AL$269=23, AL$269=3), Cultivar_3_Cohort_Year_Selection=$AG$268), ROUND(MAX(0,(AK$401-('Stage 2 Randomized Selection'!Z$2*$M402)) - 1),0),
ROUND(MAX(0,(AK$401-('Stage 2 Randomized Selection'!Z$2*$M402))),0)))))))),0),"")</f>
        <v/>
      </c>
      <c r="AM424" s="270" t="str">
        <f>IF(ISNUMBER($B$402),
IF(AND(ISNUMBER(AL$401), AL$401&gt;0),
IF(AND(AM$269=123, Cultivar_1_Cohort_Year_Selection=$AH$268,Cultivar_2_Cohort_Year_Selection=$AH$268,Cultivar_3_Cohort_Year_Selection=$AH$268), ROUND(MAX(0,(AL$401-('Stage 2 Randomized Selection'!AB$2*$M402)) - 3),0),
IF(AND(OR(AM$269=123, AM$269=12), Cultivar_1_Cohort_Year_Selection=$AH$268,Cultivar_2_Cohort_Year_Selection=$AH$268),  ROUND(MAX(0,(AL$401-('Stage 2 Randomized Selection'!AA$2*$M402)) - 2),0),
IF(AND(OR(AM$269=123, AM$269=13), Cultivar_1_Cohort_Year_Selection=$AH$268,Cultivar_3_Cohort_Year_Selection=$AH$268), ROUND(MAX(0,(AL$401-('Stage 2 Randomized Selection'!AA$2*$M402)) - 2),0),
IF(AND(OR(AM$269=123, AM$269=23), Cultivar_2_Cohort_Year_Selection=$AH$268,Cultivar_3_Cohort_Year_Selection=$AH$268), ROUND(MAX(0,(AL$401-('Stage 2 Randomized Selection'!AA$2*$M402)) - 2),0),
IF(AND(OR(AM$269=123, AM$269=12, AM$269=13, AM$269=1), Cultivar_1_Cohort_Year_Selection=$AH$268), ROUND(MAX(0,(AL$401-('Stage 2 Randomized Selection'!AA$2*$M402)) - 1),0),
IF(AND(OR(AM$269=123, AM$269=12, AM$269=23, AM$269=2), Cultivar_2_Cohort_Year_Selection=$AH$268), ROUND(MAX(0,(AL$401-('Stage 2 Randomized Selection'!AA$2*$M402)) - 1),0),
IF(AND(OR(AM$269=123, AM$269=13, AM$269=23, AM$269=3), Cultivar_3_Cohort_Year_Selection=$AH$268), ROUND(MAX(0,(AL$401-('Stage 2 Randomized Selection'!AA$2*$M402)) - 1),0),
ROUND(MAX(0,(AL$401-('Stage 2 Randomized Selection'!AA$2*$M402))),0)))))))),0),"")</f>
        <v/>
      </c>
      <c r="AN424" s="270" t="str">
        <f>IF(ISNUMBER($B$402),
IF(AND(ISNUMBER(AM$401), AM$401&gt;0),
IF(AND(AN$269=123, Cultivar_1_Cohort_Year_Selection=$AI$268,Cultivar_2_Cohort_Year_Selection=$AI$268,Cultivar_3_Cohort_Year_Selection=$AI$268), ROUND(MAX(0,(AM$401-('Stage 2 Randomized Selection'!AC$2*$M402)) - 3),0),
IF(AND(OR(AN$269=123, AN$269=12), Cultivar_1_Cohort_Year_Selection=$AI$268,Cultivar_2_Cohort_Year_Selection=$AI$268),  ROUND(MAX(0,(AM$401-('Stage 2 Randomized Selection'!AB$2*$M402)) - 2),0),
IF(AND(OR(AN$269=123, AN$269=13), Cultivar_1_Cohort_Year_Selection=$AI$268,Cultivar_3_Cohort_Year_Selection=$AI$268), ROUND(MAX(0,(AM$401-('Stage 2 Randomized Selection'!AB$2*$M402)) - 2),0),
IF(AND(OR(AN$269=123, AN$269=23), Cultivar_2_Cohort_Year_Selection=$AI$268,Cultivar_3_Cohort_Year_Selection=$AI$268), ROUND(MAX(0,(AM$401-('Stage 2 Randomized Selection'!AB$2*$M402)) - 2),0),
IF(AND(OR(AN$269=123, AN$269=12, AN$269=13, AN$269=1), Cultivar_1_Cohort_Year_Selection=$AI$268), ROUND(MAX(0,(AM$401-('Stage 2 Randomized Selection'!AB$2*$M402)) - 1),0),
IF(AND(OR(AN$269=123, AN$269=12, AN$269=23, AN$269=2), Cultivar_2_Cohort_Year_Selection=$AI$268), ROUND(MAX(0,(AM$401-('Stage 2 Randomized Selection'!AB$2*$M402)) - 1),0),
IF(AND(OR(AN$269=123, AN$269=13, AN$269=23, AN$269=3), Cultivar_3_Cohort_Year_Selection=$AI$268), ROUND(MAX(0,(AM$401-('Stage 2 Randomized Selection'!AB$2*$M402)) - 1),0),
ROUND(MAX(0,(AM$401-('Stage 2 Randomized Selection'!AB$2*$M402))),0)))))))),0),"")</f>
        <v/>
      </c>
      <c r="AO424" s="270" t="str">
        <f>IF(ISNUMBER($B$402),
IF(AND(ISNUMBER(AN$401), AN$401&gt;0),
IF(AND(AO$269=123, Cultivar_1_Cohort_Year_Selection=$AJ$268,Cultivar_2_Cohort_Year_Selection=$AJ$268,Cultivar_3_Cohort_Year_Selection=$AJ$268), ROUND(MAX(0,(AN$401-('Stage 2 Randomized Selection'!AD$2*$M402)) - 3),0),
IF(AND(OR(AO$269=123, AO$269=12), Cultivar_1_Cohort_Year_Selection=$AJ$268,Cultivar_2_Cohort_Year_Selection=$AJ$268),  ROUND(MAX(0,(AN$401-('Stage 2 Randomized Selection'!AC$2*$M402)) - 2),0),
IF(AND(OR(AO$269=123, AO$269=13), Cultivar_1_Cohort_Year_Selection=$AJ$268,Cultivar_3_Cohort_Year_Selection=$AJ$268), ROUND(MAX(0,(AN$401-('Stage 2 Randomized Selection'!AC$2*$M402)) - 2),0),
IF(AND(OR(AO$269=123, AO$269=23), Cultivar_2_Cohort_Year_Selection=$AJ$268,Cultivar_3_Cohort_Year_Selection=$AJ$268), ROUND(MAX(0,(AN$401-('Stage 2 Randomized Selection'!AC$2*$M402)) - 2),0),
IF(AND(OR(AO$269=123, AO$269=12, AO$269=13, AO$269=1), Cultivar_1_Cohort_Year_Selection=$AJ$268), ROUND(MAX(0,(AN$401-('Stage 2 Randomized Selection'!AC$2*$M402)) - 1),0),
IF(AND(OR(AO$269=123, AO$269=12, AO$269=23, AO$269=2), Cultivar_2_Cohort_Year_Selection=$AJ$268), ROUND(MAX(0,(AN$401-('Stage 2 Randomized Selection'!AC$2*$M402)) - 1),0),
IF(AND(OR(AO$269=123, AO$269=13, AO$269=23, AO$269=3), Cultivar_3_Cohort_Year_Selection=$AJ$268), ROUND(MAX(0,(AN$401-('Stage 2 Randomized Selection'!AC$2*$M402)) - 1),0),
ROUND(MAX(0,(AN$401-('Stage 2 Randomized Selection'!AC$2*$M402))),0)))))))),0),"")</f>
        <v/>
      </c>
      <c r="AP424" s="270" t="str">
        <f>IF(ISNUMBER($B$402),
IF(AND(ISNUMBER(AO$401), AO$401&gt;0),
IF(AND(AP$269=123, Cultivar_1_Cohort_Year_Selection=$AK$268,Cultivar_2_Cohort_Year_Selection=$AK$268,Cultivar_3_Cohort_Year_Selection=$AK$268), ROUND(MAX(0,(AO$401-('Stage 2 Randomized Selection'!AE$2*$M402)) - 3),0),
IF(AND(OR(AP$269=123, AP$269=12), Cultivar_1_Cohort_Year_Selection=$AK$268,Cultivar_2_Cohort_Year_Selection=$AK$268),  ROUND(MAX(0,(AO$401-('Stage 2 Randomized Selection'!AD$2*$M402)) - 2),0),
IF(AND(OR(AP$269=123, AP$269=13), Cultivar_1_Cohort_Year_Selection=$AK$268,Cultivar_3_Cohort_Year_Selection=$AK$268), ROUND(MAX(0,(AO$401-('Stage 2 Randomized Selection'!AD$2*$M402)) - 2),0),
IF(AND(OR(AP$269=123, AP$269=23), Cultivar_2_Cohort_Year_Selection=$AK$268,Cultivar_3_Cohort_Year_Selection=$AK$268), ROUND(MAX(0,(AO$401-('Stage 2 Randomized Selection'!AD$2*$M402)) - 2),0),
IF(AND(OR(AP$269=123, AP$269=12, AP$269=13, AP$269=1), Cultivar_1_Cohort_Year_Selection=$AK$268), ROUND(MAX(0,(AO$401-('Stage 2 Randomized Selection'!AD$2*$M402)) - 1),0),
IF(AND(OR(AP$269=123, AP$269=12, AP$269=23, AP$269=2), Cultivar_2_Cohort_Year_Selection=$AK$268), ROUND(MAX(0,(AO$401-('Stage 2 Randomized Selection'!AD$2*$M402)) - 1),0),
IF(AND(OR(AP$269=123, AP$269=13, AP$269=23, AP$269=3), Cultivar_3_Cohort_Year_Selection=$AK$268), ROUND(MAX(0,(AO$401-('Stage 2 Randomized Selection'!AD$2*$M402)) - 1),0),
ROUND(MAX(0,(AO$401-('Stage 2 Randomized Selection'!AD$2*$M402))),0)))))))),0),"")</f>
        <v/>
      </c>
      <c r="AQ424" s="270" t="str">
        <f>IF(ISNUMBER($B$402),
IF(AND(ISNUMBER(AP$401), AP$401&gt;0),
IF(AND(AQ$269=123, Cultivar_1_Cohort_Year_Selection=$AL$268,Cultivar_2_Cohort_Year_Selection=$AL$268,Cultivar_3_Cohort_Year_Selection=$AL$268), ROUND(MAX(0,(AP$401-('Stage 2 Randomized Selection'!AF$2*$M402)) - 3),0),
IF(AND(OR(AQ$269=123, AQ$269=12), Cultivar_1_Cohort_Year_Selection=$AL$268,Cultivar_2_Cohort_Year_Selection=$AL$268),  ROUND(MAX(0,(AP$401-('Stage 2 Randomized Selection'!AE$2*$M402)) - 2),0),
IF(AND(OR(AQ$269=123, AQ$269=13), Cultivar_1_Cohort_Year_Selection=$AL$268,Cultivar_3_Cohort_Year_Selection=$AL$268), ROUND(MAX(0,(AP$401-('Stage 2 Randomized Selection'!AE$2*$M402)) - 2),0),
IF(AND(OR(AQ$269=123, AQ$269=23), Cultivar_2_Cohort_Year_Selection=$AL$268,Cultivar_3_Cohort_Year_Selection=$AL$268), ROUND(MAX(0,(AP$401-('Stage 2 Randomized Selection'!AE$2*$M402)) - 2),0),
IF(AND(OR(AQ$269=123, AQ$269=12, AQ$269=13, AQ$269=1), Cultivar_1_Cohort_Year_Selection=$AL$268), ROUND(MAX(0,(AP$401-('Stage 2 Randomized Selection'!AE$2*$M402)) - 1),0),
IF(AND(OR(AQ$269=123, AQ$269=12, AQ$269=23, AQ$269=2), Cultivar_2_Cohort_Year_Selection=$AL$268), ROUND(MAX(0,(AP$401-('Stage 2 Randomized Selection'!AE$2*$M402)) - 1),0),
IF(AND(OR(AQ$269=123, AQ$269=13, AQ$269=23, AQ$269=3), Cultivar_3_Cohort_Year_Selection=$AL$268), ROUND(MAX(0,(AP$401-('Stage 2 Randomized Selection'!AE$2*$M402)) - 1),0),
ROUND(MAX(0,(AP$401-('Stage 2 Randomized Selection'!AE$2*$M402))),0)))))))),0),"")</f>
        <v/>
      </c>
      <c r="AR424" s="270" t="str">
        <f>IF(ISNUMBER($B$402),
IF(AND(ISNUMBER(AQ$401), AQ$401&gt;0),
IF(AND(AR$269=123, Cultivar_1_Cohort_Year_Selection=$AM$268,Cultivar_2_Cohort_Year_Selection=$AM$268,Cultivar_3_Cohort_Year_Selection=$AM$268), ROUND(MAX(0,(AQ$401-('Stage 2 Randomized Selection'!AG$2*$M402)) - 3),0),
IF(AND(OR(AR$269=123, AR$269=12), Cultivar_1_Cohort_Year_Selection=$AM$268,Cultivar_2_Cohort_Year_Selection=$AM$268),  ROUND(MAX(0,(AQ$401-('Stage 2 Randomized Selection'!AF$2*$M402)) - 2),0),
IF(AND(OR(AR$269=123, AR$269=13), Cultivar_1_Cohort_Year_Selection=$AM$268,Cultivar_3_Cohort_Year_Selection=$AM$268), ROUND(MAX(0,(AQ$401-('Stage 2 Randomized Selection'!AF$2*$M402)) - 2),0),
IF(AND(OR(AR$269=123, AR$269=23), Cultivar_2_Cohort_Year_Selection=$AM$268,Cultivar_3_Cohort_Year_Selection=$AM$268), ROUND(MAX(0,(AQ$401-('Stage 2 Randomized Selection'!AF$2*$M402)) - 2),0),
IF(AND(OR(AR$269=123, AR$269=12, AR$269=13, AR$269=1), Cultivar_1_Cohort_Year_Selection=$AM$268), ROUND(MAX(0,(AQ$401-('Stage 2 Randomized Selection'!AF$2*$M402)) - 1),0),
IF(AND(OR(AR$269=123, AR$269=12, AR$269=23, AR$269=2), Cultivar_2_Cohort_Year_Selection=$AM$268), ROUND(MAX(0,(AQ$401-('Stage 2 Randomized Selection'!AF$2*$M402)) - 1),0),
IF(AND(OR(AR$269=123, AR$269=13, AR$269=23, AR$269=3), Cultivar_3_Cohort_Year_Selection=$AM$268), ROUND(MAX(0,(AQ$401-('Stage 2 Randomized Selection'!AF$2*$M402)) - 1),0),
ROUND(MAX(0,(AQ$401-('Stage 2 Randomized Selection'!AF$2*$M402))),0)))))))),0),"")</f>
        <v/>
      </c>
      <c r="AS424" s="270" t="str">
        <f>IF(ISNUMBER($B$402),
IF(AND(ISNUMBER(AR$401), AR$401&gt;0),
IF(AND(AS$269=123, Cultivar_1_Cohort_Year_Selection=$AN$268,Cultivar_2_Cohort_Year_Selection=$AN$268,Cultivar_3_Cohort_Year_Selection=$AN$268), ROUND(MAX(0,(AR$401-('Stage 2 Randomized Selection'!AH$2*$M402)) - 3),0),
IF(AND(OR(AS$269=123, AS$269=12), Cultivar_1_Cohort_Year_Selection=$AN$268,Cultivar_2_Cohort_Year_Selection=$AN$268),  ROUND(MAX(0,(AR$401-('Stage 2 Randomized Selection'!AG$2*$M402)) - 2),0),
IF(AND(OR(AS$269=123, AS$269=13), Cultivar_1_Cohort_Year_Selection=$AN$268,Cultivar_3_Cohort_Year_Selection=$AN$268), ROUND(MAX(0,(AR$401-('Stage 2 Randomized Selection'!AG$2*$M402)) - 2),0),
IF(AND(OR(AS$269=123, AS$269=23), Cultivar_2_Cohort_Year_Selection=$AN$268,Cultivar_3_Cohort_Year_Selection=$AN$268), ROUND(MAX(0,(AR$401-('Stage 2 Randomized Selection'!AG$2*$M402)) - 2),0),
IF(AND(OR(AS$269=123, AS$269=12, AS$269=13, AS$269=1), Cultivar_1_Cohort_Year_Selection=$AN$268), ROUND(MAX(0,(AR$401-('Stage 2 Randomized Selection'!AG$2*$M402)) - 1),0),
IF(AND(OR(AS$269=123, AS$269=12, AS$269=23, AS$269=2), Cultivar_2_Cohort_Year_Selection=$AN$268), ROUND(MAX(0,(AR$401-('Stage 2 Randomized Selection'!AG$2*$M402)) - 1),0),
IF(AND(OR(AS$269=123, AS$269=13, AS$269=23, AS$269=3), Cultivar_3_Cohort_Year_Selection=$AN$268), ROUND(MAX(0,(AR$401-('Stage 2 Randomized Selection'!AG$2*$M402)) - 1),0),
ROUND(MAX(0,(AR$401-('Stage 2 Randomized Selection'!AG$2*$M402))),0)))))))),0),"")</f>
        <v/>
      </c>
      <c r="AT424" s="270" t="str">
        <f>IF(ISNUMBER($B$402),
IF(AND(ISNUMBER(AS$401), AS$401&gt;0),
IF(AND(AT$269=123, Cultivar_1_Cohort_Year_Selection=$AO$268,Cultivar_2_Cohort_Year_Selection=$AO$268,Cultivar_3_Cohort_Year_Selection=$AO$268), ROUND(MAX(0,(AS$401-('Stage 2 Randomized Selection'!AI$2*$M402)) - 3),0),
IF(AND(OR(AT$269=123, AT$269=12), Cultivar_1_Cohort_Year_Selection=$AO$268,Cultivar_2_Cohort_Year_Selection=$AO$268),  ROUND(MAX(0,(AS$401-('Stage 2 Randomized Selection'!AH$2*$M402)) - 2),0),
IF(AND(OR(AT$269=123, AT$269=13), Cultivar_1_Cohort_Year_Selection=$AO$268,Cultivar_3_Cohort_Year_Selection=$AO$268), ROUND(MAX(0,(AS$401-('Stage 2 Randomized Selection'!AH$2*$M402)) - 2),0),
IF(AND(OR(AT$269=123, AT$269=23), Cultivar_2_Cohort_Year_Selection=$AO$268,Cultivar_3_Cohort_Year_Selection=$AO$268), ROUND(MAX(0,(AS$401-('Stage 2 Randomized Selection'!AH$2*$M402)) - 2),0),
IF(AND(OR(AT$269=123, AT$269=12, AT$269=13, AT$269=1), Cultivar_1_Cohort_Year_Selection=$AO$268), ROUND(MAX(0,(AS$401-('Stage 2 Randomized Selection'!AH$2*$M402)) - 1),0),
IF(AND(OR(AT$269=123, AT$269=12, AT$269=23, AT$269=2), Cultivar_2_Cohort_Year_Selection=$AO$268), ROUND(MAX(0,(AS$401-('Stage 2 Randomized Selection'!AH$2*$M402)) - 1),0),
IF(AND(OR(AT$269=123, AT$269=13, AT$269=23, AT$269=3), Cultivar_3_Cohort_Year_Selection=$AO$268), ROUND(MAX(0,(AS$401-('Stage 2 Randomized Selection'!AH$2*$M402)) - 1),0),
ROUND(MAX(0,(AS$401-('Stage 2 Randomized Selection'!AH$2*$M402))),0)))))))),0),"")</f>
        <v/>
      </c>
      <c r="AU424" s="271" t="str">
        <f>IF(ISNUMBER($B$402),
IF(AND(ISNUMBER(AT$401), AT$401&gt;0),
IF(AND(AU$269=123, Cultivar_1_Cohort_Year_Selection=$AP$268,Cultivar_2_Cohort_Year_Selection=$AP$268,Cultivar_3_Cohort_Year_Selection=$AP$268), ROUND(MAX(0,(AT$401-('Stage 2 Randomized Selection'!AJ$2*$M402)) - 3),0),
IF(AND(OR(AU$269=123, AU$269=12), Cultivar_1_Cohort_Year_Selection=$AP$268,Cultivar_2_Cohort_Year_Selection=$AP$268),  ROUND(MAX(0,(AT$401-('Stage 2 Randomized Selection'!AI$2*$M402)) - 2),0),
IF(AND(OR(AU$269=123, AU$269=13), Cultivar_1_Cohort_Year_Selection=$AP$268,Cultivar_3_Cohort_Year_Selection=$AP$268), ROUND(MAX(0,(AT$401-('Stage 2 Randomized Selection'!AI$2*$M402)) - 2),0),
IF(AND(OR(AU$269=123, AU$269=23), Cultivar_2_Cohort_Year_Selection=$AP$268,Cultivar_3_Cohort_Year_Selection=$AP$268), ROUND(MAX(0,(AT$401-('Stage 2 Randomized Selection'!AI$2*$M402)) - 2),0),
IF(AND(OR(AU$269=123, AU$269=12, AU$269=13, AU$269=1), Cultivar_1_Cohort_Year_Selection=$AP$268), ROUND(MAX(0,(AT$401-('Stage 2 Randomized Selection'!AI$2*$M402)) - 1),0),
IF(AND(OR(AU$269=123, AU$269=12, AU$269=23, AU$269=2), Cultivar_2_Cohort_Year_Selection=$AP$268), ROUND(MAX(0,(AT$401-('Stage 2 Randomized Selection'!AI$2*$M402)) - 1),0),
IF(AND(OR(AU$269=123, AU$269=13, AU$269=23, AU$269=3), Cultivar_3_Cohort_Year_Selection=$AP$268), ROUND(MAX(0,(AT$401-('Stage 2 Randomized Selection'!AI$2*$M402)) - 1),0),
ROUND(MAX(0,(AT$401-('Stage 2 Randomized Selection'!AI$2*$M402))),0)))))))),0),"")</f>
        <v/>
      </c>
    </row>
    <row r="425" spans="1:48" ht="14.45" customHeight="1" x14ac:dyDescent="0.25">
      <c r="A425" s="518" t="str">
        <f>Fourth_Stage</f>
        <v>Stage 2 Clonal Test Plots</v>
      </c>
      <c r="B425" s="503" t="str">
        <f>'Breeding Inputs'!B95</f>
        <v/>
      </c>
      <c r="C425" s="521" t="str">
        <f>IF(ISNUMBER(B425), _4_3_0, "")</f>
        <v/>
      </c>
      <c r="D425" s="94" t="str">
        <f>IF(AND(C425&lt;&gt;"", 'Cost Inputs'!$G$105&lt;&gt;""), 'Cost Inputs'!$G$105, "")</f>
        <v/>
      </c>
      <c r="E425" s="94" t="str">
        <f>IF(AND(C425&lt;&gt;"", 'Cost Inputs'!$H$105&lt;&gt;""), 'Cost Inputs'!$H$105, "")</f>
        <v/>
      </c>
      <c r="F425" s="492" t="str">
        <f>IF(AND(C425&lt;&gt;"", 'Cost Inputs'!$I$105&lt;&gt;""), 'Cost Inputs'!$I$105, "")</f>
        <v/>
      </c>
      <c r="G425" s="102" t="str">
        <f t="shared" si="32"/>
        <v/>
      </c>
      <c r="H425" s="492" t="str">
        <f>IF(AND(C425&lt;&gt;"", 'Cost Inputs'!$J$105&lt;&gt;""), 'Cost Inputs'!$J$105, "")</f>
        <v/>
      </c>
      <c r="I425" s="102" t="str">
        <f>IF($C425&lt;&gt;"",IF(AND($E425&lt;&gt;"",H425&lt;&gt;""), H425/$E425, 0),"")</f>
        <v/>
      </c>
      <c r="J425" s="492" t="str">
        <f>IF(AND(C425&lt;&gt;"",('Cost Inputs'!$I$105+'Cost Inputs'!$J$105+'Cost Inputs'!$K$105)&gt;0), 'Cost Inputs'!$I$105+'Cost Inputs'!$J$105+'Cost Inputs'!$K$105, "")</f>
        <v/>
      </c>
      <c r="K425" s="102" t="str">
        <f>IF($C425&lt;&gt;"",IF(AND($E425&lt;&gt;"",J425&lt;&gt;""), J425/$E425, 0),"")</f>
        <v/>
      </c>
      <c r="L425" s="525" t="str">
        <f>IF(AND($B425&lt;&gt;"", 'Breeding Inputs'!$C$89&lt;&gt;""), INDEX('Breeding Inputs'!$C$89:$C$98, MATCH($B425,'Breeding Inputs'!$B$89:$B$98,0)), IF($B425="", "", 0%))</f>
        <v/>
      </c>
      <c r="M425" s="525" t="str">
        <f>IF(AND($B425&lt;&gt;"", 'Breeding Inputs'!$D$89&lt;&gt;""), INDEX('Breeding Inputs'!$D$89:$D$98, MATCH($B425,'Breeding Inputs'!$B$89:$B$98,0))+INDEX('Breeding Inputs'!$E$89:$E$98, MATCH($B425,'Breeding Inputs'!$B$89:$B$98,0)), IF($B425="", "", 0%))</f>
        <v/>
      </c>
      <c r="U425" s="495" t="str">
        <f>IF(ISNUMBER('Model_ of_individuals'!U441), 'Model_ of_individuals'!U441*'Model_ of_individuals'!$K441,"")</f>
        <v/>
      </c>
      <c r="V425" s="495" t="str">
        <f>IF(ISNUMBER('Model_ of_individuals'!V441), 'Model_ of_individuals'!V441*'Model_ of_individuals'!$K441,"")</f>
        <v/>
      </c>
      <c r="W425" s="495" t="str">
        <f>IF(ISNUMBER('Model_ of_individuals'!W441), 'Model_ of_individuals'!W441*'Model_ of_individuals'!$K441,"")</f>
        <v/>
      </c>
      <c r="X425" s="495" t="str">
        <f>IF(ISNUMBER('Model_ of_individuals'!X441), 'Model_ of_individuals'!X441*'Model_ of_individuals'!$K441,"")</f>
        <v/>
      </c>
      <c r="Y425" s="495" t="str">
        <f>IF(ISNUMBER('Model_ of_individuals'!Y441), 'Model_ of_individuals'!Y441*'Model_ of_individuals'!$K441,"")</f>
        <v/>
      </c>
      <c r="Z425" s="495" t="str">
        <f>IF(ISNUMBER('Model_ of_individuals'!Z441), 'Model_ of_individuals'!Z441*'Model_ of_individuals'!$K441,"")</f>
        <v/>
      </c>
      <c r="AA425" s="495" t="str">
        <f>IF(ISNUMBER('Model_ of_individuals'!AA441), 'Model_ of_individuals'!AA441*'Model_ of_individuals'!$K441,"")</f>
        <v/>
      </c>
      <c r="AB425" s="495" t="str">
        <f>IF(ISNUMBER('Model_ of_individuals'!AB441), 'Model_ of_individuals'!AB441*'Model_ of_individuals'!$K441,"")</f>
        <v/>
      </c>
      <c r="AC425" s="495" t="str">
        <f>IF(ISNUMBER('Model_ of_individuals'!AC441), 'Model_ of_individuals'!AC441*'Model_ of_individuals'!$K441,"")</f>
        <v/>
      </c>
      <c r="AD425" s="495" t="str">
        <f>IF(ISNUMBER('Model_ of_individuals'!AD441), 'Model_ of_individuals'!AD441*'Model_ of_individuals'!$K441,"")</f>
        <v/>
      </c>
      <c r="AE425" s="495" t="str">
        <f>IF(ISNUMBER('Model_ of_individuals'!AE441), 'Model_ of_individuals'!AE441*'Model_ of_individuals'!$K441,"")</f>
        <v/>
      </c>
      <c r="AF425" s="495" t="str">
        <f>IF(ISNUMBER('Model_ of_individuals'!AF441), 'Model_ of_individuals'!AF441*'Model_ of_individuals'!$K441,"")</f>
        <v/>
      </c>
      <c r="AG425" s="495" t="str">
        <f>IF(ISNUMBER('Model_ of_individuals'!AG441), 'Model_ of_individuals'!AG441*'Model_ of_individuals'!$K441,"")</f>
        <v/>
      </c>
      <c r="AH425" s="495" t="str">
        <f>IF(ISNUMBER('Model_ of_individuals'!AH441), 'Model_ of_individuals'!AH441*'Model_ of_individuals'!$K441,"")</f>
        <v/>
      </c>
      <c r="AI425" s="495" t="str">
        <f>IF(ISNUMBER('Model_ of_individuals'!AI441), 'Model_ of_individuals'!AI441*'Model_ of_individuals'!$K441,"")</f>
        <v/>
      </c>
      <c r="AJ425" s="495" t="str">
        <f>IF(ISNUMBER('Model_ of_individuals'!AJ441), 'Model_ of_individuals'!AJ441*'Model_ of_individuals'!$K441,"")</f>
        <v/>
      </c>
      <c r="AK425" s="495" t="str">
        <f>IF(ISNUMBER('Model_ of_individuals'!AK441), 'Model_ of_individuals'!AK441*'Model_ of_individuals'!$K441,"")</f>
        <v/>
      </c>
      <c r="AL425" s="495" t="str">
        <f>IF(ISNUMBER('Model_ of_individuals'!AL441), 'Model_ of_individuals'!AL441*'Model_ of_individuals'!$K441,"")</f>
        <v/>
      </c>
      <c r="AM425" s="495" t="str">
        <f>IF(ISNUMBER('Model_ of_individuals'!AM441), 'Model_ of_individuals'!AM441*'Model_ of_individuals'!$K441,"")</f>
        <v/>
      </c>
      <c r="AN425" s="495" t="str">
        <f>IF(ISNUMBER('Model_ of_individuals'!AN441), 'Model_ of_individuals'!AN441*'Model_ of_individuals'!$K441,"")</f>
        <v/>
      </c>
      <c r="AO425" s="495" t="str">
        <f>IF(ISNUMBER('Model_ of_individuals'!AO441), 'Model_ of_individuals'!AO441*'Model_ of_individuals'!$K441,"")</f>
        <v/>
      </c>
      <c r="AP425" s="495" t="str">
        <f>IF(ISNUMBER('Model_ of_individuals'!AP441), 'Model_ of_individuals'!AP441*'Model_ of_individuals'!$K441,"")</f>
        <v/>
      </c>
      <c r="AQ425" s="495" t="str">
        <f>IF(ISNUMBER('Model_ of_individuals'!AQ441), 'Model_ of_individuals'!AQ441*'Model_ of_individuals'!$K441,"")</f>
        <v/>
      </c>
      <c r="AR425" s="495" t="str">
        <f>IF(ISNUMBER('Model_ of_individuals'!AR441), 'Model_ of_individuals'!AR441*'Model_ of_individuals'!$K441,"")</f>
        <v/>
      </c>
      <c r="AS425" s="495" t="str">
        <f>IF(ISNUMBER('Model_ of_individuals'!AS441), 'Model_ of_individuals'!AS441*'Model_ of_individuals'!$K441,"")</f>
        <v/>
      </c>
      <c r="AT425" s="495" t="str">
        <f>IF(ISNUMBER('Model_ of_individuals'!AT441), 'Model_ of_individuals'!AT441*'Model_ of_individuals'!$K441,"")</f>
        <v/>
      </c>
      <c r="AU425" s="495" t="str">
        <f>IF(ISNUMBER('Model_ of_individuals'!AU441), 'Model_ of_individuals'!AU441*'Model_ of_individuals'!$K441,"")</f>
        <v/>
      </c>
      <c r="AV425" s="495" t="str">
        <f>IF(ISNUMBER('Model_ of_individuals'!AV441), 'Model_ of_individuals'!AV441*'Model_ of_individuals'!$K441,"")</f>
        <v/>
      </c>
    </row>
    <row r="426" spans="1:48" x14ac:dyDescent="0.25">
      <c r="A426" s="518"/>
      <c r="B426" s="504"/>
      <c r="C426" s="521"/>
      <c r="D426" s="94" t="str">
        <f>IF(AND(C425&lt;&gt;"", 'Cost Inputs'!$G$106&lt;&gt;""), 'Cost Inputs'!$G$106, "")</f>
        <v/>
      </c>
      <c r="E426" s="94" t="str">
        <f>IF(AND(C425&lt;&gt;"", 'Cost Inputs'!H257&lt;&gt;""), 'Cost Inputs'!H257, "")</f>
        <v/>
      </c>
      <c r="F426" s="492"/>
      <c r="G426" s="102" t="str">
        <f t="shared" si="32"/>
        <v/>
      </c>
      <c r="H426" s="492"/>
      <c r="I426" s="102" t="str">
        <f>IF($C425&lt;&gt;"", IF(AND($E426&lt;&gt;"", H425&lt;&gt;""), H425/($E425*$E426), 0), "")</f>
        <v/>
      </c>
      <c r="J426" s="492" t="str">
        <f>IF(AND(C426&lt;&gt;"",('Cost Inputs'!$I$86+'Cost Inputs'!$J$86+'Cost Inputs'!$K$86)&gt;0), 'Cost Inputs'!$I$86+'Cost Inputs'!$J$86+'Cost Inputs'!$K$86, "")</f>
        <v/>
      </c>
      <c r="K426" s="102" t="str">
        <f>IF($C425&lt;&gt;"", IF(AND($E426&lt;&gt;"", J425&lt;&gt;""), J425/($E425*$E426), 0), "")</f>
        <v/>
      </c>
      <c r="L426" s="525"/>
      <c r="M426" s="525"/>
      <c r="U426" s="496" t="str">
        <f>IF(ISNUMBER('Model_ of_individuals'!U442), 'Model_ of_individuals'!U442*'Model_ of_individuals'!$K442,"")</f>
        <v/>
      </c>
      <c r="V426" s="496" t="str">
        <f>IF(ISNUMBER('Model_ of_individuals'!V442), 'Model_ of_individuals'!V442*'Model_ of_individuals'!$K442,"")</f>
        <v/>
      </c>
      <c r="W426" s="496" t="str">
        <f>IF(ISNUMBER('Model_ of_individuals'!W442), 'Model_ of_individuals'!W442*'Model_ of_individuals'!$K442,"")</f>
        <v/>
      </c>
      <c r="X426" s="496" t="str">
        <f>IF(ISNUMBER('Model_ of_individuals'!X442), 'Model_ of_individuals'!X442*'Model_ of_individuals'!$K442,"")</f>
        <v/>
      </c>
      <c r="Y426" s="496" t="str">
        <f>IF(ISNUMBER('Model_ of_individuals'!Y442), 'Model_ of_individuals'!Y442*'Model_ of_individuals'!$K442,"")</f>
        <v/>
      </c>
      <c r="Z426" s="496" t="str">
        <f>IF(ISNUMBER('Model_ of_individuals'!Z442), 'Model_ of_individuals'!Z442*'Model_ of_individuals'!$K442,"")</f>
        <v/>
      </c>
      <c r="AA426" s="496" t="str">
        <f>IF(ISNUMBER('Model_ of_individuals'!AA442), 'Model_ of_individuals'!AA442*'Model_ of_individuals'!$K442,"")</f>
        <v/>
      </c>
      <c r="AB426" s="496" t="str">
        <f>IF(ISNUMBER('Model_ of_individuals'!AB442), 'Model_ of_individuals'!AB442*'Model_ of_individuals'!$K442,"")</f>
        <v/>
      </c>
      <c r="AC426" s="496" t="str">
        <f>IF(ISNUMBER('Model_ of_individuals'!AC442), 'Model_ of_individuals'!AC442*'Model_ of_individuals'!$K442,"")</f>
        <v/>
      </c>
      <c r="AD426" s="496" t="str">
        <f>IF(ISNUMBER('Model_ of_individuals'!AD442), 'Model_ of_individuals'!AD442*'Model_ of_individuals'!$K442,"")</f>
        <v/>
      </c>
      <c r="AE426" s="496" t="str">
        <f>IF(ISNUMBER('Model_ of_individuals'!AE442), 'Model_ of_individuals'!AE442*'Model_ of_individuals'!$K442,"")</f>
        <v/>
      </c>
      <c r="AF426" s="496" t="str">
        <f>IF(ISNUMBER('Model_ of_individuals'!AF442), 'Model_ of_individuals'!AF442*'Model_ of_individuals'!$K442,"")</f>
        <v/>
      </c>
      <c r="AG426" s="496" t="str">
        <f>IF(ISNUMBER('Model_ of_individuals'!AG442), 'Model_ of_individuals'!AG442*'Model_ of_individuals'!$K442,"")</f>
        <v/>
      </c>
      <c r="AH426" s="496" t="str">
        <f>IF(ISNUMBER('Model_ of_individuals'!AH442), 'Model_ of_individuals'!AH442*'Model_ of_individuals'!$K442,"")</f>
        <v/>
      </c>
      <c r="AI426" s="496" t="str">
        <f>IF(ISNUMBER('Model_ of_individuals'!AI442), 'Model_ of_individuals'!AI442*'Model_ of_individuals'!$K442,"")</f>
        <v/>
      </c>
      <c r="AJ426" s="496" t="str">
        <f>IF(ISNUMBER('Model_ of_individuals'!AJ442), 'Model_ of_individuals'!AJ442*'Model_ of_individuals'!$K442,"")</f>
        <v/>
      </c>
      <c r="AK426" s="496" t="str">
        <f>IF(ISNUMBER('Model_ of_individuals'!AK442), 'Model_ of_individuals'!AK442*'Model_ of_individuals'!$K442,"")</f>
        <v/>
      </c>
      <c r="AL426" s="496" t="str">
        <f>IF(ISNUMBER('Model_ of_individuals'!AL442), 'Model_ of_individuals'!AL442*'Model_ of_individuals'!$K442,"")</f>
        <v/>
      </c>
      <c r="AM426" s="496" t="str">
        <f>IF(ISNUMBER('Model_ of_individuals'!AM442), 'Model_ of_individuals'!AM442*'Model_ of_individuals'!$K442,"")</f>
        <v/>
      </c>
      <c r="AN426" s="496" t="str">
        <f>IF(ISNUMBER('Model_ of_individuals'!AN442), 'Model_ of_individuals'!AN442*'Model_ of_individuals'!$K442,"")</f>
        <v/>
      </c>
      <c r="AO426" s="496" t="str">
        <f>IF(ISNUMBER('Model_ of_individuals'!AO442), 'Model_ of_individuals'!AO442*'Model_ of_individuals'!$K442,"")</f>
        <v/>
      </c>
      <c r="AP426" s="496" t="str">
        <f>IF(ISNUMBER('Model_ of_individuals'!AP442), 'Model_ of_individuals'!AP442*'Model_ of_individuals'!$K442,"")</f>
        <v/>
      </c>
      <c r="AQ426" s="496" t="str">
        <f>IF(ISNUMBER('Model_ of_individuals'!AQ442), 'Model_ of_individuals'!AQ442*'Model_ of_individuals'!$K442,"")</f>
        <v/>
      </c>
      <c r="AR426" s="496" t="str">
        <f>IF(ISNUMBER('Model_ of_individuals'!AR442), 'Model_ of_individuals'!AR442*'Model_ of_individuals'!$K442,"")</f>
        <v/>
      </c>
      <c r="AS426" s="496" t="str">
        <f>IF(ISNUMBER('Model_ of_individuals'!AS442), 'Model_ of_individuals'!AS442*'Model_ of_individuals'!$K442,"")</f>
        <v/>
      </c>
      <c r="AT426" s="496" t="str">
        <f>IF(ISNUMBER('Model_ of_individuals'!AT442), 'Model_ of_individuals'!AT442*'Model_ of_individuals'!$K442,"")</f>
        <v/>
      </c>
      <c r="AU426" s="496" t="str">
        <f>IF(ISNUMBER('Model_ of_individuals'!AU442), 'Model_ of_individuals'!AU442*'Model_ of_individuals'!$K442,"")</f>
        <v/>
      </c>
      <c r="AV426" s="496" t="str">
        <f>IF(ISNUMBER('Model_ of_individuals'!AV442), 'Model_ of_individuals'!AV442*'Model_ of_individuals'!$K442,"")</f>
        <v/>
      </c>
    </row>
    <row r="427" spans="1:48" x14ac:dyDescent="0.25">
      <c r="A427" s="518"/>
      <c r="B427" s="504"/>
      <c r="C427" s="104" t="str">
        <f>IF(AND(ISNUMBER(B425), OR('Cost Inputs'!$H$107&lt;&gt;"", 'Cost Inputs'!$I$107&lt;&gt;"", 'Cost Inputs'!$J$107&lt;&gt;"")), _4_3_1, "")</f>
        <v/>
      </c>
      <c r="D427" s="17" t="str">
        <f>IF(AND(C427&lt;&gt;"", 'Cost Inputs'!$G$107&lt;&gt;""), 'Cost Inputs'!$G$107, "")</f>
        <v/>
      </c>
      <c r="E427" s="17" t="str">
        <f>IF(AND(C427&lt;&gt;"", 'Cost Inputs'!$H$107&lt;&gt;""), 'Cost Inputs'!$H$107, "")</f>
        <v/>
      </c>
      <c r="F427" s="17" t="str">
        <f>IF(AND(C427&lt;&gt;"", 'Cost Inputs'!$I$107&lt;&gt;""), 'Cost Inputs'!$I$107, "")</f>
        <v/>
      </c>
      <c r="G427" s="105" t="str">
        <f t="shared" si="32"/>
        <v/>
      </c>
      <c r="H427" s="17" t="str">
        <f>IF(AND(C427&lt;&gt;"", 'Cost Inputs'!$J$107&lt;&gt;""), 'Cost Inputs'!$J$107, "")</f>
        <v/>
      </c>
      <c r="I427" s="17" t="str">
        <f t="shared" ref="I427:I435" si="35">IF($C427&lt;&gt;"", IF(AND($E427&lt;&gt;"", H427&lt;&gt;""), H427/$E427, 0),"")</f>
        <v/>
      </c>
      <c r="J427" s="17" t="str">
        <f>IF(AND(C427&lt;&gt;"",('Cost Inputs'!$I$107+'Cost Inputs'!$J$107+'Cost Inputs'!$K$107)&gt;0), 'Cost Inputs'!$I$107+'Cost Inputs'!$J$107+'Cost Inputs'!$K$107, "")</f>
        <v/>
      </c>
      <c r="K427" s="17" t="str">
        <f t="shared" ref="K427:K435" si="36">IF($C427&lt;&gt;"", IF(AND($E427&lt;&gt;"", J427&lt;&gt;""), J427/$E427, 0),"")</f>
        <v/>
      </c>
      <c r="L427" s="525"/>
      <c r="M427" s="525"/>
      <c r="U427" s="17" t="str">
        <f>IF(ISNUMBER('Model_ of_individuals'!U443), 'Model_ of_individuals'!U443*'Model_ of_individuals'!$K443,"")</f>
        <v/>
      </c>
      <c r="V427" s="17" t="str">
        <f>IF(ISNUMBER('Model_ of_individuals'!V443), 'Model_ of_individuals'!V443*'Model_ of_individuals'!$K443,"")</f>
        <v/>
      </c>
      <c r="W427" s="17" t="str">
        <f>IF(ISNUMBER('Model_ of_individuals'!W443), 'Model_ of_individuals'!W443*'Model_ of_individuals'!$K443,"")</f>
        <v/>
      </c>
      <c r="X427" s="17" t="str">
        <f>IF(ISNUMBER('Model_ of_individuals'!X443), 'Model_ of_individuals'!X443*'Model_ of_individuals'!$K443,"")</f>
        <v/>
      </c>
      <c r="Y427" s="17" t="str">
        <f>IF(ISNUMBER('Model_ of_individuals'!Y443), 'Model_ of_individuals'!Y443*'Model_ of_individuals'!$K443,"")</f>
        <v/>
      </c>
      <c r="Z427" s="17" t="str">
        <f>IF(ISNUMBER('Model_ of_individuals'!Z443), 'Model_ of_individuals'!Z443*'Model_ of_individuals'!$K443,"")</f>
        <v/>
      </c>
      <c r="AA427" s="17" t="str">
        <f>IF(ISNUMBER('Model_ of_individuals'!AA443), 'Model_ of_individuals'!AA443*'Model_ of_individuals'!$K443,"")</f>
        <v/>
      </c>
      <c r="AB427" s="17" t="str">
        <f>IF(ISNUMBER('Model_ of_individuals'!AB443), 'Model_ of_individuals'!AB443*'Model_ of_individuals'!$K443,"")</f>
        <v/>
      </c>
      <c r="AC427" s="17" t="str">
        <f>IF(ISNUMBER('Model_ of_individuals'!AC443), 'Model_ of_individuals'!AC443*'Model_ of_individuals'!$K443,"")</f>
        <v/>
      </c>
      <c r="AD427" s="17" t="str">
        <f>IF(ISNUMBER('Model_ of_individuals'!AD443), 'Model_ of_individuals'!AD443*'Model_ of_individuals'!$K443,"")</f>
        <v/>
      </c>
      <c r="AE427" s="17" t="str">
        <f>IF(ISNUMBER('Model_ of_individuals'!AE443), 'Model_ of_individuals'!AE443*'Model_ of_individuals'!$K443,"")</f>
        <v/>
      </c>
      <c r="AF427" s="17" t="str">
        <f>IF(ISNUMBER('Model_ of_individuals'!AF443), 'Model_ of_individuals'!AF443*'Model_ of_individuals'!$K443,"")</f>
        <v/>
      </c>
      <c r="AG427" s="17" t="str">
        <f>IF(ISNUMBER('Model_ of_individuals'!AG443), 'Model_ of_individuals'!AG443*'Model_ of_individuals'!$K443,"")</f>
        <v/>
      </c>
      <c r="AH427" s="17" t="str">
        <f>IF(ISNUMBER('Model_ of_individuals'!AH443), 'Model_ of_individuals'!AH443*'Model_ of_individuals'!$K443,"")</f>
        <v/>
      </c>
      <c r="AI427" s="17" t="str">
        <f>IF(ISNUMBER('Model_ of_individuals'!AI443), 'Model_ of_individuals'!AI443*'Model_ of_individuals'!$K443,"")</f>
        <v/>
      </c>
      <c r="AJ427" s="17" t="str">
        <f>IF(ISNUMBER('Model_ of_individuals'!AJ443), 'Model_ of_individuals'!AJ443*'Model_ of_individuals'!$K443,"")</f>
        <v/>
      </c>
      <c r="AK427" s="17" t="str">
        <f>IF(ISNUMBER('Model_ of_individuals'!AK443), 'Model_ of_individuals'!AK443*'Model_ of_individuals'!$K443,"")</f>
        <v/>
      </c>
      <c r="AL427" s="17" t="str">
        <f>IF(ISNUMBER('Model_ of_individuals'!AL443), 'Model_ of_individuals'!AL443*'Model_ of_individuals'!$K443,"")</f>
        <v/>
      </c>
      <c r="AM427" s="17" t="str">
        <f>IF(ISNUMBER('Model_ of_individuals'!AM443), 'Model_ of_individuals'!AM443*'Model_ of_individuals'!$K443,"")</f>
        <v/>
      </c>
      <c r="AN427" s="17" t="str">
        <f>IF(ISNUMBER('Model_ of_individuals'!AN443), 'Model_ of_individuals'!AN443*'Model_ of_individuals'!$K443,"")</f>
        <v/>
      </c>
      <c r="AO427" s="17" t="str">
        <f>IF(ISNUMBER('Model_ of_individuals'!AO443), 'Model_ of_individuals'!AO443*'Model_ of_individuals'!$K443,"")</f>
        <v/>
      </c>
      <c r="AP427" s="17" t="str">
        <f>IF(ISNUMBER('Model_ of_individuals'!AP443), 'Model_ of_individuals'!AP443*'Model_ of_individuals'!$K443,"")</f>
        <v/>
      </c>
      <c r="AQ427" s="17" t="str">
        <f>IF(ISNUMBER('Model_ of_individuals'!AQ443), 'Model_ of_individuals'!AQ443*'Model_ of_individuals'!$K443,"")</f>
        <v/>
      </c>
      <c r="AR427" s="17" t="str">
        <f>IF(ISNUMBER('Model_ of_individuals'!AR443), 'Model_ of_individuals'!AR443*'Model_ of_individuals'!$K443,"")</f>
        <v/>
      </c>
      <c r="AS427" s="17" t="str">
        <f>IF(ISNUMBER('Model_ of_individuals'!AS443), 'Model_ of_individuals'!AS443*'Model_ of_individuals'!$K443,"")</f>
        <v/>
      </c>
      <c r="AT427" s="17" t="str">
        <f>IF(ISNUMBER('Model_ of_individuals'!AT443), 'Model_ of_individuals'!AT443*'Model_ of_individuals'!$K443,"")</f>
        <v/>
      </c>
      <c r="AU427" s="17" t="str">
        <f>IF(ISNUMBER('Model_ of_individuals'!AU443), 'Model_ of_individuals'!AU443*'Model_ of_individuals'!$K443,"")</f>
        <v/>
      </c>
      <c r="AV427" s="17" t="str">
        <f>IF(ISNUMBER('Model_ of_individuals'!AV443), 'Model_ of_individuals'!AV443*'Model_ of_individuals'!$K443,"")</f>
        <v/>
      </c>
    </row>
    <row r="428" spans="1:48" x14ac:dyDescent="0.25">
      <c r="A428" s="518"/>
      <c r="B428" s="504"/>
      <c r="C428" s="107" t="str">
        <f>IF(AND(ISNUMBER(B425), OR('Cost Inputs'!$H$108&lt;&gt;"", 'Cost Inputs'!$I$108&lt;&gt;"", 'Cost Inputs'!$J$108&lt;&gt;"")), _4_3_2, "")</f>
        <v/>
      </c>
      <c r="D428" s="93" t="str">
        <f>IF(AND(C428&lt;&gt;"", 'Cost Inputs'!$G$108&lt;&gt;""), 'Cost Inputs'!$G$108, "")</f>
        <v/>
      </c>
      <c r="E428" s="93" t="str">
        <f>IF(AND(C428&lt;&gt;"", 'Cost Inputs'!$H$108&lt;&gt;""), 'Cost Inputs'!$H$108, "")</f>
        <v/>
      </c>
      <c r="F428" s="93" t="str">
        <f>IF(AND(C428&lt;&gt;"", 'Cost Inputs'!$I$108&lt;&gt;""), 'Cost Inputs'!$I$108, "")</f>
        <v/>
      </c>
      <c r="G428" s="108" t="str">
        <f t="shared" si="32"/>
        <v/>
      </c>
      <c r="H428" s="93" t="str">
        <f>IF(AND(C428&lt;&gt;"", 'Cost Inputs'!$J$108&lt;&gt;""), 'Cost Inputs'!$J$108, "")</f>
        <v/>
      </c>
      <c r="I428" s="93" t="str">
        <f t="shared" si="35"/>
        <v/>
      </c>
      <c r="J428" s="93" t="str">
        <f>IF(AND(C428&lt;&gt;"",('Cost Inputs'!$I$108+'Cost Inputs'!$J$108+'Cost Inputs'!$K$108)&gt;0), 'Cost Inputs'!$I$108+'Cost Inputs'!$J$108+'Cost Inputs'!$K$108, "")</f>
        <v/>
      </c>
      <c r="K428" s="93" t="str">
        <f t="shared" si="36"/>
        <v/>
      </c>
      <c r="L428" s="525"/>
      <c r="M428" s="525"/>
      <c r="U428" s="93" t="str">
        <f>IF(ISNUMBER('Model_ of_individuals'!U444), 'Model_ of_individuals'!U444*'Model_ of_individuals'!$K444,"")</f>
        <v/>
      </c>
      <c r="V428" s="93" t="str">
        <f>IF(ISNUMBER('Model_ of_individuals'!V444), 'Model_ of_individuals'!V444*'Model_ of_individuals'!$K444,"")</f>
        <v/>
      </c>
      <c r="W428" s="93" t="str">
        <f>IF(ISNUMBER('Model_ of_individuals'!W444), 'Model_ of_individuals'!W444*'Model_ of_individuals'!$K444,"")</f>
        <v/>
      </c>
      <c r="X428" s="93" t="str">
        <f>IF(ISNUMBER('Model_ of_individuals'!X444), 'Model_ of_individuals'!X444*'Model_ of_individuals'!$K444,"")</f>
        <v/>
      </c>
      <c r="Y428" s="93" t="str">
        <f>IF(ISNUMBER('Model_ of_individuals'!Y444), 'Model_ of_individuals'!Y444*'Model_ of_individuals'!$K444,"")</f>
        <v/>
      </c>
      <c r="Z428" s="93" t="str">
        <f>IF(ISNUMBER('Model_ of_individuals'!Z444), 'Model_ of_individuals'!Z444*'Model_ of_individuals'!$K444,"")</f>
        <v/>
      </c>
      <c r="AA428" s="93" t="str">
        <f>IF(ISNUMBER('Model_ of_individuals'!AA444), 'Model_ of_individuals'!AA444*'Model_ of_individuals'!$K444,"")</f>
        <v/>
      </c>
      <c r="AB428" s="93" t="str">
        <f>IF(ISNUMBER('Model_ of_individuals'!AB444), 'Model_ of_individuals'!AB444*'Model_ of_individuals'!$K444,"")</f>
        <v/>
      </c>
      <c r="AC428" s="93" t="str">
        <f>IF(ISNUMBER('Model_ of_individuals'!AC444), 'Model_ of_individuals'!AC444*'Model_ of_individuals'!$K444,"")</f>
        <v/>
      </c>
      <c r="AD428" s="93" t="str">
        <f>IF(ISNUMBER('Model_ of_individuals'!AD444), 'Model_ of_individuals'!AD444*'Model_ of_individuals'!$K444,"")</f>
        <v/>
      </c>
      <c r="AE428" s="93" t="str">
        <f>IF(ISNUMBER('Model_ of_individuals'!AE444), 'Model_ of_individuals'!AE444*'Model_ of_individuals'!$K444,"")</f>
        <v/>
      </c>
      <c r="AF428" s="93" t="str">
        <f>IF(ISNUMBER('Model_ of_individuals'!AF444), 'Model_ of_individuals'!AF444*'Model_ of_individuals'!$K444,"")</f>
        <v/>
      </c>
      <c r="AG428" s="93" t="str">
        <f>IF(ISNUMBER('Model_ of_individuals'!AG444), 'Model_ of_individuals'!AG444*'Model_ of_individuals'!$K444,"")</f>
        <v/>
      </c>
      <c r="AH428" s="93" t="str">
        <f>IF(ISNUMBER('Model_ of_individuals'!AH444), 'Model_ of_individuals'!AH444*'Model_ of_individuals'!$K444,"")</f>
        <v/>
      </c>
      <c r="AI428" s="93" t="str">
        <f>IF(ISNUMBER('Model_ of_individuals'!AI444), 'Model_ of_individuals'!AI444*'Model_ of_individuals'!$K444,"")</f>
        <v/>
      </c>
      <c r="AJ428" s="93" t="str">
        <f>IF(ISNUMBER('Model_ of_individuals'!AJ444), 'Model_ of_individuals'!AJ444*'Model_ of_individuals'!$K444,"")</f>
        <v/>
      </c>
      <c r="AK428" s="93" t="str">
        <f>IF(ISNUMBER('Model_ of_individuals'!AK444), 'Model_ of_individuals'!AK444*'Model_ of_individuals'!$K444,"")</f>
        <v/>
      </c>
      <c r="AL428" s="93" t="str">
        <f>IF(ISNUMBER('Model_ of_individuals'!AL444), 'Model_ of_individuals'!AL444*'Model_ of_individuals'!$K444,"")</f>
        <v/>
      </c>
      <c r="AM428" s="93" t="str">
        <f>IF(ISNUMBER('Model_ of_individuals'!AM444), 'Model_ of_individuals'!AM444*'Model_ of_individuals'!$K444,"")</f>
        <v/>
      </c>
      <c r="AN428" s="93" t="str">
        <f>IF(ISNUMBER('Model_ of_individuals'!AN444), 'Model_ of_individuals'!AN444*'Model_ of_individuals'!$K444,"")</f>
        <v/>
      </c>
      <c r="AO428" s="93" t="str">
        <f>IF(ISNUMBER('Model_ of_individuals'!AO444), 'Model_ of_individuals'!AO444*'Model_ of_individuals'!$K444,"")</f>
        <v/>
      </c>
      <c r="AP428" s="93" t="str">
        <f>IF(ISNUMBER('Model_ of_individuals'!AP444), 'Model_ of_individuals'!AP444*'Model_ of_individuals'!$K444,"")</f>
        <v/>
      </c>
      <c r="AQ428" s="93" t="str">
        <f>IF(ISNUMBER('Model_ of_individuals'!AQ444), 'Model_ of_individuals'!AQ444*'Model_ of_individuals'!$K444,"")</f>
        <v/>
      </c>
      <c r="AR428" s="93" t="str">
        <f>IF(ISNUMBER('Model_ of_individuals'!AR444), 'Model_ of_individuals'!AR444*'Model_ of_individuals'!$K444,"")</f>
        <v/>
      </c>
      <c r="AS428" s="93" t="str">
        <f>IF(ISNUMBER('Model_ of_individuals'!AS444), 'Model_ of_individuals'!AS444*'Model_ of_individuals'!$K444,"")</f>
        <v/>
      </c>
      <c r="AT428" s="93" t="str">
        <f>IF(ISNUMBER('Model_ of_individuals'!AT444), 'Model_ of_individuals'!AT444*'Model_ of_individuals'!$K444,"")</f>
        <v/>
      </c>
      <c r="AU428" s="93" t="str">
        <f>IF(ISNUMBER('Model_ of_individuals'!AU444), 'Model_ of_individuals'!AU444*'Model_ of_individuals'!$K444,"")</f>
        <v/>
      </c>
      <c r="AV428" s="93" t="str">
        <f>IF(ISNUMBER('Model_ of_individuals'!AV444), 'Model_ of_individuals'!AV444*'Model_ of_individuals'!$K444,"")</f>
        <v/>
      </c>
    </row>
    <row r="429" spans="1:48" x14ac:dyDescent="0.25">
      <c r="A429" s="518"/>
      <c r="B429" s="504"/>
      <c r="C429" s="110" t="str">
        <f>IF(ISNUMBER(B425), _4_4_0, "")</f>
        <v/>
      </c>
      <c r="D429" s="94" t="str">
        <f>IF(AND(C429&lt;&gt;"", 'Cost Inputs'!$G$109&lt;&gt;""), 'Cost Inputs'!$G$109, "")</f>
        <v/>
      </c>
      <c r="E429" s="94" t="str">
        <f>IF(AND(C429&lt;&gt;"", 'Cost Inputs'!$H$109&lt;&gt;""), 'Cost Inputs'!$H$109, "")</f>
        <v/>
      </c>
      <c r="F429" s="94" t="str">
        <f>IF(AND(C429&lt;&gt;"", 'Cost Inputs'!$I$109&lt;&gt;""), 'Cost Inputs'!$I$109, "")</f>
        <v/>
      </c>
      <c r="G429" s="102" t="str">
        <f t="shared" si="32"/>
        <v/>
      </c>
      <c r="H429" s="102" t="str">
        <f>IF(AND(C429&lt;&gt;"", 'Cost Inputs'!$J$109&lt;&gt;""), 'Cost Inputs'!$J$109, "")</f>
        <v/>
      </c>
      <c r="I429" s="102" t="str">
        <f t="shared" si="35"/>
        <v/>
      </c>
      <c r="J429" s="102" t="str">
        <f>IF(AND(C429&lt;&gt;"",('Cost Inputs'!$I$109+'Cost Inputs'!$J$109+'Cost Inputs'!$K$109)&gt;0), 'Cost Inputs'!$I$109+'Cost Inputs'!$J$109+'Cost Inputs'!$K$109, "")</f>
        <v/>
      </c>
      <c r="K429" s="102" t="str">
        <f t="shared" si="36"/>
        <v/>
      </c>
      <c r="L429" s="525"/>
      <c r="M429" s="525"/>
      <c r="U429" s="102" t="str">
        <f>IF(ISNUMBER('Model_ of_individuals'!U445), 'Model_ of_individuals'!U445*'Model_ of_individuals'!$K445,"")</f>
        <v/>
      </c>
      <c r="V429" s="102" t="str">
        <f>IF(ISNUMBER('Model_ of_individuals'!V445), 'Model_ of_individuals'!V445*'Model_ of_individuals'!$K445,"")</f>
        <v/>
      </c>
      <c r="W429" s="102" t="str">
        <f>IF(ISNUMBER('Model_ of_individuals'!W445), 'Model_ of_individuals'!W445*'Model_ of_individuals'!$K445,"")</f>
        <v/>
      </c>
      <c r="X429" s="102" t="str">
        <f>IF(ISNUMBER('Model_ of_individuals'!X445), 'Model_ of_individuals'!X445*'Model_ of_individuals'!$K445,"")</f>
        <v/>
      </c>
      <c r="Y429" s="102" t="str">
        <f>IF(ISNUMBER('Model_ of_individuals'!Y445), 'Model_ of_individuals'!Y445*'Model_ of_individuals'!$K445,"")</f>
        <v/>
      </c>
      <c r="Z429" s="102" t="str">
        <f>IF(ISNUMBER('Model_ of_individuals'!Z445), 'Model_ of_individuals'!Z445*'Model_ of_individuals'!$K445,"")</f>
        <v/>
      </c>
      <c r="AA429" s="102" t="str">
        <f>IF(ISNUMBER('Model_ of_individuals'!AA445), 'Model_ of_individuals'!AA445*'Model_ of_individuals'!$K445,"")</f>
        <v/>
      </c>
      <c r="AB429" s="102" t="str">
        <f>IF(ISNUMBER('Model_ of_individuals'!AB445), 'Model_ of_individuals'!AB445*'Model_ of_individuals'!$K445,"")</f>
        <v/>
      </c>
      <c r="AC429" s="102" t="str">
        <f>IF(ISNUMBER('Model_ of_individuals'!AC445), 'Model_ of_individuals'!AC445*'Model_ of_individuals'!$K445,"")</f>
        <v/>
      </c>
      <c r="AD429" s="102" t="str">
        <f>IF(ISNUMBER('Model_ of_individuals'!AD445), 'Model_ of_individuals'!AD445*'Model_ of_individuals'!$K445,"")</f>
        <v/>
      </c>
      <c r="AE429" s="102" t="str">
        <f>IF(ISNUMBER('Model_ of_individuals'!AE445), 'Model_ of_individuals'!AE445*'Model_ of_individuals'!$K445,"")</f>
        <v/>
      </c>
      <c r="AF429" s="102" t="str">
        <f>IF(ISNUMBER('Model_ of_individuals'!AF445), 'Model_ of_individuals'!AF445*'Model_ of_individuals'!$K445,"")</f>
        <v/>
      </c>
      <c r="AG429" s="102" t="str">
        <f>IF(ISNUMBER('Model_ of_individuals'!AG445), 'Model_ of_individuals'!AG445*'Model_ of_individuals'!$K445,"")</f>
        <v/>
      </c>
      <c r="AH429" s="102" t="str">
        <f>IF(ISNUMBER('Model_ of_individuals'!AH445), 'Model_ of_individuals'!AH445*'Model_ of_individuals'!$K445,"")</f>
        <v/>
      </c>
      <c r="AI429" s="102" t="str">
        <f>IF(ISNUMBER('Model_ of_individuals'!AI445), 'Model_ of_individuals'!AI445*'Model_ of_individuals'!$K445,"")</f>
        <v/>
      </c>
      <c r="AJ429" s="102" t="str">
        <f>IF(ISNUMBER('Model_ of_individuals'!AJ445), 'Model_ of_individuals'!AJ445*'Model_ of_individuals'!$K445,"")</f>
        <v/>
      </c>
      <c r="AK429" s="102" t="str">
        <f>IF(ISNUMBER('Model_ of_individuals'!AK445), 'Model_ of_individuals'!AK445*'Model_ of_individuals'!$K445,"")</f>
        <v/>
      </c>
      <c r="AL429" s="102" t="str">
        <f>IF(ISNUMBER('Model_ of_individuals'!AL445), 'Model_ of_individuals'!AL445*'Model_ of_individuals'!$K445,"")</f>
        <v/>
      </c>
      <c r="AM429" s="102" t="str">
        <f>IF(ISNUMBER('Model_ of_individuals'!AM445), 'Model_ of_individuals'!AM445*'Model_ of_individuals'!$K445,"")</f>
        <v/>
      </c>
      <c r="AN429" s="102" t="str">
        <f>IF(ISNUMBER('Model_ of_individuals'!AN445), 'Model_ of_individuals'!AN445*'Model_ of_individuals'!$K445,"")</f>
        <v/>
      </c>
      <c r="AO429" s="102" t="str">
        <f>IF(ISNUMBER('Model_ of_individuals'!AO445), 'Model_ of_individuals'!AO445*'Model_ of_individuals'!$K445,"")</f>
        <v/>
      </c>
      <c r="AP429" s="102" t="str">
        <f>IF(ISNUMBER('Model_ of_individuals'!AP445), 'Model_ of_individuals'!AP445*'Model_ of_individuals'!$K445,"")</f>
        <v/>
      </c>
      <c r="AQ429" s="102" t="str">
        <f>IF(ISNUMBER('Model_ of_individuals'!AQ445), 'Model_ of_individuals'!AQ445*'Model_ of_individuals'!$K445,"")</f>
        <v/>
      </c>
      <c r="AR429" s="102" t="str">
        <f>IF(ISNUMBER('Model_ of_individuals'!AR445), 'Model_ of_individuals'!AR445*'Model_ of_individuals'!$K445,"")</f>
        <v/>
      </c>
      <c r="AS429" s="102" t="str">
        <f>IF(ISNUMBER('Model_ of_individuals'!AS445), 'Model_ of_individuals'!AS445*'Model_ of_individuals'!$K445,"")</f>
        <v/>
      </c>
      <c r="AT429" s="102" t="str">
        <f>IF(ISNUMBER('Model_ of_individuals'!AT445), 'Model_ of_individuals'!AT445*'Model_ of_individuals'!$K445,"")</f>
        <v/>
      </c>
      <c r="AU429" s="102" t="str">
        <f>IF(ISNUMBER('Model_ of_individuals'!AU445), 'Model_ of_individuals'!AU445*'Model_ of_individuals'!$K445,"")</f>
        <v/>
      </c>
      <c r="AV429" s="102" t="str">
        <f>IF(ISNUMBER('Model_ of_individuals'!AV445), 'Model_ of_individuals'!AV445*'Model_ of_individuals'!$K445,"")</f>
        <v/>
      </c>
    </row>
    <row r="430" spans="1:48" x14ac:dyDescent="0.25">
      <c r="A430" s="518"/>
      <c r="B430" s="504"/>
      <c r="C430" s="104" t="str">
        <f>IF(AND(ISNUMBER(B425), OR('Cost Inputs'!$H$110&lt;&gt;"", 'Cost Inputs'!$I$110&lt;&gt;"", 'Cost Inputs'!$J$110&lt;&gt;"")), _4_4_1, "")</f>
        <v/>
      </c>
      <c r="D430" s="17" t="str">
        <f>IF(AND(C430&lt;&gt;"", 'Cost Inputs'!$G$110&lt;&gt;""), 'Cost Inputs'!$G$110, "")</f>
        <v/>
      </c>
      <c r="E430" s="17" t="str">
        <f>IF(AND(C430&lt;&gt;"", 'Cost Inputs'!$H$110&lt;&gt;""), 'Cost Inputs'!$H$110, "")</f>
        <v/>
      </c>
      <c r="F430" s="17" t="str">
        <f>IF(AND(C430&lt;&gt;"", 'Cost Inputs'!$I$110&lt;&gt;""), 'Cost Inputs'!$I$110, "")</f>
        <v/>
      </c>
      <c r="G430" s="105" t="str">
        <f t="shared" si="32"/>
        <v/>
      </c>
      <c r="H430" s="17" t="str">
        <f>IF(AND(C430&lt;&gt;"", 'Cost Inputs'!$J$110&lt;&gt;""), 'Cost Inputs'!$J$110, "")</f>
        <v/>
      </c>
      <c r="I430" s="17" t="str">
        <f t="shared" si="35"/>
        <v/>
      </c>
      <c r="J430" s="17" t="str">
        <f>IF(AND(C430&lt;&gt;"",('Cost Inputs'!$I$110+'Cost Inputs'!$J$110+'Cost Inputs'!$K$110)&gt;0), 'Cost Inputs'!$I$110+'Cost Inputs'!$J$110+'Cost Inputs'!$K$110, "")</f>
        <v/>
      </c>
      <c r="K430" s="17" t="str">
        <f t="shared" si="36"/>
        <v/>
      </c>
      <c r="L430" s="525"/>
      <c r="M430" s="525"/>
      <c r="U430" s="17" t="str">
        <f>IF(ISNUMBER('Model_ of_individuals'!U446), 'Model_ of_individuals'!U446*'Model_ of_individuals'!$K446,"")</f>
        <v/>
      </c>
      <c r="V430" s="17" t="str">
        <f>IF(ISNUMBER('Model_ of_individuals'!V446), 'Model_ of_individuals'!V446*'Model_ of_individuals'!$K446,"")</f>
        <v/>
      </c>
      <c r="W430" s="17" t="str">
        <f>IF(ISNUMBER('Model_ of_individuals'!W446), 'Model_ of_individuals'!W446*'Model_ of_individuals'!$K446,"")</f>
        <v/>
      </c>
      <c r="X430" s="17" t="str">
        <f>IF(ISNUMBER('Model_ of_individuals'!X446), 'Model_ of_individuals'!X446*'Model_ of_individuals'!$K446,"")</f>
        <v/>
      </c>
      <c r="Y430" s="17" t="str">
        <f>IF(ISNUMBER('Model_ of_individuals'!Y446), 'Model_ of_individuals'!Y446*'Model_ of_individuals'!$K446,"")</f>
        <v/>
      </c>
      <c r="Z430" s="17" t="str">
        <f>IF(ISNUMBER('Model_ of_individuals'!Z446), 'Model_ of_individuals'!Z446*'Model_ of_individuals'!$K446,"")</f>
        <v/>
      </c>
      <c r="AA430" s="17" t="str">
        <f>IF(ISNUMBER('Model_ of_individuals'!AA446), 'Model_ of_individuals'!AA446*'Model_ of_individuals'!$K446,"")</f>
        <v/>
      </c>
      <c r="AB430" s="17" t="str">
        <f>IF(ISNUMBER('Model_ of_individuals'!AB446), 'Model_ of_individuals'!AB446*'Model_ of_individuals'!$K446,"")</f>
        <v/>
      </c>
      <c r="AC430" s="17" t="str">
        <f>IF(ISNUMBER('Model_ of_individuals'!AC446), 'Model_ of_individuals'!AC446*'Model_ of_individuals'!$K446,"")</f>
        <v/>
      </c>
      <c r="AD430" s="17" t="str">
        <f>IF(ISNUMBER('Model_ of_individuals'!AD446), 'Model_ of_individuals'!AD446*'Model_ of_individuals'!$K446,"")</f>
        <v/>
      </c>
      <c r="AE430" s="17" t="str">
        <f>IF(ISNUMBER('Model_ of_individuals'!AE446), 'Model_ of_individuals'!AE446*'Model_ of_individuals'!$K446,"")</f>
        <v/>
      </c>
      <c r="AF430" s="17" t="str">
        <f>IF(ISNUMBER('Model_ of_individuals'!AF446), 'Model_ of_individuals'!AF446*'Model_ of_individuals'!$K446,"")</f>
        <v/>
      </c>
      <c r="AG430" s="17" t="str">
        <f>IF(ISNUMBER('Model_ of_individuals'!AG446), 'Model_ of_individuals'!AG446*'Model_ of_individuals'!$K446,"")</f>
        <v/>
      </c>
      <c r="AH430" s="17" t="str">
        <f>IF(ISNUMBER('Model_ of_individuals'!AH446), 'Model_ of_individuals'!AH446*'Model_ of_individuals'!$K446,"")</f>
        <v/>
      </c>
      <c r="AI430" s="17" t="str">
        <f>IF(ISNUMBER('Model_ of_individuals'!AI446), 'Model_ of_individuals'!AI446*'Model_ of_individuals'!$K446,"")</f>
        <v/>
      </c>
      <c r="AJ430" s="17" t="str">
        <f>IF(ISNUMBER('Model_ of_individuals'!AJ446), 'Model_ of_individuals'!AJ446*'Model_ of_individuals'!$K446,"")</f>
        <v/>
      </c>
      <c r="AK430" s="17" t="str">
        <f>IF(ISNUMBER('Model_ of_individuals'!AK446), 'Model_ of_individuals'!AK446*'Model_ of_individuals'!$K446,"")</f>
        <v/>
      </c>
      <c r="AL430" s="17" t="str">
        <f>IF(ISNUMBER('Model_ of_individuals'!AL446), 'Model_ of_individuals'!AL446*'Model_ of_individuals'!$K446,"")</f>
        <v/>
      </c>
      <c r="AM430" s="17" t="str">
        <f>IF(ISNUMBER('Model_ of_individuals'!AM446), 'Model_ of_individuals'!AM446*'Model_ of_individuals'!$K446,"")</f>
        <v/>
      </c>
      <c r="AN430" s="17" t="str">
        <f>IF(ISNUMBER('Model_ of_individuals'!AN446), 'Model_ of_individuals'!AN446*'Model_ of_individuals'!$K446,"")</f>
        <v/>
      </c>
      <c r="AO430" s="17" t="str">
        <f>IF(ISNUMBER('Model_ of_individuals'!AO446), 'Model_ of_individuals'!AO446*'Model_ of_individuals'!$K446,"")</f>
        <v/>
      </c>
      <c r="AP430" s="17" t="str">
        <f>IF(ISNUMBER('Model_ of_individuals'!AP446), 'Model_ of_individuals'!AP446*'Model_ of_individuals'!$K446,"")</f>
        <v/>
      </c>
      <c r="AQ430" s="17" t="str">
        <f>IF(ISNUMBER('Model_ of_individuals'!AQ446), 'Model_ of_individuals'!AQ446*'Model_ of_individuals'!$K446,"")</f>
        <v/>
      </c>
      <c r="AR430" s="17" t="str">
        <f>IF(ISNUMBER('Model_ of_individuals'!AR446), 'Model_ of_individuals'!AR446*'Model_ of_individuals'!$K446,"")</f>
        <v/>
      </c>
      <c r="AS430" s="17" t="str">
        <f>IF(ISNUMBER('Model_ of_individuals'!AS446), 'Model_ of_individuals'!AS446*'Model_ of_individuals'!$K446,"")</f>
        <v/>
      </c>
      <c r="AT430" s="17" t="str">
        <f>IF(ISNUMBER('Model_ of_individuals'!AT446), 'Model_ of_individuals'!AT446*'Model_ of_individuals'!$K446,"")</f>
        <v/>
      </c>
      <c r="AU430" s="17" t="str">
        <f>IF(ISNUMBER('Model_ of_individuals'!AU446), 'Model_ of_individuals'!AU446*'Model_ of_individuals'!$K446,"")</f>
        <v/>
      </c>
      <c r="AV430" s="17" t="str">
        <f>IF(ISNUMBER('Model_ of_individuals'!AV446), 'Model_ of_individuals'!AV446*'Model_ of_individuals'!$K446,"")</f>
        <v/>
      </c>
    </row>
    <row r="431" spans="1:48" x14ac:dyDescent="0.25">
      <c r="A431" s="518"/>
      <c r="B431" s="504"/>
      <c r="C431" s="107" t="str">
        <f>IF(AND(ISNUMBER(B425), OR('Cost Inputs'!$H$111&lt;&gt;"", 'Cost Inputs'!$I$111&lt;&gt;"", 'Cost Inputs'!$J$111&lt;&gt;"")), _4_4_2, "")</f>
        <v/>
      </c>
      <c r="D431" s="93" t="str">
        <f>IF(AND(C431&lt;&gt;"", 'Cost Inputs'!$G$111&lt;&gt;""), 'Cost Inputs'!$G$111, "")</f>
        <v/>
      </c>
      <c r="E431" s="93" t="str">
        <f>IF(AND(C431&lt;&gt;"", 'Cost Inputs'!$H$111&lt;&gt;""), 'Cost Inputs'!$H$111, "")</f>
        <v/>
      </c>
      <c r="F431" s="93" t="str">
        <f>IF(AND(C431&lt;&gt;"", 'Cost Inputs'!$I$111&lt;&gt;""), 'Cost Inputs'!$I$111, "")</f>
        <v/>
      </c>
      <c r="G431" s="108" t="str">
        <f t="shared" si="32"/>
        <v/>
      </c>
      <c r="H431" s="93" t="str">
        <f>IF(AND(C431&lt;&gt;"", 'Cost Inputs'!$J$111&lt;&gt;""), 'Cost Inputs'!$J$111, "")</f>
        <v/>
      </c>
      <c r="I431" s="93" t="str">
        <f t="shared" si="35"/>
        <v/>
      </c>
      <c r="J431" s="93" t="str">
        <f>IF(AND(C431&lt;&gt;"",('Cost Inputs'!$I$111+'Cost Inputs'!$J$111+'Cost Inputs'!$K$111)&gt;0), 'Cost Inputs'!$I$111+'Cost Inputs'!$J$111+'Cost Inputs'!$K$111, "")</f>
        <v/>
      </c>
      <c r="K431" s="93" t="str">
        <f t="shared" si="36"/>
        <v/>
      </c>
      <c r="L431" s="525"/>
      <c r="M431" s="525"/>
      <c r="U431" s="93" t="str">
        <f>IF(ISNUMBER('Model_ of_individuals'!U447), 'Model_ of_individuals'!U447*'Model_ of_individuals'!$K447,"")</f>
        <v/>
      </c>
      <c r="V431" s="93" t="str">
        <f>IF(ISNUMBER('Model_ of_individuals'!V447), 'Model_ of_individuals'!V447*'Model_ of_individuals'!$K447,"")</f>
        <v/>
      </c>
      <c r="W431" s="93" t="str">
        <f>IF(ISNUMBER('Model_ of_individuals'!W447), 'Model_ of_individuals'!W447*'Model_ of_individuals'!$K447,"")</f>
        <v/>
      </c>
      <c r="X431" s="93" t="str">
        <f>IF(ISNUMBER('Model_ of_individuals'!X447), 'Model_ of_individuals'!X447*'Model_ of_individuals'!$K447,"")</f>
        <v/>
      </c>
      <c r="Y431" s="93" t="str">
        <f>IF(ISNUMBER('Model_ of_individuals'!Y447), 'Model_ of_individuals'!Y447*'Model_ of_individuals'!$K447,"")</f>
        <v/>
      </c>
      <c r="Z431" s="93" t="str">
        <f>IF(ISNUMBER('Model_ of_individuals'!Z447), 'Model_ of_individuals'!Z447*'Model_ of_individuals'!$K447,"")</f>
        <v/>
      </c>
      <c r="AA431" s="93" t="str">
        <f>IF(ISNUMBER('Model_ of_individuals'!AA447), 'Model_ of_individuals'!AA447*'Model_ of_individuals'!$K447,"")</f>
        <v/>
      </c>
      <c r="AB431" s="93" t="str">
        <f>IF(ISNUMBER('Model_ of_individuals'!AB447), 'Model_ of_individuals'!AB447*'Model_ of_individuals'!$K447,"")</f>
        <v/>
      </c>
      <c r="AC431" s="93" t="str">
        <f>IF(ISNUMBER('Model_ of_individuals'!AC447), 'Model_ of_individuals'!AC447*'Model_ of_individuals'!$K447,"")</f>
        <v/>
      </c>
      <c r="AD431" s="93" t="str">
        <f>IF(ISNUMBER('Model_ of_individuals'!AD447), 'Model_ of_individuals'!AD447*'Model_ of_individuals'!$K447,"")</f>
        <v/>
      </c>
      <c r="AE431" s="93" t="str">
        <f>IF(ISNUMBER('Model_ of_individuals'!AE447), 'Model_ of_individuals'!AE447*'Model_ of_individuals'!$K447,"")</f>
        <v/>
      </c>
      <c r="AF431" s="93" t="str">
        <f>IF(ISNUMBER('Model_ of_individuals'!AF447), 'Model_ of_individuals'!AF447*'Model_ of_individuals'!$K447,"")</f>
        <v/>
      </c>
      <c r="AG431" s="93" t="str">
        <f>IF(ISNUMBER('Model_ of_individuals'!AG447), 'Model_ of_individuals'!AG447*'Model_ of_individuals'!$K447,"")</f>
        <v/>
      </c>
      <c r="AH431" s="93" t="str">
        <f>IF(ISNUMBER('Model_ of_individuals'!AH447), 'Model_ of_individuals'!AH447*'Model_ of_individuals'!$K447,"")</f>
        <v/>
      </c>
      <c r="AI431" s="93" t="str">
        <f>IF(ISNUMBER('Model_ of_individuals'!AI447), 'Model_ of_individuals'!AI447*'Model_ of_individuals'!$K447,"")</f>
        <v/>
      </c>
      <c r="AJ431" s="93" t="str">
        <f>IF(ISNUMBER('Model_ of_individuals'!AJ447), 'Model_ of_individuals'!AJ447*'Model_ of_individuals'!$K447,"")</f>
        <v/>
      </c>
      <c r="AK431" s="93" t="str">
        <f>IF(ISNUMBER('Model_ of_individuals'!AK447), 'Model_ of_individuals'!AK447*'Model_ of_individuals'!$K447,"")</f>
        <v/>
      </c>
      <c r="AL431" s="93" t="str">
        <f>IF(ISNUMBER('Model_ of_individuals'!AL447), 'Model_ of_individuals'!AL447*'Model_ of_individuals'!$K447,"")</f>
        <v/>
      </c>
      <c r="AM431" s="93" t="str">
        <f>IF(ISNUMBER('Model_ of_individuals'!AM447), 'Model_ of_individuals'!AM447*'Model_ of_individuals'!$K447,"")</f>
        <v/>
      </c>
      <c r="AN431" s="93" t="str">
        <f>IF(ISNUMBER('Model_ of_individuals'!AN447), 'Model_ of_individuals'!AN447*'Model_ of_individuals'!$K447,"")</f>
        <v/>
      </c>
      <c r="AO431" s="93" t="str">
        <f>IF(ISNUMBER('Model_ of_individuals'!AO447), 'Model_ of_individuals'!AO447*'Model_ of_individuals'!$K447,"")</f>
        <v/>
      </c>
      <c r="AP431" s="93" t="str">
        <f>IF(ISNUMBER('Model_ of_individuals'!AP447), 'Model_ of_individuals'!AP447*'Model_ of_individuals'!$K447,"")</f>
        <v/>
      </c>
      <c r="AQ431" s="93" t="str">
        <f>IF(ISNUMBER('Model_ of_individuals'!AQ447), 'Model_ of_individuals'!AQ447*'Model_ of_individuals'!$K447,"")</f>
        <v/>
      </c>
      <c r="AR431" s="93" t="str">
        <f>IF(ISNUMBER('Model_ of_individuals'!AR447), 'Model_ of_individuals'!AR447*'Model_ of_individuals'!$K447,"")</f>
        <v/>
      </c>
      <c r="AS431" s="93" t="str">
        <f>IF(ISNUMBER('Model_ of_individuals'!AS447), 'Model_ of_individuals'!AS447*'Model_ of_individuals'!$K447,"")</f>
        <v/>
      </c>
      <c r="AT431" s="93" t="str">
        <f>IF(ISNUMBER('Model_ of_individuals'!AT447), 'Model_ of_individuals'!AT447*'Model_ of_individuals'!$K447,"")</f>
        <v/>
      </c>
      <c r="AU431" s="93" t="str">
        <f>IF(ISNUMBER('Model_ of_individuals'!AU447), 'Model_ of_individuals'!AU447*'Model_ of_individuals'!$K447,"")</f>
        <v/>
      </c>
      <c r="AV431" s="93" t="str">
        <f>IF(ISNUMBER('Model_ of_individuals'!AV447), 'Model_ of_individuals'!AV447*'Model_ of_individuals'!$K447,"")</f>
        <v/>
      </c>
    </row>
    <row r="432" spans="1:48" x14ac:dyDescent="0.25">
      <c r="A432" s="518"/>
      <c r="B432" s="504"/>
      <c r="C432" s="104" t="str">
        <f>IF(AND(ISNUMBER(B425), OR('Cost Inputs'!$H$112&lt;&gt;"", 'Cost Inputs'!$I$112&lt;&gt;"", 'Cost Inputs'!$J$112&lt;&gt;"")), _4_4_3, "")</f>
        <v/>
      </c>
      <c r="D432" s="17" t="str">
        <f>IF(AND(C432&lt;&gt;"", 'Cost Inputs'!$G$112&lt;&gt;""), 'Cost Inputs'!$G$112, "")</f>
        <v/>
      </c>
      <c r="E432" s="17" t="str">
        <f>IF(AND(C432&lt;&gt;"", 'Cost Inputs'!$H$112&lt;&gt;""), 'Cost Inputs'!$H$112, "")</f>
        <v/>
      </c>
      <c r="F432" s="17" t="str">
        <f>IF(AND(C432&lt;&gt;"", 'Cost Inputs'!$I$112&lt;&gt;""), 'Cost Inputs'!$I$112, "")</f>
        <v/>
      </c>
      <c r="G432" s="105" t="str">
        <f t="shared" si="32"/>
        <v/>
      </c>
      <c r="H432" s="17" t="str">
        <f>IF(AND(C432&lt;&gt;"", 'Cost Inputs'!$J$112&lt;&gt;""), 'Cost Inputs'!$J$112, "")</f>
        <v/>
      </c>
      <c r="I432" s="17" t="str">
        <f t="shared" si="35"/>
        <v/>
      </c>
      <c r="J432" s="17" t="str">
        <f>IF(AND(C432&lt;&gt;"",('Cost Inputs'!$I$112+'Cost Inputs'!$J$112+'Cost Inputs'!$K$112)&gt;0), 'Cost Inputs'!$I$112+'Cost Inputs'!$J$112+'Cost Inputs'!$K$112, "")</f>
        <v/>
      </c>
      <c r="K432" s="17" t="str">
        <f t="shared" si="36"/>
        <v/>
      </c>
      <c r="L432" s="525"/>
      <c r="M432" s="525"/>
      <c r="U432" s="17" t="str">
        <f>IF(ISNUMBER('Model_ of_individuals'!U448), 'Model_ of_individuals'!U448*'Model_ of_individuals'!$K448,"")</f>
        <v/>
      </c>
      <c r="V432" s="17" t="str">
        <f>IF(ISNUMBER('Model_ of_individuals'!V448), 'Model_ of_individuals'!V448*'Model_ of_individuals'!$K448,"")</f>
        <v/>
      </c>
      <c r="W432" s="17" t="str">
        <f>IF(ISNUMBER('Model_ of_individuals'!W448), 'Model_ of_individuals'!W448*'Model_ of_individuals'!$K448,"")</f>
        <v/>
      </c>
      <c r="X432" s="17" t="str">
        <f>IF(ISNUMBER('Model_ of_individuals'!X448), 'Model_ of_individuals'!X448*'Model_ of_individuals'!$K448,"")</f>
        <v/>
      </c>
      <c r="Y432" s="17" t="str">
        <f>IF(ISNUMBER('Model_ of_individuals'!Y448), 'Model_ of_individuals'!Y448*'Model_ of_individuals'!$K448,"")</f>
        <v/>
      </c>
      <c r="Z432" s="17" t="str">
        <f>IF(ISNUMBER('Model_ of_individuals'!Z448), 'Model_ of_individuals'!Z448*'Model_ of_individuals'!$K448,"")</f>
        <v/>
      </c>
      <c r="AA432" s="17" t="str">
        <f>IF(ISNUMBER('Model_ of_individuals'!AA448), 'Model_ of_individuals'!AA448*'Model_ of_individuals'!$K448,"")</f>
        <v/>
      </c>
      <c r="AB432" s="17" t="str">
        <f>IF(ISNUMBER('Model_ of_individuals'!AB448), 'Model_ of_individuals'!AB448*'Model_ of_individuals'!$K448,"")</f>
        <v/>
      </c>
      <c r="AC432" s="17" t="str">
        <f>IF(ISNUMBER('Model_ of_individuals'!AC448), 'Model_ of_individuals'!AC448*'Model_ of_individuals'!$K448,"")</f>
        <v/>
      </c>
      <c r="AD432" s="17" t="str">
        <f>IF(ISNUMBER('Model_ of_individuals'!AD448), 'Model_ of_individuals'!AD448*'Model_ of_individuals'!$K448,"")</f>
        <v/>
      </c>
      <c r="AE432" s="17" t="str">
        <f>IF(ISNUMBER('Model_ of_individuals'!AE448), 'Model_ of_individuals'!AE448*'Model_ of_individuals'!$K448,"")</f>
        <v/>
      </c>
      <c r="AF432" s="17" t="str">
        <f>IF(ISNUMBER('Model_ of_individuals'!AF448), 'Model_ of_individuals'!AF448*'Model_ of_individuals'!$K448,"")</f>
        <v/>
      </c>
      <c r="AG432" s="17" t="str">
        <f>IF(ISNUMBER('Model_ of_individuals'!AG448), 'Model_ of_individuals'!AG448*'Model_ of_individuals'!$K448,"")</f>
        <v/>
      </c>
      <c r="AH432" s="17" t="str">
        <f>IF(ISNUMBER('Model_ of_individuals'!AH448), 'Model_ of_individuals'!AH448*'Model_ of_individuals'!$K448,"")</f>
        <v/>
      </c>
      <c r="AI432" s="17" t="str">
        <f>IF(ISNUMBER('Model_ of_individuals'!AI448), 'Model_ of_individuals'!AI448*'Model_ of_individuals'!$K448,"")</f>
        <v/>
      </c>
      <c r="AJ432" s="17" t="str">
        <f>IF(ISNUMBER('Model_ of_individuals'!AJ448), 'Model_ of_individuals'!AJ448*'Model_ of_individuals'!$K448,"")</f>
        <v/>
      </c>
      <c r="AK432" s="17" t="str">
        <f>IF(ISNUMBER('Model_ of_individuals'!AK448), 'Model_ of_individuals'!AK448*'Model_ of_individuals'!$K448,"")</f>
        <v/>
      </c>
      <c r="AL432" s="17" t="str">
        <f>IF(ISNUMBER('Model_ of_individuals'!AL448), 'Model_ of_individuals'!AL448*'Model_ of_individuals'!$K448,"")</f>
        <v/>
      </c>
      <c r="AM432" s="17" t="str">
        <f>IF(ISNUMBER('Model_ of_individuals'!AM448), 'Model_ of_individuals'!AM448*'Model_ of_individuals'!$K448,"")</f>
        <v/>
      </c>
      <c r="AN432" s="17" t="str">
        <f>IF(ISNUMBER('Model_ of_individuals'!AN448), 'Model_ of_individuals'!AN448*'Model_ of_individuals'!$K448,"")</f>
        <v/>
      </c>
      <c r="AO432" s="17" t="str">
        <f>IF(ISNUMBER('Model_ of_individuals'!AO448), 'Model_ of_individuals'!AO448*'Model_ of_individuals'!$K448,"")</f>
        <v/>
      </c>
      <c r="AP432" s="17" t="str">
        <f>IF(ISNUMBER('Model_ of_individuals'!AP448), 'Model_ of_individuals'!AP448*'Model_ of_individuals'!$K448,"")</f>
        <v/>
      </c>
      <c r="AQ432" s="17" t="str">
        <f>IF(ISNUMBER('Model_ of_individuals'!AQ448), 'Model_ of_individuals'!AQ448*'Model_ of_individuals'!$K448,"")</f>
        <v/>
      </c>
      <c r="AR432" s="17" t="str">
        <f>IF(ISNUMBER('Model_ of_individuals'!AR448), 'Model_ of_individuals'!AR448*'Model_ of_individuals'!$K448,"")</f>
        <v/>
      </c>
      <c r="AS432" s="17" t="str">
        <f>IF(ISNUMBER('Model_ of_individuals'!AS448), 'Model_ of_individuals'!AS448*'Model_ of_individuals'!$K448,"")</f>
        <v/>
      </c>
      <c r="AT432" s="17" t="str">
        <f>IF(ISNUMBER('Model_ of_individuals'!AT448), 'Model_ of_individuals'!AT448*'Model_ of_individuals'!$K448,"")</f>
        <v/>
      </c>
      <c r="AU432" s="17" t="str">
        <f>IF(ISNUMBER('Model_ of_individuals'!AU448), 'Model_ of_individuals'!AU448*'Model_ of_individuals'!$K448,"")</f>
        <v/>
      </c>
      <c r="AV432" s="17" t="str">
        <f>IF(ISNUMBER('Model_ of_individuals'!AV448), 'Model_ of_individuals'!AV448*'Model_ of_individuals'!$K448,"")</f>
        <v/>
      </c>
    </row>
    <row r="433" spans="1:49" x14ac:dyDescent="0.25">
      <c r="A433" s="518"/>
      <c r="B433" s="504"/>
      <c r="C433" s="107" t="str">
        <f>IF(AND(ISNUMBER(B425), OR('Cost Inputs'!$H$113&lt;&gt;"", 'Cost Inputs'!$I$113&lt;&gt;"", 'Cost Inputs'!$J$113&lt;&gt;"")), _4_4_4, "")</f>
        <v/>
      </c>
      <c r="D433" s="93" t="str">
        <f>IF(AND(C433&lt;&gt;"", 'Cost Inputs'!$G$113&lt;&gt;""), 'Cost Inputs'!$G$113, "")</f>
        <v/>
      </c>
      <c r="E433" s="93" t="str">
        <f>IF(AND(C433&lt;&gt;"", 'Cost Inputs'!$H$113&lt;&gt;""), 'Cost Inputs'!$H$113, "")</f>
        <v/>
      </c>
      <c r="F433" s="93" t="str">
        <f>IF(AND(C433&lt;&gt;"", 'Cost Inputs'!$I$113&lt;&gt;""), 'Cost Inputs'!$I$113, "")</f>
        <v/>
      </c>
      <c r="G433" s="108" t="str">
        <f t="shared" si="32"/>
        <v/>
      </c>
      <c r="H433" s="93" t="str">
        <f>IF(AND(C433&lt;&gt;"", 'Cost Inputs'!$J$113&lt;&gt;""), 'Cost Inputs'!$J$113, "")</f>
        <v/>
      </c>
      <c r="I433" s="93" t="str">
        <f t="shared" si="35"/>
        <v/>
      </c>
      <c r="J433" s="93" t="str">
        <f>IF(AND(C433&lt;&gt;"",('Cost Inputs'!$I$113+'Cost Inputs'!$J$113+'Cost Inputs'!$K$113)&gt;0), 'Cost Inputs'!$I$113+'Cost Inputs'!$J$113+'Cost Inputs'!$K$113, "")</f>
        <v/>
      </c>
      <c r="K433" s="93" t="str">
        <f t="shared" si="36"/>
        <v/>
      </c>
      <c r="L433" s="525"/>
      <c r="M433" s="525"/>
      <c r="U433" s="93" t="str">
        <f>IF(ISNUMBER('Model_ of_individuals'!U449), 'Model_ of_individuals'!U449*'Model_ of_individuals'!$K449,"")</f>
        <v/>
      </c>
      <c r="V433" s="93" t="str">
        <f>IF(ISNUMBER('Model_ of_individuals'!V449), 'Model_ of_individuals'!V449*'Model_ of_individuals'!$K449,"")</f>
        <v/>
      </c>
      <c r="W433" s="93" t="str">
        <f>IF(ISNUMBER('Model_ of_individuals'!W449), 'Model_ of_individuals'!W449*'Model_ of_individuals'!$K449,"")</f>
        <v/>
      </c>
      <c r="X433" s="93" t="str">
        <f>IF(ISNUMBER('Model_ of_individuals'!X449), 'Model_ of_individuals'!X449*'Model_ of_individuals'!$K449,"")</f>
        <v/>
      </c>
      <c r="Y433" s="93" t="str">
        <f>IF(ISNUMBER('Model_ of_individuals'!Y449), 'Model_ of_individuals'!Y449*'Model_ of_individuals'!$K449,"")</f>
        <v/>
      </c>
      <c r="Z433" s="93" t="str">
        <f>IF(ISNUMBER('Model_ of_individuals'!Z449), 'Model_ of_individuals'!Z449*'Model_ of_individuals'!$K449,"")</f>
        <v/>
      </c>
      <c r="AA433" s="93" t="str">
        <f>IF(ISNUMBER('Model_ of_individuals'!AA449), 'Model_ of_individuals'!AA449*'Model_ of_individuals'!$K449,"")</f>
        <v/>
      </c>
      <c r="AB433" s="93" t="str">
        <f>IF(ISNUMBER('Model_ of_individuals'!AB449), 'Model_ of_individuals'!AB449*'Model_ of_individuals'!$K449,"")</f>
        <v/>
      </c>
      <c r="AC433" s="93" t="str">
        <f>IF(ISNUMBER('Model_ of_individuals'!AC449), 'Model_ of_individuals'!AC449*'Model_ of_individuals'!$K449,"")</f>
        <v/>
      </c>
      <c r="AD433" s="93" t="str">
        <f>IF(ISNUMBER('Model_ of_individuals'!AD449), 'Model_ of_individuals'!AD449*'Model_ of_individuals'!$K449,"")</f>
        <v/>
      </c>
      <c r="AE433" s="93" t="str">
        <f>IF(ISNUMBER('Model_ of_individuals'!AE449), 'Model_ of_individuals'!AE449*'Model_ of_individuals'!$K449,"")</f>
        <v/>
      </c>
      <c r="AF433" s="93" t="str">
        <f>IF(ISNUMBER('Model_ of_individuals'!AF449), 'Model_ of_individuals'!AF449*'Model_ of_individuals'!$K449,"")</f>
        <v/>
      </c>
      <c r="AG433" s="93" t="str">
        <f>IF(ISNUMBER('Model_ of_individuals'!AG449), 'Model_ of_individuals'!AG449*'Model_ of_individuals'!$K449,"")</f>
        <v/>
      </c>
      <c r="AH433" s="93" t="str">
        <f>IF(ISNUMBER('Model_ of_individuals'!AH449), 'Model_ of_individuals'!AH449*'Model_ of_individuals'!$K449,"")</f>
        <v/>
      </c>
      <c r="AI433" s="93" t="str">
        <f>IF(ISNUMBER('Model_ of_individuals'!AI449), 'Model_ of_individuals'!AI449*'Model_ of_individuals'!$K449,"")</f>
        <v/>
      </c>
      <c r="AJ433" s="93" t="str">
        <f>IF(ISNUMBER('Model_ of_individuals'!AJ449), 'Model_ of_individuals'!AJ449*'Model_ of_individuals'!$K449,"")</f>
        <v/>
      </c>
      <c r="AK433" s="93" t="str">
        <f>IF(ISNUMBER('Model_ of_individuals'!AK449), 'Model_ of_individuals'!AK449*'Model_ of_individuals'!$K449,"")</f>
        <v/>
      </c>
      <c r="AL433" s="93" t="str">
        <f>IF(ISNUMBER('Model_ of_individuals'!AL449), 'Model_ of_individuals'!AL449*'Model_ of_individuals'!$K449,"")</f>
        <v/>
      </c>
      <c r="AM433" s="93" t="str">
        <f>IF(ISNUMBER('Model_ of_individuals'!AM449), 'Model_ of_individuals'!AM449*'Model_ of_individuals'!$K449,"")</f>
        <v/>
      </c>
      <c r="AN433" s="93" t="str">
        <f>IF(ISNUMBER('Model_ of_individuals'!AN449), 'Model_ of_individuals'!AN449*'Model_ of_individuals'!$K449,"")</f>
        <v/>
      </c>
      <c r="AO433" s="93" t="str">
        <f>IF(ISNUMBER('Model_ of_individuals'!AO449), 'Model_ of_individuals'!AO449*'Model_ of_individuals'!$K449,"")</f>
        <v/>
      </c>
      <c r="AP433" s="93" t="str">
        <f>IF(ISNUMBER('Model_ of_individuals'!AP449), 'Model_ of_individuals'!AP449*'Model_ of_individuals'!$K449,"")</f>
        <v/>
      </c>
      <c r="AQ433" s="93" t="str">
        <f>IF(ISNUMBER('Model_ of_individuals'!AQ449), 'Model_ of_individuals'!AQ449*'Model_ of_individuals'!$K449,"")</f>
        <v/>
      </c>
      <c r="AR433" s="93" t="str">
        <f>IF(ISNUMBER('Model_ of_individuals'!AR449), 'Model_ of_individuals'!AR449*'Model_ of_individuals'!$K449,"")</f>
        <v/>
      </c>
      <c r="AS433" s="93" t="str">
        <f>IF(ISNUMBER('Model_ of_individuals'!AS449), 'Model_ of_individuals'!AS449*'Model_ of_individuals'!$K449,"")</f>
        <v/>
      </c>
      <c r="AT433" s="93" t="str">
        <f>IF(ISNUMBER('Model_ of_individuals'!AT449), 'Model_ of_individuals'!AT449*'Model_ of_individuals'!$K449,"")</f>
        <v/>
      </c>
      <c r="AU433" s="93" t="str">
        <f>IF(ISNUMBER('Model_ of_individuals'!AU449), 'Model_ of_individuals'!AU449*'Model_ of_individuals'!$K449,"")</f>
        <v/>
      </c>
      <c r="AV433" s="93" t="str">
        <f>IF(ISNUMBER('Model_ of_individuals'!AV449), 'Model_ of_individuals'!AV449*'Model_ of_individuals'!$K449,"")</f>
        <v/>
      </c>
    </row>
    <row r="434" spans="1:49" x14ac:dyDescent="0.25">
      <c r="A434" s="518"/>
      <c r="B434" s="504"/>
      <c r="C434" s="104" t="str">
        <f>IF(AND(ISNUMBER(B425), OR('Cost Inputs'!$H$114&lt;&gt;"", 'Cost Inputs'!$I$114&lt;&gt;"", 'Cost Inputs'!$J$114&lt;&gt;"")), _4_4_5, "")</f>
        <v/>
      </c>
      <c r="D434" s="17" t="str">
        <f>IF(AND(C434&lt;&gt;"", 'Cost Inputs'!$G$114&lt;&gt;""), 'Cost Inputs'!$G$114, "")</f>
        <v/>
      </c>
      <c r="E434" s="17" t="str">
        <f>IF(AND(C434&lt;&gt;"", 'Cost Inputs'!$H$114&lt;&gt;""), 'Cost Inputs'!$H$114, "")</f>
        <v/>
      </c>
      <c r="F434" s="17" t="str">
        <f>IF(AND(C434&lt;&gt;"", 'Cost Inputs'!$I$114&lt;&gt;""), 'Cost Inputs'!$I$114, "")</f>
        <v/>
      </c>
      <c r="G434" s="105" t="str">
        <f t="shared" si="32"/>
        <v/>
      </c>
      <c r="H434" s="17" t="str">
        <f>IF(AND(C434&lt;&gt;"", 'Cost Inputs'!$J$114&lt;&gt;""), 'Cost Inputs'!$J$114, "")</f>
        <v/>
      </c>
      <c r="I434" s="17" t="str">
        <f t="shared" si="35"/>
        <v/>
      </c>
      <c r="J434" s="17" t="str">
        <f>IF(AND(C434&lt;&gt;"",('Cost Inputs'!$I$114+'Cost Inputs'!$J$114+'Cost Inputs'!$K$114)&gt;0), 'Cost Inputs'!$I$114+'Cost Inputs'!$J$114+'Cost Inputs'!$K$114, "")</f>
        <v/>
      </c>
      <c r="K434" s="17" t="str">
        <f t="shared" si="36"/>
        <v/>
      </c>
      <c r="L434" s="525"/>
      <c r="M434" s="525"/>
      <c r="U434" s="17" t="str">
        <f>IF(ISNUMBER('Model_ of_individuals'!U450), 'Model_ of_individuals'!U450*'Model_ of_individuals'!$K450,"")</f>
        <v/>
      </c>
      <c r="V434" s="17" t="str">
        <f>IF(ISNUMBER('Model_ of_individuals'!V450), 'Model_ of_individuals'!V450*'Model_ of_individuals'!$K450,"")</f>
        <v/>
      </c>
      <c r="W434" s="17" t="str">
        <f>IF(ISNUMBER('Model_ of_individuals'!W450), 'Model_ of_individuals'!W450*'Model_ of_individuals'!$K450,"")</f>
        <v/>
      </c>
      <c r="X434" s="17" t="str">
        <f>IF(ISNUMBER('Model_ of_individuals'!X450), 'Model_ of_individuals'!X450*'Model_ of_individuals'!$K450,"")</f>
        <v/>
      </c>
      <c r="Y434" s="17" t="str">
        <f>IF(ISNUMBER('Model_ of_individuals'!Y450), 'Model_ of_individuals'!Y450*'Model_ of_individuals'!$K450,"")</f>
        <v/>
      </c>
      <c r="Z434" s="17" t="str">
        <f>IF(ISNUMBER('Model_ of_individuals'!Z450), 'Model_ of_individuals'!Z450*'Model_ of_individuals'!$K450,"")</f>
        <v/>
      </c>
      <c r="AA434" s="17" t="str">
        <f>IF(ISNUMBER('Model_ of_individuals'!AA450), 'Model_ of_individuals'!AA450*'Model_ of_individuals'!$K450,"")</f>
        <v/>
      </c>
      <c r="AB434" s="17" t="str">
        <f>IF(ISNUMBER('Model_ of_individuals'!AB450), 'Model_ of_individuals'!AB450*'Model_ of_individuals'!$K450,"")</f>
        <v/>
      </c>
      <c r="AC434" s="17" t="str">
        <f>IF(ISNUMBER('Model_ of_individuals'!AC450), 'Model_ of_individuals'!AC450*'Model_ of_individuals'!$K450,"")</f>
        <v/>
      </c>
      <c r="AD434" s="17" t="str">
        <f>IF(ISNUMBER('Model_ of_individuals'!AD450), 'Model_ of_individuals'!AD450*'Model_ of_individuals'!$K450,"")</f>
        <v/>
      </c>
      <c r="AE434" s="17" t="str">
        <f>IF(ISNUMBER('Model_ of_individuals'!AE450), 'Model_ of_individuals'!AE450*'Model_ of_individuals'!$K450,"")</f>
        <v/>
      </c>
      <c r="AF434" s="17" t="str">
        <f>IF(ISNUMBER('Model_ of_individuals'!AF450), 'Model_ of_individuals'!AF450*'Model_ of_individuals'!$K450,"")</f>
        <v/>
      </c>
      <c r="AG434" s="17" t="str">
        <f>IF(ISNUMBER('Model_ of_individuals'!AG450), 'Model_ of_individuals'!AG450*'Model_ of_individuals'!$K450,"")</f>
        <v/>
      </c>
      <c r="AH434" s="17" t="str">
        <f>IF(ISNUMBER('Model_ of_individuals'!AH450), 'Model_ of_individuals'!AH450*'Model_ of_individuals'!$K450,"")</f>
        <v/>
      </c>
      <c r="AI434" s="17" t="str">
        <f>IF(ISNUMBER('Model_ of_individuals'!AI450), 'Model_ of_individuals'!AI450*'Model_ of_individuals'!$K450,"")</f>
        <v/>
      </c>
      <c r="AJ434" s="17" t="str">
        <f>IF(ISNUMBER('Model_ of_individuals'!AJ450), 'Model_ of_individuals'!AJ450*'Model_ of_individuals'!$K450,"")</f>
        <v/>
      </c>
      <c r="AK434" s="17" t="str">
        <f>IF(ISNUMBER('Model_ of_individuals'!AK450), 'Model_ of_individuals'!AK450*'Model_ of_individuals'!$K450,"")</f>
        <v/>
      </c>
      <c r="AL434" s="17" t="str">
        <f>IF(ISNUMBER('Model_ of_individuals'!AL450), 'Model_ of_individuals'!AL450*'Model_ of_individuals'!$K450,"")</f>
        <v/>
      </c>
      <c r="AM434" s="17" t="str">
        <f>IF(ISNUMBER('Model_ of_individuals'!AM450), 'Model_ of_individuals'!AM450*'Model_ of_individuals'!$K450,"")</f>
        <v/>
      </c>
      <c r="AN434" s="17" t="str">
        <f>IF(ISNUMBER('Model_ of_individuals'!AN450), 'Model_ of_individuals'!AN450*'Model_ of_individuals'!$K450,"")</f>
        <v/>
      </c>
      <c r="AO434" s="17" t="str">
        <f>IF(ISNUMBER('Model_ of_individuals'!AO450), 'Model_ of_individuals'!AO450*'Model_ of_individuals'!$K450,"")</f>
        <v/>
      </c>
      <c r="AP434" s="17" t="str">
        <f>IF(ISNUMBER('Model_ of_individuals'!AP450), 'Model_ of_individuals'!AP450*'Model_ of_individuals'!$K450,"")</f>
        <v/>
      </c>
      <c r="AQ434" s="17" t="str">
        <f>IF(ISNUMBER('Model_ of_individuals'!AQ450), 'Model_ of_individuals'!AQ450*'Model_ of_individuals'!$K450,"")</f>
        <v/>
      </c>
      <c r="AR434" s="17" t="str">
        <f>IF(ISNUMBER('Model_ of_individuals'!AR450), 'Model_ of_individuals'!AR450*'Model_ of_individuals'!$K450,"")</f>
        <v/>
      </c>
      <c r="AS434" s="17" t="str">
        <f>IF(ISNUMBER('Model_ of_individuals'!AS450), 'Model_ of_individuals'!AS450*'Model_ of_individuals'!$K450,"")</f>
        <v/>
      </c>
      <c r="AT434" s="17" t="str">
        <f>IF(ISNUMBER('Model_ of_individuals'!AT450), 'Model_ of_individuals'!AT450*'Model_ of_individuals'!$K450,"")</f>
        <v/>
      </c>
      <c r="AU434" s="17" t="str">
        <f>IF(ISNUMBER('Model_ of_individuals'!AU450), 'Model_ of_individuals'!AU450*'Model_ of_individuals'!$K450,"")</f>
        <v/>
      </c>
      <c r="AV434" s="17" t="str">
        <f>IF(ISNUMBER('Model_ of_individuals'!AV450), 'Model_ of_individuals'!AV450*'Model_ of_individuals'!$K450,"")</f>
        <v/>
      </c>
    </row>
    <row r="435" spans="1:49" x14ac:dyDescent="0.25">
      <c r="A435" s="518"/>
      <c r="B435" s="504"/>
      <c r="C435" s="107" t="str">
        <f>IF(AND(ISNUMBER(B425), OR('Cost Inputs'!$H$115&lt;&gt;"", 'Cost Inputs'!$I$115&lt;&gt;"", 'Cost Inputs'!$J$115&lt;&gt;"")), _4_4_6, "")</f>
        <v/>
      </c>
      <c r="D435" s="93" t="str">
        <f>IF(AND(C435&lt;&gt;"", 'Cost Inputs'!$G$115&lt;&gt;""), 'Cost Inputs'!$G$115, "")</f>
        <v/>
      </c>
      <c r="E435" s="93" t="str">
        <f>IF(AND(C435&lt;&gt;"", 'Cost Inputs'!$H$115&lt;&gt;""), 'Cost Inputs'!$H$115, "")</f>
        <v/>
      </c>
      <c r="F435" s="93" t="str">
        <f>IF(AND(C435&lt;&gt;"", 'Cost Inputs'!$I$115&lt;&gt;""), 'Cost Inputs'!$I$115, "")</f>
        <v/>
      </c>
      <c r="G435" s="108" t="str">
        <f t="shared" si="32"/>
        <v/>
      </c>
      <c r="H435" s="93" t="str">
        <f>IF(AND(C435&lt;&gt;"", 'Cost Inputs'!$J$115&lt;&gt;""), 'Cost Inputs'!$J$115, "")</f>
        <v/>
      </c>
      <c r="I435" s="93" t="str">
        <f t="shared" si="35"/>
        <v/>
      </c>
      <c r="J435" s="93" t="str">
        <f>IF(AND(C435&lt;&gt;"",('Cost Inputs'!$I$115+'Cost Inputs'!$J$115+'Cost Inputs'!$K$115)&gt;0), 'Cost Inputs'!$I$115+'Cost Inputs'!$J$115+'Cost Inputs'!$K$115, "")</f>
        <v/>
      </c>
      <c r="K435" s="93" t="str">
        <f t="shared" si="36"/>
        <v/>
      </c>
      <c r="L435" s="525"/>
      <c r="M435" s="525"/>
      <c r="U435" s="93" t="str">
        <f>IF(ISNUMBER('Model_ of_individuals'!U451), 'Model_ of_individuals'!U451*'Model_ of_individuals'!$K451,"")</f>
        <v/>
      </c>
      <c r="V435" s="93" t="str">
        <f>IF(ISNUMBER('Model_ of_individuals'!V451), 'Model_ of_individuals'!V451*'Model_ of_individuals'!$K451,"")</f>
        <v/>
      </c>
      <c r="W435" s="93" t="str">
        <f>IF(ISNUMBER('Model_ of_individuals'!W451), 'Model_ of_individuals'!W451*'Model_ of_individuals'!$K451,"")</f>
        <v/>
      </c>
      <c r="X435" s="93" t="str">
        <f>IF(ISNUMBER('Model_ of_individuals'!X451), 'Model_ of_individuals'!X451*'Model_ of_individuals'!$K451,"")</f>
        <v/>
      </c>
      <c r="Y435" s="93" t="str">
        <f>IF(ISNUMBER('Model_ of_individuals'!Y451), 'Model_ of_individuals'!Y451*'Model_ of_individuals'!$K451,"")</f>
        <v/>
      </c>
      <c r="Z435" s="93" t="str">
        <f>IF(ISNUMBER('Model_ of_individuals'!Z451), 'Model_ of_individuals'!Z451*'Model_ of_individuals'!$K451,"")</f>
        <v/>
      </c>
      <c r="AA435" s="93" t="str">
        <f>IF(ISNUMBER('Model_ of_individuals'!AA451), 'Model_ of_individuals'!AA451*'Model_ of_individuals'!$K451,"")</f>
        <v/>
      </c>
      <c r="AB435" s="93" t="str">
        <f>IF(ISNUMBER('Model_ of_individuals'!AB451), 'Model_ of_individuals'!AB451*'Model_ of_individuals'!$K451,"")</f>
        <v/>
      </c>
      <c r="AC435" s="93" t="str">
        <f>IF(ISNUMBER('Model_ of_individuals'!AC451), 'Model_ of_individuals'!AC451*'Model_ of_individuals'!$K451,"")</f>
        <v/>
      </c>
      <c r="AD435" s="93" t="str">
        <f>IF(ISNUMBER('Model_ of_individuals'!AD451), 'Model_ of_individuals'!AD451*'Model_ of_individuals'!$K451,"")</f>
        <v/>
      </c>
      <c r="AE435" s="93" t="str">
        <f>IF(ISNUMBER('Model_ of_individuals'!AE451), 'Model_ of_individuals'!AE451*'Model_ of_individuals'!$K451,"")</f>
        <v/>
      </c>
      <c r="AF435" s="93" t="str">
        <f>IF(ISNUMBER('Model_ of_individuals'!AF451), 'Model_ of_individuals'!AF451*'Model_ of_individuals'!$K451,"")</f>
        <v/>
      </c>
      <c r="AG435" s="93" t="str">
        <f>IF(ISNUMBER('Model_ of_individuals'!AG451), 'Model_ of_individuals'!AG451*'Model_ of_individuals'!$K451,"")</f>
        <v/>
      </c>
      <c r="AH435" s="93" t="str">
        <f>IF(ISNUMBER('Model_ of_individuals'!AH451), 'Model_ of_individuals'!AH451*'Model_ of_individuals'!$K451,"")</f>
        <v/>
      </c>
      <c r="AI435" s="93" t="str">
        <f>IF(ISNUMBER('Model_ of_individuals'!AI451), 'Model_ of_individuals'!AI451*'Model_ of_individuals'!$K451,"")</f>
        <v/>
      </c>
      <c r="AJ435" s="93" t="str">
        <f>IF(ISNUMBER('Model_ of_individuals'!AJ451), 'Model_ of_individuals'!AJ451*'Model_ of_individuals'!$K451,"")</f>
        <v/>
      </c>
      <c r="AK435" s="93" t="str">
        <f>IF(ISNUMBER('Model_ of_individuals'!AK451), 'Model_ of_individuals'!AK451*'Model_ of_individuals'!$K451,"")</f>
        <v/>
      </c>
      <c r="AL435" s="93" t="str">
        <f>IF(ISNUMBER('Model_ of_individuals'!AL451), 'Model_ of_individuals'!AL451*'Model_ of_individuals'!$K451,"")</f>
        <v/>
      </c>
      <c r="AM435" s="93" t="str">
        <f>IF(ISNUMBER('Model_ of_individuals'!AM451), 'Model_ of_individuals'!AM451*'Model_ of_individuals'!$K451,"")</f>
        <v/>
      </c>
      <c r="AN435" s="93" t="str">
        <f>IF(ISNUMBER('Model_ of_individuals'!AN451), 'Model_ of_individuals'!AN451*'Model_ of_individuals'!$K451,"")</f>
        <v/>
      </c>
      <c r="AO435" s="93" t="str">
        <f>IF(ISNUMBER('Model_ of_individuals'!AO451), 'Model_ of_individuals'!AO451*'Model_ of_individuals'!$K451,"")</f>
        <v/>
      </c>
      <c r="AP435" s="93" t="str">
        <f>IF(ISNUMBER('Model_ of_individuals'!AP451), 'Model_ of_individuals'!AP451*'Model_ of_individuals'!$K451,"")</f>
        <v/>
      </c>
      <c r="AQ435" s="93" t="str">
        <f>IF(ISNUMBER('Model_ of_individuals'!AQ451), 'Model_ of_individuals'!AQ451*'Model_ of_individuals'!$K451,"")</f>
        <v/>
      </c>
      <c r="AR435" s="93" t="str">
        <f>IF(ISNUMBER('Model_ of_individuals'!AR451), 'Model_ of_individuals'!AR451*'Model_ of_individuals'!$K451,"")</f>
        <v/>
      </c>
      <c r="AS435" s="93" t="str">
        <f>IF(ISNUMBER('Model_ of_individuals'!AS451), 'Model_ of_individuals'!AS451*'Model_ of_individuals'!$K451,"")</f>
        <v/>
      </c>
      <c r="AT435" s="93" t="str">
        <f>IF(ISNUMBER('Model_ of_individuals'!AT451), 'Model_ of_individuals'!AT451*'Model_ of_individuals'!$K451,"")</f>
        <v/>
      </c>
      <c r="AU435" s="93" t="str">
        <f>IF(ISNUMBER('Model_ of_individuals'!AU451), 'Model_ of_individuals'!AU451*'Model_ of_individuals'!$K451,"")</f>
        <v/>
      </c>
      <c r="AV435" s="93" t="str">
        <f>IF(ISNUMBER('Model_ of_individuals'!AV451), 'Model_ of_individuals'!AV451*'Model_ of_individuals'!$K451,"")</f>
        <v/>
      </c>
    </row>
    <row r="436" spans="1:49" x14ac:dyDescent="0.25">
      <c r="A436" s="518"/>
      <c r="B436" s="504"/>
      <c r="C436" s="521" t="str">
        <f>IF(AND(B425&lt;&gt;"", ISNUMBER(B425), ISNUMBER(Stage2EvaluationBegins)), IF((INDEX(ProgramYearStage2,MATCH(Stage2EvaluationBegins,Years_in_Stage2,0)))=B425, _4_5_0, IF(AND(B425&lt;&gt;"", C413&lt;&gt;""), _4_5_0, IF(AND(B425&lt;&gt;"", ISNUMBER(B425), OR(Stage2EvaluationBegins=0, Stage2EvaluationBegins="")),"", ""))),"")</f>
        <v/>
      </c>
      <c r="D436" s="94" t="str">
        <f>IF(AND(C436&lt;&gt;"", 'Cost Inputs'!$G$116&lt;&gt;""), 'Cost Inputs'!$G$116, "")</f>
        <v/>
      </c>
      <c r="E436" s="94" t="str">
        <f>IF(AND(C436&lt;&gt;"", 'Cost Inputs'!$H$116&lt;&gt;""), 'Cost Inputs'!$H$116, "")</f>
        <v/>
      </c>
      <c r="F436" s="492" t="str">
        <f>IF(AND(C436&lt;&gt;"", 'Cost Inputs'!$I$116&lt;&gt;""), 'Cost Inputs'!$I$116, "")</f>
        <v/>
      </c>
      <c r="G436" s="102" t="str">
        <f t="shared" si="32"/>
        <v/>
      </c>
      <c r="H436" s="492" t="str">
        <f>IF(AND(C436&lt;&gt;"", 'Cost Inputs'!$J$116&lt;&gt;""), 'Cost Inputs'!$J$116, "")</f>
        <v/>
      </c>
      <c r="I436" s="102" t="str">
        <f>IF($C436&lt;&gt;"",IF(AND($E436&lt;&gt;"",H436&lt;&gt;""), H436/$E436, 0),"")</f>
        <v/>
      </c>
      <c r="J436" s="492" t="str">
        <f>IF(AND(C436&lt;&gt;"",('Cost Inputs'!$I$116+'Cost Inputs'!$J$116+'Cost Inputs'!$K$116)&gt;0), 'Cost Inputs'!$I$116+'Cost Inputs'!$J$116+'Cost Inputs'!$K$116, "")</f>
        <v/>
      </c>
      <c r="K436" s="102" t="str">
        <f>IF($C436&lt;&gt;"",IF(AND($E436&lt;&gt;"",J436&lt;&gt;""), J436/$E436, 0),"")</f>
        <v/>
      </c>
      <c r="L436" s="525"/>
      <c r="M436" s="525"/>
      <c r="U436" s="496" t="str">
        <f>IF(ISNUMBER('Model_ of_individuals'!U453), 'Model_ of_individuals'!U453*'Model_ of_individuals'!$K453,"")</f>
        <v/>
      </c>
      <c r="V436" s="496" t="str">
        <f>IF(ISNUMBER('Model_ of_individuals'!V453), 'Model_ of_individuals'!V453*'Model_ of_individuals'!$K453,"")</f>
        <v/>
      </c>
      <c r="W436" s="496" t="str">
        <f>IF(ISNUMBER('Model_ of_individuals'!W453), 'Model_ of_individuals'!W453*'Model_ of_individuals'!$K453,"")</f>
        <v/>
      </c>
      <c r="X436" s="496" t="str">
        <f>IF(ISNUMBER('Model_ of_individuals'!X453), 'Model_ of_individuals'!X453*'Model_ of_individuals'!$K453,"")</f>
        <v/>
      </c>
      <c r="Y436" s="496" t="str">
        <f>IF(ISNUMBER('Model_ of_individuals'!Y453), 'Model_ of_individuals'!Y453*'Model_ of_individuals'!$K453,"")</f>
        <v/>
      </c>
      <c r="Z436" s="496" t="str">
        <f>IF(ISNUMBER('Model_ of_individuals'!Z453), 'Model_ of_individuals'!Z453*'Model_ of_individuals'!$K453,"")</f>
        <v/>
      </c>
      <c r="AA436" s="496" t="str">
        <f>IF(ISNUMBER('Model_ of_individuals'!AA453), 'Model_ of_individuals'!AA453*'Model_ of_individuals'!$K453,"")</f>
        <v/>
      </c>
      <c r="AB436" s="496" t="str">
        <f>IF(ISNUMBER('Model_ of_individuals'!AB453), 'Model_ of_individuals'!AB453*'Model_ of_individuals'!$K453,"")</f>
        <v/>
      </c>
      <c r="AC436" s="496" t="str">
        <f>IF(ISNUMBER('Model_ of_individuals'!AC453), 'Model_ of_individuals'!AC453*'Model_ of_individuals'!$K453,"")</f>
        <v/>
      </c>
      <c r="AD436" s="496" t="str">
        <f>IF(ISNUMBER('Model_ of_individuals'!AD453), 'Model_ of_individuals'!AD453*'Model_ of_individuals'!$K453,"")</f>
        <v/>
      </c>
      <c r="AE436" s="496" t="str">
        <f>IF(ISNUMBER('Model_ of_individuals'!AE453), 'Model_ of_individuals'!AE453*'Model_ of_individuals'!$K453,"")</f>
        <v/>
      </c>
      <c r="AF436" s="496" t="str">
        <f>IF(ISNUMBER('Model_ of_individuals'!AF453), 'Model_ of_individuals'!AF453*'Model_ of_individuals'!$K453,"")</f>
        <v/>
      </c>
      <c r="AG436" s="496" t="str">
        <f>IF(ISNUMBER('Model_ of_individuals'!AG453), 'Model_ of_individuals'!AG453*'Model_ of_individuals'!$K453,"")</f>
        <v/>
      </c>
      <c r="AH436" s="496" t="str">
        <f>IF(ISNUMBER('Model_ of_individuals'!AH453), 'Model_ of_individuals'!AH453*'Model_ of_individuals'!$K453,"")</f>
        <v/>
      </c>
      <c r="AI436" s="496" t="str">
        <f>IF(ISNUMBER('Model_ of_individuals'!AI453), 'Model_ of_individuals'!AI453*'Model_ of_individuals'!$K453,"")</f>
        <v/>
      </c>
      <c r="AJ436" s="496" t="str">
        <f>IF(ISNUMBER('Model_ of_individuals'!AJ453), 'Model_ of_individuals'!AJ453*'Model_ of_individuals'!$K453,"")</f>
        <v/>
      </c>
      <c r="AK436" s="496" t="str">
        <f>IF(ISNUMBER('Model_ of_individuals'!AK453), 'Model_ of_individuals'!AK453*'Model_ of_individuals'!$K453,"")</f>
        <v/>
      </c>
      <c r="AL436" s="496" t="str">
        <f>IF(ISNUMBER('Model_ of_individuals'!AL453), 'Model_ of_individuals'!AL453*'Model_ of_individuals'!$K453,"")</f>
        <v/>
      </c>
      <c r="AM436" s="496" t="str">
        <f>IF(ISNUMBER('Model_ of_individuals'!AM453), 'Model_ of_individuals'!AM453*'Model_ of_individuals'!$K453,"")</f>
        <v/>
      </c>
      <c r="AN436" s="496" t="str">
        <f>IF(ISNUMBER('Model_ of_individuals'!AN453), 'Model_ of_individuals'!AN453*'Model_ of_individuals'!$K453,"")</f>
        <v/>
      </c>
      <c r="AO436" s="496" t="str">
        <f>IF(ISNUMBER('Model_ of_individuals'!AO453), 'Model_ of_individuals'!AO453*'Model_ of_individuals'!$K453,"")</f>
        <v/>
      </c>
      <c r="AP436" s="496" t="str">
        <f>IF(ISNUMBER('Model_ of_individuals'!AP453), 'Model_ of_individuals'!AP453*'Model_ of_individuals'!$K453,"")</f>
        <v/>
      </c>
      <c r="AQ436" s="496" t="str">
        <f>IF(ISNUMBER('Model_ of_individuals'!AQ453), 'Model_ of_individuals'!AQ453*'Model_ of_individuals'!$K453,"")</f>
        <v/>
      </c>
      <c r="AR436" s="496" t="str">
        <f>IF(ISNUMBER('Model_ of_individuals'!AR453), 'Model_ of_individuals'!AR453*'Model_ of_individuals'!$K453,"")</f>
        <v/>
      </c>
      <c r="AS436" s="496" t="str">
        <f>IF(ISNUMBER('Model_ of_individuals'!AS453), 'Model_ of_individuals'!AS453*'Model_ of_individuals'!$K453,"")</f>
        <v/>
      </c>
      <c r="AT436" s="496" t="str">
        <f>IF(ISNUMBER('Model_ of_individuals'!AT453), 'Model_ of_individuals'!AT453*'Model_ of_individuals'!$K453,"")</f>
        <v/>
      </c>
      <c r="AU436" s="496" t="str">
        <f>IF(ISNUMBER('Model_ of_individuals'!AU453), 'Model_ of_individuals'!AU453*'Model_ of_individuals'!$K453,"")</f>
        <v/>
      </c>
      <c r="AV436" s="496" t="str">
        <f>IF(ISNUMBER('Model_ of_individuals'!AV453), 'Model_ of_individuals'!AV453*'Model_ of_individuals'!$K453,"")</f>
        <v/>
      </c>
    </row>
    <row r="437" spans="1:49" x14ac:dyDescent="0.25">
      <c r="A437" s="518"/>
      <c r="B437" s="504"/>
      <c r="C437" s="521"/>
      <c r="D437" s="94" t="str">
        <f>IF(AND(C436&lt;&gt;"", 'Cost Inputs'!$G$117&lt;&gt;""), 'Cost Inputs'!$G$117, "")</f>
        <v/>
      </c>
      <c r="E437" s="94" t="str">
        <f>IF(AND(C436&lt;&gt;"", 'Cost Inputs'!$H$117&lt;&gt;""), 'Cost Inputs'!$H$117, "")</f>
        <v/>
      </c>
      <c r="F437" s="492"/>
      <c r="G437" s="102" t="str">
        <f t="shared" si="32"/>
        <v/>
      </c>
      <c r="H437" s="492"/>
      <c r="I437" s="102" t="str">
        <f>IF($C436&lt;&gt;"", IF(AND($E437&lt;&gt;"", H436&lt;&gt;""), H436/($E436*$E437), 0), "")</f>
        <v/>
      </c>
      <c r="J437" s="492" t="str">
        <f>IF(AND(C437&lt;&gt;"",('Cost Inputs'!$I$86+'Cost Inputs'!$J$86+'Cost Inputs'!$K$86)&gt;0), 'Cost Inputs'!$I$86+'Cost Inputs'!$J$86+'Cost Inputs'!$K$86, "")</f>
        <v/>
      </c>
      <c r="K437" s="102" t="str">
        <f>IF($C436&lt;&gt;"", IF(AND($E437&lt;&gt;"", J436&lt;&gt;""), J436/($E436*$E437), 0), "")</f>
        <v/>
      </c>
      <c r="L437" s="525"/>
      <c r="M437" s="525"/>
      <c r="U437" s="496" t="str">
        <f>IF(ISNUMBER('Model_ of_individuals'!U454), 'Model_ of_individuals'!U454*'Model_ of_individuals'!$K454,"")</f>
        <v/>
      </c>
      <c r="V437" s="496" t="str">
        <f>IF(ISNUMBER('Model_ of_individuals'!V454), 'Model_ of_individuals'!V454*'Model_ of_individuals'!$K454,"")</f>
        <v/>
      </c>
      <c r="W437" s="496" t="str">
        <f>IF(ISNUMBER('Model_ of_individuals'!W454), 'Model_ of_individuals'!W454*'Model_ of_individuals'!$K454,"")</f>
        <v/>
      </c>
      <c r="X437" s="496" t="str">
        <f>IF(ISNUMBER('Model_ of_individuals'!X454), 'Model_ of_individuals'!X454*'Model_ of_individuals'!$K454,"")</f>
        <v/>
      </c>
      <c r="Y437" s="496" t="str">
        <f>IF(ISNUMBER('Model_ of_individuals'!Y454), 'Model_ of_individuals'!Y454*'Model_ of_individuals'!$K454,"")</f>
        <v/>
      </c>
      <c r="Z437" s="496" t="str">
        <f>IF(ISNUMBER('Model_ of_individuals'!Z454), 'Model_ of_individuals'!Z454*'Model_ of_individuals'!$K454,"")</f>
        <v/>
      </c>
      <c r="AA437" s="496" t="str">
        <f>IF(ISNUMBER('Model_ of_individuals'!AA454), 'Model_ of_individuals'!AA454*'Model_ of_individuals'!$K454,"")</f>
        <v/>
      </c>
      <c r="AB437" s="496" t="str">
        <f>IF(ISNUMBER('Model_ of_individuals'!AB454), 'Model_ of_individuals'!AB454*'Model_ of_individuals'!$K454,"")</f>
        <v/>
      </c>
      <c r="AC437" s="496" t="str">
        <f>IF(ISNUMBER('Model_ of_individuals'!AC454), 'Model_ of_individuals'!AC454*'Model_ of_individuals'!$K454,"")</f>
        <v/>
      </c>
      <c r="AD437" s="496" t="str">
        <f>IF(ISNUMBER('Model_ of_individuals'!AD454), 'Model_ of_individuals'!AD454*'Model_ of_individuals'!$K454,"")</f>
        <v/>
      </c>
      <c r="AE437" s="496" t="str">
        <f>IF(ISNUMBER('Model_ of_individuals'!AE454), 'Model_ of_individuals'!AE454*'Model_ of_individuals'!$K454,"")</f>
        <v/>
      </c>
      <c r="AF437" s="496" t="str">
        <f>IF(ISNUMBER('Model_ of_individuals'!AF454), 'Model_ of_individuals'!AF454*'Model_ of_individuals'!$K454,"")</f>
        <v/>
      </c>
      <c r="AG437" s="496" t="str">
        <f>IF(ISNUMBER('Model_ of_individuals'!AG454), 'Model_ of_individuals'!AG454*'Model_ of_individuals'!$K454,"")</f>
        <v/>
      </c>
      <c r="AH437" s="496" t="str">
        <f>IF(ISNUMBER('Model_ of_individuals'!AH454), 'Model_ of_individuals'!AH454*'Model_ of_individuals'!$K454,"")</f>
        <v/>
      </c>
      <c r="AI437" s="496" t="str">
        <f>IF(ISNUMBER('Model_ of_individuals'!AI454), 'Model_ of_individuals'!AI454*'Model_ of_individuals'!$K454,"")</f>
        <v/>
      </c>
      <c r="AJ437" s="496" t="str">
        <f>IF(ISNUMBER('Model_ of_individuals'!AJ454), 'Model_ of_individuals'!AJ454*'Model_ of_individuals'!$K454,"")</f>
        <v/>
      </c>
      <c r="AK437" s="496" t="str">
        <f>IF(ISNUMBER('Model_ of_individuals'!AK454), 'Model_ of_individuals'!AK454*'Model_ of_individuals'!$K454,"")</f>
        <v/>
      </c>
      <c r="AL437" s="496" t="str">
        <f>IF(ISNUMBER('Model_ of_individuals'!AL454), 'Model_ of_individuals'!AL454*'Model_ of_individuals'!$K454,"")</f>
        <v/>
      </c>
      <c r="AM437" s="496" t="str">
        <f>IF(ISNUMBER('Model_ of_individuals'!AM454), 'Model_ of_individuals'!AM454*'Model_ of_individuals'!$K454,"")</f>
        <v/>
      </c>
      <c r="AN437" s="496" t="str">
        <f>IF(ISNUMBER('Model_ of_individuals'!AN454), 'Model_ of_individuals'!AN454*'Model_ of_individuals'!$K454,"")</f>
        <v/>
      </c>
      <c r="AO437" s="496" t="str">
        <f>IF(ISNUMBER('Model_ of_individuals'!AO454), 'Model_ of_individuals'!AO454*'Model_ of_individuals'!$K454,"")</f>
        <v/>
      </c>
      <c r="AP437" s="496" t="str">
        <f>IF(ISNUMBER('Model_ of_individuals'!AP454), 'Model_ of_individuals'!AP454*'Model_ of_individuals'!$K454,"")</f>
        <v/>
      </c>
      <c r="AQ437" s="496" t="str">
        <f>IF(ISNUMBER('Model_ of_individuals'!AQ454), 'Model_ of_individuals'!AQ454*'Model_ of_individuals'!$K454,"")</f>
        <v/>
      </c>
      <c r="AR437" s="496" t="str">
        <f>IF(ISNUMBER('Model_ of_individuals'!AR454), 'Model_ of_individuals'!AR454*'Model_ of_individuals'!$K454,"")</f>
        <v/>
      </c>
      <c r="AS437" s="496" t="str">
        <f>IF(ISNUMBER('Model_ of_individuals'!AS454), 'Model_ of_individuals'!AS454*'Model_ of_individuals'!$K454,"")</f>
        <v/>
      </c>
      <c r="AT437" s="496" t="str">
        <f>IF(ISNUMBER('Model_ of_individuals'!AT454), 'Model_ of_individuals'!AT454*'Model_ of_individuals'!$K454,"")</f>
        <v/>
      </c>
      <c r="AU437" s="496" t="str">
        <f>IF(ISNUMBER('Model_ of_individuals'!AU454), 'Model_ of_individuals'!AU454*'Model_ of_individuals'!$K454,"")</f>
        <v/>
      </c>
      <c r="AV437" s="496" t="str">
        <f>IF(ISNUMBER('Model_ of_individuals'!AV454), 'Model_ of_individuals'!AV454*'Model_ of_individuals'!$K454,"")</f>
        <v/>
      </c>
    </row>
    <row r="438" spans="1:49" x14ac:dyDescent="0.25">
      <c r="A438" s="518"/>
      <c r="B438" s="504"/>
      <c r="C438" s="376" t="str">
        <f>IF(AND(ISNUMBER(B425), C436&lt;&gt;"", OR('Cost Inputs'!$H$118&lt;&gt;"", 'Cost Inputs'!$I$118&lt;&gt;"", 'Cost Inputs'!$J$118&lt;&gt;"")), _4_5_1, "")</f>
        <v/>
      </c>
      <c r="D438" s="17" t="str">
        <f>IF(AND(C438&lt;&gt;"", 'Cost Inputs'!$G$118&lt;&gt;""), 'Cost Inputs'!$G$118, "")</f>
        <v/>
      </c>
      <c r="E438" s="17" t="str">
        <f>IF(AND(C438&lt;&gt;"", 'Cost Inputs'!$H$118&lt;&gt;""), 'Cost Inputs'!$H$118, "")</f>
        <v/>
      </c>
      <c r="F438" s="493" t="str">
        <f>IF(AND(C438&lt;&gt;"", 'Cost Inputs'!$I$118&lt;&gt;""), 'Cost Inputs'!$I$118, "")</f>
        <v/>
      </c>
      <c r="G438" s="105" t="str">
        <f t="shared" si="32"/>
        <v/>
      </c>
      <c r="H438" s="493" t="str">
        <f>IF(AND(C438&lt;&gt;"", 'Cost Inputs'!$J$118&lt;&gt;""), 'Cost Inputs'!$J$118, "")</f>
        <v/>
      </c>
      <c r="I438" s="105" t="str">
        <f>IF($C438&lt;&gt;"",IF(AND($E438&lt;&gt;"",H438&lt;&gt;""), H438/$E438, 0),"")</f>
        <v/>
      </c>
      <c r="J438" s="493" t="str">
        <f>IF(AND(C438&lt;&gt;"",('Cost Inputs'!$I$118+'Cost Inputs'!$J$118+'Cost Inputs'!$K$118)&gt;0), 'Cost Inputs'!$I$118+'Cost Inputs'!$J$118+'Cost Inputs'!$K$118, "")</f>
        <v/>
      </c>
      <c r="K438" s="105" t="str">
        <f>IF($C438&lt;&gt;"",IF(AND($E438&lt;&gt;"",J438&lt;&gt;""), J438/$E438, 0),"")</f>
        <v/>
      </c>
      <c r="L438" s="525"/>
      <c r="M438" s="525"/>
      <c r="U438" s="497" t="str">
        <f>IF(ISNUMBER('Model_ of_individuals'!U455), 'Model_ of_individuals'!U455*'Model_ of_individuals'!$K455,"")</f>
        <v/>
      </c>
      <c r="V438" s="497" t="str">
        <f>IF(ISNUMBER('Model_ of_individuals'!V455), 'Model_ of_individuals'!V455*'Model_ of_individuals'!$K455,"")</f>
        <v/>
      </c>
      <c r="W438" s="497" t="str">
        <f>IF(ISNUMBER('Model_ of_individuals'!W455), 'Model_ of_individuals'!W455*'Model_ of_individuals'!$K455,"")</f>
        <v/>
      </c>
      <c r="X438" s="497" t="str">
        <f>IF(ISNUMBER('Model_ of_individuals'!X455), 'Model_ of_individuals'!X455*'Model_ of_individuals'!$K455,"")</f>
        <v/>
      </c>
      <c r="Y438" s="497" t="str">
        <f>IF(ISNUMBER('Model_ of_individuals'!Y455), 'Model_ of_individuals'!Y455*'Model_ of_individuals'!$K455,"")</f>
        <v/>
      </c>
      <c r="Z438" s="497" t="str">
        <f>IF(ISNUMBER('Model_ of_individuals'!Z455), 'Model_ of_individuals'!Z455*'Model_ of_individuals'!$K455,"")</f>
        <v/>
      </c>
      <c r="AA438" s="497" t="str">
        <f>IF(ISNUMBER('Model_ of_individuals'!AA455), 'Model_ of_individuals'!AA455*'Model_ of_individuals'!$K455,"")</f>
        <v/>
      </c>
      <c r="AB438" s="497" t="str">
        <f>IF(ISNUMBER('Model_ of_individuals'!AB455), 'Model_ of_individuals'!AB455*'Model_ of_individuals'!$K455,"")</f>
        <v/>
      </c>
      <c r="AC438" s="497" t="str">
        <f>IF(ISNUMBER('Model_ of_individuals'!AC455), 'Model_ of_individuals'!AC455*'Model_ of_individuals'!$K455,"")</f>
        <v/>
      </c>
      <c r="AD438" s="497" t="str">
        <f>IF(ISNUMBER('Model_ of_individuals'!AD455), 'Model_ of_individuals'!AD455*'Model_ of_individuals'!$K455,"")</f>
        <v/>
      </c>
      <c r="AE438" s="497" t="str">
        <f>IF(ISNUMBER('Model_ of_individuals'!AE455), 'Model_ of_individuals'!AE455*'Model_ of_individuals'!$K455,"")</f>
        <v/>
      </c>
      <c r="AF438" s="497" t="str">
        <f>IF(ISNUMBER('Model_ of_individuals'!AF455), 'Model_ of_individuals'!AF455*'Model_ of_individuals'!$K455,"")</f>
        <v/>
      </c>
      <c r="AG438" s="497" t="str">
        <f>IF(ISNUMBER('Model_ of_individuals'!AG455), 'Model_ of_individuals'!AG455*'Model_ of_individuals'!$K455,"")</f>
        <v/>
      </c>
      <c r="AH438" s="497" t="str">
        <f>IF(ISNUMBER('Model_ of_individuals'!AH455), 'Model_ of_individuals'!AH455*'Model_ of_individuals'!$K455,"")</f>
        <v/>
      </c>
      <c r="AI438" s="497" t="str">
        <f>IF(ISNUMBER('Model_ of_individuals'!AI455), 'Model_ of_individuals'!AI455*'Model_ of_individuals'!$K455,"")</f>
        <v/>
      </c>
      <c r="AJ438" s="497" t="str">
        <f>IF(ISNUMBER('Model_ of_individuals'!AJ455), 'Model_ of_individuals'!AJ455*'Model_ of_individuals'!$K455,"")</f>
        <v/>
      </c>
      <c r="AK438" s="497" t="str">
        <f>IF(ISNUMBER('Model_ of_individuals'!AK455), 'Model_ of_individuals'!AK455*'Model_ of_individuals'!$K455,"")</f>
        <v/>
      </c>
      <c r="AL438" s="497" t="str">
        <f>IF(ISNUMBER('Model_ of_individuals'!AL455), 'Model_ of_individuals'!AL455*'Model_ of_individuals'!$K455,"")</f>
        <v/>
      </c>
      <c r="AM438" s="497" t="str">
        <f>IF(ISNUMBER('Model_ of_individuals'!AM455), 'Model_ of_individuals'!AM455*'Model_ of_individuals'!$K455,"")</f>
        <v/>
      </c>
      <c r="AN438" s="497" t="str">
        <f>IF(ISNUMBER('Model_ of_individuals'!AN455), 'Model_ of_individuals'!AN455*'Model_ of_individuals'!$K455,"")</f>
        <v/>
      </c>
      <c r="AO438" s="497" t="str">
        <f>IF(ISNUMBER('Model_ of_individuals'!AO455), 'Model_ of_individuals'!AO455*'Model_ of_individuals'!$K455,"")</f>
        <v/>
      </c>
      <c r="AP438" s="497" t="str">
        <f>IF(ISNUMBER('Model_ of_individuals'!AP455), 'Model_ of_individuals'!AP455*'Model_ of_individuals'!$K455,"")</f>
        <v/>
      </c>
      <c r="AQ438" s="497" t="str">
        <f>IF(ISNUMBER('Model_ of_individuals'!AQ455), 'Model_ of_individuals'!AQ455*'Model_ of_individuals'!$K455,"")</f>
        <v/>
      </c>
      <c r="AR438" s="497" t="str">
        <f>IF(ISNUMBER('Model_ of_individuals'!AR455), 'Model_ of_individuals'!AR455*'Model_ of_individuals'!$K455,"")</f>
        <v/>
      </c>
      <c r="AS438" s="497" t="str">
        <f>IF(ISNUMBER('Model_ of_individuals'!AS455), 'Model_ of_individuals'!AS455*'Model_ of_individuals'!$K455,"")</f>
        <v/>
      </c>
      <c r="AT438" s="497" t="str">
        <f>IF(ISNUMBER('Model_ of_individuals'!AT455), 'Model_ of_individuals'!AT455*'Model_ of_individuals'!$K455,"")</f>
        <v/>
      </c>
      <c r="AU438" s="497" t="str">
        <f>IF(ISNUMBER('Model_ of_individuals'!AU455), 'Model_ of_individuals'!AU455*'Model_ of_individuals'!$K455,"")</f>
        <v/>
      </c>
      <c r="AV438" s="497" t="str">
        <f>IF(ISNUMBER('Model_ of_individuals'!AV455), 'Model_ of_individuals'!AV455*'Model_ of_individuals'!$K455,"")</f>
        <v/>
      </c>
    </row>
    <row r="439" spans="1:49" x14ac:dyDescent="0.25">
      <c r="A439" s="518"/>
      <c r="B439" s="504"/>
      <c r="C439" s="376" t="str">
        <f>IF(AND(ISNUMBER(B420), OR('Cost Inputs'!$H$85&lt;&gt;"", 'Cost Inputs'!$I$85&lt;&gt;"", 'Cost Inputs'!$J$85&lt;&gt;"")), _3_5_1, "")</f>
        <v/>
      </c>
      <c r="D439" s="17" t="str">
        <f>IF(AND(C438&lt;&gt;"", 'Cost Inputs'!$G$119&lt;&gt;""), 'Cost Inputs'!$G$119, "")</f>
        <v/>
      </c>
      <c r="E439" s="17" t="str">
        <f>IF(AND(C438&lt;&gt;"", 'Cost Inputs'!$H$119&lt;&gt;""), 'Cost Inputs'!$H$119, "")</f>
        <v/>
      </c>
      <c r="F439" s="493"/>
      <c r="G439" s="105" t="str">
        <f t="shared" si="32"/>
        <v/>
      </c>
      <c r="H439" s="493"/>
      <c r="I439" s="105" t="str">
        <f>IF($C438&lt;&gt;"", IF(AND($E439&lt;&gt;"", H438&lt;&gt;""), H438/($E438*$E439), 0), "")</f>
        <v/>
      </c>
      <c r="J439" s="493" t="str">
        <f>IF(AND(C439&lt;&gt;"",('Cost Inputs'!$I$86+'Cost Inputs'!$J$86+'Cost Inputs'!$K$86)&gt;0), 'Cost Inputs'!$I$86+'Cost Inputs'!$J$86+'Cost Inputs'!$K$86, "")</f>
        <v/>
      </c>
      <c r="K439" s="105" t="str">
        <f>IF($C438&lt;&gt;"", IF(AND($E439&lt;&gt;"", J438&lt;&gt;""), J438/($E438*$E439), 0), "")</f>
        <v/>
      </c>
      <c r="L439" s="525"/>
      <c r="M439" s="525"/>
      <c r="U439" s="497" t="str">
        <f>IF(ISNUMBER('Model_ of_individuals'!U456), 'Model_ of_individuals'!U456*'Model_ of_individuals'!$K456,"")</f>
        <v/>
      </c>
      <c r="V439" s="497" t="str">
        <f>IF(ISNUMBER('Model_ of_individuals'!V456), 'Model_ of_individuals'!V456*'Model_ of_individuals'!$K456,"")</f>
        <v/>
      </c>
      <c r="W439" s="497" t="str">
        <f>IF(ISNUMBER('Model_ of_individuals'!W456), 'Model_ of_individuals'!W456*'Model_ of_individuals'!$K456,"")</f>
        <v/>
      </c>
      <c r="X439" s="497" t="str">
        <f>IF(ISNUMBER('Model_ of_individuals'!X456), 'Model_ of_individuals'!X456*'Model_ of_individuals'!$K456,"")</f>
        <v/>
      </c>
      <c r="Y439" s="497" t="str">
        <f>IF(ISNUMBER('Model_ of_individuals'!Y456), 'Model_ of_individuals'!Y456*'Model_ of_individuals'!$K456,"")</f>
        <v/>
      </c>
      <c r="Z439" s="497" t="str">
        <f>IF(ISNUMBER('Model_ of_individuals'!Z456), 'Model_ of_individuals'!Z456*'Model_ of_individuals'!$K456,"")</f>
        <v/>
      </c>
      <c r="AA439" s="497" t="str">
        <f>IF(ISNUMBER('Model_ of_individuals'!AA456), 'Model_ of_individuals'!AA456*'Model_ of_individuals'!$K456,"")</f>
        <v/>
      </c>
      <c r="AB439" s="497" t="str">
        <f>IF(ISNUMBER('Model_ of_individuals'!AB456), 'Model_ of_individuals'!AB456*'Model_ of_individuals'!$K456,"")</f>
        <v/>
      </c>
      <c r="AC439" s="497" t="str">
        <f>IF(ISNUMBER('Model_ of_individuals'!AC456), 'Model_ of_individuals'!AC456*'Model_ of_individuals'!$K456,"")</f>
        <v/>
      </c>
      <c r="AD439" s="497" t="str">
        <f>IF(ISNUMBER('Model_ of_individuals'!AD456), 'Model_ of_individuals'!AD456*'Model_ of_individuals'!$K456,"")</f>
        <v/>
      </c>
      <c r="AE439" s="497" t="str">
        <f>IF(ISNUMBER('Model_ of_individuals'!AE456), 'Model_ of_individuals'!AE456*'Model_ of_individuals'!$K456,"")</f>
        <v/>
      </c>
      <c r="AF439" s="497" t="str">
        <f>IF(ISNUMBER('Model_ of_individuals'!AF456), 'Model_ of_individuals'!AF456*'Model_ of_individuals'!$K456,"")</f>
        <v/>
      </c>
      <c r="AG439" s="497" t="str">
        <f>IF(ISNUMBER('Model_ of_individuals'!AG456), 'Model_ of_individuals'!AG456*'Model_ of_individuals'!$K456,"")</f>
        <v/>
      </c>
      <c r="AH439" s="497" t="str">
        <f>IF(ISNUMBER('Model_ of_individuals'!AH456), 'Model_ of_individuals'!AH456*'Model_ of_individuals'!$K456,"")</f>
        <v/>
      </c>
      <c r="AI439" s="497" t="str">
        <f>IF(ISNUMBER('Model_ of_individuals'!AI456), 'Model_ of_individuals'!AI456*'Model_ of_individuals'!$K456,"")</f>
        <v/>
      </c>
      <c r="AJ439" s="497" t="str">
        <f>IF(ISNUMBER('Model_ of_individuals'!AJ456), 'Model_ of_individuals'!AJ456*'Model_ of_individuals'!$K456,"")</f>
        <v/>
      </c>
      <c r="AK439" s="497" t="str">
        <f>IF(ISNUMBER('Model_ of_individuals'!AK456), 'Model_ of_individuals'!AK456*'Model_ of_individuals'!$K456,"")</f>
        <v/>
      </c>
      <c r="AL439" s="497" t="str">
        <f>IF(ISNUMBER('Model_ of_individuals'!AL456), 'Model_ of_individuals'!AL456*'Model_ of_individuals'!$K456,"")</f>
        <v/>
      </c>
      <c r="AM439" s="497" t="str">
        <f>IF(ISNUMBER('Model_ of_individuals'!AM456), 'Model_ of_individuals'!AM456*'Model_ of_individuals'!$K456,"")</f>
        <v/>
      </c>
      <c r="AN439" s="497" t="str">
        <f>IF(ISNUMBER('Model_ of_individuals'!AN456), 'Model_ of_individuals'!AN456*'Model_ of_individuals'!$K456,"")</f>
        <v/>
      </c>
      <c r="AO439" s="497" t="str">
        <f>IF(ISNUMBER('Model_ of_individuals'!AO456), 'Model_ of_individuals'!AO456*'Model_ of_individuals'!$K456,"")</f>
        <v/>
      </c>
      <c r="AP439" s="497" t="str">
        <f>IF(ISNUMBER('Model_ of_individuals'!AP456), 'Model_ of_individuals'!AP456*'Model_ of_individuals'!$K456,"")</f>
        <v/>
      </c>
      <c r="AQ439" s="497" t="str">
        <f>IF(ISNUMBER('Model_ of_individuals'!AQ456), 'Model_ of_individuals'!AQ456*'Model_ of_individuals'!$K456,"")</f>
        <v/>
      </c>
      <c r="AR439" s="497" t="str">
        <f>IF(ISNUMBER('Model_ of_individuals'!AR456), 'Model_ of_individuals'!AR456*'Model_ of_individuals'!$K456,"")</f>
        <v/>
      </c>
      <c r="AS439" s="497" t="str">
        <f>IF(ISNUMBER('Model_ of_individuals'!AS456), 'Model_ of_individuals'!AS456*'Model_ of_individuals'!$K456,"")</f>
        <v/>
      </c>
      <c r="AT439" s="497" t="str">
        <f>IF(ISNUMBER('Model_ of_individuals'!AT456), 'Model_ of_individuals'!AT456*'Model_ of_individuals'!$K456,"")</f>
        <v/>
      </c>
      <c r="AU439" s="497" t="str">
        <f>IF(ISNUMBER('Model_ of_individuals'!AU456), 'Model_ of_individuals'!AU456*'Model_ of_individuals'!$K456,"")</f>
        <v/>
      </c>
      <c r="AV439" s="497" t="str">
        <f>IF(ISNUMBER('Model_ of_individuals'!AV456), 'Model_ of_individuals'!AV456*'Model_ of_individuals'!$K456,"")</f>
        <v/>
      </c>
    </row>
    <row r="440" spans="1:49" x14ac:dyDescent="0.25">
      <c r="A440" s="518"/>
      <c r="B440" s="504"/>
      <c r="C440" s="107" t="str">
        <f>IF(AND(ISNUMBER(B425), C436&lt;&gt;"", OR('Cost Inputs'!$H$120&lt;&gt;"", 'Cost Inputs'!$I$120&lt;&gt;"", 'Cost Inputs'!$J$120&lt;&gt;"")), _4_5_2, "")</f>
        <v/>
      </c>
      <c r="D440" s="93" t="str">
        <f>IF(AND(C440&lt;&gt;"", 'Cost Inputs'!$G$120&lt;&gt;""), 'Cost Inputs'!$G$120, "")</f>
        <v/>
      </c>
      <c r="E440" s="93" t="str">
        <f>IF(AND(C440&lt;&gt;"", 'Cost Inputs'!$H$120&lt;&gt;""), 'Cost Inputs'!$H$120, "")</f>
        <v/>
      </c>
      <c r="F440" s="93" t="str">
        <f>IF(AND(C440&lt;&gt;"", 'Cost Inputs'!$I$120&lt;&gt;""), 'Cost Inputs'!$I$120, "")</f>
        <v/>
      </c>
      <c r="G440" s="108" t="str">
        <f t="shared" si="32"/>
        <v/>
      </c>
      <c r="H440" s="93" t="str">
        <f>IF(AND(C440&lt;&gt;"", 'Cost Inputs'!$J$120&lt;&gt;""), 'Cost Inputs'!$J$120, "")</f>
        <v/>
      </c>
      <c r="I440" s="93" t="str">
        <f>IF($C440&lt;&gt;"", IF(AND($E440&lt;&gt;"", H440&lt;&gt;""), H440/$E440, 0),"")</f>
        <v/>
      </c>
      <c r="J440" s="93" t="str">
        <f>IF(AND(C440&lt;&gt;"",('Cost Inputs'!$I$120+'Cost Inputs'!$J$120+'Cost Inputs'!$K$120)&gt;0), 'Cost Inputs'!$I$120+'Cost Inputs'!$J$120+'Cost Inputs'!$K$120, "")</f>
        <v/>
      </c>
      <c r="K440" s="93" t="str">
        <f>IF($C440&lt;&gt;"", IF(AND($E440&lt;&gt;"", J440&lt;&gt;""), J440/$E440, 0),"")</f>
        <v/>
      </c>
      <c r="L440" s="525"/>
      <c r="M440" s="525"/>
      <c r="U440" s="93" t="str">
        <f>IF(ISNUMBER('Model_ of_individuals'!U457), 'Model_ of_individuals'!U457*'Model_ of_individuals'!$K457,"")</f>
        <v/>
      </c>
      <c r="V440" s="93" t="str">
        <f>IF(ISNUMBER('Model_ of_individuals'!V457), 'Model_ of_individuals'!V457*'Model_ of_individuals'!$K457,"")</f>
        <v/>
      </c>
      <c r="W440" s="93" t="str">
        <f>IF(ISNUMBER('Model_ of_individuals'!W457), 'Model_ of_individuals'!W457*'Model_ of_individuals'!$K457,"")</f>
        <v/>
      </c>
      <c r="X440" s="93" t="str">
        <f>IF(ISNUMBER('Model_ of_individuals'!X457), 'Model_ of_individuals'!X457*'Model_ of_individuals'!$K457,"")</f>
        <v/>
      </c>
      <c r="Y440" s="93" t="str">
        <f>IF(ISNUMBER('Model_ of_individuals'!Y457), 'Model_ of_individuals'!Y457*'Model_ of_individuals'!$K457,"")</f>
        <v/>
      </c>
      <c r="Z440" s="93" t="str">
        <f>IF(ISNUMBER('Model_ of_individuals'!Z457), 'Model_ of_individuals'!Z457*'Model_ of_individuals'!$K457,"")</f>
        <v/>
      </c>
      <c r="AA440" s="93" t="str">
        <f>IF(ISNUMBER('Model_ of_individuals'!AA457), 'Model_ of_individuals'!AA457*'Model_ of_individuals'!$K457,"")</f>
        <v/>
      </c>
      <c r="AB440" s="93" t="str">
        <f>IF(ISNUMBER('Model_ of_individuals'!AB457), 'Model_ of_individuals'!AB457*'Model_ of_individuals'!$K457,"")</f>
        <v/>
      </c>
      <c r="AC440" s="93" t="str">
        <f>IF(ISNUMBER('Model_ of_individuals'!AC457), 'Model_ of_individuals'!AC457*'Model_ of_individuals'!$K457,"")</f>
        <v/>
      </c>
      <c r="AD440" s="93" t="str">
        <f>IF(ISNUMBER('Model_ of_individuals'!AD457), 'Model_ of_individuals'!AD457*'Model_ of_individuals'!$K457,"")</f>
        <v/>
      </c>
      <c r="AE440" s="93" t="str">
        <f>IF(ISNUMBER('Model_ of_individuals'!AE457), 'Model_ of_individuals'!AE457*'Model_ of_individuals'!$K457,"")</f>
        <v/>
      </c>
      <c r="AF440" s="93" t="str">
        <f>IF(ISNUMBER('Model_ of_individuals'!AF457), 'Model_ of_individuals'!AF457*'Model_ of_individuals'!$K457,"")</f>
        <v/>
      </c>
      <c r="AG440" s="93" t="str">
        <f>IF(ISNUMBER('Model_ of_individuals'!AG457), 'Model_ of_individuals'!AG457*'Model_ of_individuals'!$K457,"")</f>
        <v/>
      </c>
      <c r="AH440" s="93" t="str">
        <f>IF(ISNUMBER('Model_ of_individuals'!AH457), 'Model_ of_individuals'!AH457*'Model_ of_individuals'!$K457,"")</f>
        <v/>
      </c>
      <c r="AI440" s="93" t="str">
        <f>IF(ISNUMBER('Model_ of_individuals'!AI457), 'Model_ of_individuals'!AI457*'Model_ of_individuals'!$K457,"")</f>
        <v/>
      </c>
      <c r="AJ440" s="93" t="str">
        <f>IF(ISNUMBER('Model_ of_individuals'!AJ457), 'Model_ of_individuals'!AJ457*'Model_ of_individuals'!$K457,"")</f>
        <v/>
      </c>
      <c r="AK440" s="93" t="str">
        <f>IF(ISNUMBER('Model_ of_individuals'!AK457), 'Model_ of_individuals'!AK457*'Model_ of_individuals'!$K457,"")</f>
        <v/>
      </c>
      <c r="AL440" s="93" t="str">
        <f>IF(ISNUMBER('Model_ of_individuals'!AL457), 'Model_ of_individuals'!AL457*'Model_ of_individuals'!$K457,"")</f>
        <v/>
      </c>
      <c r="AM440" s="93" t="str">
        <f>IF(ISNUMBER('Model_ of_individuals'!AM457), 'Model_ of_individuals'!AM457*'Model_ of_individuals'!$K457,"")</f>
        <v/>
      </c>
      <c r="AN440" s="93" t="str">
        <f>IF(ISNUMBER('Model_ of_individuals'!AN457), 'Model_ of_individuals'!AN457*'Model_ of_individuals'!$K457,"")</f>
        <v/>
      </c>
      <c r="AO440" s="93" t="str">
        <f>IF(ISNUMBER('Model_ of_individuals'!AO457), 'Model_ of_individuals'!AO457*'Model_ of_individuals'!$K457,"")</f>
        <v/>
      </c>
      <c r="AP440" s="93" t="str">
        <f>IF(ISNUMBER('Model_ of_individuals'!AP457), 'Model_ of_individuals'!AP457*'Model_ of_individuals'!$K457,"")</f>
        <v/>
      </c>
      <c r="AQ440" s="93" t="str">
        <f>IF(ISNUMBER('Model_ of_individuals'!AQ457), 'Model_ of_individuals'!AQ457*'Model_ of_individuals'!$K457,"")</f>
        <v/>
      </c>
      <c r="AR440" s="93" t="str">
        <f>IF(ISNUMBER('Model_ of_individuals'!AR457), 'Model_ of_individuals'!AR457*'Model_ of_individuals'!$K457,"")</f>
        <v/>
      </c>
      <c r="AS440" s="93" t="str">
        <f>IF(ISNUMBER('Model_ of_individuals'!AS457), 'Model_ of_individuals'!AS457*'Model_ of_individuals'!$K457,"")</f>
        <v/>
      </c>
      <c r="AT440" s="93" t="str">
        <f>IF(ISNUMBER('Model_ of_individuals'!AT457), 'Model_ of_individuals'!AT457*'Model_ of_individuals'!$K457,"")</f>
        <v/>
      </c>
      <c r="AU440" s="93" t="str">
        <f>IF(ISNUMBER('Model_ of_individuals'!AU457), 'Model_ of_individuals'!AU457*'Model_ of_individuals'!$K457,"")</f>
        <v/>
      </c>
      <c r="AV440" s="93" t="str">
        <f>IF(ISNUMBER('Model_ of_individuals'!AV457), 'Model_ of_individuals'!AV457*'Model_ of_individuals'!$K457,"")</f>
        <v/>
      </c>
    </row>
    <row r="441" spans="1:49" x14ac:dyDescent="0.25">
      <c r="A441" s="518"/>
      <c r="B441" s="504"/>
      <c r="C441" s="104" t="str">
        <f>IF(AND(ISNUMBER(B425), C436&lt;&gt;"", OR('Cost Inputs'!$H$121&lt;&gt;"", 'Cost Inputs'!$I$121&lt;&gt;"", 'Cost Inputs'!$J$121&lt;&gt;"")), _4_5_3, "")</f>
        <v/>
      </c>
      <c r="D441" s="17" t="str">
        <f>IF(AND(C441&lt;&gt;"", 'Cost Inputs'!$G$121&lt;&gt;""), 'Cost Inputs'!$G$121, "")</f>
        <v/>
      </c>
      <c r="E441" s="17" t="str">
        <f>IF(AND(C441&lt;&gt;"", 'Cost Inputs'!$H$121&lt;&gt;""), 'Cost Inputs'!$H$121, "")</f>
        <v/>
      </c>
      <c r="F441" s="17" t="str">
        <f>IF(AND(C441&lt;&gt;"", 'Cost Inputs'!$I$121&lt;&gt;""), 'Cost Inputs'!$I$121, "")</f>
        <v/>
      </c>
      <c r="G441" s="105" t="str">
        <f t="shared" si="32"/>
        <v/>
      </c>
      <c r="H441" s="17" t="str">
        <f>IF(AND(C441&lt;&gt;"", 'Cost Inputs'!$J$121&lt;&gt;""), 'Cost Inputs'!$J$121, "")</f>
        <v/>
      </c>
      <c r="I441" s="17" t="str">
        <f>IF($C441&lt;&gt;"", IF(AND($E441&lt;&gt;"", H441&lt;&gt;""), H441/$E441, 0),"")</f>
        <v/>
      </c>
      <c r="J441" s="17" t="str">
        <f>IF(AND(C441&lt;&gt;"",('Cost Inputs'!$I$121+'Cost Inputs'!$J$121+'Cost Inputs'!$K$121)&gt;0), 'Cost Inputs'!$I$121+'Cost Inputs'!$J$121+'Cost Inputs'!$K$121, "")</f>
        <v/>
      </c>
      <c r="K441" s="17" t="str">
        <f>IF($C441&lt;&gt;"", IF(AND($E441&lt;&gt;"", J441&lt;&gt;""), J441/$E441, 0),"")</f>
        <v/>
      </c>
      <c r="L441" s="525"/>
      <c r="M441" s="525"/>
      <c r="U441" s="17" t="str">
        <f>IF(ISNUMBER('Model_ of_individuals'!U458), 'Model_ of_individuals'!U458*'Model_ of_individuals'!$K458,"")</f>
        <v/>
      </c>
      <c r="V441" s="17" t="str">
        <f>IF(ISNUMBER('Model_ of_individuals'!V458), 'Model_ of_individuals'!V458*'Model_ of_individuals'!$K458,"")</f>
        <v/>
      </c>
      <c r="W441" s="17" t="str">
        <f>IF(ISNUMBER('Model_ of_individuals'!W458), 'Model_ of_individuals'!W458*'Model_ of_individuals'!$K458,"")</f>
        <v/>
      </c>
      <c r="X441" s="17" t="str">
        <f>IF(ISNUMBER('Model_ of_individuals'!X458), 'Model_ of_individuals'!X458*'Model_ of_individuals'!$K458,"")</f>
        <v/>
      </c>
      <c r="Y441" s="17" t="str">
        <f>IF(ISNUMBER('Model_ of_individuals'!Y458), 'Model_ of_individuals'!Y458*'Model_ of_individuals'!$K458,"")</f>
        <v/>
      </c>
      <c r="Z441" s="17" t="str">
        <f>IF(ISNUMBER('Model_ of_individuals'!Z458), 'Model_ of_individuals'!Z458*'Model_ of_individuals'!$K458,"")</f>
        <v/>
      </c>
      <c r="AA441" s="17" t="str">
        <f>IF(ISNUMBER('Model_ of_individuals'!AA458), 'Model_ of_individuals'!AA458*'Model_ of_individuals'!$K458,"")</f>
        <v/>
      </c>
      <c r="AB441" s="17" t="str">
        <f>IF(ISNUMBER('Model_ of_individuals'!AB458), 'Model_ of_individuals'!AB458*'Model_ of_individuals'!$K458,"")</f>
        <v/>
      </c>
      <c r="AC441" s="17" t="str">
        <f>IF(ISNUMBER('Model_ of_individuals'!AC458), 'Model_ of_individuals'!AC458*'Model_ of_individuals'!$K458,"")</f>
        <v/>
      </c>
      <c r="AD441" s="17" t="str">
        <f>IF(ISNUMBER('Model_ of_individuals'!AD458), 'Model_ of_individuals'!AD458*'Model_ of_individuals'!$K458,"")</f>
        <v/>
      </c>
      <c r="AE441" s="17" t="str">
        <f>IF(ISNUMBER('Model_ of_individuals'!AE458), 'Model_ of_individuals'!AE458*'Model_ of_individuals'!$K458,"")</f>
        <v/>
      </c>
      <c r="AF441" s="17" t="str">
        <f>IF(ISNUMBER('Model_ of_individuals'!AF458), 'Model_ of_individuals'!AF458*'Model_ of_individuals'!$K458,"")</f>
        <v/>
      </c>
      <c r="AG441" s="17" t="str">
        <f>IF(ISNUMBER('Model_ of_individuals'!AG458), 'Model_ of_individuals'!AG458*'Model_ of_individuals'!$K458,"")</f>
        <v/>
      </c>
      <c r="AH441" s="17" t="str">
        <f>IF(ISNUMBER('Model_ of_individuals'!AH458), 'Model_ of_individuals'!AH458*'Model_ of_individuals'!$K458,"")</f>
        <v/>
      </c>
      <c r="AI441" s="17" t="str">
        <f>IF(ISNUMBER('Model_ of_individuals'!AI458), 'Model_ of_individuals'!AI458*'Model_ of_individuals'!$K458,"")</f>
        <v/>
      </c>
      <c r="AJ441" s="17" t="str">
        <f>IF(ISNUMBER('Model_ of_individuals'!AJ458), 'Model_ of_individuals'!AJ458*'Model_ of_individuals'!$K458,"")</f>
        <v/>
      </c>
      <c r="AK441" s="17" t="str">
        <f>IF(ISNUMBER('Model_ of_individuals'!AK458), 'Model_ of_individuals'!AK458*'Model_ of_individuals'!$K458,"")</f>
        <v/>
      </c>
      <c r="AL441" s="17" t="str">
        <f>IF(ISNUMBER('Model_ of_individuals'!AL458), 'Model_ of_individuals'!AL458*'Model_ of_individuals'!$K458,"")</f>
        <v/>
      </c>
      <c r="AM441" s="17" t="str">
        <f>IF(ISNUMBER('Model_ of_individuals'!AM458), 'Model_ of_individuals'!AM458*'Model_ of_individuals'!$K458,"")</f>
        <v/>
      </c>
      <c r="AN441" s="17" t="str">
        <f>IF(ISNUMBER('Model_ of_individuals'!AN458), 'Model_ of_individuals'!AN458*'Model_ of_individuals'!$K458,"")</f>
        <v/>
      </c>
      <c r="AO441" s="17" t="str">
        <f>IF(ISNUMBER('Model_ of_individuals'!AO458), 'Model_ of_individuals'!AO458*'Model_ of_individuals'!$K458,"")</f>
        <v/>
      </c>
      <c r="AP441" s="17" t="str">
        <f>IF(ISNUMBER('Model_ of_individuals'!AP458), 'Model_ of_individuals'!AP458*'Model_ of_individuals'!$K458,"")</f>
        <v/>
      </c>
      <c r="AQ441" s="17" t="str">
        <f>IF(ISNUMBER('Model_ of_individuals'!AQ458), 'Model_ of_individuals'!AQ458*'Model_ of_individuals'!$K458,"")</f>
        <v/>
      </c>
      <c r="AR441" s="17" t="str">
        <f>IF(ISNUMBER('Model_ of_individuals'!AR458), 'Model_ of_individuals'!AR458*'Model_ of_individuals'!$K458,"")</f>
        <v/>
      </c>
      <c r="AS441" s="17" t="str">
        <f>IF(ISNUMBER('Model_ of_individuals'!AS458), 'Model_ of_individuals'!AS458*'Model_ of_individuals'!$K458,"")</f>
        <v/>
      </c>
      <c r="AT441" s="17" t="str">
        <f>IF(ISNUMBER('Model_ of_individuals'!AT458), 'Model_ of_individuals'!AT458*'Model_ of_individuals'!$K458,"")</f>
        <v/>
      </c>
      <c r="AU441" s="17" t="str">
        <f>IF(ISNUMBER('Model_ of_individuals'!AU458), 'Model_ of_individuals'!AU458*'Model_ of_individuals'!$K458,"")</f>
        <v/>
      </c>
      <c r="AV441" s="17" t="str">
        <f>IF(ISNUMBER('Model_ of_individuals'!AV458), 'Model_ of_individuals'!AV458*'Model_ of_individuals'!$K458,"")</f>
        <v/>
      </c>
    </row>
    <row r="442" spans="1:49" x14ac:dyDescent="0.25">
      <c r="A442" s="518"/>
      <c r="B442" s="504"/>
      <c r="C442" s="107" t="str">
        <f>IF(AND(ISNUMBER(B425), C436&lt;&gt;"", OR('Cost Inputs'!$H$122&lt;&gt;"", 'Cost Inputs'!$I$122&lt;&gt;"", 'Cost Inputs'!$J$122&lt;&gt;"")), _4_5_2, "")</f>
        <v/>
      </c>
      <c r="D442" s="93" t="str">
        <f>IF(AND(C442&lt;&gt;"", 'Cost Inputs'!$G$122&lt;&gt;""), 'Cost Inputs'!$G$122, "")</f>
        <v/>
      </c>
      <c r="E442" s="93" t="str">
        <f>IF(AND(C442&lt;&gt;"", 'Cost Inputs'!$H$122&lt;&gt;""), 'Cost Inputs'!$H$122, "")</f>
        <v/>
      </c>
      <c r="F442" s="93" t="str">
        <f>IF(AND(C442&lt;&gt;"", 'Cost Inputs'!$I$122&lt;&gt;""), 'Cost Inputs'!$I$122, "")</f>
        <v/>
      </c>
      <c r="G442" s="108" t="str">
        <f t="shared" si="32"/>
        <v/>
      </c>
      <c r="H442" s="93" t="str">
        <f>IF(AND(C442&lt;&gt;"", 'Cost Inputs'!$J$122&lt;&gt;""), 'Cost Inputs'!$J$122, "")</f>
        <v/>
      </c>
      <c r="I442" s="93" t="str">
        <f>IF($C442&lt;&gt;"", IF(AND($E442&lt;&gt;"", H442&lt;&gt;""), H442/$E442, 0),"")</f>
        <v/>
      </c>
      <c r="J442" s="93" t="str">
        <f>IF(AND(C442&lt;&gt;"",('Cost Inputs'!$I$122+'Cost Inputs'!$J$122+'Cost Inputs'!$K$122)&gt;0), 'Cost Inputs'!$I$122+'Cost Inputs'!$J$122+'Cost Inputs'!$K$122, "")</f>
        <v/>
      </c>
      <c r="K442" s="93" t="str">
        <f>IF($C442&lt;&gt;"", IF(AND($E442&lt;&gt;"", J442&lt;&gt;""), J442/$E442, 0),"")</f>
        <v/>
      </c>
      <c r="L442" s="525"/>
      <c r="M442" s="525"/>
      <c r="U442" s="93" t="str">
        <f>IF(ISNUMBER('Model_ of_individuals'!U459), 'Model_ of_individuals'!U459*'Model_ of_individuals'!$K459,"")</f>
        <v/>
      </c>
      <c r="V442" s="93" t="str">
        <f>IF(ISNUMBER('Model_ of_individuals'!V459), 'Model_ of_individuals'!V459*'Model_ of_individuals'!$K459,"")</f>
        <v/>
      </c>
      <c r="W442" s="93" t="str">
        <f>IF(ISNUMBER('Model_ of_individuals'!W459), 'Model_ of_individuals'!W459*'Model_ of_individuals'!$K459,"")</f>
        <v/>
      </c>
      <c r="X442" s="93" t="str">
        <f>IF(ISNUMBER('Model_ of_individuals'!X459), 'Model_ of_individuals'!X459*'Model_ of_individuals'!$K459,"")</f>
        <v/>
      </c>
      <c r="Y442" s="93" t="str">
        <f>IF(ISNUMBER('Model_ of_individuals'!Y459), 'Model_ of_individuals'!Y459*'Model_ of_individuals'!$K459,"")</f>
        <v/>
      </c>
      <c r="Z442" s="93" t="str">
        <f>IF(ISNUMBER('Model_ of_individuals'!Z459), 'Model_ of_individuals'!Z459*'Model_ of_individuals'!$K459,"")</f>
        <v/>
      </c>
      <c r="AA442" s="93" t="str">
        <f>IF(ISNUMBER('Model_ of_individuals'!AA459), 'Model_ of_individuals'!AA459*'Model_ of_individuals'!$K459,"")</f>
        <v/>
      </c>
      <c r="AB442" s="93" t="str">
        <f>IF(ISNUMBER('Model_ of_individuals'!AB459), 'Model_ of_individuals'!AB459*'Model_ of_individuals'!$K459,"")</f>
        <v/>
      </c>
      <c r="AC442" s="93" t="str">
        <f>IF(ISNUMBER('Model_ of_individuals'!AC459), 'Model_ of_individuals'!AC459*'Model_ of_individuals'!$K459,"")</f>
        <v/>
      </c>
      <c r="AD442" s="93" t="str">
        <f>IF(ISNUMBER('Model_ of_individuals'!AD459), 'Model_ of_individuals'!AD459*'Model_ of_individuals'!$K459,"")</f>
        <v/>
      </c>
      <c r="AE442" s="93" t="str">
        <f>IF(ISNUMBER('Model_ of_individuals'!AE459), 'Model_ of_individuals'!AE459*'Model_ of_individuals'!$K459,"")</f>
        <v/>
      </c>
      <c r="AF442" s="93" t="str">
        <f>IF(ISNUMBER('Model_ of_individuals'!AF459), 'Model_ of_individuals'!AF459*'Model_ of_individuals'!$K459,"")</f>
        <v/>
      </c>
      <c r="AG442" s="93" t="str">
        <f>IF(ISNUMBER('Model_ of_individuals'!AG459), 'Model_ of_individuals'!AG459*'Model_ of_individuals'!$K459,"")</f>
        <v/>
      </c>
      <c r="AH442" s="93" t="str">
        <f>IF(ISNUMBER('Model_ of_individuals'!AH459), 'Model_ of_individuals'!AH459*'Model_ of_individuals'!$K459,"")</f>
        <v/>
      </c>
      <c r="AI442" s="93" t="str">
        <f>IF(ISNUMBER('Model_ of_individuals'!AI459), 'Model_ of_individuals'!AI459*'Model_ of_individuals'!$K459,"")</f>
        <v/>
      </c>
      <c r="AJ442" s="93" t="str">
        <f>IF(ISNUMBER('Model_ of_individuals'!AJ459), 'Model_ of_individuals'!AJ459*'Model_ of_individuals'!$K459,"")</f>
        <v/>
      </c>
      <c r="AK442" s="93" t="str">
        <f>IF(ISNUMBER('Model_ of_individuals'!AK459), 'Model_ of_individuals'!AK459*'Model_ of_individuals'!$K459,"")</f>
        <v/>
      </c>
      <c r="AL442" s="93" t="str">
        <f>IF(ISNUMBER('Model_ of_individuals'!AL459), 'Model_ of_individuals'!AL459*'Model_ of_individuals'!$K459,"")</f>
        <v/>
      </c>
      <c r="AM442" s="93" t="str">
        <f>IF(ISNUMBER('Model_ of_individuals'!AM459), 'Model_ of_individuals'!AM459*'Model_ of_individuals'!$K459,"")</f>
        <v/>
      </c>
      <c r="AN442" s="93" t="str">
        <f>IF(ISNUMBER('Model_ of_individuals'!AN459), 'Model_ of_individuals'!AN459*'Model_ of_individuals'!$K459,"")</f>
        <v/>
      </c>
      <c r="AO442" s="93" t="str">
        <f>IF(ISNUMBER('Model_ of_individuals'!AO459), 'Model_ of_individuals'!AO459*'Model_ of_individuals'!$K459,"")</f>
        <v/>
      </c>
      <c r="AP442" s="93" t="str">
        <f>IF(ISNUMBER('Model_ of_individuals'!AP459), 'Model_ of_individuals'!AP459*'Model_ of_individuals'!$K459,"")</f>
        <v/>
      </c>
      <c r="AQ442" s="93" t="str">
        <f>IF(ISNUMBER('Model_ of_individuals'!AQ459), 'Model_ of_individuals'!AQ459*'Model_ of_individuals'!$K459,"")</f>
        <v/>
      </c>
      <c r="AR442" s="93" t="str">
        <f>IF(ISNUMBER('Model_ of_individuals'!AR459), 'Model_ of_individuals'!AR459*'Model_ of_individuals'!$K459,"")</f>
        <v/>
      </c>
      <c r="AS442" s="93" t="str">
        <f>IF(ISNUMBER('Model_ of_individuals'!AS459), 'Model_ of_individuals'!AS459*'Model_ of_individuals'!$K459,"")</f>
        <v/>
      </c>
      <c r="AT442" s="93" t="str">
        <f>IF(ISNUMBER('Model_ of_individuals'!AT459), 'Model_ of_individuals'!AT459*'Model_ of_individuals'!$K459,"")</f>
        <v/>
      </c>
      <c r="AU442" s="93" t="str">
        <f>IF(ISNUMBER('Model_ of_individuals'!AU459), 'Model_ of_individuals'!AU459*'Model_ of_individuals'!$K459,"")</f>
        <v/>
      </c>
      <c r="AV442" s="93" t="str">
        <f>IF(ISNUMBER('Model_ of_individuals'!AV459), 'Model_ of_individuals'!AV459*'Model_ of_individuals'!$K459,"")</f>
        <v/>
      </c>
    </row>
    <row r="443" spans="1:49" x14ac:dyDescent="0.25">
      <c r="A443" s="518"/>
      <c r="B443" s="504"/>
      <c r="C443" s="104" t="str">
        <f>IF(AND(ISNUMBER(B425), C436&lt;&gt;"", OR('Cost Inputs'!$H$123&lt;&gt;"", 'Cost Inputs'!$I$123&lt;&gt;"", 'Cost Inputs'!$J$123&lt;&gt;"")), _4_5_3, "")</f>
        <v/>
      </c>
      <c r="D443" s="17" t="str">
        <f>IF(AND(C443&lt;&gt;"", 'Cost Inputs'!$G$123&lt;&gt;""), 'Cost Inputs'!$G$123, "")</f>
        <v/>
      </c>
      <c r="E443" s="17" t="str">
        <f>IF(AND(C443&lt;&gt;"", 'Cost Inputs'!$H$123&lt;&gt;""), 'Cost Inputs'!$H$123, "")</f>
        <v/>
      </c>
      <c r="F443" s="17" t="str">
        <f>IF(AND(C443&lt;&gt;"", 'Cost Inputs'!$I$123&lt;&gt;""), 'Cost Inputs'!$I$123, "")</f>
        <v/>
      </c>
      <c r="G443" s="105" t="str">
        <f t="shared" si="32"/>
        <v/>
      </c>
      <c r="H443" s="17" t="str">
        <f>IF(AND(C443&lt;&gt;"", 'Cost Inputs'!$J$123&lt;&gt;""), 'Cost Inputs'!$J$123, "")</f>
        <v/>
      </c>
      <c r="I443" s="17" t="str">
        <f>IF($C443&lt;&gt;"", IF(AND($E443&lt;&gt;"", H443&lt;&gt;""), H443/$E443, 0),"")</f>
        <v/>
      </c>
      <c r="J443" s="17" t="str">
        <f>IF(AND(C443&lt;&gt;"",('Cost Inputs'!$I$123+'Cost Inputs'!$J$123+'Cost Inputs'!$K$123)&gt;0), 'Cost Inputs'!$I$123+'Cost Inputs'!$J$123+'Cost Inputs'!$K$123, "")</f>
        <v/>
      </c>
      <c r="K443" s="17" t="str">
        <f>IF($C443&lt;&gt;"", IF(AND($E443&lt;&gt;"", J443&lt;&gt;""), J443/$E443, 0),"")</f>
        <v/>
      </c>
      <c r="L443" s="525"/>
      <c r="M443" s="525"/>
      <c r="U443" s="17" t="str">
        <f>IF(ISNUMBER('Model_ of_individuals'!U460), 'Model_ of_individuals'!U460*'Model_ of_individuals'!$K460,"")</f>
        <v/>
      </c>
      <c r="V443" s="17" t="str">
        <f>IF(ISNUMBER('Model_ of_individuals'!V460), 'Model_ of_individuals'!V460*'Model_ of_individuals'!$K460,"")</f>
        <v/>
      </c>
      <c r="W443" s="17" t="str">
        <f>IF(ISNUMBER('Model_ of_individuals'!W460), 'Model_ of_individuals'!W460*'Model_ of_individuals'!$K460,"")</f>
        <v/>
      </c>
      <c r="X443" s="17" t="str">
        <f>IF(ISNUMBER('Model_ of_individuals'!X460), 'Model_ of_individuals'!X460*'Model_ of_individuals'!$K460,"")</f>
        <v/>
      </c>
      <c r="Y443" s="17" t="str">
        <f>IF(ISNUMBER('Model_ of_individuals'!Y460), 'Model_ of_individuals'!Y460*'Model_ of_individuals'!$K460,"")</f>
        <v/>
      </c>
      <c r="Z443" s="17" t="str">
        <f>IF(ISNUMBER('Model_ of_individuals'!Z460), 'Model_ of_individuals'!Z460*'Model_ of_individuals'!$K460,"")</f>
        <v/>
      </c>
      <c r="AA443" s="17" t="str">
        <f>IF(ISNUMBER('Model_ of_individuals'!AA460), 'Model_ of_individuals'!AA460*'Model_ of_individuals'!$K460,"")</f>
        <v/>
      </c>
      <c r="AB443" s="17" t="str">
        <f>IF(ISNUMBER('Model_ of_individuals'!AB460), 'Model_ of_individuals'!AB460*'Model_ of_individuals'!$K460,"")</f>
        <v/>
      </c>
      <c r="AC443" s="17" t="str">
        <f>IF(ISNUMBER('Model_ of_individuals'!AC460), 'Model_ of_individuals'!AC460*'Model_ of_individuals'!$K460,"")</f>
        <v/>
      </c>
      <c r="AD443" s="17" t="str">
        <f>IF(ISNUMBER('Model_ of_individuals'!AD460), 'Model_ of_individuals'!AD460*'Model_ of_individuals'!$K460,"")</f>
        <v/>
      </c>
      <c r="AE443" s="17" t="str">
        <f>IF(ISNUMBER('Model_ of_individuals'!AE460), 'Model_ of_individuals'!AE460*'Model_ of_individuals'!$K460,"")</f>
        <v/>
      </c>
      <c r="AF443" s="17" t="str">
        <f>IF(ISNUMBER('Model_ of_individuals'!AF460), 'Model_ of_individuals'!AF460*'Model_ of_individuals'!$K460,"")</f>
        <v/>
      </c>
      <c r="AG443" s="17" t="str">
        <f>IF(ISNUMBER('Model_ of_individuals'!AG460), 'Model_ of_individuals'!AG460*'Model_ of_individuals'!$K460,"")</f>
        <v/>
      </c>
      <c r="AH443" s="17" t="str">
        <f>IF(ISNUMBER('Model_ of_individuals'!AH460), 'Model_ of_individuals'!AH460*'Model_ of_individuals'!$K460,"")</f>
        <v/>
      </c>
      <c r="AI443" s="17" t="str">
        <f>IF(ISNUMBER('Model_ of_individuals'!AI460), 'Model_ of_individuals'!AI460*'Model_ of_individuals'!$K460,"")</f>
        <v/>
      </c>
      <c r="AJ443" s="17" t="str">
        <f>IF(ISNUMBER('Model_ of_individuals'!AJ460), 'Model_ of_individuals'!AJ460*'Model_ of_individuals'!$K460,"")</f>
        <v/>
      </c>
      <c r="AK443" s="17" t="str">
        <f>IF(ISNUMBER('Model_ of_individuals'!AK460), 'Model_ of_individuals'!AK460*'Model_ of_individuals'!$K460,"")</f>
        <v/>
      </c>
      <c r="AL443" s="17" t="str">
        <f>IF(ISNUMBER('Model_ of_individuals'!AL460), 'Model_ of_individuals'!AL460*'Model_ of_individuals'!$K460,"")</f>
        <v/>
      </c>
      <c r="AM443" s="17" t="str">
        <f>IF(ISNUMBER('Model_ of_individuals'!AM460), 'Model_ of_individuals'!AM460*'Model_ of_individuals'!$K460,"")</f>
        <v/>
      </c>
      <c r="AN443" s="17" t="str">
        <f>IF(ISNUMBER('Model_ of_individuals'!AN460), 'Model_ of_individuals'!AN460*'Model_ of_individuals'!$K460,"")</f>
        <v/>
      </c>
      <c r="AO443" s="17" t="str">
        <f>IF(ISNUMBER('Model_ of_individuals'!AO460), 'Model_ of_individuals'!AO460*'Model_ of_individuals'!$K460,"")</f>
        <v/>
      </c>
      <c r="AP443" s="17" t="str">
        <f>IF(ISNUMBER('Model_ of_individuals'!AP460), 'Model_ of_individuals'!AP460*'Model_ of_individuals'!$K460,"")</f>
        <v/>
      </c>
      <c r="AQ443" s="17" t="str">
        <f>IF(ISNUMBER('Model_ of_individuals'!AQ460), 'Model_ of_individuals'!AQ460*'Model_ of_individuals'!$K460,"")</f>
        <v/>
      </c>
      <c r="AR443" s="17" t="str">
        <f>IF(ISNUMBER('Model_ of_individuals'!AR460), 'Model_ of_individuals'!AR460*'Model_ of_individuals'!$K460,"")</f>
        <v/>
      </c>
      <c r="AS443" s="17" t="str">
        <f>IF(ISNUMBER('Model_ of_individuals'!AS460), 'Model_ of_individuals'!AS460*'Model_ of_individuals'!$K460,"")</f>
        <v/>
      </c>
      <c r="AT443" s="17" t="str">
        <f>IF(ISNUMBER('Model_ of_individuals'!AT460), 'Model_ of_individuals'!AT460*'Model_ of_individuals'!$K460,"")</f>
        <v/>
      </c>
      <c r="AU443" s="17" t="str">
        <f>IF(ISNUMBER('Model_ of_individuals'!AU460), 'Model_ of_individuals'!AU460*'Model_ of_individuals'!$K460,"")</f>
        <v/>
      </c>
      <c r="AV443" s="17" t="str">
        <f>IF(ISNUMBER('Model_ of_individuals'!AV460), 'Model_ of_individuals'!AV460*'Model_ of_individuals'!$K460,"")</f>
        <v/>
      </c>
    </row>
    <row r="444" spans="1:49" x14ac:dyDescent="0.25">
      <c r="A444" s="518"/>
      <c r="B444" s="504"/>
      <c r="C444" s="110" t="str">
        <f>IF(ISNUMBER(B425), _4_6_0, "")</f>
        <v/>
      </c>
      <c r="D444" s="94" t="str">
        <f>IF(AND(C444&lt;&gt;"", 'Cost Inputs'!$G$124&lt;&gt;""), 'Cost Inputs'!$G$124, "")</f>
        <v/>
      </c>
      <c r="E444" s="94" t="str">
        <f>IF(AND(C444&lt;&gt;"", 'Cost Inputs'!$H$124&lt;&gt;""), 'Cost Inputs'!$H$124, "")</f>
        <v/>
      </c>
      <c r="F444" s="94" t="str">
        <f>IF(AND(C444&lt;&gt;"", 'Cost Inputs'!$I$124&lt;&gt;""), 'Cost Inputs'!$I$124, "")</f>
        <v/>
      </c>
      <c r="G444" s="102" t="str">
        <f t="shared" si="32"/>
        <v/>
      </c>
      <c r="H444" s="94" t="str">
        <f>IF(AND(C444&lt;&gt;"", 'Cost Inputs'!$J$124&lt;&gt;""), 'Cost Inputs'!$J$124, "")</f>
        <v/>
      </c>
      <c r="I444" s="102" t="str">
        <f>IF($C444&lt;&gt;"",IF(AND($E444&lt;&gt;"",H444&lt;&gt;""), H444/$E444, 0),"")</f>
        <v/>
      </c>
      <c r="J444" s="94" t="str">
        <f>IF(AND(C444&lt;&gt;"",('Cost Inputs'!$I$124+'Cost Inputs'!$J$124+'Cost Inputs'!$K$124)&gt;0), 'Cost Inputs'!$I$124+'Cost Inputs'!$J$124+'Cost Inputs'!$K$124, "")</f>
        <v/>
      </c>
      <c r="K444" s="102" t="str">
        <f>IF($C444&lt;&gt;"",IF(AND($E444&lt;&gt;"",J444&lt;&gt;""), J444/$E444, 0),"")</f>
        <v/>
      </c>
      <c r="L444" s="525"/>
      <c r="M444" s="525"/>
      <c r="U444" s="102" t="str">
        <f>IF(ISNUMBER('Model_ of_individuals'!U461), 'Model_ of_individuals'!U461*'Model_ of_individuals'!$K461,"")</f>
        <v/>
      </c>
      <c r="V444" s="102" t="str">
        <f>IF(ISNUMBER('Model_ of_individuals'!V461), 'Model_ of_individuals'!V461*'Model_ of_individuals'!$K461,"")</f>
        <v/>
      </c>
      <c r="W444" s="102" t="str">
        <f>IF(ISNUMBER('Model_ of_individuals'!W461), 'Model_ of_individuals'!W461*'Model_ of_individuals'!$K461,"")</f>
        <v/>
      </c>
      <c r="X444" s="102" t="str">
        <f>IF(ISNUMBER('Model_ of_individuals'!X461), 'Model_ of_individuals'!X461*'Model_ of_individuals'!$K461,"")</f>
        <v/>
      </c>
      <c r="Y444" s="102" t="str">
        <f>IF(ISNUMBER('Model_ of_individuals'!Y461), 'Model_ of_individuals'!Y461*'Model_ of_individuals'!$K461,"")</f>
        <v/>
      </c>
      <c r="Z444" s="102" t="str">
        <f>IF(ISNUMBER('Model_ of_individuals'!Z461), 'Model_ of_individuals'!Z461*'Model_ of_individuals'!$K461,"")</f>
        <v/>
      </c>
      <c r="AA444" s="102" t="str">
        <f>IF(ISNUMBER('Model_ of_individuals'!AA461), 'Model_ of_individuals'!AA461*'Model_ of_individuals'!$K461,"")</f>
        <v/>
      </c>
      <c r="AB444" s="102" t="str">
        <f>IF(ISNUMBER('Model_ of_individuals'!AB461), 'Model_ of_individuals'!AB461*'Model_ of_individuals'!$K461,"")</f>
        <v/>
      </c>
      <c r="AC444" s="102" t="str">
        <f>IF(ISNUMBER('Model_ of_individuals'!AC461), 'Model_ of_individuals'!AC461*'Model_ of_individuals'!$K461,"")</f>
        <v/>
      </c>
      <c r="AD444" s="102" t="str">
        <f>IF(ISNUMBER('Model_ of_individuals'!AD461), 'Model_ of_individuals'!AD461*'Model_ of_individuals'!$K461,"")</f>
        <v/>
      </c>
      <c r="AE444" s="102" t="str">
        <f>IF(ISNUMBER('Model_ of_individuals'!AE461), 'Model_ of_individuals'!AE461*'Model_ of_individuals'!$K461,"")</f>
        <v/>
      </c>
      <c r="AF444" s="102" t="str">
        <f>IF(ISNUMBER('Model_ of_individuals'!AF461), 'Model_ of_individuals'!AF461*'Model_ of_individuals'!$K461,"")</f>
        <v/>
      </c>
      <c r="AG444" s="102" t="str">
        <f>IF(ISNUMBER('Model_ of_individuals'!AG461), 'Model_ of_individuals'!AG461*'Model_ of_individuals'!$K461,"")</f>
        <v/>
      </c>
      <c r="AH444" s="102" t="str">
        <f>IF(ISNUMBER('Model_ of_individuals'!AH461), 'Model_ of_individuals'!AH461*'Model_ of_individuals'!$K461,"")</f>
        <v/>
      </c>
      <c r="AI444" s="102" t="str">
        <f>IF(ISNUMBER('Model_ of_individuals'!AI461), 'Model_ of_individuals'!AI461*'Model_ of_individuals'!$K461,"")</f>
        <v/>
      </c>
      <c r="AJ444" s="102" t="str">
        <f>IF(ISNUMBER('Model_ of_individuals'!AJ461), 'Model_ of_individuals'!AJ461*'Model_ of_individuals'!$K461,"")</f>
        <v/>
      </c>
      <c r="AK444" s="102" t="str">
        <f>IF(ISNUMBER('Model_ of_individuals'!AK461), 'Model_ of_individuals'!AK461*'Model_ of_individuals'!$K461,"")</f>
        <v/>
      </c>
      <c r="AL444" s="102" t="str">
        <f>IF(ISNUMBER('Model_ of_individuals'!AL461), 'Model_ of_individuals'!AL461*'Model_ of_individuals'!$K461,"")</f>
        <v/>
      </c>
      <c r="AM444" s="102" t="str">
        <f>IF(ISNUMBER('Model_ of_individuals'!AM461), 'Model_ of_individuals'!AM461*'Model_ of_individuals'!$K461,"")</f>
        <v/>
      </c>
      <c r="AN444" s="102" t="str">
        <f>IF(ISNUMBER('Model_ of_individuals'!AN461), 'Model_ of_individuals'!AN461*'Model_ of_individuals'!$K461,"")</f>
        <v/>
      </c>
      <c r="AO444" s="102" t="str">
        <f>IF(ISNUMBER('Model_ of_individuals'!AO461), 'Model_ of_individuals'!AO461*'Model_ of_individuals'!$K461,"")</f>
        <v/>
      </c>
      <c r="AP444" s="102" t="str">
        <f>IF(ISNUMBER('Model_ of_individuals'!AP461), 'Model_ of_individuals'!AP461*'Model_ of_individuals'!$K461,"")</f>
        <v/>
      </c>
      <c r="AQ444" s="102" t="str">
        <f>IF(ISNUMBER('Model_ of_individuals'!AQ461), 'Model_ of_individuals'!AQ461*'Model_ of_individuals'!$K461,"")</f>
        <v/>
      </c>
      <c r="AR444" s="102" t="str">
        <f>IF(ISNUMBER('Model_ of_individuals'!AR461), 'Model_ of_individuals'!AR461*'Model_ of_individuals'!$K461,"")</f>
        <v/>
      </c>
      <c r="AS444" s="102" t="str">
        <f>IF(ISNUMBER('Model_ of_individuals'!AS461), 'Model_ of_individuals'!AS461*'Model_ of_individuals'!$K461,"")</f>
        <v/>
      </c>
      <c r="AT444" s="102" t="str">
        <f>IF(ISNUMBER('Model_ of_individuals'!AT461), 'Model_ of_individuals'!AT461*'Model_ of_individuals'!$K461,"")</f>
        <v/>
      </c>
      <c r="AU444" s="102" t="str">
        <f>IF(ISNUMBER('Model_ of_individuals'!AU461), 'Model_ of_individuals'!AU461*'Model_ of_individuals'!$K461,"")</f>
        <v/>
      </c>
      <c r="AV444" s="102" t="str">
        <f>IF(ISNUMBER('Model_ of_individuals'!AV461), 'Model_ of_individuals'!AV461*'Model_ of_individuals'!$K461,"")</f>
        <v/>
      </c>
    </row>
    <row r="445" spans="1:49" x14ac:dyDescent="0.25">
      <c r="A445" s="518"/>
      <c r="B445" s="504"/>
      <c r="C445" s="104" t="str">
        <f>IF(AND(ISNUMBER(B425), OR('Cost Inputs'!$H$125&lt;&gt;"", 'Cost Inputs'!$I$125&lt;&gt;"", 'Cost Inputs'!$J$125&lt;&gt;"")), _4_5_3, "")</f>
        <v/>
      </c>
      <c r="D445" s="17" t="str">
        <f>IF(AND(C445&lt;&gt;"", 'Cost Inputs'!$G$125&lt;&gt;""), 'Cost Inputs'!$G$125, "")</f>
        <v/>
      </c>
      <c r="E445" s="17" t="str">
        <f>IF(AND(C445&lt;&gt;"", 'Cost Inputs'!$H$125&lt;&gt;""), 'Cost Inputs'!$H$125, "")</f>
        <v/>
      </c>
      <c r="F445" s="17" t="str">
        <f>IF(AND(C445&lt;&gt;"", 'Cost Inputs'!$I$125&lt;&gt;""), 'Cost Inputs'!$I$125, "")</f>
        <v/>
      </c>
      <c r="G445" s="105" t="str">
        <f t="shared" si="32"/>
        <v/>
      </c>
      <c r="H445" s="17" t="str">
        <f>IF(AND(C445&lt;&gt;"", 'Cost Inputs'!$J$125&lt;&gt;""), 'Cost Inputs'!$J$125, "")</f>
        <v/>
      </c>
      <c r="I445" s="17" t="str">
        <f>IF($C445&lt;&gt;"", IF(AND($E445&lt;&gt;"", H445&lt;&gt;""), H445/$E445, 0),"")</f>
        <v/>
      </c>
      <c r="J445" s="17" t="str">
        <f>IF(AND(C445&lt;&gt;"",('Cost Inputs'!$I$125+'Cost Inputs'!$J$125+'Cost Inputs'!$K$125)&gt;0), 'Cost Inputs'!$I$125+'Cost Inputs'!$J$125+'Cost Inputs'!$K$125, "")</f>
        <v/>
      </c>
      <c r="K445" s="17" t="str">
        <f>IF($C445&lt;&gt;"", IF(AND($E445&lt;&gt;"", J445&lt;&gt;""), J445/$E445, 0),"")</f>
        <v/>
      </c>
      <c r="L445" s="525"/>
      <c r="M445" s="525"/>
      <c r="U445" s="17" t="str">
        <f>IF(ISNUMBER('Model_ of_individuals'!U462), 'Model_ of_individuals'!U462*'Model_ of_individuals'!$K462,"")</f>
        <v/>
      </c>
      <c r="V445" s="17" t="str">
        <f>IF(ISNUMBER('Model_ of_individuals'!V462), 'Model_ of_individuals'!V462*'Model_ of_individuals'!$K462,"")</f>
        <v/>
      </c>
      <c r="W445" s="17" t="str">
        <f>IF(ISNUMBER('Model_ of_individuals'!W462), 'Model_ of_individuals'!W462*'Model_ of_individuals'!$K462,"")</f>
        <v/>
      </c>
      <c r="X445" s="17" t="str">
        <f>IF(ISNUMBER('Model_ of_individuals'!X462), 'Model_ of_individuals'!X462*'Model_ of_individuals'!$K462,"")</f>
        <v/>
      </c>
      <c r="Y445" s="17" t="str">
        <f>IF(ISNUMBER('Model_ of_individuals'!Y462), 'Model_ of_individuals'!Y462*'Model_ of_individuals'!$K462,"")</f>
        <v/>
      </c>
      <c r="Z445" s="17" t="str">
        <f>IF(ISNUMBER('Model_ of_individuals'!Z462), 'Model_ of_individuals'!Z462*'Model_ of_individuals'!$K462,"")</f>
        <v/>
      </c>
      <c r="AA445" s="17" t="str">
        <f>IF(ISNUMBER('Model_ of_individuals'!AA462), 'Model_ of_individuals'!AA462*'Model_ of_individuals'!$K462,"")</f>
        <v/>
      </c>
      <c r="AB445" s="17" t="str">
        <f>IF(ISNUMBER('Model_ of_individuals'!AB462), 'Model_ of_individuals'!AB462*'Model_ of_individuals'!$K462,"")</f>
        <v/>
      </c>
      <c r="AC445" s="17" t="str">
        <f>IF(ISNUMBER('Model_ of_individuals'!AC462), 'Model_ of_individuals'!AC462*'Model_ of_individuals'!$K462,"")</f>
        <v/>
      </c>
      <c r="AD445" s="17" t="str">
        <f>IF(ISNUMBER('Model_ of_individuals'!AD462), 'Model_ of_individuals'!AD462*'Model_ of_individuals'!$K462,"")</f>
        <v/>
      </c>
      <c r="AE445" s="17" t="str">
        <f>IF(ISNUMBER('Model_ of_individuals'!AE462), 'Model_ of_individuals'!AE462*'Model_ of_individuals'!$K462,"")</f>
        <v/>
      </c>
      <c r="AF445" s="17" t="str">
        <f>IF(ISNUMBER('Model_ of_individuals'!AF462), 'Model_ of_individuals'!AF462*'Model_ of_individuals'!$K462,"")</f>
        <v/>
      </c>
      <c r="AG445" s="17" t="str">
        <f>IF(ISNUMBER('Model_ of_individuals'!AG462), 'Model_ of_individuals'!AG462*'Model_ of_individuals'!$K462,"")</f>
        <v/>
      </c>
      <c r="AH445" s="17" t="str">
        <f>IF(ISNUMBER('Model_ of_individuals'!AH462), 'Model_ of_individuals'!AH462*'Model_ of_individuals'!$K462,"")</f>
        <v/>
      </c>
      <c r="AI445" s="17" t="str">
        <f>IF(ISNUMBER('Model_ of_individuals'!AI462), 'Model_ of_individuals'!AI462*'Model_ of_individuals'!$K462,"")</f>
        <v/>
      </c>
      <c r="AJ445" s="17" t="str">
        <f>IF(ISNUMBER('Model_ of_individuals'!AJ462), 'Model_ of_individuals'!AJ462*'Model_ of_individuals'!$K462,"")</f>
        <v/>
      </c>
      <c r="AK445" s="17" t="str">
        <f>IF(ISNUMBER('Model_ of_individuals'!AK462), 'Model_ of_individuals'!AK462*'Model_ of_individuals'!$K462,"")</f>
        <v/>
      </c>
      <c r="AL445" s="17" t="str">
        <f>IF(ISNUMBER('Model_ of_individuals'!AL462), 'Model_ of_individuals'!AL462*'Model_ of_individuals'!$K462,"")</f>
        <v/>
      </c>
      <c r="AM445" s="17" t="str">
        <f>IF(ISNUMBER('Model_ of_individuals'!AM462), 'Model_ of_individuals'!AM462*'Model_ of_individuals'!$K462,"")</f>
        <v/>
      </c>
      <c r="AN445" s="17" t="str">
        <f>IF(ISNUMBER('Model_ of_individuals'!AN462), 'Model_ of_individuals'!AN462*'Model_ of_individuals'!$K462,"")</f>
        <v/>
      </c>
      <c r="AO445" s="17" t="str">
        <f>IF(ISNUMBER('Model_ of_individuals'!AO462), 'Model_ of_individuals'!AO462*'Model_ of_individuals'!$K462,"")</f>
        <v/>
      </c>
      <c r="AP445" s="17" t="str">
        <f>IF(ISNUMBER('Model_ of_individuals'!AP462), 'Model_ of_individuals'!AP462*'Model_ of_individuals'!$K462,"")</f>
        <v/>
      </c>
      <c r="AQ445" s="17" t="str">
        <f>IF(ISNUMBER('Model_ of_individuals'!AQ462), 'Model_ of_individuals'!AQ462*'Model_ of_individuals'!$K462,"")</f>
        <v/>
      </c>
      <c r="AR445" s="17" t="str">
        <f>IF(ISNUMBER('Model_ of_individuals'!AR462), 'Model_ of_individuals'!AR462*'Model_ of_individuals'!$K462,"")</f>
        <v/>
      </c>
      <c r="AS445" s="17" t="str">
        <f>IF(ISNUMBER('Model_ of_individuals'!AS462), 'Model_ of_individuals'!AS462*'Model_ of_individuals'!$K462,"")</f>
        <v/>
      </c>
      <c r="AT445" s="17" t="str">
        <f>IF(ISNUMBER('Model_ of_individuals'!AT462), 'Model_ of_individuals'!AT462*'Model_ of_individuals'!$K462,"")</f>
        <v/>
      </c>
      <c r="AU445" s="17" t="str">
        <f>IF(ISNUMBER('Model_ of_individuals'!AU462), 'Model_ of_individuals'!AU462*'Model_ of_individuals'!$K462,"")</f>
        <v/>
      </c>
      <c r="AV445" s="17" t="str">
        <f>IF(ISNUMBER('Model_ of_individuals'!AV462), 'Model_ of_individuals'!AV462*'Model_ of_individuals'!$K462,"")</f>
        <v/>
      </c>
    </row>
    <row r="446" spans="1:49" ht="15.75" thickBot="1" x14ac:dyDescent="0.3">
      <c r="A446" s="518"/>
      <c r="B446" s="504"/>
      <c r="C446" s="107" t="str">
        <f>IF(AND(ISNUMBER(B425), OR('Cost Inputs'!$H$126&lt;&gt;"", 'Cost Inputs'!$I$126&lt;&gt;"", 'Cost Inputs'!$J$126&lt;&gt;"")), _4_5_2, "")</f>
        <v/>
      </c>
      <c r="D446" s="93" t="str">
        <f>IF(AND(C446&lt;&gt;"", 'Cost Inputs'!$G$126&lt;&gt;""), 'Cost Inputs'!$G$126, "")</f>
        <v/>
      </c>
      <c r="E446" s="93" t="str">
        <f>IF(AND(C446&lt;&gt;"", 'Cost Inputs'!$H$126&lt;&gt;""), 'Cost Inputs'!$H$126, "")</f>
        <v/>
      </c>
      <c r="F446" s="93" t="str">
        <f>IF(AND(C446&lt;&gt;"", 'Cost Inputs'!$I$126&lt;&gt;""), 'Cost Inputs'!$I$126, "")</f>
        <v/>
      </c>
      <c r="G446" s="108" t="str">
        <f t="shared" si="32"/>
        <v/>
      </c>
      <c r="H446" s="93" t="str">
        <f>IF(AND(C446&lt;&gt;"", 'Cost Inputs'!$J$126&lt;&gt;""), 'Cost Inputs'!$J$126, "")</f>
        <v/>
      </c>
      <c r="I446" s="93" t="str">
        <f>IF($C446&lt;&gt;"", IF(AND($E446&lt;&gt;"", H446&lt;&gt;""), H446/$E446, 0),"")</f>
        <v/>
      </c>
      <c r="J446" s="93" t="str">
        <f>IF(AND(C446&lt;&gt;"",('Cost Inputs'!$I$126+'Cost Inputs'!$J$126+'Cost Inputs'!$K$126)&gt;0), 'Cost Inputs'!$I$126+'Cost Inputs'!$J$126+'Cost Inputs'!$K$126, "")</f>
        <v/>
      </c>
      <c r="K446" s="93" t="str">
        <f>IF($C446&lt;&gt;"", IF(AND($E446&lt;&gt;"", J446&lt;&gt;""), J446/$E446, 0),"")</f>
        <v/>
      </c>
      <c r="L446" s="525"/>
      <c r="M446" s="525"/>
      <c r="U446" s="95" t="str">
        <f>IF(ISNUMBER('Model_ of_individuals'!U463), 'Model_ of_individuals'!U463*'Model_ of_individuals'!$K463,"")</f>
        <v/>
      </c>
      <c r="V446" s="95" t="str">
        <f>IF(ISNUMBER('Model_ of_individuals'!V463), 'Model_ of_individuals'!V463*'Model_ of_individuals'!$K463,"")</f>
        <v/>
      </c>
      <c r="W446" s="95" t="str">
        <f>IF(ISNUMBER('Model_ of_individuals'!W463), 'Model_ of_individuals'!W463*'Model_ of_individuals'!$K463,"")</f>
        <v/>
      </c>
      <c r="X446" s="95" t="str">
        <f>IF(ISNUMBER('Model_ of_individuals'!X463), 'Model_ of_individuals'!X463*'Model_ of_individuals'!$K463,"")</f>
        <v/>
      </c>
      <c r="Y446" s="95" t="str">
        <f>IF(ISNUMBER('Model_ of_individuals'!Y463), 'Model_ of_individuals'!Y463*'Model_ of_individuals'!$K463,"")</f>
        <v/>
      </c>
      <c r="Z446" s="95" t="str">
        <f>IF(ISNUMBER('Model_ of_individuals'!Z463), 'Model_ of_individuals'!Z463*'Model_ of_individuals'!$K463,"")</f>
        <v/>
      </c>
      <c r="AA446" s="95" t="str">
        <f>IF(ISNUMBER('Model_ of_individuals'!AA463), 'Model_ of_individuals'!AA463*'Model_ of_individuals'!$K463,"")</f>
        <v/>
      </c>
      <c r="AB446" s="95" t="str">
        <f>IF(ISNUMBER('Model_ of_individuals'!AB463), 'Model_ of_individuals'!AB463*'Model_ of_individuals'!$K463,"")</f>
        <v/>
      </c>
      <c r="AC446" s="95" t="str">
        <f>IF(ISNUMBER('Model_ of_individuals'!AC463), 'Model_ of_individuals'!AC463*'Model_ of_individuals'!$K463,"")</f>
        <v/>
      </c>
      <c r="AD446" s="95" t="str">
        <f>IF(ISNUMBER('Model_ of_individuals'!AD463), 'Model_ of_individuals'!AD463*'Model_ of_individuals'!$K463,"")</f>
        <v/>
      </c>
      <c r="AE446" s="95" t="str">
        <f>IF(ISNUMBER('Model_ of_individuals'!AE463), 'Model_ of_individuals'!AE463*'Model_ of_individuals'!$K463,"")</f>
        <v/>
      </c>
      <c r="AF446" s="95" t="str">
        <f>IF(ISNUMBER('Model_ of_individuals'!AF463), 'Model_ of_individuals'!AF463*'Model_ of_individuals'!$K463,"")</f>
        <v/>
      </c>
      <c r="AG446" s="95" t="str">
        <f>IF(ISNUMBER('Model_ of_individuals'!AG463), 'Model_ of_individuals'!AG463*'Model_ of_individuals'!$K463,"")</f>
        <v/>
      </c>
      <c r="AH446" s="95" t="str">
        <f>IF(ISNUMBER('Model_ of_individuals'!AH463), 'Model_ of_individuals'!AH463*'Model_ of_individuals'!$K463,"")</f>
        <v/>
      </c>
      <c r="AI446" s="95" t="str">
        <f>IF(ISNUMBER('Model_ of_individuals'!AI463), 'Model_ of_individuals'!AI463*'Model_ of_individuals'!$K463,"")</f>
        <v/>
      </c>
      <c r="AJ446" s="95" t="str">
        <f>IF(ISNUMBER('Model_ of_individuals'!AJ463), 'Model_ of_individuals'!AJ463*'Model_ of_individuals'!$K463,"")</f>
        <v/>
      </c>
      <c r="AK446" s="95" t="str">
        <f>IF(ISNUMBER('Model_ of_individuals'!AK463), 'Model_ of_individuals'!AK463*'Model_ of_individuals'!$K463,"")</f>
        <v/>
      </c>
      <c r="AL446" s="95" t="str">
        <f>IF(ISNUMBER('Model_ of_individuals'!AL463), 'Model_ of_individuals'!AL463*'Model_ of_individuals'!$K463,"")</f>
        <v/>
      </c>
      <c r="AM446" s="95" t="str">
        <f>IF(ISNUMBER('Model_ of_individuals'!AM463), 'Model_ of_individuals'!AM463*'Model_ of_individuals'!$K463,"")</f>
        <v/>
      </c>
      <c r="AN446" s="95" t="str">
        <f>IF(ISNUMBER('Model_ of_individuals'!AN463), 'Model_ of_individuals'!AN463*'Model_ of_individuals'!$K463,"")</f>
        <v/>
      </c>
      <c r="AO446" s="95" t="str">
        <f>IF(ISNUMBER('Model_ of_individuals'!AO463), 'Model_ of_individuals'!AO463*'Model_ of_individuals'!$K463,"")</f>
        <v/>
      </c>
      <c r="AP446" s="95" t="str">
        <f>IF(ISNUMBER('Model_ of_individuals'!AP463), 'Model_ of_individuals'!AP463*'Model_ of_individuals'!$K463,"")</f>
        <v/>
      </c>
      <c r="AQ446" s="95" t="str">
        <f>IF(ISNUMBER('Model_ of_individuals'!AQ463), 'Model_ of_individuals'!AQ463*'Model_ of_individuals'!$K463,"")</f>
        <v/>
      </c>
      <c r="AR446" s="95" t="str">
        <f>IF(ISNUMBER('Model_ of_individuals'!AR463), 'Model_ of_individuals'!AR463*'Model_ of_individuals'!$K463,"")</f>
        <v/>
      </c>
      <c r="AS446" s="95" t="str">
        <f>IF(ISNUMBER('Model_ of_individuals'!AS463), 'Model_ of_individuals'!AS463*'Model_ of_individuals'!$K463,"")</f>
        <v/>
      </c>
      <c r="AT446" s="95" t="str">
        <f>IF(ISNUMBER('Model_ of_individuals'!AT463), 'Model_ of_individuals'!AT463*'Model_ of_individuals'!$K463,"")</f>
        <v/>
      </c>
      <c r="AU446" s="95" t="str">
        <f>IF(ISNUMBER('Model_ of_individuals'!AU463), 'Model_ of_individuals'!AU463*'Model_ of_individuals'!$K463,"")</f>
        <v/>
      </c>
      <c r="AV446" s="95" t="str">
        <f>IF(ISNUMBER('Model_ of_individuals'!AV463), 'Model_ of_individuals'!AV463*'Model_ of_individuals'!$K463,"")</f>
        <v/>
      </c>
    </row>
    <row r="447" spans="1:49" ht="6.6" customHeight="1" thickBot="1" x14ac:dyDescent="0.3">
      <c r="A447" s="213"/>
      <c r="B447" s="282"/>
      <c r="C447" s="283"/>
      <c r="D447" s="114"/>
      <c r="E447" s="114"/>
      <c r="F447" s="114"/>
      <c r="G447" s="284"/>
      <c r="H447" s="114"/>
      <c r="I447" s="114"/>
      <c r="J447" s="114"/>
      <c r="K447" s="114"/>
      <c r="L447" s="285"/>
      <c r="M447" s="285"/>
      <c r="N447" s="99"/>
      <c r="O447" s="99"/>
      <c r="P447" s="99"/>
      <c r="Q447" s="99"/>
      <c r="R447" s="99"/>
      <c r="S447" s="99"/>
      <c r="T447" s="286"/>
      <c r="U447" s="136" t="str">
        <f>IF(ISNUMBER($B$425),
IF(AND(ISNUMBER(T$424), T$424&gt;0),
IF(AND(U$269=123, Cultivar_1_Cohort_Year_Selection=$O$268,Cultivar_2_Cohort_Year_Selection=$O$268,Cultivar_3_Cohort_Year_Selection=$O$268), ROUND(MAX(0,(T$424-('Stage 2 Randomized Selection'!J$2*$M425)) - 3),0),
IF(AND(OR(U$269=123, U$269=12), Cultivar_1_Cohort_Year_Selection=$O$268,Cultivar_2_Cohort_Year_Selection=$O$268),  ROUND(MAX(0,(T$424-('Stage 2 Randomized Selection'!I$2*$M425)) - 2),0),
IF(AND(OR(U$269=123, U$269=13), Cultivar_1_Cohort_Year_Selection=$O$268,Cultivar_3_Cohort_Year_Selection=$O$268), ROUND(MAX(0,(T$424-('Stage 2 Randomized Selection'!I$2*$M425)) - 2),0),
IF(AND(OR(U$269=123, U$269=23), Cultivar_2_Cohort_Year_Selection=$O$268,Cultivar_3_Cohort_Year_Selection=$O$268), ROUND(MAX(0,(T$424-('Stage 2 Randomized Selection'!I$2*$M425)) - 2),0),
IF(AND(OR(U$269=123, U$269=12, U$269=13, U$269=1), Cultivar_1_Cohort_Year_Selection=$O$268), ROUND(MAX(0,(T$424-('Stage 2 Randomized Selection'!I$2*$M425)) - 1),0),
IF(AND(OR(U$269=123, U$269=12, U$269=23, U$269=2), Cultivar_2_Cohort_Year_Selection=$O$268), ROUND(MAX(0,(T$424-('Stage 2 Randomized Selection'!I$2*$M425)) - 1),0),
IF(AND(OR(U$269=123, U$269=13, U$269=23, U$269=3), Cultivar_3_Cohort_Year_Selection=$O$268), ROUND(MAX(0,(T$424-('Stage 2 Randomized Selection'!I$2*$M425)) - 1),0),
ROUND(MAX(0,(T$424-('Stage 2 Randomized Selection'!I$2*$M425))),0)))))))),0),"")</f>
        <v/>
      </c>
      <c r="V447" s="136" t="str">
        <f>IF(ISNUMBER($B$425),
IF(AND(ISNUMBER(U$424), U$424&gt;0),
IF(AND(V$269=123, Cultivar_1_Cohort_Year_Selection=$P$268,Cultivar_2_Cohort_Year_Selection=$P$268,Cultivar_3_Cohort_Year_Selection=$P$268), ROUND(MAX(0,(U$424-('Stage 2 Randomized Selection'!K$2*$M425)) - 3),0),
IF(AND(OR(V$269=123, V$269=12), Cultivar_1_Cohort_Year_Selection=$P$268,Cultivar_2_Cohort_Year_Selection=$P$268),  ROUND(MAX(0,(U$424-('Stage 2 Randomized Selection'!J$2*$M425)) - 2),0),
IF(AND(OR(V$269=123, V$269=13), Cultivar_1_Cohort_Year_Selection=$P$268,Cultivar_3_Cohort_Year_Selection=$P$268), ROUND(MAX(0,(U$424-('Stage 2 Randomized Selection'!J$2*$M425)) - 2),0),
IF(AND(OR(V$269=123, V$269=23), Cultivar_2_Cohort_Year_Selection=$P$268,Cultivar_3_Cohort_Year_Selection=$P$268), ROUND(MAX(0,(U$424-('Stage 2 Randomized Selection'!J$2*$M425)) - 2),0),
IF(AND(OR(V$269=123, V$269=12, V$269=13, V$269=1), Cultivar_1_Cohort_Year_Selection=$P$268), ROUND(MAX(0,(U$424-('Stage 2 Randomized Selection'!J$2*$M425)) - 1),0),
IF(AND(OR(V$269=123, V$269=12, V$269=23, V$269=2), Cultivar_2_Cohort_Year_Selection=$P$268), ROUND(MAX(0,(U$424-('Stage 2 Randomized Selection'!J$2*$M425)) - 1),0),
IF(AND(OR(V$269=123, V$269=13, V$269=23, V$269=3), Cultivar_3_Cohort_Year_Selection=$P$268), ROUND(MAX(0,(U$424-('Stage 2 Randomized Selection'!J$2*$M425)) - 1),0),
ROUND(MAX(0,(U$424-('Stage 2 Randomized Selection'!J$2*$M425))),0)))))))),0),"")</f>
        <v/>
      </c>
      <c r="W447" s="136" t="str">
        <f>IF(ISNUMBER($B$425),
IF(AND(ISNUMBER(V$424), V$424&gt;0),
IF(AND(W$269=123, Cultivar_1_Cohort_Year_Selection=$Q$268,Cultivar_2_Cohort_Year_Selection=$Q$268,Cultivar_3_Cohort_Year_Selection=$Q$268), ROUND(MAX(0,(V$424-('Stage 2 Randomized Selection'!L$2*$M425)) - 3),0),
IF(AND(OR(W$269=123, W$269=12), Cultivar_1_Cohort_Year_Selection=$Q$268,Cultivar_2_Cohort_Year_Selection=$Q$268),  ROUND(MAX(0,(V$424-('Stage 2 Randomized Selection'!K$2*$M425)) - 2),0),
IF(AND(OR(W$269=123, W$269=13), Cultivar_1_Cohort_Year_Selection=$Q$268,Cultivar_3_Cohort_Year_Selection=$Q$268), ROUND(MAX(0,(V$424-('Stage 2 Randomized Selection'!K$2*$M425)) - 2),0),
IF(AND(OR(W$269=123, W$269=23), Cultivar_2_Cohort_Year_Selection=$Q$268,Cultivar_3_Cohort_Year_Selection=$Q$268), ROUND(MAX(0,(V$424-('Stage 2 Randomized Selection'!K$2*$M425)) - 2),0),
IF(AND(OR(W$269=123, W$269=12, W$269=13, W$269=1), Cultivar_1_Cohort_Year_Selection=$Q$268), ROUND(MAX(0,(V$424-('Stage 2 Randomized Selection'!K$2*$M425)) - 1),0),
IF(AND(OR(W$269=123, W$269=12, W$269=23, W$269=2), Cultivar_2_Cohort_Year_Selection=$Q$268), ROUND(MAX(0,(V$424-('Stage 2 Randomized Selection'!K$2*$M425)) - 1),0),
IF(AND(OR(W$269=123, W$269=13, W$269=23, W$269=3), Cultivar_3_Cohort_Year_Selection=$Q$268), ROUND(MAX(0,(V$424-('Stage 2 Randomized Selection'!K$2*$M425)) - 1),0),
ROUND(MAX(0,(V$424-('Stage 2 Randomized Selection'!K$2*$M425))),0)))))))),0),"")</f>
        <v/>
      </c>
      <c r="X447" s="136" t="str">
        <f>IF(ISNUMBER($B$425),
IF(AND(ISNUMBER(W$424), W$424&gt;0),
IF(AND(X$269=123, Cultivar_1_Cohort_Year_Selection=$R$268,Cultivar_2_Cohort_Year_Selection=$R$268,Cultivar_3_Cohort_Year_Selection=$R$268), ROUND(MAX(0,(W$424-('Stage 2 Randomized Selection'!M$2*$M425)) - 3),0),
IF(AND(OR(X$269=123, X$269=12), Cultivar_1_Cohort_Year_Selection=$R$268,Cultivar_2_Cohort_Year_Selection=$R$268),  ROUND(MAX(0,(W$424-('Stage 2 Randomized Selection'!L$2*$M425)) - 2),0),
IF(AND(OR(X$269=123, X$269=13), Cultivar_1_Cohort_Year_Selection=$R$268,Cultivar_3_Cohort_Year_Selection=$R$268), ROUND(MAX(0,(W$424-('Stage 2 Randomized Selection'!L$2*$M425)) - 2),0),
IF(AND(OR(X$269=123, X$269=23), Cultivar_2_Cohort_Year_Selection=$R$268,Cultivar_3_Cohort_Year_Selection=$R$268), ROUND(MAX(0,(W$424-('Stage 2 Randomized Selection'!L$2*$M425)) - 2),0),
IF(AND(OR(X$269=123, X$269=12, X$269=13, X$269=1), Cultivar_1_Cohort_Year_Selection=$R$268), ROUND(MAX(0,(W$424-('Stage 2 Randomized Selection'!L$2*$M425)) - 1),0),
IF(AND(OR(X$269=123, X$269=12, X$269=23, X$269=2), Cultivar_2_Cohort_Year_Selection=$R$268), ROUND(MAX(0,(W$424-('Stage 2 Randomized Selection'!L$2*$M425)) - 1),0),
IF(AND(OR(X$269=123, X$269=13, X$269=23, X$269=3), Cultivar_3_Cohort_Year_Selection=$R$268), ROUND(MAX(0,(W$424-('Stage 2 Randomized Selection'!L$2*$M425)) - 1),0),
ROUND(MAX(0,(W$424-('Stage 2 Randomized Selection'!L$2*$M425))),0)))))))),0),"")</f>
        <v/>
      </c>
      <c r="Y447" s="136" t="str">
        <f>IF(ISNUMBER($B$425),
IF(AND(ISNUMBER(X$424), X$424&gt;0),
IF(AND(Y$269=123, Cultivar_1_Cohort_Year_Selection=$S$268,Cultivar_2_Cohort_Year_Selection=$S$268,Cultivar_3_Cohort_Year_Selection=$S$268), ROUND(MAX(0,(X$424-('Stage 2 Randomized Selection'!N$2*$M425)) - 3),0),
IF(AND(OR(Y$269=123, Y$269=12), Cultivar_1_Cohort_Year_Selection=$S$268,Cultivar_2_Cohort_Year_Selection=$S$268),  ROUND(MAX(0,(X$424-('Stage 2 Randomized Selection'!M$2*$M425)) - 2),0),
IF(AND(OR(Y$269=123, Y$269=13), Cultivar_1_Cohort_Year_Selection=$S$268,Cultivar_3_Cohort_Year_Selection=$S$268), ROUND(MAX(0,(X$424-('Stage 2 Randomized Selection'!M$2*$M425)) - 2),0),
IF(AND(OR(Y$269=123, Y$269=23), Cultivar_2_Cohort_Year_Selection=$S$268,Cultivar_3_Cohort_Year_Selection=$S$268), ROUND(MAX(0,(X$424-('Stage 2 Randomized Selection'!M$2*$M425)) - 2),0),
IF(AND(OR(Y$269=123, Y$269=12, Y$269=13, Y$269=1), Cultivar_1_Cohort_Year_Selection=$S$268), ROUND(MAX(0,(X$424-('Stage 2 Randomized Selection'!M$2*$M425)) - 1),0),
IF(AND(OR(Y$269=123, Y$269=12, Y$269=23, Y$269=2), Cultivar_2_Cohort_Year_Selection=$S$268), ROUND(MAX(0,(X$424-('Stage 2 Randomized Selection'!M$2*$M425)) - 1),0),
IF(AND(OR(Y$269=123, Y$269=13, Y$269=23, Y$269=3), Cultivar_3_Cohort_Year_Selection=$S$268), ROUND(MAX(0,(X$424-('Stage 2 Randomized Selection'!M$2*$M425)) - 1),0),
ROUND(MAX(0,(X$424-('Stage 2 Randomized Selection'!M$2*$M425))),0)))))))),0),"")</f>
        <v/>
      </c>
      <c r="Z447" s="136" t="str">
        <f>IF(ISNUMBER($B$425),
IF(AND(ISNUMBER(Y$424), Y$424&gt;0),
IF(AND(Z$269=123, Cultivar_1_Cohort_Year_Selection=$T$268,Cultivar_2_Cohort_Year_Selection=$T$268,Cultivar_3_Cohort_Year_Selection=$T$268), ROUND(MAX(0,(Y$424-('Stage 2 Randomized Selection'!O$2*$M425)) - 3),0),
IF(AND(OR(Z$269=123, Z$269=12), Cultivar_1_Cohort_Year_Selection=$T$268,Cultivar_2_Cohort_Year_Selection=$T$268),  ROUND(MAX(0,(Y$424-('Stage 2 Randomized Selection'!N$2*$M425)) - 2),0),
IF(AND(OR(Z$269=123, Z$269=13), Cultivar_1_Cohort_Year_Selection=$T$268,Cultivar_3_Cohort_Year_Selection=$T$268), ROUND(MAX(0,(Y$424-('Stage 2 Randomized Selection'!N$2*$M425)) - 2),0),
IF(AND(OR(Z$269=123, Z$269=23), Cultivar_2_Cohort_Year_Selection=$T$268,Cultivar_3_Cohort_Year_Selection=$T$268), ROUND(MAX(0,(Y$424-('Stage 2 Randomized Selection'!N$2*$M425)) - 2),0),
IF(AND(OR(Z$269=123, Z$269=12, Z$269=13, Z$269=1), Cultivar_1_Cohort_Year_Selection=$T$268), ROUND(MAX(0,(Y$424-('Stage 2 Randomized Selection'!N$2*$M425)) - 1),0),
IF(AND(OR(Z$269=123, Z$269=12, Z$269=23, Z$269=2), Cultivar_2_Cohort_Year_Selection=$T$268), ROUND(MAX(0,(Y$424-('Stage 2 Randomized Selection'!N$2*$M425)) - 1),0),
IF(AND(OR(Z$269=123, Z$269=13, Z$269=23, Z$269=3), Cultivar_3_Cohort_Year_Selection=$T$268), ROUND(MAX(0,(Y$424-('Stage 2 Randomized Selection'!N$2*$M425)) - 1),0),
ROUND(MAX(0,(Y$424-('Stage 2 Randomized Selection'!N$2*$M425))),0)))))))),0),"")</f>
        <v/>
      </c>
      <c r="AA447" s="136" t="str">
        <f>IF(ISNUMBER($B$425),
IF(AND(ISNUMBER(Z$424), Z$424&gt;0),
IF(AND(AA$269=123, Cultivar_1_Cohort_Year_Selection=$U$268,Cultivar_2_Cohort_Year_Selection=$U$268,Cultivar_3_Cohort_Year_Selection=$U$268), ROUND(MAX(0,(Z$424-('Stage 2 Randomized Selection'!P$2*$M425)) - 3),0),
IF(AND(OR(AA$269=123, AA$269=12), Cultivar_1_Cohort_Year_Selection=$U$268,Cultivar_2_Cohort_Year_Selection=$U$268),  ROUND(MAX(0,(Z$424-('Stage 2 Randomized Selection'!O$2*$M425)) - 2),0),
IF(AND(OR(AA$269=123, AA$269=13), Cultivar_1_Cohort_Year_Selection=$U$268,Cultivar_3_Cohort_Year_Selection=$U$268), ROUND(MAX(0,(Z$424-('Stage 2 Randomized Selection'!O$2*$M425)) - 2),0),
IF(AND(OR(AA$269=123, AA$269=23), Cultivar_2_Cohort_Year_Selection=$U$268,Cultivar_3_Cohort_Year_Selection=$U$268), ROUND(MAX(0,(Z$424-('Stage 2 Randomized Selection'!O$2*$M425)) - 2),0),
IF(AND(OR(AA$269=123, AA$269=12, AA$269=13, AA$269=1), Cultivar_1_Cohort_Year_Selection=$U$268), ROUND(MAX(0,(Z$424-('Stage 2 Randomized Selection'!O$2*$M425)) - 1),0),
IF(AND(OR(AA$269=123, AA$269=12, AA$269=23, AA$269=2), Cultivar_2_Cohort_Year_Selection=$U$268), ROUND(MAX(0,(Z$424-('Stage 2 Randomized Selection'!O$2*$M425)) - 1),0),
IF(AND(OR(AA$269=123, AA$269=13, AA$269=23, AA$269=3), Cultivar_3_Cohort_Year_Selection=$U$268), ROUND(MAX(0,(Z$424-('Stage 2 Randomized Selection'!O$2*$M425)) - 1),0),
ROUND(MAX(0,(Z$424-('Stage 2 Randomized Selection'!O$2*$M425))),0)))))))),0),"")</f>
        <v/>
      </c>
      <c r="AB447" s="136" t="str">
        <f>IF(ISNUMBER($B$425),
IF(AND(ISNUMBER(AA$424), AA$424&gt;0),
IF(AND(AB$269=123, Cultivar_1_Cohort_Year_Selection=$V$268,Cultivar_2_Cohort_Year_Selection=$V$268,Cultivar_3_Cohort_Year_Selection=$V$268), ROUND(MAX(0,(AA$424-('Stage 2 Randomized Selection'!Q$2*$M425)) - 3),0),
IF(AND(OR(AB$269=123, AB$269=12), Cultivar_1_Cohort_Year_Selection=$V$268,Cultivar_2_Cohort_Year_Selection=$V$268),  ROUND(MAX(0,(AA$424-('Stage 2 Randomized Selection'!P$2*$M425)) - 2),0),
IF(AND(OR(AB$269=123, AB$269=13), Cultivar_1_Cohort_Year_Selection=$V$268,Cultivar_3_Cohort_Year_Selection=$V$268), ROUND(MAX(0,(AA$424-('Stage 2 Randomized Selection'!P$2*$M425)) - 2),0),
IF(AND(OR(AB$269=123, AB$269=23), Cultivar_2_Cohort_Year_Selection=$V$268,Cultivar_3_Cohort_Year_Selection=$V$268), ROUND(MAX(0,(AA$424-('Stage 2 Randomized Selection'!P$2*$M425)) - 2),0),
IF(AND(OR(AB$269=123, AB$269=12, AB$269=13, AB$269=1), Cultivar_1_Cohort_Year_Selection=$V$268), ROUND(MAX(0,(AA$424-('Stage 2 Randomized Selection'!P$2*$M425)) - 1),0),
IF(AND(OR(AB$269=123, AB$269=12, AB$269=23, AB$269=2), Cultivar_2_Cohort_Year_Selection=$V$268), ROUND(MAX(0,(AA$424-('Stage 2 Randomized Selection'!P$2*$M425)) - 1),0),
IF(AND(OR(AB$269=123, AB$269=13, AB$269=23, AB$269=3), Cultivar_3_Cohort_Year_Selection=$V$268), ROUND(MAX(0,(AA$424-('Stage 2 Randomized Selection'!P$2*$M425)) - 1),0),
ROUND(MAX(0,(AA$424-('Stage 2 Randomized Selection'!P$2*$M425))),0)))))))),0),"")</f>
        <v/>
      </c>
      <c r="AC447" s="136" t="str">
        <f>IF(ISNUMBER($B$425),
IF(AND(ISNUMBER(AB$424), AB$424&gt;0),
IF(AND(AC$269=123, Cultivar_1_Cohort_Year_Selection=$W$268,Cultivar_2_Cohort_Year_Selection=$W$268,Cultivar_3_Cohort_Year_Selection=$W$268), ROUND(MAX(0,(AB$424-('Stage 2 Randomized Selection'!R$2*$M425)) - 3),0),
IF(AND(OR(AC$269=123, AC$269=12), Cultivar_1_Cohort_Year_Selection=$W$268,Cultivar_2_Cohort_Year_Selection=$W$268),  ROUND(MAX(0,(AB$424-('Stage 2 Randomized Selection'!Q$2*$M425)) - 2),0),
IF(AND(OR(AC$269=123, AC$269=13), Cultivar_1_Cohort_Year_Selection=$W$268,Cultivar_3_Cohort_Year_Selection=$W$268), ROUND(MAX(0,(AB$424-('Stage 2 Randomized Selection'!Q$2*$M425)) - 2),0),
IF(AND(OR(AC$269=123, AC$269=23), Cultivar_2_Cohort_Year_Selection=$W$268,Cultivar_3_Cohort_Year_Selection=$W$268), ROUND(MAX(0,(AB$424-('Stage 2 Randomized Selection'!Q$2*$M425)) - 2),0),
IF(AND(OR(AC$269=123, AC$269=12, AC$269=13, AC$269=1), Cultivar_1_Cohort_Year_Selection=$W$268), ROUND(MAX(0,(AB$424-('Stage 2 Randomized Selection'!Q$2*$M425)) - 1),0),
IF(AND(OR(AC$269=123, AC$269=12, AC$269=23, AC$269=2), Cultivar_2_Cohort_Year_Selection=$W$268), ROUND(MAX(0,(AB$424-('Stage 2 Randomized Selection'!Q$2*$M425)) - 1),0),
IF(AND(OR(AC$269=123, AC$269=13, AC$269=23, AC$269=3), Cultivar_3_Cohort_Year_Selection=$W$268), ROUND(MAX(0,(AB$424-('Stage 2 Randomized Selection'!Q$2*$M425)) - 1),0),
ROUND(MAX(0,(AB$424-('Stage 2 Randomized Selection'!Q$2*$M425))),0)))))))),0),"")</f>
        <v/>
      </c>
      <c r="AD447" s="136" t="str">
        <f>IF(ISNUMBER($B$425),
IF(AND(ISNUMBER(AC$424), AC$424&gt;0),
IF(AND(AD$269=123, Cultivar_1_Cohort_Year_Selection=$X$268,Cultivar_2_Cohort_Year_Selection=$X$268,Cultivar_3_Cohort_Year_Selection=$X$268), ROUND(MAX(0,(AC$424-('Stage 2 Randomized Selection'!S$2*$M425)) - 3),0),
IF(AND(OR(AD$269=123, AD$269=12), Cultivar_1_Cohort_Year_Selection=$X$268,Cultivar_2_Cohort_Year_Selection=$X$268),  ROUND(MAX(0,(AC$424-('Stage 2 Randomized Selection'!R$2*$M425)) - 2),0),
IF(AND(OR(AD$269=123, AD$269=13), Cultivar_1_Cohort_Year_Selection=$X$268,Cultivar_3_Cohort_Year_Selection=$X$268), ROUND(MAX(0,(AC$424-('Stage 2 Randomized Selection'!R$2*$M425)) - 2),0),
IF(AND(OR(AD$269=123, AD$269=23), Cultivar_2_Cohort_Year_Selection=$X$268,Cultivar_3_Cohort_Year_Selection=$X$268), ROUND(MAX(0,(AC$424-('Stage 2 Randomized Selection'!R$2*$M425)) - 2),0),
IF(AND(OR(AD$269=123, AD$269=12, AD$269=13, AD$269=1), Cultivar_1_Cohort_Year_Selection=$X$268), ROUND(MAX(0,(AC$424-('Stage 2 Randomized Selection'!R$2*$M425)) - 1),0),
IF(AND(OR(AD$269=123, AD$269=12, AD$269=23, AD$269=2), Cultivar_2_Cohort_Year_Selection=$X$268), ROUND(MAX(0,(AC$424-('Stage 2 Randomized Selection'!R$2*$M425)) - 1),0),
IF(AND(OR(AD$269=123, AD$269=13, AD$269=23, AD$269=3), Cultivar_3_Cohort_Year_Selection=$X$268), ROUND(MAX(0,(AC$424-('Stage 2 Randomized Selection'!R$2*$M425)) - 1),0),
ROUND(MAX(0,(AC$424-('Stage 2 Randomized Selection'!R$2*$M425))),0)))))))),0),"")</f>
        <v/>
      </c>
      <c r="AE447" s="136" t="str">
        <f>IF(ISNUMBER($B$425),
IF(AND(ISNUMBER(AD$424), AD$424&gt;0),
IF(AND(AE$269=123, Cultivar_1_Cohort_Year_Selection=$Y$268,Cultivar_2_Cohort_Year_Selection=$Y$268,Cultivar_3_Cohort_Year_Selection=$Y$268), ROUND(MAX(0,(AD$424-('Stage 2 Randomized Selection'!T$2*$M425)) - 3),0),
IF(AND(OR(AE$269=123, AE$269=12), Cultivar_1_Cohort_Year_Selection=$Y$268,Cultivar_2_Cohort_Year_Selection=$Y$268),  ROUND(MAX(0,(AD$424-('Stage 2 Randomized Selection'!S$2*$M425)) - 2),0),
IF(AND(OR(AE$269=123, AE$269=13), Cultivar_1_Cohort_Year_Selection=$Y$268,Cultivar_3_Cohort_Year_Selection=$Y$268), ROUND(MAX(0,(AD$424-('Stage 2 Randomized Selection'!S$2*$M425)) - 2),0),
IF(AND(OR(AE$269=123, AE$269=23), Cultivar_2_Cohort_Year_Selection=$Y$268,Cultivar_3_Cohort_Year_Selection=$Y$268), ROUND(MAX(0,(AD$424-('Stage 2 Randomized Selection'!S$2*$M425)) - 2),0),
IF(AND(OR(AE$269=123, AE$269=12, AE$269=13, AE$269=1), Cultivar_1_Cohort_Year_Selection=$Y$268), ROUND(MAX(0,(AD$424-('Stage 2 Randomized Selection'!S$2*$M425)) - 1),0),
IF(AND(OR(AE$269=123, AE$269=12, AE$269=23, AE$269=2), Cultivar_2_Cohort_Year_Selection=$Y$268), ROUND(MAX(0,(AD$424-('Stage 2 Randomized Selection'!S$2*$M425)) - 1),0),
IF(AND(OR(AE$269=123, AE$269=13, AE$269=23, AE$269=3), Cultivar_3_Cohort_Year_Selection=$Y$268), ROUND(MAX(0,(AD$424-('Stage 2 Randomized Selection'!S$2*$M425)) - 1),0),
ROUND(MAX(0,(AD$424-('Stage 2 Randomized Selection'!S$2*$M425))),0)))))))),0),"")</f>
        <v/>
      </c>
      <c r="AF447" s="136" t="str">
        <f>IF(ISNUMBER($B$425),
IF(AND(ISNUMBER(AE$424), AE$424&gt;0),
IF(AND(AF$269=123, Cultivar_1_Cohort_Year_Selection=$Z$268,Cultivar_2_Cohort_Year_Selection=$Z$268,Cultivar_3_Cohort_Year_Selection=$Z$268), ROUND(MAX(0,(AE$424-('Stage 2 Randomized Selection'!U$2*$M425)) - 3),0),
IF(AND(OR(AF$269=123, AF$269=12), Cultivar_1_Cohort_Year_Selection=$Z$268,Cultivar_2_Cohort_Year_Selection=$Z$268),  ROUND(MAX(0,(AE$424-('Stage 2 Randomized Selection'!T$2*$M425)) - 2),0),
IF(AND(OR(AF$269=123, AF$269=13), Cultivar_1_Cohort_Year_Selection=$Z$268,Cultivar_3_Cohort_Year_Selection=$Z$268), ROUND(MAX(0,(AE$424-('Stage 2 Randomized Selection'!T$2*$M425)) - 2),0),
IF(AND(OR(AF$269=123, AF$269=23), Cultivar_2_Cohort_Year_Selection=$Z$268,Cultivar_3_Cohort_Year_Selection=$Z$268), ROUND(MAX(0,(AE$424-('Stage 2 Randomized Selection'!T$2*$M425)) - 2),0),
IF(AND(OR(AF$269=123, AF$269=12, AF$269=13, AF$269=1), Cultivar_1_Cohort_Year_Selection=$Z$268), ROUND(MAX(0,(AE$424-('Stage 2 Randomized Selection'!T$2*$M425)) - 1),0),
IF(AND(OR(AF$269=123, AF$269=12, AF$269=23, AF$269=2), Cultivar_2_Cohort_Year_Selection=$Z$268), ROUND(MAX(0,(AE$424-('Stage 2 Randomized Selection'!T$2*$M425)) - 1),0),
IF(AND(OR(AF$269=123, AF$269=13, AF$269=23, AF$269=3), Cultivar_3_Cohort_Year_Selection=$Z$268), ROUND(MAX(0,(AE$424-('Stage 2 Randomized Selection'!T$2*$M425)) - 1),0),
ROUND(MAX(0,(AE$424-('Stage 2 Randomized Selection'!T$2*$M425))),0)))))))),0),"")</f>
        <v/>
      </c>
      <c r="AG447" s="136" t="str">
        <f>IF(ISNUMBER($B$425),
IF(AND(ISNUMBER(AF$424), AF$424&gt;0),
IF(AND(AG$269=123, Cultivar_1_Cohort_Year_Selection=$AA$268,Cultivar_2_Cohort_Year_Selection=$AA$268,Cultivar_3_Cohort_Year_Selection=$AA$268), ROUND(MAX(0,(AF$424-('Stage 2 Randomized Selection'!V$2*$M425)) - 3),0),
IF(AND(OR(AG$269=123, AG$269=12), Cultivar_1_Cohort_Year_Selection=$AA$268,Cultivar_2_Cohort_Year_Selection=$AA$268),  ROUND(MAX(0,(AF$424-('Stage 2 Randomized Selection'!U$2*$M425)) - 2),0),
IF(AND(OR(AG$269=123, AG$269=13), Cultivar_1_Cohort_Year_Selection=$AA$268,Cultivar_3_Cohort_Year_Selection=$AA$268), ROUND(MAX(0,(AF$424-('Stage 2 Randomized Selection'!U$2*$M425)) - 2),0),
IF(AND(OR(AG$269=123, AG$269=23), Cultivar_2_Cohort_Year_Selection=$AA$268,Cultivar_3_Cohort_Year_Selection=$AA$268), ROUND(MAX(0,(AF$424-('Stage 2 Randomized Selection'!U$2*$M425)) - 2),0),
IF(AND(OR(AG$269=123, AG$269=12, AG$269=13, AG$269=1), Cultivar_1_Cohort_Year_Selection=$AA$268), ROUND(MAX(0,(AF$424-('Stage 2 Randomized Selection'!U$2*$M425)) - 1),0),
IF(AND(OR(AG$269=123, AG$269=12, AG$269=23, AG$269=2), Cultivar_2_Cohort_Year_Selection=$AA$268), ROUND(MAX(0,(AF$424-('Stage 2 Randomized Selection'!U$2*$M425)) - 1),0),
IF(AND(OR(AG$269=123, AG$269=13, AG$269=23, AG$269=3), Cultivar_3_Cohort_Year_Selection=$AA$268), ROUND(MAX(0,(AF$424-('Stage 2 Randomized Selection'!U$2*$M425)) - 1),0),
ROUND(MAX(0,(AF$424-('Stage 2 Randomized Selection'!U$2*$M425))),0)))))))),0),"")</f>
        <v/>
      </c>
      <c r="AH447" s="136" t="str">
        <f>IF(ISNUMBER($B$425),
IF(AND(ISNUMBER(AG$424), AG$424&gt;0),
IF(AND(AH$269=123, Cultivar_1_Cohort_Year_Selection=$AB$268,Cultivar_2_Cohort_Year_Selection=$AB$268,Cultivar_3_Cohort_Year_Selection=$AB$268), ROUND(MAX(0,(AG$424-('Stage 2 Randomized Selection'!W$2*$M425)) - 3),0),
IF(AND(OR(AH$269=123, AH$269=12), Cultivar_1_Cohort_Year_Selection=$AB$268,Cultivar_2_Cohort_Year_Selection=$AB$268),  ROUND(MAX(0,(AG$424-('Stage 2 Randomized Selection'!V$2*$M425)) - 2),0),
IF(AND(OR(AH$269=123, AH$269=13), Cultivar_1_Cohort_Year_Selection=$AB$268,Cultivar_3_Cohort_Year_Selection=$AB$268), ROUND(MAX(0,(AG$424-('Stage 2 Randomized Selection'!V$2*$M425)) - 2),0),
IF(AND(OR(AH$269=123, AH$269=23), Cultivar_2_Cohort_Year_Selection=$AB$268,Cultivar_3_Cohort_Year_Selection=$AB$268), ROUND(MAX(0,(AG$424-('Stage 2 Randomized Selection'!V$2*$M425)) - 2),0),
IF(AND(OR(AH$269=123, AH$269=12, AH$269=13, AH$269=1), Cultivar_1_Cohort_Year_Selection=$AB$268), ROUND(MAX(0,(AG$424-('Stage 2 Randomized Selection'!V$2*$M425)) - 1),0),
IF(AND(OR(AH$269=123, AH$269=12, AH$269=23, AH$269=2), Cultivar_2_Cohort_Year_Selection=$AB$268), ROUND(MAX(0,(AG$424-('Stage 2 Randomized Selection'!V$2*$M425)) - 1),0),
IF(AND(OR(AH$269=123, AH$269=13, AH$269=23, AH$269=3), Cultivar_3_Cohort_Year_Selection=$AB$268), ROUND(MAX(0,(AG$424-('Stage 2 Randomized Selection'!V$2*$M425)) - 1),0),
ROUND(MAX(0,(AG$424-('Stage 2 Randomized Selection'!V$2*$M425))),0)))))))),0),"")</f>
        <v/>
      </c>
      <c r="AI447" s="136" t="str">
        <f>IF(ISNUMBER($B$425),
IF(AND(ISNUMBER(AH$424), AH$424&gt;0),
IF(AND(AI$269=123, Cultivar_1_Cohort_Year_Selection=$AC$268,Cultivar_2_Cohort_Year_Selection=$AC$268,Cultivar_3_Cohort_Year_Selection=$AC$268), ROUND(MAX(0,(AH$424-('Stage 2 Randomized Selection'!X$2*$M425)) - 3),0),
IF(AND(OR(AI$269=123, AI$269=12), Cultivar_1_Cohort_Year_Selection=$AC$268,Cultivar_2_Cohort_Year_Selection=$AC$268),  ROUND(MAX(0,(AH$424-('Stage 2 Randomized Selection'!W$2*$M425)) - 2),0),
IF(AND(OR(AI$269=123, AI$269=13), Cultivar_1_Cohort_Year_Selection=$AC$268,Cultivar_3_Cohort_Year_Selection=$AC$268), ROUND(MAX(0,(AH$424-('Stage 2 Randomized Selection'!W$2*$M425)) - 2),0),
IF(AND(OR(AI$269=123, AI$269=23), Cultivar_2_Cohort_Year_Selection=$AC$268,Cultivar_3_Cohort_Year_Selection=$AC$268), ROUND(MAX(0,(AH$424-('Stage 2 Randomized Selection'!W$2*$M425)) - 2),0),
IF(AND(OR(AI$269=123, AI$269=12, AI$269=13, AI$269=1), Cultivar_1_Cohort_Year_Selection=$AC$268), ROUND(MAX(0,(AH$424-('Stage 2 Randomized Selection'!W$2*$M425)) - 1),0),
IF(AND(OR(AI$269=123, AI$269=12, AI$269=23, AI$269=2), Cultivar_2_Cohort_Year_Selection=$AC$268), ROUND(MAX(0,(AH$424-('Stage 2 Randomized Selection'!W$2*$M425)) - 1),0),
IF(AND(OR(AI$269=123, AI$269=13, AI$269=23, AI$269=3), Cultivar_3_Cohort_Year_Selection=$AC$268), ROUND(MAX(0,(AH$424-('Stage 2 Randomized Selection'!W$2*$M425)) - 1),0),
ROUND(MAX(0,(AH$424-('Stage 2 Randomized Selection'!W$2*$M425))),0)))))))),0),"")</f>
        <v/>
      </c>
      <c r="AJ447" s="136" t="str">
        <f>IF(ISNUMBER($B$425),
IF(AND(ISNUMBER(AI$424), AI$424&gt;0),
IF(AND(AJ$269=123, Cultivar_1_Cohort_Year_Selection=$AD$268,Cultivar_2_Cohort_Year_Selection=$AD$268,Cultivar_3_Cohort_Year_Selection=$AD$268), ROUND(MAX(0,(AI$424-('Stage 2 Randomized Selection'!Y$2*$M425)) - 3),0),
IF(AND(OR(AJ$269=123, AJ$269=12), Cultivar_1_Cohort_Year_Selection=$AD$268,Cultivar_2_Cohort_Year_Selection=$AD$268),  ROUND(MAX(0,(AI$424-('Stage 2 Randomized Selection'!X$2*$M425)) - 2),0),
IF(AND(OR(AJ$269=123, AJ$269=13), Cultivar_1_Cohort_Year_Selection=$AD$268,Cultivar_3_Cohort_Year_Selection=$AD$268), ROUND(MAX(0,(AI$424-('Stage 2 Randomized Selection'!X$2*$M425)) - 2),0),
IF(AND(OR(AJ$269=123, AJ$269=23), Cultivar_2_Cohort_Year_Selection=$AD$268,Cultivar_3_Cohort_Year_Selection=$AD$268), ROUND(MAX(0,(AI$424-('Stage 2 Randomized Selection'!X$2*$M425)) - 2),0),
IF(AND(OR(AJ$269=123, AJ$269=12, AJ$269=13, AJ$269=1), Cultivar_1_Cohort_Year_Selection=$AD$268), ROUND(MAX(0,(AI$424-('Stage 2 Randomized Selection'!X$2*$M425)) - 1),0),
IF(AND(OR(AJ$269=123, AJ$269=12, AJ$269=23, AJ$269=2), Cultivar_2_Cohort_Year_Selection=$AD$268), ROUND(MAX(0,(AI$424-('Stage 2 Randomized Selection'!X$2*$M425)) - 1),0),
IF(AND(OR(AJ$269=123, AJ$269=13, AJ$269=23, AJ$269=3), Cultivar_3_Cohort_Year_Selection=$AD$268), ROUND(MAX(0,(AI$424-('Stage 2 Randomized Selection'!X$2*$M425)) - 1),0),
ROUND(MAX(0,(AI$424-('Stage 2 Randomized Selection'!X$2*$M425))),0)))))))),0),"")</f>
        <v/>
      </c>
      <c r="AK447" s="136" t="str">
        <f>IF(ISNUMBER($B$425),
IF(AND(ISNUMBER(AJ$424), AJ$424&gt;0),
IF(AND(AK$269=123, Cultivar_1_Cohort_Year_Selection=$AE$268,Cultivar_2_Cohort_Year_Selection=$AE$268,Cultivar_3_Cohort_Year_Selection=$AE$268), ROUND(MAX(0,(AJ$424-('Stage 2 Randomized Selection'!Z$2*$M425)) - 3),0),
IF(AND(OR(AK$269=123, AK$269=12), Cultivar_1_Cohort_Year_Selection=$AE$268,Cultivar_2_Cohort_Year_Selection=$AE$268),  ROUND(MAX(0,(AJ$424-('Stage 2 Randomized Selection'!Y$2*$M425)) - 2),0),
IF(AND(OR(AK$269=123, AK$269=13), Cultivar_1_Cohort_Year_Selection=$AE$268,Cultivar_3_Cohort_Year_Selection=$AE$268), ROUND(MAX(0,(AJ$424-('Stage 2 Randomized Selection'!Y$2*$M425)) - 2),0),
IF(AND(OR(AK$269=123, AK$269=23), Cultivar_2_Cohort_Year_Selection=$AE$268,Cultivar_3_Cohort_Year_Selection=$AE$268), ROUND(MAX(0,(AJ$424-('Stage 2 Randomized Selection'!Y$2*$M425)) - 2),0),
IF(AND(OR(AK$269=123, AK$269=12, AK$269=13, AK$269=1), Cultivar_1_Cohort_Year_Selection=$AE$268), ROUND(MAX(0,(AJ$424-('Stage 2 Randomized Selection'!Y$2*$M425)) - 1),0),
IF(AND(OR(AK$269=123, AK$269=12, AK$269=23, AK$269=2), Cultivar_2_Cohort_Year_Selection=$AE$268), ROUND(MAX(0,(AJ$424-('Stage 2 Randomized Selection'!Y$2*$M425)) - 1),0),
IF(AND(OR(AK$269=123, AK$269=13, AK$269=23, AK$269=3), Cultivar_3_Cohort_Year_Selection=$AE$268), ROUND(MAX(0,(AJ$424-('Stage 2 Randomized Selection'!Y$2*$M425)) - 1),0),
ROUND(MAX(0,(AJ$424-('Stage 2 Randomized Selection'!Y$2*$M425))),0)))))))),0),"")</f>
        <v/>
      </c>
      <c r="AL447" s="136" t="str">
        <f>IF(ISNUMBER($B$425),
IF(AND(ISNUMBER(AK$424), AK$424&gt;0),
IF(AND(AL$269=123, Cultivar_1_Cohort_Year_Selection=$AF$268,Cultivar_2_Cohort_Year_Selection=$AF$268,Cultivar_3_Cohort_Year_Selection=$AF$268), ROUND(MAX(0,(AK$424-('Stage 2 Randomized Selection'!AA$2*$M425)) - 3),0),
IF(AND(OR(AL$269=123, AL$269=12), Cultivar_1_Cohort_Year_Selection=$AF$268,Cultivar_2_Cohort_Year_Selection=$AF$268),  ROUND(MAX(0,(AK$424-('Stage 2 Randomized Selection'!Z$2*$M425)) - 2),0),
IF(AND(OR(AL$269=123, AL$269=13), Cultivar_1_Cohort_Year_Selection=$AF$268,Cultivar_3_Cohort_Year_Selection=$AF$268), ROUND(MAX(0,(AK$424-('Stage 2 Randomized Selection'!Z$2*$M425)) - 2),0),
IF(AND(OR(AL$269=123, AL$269=23), Cultivar_2_Cohort_Year_Selection=$AF$268,Cultivar_3_Cohort_Year_Selection=$AF$268), ROUND(MAX(0,(AK$424-('Stage 2 Randomized Selection'!Z$2*$M425)) - 2),0),
IF(AND(OR(AL$269=123, AL$269=12, AL$269=13, AL$269=1), Cultivar_1_Cohort_Year_Selection=$AF$268), ROUND(MAX(0,(AK$424-('Stage 2 Randomized Selection'!Z$2*$M425)) - 1),0),
IF(AND(OR(AL$269=123, AL$269=12, AL$269=23, AL$269=2), Cultivar_2_Cohort_Year_Selection=$AF$268), ROUND(MAX(0,(AK$424-('Stage 2 Randomized Selection'!Z$2*$M425)) - 1),0),
IF(AND(OR(AL$269=123, AL$269=13, AL$269=23, AL$269=3), Cultivar_3_Cohort_Year_Selection=$AF$268), ROUND(MAX(0,(AK$424-('Stage 2 Randomized Selection'!Z$2*$M425)) - 1),0),
ROUND(MAX(0,(AK$424-('Stage 2 Randomized Selection'!Z$2*$M425))),0)))))))),0),"")</f>
        <v/>
      </c>
      <c r="AM447" s="136" t="str">
        <f>IF(ISNUMBER($B$425),
IF(AND(ISNUMBER(AL$424), AL$424&gt;0),
IF(AND(AM$269=123, Cultivar_1_Cohort_Year_Selection=$AG$268,Cultivar_2_Cohort_Year_Selection=$AG$268,Cultivar_3_Cohort_Year_Selection=$AG$268), ROUND(MAX(0,(AL$424-('Stage 2 Randomized Selection'!AB$2*$M425)) - 3),0),
IF(AND(OR(AM$269=123, AM$269=12), Cultivar_1_Cohort_Year_Selection=$AG$268,Cultivar_2_Cohort_Year_Selection=$AG$268),  ROUND(MAX(0,(AL$424-('Stage 2 Randomized Selection'!AA$2*$M425)) - 2),0),
IF(AND(OR(AM$269=123, AM$269=13), Cultivar_1_Cohort_Year_Selection=$AG$268,Cultivar_3_Cohort_Year_Selection=$AG$268), ROUND(MAX(0,(AL$424-('Stage 2 Randomized Selection'!AA$2*$M425)) - 2),0),
IF(AND(OR(AM$269=123, AM$269=23), Cultivar_2_Cohort_Year_Selection=$AG$268,Cultivar_3_Cohort_Year_Selection=$AG$268), ROUND(MAX(0,(AL$424-('Stage 2 Randomized Selection'!AA$2*$M425)) - 2),0),
IF(AND(OR(AM$269=123, AM$269=12, AM$269=13, AM$269=1), Cultivar_1_Cohort_Year_Selection=$AG$268), ROUND(MAX(0,(AL$424-('Stage 2 Randomized Selection'!AA$2*$M425)) - 1),0),
IF(AND(OR(AM$269=123, AM$269=12, AM$269=23, AM$269=2), Cultivar_2_Cohort_Year_Selection=$AG$268), ROUND(MAX(0,(AL$424-('Stage 2 Randomized Selection'!AA$2*$M425)) - 1),0),
IF(AND(OR(AM$269=123, AM$269=13, AM$269=23, AM$269=3), Cultivar_3_Cohort_Year_Selection=$AG$268), ROUND(MAX(0,(AL$424-('Stage 2 Randomized Selection'!AA$2*$M425)) - 1),0),
ROUND(MAX(0,(AL$424-('Stage 2 Randomized Selection'!AA$2*$M425))),0)))))))),0),"")</f>
        <v/>
      </c>
      <c r="AN447" s="136" t="str">
        <f>IF(ISNUMBER($B$425),
IF(AND(ISNUMBER(AM$424), AM$424&gt;0),
IF(AND(AN$269=123, Cultivar_1_Cohort_Year_Selection=$AH$268,Cultivar_2_Cohort_Year_Selection=$AH$268,Cultivar_3_Cohort_Year_Selection=$AH$268), ROUND(MAX(0,(AM$424-('Stage 2 Randomized Selection'!AC$2*$M425)) - 3),0),
IF(AND(OR(AN$269=123, AN$269=12), Cultivar_1_Cohort_Year_Selection=$AH$268,Cultivar_2_Cohort_Year_Selection=$AH$268),  ROUND(MAX(0,(AM$424-('Stage 2 Randomized Selection'!AB$2*$M425)) - 2),0),
IF(AND(OR(AN$269=123, AN$269=13), Cultivar_1_Cohort_Year_Selection=$AH$268,Cultivar_3_Cohort_Year_Selection=$AH$268), ROUND(MAX(0,(AM$424-('Stage 2 Randomized Selection'!AB$2*$M425)) - 2),0),
IF(AND(OR(AN$269=123, AN$269=23), Cultivar_2_Cohort_Year_Selection=$AH$268,Cultivar_3_Cohort_Year_Selection=$AH$268), ROUND(MAX(0,(AM$424-('Stage 2 Randomized Selection'!AB$2*$M425)) - 2),0),
IF(AND(OR(AN$269=123, AN$269=12, AN$269=13, AN$269=1), Cultivar_1_Cohort_Year_Selection=$AH$268), ROUND(MAX(0,(AM$424-('Stage 2 Randomized Selection'!AB$2*$M425)) - 1),0),
IF(AND(OR(AN$269=123, AN$269=12, AN$269=23, AN$269=2), Cultivar_2_Cohort_Year_Selection=$AH$268), ROUND(MAX(0,(AM$424-('Stage 2 Randomized Selection'!AB$2*$M425)) - 1),0),
IF(AND(OR(AN$269=123, AN$269=13, AN$269=23, AN$269=3), Cultivar_3_Cohort_Year_Selection=$AH$268), ROUND(MAX(0,(AM$424-('Stage 2 Randomized Selection'!AB$2*$M425)) - 1),0),
ROUND(MAX(0,(AM$424-('Stage 2 Randomized Selection'!AB$2*$M425))),0)))))))),0),"")</f>
        <v/>
      </c>
      <c r="AO447" s="136" t="str">
        <f>IF(ISNUMBER($B$425),
IF(AND(ISNUMBER(AN$424), AN$424&gt;0),
IF(AND(AO$269=123, Cultivar_1_Cohort_Year_Selection=$AI$268,Cultivar_2_Cohort_Year_Selection=$AI$268,Cultivar_3_Cohort_Year_Selection=$AI$268), ROUND(MAX(0,(AN$424-('Stage 2 Randomized Selection'!AD$2*$M425)) - 3),0),
IF(AND(OR(AO$269=123, AO$269=12), Cultivar_1_Cohort_Year_Selection=$AI$268,Cultivar_2_Cohort_Year_Selection=$AI$268),  ROUND(MAX(0,(AN$424-('Stage 2 Randomized Selection'!AC$2*$M425)) - 2),0),
IF(AND(OR(AO$269=123, AO$269=13), Cultivar_1_Cohort_Year_Selection=$AI$268,Cultivar_3_Cohort_Year_Selection=$AI$268), ROUND(MAX(0,(AN$424-('Stage 2 Randomized Selection'!AC$2*$M425)) - 2),0),
IF(AND(OR(AO$269=123, AO$269=23), Cultivar_2_Cohort_Year_Selection=$AI$268,Cultivar_3_Cohort_Year_Selection=$AI$268), ROUND(MAX(0,(AN$424-('Stage 2 Randomized Selection'!AC$2*$M425)) - 2),0),
IF(AND(OR(AO$269=123, AO$269=12, AO$269=13, AO$269=1), Cultivar_1_Cohort_Year_Selection=$AI$268), ROUND(MAX(0,(AN$424-('Stage 2 Randomized Selection'!AC$2*$M425)) - 1),0),
IF(AND(OR(AO$269=123, AO$269=12, AO$269=23, AO$269=2), Cultivar_2_Cohort_Year_Selection=$AI$268), ROUND(MAX(0,(AN$424-('Stage 2 Randomized Selection'!AC$2*$M425)) - 1),0),
IF(AND(OR(AO$269=123, AO$269=13, AO$269=23, AO$269=3), Cultivar_3_Cohort_Year_Selection=$AI$268), ROUND(MAX(0,(AN$424-('Stage 2 Randomized Selection'!AC$2*$M425)) - 1),0),
ROUND(MAX(0,(AN$424-('Stage 2 Randomized Selection'!AC$2*$M425))),0)))))))),0),"")</f>
        <v/>
      </c>
      <c r="AP447" s="136" t="str">
        <f>IF(ISNUMBER($B$425),
IF(AND(ISNUMBER(AO$424), AO$424&gt;0),
IF(AND(AP$269=123, Cultivar_1_Cohort_Year_Selection=$AJ$268,Cultivar_2_Cohort_Year_Selection=$AJ$268,Cultivar_3_Cohort_Year_Selection=$AJ$268), ROUND(MAX(0,(AO$424-('Stage 2 Randomized Selection'!AE$2*$M425)) - 3),0),
IF(AND(OR(AP$269=123, AP$269=12), Cultivar_1_Cohort_Year_Selection=$AJ$268,Cultivar_2_Cohort_Year_Selection=$AJ$268),  ROUND(MAX(0,(AO$424-('Stage 2 Randomized Selection'!AD$2*$M425)) - 2),0),
IF(AND(OR(AP$269=123, AP$269=13), Cultivar_1_Cohort_Year_Selection=$AJ$268,Cultivar_3_Cohort_Year_Selection=$AJ$268), ROUND(MAX(0,(AO$424-('Stage 2 Randomized Selection'!AD$2*$M425)) - 2),0),
IF(AND(OR(AP$269=123, AP$269=23), Cultivar_2_Cohort_Year_Selection=$AJ$268,Cultivar_3_Cohort_Year_Selection=$AJ$268), ROUND(MAX(0,(AO$424-('Stage 2 Randomized Selection'!AD$2*$M425)) - 2),0),
IF(AND(OR(AP$269=123, AP$269=12, AP$269=13, AP$269=1), Cultivar_1_Cohort_Year_Selection=$AJ$268), ROUND(MAX(0,(AO$424-('Stage 2 Randomized Selection'!AD$2*$M425)) - 1),0),
IF(AND(OR(AP$269=123, AP$269=12, AP$269=23, AP$269=2), Cultivar_2_Cohort_Year_Selection=$AJ$268), ROUND(MAX(0,(AO$424-('Stage 2 Randomized Selection'!AD$2*$M425)) - 1),0),
IF(AND(OR(AP$269=123, AP$269=13, AP$269=23, AP$269=3), Cultivar_3_Cohort_Year_Selection=$AJ$268), ROUND(MAX(0,(AO$424-('Stage 2 Randomized Selection'!AD$2*$M425)) - 1),0),
ROUND(MAX(0,(AO$424-('Stage 2 Randomized Selection'!AD$2*$M425))),0)))))))),0),"")</f>
        <v/>
      </c>
      <c r="AQ447" s="136" t="str">
        <f>IF(ISNUMBER($B$425),
IF(AND(ISNUMBER(AP$424), AP$424&gt;0),
IF(AND(AQ$269=123, Cultivar_1_Cohort_Year_Selection=$AK$268,Cultivar_2_Cohort_Year_Selection=$AK$268,Cultivar_3_Cohort_Year_Selection=$AK$268), ROUND(MAX(0,(AP$424-('Stage 2 Randomized Selection'!AF$2*$M425)) - 3),0),
IF(AND(OR(AQ$269=123, AQ$269=12), Cultivar_1_Cohort_Year_Selection=$AK$268,Cultivar_2_Cohort_Year_Selection=$AK$268),  ROUND(MAX(0,(AP$424-('Stage 2 Randomized Selection'!AE$2*$M425)) - 2),0),
IF(AND(OR(AQ$269=123, AQ$269=13), Cultivar_1_Cohort_Year_Selection=$AK$268,Cultivar_3_Cohort_Year_Selection=$AK$268), ROUND(MAX(0,(AP$424-('Stage 2 Randomized Selection'!AE$2*$M425)) - 2),0),
IF(AND(OR(AQ$269=123, AQ$269=23), Cultivar_2_Cohort_Year_Selection=$AK$268,Cultivar_3_Cohort_Year_Selection=$AK$268), ROUND(MAX(0,(AP$424-('Stage 2 Randomized Selection'!AE$2*$M425)) - 2),0),
IF(AND(OR(AQ$269=123, AQ$269=12, AQ$269=13, AQ$269=1), Cultivar_1_Cohort_Year_Selection=$AK$268), ROUND(MAX(0,(AP$424-('Stage 2 Randomized Selection'!AE$2*$M425)) - 1),0),
IF(AND(OR(AQ$269=123, AQ$269=12, AQ$269=23, AQ$269=2), Cultivar_2_Cohort_Year_Selection=$AK$268), ROUND(MAX(0,(AP$424-('Stage 2 Randomized Selection'!AE$2*$M425)) - 1),0),
IF(AND(OR(AQ$269=123, AQ$269=13, AQ$269=23, AQ$269=3), Cultivar_3_Cohort_Year_Selection=$AK$268), ROUND(MAX(0,(AP$424-('Stage 2 Randomized Selection'!AE$2*$M425)) - 1),0),
ROUND(MAX(0,(AP$424-('Stage 2 Randomized Selection'!AE$2*$M425))),0)))))))),0),"")</f>
        <v/>
      </c>
      <c r="AR447" s="136" t="str">
        <f>IF(ISNUMBER($B$425),
IF(AND(ISNUMBER(AQ$424), AQ$424&gt;0),
IF(AND(AR$269=123, Cultivar_1_Cohort_Year_Selection=$AL$268,Cultivar_2_Cohort_Year_Selection=$AL$268,Cultivar_3_Cohort_Year_Selection=$AL$268), ROUND(MAX(0,(AQ$424-('Stage 2 Randomized Selection'!AG$2*$M425)) - 3),0),
IF(AND(OR(AR$269=123, AR$269=12), Cultivar_1_Cohort_Year_Selection=$AL$268,Cultivar_2_Cohort_Year_Selection=$AL$268),  ROUND(MAX(0,(AQ$424-('Stage 2 Randomized Selection'!AF$2*$M425)) - 2),0),
IF(AND(OR(AR$269=123, AR$269=13), Cultivar_1_Cohort_Year_Selection=$AL$268,Cultivar_3_Cohort_Year_Selection=$AL$268), ROUND(MAX(0,(AQ$424-('Stage 2 Randomized Selection'!AF$2*$M425)) - 2),0),
IF(AND(OR(AR$269=123, AR$269=23), Cultivar_2_Cohort_Year_Selection=$AL$268,Cultivar_3_Cohort_Year_Selection=$AL$268), ROUND(MAX(0,(AQ$424-('Stage 2 Randomized Selection'!AF$2*$M425)) - 2),0),
IF(AND(OR(AR$269=123, AR$269=12, AR$269=13, AR$269=1), Cultivar_1_Cohort_Year_Selection=$AL$268), ROUND(MAX(0,(AQ$424-('Stage 2 Randomized Selection'!AF$2*$M425)) - 1),0),
IF(AND(OR(AR$269=123, AR$269=12, AR$269=23, AR$269=2), Cultivar_2_Cohort_Year_Selection=$AL$268), ROUND(MAX(0,(AQ$424-('Stage 2 Randomized Selection'!AF$2*$M425)) - 1),0),
IF(AND(OR(AR$269=123, AR$269=13, AR$269=23, AR$269=3), Cultivar_3_Cohort_Year_Selection=$AL$268), ROUND(MAX(0,(AQ$424-('Stage 2 Randomized Selection'!AF$2*$M425)) - 1),0),
ROUND(MAX(0,(AQ$424-('Stage 2 Randomized Selection'!AF$2*$M425))),0)))))))),0),"")</f>
        <v/>
      </c>
      <c r="AS447" s="136" t="str">
        <f>IF(ISNUMBER($B$425),
IF(AND(ISNUMBER(AR$424), AR$424&gt;0),
IF(AND(AS$269=123, Cultivar_1_Cohort_Year_Selection=$AM$268,Cultivar_2_Cohort_Year_Selection=$AM$268,Cultivar_3_Cohort_Year_Selection=$AM$268), ROUND(MAX(0,(AR$424-('Stage 2 Randomized Selection'!AH$2*$M425)) - 3),0),
IF(AND(OR(AS$269=123, AS$269=12), Cultivar_1_Cohort_Year_Selection=$AM$268,Cultivar_2_Cohort_Year_Selection=$AM$268),  ROUND(MAX(0,(AR$424-('Stage 2 Randomized Selection'!AG$2*$M425)) - 2),0),
IF(AND(OR(AS$269=123, AS$269=13), Cultivar_1_Cohort_Year_Selection=$AM$268,Cultivar_3_Cohort_Year_Selection=$AM$268), ROUND(MAX(0,(AR$424-('Stage 2 Randomized Selection'!AG$2*$M425)) - 2),0),
IF(AND(OR(AS$269=123, AS$269=23), Cultivar_2_Cohort_Year_Selection=$AM$268,Cultivar_3_Cohort_Year_Selection=$AM$268), ROUND(MAX(0,(AR$424-('Stage 2 Randomized Selection'!AG$2*$M425)) - 2),0),
IF(AND(OR(AS$269=123, AS$269=12, AS$269=13, AS$269=1), Cultivar_1_Cohort_Year_Selection=$AM$268), ROUND(MAX(0,(AR$424-('Stage 2 Randomized Selection'!AG$2*$M425)) - 1),0),
IF(AND(OR(AS$269=123, AS$269=12, AS$269=23, AS$269=2), Cultivar_2_Cohort_Year_Selection=$AM$268), ROUND(MAX(0,(AR$424-('Stage 2 Randomized Selection'!AG$2*$M425)) - 1),0),
IF(AND(OR(AS$269=123, AS$269=13, AS$269=23, AS$269=3), Cultivar_3_Cohort_Year_Selection=$AM$268), ROUND(MAX(0,(AR$424-('Stage 2 Randomized Selection'!AG$2*$M425)) - 1),0),
ROUND(MAX(0,(AR$424-('Stage 2 Randomized Selection'!AG$2*$M425))),0)))))))),0),"")</f>
        <v/>
      </c>
      <c r="AT447" s="136" t="str">
        <f>IF(ISNUMBER($B$425),
IF(AND(ISNUMBER(AS$424), AS$424&gt;0),
IF(AND(AT$269=123, Cultivar_1_Cohort_Year_Selection=$AN$268,Cultivar_2_Cohort_Year_Selection=$AN$268,Cultivar_3_Cohort_Year_Selection=$AN$268), ROUND(MAX(0,(AS$424-('Stage 2 Randomized Selection'!AI$2*$M425)) - 3),0),
IF(AND(OR(AT$269=123, AT$269=12), Cultivar_1_Cohort_Year_Selection=$AN$268,Cultivar_2_Cohort_Year_Selection=$AN$268),  ROUND(MAX(0,(AS$424-('Stage 2 Randomized Selection'!AH$2*$M425)) - 2),0),
IF(AND(OR(AT$269=123, AT$269=13), Cultivar_1_Cohort_Year_Selection=$AN$268,Cultivar_3_Cohort_Year_Selection=$AN$268), ROUND(MAX(0,(AS$424-('Stage 2 Randomized Selection'!AH$2*$M425)) - 2),0),
IF(AND(OR(AT$269=123, AT$269=23), Cultivar_2_Cohort_Year_Selection=$AN$268,Cultivar_3_Cohort_Year_Selection=$AN$268), ROUND(MAX(0,(AS$424-('Stage 2 Randomized Selection'!AH$2*$M425)) - 2),0),
IF(AND(OR(AT$269=123, AT$269=12, AT$269=13, AT$269=1), Cultivar_1_Cohort_Year_Selection=$AN$268), ROUND(MAX(0,(AS$424-('Stage 2 Randomized Selection'!AH$2*$M425)) - 1),0),
IF(AND(OR(AT$269=123, AT$269=12, AT$269=23, AT$269=2), Cultivar_2_Cohort_Year_Selection=$AN$268), ROUND(MAX(0,(AS$424-('Stage 2 Randomized Selection'!AH$2*$M425)) - 1),0),
IF(AND(OR(AT$269=123, AT$269=13, AT$269=23, AT$269=3), Cultivar_3_Cohort_Year_Selection=$AN$268), ROUND(MAX(0,(AS$424-('Stage 2 Randomized Selection'!AH$2*$M425)) - 1),0),
ROUND(MAX(0,(AS$424-('Stage 2 Randomized Selection'!AH$2*$M425))),0)))))))),0),"")</f>
        <v/>
      </c>
      <c r="AU447" s="136" t="str">
        <f>IF(ISNUMBER($B$425),
IF(AND(ISNUMBER(AT$424), AT$424&gt;0),
IF(AND(AU$269=123, Cultivar_1_Cohort_Year_Selection=$AO$268,Cultivar_2_Cohort_Year_Selection=$AO$268,Cultivar_3_Cohort_Year_Selection=$AO$268), ROUND(MAX(0,(AT$424-('Stage 2 Randomized Selection'!AJ$2*$M425)) - 3),0),
IF(AND(OR(AU$269=123, AU$269=12), Cultivar_1_Cohort_Year_Selection=$AO$268,Cultivar_2_Cohort_Year_Selection=$AO$268),  ROUND(MAX(0,(AT$424-('Stage 2 Randomized Selection'!AI$2*$M425)) - 2),0),
IF(AND(OR(AU$269=123, AU$269=13), Cultivar_1_Cohort_Year_Selection=$AO$268,Cultivar_3_Cohort_Year_Selection=$AO$268), ROUND(MAX(0,(AT$424-('Stage 2 Randomized Selection'!AI$2*$M425)) - 2),0),
IF(AND(OR(AU$269=123, AU$269=23), Cultivar_2_Cohort_Year_Selection=$AO$268,Cultivar_3_Cohort_Year_Selection=$AO$268), ROUND(MAX(0,(AT$424-('Stage 2 Randomized Selection'!AI$2*$M425)) - 2),0),
IF(AND(OR(AU$269=123, AU$269=12, AU$269=13, AU$269=1), Cultivar_1_Cohort_Year_Selection=$AO$268), ROUND(MAX(0,(AT$424-('Stage 2 Randomized Selection'!AI$2*$M425)) - 1),0),
IF(AND(OR(AU$269=123, AU$269=12, AU$269=23, AU$269=2), Cultivar_2_Cohort_Year_Selection=$AO$268), ROUND(MAX(0,(AT$424-('Stage 2 Randomized Selection'!AI$2*$M425)) - 1),0),
IF(AND(OR(AU$269=123, AU$269=13, AU$269=23, AU$269=3), Cultivar_3_Cohort_Year_Selection=$AO$268), ROUND(MAX(0,(AT$424-('Stage 2 Randomized Selection'!AI$2*$M425)) - 1),0),
ROUND(MAX(0,(AT$424-('Stage 2 Randomized Selection'!AI$2*$M425))),0)))))))),0),"")</f>
        <v/>
      </c>
      <c r="AV447" s="288" t="str">
        <f>IF(ISNUMBER($B$425),
IF(AND(ISNUMBER(AU$424), AU$424&gt;0),
IF(AND(AV$269=123, Cultivar_1_Cohort_Year_Selection=$AP$268,Cultivar_2_Cohort_Year_Selection=$AP$268,Cultivar_3_Cohort_Year_Selection=$AP$268), ROUND(MAX(0,(AU$424-('Stage 2 Randomized Selection'!AK$2*$M425)) - 3),0),
IF(AND(OR(AV$269=123, AV$269=12), Cultivar_1_Cohort_Year_Selection=$AP$268,Cultivar_2_Cohort_Year_Selection=$AP$268),  ROUND(MAX(0,(AU$424-('Stage 2 Randomized Selection'!AJ$2*$M425)) - 2),0),
IF(AND(OR(AV$269=123, AV$269=13), Cultivar_1_Cohort_Year_Selection=$AP$268,Cultivar_3_Cohort_Year_Selection=$AP$268), ROUND(MAX(0,(AU$424-('Stage 2 Randomized Selection'!AJ$2*$M425)) - 2),0),
IF(AND(OR(AV$269=123, AV$269=23), Cultivar_2_Cohort_Year_Selection=$AP$268,Cultivar_3_Cohort_Year_Selection=$AP$268), ROUND(MAX(0,(AU$424-('Stage 2 Randomized Selection'!AJ$2*$M425)) - 2),0),
IF(AND(OR(AV$269=123, AV$269=12, AV$269=13, AV$269=1), Cultivar_1_Cohort_Year_Selection=$AP$268), ROUND(MAX(0,(AU$424-('Stage 2 Randomized Selection'!AJ$2*$M425)) - 1),0),
IF(AND(OR(AV$269=123, AV$269=12, AV$269=23, AV$269=2), Cultivar_2_Cohort_Year_Selection=$AP$268), ROUND(MAX(0,(AU$424-('Stage 2 Randomized Selection'!AJ$2*$M425)) - 1),0),
IF(AND(OR(AV$269=123, AV$269=13, AV$269=23, AV$269=3), Cultivar_3_Cohort_Year_Selection=$AP$268), ROUND(MAX(0,(AU$424-('Stage 2 Randomized Selection'!AJ$2*$M425)) - 1),0),
ROUND(MAX(0,(AU$424-('Stage 2 Randomized Selection'!AJ$2*$M425))),0)))))))),0),"")</f>
        <v/>
      </c>
    </row>
    <row r="448" spans="1:49" ht="14.45" customHeight="1" x14ac:dyDescent="0.25">
      <c r="A448" s="518" t="str">
        <f>Fourth_Stage</f>
        <v>Stage 2 Clonal Test Plots</v>
      </c>
      <c r="B448" s="504" t="str">
        <f>'Breeding Inputs'!B96</f>
        <v/>
      </c>
      <c r="C448" s="521" t="str">
        <f>IF(ISNUMBER(B448), _4_3_0, "")</f>
        <v/>
      </c>
      <c r="D448" s="94" t="str">
        <f>IF(AND(C448&lt;&gt;"", 'Cost Inputs'!$G$105&lt;&gt;""), 'Cost Inputs'!$G$105, "")</f>
        <v/>
      </c>
      <c r="E448" s="94" t="str">
        <f>IF(AND(C448&lt;&gt;"", 'Cost Inputs'!$H$105&lt;&gt;""), 'Cost Inputs'!$H$105, "")</f>
        <v/>
      </c>
      <c r="F448" s="492" t="str">
        <f>IF(AND(C448&lt;&gt;"", 'Cost Inputs'!$I$105&lt;&gt;""), 'Cost Inputs'!$I$105, "")</f>
        <v/>
      </c>
      <c r="G448" s="102" t="str">
        <f t="shared" si="32"/>
        <v/>
      </c>
      <c r="H448" s="492" t="str">
        <f>IF(AND(C448&lt;&gt;"", 'Cost Inputs'!$J$105&lt;&gt;""), 'Cost Inputs'!$J$105, "")</f>
        <v/>
      </c>
      <c r="I448" s="102" t="str">
        <f>IF($C448&lt;&gt;"",IF(AND($E448&lt;&gt;"",H448&lt;&gt;""), H448/$E448, 0),"")</f>
        <v/>
      </c>
      <c r="J448" s="492" t="str">
        <f>IF(AND(C448&lt;&gt;"",('Cost Inputs'!$I$105+'Cost Inputs'!$J$105+'Cost Inputs'!$K$105)&gt;0), 'Cost Inputs'!$I$105+'Cost Inputs'!$J$105+'Cost Inputs'!$K$105, "")</f>
        <v/>
      </c>
      <c r="K448" s="102" t="str">
        <f>IF($C448&lt;&gt;"",IF(AND($E448&lt;&gt;"",J448&lt;&gt;""), J448/$E448, 0),"")</f>
        <v/>
      </c>
      <c r="L448" s="525" t="str">
        <f>IF(AND($B448&lt;&gt;"", 'Breeding Inputs'!$C$89&lt;&gt;""), INDEX('Breeding Inputs'!$C$89:$C$98, MATCH($B448,'Breeding Inputs'!$B$89:$B$98,0)), IF($B448="", "", 0%))</f>
        <v/>
      </c>
      <c r="M448" s="525" t="str">
        <f>IF(AND($B448&lt;&gt;"", 'Breeding Inputs'!$D$89&lt;&gt;""), INDEX('Breeding Inputs'!$D$89:$D$98, MATCH($B448,'Breeding Inputs'!$B$89:$B$98,0))+INDEX('Breeding Inputs'!$E$89:$E$98, MATCH($B448,'Breeding Inputs'!$B$89:$B$98,0)), IF($B448="", "", 0%))</f>
        <v/>
      </c>
      <c r="V448" s="495" t="str">
        <f>IF(ISNUMBER('Model_ of_individuals'!V465), 'Model_ of_individuals'!V465*'Model_ of_individuals'!$K465,"")</f>
        <v/>
      </c>
      <c r="W448" s="495" t="str">
        <f>IF(ISNUMBER('Model_ of_individuals'!W465), 'Model_ of_individuals'!W465*'Model_ of_individuals'!$K465,"")</f>
        <v/>
      </c>
      <c r="X448" s="495" t="str">
        <f>IF(ISNUMBER('Model_ of_individuals'!X465), 'Model_ of_individuals'!X465*'Model_ of_individuals'!$K465,"")</f>
        <v/>
      </c>
      <c r="Y448" s="495" t="str">
        <f>IF(ISNUMBER('Model_ of_individuals'!Y465), 'Model_ of_individuals'!Y465*'Model_ of_individuals'!$K465,"")</f>
        <v/>
      </c>
      <c r="Z448" s="495" t="str">
        <f>IF(ISNUMBER('Model_ of_individuals'!Z465), 'Model_ of_individuals'!Z465*'Model_ of_individuals'!$K465,"")</f>
        <v/>
      </c>
      <c r="AA448" s="495" t="str">
        <f>IF(ISNUMBER('Model_ of_individuals'!AA465), 'Model_ of_individuals'!AA465*'Model_ of_individuals'!$K465,"")</f>
        <v/>
      </c>
      <c r="AB448" s="495" t="str">
        <f>IF(ISNUMBER('Model_ of_individuals'!AB465), 'Model_ of_individuals'!AB465*'Model_ of_individuals'!$K465,"")</f>
        <v/>
      </c>
      <c r="AC448" s="495" t="str">
        <f>IF(ISNUMBER('Model_ of_individuals'!AC465), 'Model_ of_individuals'!AC465*'Model_ of_individuals'!$K465,"")</f>
        <v/>
      </c>
      <c r="AD448" s="495" t="str">
        <f>IF(ISNUMBER('Model_ of_individuals'!AD465), 'Model_ of_individuals'!AD465*'Model_ of_individuals'!$K465,"")</f>
        <v/>
      </c>
      <c r="AE448" s="495" t="str">
        <f>IF(ISNUMBER('Model_ of_individuals'!AE465), 'Model_ of_individuals'!AE465*'Model_ of_individuals'!$K465,"")</f>
        <v/>
      </c>
      <c r="AF448" s="495" t="str">
        <f>IF(ISNUMBER('Model_ of_individuals'!AF465), 'Model_ of_individuals'!AF465*'Model_ of_individuals'!$K465,"")</f>
        <v/>
      </c>
      <c r="AG448" s="495" t="str">
        <f>IF(ISNUMBER('Model_ of_individuals'!AG465), 'Model_ of_individuals'!AG465*'Model_ of_individuals'!$K465,"")</f>
        <v/>
      </c>
      <c r="AH448" s="495" t="str">
        <f>IF(ISNUMBER('Model_ of_individuals'!AH465), 'Model_ of_individuals'!AH465*'Model_ of_individuals'!$K465,"")</f>
        <v/>
      </c>
      <c r="AI448" s="495" t="str">
        <f>IF(ISNUMBER('Model_ of_individuals'!AI465), 'Model_ of_individuals'!AI465*'Model_ of_individuals'!$K465,"")</f>
        <v/>
      </c>
      <c r="AJ448" s="495" t="str">
        <f>IF(ISNUMBER('Model_ of_individuals'!AJ465), 'Model_ of_individuals'!AJ465*'Model_ of_individuals'!$K465,"")</f>
        <v/>
      </c>
      <c r="AK448" s="495" t="str">
        <f>IF(ISNUMBER('Model_ of_individuals'!AK465), 'Model_ of_individuals'!AK465*'Model_ of_individuals'!$K465,"")</f>
        <v/>
      </c>
      <c r="AL448" s="495" t="str">
        <f>IF(ISNUMBER('Model_ of_individuals'!AL465), 'Model_ of_individuals'!AL465*'Model_ of_individuals'!$K465,"")</f>
        <v/>
      </c>
      <c r="AM448" s="495" t="str">
        <f>IF(ISNUMBER('Model_ of_individuals'!AM465), 'Model_ of_individuals'!AM465*'Model_ of_individuals'!$K465,"")</f>
        <v/>
      </c>
      <c r="AN448" s="495" t="str">
        <f>IF(ISNUMBER('Model_ of_individuals'!AN465), 'Model_ of_individuals'!AN465*'Model_ of_individuals'!$K465,"")</f>
        <v/>
      </c>
      <c r="AO448" s="495" t="str">
        <f>IF(ISNUMBER('Model_ of_individuals'!AO465), 'Model_ of_individuals'!AO465*'Model_ of_individuals'!$K465,"")</f>
        <v/>
      </c>
      <c r="AP448" s="495" t="str">
        <f>IF(ISNUMBER('Model_ of_individuals'!AP465), 'Model_ of_individuals'!AP465*'Model_ of_individuals'!$K465,"")</f>
        <v/>
      </c>
      <c r="AQ448" s="495" t="str">
        <f>IF(ISNUMBER('Model_ of_individuals'!AQ465), 'Model_ of_individuals'!AQ465*'Model_ of_individuals'!$K465,"")</f>
        <v/>
      </c>
      <c r="AR448" s="495" t="str">
        <f>IF(ISNUMBER('Model_ of_individuals'!AR465), 'Model_ of_individuals'!AR465*'Model_ of_individuals'!$K465,"")</f>
        <v/>
      </c>
      <c r="AS448" s="495" t="str">
        <f>IF(ISNUMBER('Model_ of_individuals'!AS465), 'Model_ of_individuals'!AS465*'Model_ of_individuals'!$K465,"")</f>
        <v/>
      </c>
      <c r="AT448" s="495" t="str">
        <f>IF(ISNUMBER('Model_ of_individuals'!AT465), 'Model_ of_individuals'!AT465*'Model_ of_individuals'!$K465,"")</f>
        <v/>
      </c>
      <c r="AU448" s="495" t="str">
        <f>IF(ISNUMBER('Model_ of_individuals'!AU465), 'Model_ of_individuals'!AU465*'Model_ of_individuals'!$K465,"")</f>
        <v/>
      </c>
      <c r="AV448" s="495" t="str">
        <f>IF(ISNUMBER('Model_ of_individuals'!AV465), 'Model_ of_individuals'!AV465*'Model_ of_individuals'!$K465,"")</f>
        <v/>
      </c>
      <c r="AW448" s="495" t="str">
        <f>IF(ISNUMBER('Model_ of_individuals'!AW465), 'Model_ of_individuals'!AW465*'Model_ of_individuals'!$K465,"")</f>
        <v/>
      </c>
    </row>
    <row r="449" spans="1:49" x14ac:dyDescent="0.25">
      <c r="A449" s="518"/>
      <c r="B449" s="504"/>
      <c r="C449" s="521"/>
      <c r="D449" s="94" t="str">
        <f>IF(AND(C448&lt;&gt;"", 'Cost Inputs'!$G$106&lt;&gt;""), 'Cost Inputs'!$G$106, "")</f>
        <v/>
      </c>
      <c r="E449" s="94" t="str">
        <f>IF(AND(C448&lt;&gt;"", 'Cost Inputs'!H279&lt;&gt;""), 'Cost Inputs'!H279, "")</f>
        <v/>
      </c>
      <c r="F449" s="492"/>
      <c r="G449" s="102" t="str">
        <f t="shared" si="32"/>
        <v/>
      </c>
      <c r="H449" s="492"/>
      <c r="I449" s="102" t="str">
        <f>IF($C448&lt;&gt;"", IF(AND($E449&lt;&gt;"", H448&lt;&gt;""), H448/($E448*$E449), 0), "")</f>
        <v/>
      </c>
      <c r="J449" s="492" t="str">
        <f>IF(AND(C449&lt;&gt;"",('Cost Inputs'!$I$86+'Cost Inputs'!$J$86+'Cost Inputs'!$K$86)&gt;0), 'Cost Inputs'!$I$86+'Cost Inputs'!$J$86+'Cost Inputs'!$K$86, "")</f>
        <v/>
      </c>
      <c r="K449" s="102" t="str">
        <f>IF($C448&lt;&gt;"", IF(AND($E449&lt;&gt;"", J448&lt;&gt;""), J448/($E448*$E449), 0), "")</f>
        <v/>
      </c>
      <c r="L449" s="525"/>
      <c r="M449" s="525"/>
      <c r="V449" s="496" t="str">
        <f>IF(ISNUMBER('Model_ of_individuals'!V466), 'Model_ of_individuals'!V466*'Model_ of_individuals'!$K466,"")</f>
        <v/>
      </c>
      <c r="W449" s="496" t="str">
        <f>IF(ISNUMBER('Model_ of_individuals'!W466), 'Model_ of_individuals'!W466*'Model_ of_individuals'!$K466,"")</f>
        <v/>
      </c>
      <c r="X449" s="496" t="str">
        <f>IF(ISNUMBER('Model_ of_individuals'!X466), 'Model_ of_individuals'!X466*'Model_ of_individuals'!$K466,"")</f>
        <v/>
      </c>
      <c r="Y449" s="496" t="str">
        <f>IF(ISNUMBER('Model_ of_individuals'!Y466), 'Model_ of_individuals'!Y466*'Model_ of_individuals'!$K466,"")</f>
        <v/>
      </c>
      <c r="Z449" s="496" t="str">
        <f>IF(ISNUMBER('Model_ of_individuals'!Z466), 'Model_ of_individuals'!Z466*'Model_ of_individuals'!$K466,"")</f>
        <v/>
      </c>
      <c r="AA449" s="496" t="str">
        <f>IF(ISNUMBER('Model_ of_individuals'!AA466), 'Model_ of_individuals'!AA466*'Model_ of_individuals'!$K466,"")</f>
        <v/>
      </c>
      <c r="AB449" s="496" t="str">
        <f>IF(ISNUMBER('Model_ of_individuals'!AB466), 'Model_ of_individuals'!AB466*'Model_ of_individuals'!$K466,"")</f>
        <v/>
      </c>
      <c r="AC449" s="496" t="str">
        <f>IF(ISNUMBER('Model_ of_individuals'!AC466), 'Model_ of_individuals'!AC466*'Model_ of_individuals'!$K466,"")</f>
        <v/>
      </c>
      <c r="AD449" s="496" t="str">
        <f>IF(ISNUMBER('Model_ of_individuals'!AD466), 'Model_ of_individuals'!AD466*'Model_ of_individuals'!$K466,"")</f>
        <v/>
      </c>
      <c r="AE449" s="496" t="str">
        <f>IF(ISNUMBER('Model_ of_individuals'!AE466), 'Model_ of_individuals'!AE466*'Model_ of_individuals'!$K466,"")</f>
        <v/>
      </c>
      <c r="AF449" s="496" t="str">
        <f>IF(ISNUMBER('Model_ of_individuals'!AF466), 'Model_ of_individuals'!AF466*'Model_ of_individuals'!$K466,"")</f>
        <v/>
      </c>
      <c r="AG449" s="496" t="str">
        <f>IF(ISNUMBER('Model_ of_individuals'!AG466), 'Model_ of_individuals'!AG466*'Model_ of_individuals'!$K466,"")</f>
        <v/>
      </c>
      <c r="AH449" s="496" t="str">
        <f>IF(ISNUMBER('Model_ of_individuals'!AH466), 'Model_ of_individuals'!AH466*'Model_ of_individuals'!$K466,"")</f>
        <v/>
      </c>
      <c r="AI449" s="496" t="str">
        <f>IF(ISNUMBER('Model_ of_individuals'!AI466), 'Model_ of_individuals'!AI466*'Model_ of_individuals'!$K466,"")</f>
        <v/>
      </c>
      <c r="AJ449" s="496" t="str">
        <f>IF(ISNUMBER('Model_ of_individuals'!AJ466), 'Model_ of_individuals'!AJ466*'Model_ of_individuals'!$K466,"")</f>
        <v/>
      </c>
      <c r="AK449" s="496" t="str">
        <f>IF(ISNUMBER('Model_ of_individuals'!AK466), 'Model_ of_individuals'!AK466*'Model_ of_individuals'!$K466,"")</f>
        <v/>
      </c>
      <c r="AL449" s="496" t="str">
        <f>IF(ISNUMBER('Model_ of_individuals'!AL466), 'Model_ of_individuals'!AL466*'Model_ of_individuals'!$K466,"")</f>
        <v/>
      </c>
      <c r="AM449" s="496" t="str">
        <f>IF(ISNUMBER('Model_ of_individuals'!AM466), 'Model_ of_individuals'!AM466*'Model_ of_individuals'!$K466,"")</f>
        <v/>
      </c>
      <c r="AN449" s="496" t="str">
        <f>IF(ISNUMBER('Model_ of_individuals'!AN466), 'Model_ of_individuals'!AN466*'Model_ of_individuals'!$K466,"")</f>
        <v/>
      </c>
      <c r="AO449" s="496" t="str">
        <f>IF(ISNUMBER('Model_ of_individuals'!AO466), 'Model_ of_individuals'!AO466*'Model_ of_individuals'!$K466,"")</f>
        <v/>
      </c>
      <c r="AP449" s="496" t="str">
        <f>IF(ISNUMBER('Model_ of_individuals'!AP466), 'Model_ of_individuals'!AP466*'Model_ of_individuals'!$K466,"")</f>
        <v/>
      </c>
      <c r="AQ449" s="496" t="str">
        <f>IF(ISNUMBER('Model_ of_individuals'!AQ466), 'Model_ of_individuals'!AQ466*'Model_ of_individuals'!$K466,"")</f>
        <v/>
      </c>
      <c r="AR449" s="496" t="str">
        <f>IF(ISNUMBER('Model_ of_individuals'!AR466), 'Model_ of_individuals'!AR466*'Model_ of_individuals'!$K466,"")</f>
        <v/>
      </c>
      <c r="AS449" s="496" t="str">
        <f>IF(ISNUMBER('Model_ of_individuals'!AS466), 'Model_ of_individuals'!AS466*'Model_ of_individuals'!$K466,"")</f>
        <v/>
      </c>
      <c r="AT449" s="496" t="str">
        <f>IF(ISNUMBER('Model_ of_individuals'!AT466), 'Model_ of_individuals'!AT466*'Model_ of_individuals'!$K466,"")</f>
        <v/>
      </c>
      <c r="AU449" s="496" t="str">
        <f>IF(ISNUMBER('Model_ of_individuals'!AU466), 'Model_ of_individuals'!AU466*'Model_ of_individuals'!$K466,"")</f>
        <v/>
      </c>
      <c r="AV449" s="496" t="str">
        <f>IF(ISNUMBER('Model_ of_individuals'!AV466), 'Model_ of_individuals'!AV466*'Model_ of_individuals'!$K466,"")</f>
        <v/>
      </c>
      <c r="AW449" s="496" t="str">
        <f>IF(ISNUMBER('Model_ of_individuals'!AW466), 'Model_ of_individuals'!AW466*'Model_ of_individuals'!$K466,"")</f>
        <v/>
      </c>
    </row>
    <row r="450" spans="1:49" x14ac:dyDescent="0.25">
      <c r="A450" s="518"/>
      <c r="B450" s="504"/>
      <c r="C450" s="104" t="str">
        <f>IF(AND(ISNUMBER(B448), OR('Cost Inputs'!$H$107&lt;&gt;"", 'Cost Inputs'!$I$107&lt;&gt;"", 'Cost Inputs'!$J$107&lt;&gt;"")), _4_3_1, "")</f>
        <v/>
      </c>
      <c r="D450" s="17" t="str">
        <f>IF(AND(C450&lt;&gt;"", 'Cost Inputs'!$G$107&lt;&gt;""), 'Cost Inputs'!$G$107, "")</f>
        <v/>
      </c>
      <c r="E450" s="17" t="str">
        <f>IF(AND(C450&lt;&gt;"", 'Cost Inputs'!$H$107&lt;&gt;""), 'Cost Inputs'!$H$107, "")</f>
        <v/>
      </c>
      <c r="F450" s="17" t="str">
        <f>IF(AND(C450&lt;&gt;"", 'Cost Inputs'!$I$107&lt;&gt;""), 'Cost Inputs'!$I$107, "")</f>
        <v/>
      </c>
      <c r="G450" s="105" t="str">
        <f t="shared" si="32"/>
        <v/>
      </c>
      <c r="H450" s="17" t="str">
        <f>IF(AND(C450&lt;&gt;"", 'Cost Inputs'!$J$107&lt;&gt;""), 'Cost Inputs'!$J$107, "")</f>
        <v/>
      </c>
      <c r="I450" s="17" t="str">
        <f t="shared" ref="I450:I458" si="37">IF($C450&lt;&gt;"", IF(AND($E450&lt;&gt;"", H450&lt;&gt;""), H450/$E450, 0),"")</f>
        <v/>
      </c>
      <c r="J450" s="17" t="str">
        <f>IF(AND(C450&lt;&gt;"",('Cost Inputs'!$I$107+'Cost Inputs'!$J$107+'Cost Inputs'!$K$107)&gt;0), 'Cost Inputs'!$I$107+'Cost Inputs'!$J$107+'Cost Inputs'!$K$107, "")</f>
        <v/>
      </c>
      <c r="K450" s="17" t="str">
        <f t="shared" ref="K450:K458" si="38">IF($C450&lt;&gt;"", IF(AND($E450&lt;&gt;"", J450&lt;&gt;""), J450/$E450, 0),"")</f>
        <v/>
      </c>
      <c r="L450" s="525"/>
      <c r="M450" s="525"/>
      <c r="V450" s="17" t="str">
        <f>IF(ISNUMBER('Model_ of_individuals'!V467), 'Model_ of_individuals'!V467*'Model_ of_individuals'!$K467,"")</f>
        <v/>
      </c>
      <c r="W450" s="17" t="str">
        <f>IF(ISNUMBER('Model_ of_individuals'!W467), 'Model_ of_individuals'!W467*'Model_ of_individuals'!$K467,"")</f>
        <v/>
      </c>
      <c r="X450" s="17" t="str">
        <f>IF(ISNUMBER('Model_ of_individuals'!X467), 'Model_ of_individuals'!X467*'Model_ of_individuals'!$K467,"")</f>
        <v/>
      </c>
      <c r="Y450" s="17" t="str">
        <f>IF(ISNUMBER('Model_ of_individuals'!Y467), 'Model_ of_individuals'!Y467*'Model_ of_individuals'!$K467,"")</f>
        <v/>
      </c>
      <c r="Z450" s="17" t="str">
        <f>IF(ISNUMBER('Model_ of_individuals'!Z467), 'Model_ of_individuals'!Z467*'Model_ of_individuals'!$K467,"")</f>
        <v/>
      </c>
      <c r="AA450" s="17" t="str">
        <f>IF(ISNUMBER('Model_ of_individuals'!AA467), 'Model_ of_individuals'!AA467*'Model_ of_individuals'!$K467,"")</f>
        <v/>
      </c>
      <c r="AB450" s="17" t="str">
        <f>IF(ISNUMBER('Model_ of_individuals'!AB467), 'Model_ of_individuals'!AB467*'Model_ of_individuals'!$K467,"")</f>
        <v/>
      </c>
      <c r="AC450" s="17" t="str">
        <f>IF(ISNUMBER('Model_ of_individuals'!AC467), 'Model_ of_individuals'!AC467*'Model_ of_individuals'!$K467,"")</f>
        <v/>
      </c>
      <c r="AD450" s="17" t="str">
        <f>IF(ISNUMBER('Model_ of_individuals'!AD467), 'Model_ of_individuals'!AD467*'Model_ of_individuals'!$K467,"")</f>
        <v/>
      </c>
      <c r="AE450" s="17" t="str">
        <f>IF(ISNUMBER('Model_ of_individuals'!AE467), 'Model_ of_individuals'!AE467*'Model_ of_individuals'!$K467,"")</f>
        <v/>
      </c>
      <c r="AF450" s="17" t="str">
        <f>IF(ISNUMBER('Model_ of_individuals'!AF467), 'Model_ of_individuals'!AF467*'Model_ of_individuals'!$K467,"")</f>
        <v/>
      </c>
      <c r="AG450" s="17" t="str">
        <f>IF(ISNUMBER('Model_ of_individuals'!AG467), 'Model_ of_individuals'!AG467*'Model_ of_individuals'!$K467,"")</f>
        <v/>
      </c>
      <c r="AH450" s="17" t="str">
        <f>IF(ISNUMBER('Model_ of_individuals'!AH467), 'Model_ of_individuals'!AH467*'Model_ of_individuals'!$K467,"")</f>
        <v/>
      </c>
      <c r="AI450" s="17" t="str">
        <f>IF(ISNUMBER('Model_ of_individuals'!AI467), 'Model_ of_individuals'!AI467*'Model_ of_individuals'!$K467,"")</f>
        <v/>
      </c>
      <c r="AJ450" s="17" t="str">
        <f>IF(ISNUMBER('Model_ of_individuals'!AJ467), 'Model_ of_individuals'!AJ467*'Model_ of_individuals'!$K467,"")</f>
        <v/>
      </c>
      <c r="AK450" s="17" t="str">
        <f>IF(ISNUMBER('Model_ of_individuals'!AK467), 'Model_ of_individuals'!AK467*'Model_ of_individuals'!$K467,"")</f>
        <v/>
      </c>
      <c r="AL450" s="17" t="str">
        <f>IF(ISNUMBER('Model_ of_individuals'!AL467), 'Model_ of_individuals'!AL467*'Model_ of_individuals'!$K467,"")</f>
        <v/>
      </c>
      <c r="AM450" s="17" t="str">
        <f>IF(ISNUMBER('Model_ of_individuals'!AM467), 'Model_ of_individuals'!AM467*'Model_ of_individuals'!$K467,"")</f>
        <v/>
      </c>
      <c r="AN450" s="17" t="str">
        <f>IF(ISNUMBER('Model_ of_individuals'!AN467), 'Model_ of_individuals'!AN467*'Model_ of_individuals'!$K467,"")</f>
        <v/>
      </c>
      <c r="AO450" s="17" t="str">
        <f>IF(ISNUMBER('Model_ of_individuals'!AO467), 'Model_ of_individuals'!AO467*'Model_ of_individuals'!$K467,"")</f>
        <v/>
      </c>
      <c r="AP450" s="17" t="str">
        <f>IF(ISNUMBER('Model_ of_individuals'!AP467), 'Model_ of_individuals'!AP467*'Model_ of_individuals'!$K467,"")</f>
        <v/>
      </c>
      <c r="AQ450" s="17" t="str">
        <f>IF(ISNUMBER('Model_ of_individuals'!AQ467), 'Model_ of_individuals'!AQ467*'Model_ of_individuals'!$K467,"")</f>
        <v/>
      </c>
      <c r="AR450" s="17" t="str">
        <f>IF(ISNUMBER('Model_ of_individuals'!AR467), 'Model_ of_individuals'!AR467*'Model_ of_individuals'!$K467,"")</f>
        <v/>
      </c>
      <c r="AS450" s="17" t="str">
        <f>IF(ISNUMBER('Model_ of_individuals'!AS467), 'Model_ of_individuals'!AS467*'Model_ of_individuals'!$K467,"")</f>
        <v/>
      </c>
      <c r="AT450" s="17" t="str">
        <f>IF(ISNUMBER('Model_ of_individuals'!AT467), 'Model_ of_individuals'!AT467*'Model_ of_individuals'!$K467,"")</f>
        <v/>
      </c>
      <c r="AU450" s="17" t="str">
        <f>IF(ISNUMBER('Model_ of_individuals'!AU467), 'Model_ of_individuals'!AU467*'Model_ of_individuals'!$K467,"")</f>
        <v/>
      </c>
      <c r="AV450" s="17" t="str">
        <f>IF(ISNUMBER('Model_ of_individuals'!AV467), 'Model_ of_individuals'!AV467*'Model_ of_individuals'!$K467,"")</f>
        <v/>
      </c>
      <c r="AW450" s="17" t="str">
        <f>IF(ISNUMBER('Model_ of_individuals'!AW467), 'Model_ of_individuals'!AW467*'Model_ of_individuals'!$K467,"")</f>
        <v/>
      </c>
    </row>
    <row r="451" spans="1:49" x14ac:dyDescent="0.25">
      <c r="A451" s="518"/>
      <c r="B451" s="504"/>
      <c r="C451" s="107" t="str">
        <f>IF(AND(ISNUMBER(B448), OR('Cost Inputs'!$H$108&lt;&gt;"", 'Cost Inputs'!$I$108&lt;&gt;"", 'Cost Inputs'!$J$108&lt;&gt;"")), _4_3_2, "")</f>
        <v/>
      </c>
      <c r="D451" s="93" t="str">
        <f>IF(AND(C451&lt;&gt;"", 'Cost Inputs'!$G$108&lt;&gt;""), 'Cost Inputs'!$G$108, "")</f>
        <v/>
      </c>
      <c r="E451" s="93" t="str">
        <f>IF(AND(C451&lt;&gt;"", 'Cost Inputs'!$H$108&lt;&gt;""), 'Cost Inputs'!$H$108, "")</f>
        <v/>
      </c>
      <c r="F451" s="93" t="str">
        <f>IF(AND(C451&lt;&gt;"", 'Cost Inputs'!$I$108&lt;&gt;""), 'Cost Inputs'!$I$108, "")</f>
        <v/>
      </c>
      <c r="G451" s="108" t="str">
        <f t="shared" si="32"/>
        <v/>
      </c>
      <c r="H451" s="93" t="str">
        <f>IF(AND(C451&lt;&gt;"", 'Cost Inputs'!$J$108&lt;&gt;""), 'Cost Inputs'!$J$108, "")</f>
        <v/>
      </c>
      <c r="I451" s="93" t="str">
        <f t="shared" si="37"/>
        <v/>
      </c>
      <c r="J451" s="93" t="str">
        <f>IF(AND(C451&lt;&gt;"",('Cost Inputs'!$I$108+'Cost Inputs'!$J$108+'Cost Inputs'!$K$108)&gt;0), 'Cost Inputs'!$I$108+'Cost Inputs'!$J$108+'Cost Inputs'!$K$108, "")</f>
        <v/>
      </c>
      <c r="K451" s="93" t="str">
        <f t="shared" si="38"/>
        <v/>
      </c>
      <c r="L451" s="525"/>
      <c r="M451" s="525"/>
      <c r="V451" s="93" t="str">
        <f>IF(ISNUMBER('Model_ of_individuals'!V468), 'Model_ of_individuals'!V468*'Model_ of_individuals'!$K468,"")</f>
        <v/>
      </c>
      <c r="W451" s="93" t="str">
        <f>IF(ISNUMBER('Model_ of_individuals'!W468), 'Model_ of_individuals'!W468*'Model_ of_individuals'!$K468,"")</f>
        <v/>
      </c>
      <c r="X451" s="93" t="str">
        <f>IF(ISNUMBER('Model_ of_individuals'!X468), 'Model_ of_individuals'!X468*'Model_ of_individuals'!$K468,"")</f>
        <v/>
      </c>
      <c r="Y451" s="93" t="str">
        <f>IF(ISNUMBER('Model_ of_individuals'!Y468), 'Model_ of_individuals'!Y468*'Model_ of_individuals'!$K468,"")</f>
        <v/>
      </c>
      <c r="Z451" s="93" t="str">
        <f>IF(ISNUMBER('Model_ of_individuals'!Z468), 'Model_ of_individuals'!Z468*'Model_ of_individuals'!$K468,"")</f>
        <v/>
      </c>
      <c r="AA451" s="93" t="str">
        <f>IF(ISNUMBER('Model_ of_individuals'!AA468), 'Model_ of_individuals'!AA468*'Model_ of_individuals'!$K468,"")</f>
        <v/>
      </c>
      <c r="AB451" s="93" t="str">
        <f>IF(ISNUMBER('Model_ of_individuals'!AB468), 'Model_ of_individuals'!AB468*'Model_ of_individuals'!$K468,"")</f>
        <v/>
      </c>
      <c r="AC451" s="93" t="str">
        <f>IF(ISNUMBER('Model_ of_individuals'!AC468), 'Model_ of_individuals'!AC468*'Model_ of_individuals'!$K468,"")</f>
        <v/>
      </c>
      <c r="AD451" s="93" t="str">
        <f>IF(ISNUMBER('Model_ of_individuals'!AD468), 'Model_ of_individuals'!AD468*'Model_ of_individuals'!$K468,"")</f>
        <v/>
      </c>
      <c r="AE451" s="93" t="str">
        <f>IF(ISNUMBER('Model_ of_individuals'!AE468), 'Model_ of_individuals'!AE468*'Model_ of_individuals'!$K468,"")</f>
        <v/>
      </c>
      <c r="AF451" s="93" t="str">
        <f>IF(ISNUMBER('Model_ of_individuals'!AF468), 'Model_ of_individuals'!AF468*'Model_ of_individuals'!$K468,"")</f>
        <v/>
      </c>
      <c r="AG451" s="93" t="str">
        <f>IF(ISNUMBER('Model_ of_individuals'!AG468), 'Model_ of_individuals'!AG468*'Model_ of_individuals'!$K468,"")</f>
        <v/>
      </c>
      <c r="AH451" s="93" t="str">
        <f>IF(ISNUMBER('Model_ of_individuals'!AH468), 'Model_ of_individuals'!AH468*'Model_ of_individuals'!$K468,"")</f>
        <v/>
      </c>
      <c r="AI451" s="93" t="str">
        <f>IF(ISNUMBER('Model_ of_individuals'!AI468), 'Model_ of_individuals'!AI468*'Model_ of_individuals'!$K468,"")</f>
        <v/>
      </c>
      <c r="AJ451" s="93" t="str">
        <f>IF(ISNUMBER('Model_ of_individuals'!AJ468), 'Model_ of_individuals'!AJ468*'Model_ of_individuals'!$K468,"")</f>
        <v/>
      </c>
      <c r="AK451" s="93" t="str">
        <f>IF(ISNUMBER('Model_ of_individuals'!AK468), 'Model_ of_individuals'!AK468*'Model_ of_individuals'!$K468,"")</f>
        <v/>
      </c>
      <c r="AL451" s="93" t="str">
        <f>IF(ISNUMBER('Model_ of_individuals'!AL468), 'Model_ of_individuals'!AL468*'Model_ of_individuals'!$K468,"")</f>
        <v/>
      </c>
      <c r="AM451" s="93" t="str">
        <f>IF(ISNUMBER('Model_ of_individuals'!AM468), 'Model_ of_individuals'!AM468*'Model_ of_individuals'!$K468,"")</f>
        <v/>
      </c>
      <c r="AN451" s="93" t="str">
        <f>IF(ISNUMBER('Model_ of_individuals'!AN468), 'Model_ of_individuals'!AN468*'Model_ of_individuals'!$K468,"")</f>
        <v/>
      </c>
      <c r="AO451" s="93" t="str">
        <f>IF(ISNUMBER('Model_ of_individuals'!AO468), 'Model_ of_individuals'!AO468*'Model_ of_individuals'!$K468,"")</f>
        <v/>
      </c>
      <c r="AP451" s="93" t="str">
        <f>IF(ISNUMBER('Model_ of_individuals'!AP468), 'Model_ of_individuals'!AP468*'Model_ of_individuals'!$K468,"")</f>
        <v/>
      </c>
      <c r="AQ451" s="93" t="str">
        <f>IF(ISNUMBER('Model_ of_individuals'!AQ468), 'Model_ of_individuals'!AQ468*'Model_ of_individuals'!$K468,"")</f>
        <v/>
      </c>
      <c r="AR451" s="93" t="str">
        <f>IF(ISNUMBER('Model_ of_individuals'!AR468), 'Model_ of_individuals'!AR468*'Model_ of_individuals'!$K468,"")</f>
        <v/>
      </c>
      <c r="AS451" s="93" t="str">
        <f>IF(ISNUMBER('Model_ of_individuals'!AS468), 'Model_ of_individuals'!AS468*'Model_ of_individuals'!$K468,"")</f>
        <v/>
      </c>
      <c r="AT451" s="93" t="str">
        <f>IF(ISNUMBER('Model_ of_individuals'!AT468), 'Model_ of_individuals'!AT468*'Model_ of_individuals'!$K468,"")</f>
        <v/>
      </c>
      <c r="AU451" s="93" t="str">
        <f>IF(ISNUMBER('Model_ of_individuals'!AU468), 'Model_ of_individuals'!AU468*'Model_ of_individuals'!$K468,"")</f>
        <v/>
      </c>
      <c r="AV451" s="93" t="str">
        <f>IF(ISNUMBER('Model_ of_individuals'!AV468), 'Model_ of_individuals'!AV468*'Model_ of_individuals'!$K468,"")</f>
        <v/>
      </c>
      <c r="AW451" s="93" t="str">
        <f>IF(ISNUMBER('Model_ of_individuals'!AW468), 'Model_ of_individuals'!AW468*'Model_ of_individuals'!$K468,"")</f>
        <v/>
      </c>
    </row>
    <row r="452" spans="1:49" x14ac:dyDescent="0.25">
      <c r="A452" s="518"/>
      <c r="B452" s="504"/>
      <c r="C452" s="110" t="str">
        <f>IF(ISNUMBER(B448), _4_4_0, "")</f>
        <v/>
      </c>
      <c r="D452" s="94" t="str">
        <f>IF(AND(C452&lt;&gt;"", 'Cost Inputs'!$G$109&lt;&gt;""), 'Cost Inputs'!$G$109, "")</f>
        <v/>
      </c>
      <c r="E452" s="94" t="str">
        <f>IF(AND(C452&lt;&gt;"", 'Cost Inputs'!$H$109&lt;&gt;""), 'Cost Inputs'!$H$109, "")</f>
        <v/>
      </c>
      <c r="F452" s="94" t="str">
        <f>IF(AND(C452&lt;&gt;"", 'Cost Inputs'!$I$109&lt;&gt;""), 'Cost Inputs'!$I$109, "")</f>
        <v/>
      </c>
      <c r="G452" s="102" t="str">
        <f t="shared" si="32"/>
        <v/>
      </c>
      <c r="H452" s="102" t="str">
        <f>IF(AND(C452&lt;&gt;"", 'Cost Inputs'!$J$109&lt;&gt;""), 'Cost Inputs'!$J$109, "")</f>
        <v/>
      </c>
      <c r="I452" s="102" t="str">
        <f t="shared" si="37"/>
        <v/>
      </c>
      <c r="J452" s="102" t="str">
        <f>IF(AND(C452&lt;&gt;"",('Cost Inputs'!$I$109+'Cost Inputs'!$J$109+'Cost Inputs'!$K$109)&gt;0), 'Cost Inputs'!$I$109+'Cost Inputs'!$J$109+'Cost Inputs'!$K$109, "")</f>
        <v/>
      </c>
      <c r="K452" s="102" t="str">
        <f t="shared" si="38"/>
        <v/>
      </c>
      <c r="L452" s="525"/>
      <c r="M452" s="525"/>
      <c r="V452" s="102" t="str">
        <f>IF(ISNUMBER('Model_ of_individuals'!V469), 'Model_ of_individuals'!V469*'Model_ of_individuals'!$K469,"")</f>
        <v/>
      </c>
      <c r="W452" s="102" t="str">
        <f>IF(ISNUMBER('Model_ of_individuals'!W469), 'Model_ of_individuals'!W469*'Model_ of_individuals'!$K469,"")</f>
        <v/>
      </c>
      <c r="X452" s="102" t="str">
        <f>IF(ISNUMBER('Model_ of_individuals'!X469), 'Model_ of_individuals'!X469*'Model_ of_individuals'!$K469,"")</f>
        <v/>
      </c>
      <c r="Y452" s="102" t="str">
        <f>IF(ISNUMBER('Model_ of_individuals'!Y469), 'Model_ of_individuals'!Y469*'Model_ of_individuals'!$K469,"")</f>
        <v/>
      </c>
      <c r="Z452" s="102" t="str">
        <f>IF(ISNUMBER('Model_ of_individuals'!Z469), 'Model_ of_individuals'!Z469*'Model_ of_individuals'!$K469,"")</f>
        <v/>
      </c>
      <c r="AA452" s="102" t="str">
        <f>IF(ISNUMBER('Model_ of_individuals'!AA469), 'Model_ of_individuals'!AA469*'Model_ of_individuals'!$K469,"")</f>
        <v/>
      </c>
      <c r="AB452" s="102" t="str">
        <f>IF(ISNUMBER('Model_ of_individuals'!AB469), 'Model_ of_individuals'!AB469*'Model_ of_individuals'!$K469,"")</f>
        <v/>
      </c>
      <c r="AC452" s="102" t="str">
        <f>IF(ISNUMBER('Model_ of_individuals'!AC469), 'Model_ of_individuals'!AC469*'Model_ of_individuals'!$K469,"")</f>
        <v/>
      </c>
      <c r="AD452" s="102" t="str">
        <f>IF(ISNUMBER('Model_ of_individuals'!AD469), 'Model_ of_individuals'!AD469*'Model_ of_individuals'!$K469,"")</f>
        <v/>
      </c>
      <c r="AE452" s="102" t="str">
        <f>IF(ISNUMBER('Model_ of_individuals'!AE469), 'Model_ of_individuals'!AE469*'Model_ of_individuals'!$K469,"")</f>
        <v/>
      </c>
      <c r="AF452" s="102" t="str">
        <f>IF(ISNUMBER('Model_ of_individuals'!AF469), 'Model_ of_individuals'!AF469*'Model_ of_individuals'!$K469,"")</f>
        <v/>
      </c>
      <c r="AG452" s="102" t="str">
        <f>IF(ISNUMBER('Model_ of_individuals'!AG469), 'Model_ of_individuals'!AG469*'Model_ of_individuals'!$K469,"")</f>
        <v/>
      </c>
      <c r="AH452" s="102" t="str">
        <f>IF(ISNUMBER('Model_ of_individuals'!AH469), 'Model_ of_individuals'!AH469*'Model_ of_individuals'!$K469,"")</f>
        <v/>
      </c>
      <c r="AI452" s="102" t="str">
        <f>IF(ISNUMBER('Model_ of_individuals'!AI469), 'Model_ of_individuals'!AI469*'Model_ of_individuals'!$K469,"")</f>
        <v/>
      </c>
      <c r="AJ452" s="102" t="str">
        <f>IF(ISNUMBER('Model_ of_individuals'!AJ469), 'Model_ of_individuals'!AJ469*'Model_ of_individuals'!$K469,"")</f>
        <v/>
      </c>
      <c r="AK452" s="102" t="str">
        <f>IF(ISNUMBER('Model_ of_individuals'!AK469), 'Model_ of_individuals'!AK469*'Model_ of_individuals'!$K469,"")</f>
        <v/>
      </c>
      <c r="AL452" s="102" t="str">
        <f>IF(ISNUMBER('Model_ of_individuals'!AL469), 'Model_ of_individuals'!AL469*'Model_ of_individuals'!$K469,"")</f>
        <v/>
      </c>
      <c r="AM452" s="102" t="str">
        <f>IF(ISNUMBER('Model_ of_individuals'!AM469), 'Model_ of_individuals'!AM469*'Model_ of_individuals'!$K469,"")</f>
        <v/>
      </c>
      <c r="AN452" s="102" t="str">
        <f>IF(ISNUMBER('Model_ of_individuals'!AN469), 'Model_ of_individuals'!AN469*'Model_ of_individuals'!$K469,"")</f>
        <v/>
      </c>
      <c r="AO452" s="102" t="str">
        <f>IF(ISNUMBER('Model_ of_individuals'!AO469), 'Model_ of_individuals'!AO469*'Model_ of_individuals'!$K469,"")</f>
        <v/>
      </c>
      <c r="AP452" s="102" t="str">
        <f>IF(ISNUMBER('Model_ of_individuals'!AP469), 'Model_ of_individuals'!AP469*'Model_ of_individuals'!$K469,"")</f>
        <v/>
      </c>
      <c r="AQ452" s="102" t="str">
        <f>IF(ISNUMBER('Model_ of_individuals'!AQ469), 'Model_ of_individuals'!AQ469*'Model_ of_individuals'!$K469,"")</f>
        <v/>
      </c>
      <c r="AR452" s="102" t="str">
        <f>IF(ISNUMBER('Model_ of_individuals'!AR469), 'Model_ of_individuals'!AR469*'Model_ of_individuals'!$K469,"")</f>
        <v/>
      </c>
      <c r="AS452" s="102" t="str">
        <f>IF(ISNUMBER('Model_ of_individuals'!AS469), 'Model_ of_individuals'!AS469*'Model_ of_individuals'!$K469,"")</f>
        <v/>
      </c>
      <c r="AT452" s="102" t="str">
        <f>IF(ISNUMBER('Model_ of_individuals'!AT469), 'Model_ of_individuals'!AT469*'Model_ of_individuals'!$K469,"")</f>
        <v/>
      </c>
      <c r="AU452" s="102" t="str">
        <f>IF(ISNUMBER('Model_ of_individuals'!AU469), 'Model_ of_individuals'!AU469*'Model_ of_individuals'!$K469,"")</f>
        <v/>
      </c>
      <c r="AV452" s="102" t="str">
        <f>IF(ISNUMBER('Model_ of_individuals'!AV469), 'Model_ of_individuals'!AV469*'Model_ of_individuals'!$K469,"")</f>
        <v/>
      </c>
      <c r="AW452" s="102" t="str">
        <f>IF(ISNUMBER('Model_ of_individuals'!AW469), 'Model_ of_individuals'!AW469*'Model_ of_individuals'!$K469,"")</f>
        <v/>
      </c>
    </row>
    <row r="453" spans="1:49" x14ac:dyDescent="0.25">
      <c r="A453" s="518"/>
      <c r="B453" s="504"/>
      <c r="C453" s="104" t="str">
        <f>IF(AND(ISNUMBER(B448), OR('Cost Inputs'!$H$110&lt;&gt;"", 'Cost Inputs'!$I$110&lt;&gt;"", 'Cost Inputs'!$J$110&lt;&gt;"")), _4_4_1, "")</f>
        <v/>
      </c>
      <c r="D453" s="17" t="str">
        <f>IF(AND(C453&lt;&gt;"", 'Cost Inputs'!$G$110&lt;&gt;""), 'Cost Inputs'!$G$110, "")</f>
        <v/>
      </c>
      <c r="E453" s="17" t="str">
        <f>IF(AND(C453&lt;&gt;"", 'Cost Inputs'!$H$110&lt;&gt;""), 'Cost Inputs'!$H$110, "")</f>
        <v/>
      </c>
      <c r="F453" s="17" t="str">
        <f>IF(AND(C453&lt;&gt;"", 'Cost Inputs'!$I$110&lt;&gt;""), 'Cost Inputs'!$I$110, "")</f>
        <v/>
      </c>
      <c r="G453" s="105" t="str">
        <f t="shared" si="32"/>
        <v/>
      </c>
      <c r="H453" s="17" t="str">
        <f>IF(AND(C453&lt;&gt;"", 'Cost Inputs'!$J$110&lt;&gt;""), 'Cost Inputs'!$J$110, "")</f>
        <v/>
      </c>
      <c r="I453" s="17" t="str">
        <f t="shared" si="37"/>
        <v/>
      </c>
      <c r="J453" s="17" t="str">
        <f>IF(AND(C453&lt;&gt;"",('Cost Inputs'!$I$110+'Cost Inputs'!$J$110+'Cost Inputs'!$K$110)&gt;0), 'Cost Inputs'!$I$110+'Cost Inputs'!$J$110+'Cost Inputs'!$K$110, "")</f>
        <v/>
      </c>
      <c r="K453" s="17" t="str">
        <f t="shared" si="38"/>
        <v/>
      </c>
      <c r="L453" s="525"/>
      <c r="M453" s="525"/>
      <c r="V453" s="17" t="str">
        <f>IF(ISNUMBER('Model_ of_individuals'!V470), 'Model_ of_individuals'!V470*'Model_ of_individuals'!$K470,"")</f>
        <v/>
      </c>
      <c r="W453" s="17" t="str">
        <f>IF(ISNUMBER('Model_ of_individuals'!W470), 'Model_ of_individuals'!W470*'Model_ of_individuals'!$K470,"")</f>
        <v/>
      </c>
      <c r="X453" s="17" t="str">
        <f>IF(ISNUMBER('Model_ of_individuals'!X470), 'Model_ of_individuals'!X470*'Model_ of_individuals'!$K470,"")</f>
        <v/>
      </c>
      <c r="Y453" s="17" t="str">
        <f>IF(ISNUMBER('Model_ of_individuals'!Y470), 'Model_ of_individuals'!Y470*'Model_ of_individuals'!$K470,"")</f>
        <v/>
      </c>
      <c r="Z453" s="17" t="str">
        <f>IF(ISNUMBER('Model_ of_individuals'!Z470), 'Model_ of_individuals'!Z470*'Model_ of_individuals'!$K470,"")</f>
        <v/>
      </c>
      <c r="AA453" s="17" t="str">
        <f>IF(ISNUMBER('Model_ of_individuals'!AA470), 'Model_ of_individuals'!AA470*'Model_ of_individuals'!$K470,"")</f>
        <v/>
      </c>
      <c r="AB453" s="17" t="str">
        <f>IF(ISNUMBER('Model_ of_individuals'!AB470), 'Model_ of_individuals'!AB470*'Model_ of_individuals'!$K470,"")</f>
        <v/>
      </c>
      <c r="AC453" s="17" t="str">
        <f>IF(ISNUMBER('Model_ of_individuals'!AC470), 'Model_ of_individuals'!AC470*'Model_ of_individuals'!$K470,"")</f>
        <v/>
      </c>
      <c r="AD453" s="17" t="str">
        <f>IF(ISNUMBER('Model_ of_individuals'!AD470), 'Model_ of_individuals'!AD470*'Model_ of_individuals'!$K470,"")</f>
        <v/>
      </c>
      <c r="AE453" s="17" t="str">
        <f>IF(ISNUMBER('Model_ of_individuals'!AE470), 'Model_ of_individuals'!AE470*'Model_ of_individuals'!$K470,"")</f>
        <v/>
      </c>
      <c r="AF453" s="17" t="str">
        <f>IF(ISNUMBER('Model_ of_individuals'!AF470), 'Model_ of_individuals'!AF470*'Model_ of_individuals'!$K470,"")</f>
        <v/>
      </c>
      <c r="AG453" s="17" t="str">
        <f>IF(ISNUMBER('Model_ of_individuals'!AG470), 'Model_ of_individuals'!AG470*'Model_ of_individuals'!$K470,"")</f>
        <v/>
      </c>
      <c r="AH453" s="17" t="str">
        <f>IF(ISNUMBER('Model_ of_individuals'!AH470), 'Model_ of_individuals'!AH470*'Model_ of_individuals'!$K470,"")</f>
        <v/>
      </c>
      <c r="AI453" s="17" t="str">
        <f>IF(ISNUMBER('Model_ of_individuals'!AI470), 'Model_ of_individuals'!AI470*'Model_ of_individuals'!$K470,"")</f>
        <v/>
      </c>
      <c r="AJ453" s="17" t="str">
        <f>IF(ISNUMBER('Model_ of_individuals'!AJ470), 'Model_ of_individuals'!AJ470*'Model_ of_individuals'!$K470,"")</f>
        <v/>
      </c>
      <c r="AK453" s="17" t="str">
        <f>IF(ISNUMBER('Model_ of_individuals'!AK470), 'Model_ of_individuals'!AK470*'Model_ of_individuals'!$K470,"")</f>
        <v/>
      </c>
      <c r="AL453" s="17" t="str">
        <f>IF(ISNUMBER('Model_ of_individuals'!AL470), 'Model_ of_individuals'!AL470*'Model_ of_individuals'!$K470,"")</f>
        <v/>
      </c>
      <c r="AM453" s="17" t="str">
        <f>IF(ISNUMBER('Model_ of_individuals'!AM470), 'Model_ of_individuals'!AM470*'Model_ of_individuals'!$K470,"")</f>
        <v/>
      </c>
      <c r="AN453" s="17" t="str">
        <f>IF(ISNUMBER('Model_ of_individuals'!AN470), 'Model_ of_individuals'!AN470*'Model_ of_individuals'!$K470,"")</f>
        <v/>
      </c>
      <c r="AO453" s="17" t="str">
        <f>IF(ISNUMBER('Model_ of_individuals'!AO470), 'Model_ of_individuals'!AO470*'Model_ of_individuals'!$K470,"")</f>
        <v/>
      </c>
      <c r="AP453" s="17" t="str">
        <f>IF(ISNUMBER('Model_ of_individuals'!AP470), 'Model_ of_individuals'!AP470*'Model_ of_individuals'!$K470,"")</f>
        <v/>
      </c>
      <c r="AQ453" s="17" t="str">
        <f>IF(ISNUMBER('Model_ of_individuals'!AQ470), 'Model_ of_individuals'!AQ470*'Model_ of_individuals'!$K470,"")</f>
        <v/>
      </c>
      <c r="AR453" s="17" t="str">
        <f>IF(ISNUMBER('Model_ of_individuals'!AR470), 'Model_ of_individuals'!AR470*'Model_ of_individuals'!$K470,"")</f>
        <v/>
      </c>
      <c r="AS453" s="17" t="str">
        <f>IF(ISNUMBER('Model_ of_individuals'!AS470), 'Model_ of_individuals'!AS470*'Model_ of_individuals'!$K470,"")</f>
        <v/>
      </c>
      <c r="AT453" s="17" t="str">
        <f>IF(ISNUMBER('Model_ of_individuals'!AT470), 'Model_ of_individuals'!AT470*'Model_ of_individuals'!$K470,"")</f>
        <v/>
      </c>
      <c r="AU453" s="17" t="str">
        <f>IF(ISNUMBER('Model_ of_individuals'!AU470), 'Model_ of_individuals'!AU470*'Model_ of_individuals'!$K470,"")</f>
        <v/>
      </c>
      <c r="AV453" s="17" t="str">
        <f>IF(ISNUMBER('Model_ of_individuals'!AV470), 'Model_ of_individuals'!AV470*'Model_ of_individuals'!$K470,"")</f>
        <v/>
      </c>
      <c r="AW453" s="17" t="str">
        <f>IF(ISNUMBER('Model_ of_individuals'!AW470), 'Model_ of_individuals'!AW470*'Model_ of_individuals'!$K470,"")</f>
        <v/>
      </c>
    </row>
    <row r="454" spans="1:49" x14ac:dyDescent="0.25">
      <c r="A454" s="518"/>
      <c r="B454" s="504"/>
      <c r="C454" s="107" t="str">
        <f>IF(AND(ISNUMBER(B448), OR('Cost Inputs'!$H$111&lt;&gt;"", 'Cost Inputs'!$I$111&lt;&gt;"", 'Cost Inputs'!$J$111&lt;&gt;"")), _4_4_2, "")</f>
        <v/>
      </c>
      <c r="D454" s="93" t="str">
        <f>IF(AND(C454&lt;&gt;"", 'Cost Inputs'!$G$111&lt;&gt;""), 'Cost Inputs'!$G$111, "")</f>
        <v/>
      </c>
      <c r="E454" s="93" t="str">
        <f>IF(AND(C454&lt;&gt;"", 'Cost Inputs'!$H$111&lt;&gt;""), 'Cost Inputs'!$H$111, "")</f>
        <v/>
      </c>
      <c r="F454" s="93" t="str">
        <f>IF(AND(C454&lt;&gt;"", 'Cost Inputs'!$I$111&lt;&gt;""), 'Cost Inputs'!$I$111, "")</f>
        <v/>
      </c>
      <c r="G454" s="108" t="str">
        <f t="shared" si="32"/>
        <v/>
      </c>
      <c r="H454" s="93" t="str">
        <f>IF(AND(C454&lt;&gt;"", 'Cost Inputs'!$J$111&lt;&gt;""), 'Cost Inputs'!$J$111, "")</f>
        <v/>
      </c>
      <c r="I454" s="93" t="str">
        <f t="shared" si="37"/>
        <v/>
      </c>
      <c r="J454" s="93" t="str">
        <f>IF(AND(C454&lt;&gt;"",('Cost Inputs'!$I$111+'Cost Inputs'!$J$111+'Cost Inputs'!$K$111)&gt;0), 'Cost Inputs'!$I$111+'Cost Inputs'!$J$111+'Cost Inputs'!$K$111, "")</f>
        <v/>
      </c>
      <c r="K454" s="93" t="str">
        <f t="shared" si="38"/>
        <v/>
      </c>
      <c r="L454" s="525"/>
      <c r="M454" s="525"/>
      <c r="V454" s="93" t="str">
        <f>IF(ISNUMBER('Model_ of_individuals'!V471), 'Model_ of_individuals'!V471*'Model_ of_individuals'!$K471,"")</f>
        <v/>
      </c>
      <c r="W454" s="93" t="str">
        <f>IF(ISNUMBER('Model_ of_individuals'!W471), 'Model_ of_individuals'!W471*'Model_ of_individuals'!$K471,"")</f>
        <v/>
      </c>
      <c r="X454" s="93" t="str">
        <f>IF(ISNUMBER('Model_ of_individuals'!X471), 'Model_ of_individuals'!X471*'Model_ of_individuals'!$K471,"")</f>
        <v/>
      </c>
      <c r="Y454" s="93" t="str">
        <f>IF(ISNUMBER('Model_ of_individuals'!Y471), 'Model_ of_individuals'!Y471*'Model_ of_individuals'!$K471,"")</f>
        <v/>
      </c>
      <c r="Z454" s="93" t="str">
        <f>IF(ISNUMBER('Model_ of_individuals'!Z471), 'Model_ of_individuals'!Z471*'Model_ of_individuals'!$K471,"")</f>
        <v/>
      </c>
      <c r="AA454" s="93" t="str">
        <f>IF(ISNUMBER('Model_ of_individuals'!AA471), 'Model_ of_individuals'!AA471*'Model_ of_individuals'!$K471,"")</f>
        <v/>
      </c>
      <c r="AB454" s="93" t="str">
        <f>IF(ISNUMBER('Model_ of_individuals'!AB471), 'Model_ of_individuals'!AB471*'Model_ of_individuals'!$K471,"")</f>
        <v/>
      </c>
      <c r="AC454" s="93" t="str">
        <f>IF(ISNUMBER('Model_ of_individuals'!AC471), 'Model_ of_individuals'!AC471*'Model_ of_individuals'!$K471,"")</f>
        <v/>
      </c>
      <c r="AD454" s="93" t="str">
        <f>IF(ISNUMBER('Model_ of_individuals'!AD471), 'Model_ of_individuals'!AD471*'Model_ of_individuals'!$K471,"")</f>
        <v/>
      </c>
      <c r="AE454" s="93" t="str">
        <f>IF(ISNUMBER('Model_ of_individuals'!AE471), 'Model_ of_individuals'!AE471*'Model_ of_individuals'!$K471,"")</f>
        <v/>
      </c>
      <c r="AF454" s="93" t="str">
        <f>IF(ISNUMBER('Model_ of_individuals'!AF471), 'Model_ of_individuals'!AF471*'Model_ of_individuals'!$K471,"")</f>
        <v/>
      </c>
      <c r="AG454" s="93" t="str">
        <f>IF(ISNUMBER('Model_ of_individuals'!AG471), 'Model_ of_individuals'!AG471*'Model_ of_individuals'!$K471,"")</f>
        <v/>
      </c>
      <c r="AH454" s="93" t="str">
        <f>IF(ISNUMBER('Model_ of_individuals'!AH471), 'Model_ of_individuals'!AH471*'Model_ of_individuals'!$K471,"")</f>
        <v/>
      </c>
      <c r="AI454" s="93" t="str">
        <f>IF(ISNUMBER('Model_ of_individuals'!AI471), 'Model_ of_individuals'!AI471*'Model_ of_individuals'!$K471,"")</f>
        <v/>
      </c>
      <c r="AJ454" s="93" t="str">
        <f>IF(ISNUMBER('Model_ of_individuals'!AJ471), 'Model_ of_individuals'!AJ471*'Model_ of_individuals'!$K471,"")</f>
        <v/>
      </c>
      <c r="AK454" s="93" t="str">
        <f>IF(ISNUMBER('Model_ of_individuals'!AK471), 'Model_ of_individuals'!AK471*'Model_ of_individuals'!$K471,"")</f>
        <v/>
      </c>
      <c r="AL454" s="93" t="str">
        <f>IF(ISNUMBER('Model_ of_individuals'!AL471), 'Model_ of_individuals'!AL471*'Model_ of_individuals'!$K471,"")</f>
        <v/>
      </c>
      <c r="AM454" s="93" t="str">
        <f>IF(ISNUMBER('Model_ of_individuals'!AM471), 'Model_ of_individuals'!AM471*'Model_ of_individuals'!$K471,"")</f>
        <v/>
      </c>
      <c r="AN454" s="93" t="str">
        <f>IF(ISNUMBER('Model_ of_individuals'!AN471), 'Model_ of_individuals'!AN471*'Model_ of_individuals'!$K471,"")</f>
        <v/>
      </c>
      <c r="AO454" s="93" t="str">
        <f>IF(ISNUMBER('Model_ of_individuals'!AO471), 'Model_ of_individuals'!AO471*'Model_ of_individuals'!$K471,"")</f>
        <v/>
      </c>
      <c r="AP454" s="93" t="str">
        <f>IF(ISNUMBER('Model_ of_individuals'!AP471), 'Model_ of_individuals'!AP471*'Model_ of_individuals'!$K471,"")</f>
        <v/>
      </c>
      <c r="AQ454" s="93" t="str">
        <f>IF(ISNUMBER('Model_ of_individuals'!AQ471), 'Model_ of_individuals'!AQ471*'Model_ of_individuals'!$K471,"")</f>
        <v/>
      </c>
      <c r="AR454" s="93" t="str">
        <f>IF(ISNUMBER('Model_ of_individuals'!AR471), 'Model_ of_individuals'!AR471*'Model_ of_individuals'!$K471,"")</f>
        <v/>
      </c>
      <c r="AS454" s="93" t="str">
        <f>IF(ISNUMBER('Model_ of_individuals'!AS471), 'Model_ of_individuals'!AS471*'Model_ of_individuals'!$K471,"")</f>
        <v/>
      </c>
      <c r="AT454" s="93" t="str">
        <f>IF(ISNUMBER('Model_ of_individuals'!AT471), 'Model_ of_individuals'!AT471*'Model_ of_individuals'!$K471,"")</f>
        <v/>
      </c>
      <c r="AU454" s="93" t="str">
        <f>IF(ISNUMBER('Model_ of_individuals'!AU471), 'Model_ of_individuals'!AU471*'Model_ of_individuals'!$K471,"")</f>
        <v/>
      </c>
      <c r="AV454" s="93" t="str">
        <f>IF(ISNUMBER('Model_ of_individuals'!AV471), 'Model_ of_individuals'!AV471*'Model_ of_individuals'!$K471,"")</f>
        <v/>
      </c>
      <c r="AW454" s="93" t="str">
        <f>IF(ISNUMBER('Model_ of_individuals'!AW471), 'Model_ of_individuals'!AW471*'Model_ of_individuals'!$K471,"")</f>
        <v/>
      </c>
    </row>
    <row r="455" spans="1:49" x14ac:dyDescent="0.25">
      <c r="A455" s="518"/>
      <c r="B455" s="504"/>
      <c r="C455" s="104" t="str">
        <f>IF(AND(ISNUMBER(B448), OR('Cost Inputs'!$H$112&lt;&gt;"", 'Cost Inputs'!$I$112&lt;&gt;"", 'Cost Inputs'!$J$112&lt;&gt;"")), _4_4_3, "")</f>
        <v/>
      </c>
      <c r="D455" s="17" t="str">
        <f>IF(AND(C455&lt;&gt;"", 'Cost Inputs'!$G$112&lt;&gt;""), 'Cost Inputs'!$G$112, "")</f>
        <v/>
      </c>
      <c r="E455" s="17" t="str">
        <f>IF(AND(C455&lt;&gt;"", 'Cost Inputs'!$H$112&lt;&gt;""), 'Cost Inputs'!$H$112, "")</f>
        <v/>
      </c>
      <c r="F455" s="17" t="str">
        <f>IF(AND(C455&lt;&gt;"", 'Cost Inputs'!$I$112&lt;&gt;""), 'Cost Inputs'!$I$112, "")</f>
        <v/>
      </c>
      <c r="G455" s="105" t="str">
        <f t="shared" si="32"/>
        <v/>
      </c>
      <c r="H455" s="17" t="str">
        <f>IF(AND(C455&lt;&gt;"", 'Cost Inputs'!$J$112&lt;&gt;""), 'Cost Inputs'!$J$112, "")</f>
        <v/>
      </c>
      <c r="I455" s="17" t="str">
        <f t="shared" si="37"/>
        <v/>
      </c>
      <c r="J455" s="17" t="str">
        <f>IF(AND(C455&lt;&gt;"",('Cost Inputs'!$I$112+'Cost Inputs'!$J$112+'Cost Inputs'!$K$112)&gt;0), 'Cost Inputs'!$I$112+'Cost Inputs'!$J$112+'Cost Inputs'!$K$112, "")</f>
        <v/>
      </c>
      <c r="K455" s="17" t="str">
        <f t="shared" si="38"/>
        <v/>
      </c>
      <c r="L455" s="525"/>
      <c r="M455" s="525"/>
      <c r="V455" s="17" t="str">
        <f>IF(ISNUMBER('Model_ of_individuals'!V472), 'Model_ of_individuals'!V472*'Model_ of_individuals'!$K472,"")</f>
        <v/>
      </c>
      <c r="W455" s="17" t="str">
        <f>IF(ISNUMBER('Model_ of_individuals'!W472), 'Model_ of_individuals'!W472*'Model_ of_individuals'!$K472,"")</f>
        <v/>
      </c>
      <c r="X455" s="17" t="str">
        <f>IF(ISNUMBER('Model_ of_individuals'!X472), 'Model_ of_individuals'!X472*'Model_ of_individuals'!$K472,"")</f>
        <v/>
      </c>
      <c r="Y455" s="17" t="str">
        <f>IF(ISNUMBER('Model_ of_individuals'!Y472), 'Model_ of_individuals'!Y472*'Model_ of_individuals'!$K472,"")</f>
        <v/>
      </c>
      <c r="Z455" s="17" t="str">
        <f>IF(ISNUMBER('Model_ of_individuals'!Z472), 'Model_ of_individuals'!Z472*'Model_ of_individuals'!$K472,"")</f>
        <v/>
      </c>
      <c r="AA455" s="17" t="str">
        <f>IF(ISNUMBER('Model_ of_individuals'!AA472), 'Model_ of_individuals'!AA472*'Model_ of_individuals'!$K472,"")</f>
        <v/>
      </c>
      <c r="AB455" s="17" t="str">
        <f>IF(ISNUMBER('Model_ of_individuals'!AB472), 'Model_ of_individuals'!AB472*'Model_ of_individuals'!$K472,"")</f>
        <v/>
      </c>
      <c r="AC455" s="17" t="str">
        <f>IF(ISNUMBER('Model_ of_individuals'!AC472), 'Model_ of_individuals'!AC472*'Model_ of_individuals'!$K472,"")</f>
        <v/>
      </c>
      <c r="AD455" s="17" t="str">
        <f>IF(ISNUMBER('Model_ of_individuals'!AD472), 'Model_ of_individuals'!AD472*'Model_ of_individuals'!$K472,"")</f>
        <v/>
      </c>
      <c r="AE455" s="17" t="str">
        <f>IF(ISNUMBER('Model_ of_individuals'!AE472), 'Model_ of_individuals'!AE472*'Model_ of_individuals'!$K472,"")</f>
        <v/>
      </c>
      <c r="AF455" s="17" t="str">
        <f>IF(ISNUMBER('Model_ of_individuals'!AF472), 'Model_ of_individuals'!AF472*'Model_ of_individuals'!$K472,"")</f>
        <v/>
      </c>
      <c r="AG455" s="17" t="str">
        <f>IF(ISNUMBER('Model_ of_individuals'!AG472), 'Model_ of_individuals'!AG472*'Model_ of_individuals'!$K472,"")</f>
        <v/>
      </c>
      <c r="AH455" s="17" t="str">
        <f>IF(ISNUMBER('Model_ of_individuals'!AH472), 'Model_ of_individuals'!AH472*'Model_ of_individuals'!$K472,"")</f>
        <v/>
      </c>
      <c r="AI455" s="17" t="str">
        <f>IF(ISNUMBER('Model_ of_individuals'!AI472), 'Model_ of_individuals'!AI472*'Model_ of_individuals'!$K472,"")</f>
        <v/>
      </c>
      <c r="AJ455" s="17" t="str">
        <f>IF(ISNUMBER('Model_ of_individuals'!AJ472), 'Model_ of_individuals'!AJ472*'Model_ of_individuals'!$K472,"")</f>
        <v/>
      </c>
      <c r="AK455" s="17" t="str">
        <f>IF(ISNUMBER('Model_ of_individuals'!AK472), 'Model_ of_individuals'!AK472*'Model_ of_individuals'!$K472,"")</f>
        <v/>
      </c>
      <c r="AL455" s="17" t="str">
        <f>IF(ISNUMBER('Model_ of_individuals'!AL472), 'Model_ of_individuals'!AL472*'Model_ of_individuals'!$K472,"")</f>
        <v/>
      </c>
      <c r="AM455" s="17" t="str">
        <f>IF(ISNUMBER('Model_ of_individuals'!AM472), 'Model_ of_individuals'!AM472*'Model_ of_individuals'!$K472,"")</f>
        <v/>
      </c>
      <c r="AN455" s="17" t="str">
        <f>IF(ISNUMBER('Model_ of_individuals'!AN472), 'Model_ of_individuals'!AN472*'Model_ of_individuals'!$K472,"")</f>
        <v/>
      </c>
      <c r="AO455" s="17" t="str">
        <f>IF(ISNUMBER('Model_ of_individuals'!AO472), 'Model_ of_individuals'!AO472*'Model_ of_individuals'!$K472,"")</f>
        <v/>
      </c>
      <c r="AP455" s="17" t="str">
        <f>IF(ISNUMBER('Model_ of_individuals'!AP472), 'Model_ of_individuals'!AP472*'Model_ of_individuals'!$K472,"")</f>
        <v/>
      </c>
      <c r="AQ455" s="17" t="str">
        <f>IF(ISNUMBER('Model_ of_individuals'!AQ472), 'Model_ of_individuals'!AQ472*'Model_ of_individuals'!$K472,"")</f>
        <v/>
      </c>
      <c r="AR455" s="17" t="str">
        <f>IF(ISNUMBER('Model_ of_individuals'!AR472), 'Model_ of_individuals'!AR472*'Model_ of_individuals'!$K472,"")</f>
        <v/>
      </c>
      <c r="AS455" s="17" t="str">
        <f>IF(ISNUMBER('Model_ of_individuals'!AS472), 'Model_ of_individuals'!AS472*'Model_ of_individuals'!$K472,"")</f>
        <v/>
      </c>
      <c r="AT455" s="17" t="str">
        <f>IF(ISNUMBER('Model_ of_individuals'!AT472), 'Model_ of_individuals'!AT472*'Model_ of_individuals'!$K472,"")</f>
        <v/>
      </c>
      <c r="AU455" s="17" t="str">
        <f>IF(ISNUMBER('Model_ of_individuals'!AU472), 'Model_ of_individuals'!AU472*'Model_ of_individuals'!$K472,"")</f>
        <v/>
      </c>
      <c r="AV455" s="17" t="str">
        <f>IF(ISNUMBER('Model_ of_individuals'!AV472), 'Model_ of_individuals'!AV472*'Model_ of_individuals'!$K472,"")</f>
        <v/>
      </c>
      <c r="AW455" s="17" t="str">
        <f>IF(ISNUMBER('Model_ of_individuals'!AW472), 'Model_ of_individuals'!AW472*'Model_ of_individuals'!$K472,"")</f>
        <v/>
      </c>
    </row>
    <row r="456" spans="1:49" x14ac:dyDescent="0.25">
      <c r="A456" s="518"/>
      <c r="B456" s="504"/>
      <c r="C456" s="107" t="str">
        <f>IF(AND(ISNUMBER(B448), OR('Cost Inputs'!$H$113&lt;&gt;"", 'Cost Inputs'!$I$113&lt;&gt;"", 'Cost Inputs'!$J$113&lt;&gt;"")), _4_4_4, "")</f>
        <v/>
      </c>
      <c r="D456" s="93" t="str">
        <f>IF(AND(C456&lt;&gt;"", 'Cost Inputs'!$G$113&lt;&gt;""), 'Cost Inputs'!$G$113, "")</f>
        <v/>
      </c>
      <c r="E456" s="93" t="str">
        <f>IF(AND(C456&lt;&gt;"", 'Cost Inputs'!$H$113&lt;&gt;""), 'Cost Inputs'!$H$113, "")</f>
        <v/>
      </c>
      <c r="F456" s="93" t="str">
        <f>IF(AND(C456&lt;&gt;"", 'Cost Inputs'!$I$113&lt;&gt;""), 'Cost Inputs'!$I$113, "")</f>
        <v/>
      </c>
      <c r="G456" s="108" t="str">
        <f t="shared" si="32"/>
        <v/>
      </c>
      <c r="H456" s="93" t="str">
        <f>IF(AND(C456&lt;&gt;"", 'Cost Inputs'!$J$113&lt;&gt;""), 'Cost Inputs'!$J$113, "")</f>
        <v/>
      </c>
      <c r="I456" s="93" t="str">
        <f t="shared" si="37"/>
        <v/>
      </c>
      <c r="J456" s="93" t="str">
        <f>IF(AND(C456&lt;&gt;"",('Cost Inputs'!$I$113+'Cost Inputs'!$J$113+'Cost Inputs'!$K$113)&gt;0), 'Cost Inputs'!$I$113+'Cost Inputs'!$J$113+'Cost Inputs'!$K$113, "")</f>
        <v/>
      </c>
      <c r="K456" s="93" t="str">
        <f t="shared" si="38"/>
        <v/>
      </c>
      <c r="L456" s="525"/>
      <c r="M456" s="525"/>
      <c r="V456" s="93" t="str">
        <f>IF(ISNUMBER('Model_ of_individuals'!V473), 'Model_ of_individuals'!V473*'Model_ of_individuals'!$K473,"")</f>
        <v/>
      </c>
      <c r="W456" s="93" t="str">
        <f>IF(ISNUMBER('Model_ of_individuals'!W473), 'Model_ of_individuals'!W473*'Model_ of_individuals'!$K473,"")</f>
        <v/>
      </c>
      <c r="X456" s="93" t="str">
        <f>IF(ISNUMBER('Model_ of_individuals'!X473), 'Model_ of_individuals'!X473*'Model_ of_individuals'!$K473,"")</f>
        <v/>
      </c>
      <c r="Y456" s="93" t="str">
        <f>IF(ISNUMBER('Model_ of_individuals'!Y473), 'Model_ of_individuals'!Y473*'Model_ of_individuals'!$K473,"")</f>
        <v/>
      </c>
      <c r="Z456" s="93" t="str">
        <f>IF(ISNUMBER('Model_ of_individuals'!Z473), 'Model_ of_individuals'!Z473*'Model_ of_individuals'!$K473,"")</f>
        <v/>
      </c>
      <c r="AA456" s="93" t="str">
        <f>IF(ISNUMBER('Model_ of_individuals'!AA473), 'Model_ of_individuals'!AA473*'Model_ of_individuals'!$K473,"")</f>
        <v/>
      </c>
      <c r="AB456" s="93" t="str">
        <f>IF(ISNUMBER('Model_ of_individuals'!AB473), 'Model_ of_individuals'!AB473*'Model_ of_individuals'!$K473,"")</f>
        <v/>
      </c>
      <c r="AC456" s="93" t="str">
        <f>IF(ISNUMBER('Model_ of_individuals'!AC473), 'Model_ of_individuals'!AC473*'Model_ of_individuals'!$K473,"")</f>
        <v/>
      </c>
      <c r="AD456" s="93" t="str">
        <f>IF(ISNUMBER('Model_ of_individuals'!AD473), 'Model_ of_individuals'!AD473*'Model_ of_individuals'!$K473,"")</f>
        <v/>
      </c>
      <c r="AE456" s="93" t="str">
        <f>IF(ISNUMBER('Model_ of_individuals'!AE473), 'Model_ of_individuals'!AE473*'Model_ of_individuals'!$K473,"")</f>
        <v/>
      </c>
      <c r="AF456" s="93" t="str">
        <f>IF(ISNUMBER('Model_ of_individuals'!AF473), 'Model_ of_individuals'!AF473*'Model_ of_individuals'!$K473,"")</f>
        <v/>
      </c>
      <c r="AG456" s="93" t="str">
        <f>IF(ISNUMBER('Model_ of_individuals'!AG473), 'Model_ of_individuals'!AG473*'Model_ of_individuals'!$K473,"")</f>
        <v/>
      </c>
      <c r="AH456" s="93" t="str">
        <f>IF(ISNUMBER('Model_ of_individuals'!AH473), 'Model_ of_individuals'!AH473*'Model_ of_individuals'!$K473,"")</f>
        <v/>
      </c>
      <c r="AI456" s="93" t="str">
        <f>IF(ISNUMBER('Model_ of_individuals'!AI473), 'Model_ of_individuals'!AI473*'Model_ of_individuals'!$K473,"")</f>
        <v/>
      </c>
      <c r="AJ456" s="93" t="str">
        <f>IF(ISNUMBER('Model_ of_individuals'!AJ473), 'Model_ of_individuals'!AJ473*'Model_ of_individuals'!$K473,"")</f>
        <v/>
      </c>
      <c r="AK456" s="93" t="str">
        <f>IF(ISNUMBER('Model_ of_individuals'!AK473), 'Model_ of_individuals'!AK473*'Model_ of_individuals'!$K473,"")</f>
        <v/>
      </c>
      <c r="AL456" s="93" t="str">
        <f>IF(ISNUMBER('Model_ of_individuals'!AL473), 'Model_ of_individuals'!AL473*'Model_ of_individuals'!$K473,"")</f>
        <v/>
      </c>
      <c r="AM456" s="93" t="str">
        <f>IF(ISNUMBER('Model_ of_individuals'!AM473), 'Model_ of_individuals'!AM473*'Model_ of_individuals'!$K473,"")</f>
        <v/>
      </c>
      <c r="AN456" s="93" t="str">
        <f>IF(ISNUMBER('Model_ of_individuals'!AN473), 'Model_ of_individuals'!AN473*'Model_ of_individuals'!$K473,"")</f>
        <v/>
      </c>
      <c r="AO456" s="93" t="str">
        <f>IF(ISNUMBER('Model_ of_individuals'!AO473), 'Model_ of_individuals'!AO473*'Model_ of_individuals'!$K473,"")</f>
        <v/>
      </c>
      <c r="AP456" s="93" t="str">
        <f>IF(ISNUMBER('Model_ of_individuals'!AP473), 'Model_ of_individuals'!AP473*'Model_ of_individuals'!$K473,"")</f>
        <v/>
      </c>
      <c r="AQ456" s="93" t="str">
        <f>IF(ISNUMBER('Model_ of_individuals'!AQ473), 'Model_ of_individuals'!AQ473*'Model_ of_individuals'!$K473,"")</f>
        <v/>
      </c>
      <c r="AR456" s="93" t="str">
        <f>IF(ISNUMBER('Model_ of_individuals'!AR473), 'Model_ of_individuals'!AR473*'Model_ of_individuals'!$K473,"")</f>
        <v/>
      </c>
      <c r="AS456" s="93" t="str">
        <f>IF(ISNUMBER('Model_ of_individuals'!AS473), 'Model_ of_individuals'!AS473*'Model_ of_individuals'!$K473,"")</f>
        <v/>
      </c>
      <c r="AT456" s="93" t="str">
        <f>IF(ISNUMBER('Model_ of_individuals'!AT473), 'Model_ of_individuals'!AT473*'Model_ of_individuals'!$K473,"")</f>
        <v/>
      </c>
      <c r="AU456" s="93" t="str">
        <f>IF(ISNUMBER('Model_ of_individuals'!AU473), 'Model_ of_individuals'!AU473*'Model_ of_individuals'!$K473,"")</f>
        <v/>
      </c>
      <c r="AV456" s="93" t="str">
        <f>IF(ISNUMBER('Model_ of_individuals'!AV473), 'Model_ of_individuals'!AV473*'Model_ of_individuals'!$K473,"")</f>
        <v/>
      </c>
      <c r="AW456" s="93" t="str">
        <f>IF(ISNUMBER('Model_ of_individuals'!AW473), 'Model_ of_individuals'!AW473*'Model_ of_individuals'!$K473,"")</f>
        <v/>
      </c>
    </row>
    <row r="457" spans="1:49" x14ac:dyDescent="0.25">
      <c r="A457" s="518"/>
      <c r="B457" s="504"/>
      <c r="C457" s="104" t="str">
        <f>IF(AND(ISNUMBER(B448), OR('Cost Inputs'!$H$114&lt;&gt;"", 'Cost Inputs'!$I$114&lt;&gt;"", 'Cost Inputs'!$J$114&lt;&gt;"")), _4_4_5, "")</f>
        <v/>
      </c>
      <c r="D457" s="17" t="str">
        <f>IF(AND(C457&lt;&gt;"", 'Cost Inputs'!$G$114&lt;&gt;""), 'Cost Inputs'!$G$114, "")</f>
        <v/>
      </c>
      <c r="E457" s="17" t="str">
        <f>IF(AND(C457&lt;&gt;"", 'Cost Inputs'!$H$114&lt;&gt;""), 'Cost Inputs'!$H$114, "")</f>
        <v/>
      </c>
      <c r="F457" s="17" t="str">
        <f>IF(AND(C457&lt;&gt;"", 'Cost Inputs'!$I$114&lt;&gt;""), 'Cost Inputs'!$I$114, "")</f>
        <v/>
      </c>
      <c r="G457" s="105" t="str">
        <f t="shared" si="32"/>
        <v/>
      </c>
      <c r="H457" s="17" t="str">
        <f>IF(AND(C457&lt;&gt;"", 'Cost Inputs'!$J$114&lt;&gt;""), 'Cost Inputs'!$J$114, "")</f>
        <v/>
      </c>
      <c r="I457" s="17" t="str">
        <f t="shared" si="37"/>
        <v/>
      </c>
      <c r="J457" s="17" t="str">
        <f>IF(AND(C457&lt;&gt;"",('Cost Inputs'!$I$114+'Cost Inputs'!$J$114+'Cost Inputs'!$K$114)&gt;0), 'Cost Inputs'!$I$114+'Cost Inputs'!$J$114+'Cost Inputs'!$K$114, "")</f>
        <v/>
      </c>
      <c r="K457" s="17" t="str">
        <f t="shared" si="38"/>
        <v/>
      </c>
      <c r="L457" s="525"/>
      <c r="M457" s="525"/>
      <c r="V457" s="17" t="str">
        <f>IF(ISNUMBER('Model_ of_individuals'!V474), 'Model_ of_individuals'!V474*'Model_ of_individuals'!$K474,"")</f>
        <v/>
      </c>
      <c r="W457" s="17" t="str">
        <f>IF(ISNUMBER('Model_ of_individuals'!W474), 'Model_ of_individuals'!W474*'Model_ of_individuals'!$K474,"")</f>
        <v/>
      </c>
      <c r="X457" s="17" t="str">
        <f>IF(ISNUMBER('Model_ of_individuals'!X474), 'Model_ of_individuals'!X474*'Model_ of_individuals'!$K474,"")</f>
        <v/>
      </c>
      <c r="Y457" s="17" t="str">
        <f>IF(ISNUMBER('Model_ of_individuals'!Y474), 'Model_ of_individuals'!Y474*'Model_ of_individuals'!$K474,"")</f>
        <v/>
      </c>
      <c r="Z457" s="17" t="str">
        <f>IF(ISNUMBER('Model_ of_individuals'!Z474), 'Model_ of_individuals'!Z474*'Model_ of_individuals'!$K474,"")</f>
        <v/>
      </c>
      <c r="AA457" s="17" t="str">
        <f>IF(ISNUMBER('Model_ of_individuals'!AA474), 'Model_ of_individuals'!AA474*'Model_ of_individuals'!$K474,"")</f>
        <v/>
      </c>
      <c r="AB457" s="17" t="str">
        <f>IF(ISNUMBER('Model_ of_individuals'!AB474), 'Model_ of_individuals'!AB474*'Model_ of_individuals'!$K474,"")</f>
        <v/>
      </c>
      <c r="AC457" s="17" t="str">
        <f>IF(ISNUMBER('Model_ of_individuals'!AC474), 'Model_ of_individuals'!AC474*'Model_ of_individuals'!$K474,"")</f>
        <v/>
      </c>
      <c r="AD457" s="17" t="str">
        <f>IF(ISNUMBER('Model_ of_individuals'!AD474), 'Model_ of_individuals'!AD474*'Model_ of_individuals'!$K474,"")</f>
        <v/>
      </c>
      <c r="AE457" s="17" t="str">
        <f>IF(ISNUMBER('Model_ of_individuals'!AE474), 'Model_ of_individuals'!AE474*'Model_ of_individuals'!$K474,"")</f>
        <v/>
      </c>
      <c r="AF457" s="17" t="str">
        <f>IF(ISNUMBER('Model_ of_individuals'!AF474), 'Model_ of_individuals'!AF474*'Model_ of_individuals'!$K474,"")</f>
        <v/>
      </c>
      <c r="AG457" s="17" t="str">
        <f>IF(ISNUMBER('Model_ of_individuals'!AG474), 'Model_ of_individuals'!AG474*'Model_ of_individuals'!$K474,"")</f>
        <v/>
      </c>
      <c r="AH457" s="17" t="str">
        <f>IF(ISNUMBER('Model_ of_individuals'!AH474), 'Model_ of_individuals'!AH474*'Model_ of_individuals'!$K474,"")</f>
        <v/>
      </c>
      <c r="AI457" s="17" t="str">
        <f>IF(ISNUMBER('Model_ of_individuals'!AI474), 'Model_ of_individuals'!AI474*'Model_ of_individuals'!$K474,"")</f>
        <v/>
      </c>
      <c r="AJ457" s="17" t="str">
        <f>IF(ISNUMBER('Model_ of_individuals'!AJ474), 'Model_ of_individuals'!AJ474*'Model_ of_individuals'!$K474,"")</f>
        <v/>
      </c>
      <c r="AK457" s="17" t="str">
        <f>IF(ISNUMBER('Model_ of_individuals'!AK474), 'Model_ of_individuals'!AK474*'Model_ of_individuals'!$K474,"")</f>
        <v/>
      </c>
      <c r="AL457" s="17" t="str">
        <f>IF(ISNUMBER('Model_ of_individuals'!AL474), 'Model_ of_individuals'!AL474*'Model_ of_individuals'!$K474,"")</f>
        <v/>
      </c>
      <c r="AM457" s="17" t="str">
        <f>IF(ISNUMBER('Model_ of_individuals'!AM474), 'Model_ of_individuals'!AM474*'Model_ of_individuals'!$K474,"")</f>
        <v/>
      </c>
      <c r="AN457" s="17" t="str">
        <f>IF(ISNUMBER('Model_ of_individuals'!AN474), 'Model_ of_individuals'!AN474*'Model_ of_individuals'!$K474,"")</f>
        <v/>
      </c>
      <c r="AO457" s="17" t="str">
        <f>IF(ISNUMBER('Model_ of_individuals'!AO474), 'Model_ of_individuals'!AO474*'Model_ of_individuals'!$K474,"")</f>
        <v/>
      </c>
      <c r="AP457" s="17" t="str">
        <f>IF(ISNUMBER('Model_ of_individuals'!AP474), 'Model_ of_individuals'!AP474*'Model_ of_individuals'!$K474,"")</f>
        <v/>
      </c>
      <c r="AQ457" s="17" t="str">
        <f>IF(ISNUMBER('Model_ of_individuals'!AQ474), 'Model_ of_individuals'!AQ474*'Model_ of_individuals'!$K474,"")</f>
        <v/>
      </c>
      <c r="AR457" s="17" t="str">
        <f>IF(ISNUMBER('Model_ of_individuals'!AR474), 'Model_ of_individuals'!AR474*'Model_ of_individuals'!$K474,"")</f>
        <v/>
      </c>
      <c r="AS457" s="17" t="str">
        <f>IF(ISNUMBER('Model_ of_individuals'!AS474), 'Model_ of_individuals'!AS474*'Model_ of_individuals'!$K474,"")</f>
        <v/>
      </c>
      <c r="AT457" s="17" t="str">
        <f>IF(ISNUMBER('Model_ of_individuals'!AT474), 'Model_ of_individuals'!AT474*'Model_ of_individuals'!$K474,"")</f>
        <v/>
      </c>
      <c r="AU457" s="17" t="str">
        <f>IF(ISNUMBER('Model_ of_individuals'!AU474), 'Model_ of_individuals'!AU474*'Model_ of_individuals'!$K474,"")</f>
        <v/>
      </c>
      <c r="AV457" s="17" t="str">
        <f>IF(ISNUMBER('Model_ of_individuals'!AV474), 'Model_ of_individuals'!AV474*'Model_ of_individuals'!$K474,"")</f>
        <v/>
      </c>
      <c r="AW457" s="17" t="str">
        <f>IF(ISNUMBER('Model_ of_individuals'!AW474), 'Model_ of_individuals'!AW474*'Model_ of_individuals'!$K474,"")</f>
        <v/>
      </c>
    </row>
    <row r="458" spans="1:49" x14ac:dyDescent="0.25">
      <c r="A458" s="518"/>
      <c r="B458" s="504"/>
      <c r="C458" s="107" t="str">
        <f>IF(AND(ISNUMBER(B448), OR('Cost Inputs'!$H$115&lt;&gt;"", 'Cost Inputs'!$I$115&lt;&gt;"", 'Cost Inputs'!$J$115&lt;&gt;"")), _4_4_6, "")</f>
        <v/>
      </c>
      <c r="D458" s="93" t="str">
        <f>IF(AND(C458&lt;&gt;"", 'Cost Inputs'!$G$115&lt;&gt;""), 'Cost Inputs'!$G$115, "")</f>
        <v/>
      </c>
      <c r="E458" s="93" t="str">
        <f>IF(AND(C458&lt;&gt;"", 'Cost Inputs'!$H$115&lt;&gt;""), 'Cost Inputs'!$H$115, "")</f>
        <v/>
      </c>
      <c r="F458" s="93" t="str">
        <f>IF(AND(C458&lt;&gt;"", 'Cost Inputs'!$I$115&lt;&gt;""), 'Cost Inputs'!$I$115, "")</f>
        <v/>
      </c>
      <c r="G458" s="108" t="str">
        <f t="shared" si="32"/>
        <v/>
      </c>
      <c r="H458" s="93" t="str">
        <f>IF(AND(C458&lt;&gt;"", 'Cost Inputs'!$J$115&lt;&gt;""), 'Cost Inputs'!$J$115, "")</f>
        <v/>
      </c>
      <c r="I458" s="93" t="str">
        <f t="shared" si="37"/>
        <v/>
      </c>
      <c r="J458" s="93" t="str">
        <f>IF(AND(C458&lt;&gt;"",('Cost Inputs'!$I$115+'Cost Inputs'!$J$115+'Cost Inputs'!$K$115)&gt;0), 'Cost Inputs'!$I$115+'Cost Inputs'!$J$115+'Cost Inputs'!$K$115, "")</f>
        <v/>
      </c>
      <c r="K458" s="93" t="str">
        <f t="shared" si="38"/>
        <v/>
      </c>
      <c r="L458" s="525"/>
      <c r="M458" s="525"/>
      <c r="V458" s="93" t="str">
        <f>IF(ISNUMBER('Model_ of_individuals'!V475), 'Model_ of_individuals'!V475*'Model_ of_individuals'!$K475,"")</f>
        <v/>
      </c>
      <c r="W458" s="93" t="str">
        <f>IF(ISNUMBER('Model_ of_individuals'!W475), 'Model_ of_individuals'!W475*'Model_ of_individuals'!$K475,"")</f>
        <v/>
      </c>
      <c r="X458" s="93" t="str">
        <f>IF(ISNUMBER('Model_ of_individuals'!X475), 'Model_ of_individuals'!X475*'Model_ of_individuals'!$K475,"")</f>
        <v/>
      </c>
      <c r="Y458" s="93" t="str">
        <f>IF(ISNUMBER('Model_ of_individuals'!Y475), 'Model_ of_individuals'!Y475*'Model_ of_individuals'!$K475,"")</f>
        <v/>
      </c>
      <c r="Z458" s="93" t="str">
        <f>IF(ISNUMBER('Model_ of_individuals'!Z475), 'Model_ of_individuals'!Z475*'Model_ of_individuals'!$K475,"")</f>
        <v/>
      </c>
      <c r="AA458" s="93" t="str">
        <f>IF(ISNUMBER('Model_ of_individuals'!AA475), 'Model_ of_individuals'!AA475*'Model_ of_individuals'!$K475,"")</f>
        <v/>
      </c>
      <c r="AB458" s="93" t="str">
        <f>IF(ISNUMBER('Model_ of_individuals'!AB475), 'Model_ of_individuals'!AB475*'Model_ of_individuals'!$K475,"")</f>
        <v/>
      </c>
      <c r="AC458" s="93" t="str">
        <f>IF(ISNUMBER('Model_ of_individuals'!AC475), 'Model_ of_individuals'!AC475*'Model_ of_individuals'!$K475,"")</f>
        <v/>
      </c>
      <c r="AD458" s="93" t="str">
        <f>IF(ISNUMBER('Model_ of_individuals'!AD475), 'Model_ of_individuals'!AD475*'Model_ of_individuals'!$K475,"")</f>
        <v/>
      </c>
      <c r="AE458" s="93" t="str">
        <f>IF(ISNUMBER('Model_ of_individuals'!AE475), 'Model_ of_individuals'!AE475*'Model_ of_individuals'!$K475,"")</f>
        <v/>
      </c>
      <c r="AF458" s="93" t="str">
        <f>IF(ISNUMBER('Model_ of_individuals'!AF475), 'Model_ of_individuals'!AF475*'Model_ of_individuals'!$K475,"")</f>
        <v/>
      </c>
      <c r="AG458" s="93" t="str">
        <f>IF(ISNUMBER('Model_ of_individuals'!AG475), 'Model_ of_individuals'!AG475*'Model_ of_individuals'!$K475,"")</f>
        <v/>
      </c>
      <c r="AH458" s="93" t="str">
        <f>IF(ISNUMBER('Model_ of_individuals'!AH475), 'Model_ of_individuals'!AH475*'Model_ of_individuals'!$K475,"")</f>
        <v/>
      </c>
      <c r="AI458" s="93" t="str">
        <f>IF(ISNUMBER('Model_ of_individuals'!AI475), 'Model_ of_individuals'!AI475*'Model_ of_individuals'!$K475,"")</f>
        <v/>
      </c>
      <c r="AJ458" s="93" t="str">
        <f>IF(ISNUMBER('Model_ of_individuals'!AJ475), 'Model_ of_individuals'!AJ475*'Model_ of_individuals'!$K475,"")</f>
        <v/>
      </c>
      <c r="AK458" s="93" t="str">
        <f>IF(ISNUMBER('Model_ of_individuals'!AK475), 'Model_ of_individuals'!AK475*'Model_ of_individuals'!$K475,"")</f>
        <v/>
      </c>
      <c r="AL458" s="93" t="str">
        <f>IF(ISNUMBER('Model_ of_individuals'!AL475), 'Model_ of_individuals'!AL475*'Model_ of_individuals'!$K475,"")</f>
        <v/>
      </c>
      <c r="AM458" s="93" t="str">
        <f>IF(ISNUMBER('Model_ of_individuals'!AM475), 'Model_ of_individuals'!AM475*'Model_ of_individuals'!$K475,"")</f>
        <v/>
      </c>
      <c r="AN458" s="93" t="str">
        <f>IF(ISNUMBER('Model_ of_individuals'!AN475), 'Model_ of_individuals'!AN475*'Model_ of_individuals'!$K475,"")</f>
        <v/>
      </c>
      <c r="AO458" s="93" t="str">
        <f>IF(ISNUMBER('Model_ of_individuals'!AO475), 'Model_ of_individuals'!AO475*'Model_ of_individuals'!$K475,"")</f>
        <v/>
      </c>
      <c r="AP458" s="93" t="str">
        <f>IF(ISNUMBER('Model_ of_individuals'!AP475), 'Model_ of_individuals'!AP475*'Model_ of_individuals'!$K475,"")</f>
        <v/>
      </c>
      <c r="AQ458" s="93" t="str">
        <f>IF(ISNUMBER('Model_ of_individuals'!AQ475), 'Model_ of_individuals'!AQ475*'Model_ of_individuals'!$K475,"")</f>
        <v/>
      </c>
      <c r="AR458" s="93" t="str">
        <f>IF(ISNUMBER('Model_ of_individuals'!AR475), 'Model_ of_individuals'!AR475*'Model_ of_individuals'!$K475,"")</f>
        <v/>
      </c>
      <c r="AS458" s="93" t="str">
        <f>IF(ISNUMBER('Model_ of_individuals'!AS475), 'Model_ of_individuals'!AS475*'Model_ of_individuals'!$K475,"")</f>
        <v/>
      </c>
      <c r="AT458" s="93" t="str">
        <f>IF(ISNUMBER('Model_ of_individuals'!AT475), 'Model_ of_individuals'!AT475*'Model_ of_individuals'!$K475,"")</f>
        <v/>
      </c>
      <c r="AU458" s="93" t="str">
        <f>IF(ISNUMBER('Model_ of_individuals'!AU475), 'Model_ of_individuals'!AU475*'Model_ of_individuals'!$K475,"")</f>
        <v/>
      </c>
      <c r="AV458" s="93" t="str">
        <f>IF(ISNUMBER('Model_ of_individuals'!AV475), 'Model_ of_individuals'!AV475*'Model_ of_individuals'!$K475,"")</f>
        <v/>
      </c>
      <c r="AW458" s="93" t="str">
        <f>IF(ISNUMBER('Model_ of_individuals'!AW475), 'Model_ of_individuals'!AW475*'Model_ of_individuals'!$K475,"")</f>
        <v/>
      </c>
    </row>
    <row r="459" spans="1:49" x14ac:dyDescent="0.25">
      <c r="A459" s="518"/>
      <c r="B459" s="504"/>
      <c r="C459" s="521" t="str">
        <f>IF(AND(B448&lt;&gt;"", ISNUMBER(B448), ISNUMBER(Stage2EvaluationBegins)), IF((INDEX(ProgramYearStage2,MATCH(Stage2EvaluationBegins,Years_in_Stage2,0)))=B448, _4_5_0, IF(AND(B448&lt;&gt;"", C436&lt;&gt;""), _4_5_0, IF(AND(B448&lt;&gt;"", ISNUMBER(B448), OR(Stage2EvaluationBegins=0, Stage2EvaluationBegins="")),"", ""))),"")</f>
        <v/>
      </c>
      <c r="D459" s="94" t="str">
        <f>IF(AND(C459&lt;&gt;"", 'Cost Inputs'!$G$116&lt;&gt;""), 'Cost Inputs'!$G$116, "")</f>
        <v/>
      </c>
      <c r="E459" s="94" t="str">
        <f>IF(AND(C459&lt;&gt;"", 'Cost Inputs'!$H$116&lt;&gt;""), 'Cost Inputs'!$H$116, "")</f>
        <v/>
      </c>
      <c r="F459" s="492" t="str">
        <f>IF(AND(C459&lt;&gt;"", 'Cost Inputs'!$I$116&lt;&gt;""), 'Cost Inputs'!$I$116, "")</f>
        <v/>
      </c>
      <c r="G459" s="102" t="str">
        <f t="shared" si="32"/>
        <v/>
      </c>
      <c r="H459" s="492" t="str">
        <f>IF(AND(C459&lt;&gt;"", 'Cost Inputs'!$J$116&lt;&gt;""), 'Cost Inputs'!$J$116, "")</f>
        <v/>
      </c>
      <c r="I459" s="102" t="str">
        <f>IF($C459&lt;&gt;"",IF(AND($E459&lt;&gt;"",H459&lt;&gt;""), H459/$E459, 0),"")</f>
        <v/>
      </c>
      <c r="J459" s="492" t="str">
        <f>IF(AND(C459&lt;&gt;"",('Cost Inputs'!$I$116+'Cost Inputs'!$J$116+'Cost Inputs'!$K$116)&gt;0), 'Cost Inputs'!$I$116+'Cost Inputs'!$J$116+'Cost Inputs'!$K$116, "")</f>
        <v/>
      </c>
      <c r="K459" s="102" t="str">
        <f>IF($C459&lt;&gt;"",IF(AND($E459&lt;&gt;"",J459&lt;&gt;""), J459/$E459, 0),"")</f>
        <v/>
      </c>
      <c r="L459" s="525"/>
      <c r="M459" s="525"/>
      <c r="V459" s="496" t="str">
        <f>IF(ISNUMBER('Model_ of_individuals'!V477), 'Model_ of_individuals'!V477*'Model_ of_individuals'!$K477,"")</f>
        <v/>
      </c>
      <c r="W459" s="496" t="str">
        <f>IF(ISNUMBER('Model_ of_individuals'!W477), 'Model_ of_individuals'!W477*'Model_ of_individuals'!$K477,"")</f>
        <v/>
      </c>
      <c r="X459" s="496" t="str">
        <f>IF(ISNUMBER('Model_ of_individuals'!X477), 'Model_ of_individuals'!X477*'Model_ of_individuals'!$K477,"")</f>
        <v/>
      </c>
      <c r="Y459" s="496" t="str">
        <f>IF(ISNUMBER('Model_ of_individuals'!Y477), 'Model_ of_individuals'!Y477*'Model_ of_individuals'!$K477,"")</f>
        <v/>
      </c>
      <c r="Z459" s="496" t="str">
        <f>IF(ISNUMBER('Model_ of_individuals'!Z477), 'Model_ of_individuals'!Z477*'Model_ of_individuals'!$K477,"")</f>
        <v/>
      </c>
      <c r="AA459" s="496" t="str">
        <f>IF(ISNUMBER('Model_ of_individuals'!AA477), 'Model_ of_individuals'!AA477*'Model_ of_individuals'!$K477,"")</f>
        <v/>
      </c>
      <c r="AB459" s="496" t="str">
        <f>IF(ISNUMBER('Model_ of_individuals'!AB477), 'Model_ of_individuals'!AB477*'Model_ of_individuals'!$K477,"")</f>
        <v/>
      </c>
      <c r="AC459" s="496" t="str">
        <f>IF(ISNUMBER('Model_ of_individuals'!AC477), 'Model_ of_individuals'!AC477*'Model_ of_individuals'!$K477,"")</f>
        <v/>
      </c>
      <c r="AD459" s="496" t="str">
        <f>IF(ISNUMBER('Model_ of_individuals'!AD477), 'Model_ of_individuals'!AD477*'Model_ of_individuals'!$K477,"")</f>
        <v/>
      </c>
      <c r="AE459" s="496" t="str">
        <f>IF(ISNUMBER('Model_ of_individuals'!AE477), 'Model_ of_individuals'!AE477*'Model_ of_individuals'!$K477,"")</f>
        <v/>
      </c>
      <c r="AF459" s="496" t="str">
        <f>IF(ISNUMBER('Model_ of_individuals'!AF477), 'Model_ of_individuals'!AF477*'Model_ of_individuals'!$K477,"")</f>
        <v/>
      </c>
      <c r="AG459" s="496" t="str">
        <f>IF(ISNUMBER('Model_ of_individuals'!AG477), 'Model_ of_individuals'!AG477*'Model_ of_individuals'!$K477,"")</f>
        <v/>
      </c>
      <c r="AH459" s="496" t="str">
        <f>IF(ISNUMBER('Model_ of_individuals'!AH477), 'Model_ of_individuals'!AH477*'Model_ of_individuals'!$K477,"")</f>
        <v/>
      </c>
      <c r="AI459" s="496" t="str">
        <f>IF(ISNUMBER('Model_ of_individuals'!AI477), 'Model_ of_individuals'!AI477*'Model_ of_individuals'!$K477,"")</f>
        <v/>
      </c>
      <c r="AJ459" s="496" t="str">
        <f>IF(ISNUMBER('Model_ of_individuals'!AJ477), 'Model_ of_individuals'!AJ477*'Model_ of_individuals'!$K477,"")</f>
        <v/>
      </c>
      <c r="AK459" s="496" t="str">
        <f>IF(ISNUMBER('Model_ of_individuals'!AK477), 'Model_ of_individuals'!AK477*'Model_ of_individuals'!$K477,"")</f>
        <v/>
      </c>
      <c r="AL459" s="496" t="str">
        <f>IF(ISNUMBER('Model_ of_individuals'!AL477), 'Model_ of_individuals'!AL477*'Model_ of_individuals'!$K477,"")</f>
        <v/>
      </c>
      <c r="AM459" s="496" t="str">
        <f>IF(ISNUMBER('Model_ of_individuals'!AM477), 'Model_ of_individuals'!AM477*'Model_ of_individuals'!$K477,"")</f>
        <v/>
      </c>
      <c r="AN459" s="496" t="str">
        <f>IF(ISNUMBER('Model_ of_individuals'!AN477), 'Model_ of_individuals'!AN477*'Model_ of_individuals'!$K477,"")</f>
        <v/>
      </c>
      <c r="AO459" s="496" t="str">
        <f>IF(ISNUMBER('Model_ of_individuals'!AO477), 'Model_ of_individuals'!AO477*'Model_ of_individuals'!$K477,"")</f>
        <v/>
      </c>
      <c r="AP459" s="496" t="str">
        <f>IF(ISNUMBER('Model_ of_individuals'!AP477), 'Model_ of_individuals'!AP477*'Model_ of_individuals'!$K477,"")</f>
        <v/>
      </c>
      <c r="AQ459" s="496" t="str">
        <f>IF(ISNUMBER('Model_ of_individuals'!AQ477), 'Model_ of_individuals'!AQ477*'Model_ of_individuals'!$K477,"")</f>
        <v/>
      </c>
      <c r="AR459" s="496" t="str">
        <f>IF(ISNUMBER('Model_ of_individuals'!AR477), 'Model_ of_individuals'!AR477*'Model_ of_individuals'!$K477,"")</f>
        <v/>
      </c>
      <c r="AS459" s="496" t="str">
        <f>IF(ISNUMBER('Model_ of_individuals'!AS477), 'Model_ of_individuals'!AS477*'Model_ of_individuals'!$K477,"")</f>
        <v/>
      </c>
      <c r="AT459" s="496" t="str">
        <f>IF(ISNUMBER('Model_ of_individuals'!AT477), 'Model_ of_individuals'!AT477*'Model_ of_individuals'!$K477,"")</f>
        <v/>
      </c>
      <c r="AU459" s="496" t="str">
        <f>IF(ISNUMBER('Model_ of_individuals'!AU477), 'Model_ of_individuals'!AU477*'Model_ of_individuals'!$K477,"")</f>
        <v/>
      </c>
      <c r="AV459" s="496" t="str">
        <f>IF(ISNUMBER('Model_ of_individuals'!AV477), 'Model_ of_individuals'!AV477*'Model_ of_individuals'!$K477,"")</f>
        <v/>
      </c>
      <c r="AW459" s="496" t="str">
        <f>IF(ISNUMBER('Model_ of_individuals'!AW477), 'Model_ of_individuals'!AW477*'Model_ of_individuals'!$K477,"")</f>
        <v/>
      </c>
    </row>
    <row r="460" spans="1:49" x14ac:dyDescent="0.25">
      <c r="A460" s="518"/>
      <c r="B460" s="504"/>
      <c r="C460" s="521"/>
      <c r="D460" s="94" t="str">
        <f>IF(AND(C459&lt;&gt;"", 'Cost Inputs'!$G$117&lt;&gt;""), 'Cost Inputs'!$G$117, "")</f>
        <v/>
      </c>
      <c r="E460" s="94" t="str">
        <f>IF(AND(C459&lt;&gt;"", 'Cost Inputs'!$H$117&lt;&gt;""), 'Cost Inputs'!$H$117, "")</f>
        <v/>
      </c>
      <c r="F460" s="492"/>
      <c r="G460" s="102" t="str">
        <f t="shared" si="32"/>
        <v/>
      </c>
      <c r="H460" s="492"/>
      <c r="I460" s="102" t="str">
        <f>IF($C459&lt;&gt;"", IF(AND($E460&lt;&gt;"", H459&lt;&gt;""), H459/($E459*$E460), 0), "")</f>
        <v/>
      </c>
      <c r="J460" s="492" t="str">
        <f>IF(AND(C460&lt;&gt;"",('Cost Inputs'!$I$86+'Cost Inputs'!$J$86+'Cost Inputs'!$K$86)&gt;0), 'Cost Inputs'!$I$86+'Cost Inputs'!$J$86+'Cost Inputs'!$K$86, "")</f>
        <v/>
      </c>
      <c r="K460" s="102" t="str">
        <f>IF($C459&lt;&gt;"", IF(AND($E460&lt;&gt;"", J459&lt;&gt;""), J459/($E459*$E460), 0), "")</f>
        <v/>
      </c>
      <c r="L460" s="525"/>
      <c r="M460" s="525"/>
      <c r="V460" s="496" t="str">
        <f>IF(ISNUMBER('Model_ of_individuals'!V478), 'Model_ of_individuals'!V478*'Model_ of_individuals'!$K478,"")</f>
        <v/>
      </c>
      <c r="W460" s="496" t="str">
        <f>IF(ISNUMBER('Model_ of_individuals'!W478), 'Model_ of_individuals'!W478*'Model_ of_individuals'!$K478,"")</f>
        <v/>
      </c>
      <c r="X460" s="496" t="str">
        <f>IF(ISNUMBER('Model_ of_individuals'!X478), 'Model_ of_individuals'!X478*'Model_ of_individuals'!$K478,"")</f>
        <v/>
      </c>
      <c r="Y460" s="496" t="str">
        <f>IF(ISNUMBER('Model_ of_individuals'!Y478), 'Model_ of_individuals'!Y478*'Model_ of_individuals'!$K478,"")</f>
        <v/>
      </c>
      <c r="Z460" s="496" t="str">
        <f>IF(ISNUMBER('Model_ of_individuals'!Z478), 'Model_ of_individuals'!Z478*'Model_ of_individuals'!$K478,"")</f>
        <v/>
      </c>
      <c r="AA460" s="496" t="str">
        <f>IF(ISNUMBER('Model_ of_individuals'!AA478), 'Model_ of_individuals'!AA478*'Model_ of_individuals'!$K478,"")</f>
        <v/>
      </c>
      <c r="AB460" s="496" t="str">
        <f>IF(ISNUMBER('Model_ of_individuals'!AB478), 'Model_ of_individuals'!AB478*'Model_ of_individuals'!$K478,"")</f>
        <v/>
      </c>
      <c r="AC460" s="496" t="str">
        <f>IF(ISNUMBER('Model_ of_individuals'!AC478), 'Model_ of_individuals'!AC478*'Model_ of_individuals'!$K478,"")</f>
        <v/>
      </c>
      <c r="AD460" s="496" t="str">
        <f>IF(ISNUMBER('Model_ of_individuals'!AD478), 'Model_ of_individuals'!AD478*'Model_ of_individuals'!$K478,"")</f>
        <v/>
      </c>
      <c r="AE460" s="496" t="str">
        <f>IF(ISNUMBER('Model_ of_individuals'!AE478), 'Model_ of_individuals'!AE478*'Model_ of_individuals'!$K478,"")</f>
        <v/>
      </c>
      <c r="AF460" s="496" t="str">
        <f>IF(ISNUMBER('Model_ of_individuals'!AF478), 'Model_ of_individuals'!AF478*'Model_ of_individuals'!$K478,"")</f>
        <v/>
      </c>
      <c r="AG460" s="496" t="str">
        <f>IF(ISNUMBER('Model_ of_individuals'!AG478), 'Model_ of_individuals'!AG478*'Model_ of_individuals'!$K478,"")</f>
        <v/>
      </c>
      <c r="AH460" s="496" t="str">
        <f>IF(ISNUMBER('Model_ of_individuals'!AH478), 'Model_ of_individuals'!AH478*'Model_ of_individuals'!$K478,"")</f>
        <v/>
      </c>
      <c r="AI460" s="496" t="str">
        <f>IF(ISNUMBER('Model_ of_individuals'!AI478), 'Model_ of_individuals'!AI478*'Model_ of_individuals'!$K478,"")</f>
        <v/>
      </c>
      <c r="AJ460" s="496" t="str">
        <f>IF(ISNUMBER('Model_ of_individuals'!AJ478), 'Model_ of_individuals'!AJ478*'Model_ of_individuals'!$K478,"")</f>
        <v/>
      </c>
      <c r="AK460" s="496" t="str">
        <f>IF(ISNUMBER('Model_ of_individuals'!AK478), 'Model_ of_individuals'!AK478*'Model_ of_individuals'!$K478,"")</f>
        <v/>
      </c>
      <c r="AL460" s="496" t="str">
        <f>IF(ISNUMBER('Model_ of_individuals'!AL478), 'Model_ of_individuals'!AL478*'Model_ of_individuals'!$K478,"")</f>
        <v/>
      </c>
      <c r="AM460" s="496" t="str">
        <f>IF(ISNUMBER('Model_ of_individuals'!AM478), 'Model_ of_individuals'!AM478*'Model_ of_individuals'!$K478,"")</f>
        <v/>
      </c>
      <c r="AN460" s="496" t="str">
        <f>IF(ISNUMBER('Model_ of_individuals'!AN478), 'Model_ of_individuals'!AN478*'Model_ of_individuals'!$K478,"")</f>
        <v/>
      </c>
      <c r="AO460" s="496" t="str">
        <f>IF(ISNUMBER('Model_ of_individuals'!AO478), 'Model_ of_individuals'!AO478*'Model_ of_individuals'!$K478,"")</f>
        <v/>
      </c>
      <c r="AP460" s="496" t="str">
        <f>IF(ISNUMBER('Model_ of_individuals'!AP478), 'Model_ of_individuals'!AP478*'Model_ of_individuals'!$K478,"")</f>
        <v/>
      </c>
      <c r="AQ460" s="496" t="str">
        <f>IF(ISNUMBER('Model_ of_individuals'!AQ478), 'Model_ of_individuals'!AQ478*'Model_ of_individuals'!$K478,"")</f>
        <v/>
      </c>
      <c r="AR460" s="496" t="str">
        <f>IF(ISNUMBER('Model_ of_individuals'!AR478), 'Model_ of_individuals'!AR478*'Model_ of_individuals'!$K478,"")</f>
        <v/>
      </c>
      <c r="AS460" s="496" t="str">
        <f>IF(ISNUMBER('Model_ of_individuals'!AS478), 'Model_ of_individuals'!AS478*'Model_ of_individuals'!$K478,"")</f>
        <v/>
      </c>
      <c r="AT460" s="496" t="str">
        <f>IF(ISNUMBER('Model_ of_individuals'!AT478), 'Model_ of_individuals'!AT478*'Model_ of_individuals'!$K478,"")</f>
        <v/>
      </c>
      <c r="AU460" s="496" t="str">
        <f>IF(ISNUMBER('Model_ of_individuals'!AU478), 'Model_ of_individuals'!AU478*'Model_ of_individuals'!$K478,"")</f>
        <v/>
      </c>
      <c r="AV460" s="496" t="str">
        <f>IF(ISNUMBER('Model_ of_individuals'!AV478), 'Model_ of_individuals'!AV478*'Model_ of_individuals'!$K478,"")</f>
        <v/>
      </c>
      <c r="AW460" s="496" t="str">
        <f>IF(ISNUMBER('Model_ of_individuals'!AW478), 'Model_ of_individuals'!AW478*'Model_ of_individuals'!$K478,"")</f>
        <v/>
      </c>
    </row>
    <row r="461" spans="1:49" x14ac:dyDescent="0.25">
      <c r="A461" s="518"/>
      <c r="B461" s="504"/>
      <c r="C461" s="376" t="str">
        <f>IF(AND(ISNUMBER(B448), C459&lt;&gt;"", OR('Cost Inputs'!$H$118&lt;&gt;"", 'Cost Inputs'!$I$118&lt;&gt;"", 'Cost Inputs'!$J$118&lt;&gt;"")), _4_5_1, "")</f>
        <v/>
      </c>
      <c r="D461" s="17" t="str">
        <f>IF(AND(C461&lt;&gt;"", 'Cost Inputs'!$G$118&lt;&gt;""), 'Cost Inputs'!$G$118, "")</f>
        <v/>
      </c>
      <c r="E461" s="17" t="str">
        <f>IF(AND(C461&lt;&gt;"", 'Cost Inputs'!$H$118&lt;&gt;""), 'Cost Inputs'!$H$118, "")</f>
        <v/>
      </c>
      <c r="F461" s="493" t="str">
        <f>IF(AND(C461&lt;&gt;"", 'Cost Inputs'!$I$118&lt;&gt;""), 'Cost Inputs'!$I$118, "")</f>
        <v/>
      </c>
      <c r="G461" s="105" t="str">
        <f t="shared" ref="G461:G526" si="39">IF(AND($E461&lt;&gt;"", $E461&gt;0, F461&lt;&gt;""), F461/$E461, "")</f>
        <v/>
      </c>
      <c r="H461" s="493" t="str">
        <f>IF(AND(C461&lt;&gt;"", 'Cost Inputs'!$J$118&lt;&gt;""), 'Cost Inputs'!$J$118, "")</f>
        <v/>
      </c>
      <c r="I461" s="105" t="str">
        <f>IF($C461&lt;&gt;"",IF(AND($E461&lt;&gt;"",H461&lt;&gt;""), H461/$E461, 0),"")</f>
        <v/>
      </c>
      <c r="J461" s="493" t="str">
        <f>IF(AND(C461&lt;&gt;"",('Cost Inputs'!$I$118+'Cost Inputs'!$J$118+'Cost Inputs'!$K$118)&gt;0), 'Cost Inputs'!$I$118+'Cost Inputs'!$J$118+'Cost Inputs'!$K$118, "")</f>
        <v/>
      </c>
      <c r="K461" s="105" t="str">
        <f>IF($C461&lt;&gt;"",IF(AND($E461&lt;&gt;"",J461&lt;&gt;""), J461/$E461, 0),"")</f>
        <v/>
      </c>
      <c r="L461" s="525"/>
      <c r="M461" s="525"/>
      <c r="V461" s="497" t="str">
        <f>IF(ISNUMBER('Model_ of_individuals'!V479), 'Model_ of_individuals'!V479*'Model_ of_individuals'!$K479,"")</f>
        <v/>
      </c>
      <c r="W461" s="497" t="str">
        <f>IF(ISNUMBER('Model_ of_individuals'!W479), 'Model_ of_individuals'!W479*'Model_ of_individuals'!$K479,"")</f>
        <v/>
      </c>
      <c r="X461" s="497" t="str">
        <f>IF(ISNUMBER('Model_ of_individuals'!X479), 'Model_ of_individuals'!X479*'Model_ of_individuals'!$K479,"")</f>
        <v/>
      </c>
      <c r="Y461" s="497" t="str">
        <f>IF(ISNUMBER('Model_ of_individuals'!Y479), 'Model_ of_individuals'!Y479*'Model_ of_individuals'!$K479,"")</f>
        <v/>
      </c>
      <c r="Z461" s="497" t="str">
        <f>IF(ISNUMBER('Model_ of_individuals'!Z479), 'Model_ of_individuals'!Z479*'Model_ of_individuals'!$K479,"")</f>
        <v/>
      </c>
      <c r="AA461" s="497" t="str">
        <f>IF(ISNUMBER('Model_ of_individuals'!AA479), 'Model_ of_individuals'!AA479*'Model_ of_individuals'!$K479,"")</f>
        <v/>
      </c>
      <c r="AB461" s="497" t="str">
        <f>IF(ISNUMBER('Model_ of_individuals'!AB479), 'Model_ of_individuals'!AB479*'Model_ of_individuals'!$K479,"")</f>
        <v/>
      </c>
      <c r="AC461" s="497" t="str">
        <f>IF(ISNUMBER('Model_ of_individuals'!AC479), 'Model_ of_individuals'!AC479*'Model_ of_individuals'!$K479,"")</f>
        <v/>
      </c>
      <c r="AD461" s="497" t="str">
        <f>IF(ISNUMBER('Model_ of_individuals'!AD479), 'Model_ of_individuals'!AD479*'Model_ of_individuals'!$K479,"")</f>
        <v/>
      </c>
      <c r="AE461" s="497" t="str">
        <f>IF(ISNUMBER('Model_ of_individuals'!AE479), 'Model_ of_individuals'!AE479*'Model_ of_individuals'!$K479,"")</f>
        <v/>
      </c>
      <c r="AF461" s="497" t="str">
        <f>IF(ISNUMBER('Model_ of_individuals'!AF479), 'Model_ of_individuals'!AF479*'Model_ of_individuals'!$K479,"")</f>
        <v/>
      </c>
      <c r="AG461" s="497" t="str">
        <f>IF(ISNUMBER('Model_ of_individuals'!AG479), 'Model_ of_individuals'!AG479*'Model_ of_individuals'!$K479,"")</f>
        <v/>
      </c>
      <c r="AH461" s="497" t="str">
        <f>IF(ISNUMBER('Model_ of_individuals'!AH479), 'Model_ of_individuals'!AH479*'Model_ of_individuals'!$K479,"")</f>
        <v/>
      </c>
      <c r="AI461" s="497" t="str">
        <f>IF(ISNUMBER('Model_ of_individuals'!AI479), 'Model_ of_individuals'!AI479*'Model_ of_individuals'!$K479,"")</f>
        <v/>
      </c>
      <c r="AJ461" s="497" t="str">
        <f>IF(ISNUMBER('Model_ of_individuals'!AJ479), 'Model_ of_individuals'!AJ479*'Model_ of_individuals'!$K479,"")</f>
        <v/>
      </c>
      <c r="AK461" s="497" t="str">
        <f>IF(ISNUMBER('Model_ of_individuals'!AK479), 'Model_ of_individuals'!AK479*'Model_ of_individuals'!$K479,"")</f>
        <v/>
      </c>
      <c r="AL461" s="497" t="str">
        <f>IF(ISNUMBER('Model_ of_individuals'!AL479), 'Model_ of_individuals'!AL479*'Model_ of_individuals'!$K479,"")</f>
        <v/>
      </c>
      <c r="AM461" s="497" t="str">
        <f>IF(ISNUMBER('Model_ of_individuals'!AM479), 'Model_ of_individuals'!AM479*'Model_ of_individuals'!$K479,"")</f>
        <v/>
      </c>
      <c r="AN461" s="497" t="str">
        <f>IF(ISNUMBER('Model_ of_individuals'!AN479), 'Model_ of_individuals'!AN479*'Model_ of_individuals'!$K479,"")</f>
        <v/>
      </c>
      <c r="AO461" s="497" t="str">
        <f>IF(ISNUMBER('Model_ of_individuals'!AO479), 'Model_ of_individuals'!AO479*'Model_ of_individuals'!$K479,"")</f>
        <v/>
      </c>
      <c r="AP461" s="497" t="str">
        <f>IF(ISNUMBER('Model_ of_individuals'!AP479), 'Model_ of_individuals'!AP479*'Model_ of_individuals'!$K479,"")</f>
        <v/>
      </c>
      <c r="AQ461" s="497" t="str">
        <f>IF(ISNUMBER('Model_ of_individuals'!AQ479), 'Model_ of_individuals'!AQ479*'Model_ of_individuals'!$K479,"")</f>
        <v/>
      </c>
      <c r="AR461" s="497" t="str">
        <f>IF(ISNUMBER('Model_ of_individuals'!AR479), 'Model_ of_individuals'!AR479*'Model_ of_individuals'!$K479,"")</f>
        <v/>
      </c>
      <c r="AS461" s="497" t="str">
        <f>IF(ISNUMBER('Model_ of_individuals'!AS479), 'Model_ of_individuals'!AS479*'Model_ of_individuals'!$K479,"")</f>
        <v/>
      </c>
      <c r="AT461" s="497" t="str">
        <f>IF(ISNUMBER('Model_ of_individuals'!AT479), 'Model_ of_individuals'!AT479*'Model_ of_individuals'!$K479,"")</f>
        <v/>
      </c>
      <c r="AU461" s="497" t="str">
        <f>IF(ISNUMBER('Model_ of_individuals'!AU479), 'Model_ of_individuals'!AU479*'Model_ of_individuals'!$K479,"")</f>
        <v/>
      </c>
      <c r="AV461" s="497" t="str">
        <f>IF(ISNUMBER('Model_ of_individuals'!AV479), 'Model_ of_individuals'!AV479*'Model_ of_individuals'!$K479,"")</f>
        <v/>
      </c>
      <c r="AW461" s="497" t="str">
        <f>IF(ISNUMBER('Model_ of_individuals'!AW479), 'Model_ of_individuals'!AW479*'Model_ of_individuals'!$K479,"")</f>
        <v/>
      </c>
    </row>
    <row r="462" spans="1:49" x14ac:dyDescent="0.25">
      <c r="A462" s="518"/>
      <c r="B462" s="504"/>
      <c r="C462" s="376" t="str">
        <f>IF(AND(ISNUMBER(B443), OR('Cost Inputs'!$H$85&lt;&gt;"", 'Cost Inputs'!$I$85&lt;&gt;"", 'Cost Inputs'!$J$85&lt;&gt;"")), _3_5_1, "")</f>
        <v/>
      </c>
      <c r="D462" s="17" t="str">
        <f>IF(AND(C461&lt;&gt;"", 'Cost Inputs'!$G$119&lt;&gt;""), 'Cost Inputs'!$G$119, "")</f>
        <v/>
      </c>
      <c r="E462" s="17" t="str">
        <f>IF(AND(C461&lt;&gt;"", 'Cost Inputs'!$H$119&lt;&gt;""), 'Cost Inputs'!$H$119, "")</f>
        <v/>
      </c>
      <c r="F462" s="493"/>
      <c r="G462" s="105" t="str">
        <f t="shared" si="39"/>
        <v/>
      </c>
      <c r="H462" s="493"/>
      <c r="I462" s="105" t="str">
        <f>IF($C461&lt;&gt;"", IF(AND($E462&lt;&gt;"", H461&lt;&gt;""), H461/($E461*$E462), 0), "")</f>
        <v/>
      </c>
      <c r="J462" s="493" t="str">
        <f>IF(AND(C462&lt;&gt;"",('Cost Inputs'!$I$86+'Cost Inputs'!$J$86+'Cost Inputs'!$K$86)&gt;0), 'Cost Inputs'!$I$86+'Cost Inputs'!$J$86+'Cost Inputs'!$K$86, "")</f>
        <v/>
      </c>
      <c r="K462" s="105" t="str">
        <f>IF($C461&lt;&gt;"", IF(AND($E462&lt;&gt;"", J461&lt;&gt;""), J461/($E461*$E462), 0), "")</f>
        <v/>
      </c>
      <c r="L462" s="525"/>
      <c r="M462" s="525"/>
      <c r="V462" s="497" t="str">
        <f>IF(ISNUMBER('Model_ of_individuals'!V480), 'Model_ of_individuals'!V480*'Model_ of_individuals'!$K480,"")</f>
        <v/>
      </c>
      <c r="W462" s="497" t="str">
        <f>IF(ISNUMBER('Model_ of_individuals'!W480), 'Model_ of_individuals'!W480*'Model_ of_individuals'!$K480,"")</f>
        <v/>
      </c>
      <c r="X462" s="497" t="str">
        <f>IF(ISNUMBER('Model_ of_individuals'!X480), 'Model_ of_individuals'!X480*'Model_ of_individuals'!$K480,"")</f>
        <v/>
      </c>
      <c r="Y462" s="497" t="str">
        <f>IF(ISNUMBER('Model_ of_individuals'!Y480), 'Model_ of_individuals'!Y480*'Model_ of_individuals'!$K480,"")</f>
        <v/>
      </c>
      <c r="Z462" s="497" t="str">
        <f>IF(ISNUMBER('Model_ of_individuals'!Z480), 'Model_ of_individuals'!Z480*'Model_ of_individuals'!$K480,"")</f>
        <v/>
      </c>
      <c r="AA462" s="497" t="str">
        <f>IF(ISNUMBER('Model_ of_individuals'!AA480), 'Model_ of_individuals'!AA480*'Model_ of_individuals'!$K480,"")</f>
        <v/>
      </c>
      <c r="AB462" s="497" t="str">
        <f>IF(ISNUMBER('Model_ of_individuals'!AB480), 'Model_ of_individuals'!AB480*'Model_ of_individuals'!$K480,"")</f>
        <v/>
      </c>
      <c r="AC462" s="497" t="str">
        <f>IF(ISNUMBER('Model_ of_individuals'!AC480), 'Model_ of_individuals'!AC480*'Model_ of_individuals'!$K480,"")</f>
        <v/>
      </c>
      <c r="AD462" s="497" t="str">
        <f>IF(ISNUMBER('Model_ of_individuals'!AD480), 'Model_ of_individuals'!AD480*'Model_ of_individuals'!$K480,"")</f>
        <v/>
      </c>
      <c r="AE462" s="497" t="str">
        <f>IF(ISNUMBER('Model_ of_individuals'!AE480), 'Model_ of_individuals'!AE480*'Model_ of_individuals'!$K480,"")</f>
        <v/>
      </c>
      <c r="AF462" s="497" t="str">
        <f>IF(ISNUMBER('Model_ of_individuals'!AF480), 'Model_ of_individuals'!AF480*'Model_ of_individuals'!$K480,"")</f>
        <v/>
      </c>
      <c r="AG462" s="497" t="str">
        <f>IF(ISNUMBER('Model_ of_individuals'!AG480), 'Model_ of_individuals'!AG480*'Model_ of_individuals'!$K480,"")</f>
        <v/>
      </c>
      <c r="AH462" s="497" t="str">
        <f>IF(ISNUMBER('Model_ of_individuals'!AH480), 'Model_ of_individuals'!AH480*'Model_ of_individuals'!$K480,"")</f>
        <v/>
      </c>
      <c r="AI462" s="497" t="str">
        <f>IF(ISNUMBER('Model_ of_individuals'!AI480), 'Model_ of_individuals'!AI480*'Model_ of_individuals'!$K480,"")</f>
        <v/>
      </c>
      <c r="AJ462" s="497" t="str">
        <f>IF(ISNUMBER('Model_ of_individuals'!AJ480), 'Model_ of_individuals'!AJ480*'Model_ of_individuals'!$K480,"")</f>
        <v/>
      </c>
      <c r="AK462" s="497" t="str">
        <f>IF(ISNUMBER('Model_ of_individuals'!AK480), 'Model_ of_individuals'!AK480*'Model_ of_individuals'!$K480,"")</f>
        <v/>
      </c>
      <c r="AL462" s="497" t="str">
        <f>IF(ISNUMBER('Model_ of_individuals'!AL480), 'Model_ of_individuals'!AL480*'Model_ of_individuals'!$K480,"")</f>
        <v/>
      </c>
      <c r="AM462" s="497" t="str">
        <f>IF(ISNUMBER('Model_ of_individuals'!AM480), 'Model_ of_individuals'!AM480*'Model_ of_individuals'!$K480,"")</f>
        <v/>
      </c>
      <c r="AN462" s="497" t="str">
        <f>IF(ISNUMBER('Model_ of_individuals'!AN480), 'Model_ of_individuals'!AN480*'Model_ of_individuals'!$K480,"")</f>
        <v/>
      </c>
      <c r="AO462" s="497" t="str">
        <f>IF(ISNUMBER('Model_ of_individuals'!AO480), 'Model_ of_individuals'!AO480*'Model_ of_individuals'!$K480,"")</f>
        <v/>
      </c>
      <c r="AP462" s="497" t="str">
        <f>IF(ISNUMBER('Model_ of_individuals'!AP480), 'Model_ of_individuals'!AP480*'Model_ of_individuals'!$K480,"")</f>
        <v/>
      </c>
      <c r="AQ462" s="497" t="str">
        <f>IF(ISNUMBER('Model_ of_individuals'!AQ480), 'Model_ of_individuals'!AQ480*'Model_ of_individuals'!$K480,"")</f>
        <v/>
      </c>
      <c r="AR462" s="497" t="str">
        <f>IF(ISNUMBER('Model_ of_individuals'!AR480), 'Model_ of_individuals'!AR480*'Model_ of_individuals'!$K480,"")</f>
        <v/>
      </c>
      <c r="AS462" s="497" t="str">
        <f>IF(ISNUMBER('Model_ of_individuals'!AS480), 'Model_ of_individuals'!AS480*'Model_ of_individuals'!$K480,"")</f>
        <v/>
      </c>
      <c r="AT462" s="497" t="str">
        <f>IF(ISNUMBER('Model_ of_individuals'!AT480), 'Model_ of_individuals'!AT480*'Model_ of_individuals'!$K480,"")</f>
        <v/>
      </c>
      <c r="AU462" s="497" t="str">
        <f>IF(ISNUMBER('Model_ of_individuals'!AU480), 'Model_ of_individuals'!AU480*'Model_ of_individuals'!$K480,"")</f>
        <v/>
      </c>
      <c r="AV462" s="497" t="str">
        <f>IF(ISNUMBER('Model_ of_individuals'!AV480), 'Model_ of_individuals'!AV480*'Model_ of_individuals'!$K480,"")</f>
        <v/>
      </c>
      <c r="AW462" s="497" t="str">
        <f>IF(ISNUMBER('Model_ of_individuals'!AW480), 'Model_ of_individuals'!AW480*'Model_ of_individuals'!$K480,"")</f>
        <v/>
      </c>
    </row>
    <row r="463" spans="1:49" x14ac:dyDescent="0.25">
      <c r="A463" s="518"/>
      <c r="B463" s="504"/>
      <c r="C463" s="107" t="str">
        <f>IF(AND(ISNUMBER(B448), C459&lt;&gt;"", OR('Cost Inputs'!$H$120&lt;&gt;"", 'Cost Inputs'!$I$120&lt;&gt;"", 'Cost Inputs'!$J$120&lt;&gt;"")), _4_5_2, "")</f>
        <v/>
      </c>
      <c r="D463" s="93" t="str">
        <f>IF(AND(C463&lt;&gt;"", 'Cost Inputs'!$G$120&lt;&gt;""), 'Cost Inputs'!$G$120, "")</f>
        <v/>
      </c>
      <c r="E463" s="93" t="str">
        <f>IF(AND(C463&lt;&gt;"", 'Cost Inputs'!$H$120&lt;&gt;""), 'Cost Inputs'!$H$120, "")</f>
        <v/>
      </c>
      <c r="F463" s="93" t="str">
        <f>IF(AND(C463&lt;&gt;"", 'Cost Inputs'!$I$120&lt;&gt;""), 'Cost Inputs'!$I$120, "")</f>
        <v/>
      </c>
      <c r="G463" s="108" t="str">
        <f t="shared" si="39"/>
        <v/>
      </c>
      <c r="H463" s="93" t="str">
        <f>IF(AND(C463&lt;&gt;"", 'Cost Inputs'!$J$120&lt;&gt;""), 'Cost Inputs'!$J$120, "")</f>
        <v/>
      </c>
      <c r="I463" s="93" t="str">
        <f>IF($C463&lt;&gt;"", IF(AND($E463&lt;&gt;"", H463&lt;&gt;""), H463/$E463, 0),"")</f>
        <v/>
      </c>
      <c r="J463" s="93" t="str">
        <f>IF(AND(C463&lt;&gt;"",('Cost Inputs'!$I$120+'Cost Inputs'!$J$120+'Cost Inputs'!$K$120)&gt;0), 'Cost Inputs'!$I$120+'Cost Inputs'!$J$120+'Cost Inputs'!$K$120, "")</f>
        <v/>
      </c>
      <c r="K463" s="93" t="str">
        <f>IF($C463&lt;&gt;"", IF(AND($E463&lt;&gt;"", J463&lt;&gt;""), J463/$E463, 0),"")</f>
        <v/>
      </c>
      <c r="L463" s="525"/>
      <c r="M463" s="525"/>
      <c r="V463" s="93" t="str">
        <f>IF(ISNUMBER('Model_ of_individuals'!V481), 'Model_ of_individuals'!V481*'Model_ of_individuals'!$K481,"")</f>
        <v/>
      </c>
      <c r="W463" s="93" t="str">
        <f>IF(ISNUMBER('Model_ of_individuals'!W481), 'Model_ of_individuals'!W481*'Model_ of_individuals'!$K481,"")</f>
        <v/>
      </c>
      <c r="X463" s="93" t="str">
        <f>IF(ISNUMBER('Model_ of_individuals'!X481), 'Model_ of_individuals'!X481*'Model_ of_individuals'!$K481,"")</f>
        <v/>
      </c>
      <c r="Y463" s="93" t="str">
        <f>IF(ISNUMBER('Model_ of_individuals'!Y481), 'Model_ of_individuals'!Y481*'Model_ of_individuals'!$K481,"")</f>
        <v/>
      </c>
      <c r="Z463" s="93" t="str">
        <f>IF(ISNUMBER('Model_ of_individuals'!Z481), 'Model_ of_individuals'!Z481*'Model_ of_individuals'!$K481,"")</f>
        <v/>
      </c>
      <c r="AA463" s="93" t="str">
        <f>IF(ISNUMBER('Model_ of_individuals'!AA481), 'Model_ of_individuals'!AA481*'Model_ of_individuals'!$K481,"")</f>
        <v/>
      </c>
      <c r="AB463" s="93" t="str">
        <f>IF(ISNUMBER('Model_ of_individuals'!AB481), 'Model_ of_individuals'!AB481*'Model_ of_individuals'!$K481,"")</f>
        <v/>
      </c>
      <c r="AC463" s="93" t="str">
        <f>IF(ISNUMBER('Model_ of_individuals'!AC481), 'Model_ of_individuals'!AC481*'Model_ of_individuals'!$K481,"")</f>
        <v/>
      </c>
      <c r="AD463" s="93" t="str">
        <f>IF(ISNUMBER('Model_ of_individuals'!AD481), 'Model_ of_individuals'!AD481*'Model_ of_individuals'!$K481,"")</f>
        <v/>
      </c>
      <c r="AE463" s="93" t="str">
        <f>IF(ISNUMBER('Model_ of_individuals'!AE481), 'Model_ of_individuals'!AE481*'Model_ of_individuals'!$K481,"")</f>
        <v/>
      </c>
      <c r="AF463" s="93" t="str">
        <f>IF(ISNUMBER('Model_ of_individuals'!AF481), 'Model_ of_individuals'!AF481*'Model_ of_individuals'!$K481,"")</f>
        <v/>
      </c>
      <c r="AG463" s="93" t="str">
        <f>IF(ISNUMBER('Model_ of_individuals'!AG481), 'Model_ of_individuals'!AG481*'Model_ of_individuals'!$K481,"")</f>
        <v/>
      </c>
      <c r="AH463" s="93" t="str">
        <f>IF(ISNUMBER('Model_ of_individuals'!AH481), 'Model_ of_individuals'!AH481*'Model_ of_individuals'!$K481,"")</f>
        <v/>
      </c>
      <c r="AI463" s="93" t="str">
        <f>IF(ISNUMBER('Model_ of_individuals'!AI481), 'Model_ of_individuals'!AI481*'Model_ of_individuals'!$K481,"")</f>
        <v/>
      </c>
      <c r="AJ463" s="93" t="str">
        <f>IF(ISNUMBER('Model_ of_individuals'!AJ481), 'Model_ of_individuals'!AJ481*'Model_ of_individuals'!$K481,"")</f>
        <v/>
      </c>
      <c r="AK463" s="93" t="str">
        <f>IF(ISNUMBER('Model_ of_individuals'!AK481), 'Model_ of_individuals'!AK481*'Model_ of_individuals'!$K481,"")</f>
        <v/>
      </c>
      <c r="AL463" s="93" t="str">
        <f>IF(ISNUMBER('Model_ of_individuals'!AL481), 'Model_ of_individuals'!AL481*'Model_ of_individuals'!$K481,"")</f>
        <v/>
      </c>
      <c r="AM463" s="93" t="str">
        <f>IF(ISNUMBER('Model_ of_individuals'!AM481), 'Model_ of_individuals'!AM481*'Model_ of_individuals'!$K481,"")</f>
        <v/>
      </c>
      <c r="AN463" s="93" t="str">
        <f>IF(ISNUMBER('Model_ of_individuals'!AN481), 'Model_ of_individuals'!AN481*'Model_ of_individuals'!$K481,"")</f>
        <v/>
      </c>
      <c r="AO463" s="93" t="str">
        <f>IF(ISNUMBER('Model_ of_individuals'!AO481), 'Model_ of_individuals'!AO481*'Model_ of_individuals'!$K481,"")</f>
        <v/>
      </c>
      <c r="AP463" s="93" t="str">
        <f>IF(ISNUMBER('Model_ of_individuals'!AP481), 'Model_ of_individuals'!AP481*'Model_ of_individuals'!$K481,"")</f>
        <v/>
      </c>
      <c r="AQ463" s="93" t="str">
        <f>IF(ISNUMBER('Model_ of_individuals'!AQ481), 'Model_ of_individuals'!AQ481*'Model_ of_individuals'!$K481,"")</f>
        <v/>
      </c>
      <c r="AR463" s="93" t="str">
        <f>IF(ISNUMBER('Model_ of_individuals'!AR481), 'Model_ of_individuals'!AR481*'Model_ of_individuals'!$K481,"")</f>
        <v/>
      </c>
      <c r="AS463" s="93" t="str">
        <f>IF(ISNUMBER('Model_ of_individuals'!AS481), 'Model_ of_individuals'!AS481*'Model_ of_individuals'!$K481,"")</f>
        <v/>
      </c>
      <c r="AT463" s="93" t="str">
        <f>IF(ISNUMBER('Model_ of_individuals'!AT481), 'Model_ of_individuals'!AT481*'Model_ of_individuals'!$K481,"")</f>
        <v/>
      </c>
      <c r="AU463" s="93" t="str">
        <f>IF(ISNUMBER('Model_ of_individuals'!AU481), 'Model_ of_individuals'!AU481*'Model_ of_individuals'!$K481,"")</f>
        <v/>
      </c>
      <c r="AV463" s="93" t="str">
        <f>IF(ISNUMBER('Model_ of_individuals'!AV481), 'Model_ of_individuals'!AV481*'Model_ of_individuals'!$K481,"")</f>
        <v/>
      </c>
      <c r="AW463" s="93" t="str">
        <f>IF(ISNUMBER('Model_ of_individuals'!AW481), 'Model_ of_individuals'!AW481*'Model_ of_individuals'!$K481,"")</f>
        <v/>
      </c>
    </row>
    <row r="464" spans="1:49" x14ac:dyDescent="0.25">
      <c r="A464" s="518"/>
      <c r="B464" s="504"/>
      <c r="C464" s="104" t="str">
        <f>IF(AND(ISNUMBER(B448), C459&lt;&gt;"", OR('Cost Inputs'!$H$121&lt;&gt;"", 'Cost Inputs'!$I$121&lt;&gt;"", 'Cost Inputs'!$J$121&lt;&gt;"")), _4_5_3, "")</f>
        <v/>
      </c>
      <c r="D464" s="17" t="str">
        <f>IF(AND(C464&lt;&gt;"", 'Cost Inputs'!$G$121&lt;&gt;""), 'Cost Inputs'!$G$121, "")</f>
        <v/>
      </c>
      <c r="E464" s="17" t="str">
        <f>IF(AND(C464&lt;&gt;"", 'Cost Inputs'!$H$121&lt;&gt;""), 'Cost Inputs'!$H$121, "")</f>
        <v/>
      </c>
      <c r="F464" s="17" t="str">
        <f>IF(AND(C464&lt;&gt;"", 'Cost Inputs'!$I$121&lt;&gt;""), 'Cost Inputs'!$I$121, "")</f>
        <v/>
      </c>
      <c r="G464" s="105" t="str">
        <f t="shared" si="39"/>
        <v/>
      </c>
      <c r="H464" s="17" t="str">
        <f>IF(AND(C464&lt;&gt;"", 'Cost Inputs'!$J$121&lt;&gt;""), 'Cost Inputs'!$J$121, "")</f>
        <v/>
      </c>
      <c r="I464" s="17" t="str">
        <f>IF($C464&lt;&gt;"", IF(AND($E464&lt;&gt;"", H464&lt;&gt;""), H464/$E464, 0),"")</f>
        <v/>
      </c>
      <c r="J464" s="17" t="str">
        <f>IF(AND(C464&lt;&gt;"",('Cost Inputs'!$I$121+'Cost Inputs'!$J$121+'Cost Inputs'!$K$121)&gt;0), 'Cost Inputs'!$I$121+'Cost Inputs'!$J$121+'Cost Inputs'!$K$121, "")</f>
        <v/>
      </c>
      <c r="K464" s="17" t="str">
        <f>IF($C464&lt;&gt;"", IF(AND($E464&lt;&gt;"", J464&lt;&gt;""), J464/$E464, 0),"")</f>
        <v/>
      </c>
      <c r="L464" s="525"/>
      <c r="M464" s="525"/>
      <c r="V464" s="17" t="str">
        <f>IF(ISNUMBER('Model_ of_individuals'!V482), 'Model_ of_individuals'!V482*'Model_ of_individuals'!$K482,"")</f>
        <v/>
      </c>
      <c r="W464" s="17" t="str">
        <f>IF(ISNUMBER('Model_ of_individuals'!W482), 'Model_ of_individuals'!W482*'Model_ of_individuals'!$K482,"")</f>
        <v/>
      </c>
      <c r="X464" s="17" t="str">
        <f>IF(ISNUMBER('Model_ of_individuals'!X482), 'Model_ of_individuals'!X482*'Model_ of_individuals'!$K482,"")</f>
        <v/>
      </c>
      <c r="Y464" s="17" t="str">
        <f>IF(ISNUMBER('Model_ of_individuals'!Y482), 'Model_ of_individuals'!Y482*'Model_ of_individuals'!$K482,"")</f>
        <v/>
      </c>
      <c r="Z464" s="17" t="str">
        <f>IF(ISNUMBER('Model_ of_individuals'!Z482), 'Model_ of_individuals'!Z482*'Model_ of_individuals'!$K482,"")</f>
        <v/>
      </c>
      <c r="AA464" s="17" t="str">
        <f>IF(ISNUMBER('Model_ of_individuals'!AA482), 'Model_ of_individuals'!AA482*'Model_ of_individuals'!$K482,"")</f>
        <v/>
      </c>
      <c r="AB464" s="17" t="str">
        <f>IF(ISNUMBER('Model_ of_individuals'!AB482), 'Model_ of_individuals'!AB482*'Model_ of_individuals'!$K482,"")</f>
        <v/>
      </c>
      <c r="AC464" s="17" t="str">
        <f>IF(ISNUMBER('Model_ of_individuals'!AC482), 'Model_ of_individuals'!AC482*'Model_ of_individuals'!$K482,"")</f>
        <v/>
      </c>
      <c r="AD464" s="17" t="str">
        <f>IF(ISNUMBER('Model_ of_individuals'!AD482), 'Model_ of_individuals'!AD482*'Model_ of_individuals'!$K482,"")</f>
        <v/>
      </c>
      <c r="AE464" s="17" t="str">
        <f>IF(ISNUMBER('Model_ of_individuals'!AE482), 'Model_ of_individuals'!AE482*'Model_ of_individuals'!$K482,"")</f>
        <v/>
      </c>
      <c r="AF464" s="17" t="str">
        <f>IF(ISNUMBER('Model_ of_individuals'!AF482), 'Model_ of_individuals'!AF482*'Model_ of_individuals'!$K482,"")</f>
        <v/>
      </c>
      <c r="AG464" s="17" t="str">
        <f>IF(ISNUMBER('Model_ of_individuals'!AG482), 'Model_ of_individuals'!AG482*'Model_ of_individuals'!$K482,"")</f>
        <v/>
      </c>
      <c r="AH464" s="17" t="str">
        <f>IF(ISNUMBER('Model_ of_individuals'!AH482), 'Model_ of_individuals'!AH482*'Model_ of_individuals'!$K482,"")</f>
        <v/>
      </c>
      <c r="AI464" s="17" t="str">
        <f>IF(ISNUMBER('Model_ of_individuals'!AI482), 'Model_ of_individuals'!AI482*'Model_ of_individuals'!$K482,"")</f>
        <v/>
      </c>
      <c r="AJ464" s="17" t="str">
        <f>IF(ISNUMBER('Model_ of_individuals'!AJ482), 'Model_ of_individuals'!AJ482*'Model_ of_individuals'!$K482,"")</f>
        <v/>
      </c>
      <c r="AK464" s="17" t="str">
        <f>IF(ISNUMBER('Model_ of_individuals'!AK482), 'Model_ of_individuals'!AK482*'Model_ of_individuals'!$K482,"")</f>
        <v/>
      </c>
      <c r="AL464" s="17" t="str">
        <f>IF(ISNUMBER('Model_ of_individuals'!AL482), 'Model_ of_individuals'!AL482*'Model_ of_individuals'!$K482,"")</f>
        <v/>
      </c>
      <c r="AM464" s="17" t="str">
        <f>IF(ISNUMBER('Model_ of_individuals'!AM482), 'Model_ of_individuals'!AM482*'Model_ of_individuals'!$K482,"")</f>
        <v/>
      </c>
      <c r="AN464" s="17" t="str">
        <f>IF(ISNUMBER('Model_ of_individuals'!AN482), 'Model_ of_individuals'!AN482*'Model_ of_individuals'!$K482,"")</f>
        <v/>
      </c>
      <c r="AO464" s="17" t="str">
        <f>IF(ISNUMBER('Model_ of_individuals'!AO482), 'Model_ of_individuals'!AO482*'Model_ of_individuals'!$K482,"")</f>
        <v/>
      </c>
      <c r="AP464" s="17" t="str">
        <f>IF(ISNUMBER('Model_ of_individuals'!AP482), 'Model_ of_individuals'!AP482*'Model_ of_individuals'!$K482,"")</f>
        <v/>
      </c>
      <c r="AQ464" s="17" t="str">
        <f>IF(ISNUMBER('Model_ of_individuals'!AQ482), 'Model_ of_individuals'!AQ482*'Model_ of_individuals'!$K482,"")</f>
        <v/>
      </c>
      <c r="AR464" s="17" t="str">
        <f>IF(ISNUMBER('Model_ of_individuals'!AR482), 'Model_ of_individuals'!AR482*'Model_ of_individuals'!$K482,"")</f>
        <v/>
      </c>
      <c r="AS464" s="17" t="str">
        <f>IF(ISNUMBER('Model_ of_individuals'!AS482), 'Model_ of_individuals'!AS482*'Model_ of_individuals'!$K482,"")</f>
        <v/>
      </c>
      <c r="AT464" s="17" t="str">
        <f>IF(ISNUMBER('Model_ of_individuals'!AT482), 'Model_ of_individuals'!AT482*'Model_ of_individuals'!$K482,"")</f>
        <v/>
      </c>
      <c r="AU464" s="17" t="str">
        <f>IF(ISNUMBER('Model_ of_individuals'!AU482), 'Model_ of_individuals'!AU482*'Model_ of_individuals'!$K482,"")</f>
        <v/>
      </c>
      <c r="AV464" s="17" t="str">
        <f>IF(ISNUMBER('Model_ of_individuals'!AV482), 'Model_ of_individuals'!AV482*'Model_ of_individuals'!$K482,"")</f>
        <v/>
      </c>
      <c r="AW464" s="17" t="str">
        <f>IF(ISNUMBER('Model_ of_individuals'!AW482), 'Model_ of_individuals'!AW482*'Model_ of_individuals'!$K482,"")</f>
        <v/>
      </c>
    </row>
    <row r="465" spans="1:50" x14ac:dyDescent="0.25">
      <c r="A465" s="518"/>
      <c r="B465" s="504"/>
      <c r="C465" s="107" t="str">
        <f>IF(AND(ISNUMBER(B448), C459&lt;&gt;"", OR('Cost Inputs'!$H$122&lt;&gt;"", 'Cost Inputs'!$I$122&lt;&gt;"", 'Cost Inputs'!$J$122&lt;&gt;"")), _4_5_2, "")</f>
        <v/>
      </c>
      <c r="D465" s="93" t="str">
        <f>IF(AND(C465&lt;&gt;"", 'Cost Inputs'!$G$122&lt;&gt;""), 'Cost Inputs'!$G$122, "")</f>
        <v/>
      </c>
      <c r="E465" s="93" t="str">
        <f>IF(AND(C465&lt;&gt;"", 'Cost Inputs'!$H$122&lt;&gt;""), 'Cost Inputs'!$H$122, "")</f>
        <v/>
      </c>
      <c r="F465" s="93" t="str">
        <f>IF(AND(C465&lt;&gt;"", 'Cost Inputs'!$I$122&lt;&gt;""), 'Cost Inputs'!$I$122, "")</f>
        <v/>
      </c>
      <c r="G465" s="108" t="str">
        <f t="shared" si="39"/>
        <v/>
      </c>
      <c r="H465" s="93" t="str">
        <f>IF(AND(C465&lt;&gt;"", 'Cost Inputs'!$J$122&lt;&gt;""), 'Cost Inputs'!$J$122, "")</f>
        <v/>
      </c>
      <c r="I465" s="93" t="str">
        <f>IF($C465&lt;&gt;"", IF(AND($E465&lt;&gt;"", H465&lt;&gt;""), H465/$E465, 0),"")</f>
        <v/>
      </c>
      <c r="J465" s="93" t="str">
        <f>IF(AND(C465&lt;&gt;"",('Cost Inputs'!$I$122+'Cost Inputs'!$J$122+'Cost Inputs'!$K$122)&gt;0), 'Cost Inputs'!$I$122+'Cost Inputs'!$J$122+'Cost Inputs'!$K$122, "")</f>
        <v/>
      </c>
      <c r="K465" s="93" t="str">
        <f>IF($C465&lt;&gt;"", IF(AND($E465&lt;&gt;"", J465&lt;&gt;""), J465/$E465, 0),"")</f>
        <v/>
      </c>
      <c r="L465" s="525"/>
      <c r="M465" s="525"/>
      <c r="V465" s="93" t="str">
        <f>IF(ISNUMBER('Model_ of_individuals'!V483), 'Model_ of_individuals'!V483*'Model_ of_individuals'!$K483,"")</f>
        <v/>
      </c>
      <c r="W465" s="93" t="str">
        <f>IF(ISNUMBER('Model_ of_individuals'!W483), 'Model_ of_individuals'!W483*'Model_ of_individuals'!$K483,"")</f>
        <v/>
      </c>
      <c r="X465" s="93" t="str">
        <f>IF(ISNUMBER('Model_ of_individuals'!X483), 'Model_ of_individuals'!X483*'Model_ of_individuals'!$K483,"")</f>
        <v/>
      </c>
      <c r="Y465" s="93" t="str">
        <f>IF(ISNUMBER('Model_ of_individuals'!Y483), 'Model_ of_individuals'!Y483*'Model_ of_individuals'!$K483,"")</f>
        <v/>
      </c>
      <c r="Z465" s="93" t="str">
        <f>IF(ISNUMBER('Model_ of_individuals'!Z483), 'Model_ of_individuals'!Z483*'Model_ of_individuals'!$K483,"")</f>
        <v/>
      </c>
      <c r="AA465" s="93" t="str">
        <f>IF(ISNUMBER('Model_ of_individuals'!AA483), 'Model_ of_individuals'!AA483*'Model_ of_individuals'!$K483,"")</f>
        <v/>
      </c>
      <c r="AB465" s="93" t="str">
        <f>IF(ISNUMBER('Model_ of_individuals'!AB483), 'Model_ of_individuals'!AB483*'Model_ of_individuals'!$K483,"")</f>
        <v/>
      </c>
      <c r="AC465" s="93" t="str">
        <f>IF(ISNUMBER('Model_ of_individuals'!AC483), 'Model_ of_individuals'!AC483*'Model_ of_individuals'!$K483,"")</f>
        <v/>
      </c>
      <c r="AD465" s="93" t="str">
        <f>IF(ISNUMBER('Model_ of_individuals'!AD483), 'Model_ of_individuals'!AD483*'Model_ of_individuals'!$K483,"")</f>
        <v/>
      </c>
      <c r="AE465" s="93" t="str">
        <f>IF(ISNUMBER('Model_ of_individuals'!AE483), 'Model_ of_individuals'!AE483*'Model_ of_individuals'!$K483,"")</f>
        <v/>
      </c>
      <c r="AF465" s="93" t="str">
        <f>IF(ISNUMBER('Model_ of_individuals'!AF483), 'Model_ of_individuals'!AF483*'Model_ of_individuals'!$K483,"")</f>
        <v/>
      </c>
      <c r="AG465" s="93" t="str">
        <f>IF(ISNUMBER('Model_ of_individuals'!AG483), 'Model_ of_individuals'!AG483*'Model_ of_individuals'!$K483,"")</f>
        <v/>
      </c>
      <c r="AH465" s="93" t="str">
        <f>IF(ISNUMBER('Model_ of_individuals'!AH483), 'Model_ of_individuals'!AH483*'Model_ of_individuals'!$K483,"")</f>
        <v/>
      </c>
      <c r="AI465" s="93" t="str">
        <f>IF(ISNUMBER('Model_ of_individuals'!AI483), 'Model_ of_individuals'!AI483*'Model_ of_individuals'!$K483,"")</f>
        <v/>
      </c>
      <c r="AJ465" s="93" t="str">
        <f>IF(ISNUMBER('Model_ of_individuals'!AJ483), 'Model_ of_individuals'!AJ483*'Model_ of_individuals'!$K483,"")</f>
        <v/>
      </c>
      <c r="AK465" s="93" t="str">
        <f>IF(ISNUMBER('Model_ of_individuals'!AK483), 'Model_ of_individuals'!AK483*'Model_ of_individuals'!$K483,"")</f>
        <v/>
      </c>
      <c r="AL465" s="93" t="str">
        <f>IF(ISNUMBER('Model_ of_individuals'!AL483), 'Model_ of_individuals'!AL483*'Model_ of_individuals'!$K483,"")</f>
        <v/>
      </c>
      <c r="AM465" s="93" t="str">
        <f>IF(ISNUMBER('Model_ of_individuals'!AM483), 'Model_ of_individuals'!AM483*'Model_ of_individuals'!$K483,"")</f>
        <v/>
      </c>
      <c r="AN465" s="93" t="str">
        <f>IF(ISNUMBER('Model_ of_individuals'!AN483), 'Model_ of_individuals'!AN483*'Model_ of_individuals'!$K483,"")</f>
        <v/>
      </c>
      <c r="AO465" s="93" t="str">
        <f>IF(ISNUMBER('Model_ of_individuals'!AO483), 'Model_ of_individuals'!AO483*'Model_ of_individuals'!$K483,"")</f>
        <v/>
      </c>
      <c r="AP465" s="93" t="str">
        <f>IF(ISNUMBER('Model_ of_individuals'!AP483), 'Model_ of_individuals'!AP483*'Model_ of_individuals'!$K483,"")</f>
        <v/>
      </c>
      <c r="AQ465" s="93" t="str">
        <f>IF(ISNUMBER('Model_ of_individuals'!AQ483), 'Model_ of_individuals'!AQ483*'Model_ of_individuals'!$K483,"")</f>
        <v/>
      </c>
      <c r="AR465" s="93" t="str">
        <f>IF(ISNUMBER('Model_ of_individuals'!AR483), 'Model_ of_individuals'!AR483*'Model_ of_individuals'!$K483,"")</f>
        <v/>
      </c>
      <c r="AS465" s="93" t="str">
        <f>IF(ISNUMBER('Model_ of_individuals'!AS483), 'Model_ of_individuals'!AS483*'Model_ of_individuals'!$K483,"")</f>
        <v/>
      </c>
      <c r="AT465" s="93" t="str">
        <f>IF(ISNUMBER('Model_ of_individuals'!AT483), 'Model_ of_individuals'!AT483*'Model_ of_individuals'!$K483,"")</f>
        <v/>
      </c>
      <c r="AU465" s="93" t="str">
        <f>IF(ISNUMBER('Model_ of_individuals'!AU483), 'Model_ of_individuals'!AU483*'Model_ of_individuals'!$K483,"")</f>
        <v/>
      </c>
      <c r="AV465" s="93" t="str">
        <f>IF(ISNUMBER('Model_ of_individuals'!AV483), 'Model_ of_individuals'!AV483*'Model_ of_individuals'!$K483,"")</f>
        <v/>
      </c>
      <c r="AW465" s="93" t="str">
        <f>IF(ISNUMBER('Model_ of_individuals'!AW483), 'Model_ of_individuals'!AW483*'Model_ of_individuals'!$K483,"")</f>
        <v/>
      </c>
    </row>
    <row r="466" spans="1:50" x14ac:dyDescent="0.25">
      <c r="A466" s="518"/>
      <c r="B466" s="504"/>
      <c r="C466" s="104" t="str">
        <f>IF(AND(ISNUMBER(B448), C459&lt;&gt;"", OR('Cost Inputs'!$H$123&lt;&gt;"", 'Cost Inputs'!$I$123&lt;&gt;"", 'Cost Inputs'!$J$123&lt;&gt;"")), _4_5_3, "")</f>
        <v/>
      </c>
      <c r="D466" s="17" t="str">
        <f>IF(AND(C466&lt;&gt;"", 'Cost Inputs'!$G$123&lt;&gt;""), 'Cost Inputs'!$G$123, "")</f>
        <v/>
      </c>
      <c r="E466" s="17" t="str">
        <f>IF(AND(C466&lt;&gt;"", 'Cost Inputs'!$H$123&lt;&gt;""), 'Cost Inputs'!$H$123, "")</f>
        <v/>
      </c>
      <c r="F466" s="17" t="str">
        <f>IF(AND(C466&lt;&gt;"", 'Cost Inputs'!$I$123&lt;&gt;""), 'Cost Inputs'!$I$123, "")</f>
        <v/>
      </c>
      <c r="G466" s="105" t="str">
        <f t="shared" si="39"/>
        <v/>
      </c>
      <c r="H466" s="17" t="str">
        <f>IF(AND(C466&lt;&gt;"", 'Cost Inputs'!$J$123&lt;&gt;""), 'Cost Inputs'!$J$123, "")</f>
        <v/>
      </c>
      <c r="I466" s="17" t="str">
        <f>IF($C466&lt;&gt;"", IF(AND($E466&lt;&gt;"", H466&lt;&gt;""), H466/$E466, 0),"")</f>
        <v/>
      </c>
      <c r="J466" s="17" t="str">
        <f>IF(AND(C466&lt;&gt;"",('Cost Inputs'!$I$123+'Cost Inputs'!$J$123+'Cost Inputs'!$K$123)&gt;0), 'Cost Inputs'!$I$123+'Cost Inputs'!$J$123+'Cost Inputs'!$K$123, "")</f>
        <v/>
      </c>
      <c r="K466" s="17" t="str">
        <f>IF($C466&lt;&gt;"", IF(AND($E466&lt;&gt;"", J466&lt;&gt;""), J466/$E466, 0),"")</f>
        <v/>
      </c>
      <c r="L466" s="525"/>
      <c r="M466" s="525"/>
      <c r="V466" s="17" t="str">
        <f>IF(ISNUMBER('Model_ of_individuals'!V484), 'Model_ of_individuals'!V484*'Model_ of_individuals'!$K484,"")</f>
        <v/>
      </c>
      <c r="W466" s="17" t="str">
        <f>IF(ISNUMBER('Model_ of_individuals'!W484), 'Model_ of_individuals'!W484*'Model_ of_individuals'!$K484,"")</f>
        <v/>
      </c>
      <c r="X466" s="17" t="str">
        <f>IF(ISNUMBER('Model_ of_individuals'!X484), 'Model_ of_individuals'!X484*'Model_ of_individuals'!$K484,"")</f>
        <v/>
      </c>
      <c r="Y466" s="17" t="str">
        <f>IF(ISNUMBER('Model_ of_individuals'!Y484), 'Model_ of_individuals'!Y484*'Model_ of_individuals'!$K484,"")</f>
        <v/>
      </c>
      <c r="Z466" s="17" t="str">
        <f>IF(ISNUMBER('Model_ of_individuals'!Z484), 'Model_ of_individuals'!Z484*'Model_ of_individuals'!$K484,"")</f>
        <v/>
      </c>
      <c r="AA466" s="17" t="str">
        <f>IF(ISNUMBER('Model_ of_individuals'!AA484), 'Model_ of_individuals'!AA484*'Model_ of_individuals'!$K484,"")</f>
        <v/>
      </c>
      <c r="AB466" s="17" t="str">
        <f>IF(ISNUMBER('Model_ of_individuals'!AB484), 'Model_ of_individuals'!AB484*'Model_ of_individuals'!$K484,"")</f>
        <v/>
      </c>
      <c r="AC466" s="17" t="str">
        <f>IF(ISNUMBER('Model_ of_individuals'!AC484), 'Model_ of_individuals'!AC484*'Model_ of_individuals'!$K484,"")</f>
        <v/>
      </c>
      <c r="AD466" s="17" t="str">
        <f>IF(ISNUMBER('Model_ of_individuals'!AD484), 'Model_ of_individuals'!AD484*'Model_ of_individuals'!$K484,"")</f>
        <v/>
      </c>
      <c r="AE466" s="17" t="str">
        <f>IF(ISNUMBER('Model_ of_individuals'!AE484), 'Model_ of_individuals'!AE484*'Model_ of_individuals'!$K484,"")</f>
        <v/>
      </c>
      <c r="AF466" s="17" t="str">
        <f>IF(ISNUMBER('Model_ of_individuals'!AF484), 'Model_ of_individuals'!AF484*'Model_ of_individuals'!$K484,"")</f>
        <v/>
      </c>
      <c r="AG466" s="17" t="str">
        <f>IF(ISNUMBER('Model_ of_individuals'!AG484), 'Model_ of_individuals'!AG484*'Model_ of_individuals'!$K484,"")</f>
        <v/>
      </c>
      <c r="AH466" s="17" t="str">
        <f>IF(ISNUMBER('Model_ of_individuals'!AH484), 'Model_ of_individuals'!AH484*'Model_ of_individuals'!$K484,"")</f>
        <v/>
      </c>
      <c r="AI466" s="17" t="str">
        <f>IF(ISNUMBER('Model_ of_individuals'!AI484), 'Model_ of_individuals'!AI484*'Model_ of_individuals'!$K484,"")</f>
        <v/>
      </c>
      <c r="AJ466" s="17" t="str">
        <f>IF(ISNUMBER('Model_ of_individuals'!AJ484), 'Model_ of_individuals'!AJ484*'Model_ of_individuals'!$K484,"")</f>
        <v/>
      </c>
      <c r="AK466" s="17" t="str">
        <f>IF(ISNUMBER('Model_ of_individuals'!AK484), 'Model_ of_individuals'!AK484*'Model_ of_individuals'!$K484,"")</f>
        <v/>
      </c>
      <c r="AL466" s="17" t="str">
        <f>IF(ISNUMBER('Model_ of_individuals'!AL484), 'Model_ of_individuals'!AL484*'Model_ of_individuals'!$K484,"")</f>
        <v/>
      </c>
      <c r="AM466" s="17" t="str">
        <f>IF(ISNUMBER('Model_ of_individuals'!AM484), 'Model_ of_individuals'!AM484*'Model_ of_individuals'!$K484,"")</f>
        <v/>
      </c>
      <c r="AN466" s="17" t="str">
        <f>IF(ISNUMBER('Model_ of_individuals'!AN484), 'Model_ of_individuals'!AN484*'Model_ of_individuals'!$K484,"")</f>
        <v/>
      </c>
      <c r="AO466" s="17" t="str">
        <f>IF(ISNUMBER('Model_ of_individuals'!AO484), 'Model_ of_individuals'!AO484*'Model_ of_individuals'!$K484,"")</f>
        <v/>
      </c>
      <c r="AP466" s="17" t="str">
        <f>IF(ISNUMBER('Model_ of_individuals'!AP484), 'Model_ of_individuals'!AP484*'Model_ of_individuals'!$K484,"")</f>
        <v/>
      </c>
      <c r="AQ466" s="17" t="str">
        <f>IF(ISNUMBER('Model_ of_individuals'!AQ484), 'Model_ of_individuals'!AQ484*'Model_ of_individuals'!$K484,"")</f>
        <v/>
      </c>
      <c r="AR466" s="17" t="str">
        <f>IF(ISNUMBER('Model_ of_individuals'!AR484), 'Model_ of_individuals'!AR484*'Model_ of_individuals'!$K484,"")</f>
        <v/>
      </c>
      <c r="AS466" s="17" t="str">
        <f>IF(ISNUMBER('Model_ of_individuals'!AS484), 'Model_ of_individuals'!AS484*'Model_ of_individuals'!$K484,"")</f>
        <v/>
      </c>
      <c r="AT466" s="17" t="str">
        <f>IF(ISNUMBER('Model_ of_individuals'!AT484), 'Model_ of_individuals'!AT484*'Model_ of_individuals'!$K484,"")</f>
        <v/>
      </c>
      <c r="AU466" s="17" t="str">
        <f>IF(ISNUMBER('Model_ of_individuals'!AU484), 'Model_ of_individuals'!AU484*'Model_ of_individuals'!$K484,"")</f>
        <v/>
      </c>
      <c r="AV466" s="17" t="str">
        <f>IF(ISNUMBER('Model_ of_individuals'!AV484), 'Model_ of_individuals'!AV484*'Model_ of_individuals'!$K484,"")</f>
        <v/>
      </c>
      <c r="AW466" s="17" t="str">
        <f>IF(ISNUMBER('Model_ of_individuals'!AW484), 'Model_ of_individuals'!AW484*'Model_ of_individuals'!$K484,"")</f>
        <v/>
      </c>
    </row>
    <row r="467" spans="1:50" x14ac:dyDescent="0.25">
      <c r="A467" s="518"/>
      <c r="B467" s="504"/>
      <c r="C467" s="110" t="str">
        <f>IF(ISNUMBER(B448), _4_6_0, "")</f>
        <v/>
      </c>
      <c r="D467" s="94" t="str">
        <f>IF(AND(C467&lt;&gt;"", 'Cost Inputs'!$G$124&lt;&gt;""), 'Cost Inputs'!$G$124, "")</f>
        <v/>
      </c>
      <c r="E467" s="94" t="str">
        <f>IF(AND(C467&lt;&gt;"", 'Cost Inputs'!$H$124&lt;&gt;""), 'Cost Inputs'!$H$124, "")</f>
        <v/>
      </c>
      <c r="F467" s="94" t="str">
        <f>IF(AND(C467&lt;&gt;"", 'Cost Inputs'!$I$124&lt;&gt;""), 'Cost Inputs'!$I$124, "")</f>
        <v/>
      </c>
      <c r="G467" s="102" t="str">
        <f t="shared" si="39"/>
        <v/>
      </c>
      <c r="H467" s="94" t="str">
        <f>IF(AND(C467&lt;&gt;"", 'Cost Inputs'!$J$124&lt;&gt;""), 'Cost Inputs'!$J$124, "")</f>
        <v/>
      </c>
      <c r="I467" s="102" t="str">
        <f>IF($C467&lt;&gt;"",IF(AND($E467&lt;&gt;"",H467&lt;&gt;""), H467/$E467, 0),"")</f>
        <v/>
      </c>
      <c r="J467" s="94" t="str">
        <f>IF(AND(C467&lt;&gt;"",('Cost Inputs'!$I$124+'Cost Inputs'!$J$124+'Cost Inputs'!$K$124)&gt;0), 'Cost Inputs'!$I$124+'Cost Inputs'!$J$124+'Cost Inputs'!$K$124, "")</f>
        <v/>
      </c>
      <c r="K467" s="102" t="str">
        <f>IF($C467&lt;&gt;"",IF(AND($E467&lt;&gt;"",J467&lt;&gt;""), J467/$E467, 0),"")</f>
        <v/>
      </c>
      <c r="L467" s="525"/>
      <c r="M467" s="525"/>
      <c r="V467" s="102" t="str">
        <f>IF(ISNUMBER('Model_ of_individuals'!V485), 'Model_ of_individuals'!V485*'Model_ of_individuals'!$K485,"")</f>
        <v/>
      </c>
      <c r="W467" s="102" t="str">
        <f>IF(ISNUMBER('Model_ of_individuals'!W485), 'Model_ of_individuals'!W485*'Model_ of_individuals'!$K485,"")</f>
        <v/>
      </c>
      <c r="X467" s="102" t="str">
        <f>IF(ISNUMBER('Model_ of_individuals'!X485), 'Model_ of_individuals'!X485*'Model_ of_individuals'!$K485,"")</f>
        <v/>
      </c>
      <c r="Y467" s="102" t="str">
        <f>IF(ISNUMBER('Model_ of_individuals'!Y485), 'Model_ of_individuals'!Y485*'Model_ of_individuals'!$K485,"")</f>
        <v/>
      </c>
      <c r="Z467" s="102" t="str">
        <f>IF(ISNUMBER('Model_ of_individuals'!Z485), 'Model_ of_individuals'!Z485*'Model_ of_individuals'!$K485,"")</f>
        <v/>
      </c>
      <c r="AA467" s="102" t="str">
        <f>IF(ISNUMBER('Model_ of_individuals'!AA485), 'Model_ of_individuals'!AA485*'Model_ of_individuals'!$K485,"")</f>
        <v/>
      </c>
      <c r="AB467" s="102" t="str">
        <f>IF(ISNUMBER('Model_ of_individuals'!AB485), 'Model_ of_individuals'!AB485*'Model_ of_individuals'!$K485,"")</f>
        <v/>
      </c>
      <c r="AC467" s="102" t="str">
        <f>IF(ISNUMBER('Model_ of_individuals'!AC485), 'Model_ of_individuals'!AC485*'Model_ of_individuals'!$K485,"")</f>
        <v/>
      </c>
      <c r="AD467" s="102" t="str">
        <f>IF(ISNUMBER('Model_ of_individuals'!AD485), 'Model_ of_individuals'!AD485*'Model_ of_individuals'!$K485,"")</f>
        <v/>
      </c>
      <c r="AE467" s="102" t="str">
        <f>IF(ISNUMBER('Model_ of_individuals'!AE485), 'Model_ of_individuals'!AE485*'Model_ of_individuals'!$K485,"")</f>
        <v/>
      </c>
      <c r="AF467" s="102" t="str">
        <f>IF(ISNUMBER('Model_ of_individuals'!AF485), 'Model_ of_individuals'!AF485*'Model_ of_individuals'!$K485,"")</f>
        <v/>
      </c>
      <c r="AG467" s="102" t="str">
        <f>IF(ISNUMBER('Model_ of_individuals'!AG485), 'Model_ of_individuals'!AG485*'Model_ of_individuals'!$K485,"")</f>
        <v/>
      </c>
      <c r="AH467" s="102" t="str">
        <f>IF(ISNUMBER('Model_ of_individuals'!AH485), 'Model_ of_individuals'!AH485*'Model_ of_individuals'!$K485,"")</f>
        <v/>
      </c>
      <c r="AI467" s="102" t="str">
        <f>IF(ISNUMBER('Model_ of_individuals'!AI485), 'Model_ of_individuals'!AI485*'Model_ of_individuals'!$K485,"")</f>
        <v/>
      </c>
      <c r="AJ467" s="102" t="str">
        <f>IF(ISNUMBER('Model_ of_individuals'!AJ485), 'Model_ of_individuals'!AJ485*'Model_ of_individuals'!$K485,"")</f>
        <v/>
      </c>
      <c r="AK467" s="102" t="str">
        <f>IF(ISNUMBER('Model_ of_individuals'!AK485), 'Model_ of_individuals'!AK485*'Model_ of_individuals'!$K485,"")</f>
        <v/>
      </c>
      <c r="AL467" s="102" t="str">
        <f>IF(ISNUMBER('Model_ of_individuals'!AL485), 'Model_ of_individuals'!AL485*'Model_ of_individuals'!$K485,"")</f>
        <v/>
      </c>
      <c r="AM467" s="102" t="str">
        <f>IF(ISNUMBER('Model_ of_individuals'!AM485), 'Model_ of_individuals'!AM485*'Model_ of_individuals'!$K485,"")</f>
        <v/>
      </c>
      <c r="AN467" s="102" t="str">
        <f>IF(ISNUMBER('Model_ of_individuals'!AN485), 'Model_ of_individuals'!AN485*'Model_ of_individuals'!$K485,"")</f>
        <v/>
      </c>
      <c r="AO467" s="102" t="str">
        <f>IF(ISNUMBER('Model_ of_individuals'!AO485), 'Model_ of_individuals'!AO485*'Model_ of_individuals'!$K485,"")</f>
        <v/>
      </c>
      <c r="AP467" s="102" t="str">
        <f>IF(ISNUMBER('Model_ of_individuals'!AP485), 'Model_ of_individuals'!AP485*'Model_ of_individuals'!$K485,"")</f>
        <v/>
      </c>
      <c r="AQ467" s="102" t="str">
        <f>IF(ISNUMBER('Model_ of_individuals'!AQ485), 'Model_ of_individuals'!AQ485*'Model_ of_individuals'!$K485,"")</f>
        <v/>
      </c>
      <c r="AR467" s="102" t="str">
        <f>IF(ISNUMBER('Model_ of_individuals'!AR485), 'Model_ of_individuals'!AR485*'Model_ of_individuals'!$K485,"")</f>
        <v/>
      </c>
      <c r="AS467" s="102" t="str">
        <f>IF(ISNUMBER('Model_ of_individuals'!AS485), 'Model_ of_individuals'!AS485*'Model_ of_individuals'!$K485,"")</f>
        <v/>
      </c>
      <c r="AT467" s="102" t="str">
        <f>IF(ISNUMBER('Model_ of_individuals'!AT485), 'Model_ of_individuals'!AT485*'Model_ of_individuals'!$K485,"")</f>
        <v/>
      </c>
      <c r="AU467" s="102" t="str">
        <f>IF(ISNUMBER('Model_ of_individuals'!AU485), 'Model_ of_individuals'!AU485*'Model_ of_individuals'!$K485,"")</f>
        <v/>
      </c>
      <c r="AV467" s="102" t="str">
        <f>IF(ISNUMBER('Model_ of_individuals'!AV485), 'Model_ of_individuals'!AV485*'Model_ of_individuals'!$K485,"")</f>
        <v/>
      </c>
      <c r="AW467" s="102" t="str">
        <f>IF(ISNUMBER('Model_ of_individuals'!AW485), 'Model_ of_individuals'!AW485*'Model_ of_individuals'!$K485,"")</f>
        <v/>
      </c>
    </row>
    <row r="468" spans="1:50" x14ac:dyDescent="0.25">
      <c r="A468" s="518"/>
      <c r="B468" s="504"/>
      <c r="C468" s="104" t="str">
        <f>IF(AND(ISNUMBER(B448), OR('Cost Inputs'!$H$125&lt;&gt;"", 'Cost Inputs'!$I$125&lt;&gt;"", 'Cost Inputs'!$J$125&lt;&gt;"")), _4_5_3, "")</f>
        <v/>
      </c>
      <c r="D468" s="17" t="str">
        <f>IF(AND(C468&lt;&gt;"", 'Cost Inputs'!$G$125&lt;&gt;""), 'Cost Inputs'!$G$125, "")</f>
        <v/>
      </c>
      <c r="E468" s="17" t="str">
        <f>IF(AND(C468&lt;&gt;"", 'Cost Inputs'!$H$125&lt;&gt;""), 'Cost Inputs'!$H$125, "")</f>
        <v/>
      </c>
      <c r="F468" s="17" t="str">
        <f>IF(AND(C468&lt;&gt;"", 'Cost Inputs'!$I$125&lt;&gt;""), 'Cost Inputs'!$I$125, "")</f>
        <v/>
      </c>
      <c r="G468" s="105" t="str">
        <f t="shared" si="39"/>
        <v/>
      </c>
      <c r="H468" s="17" t="str">
        <f>IF(AND(C468&lt;&gt;"", 'Cost Inputs'!$J$125&lt;&gt;""), 'Cost Inputs'!$J$125, "")</f>
        <v/>
      </c>
      <c r="I468" s="17" t="str">
        <f>IF($C468&lt;&gt;"", IF(AND($E468&lt;&gt;"", H468&lt;&gt;""), H468/$E468, 0),"")</f>
        <v/>
      </c>
      <c r="J468" s="17" t="str">
        <f>IF(AND(C468&lt;&gt;"",('Cost Inputs'!$I$125+'Cost Inputs'!$J$125+'Cost Inputs'!$K$125)&gt;0), 'Cost Inputs'!$I$125+'Cost Inputs'!$J$125+'Cost Inputs'!$K$125, "")</f>
        <v/>
      </c>
      <c r="K468" s="17" t="str">
        <f>IF($C468&lt;&gt;"", IF(AND($E468&lt;&gt;"", J468&lt;&gt;""), J468/$E468, 0),"")</f>
        <v/>
      </c>
      <c r="L468" s="525"/>
      <c r="M468" s="525"/>
      <c r="V468" s="17" t="str">
        <f>IF(ISNUMBER('Model_ of_individuals'!V486), 'Model_ of_individuals'!V486*'Model_ of_individuals'!$K486,"")</f>
        <v/>
      </c>
      <c r="W468" s="17" t="str">
        <f>IF(ISNUMBER('Model_ of_individuals'!W486), 'Model_ of_individuals'!W486*'Model_ of_individuals'!$K486,"")</f>
        <v/>
      </c>
      <c r="X468" s="17" t="str">
        <f>IF(ISNUMBER('Model_ of_individuals'!X486), 'Model_ of_individuals'!X486*'Model_ of_individuals'!$K486,"")</f>
        <v/>
      </c>
      <c r="Y468" s="17" t="str">
        <f>IF(ISNUMBER('Model_ of_individuals'!Y486), 'Model_ of_individuals'!Y486*'Model_ of_individuals'!$K486,"")</f>
        <v/>
      </c>
      <c r="Z468" s="17" t="str">
        <f>IF(ISNUMBER('Model_ of_individuals'!Z486), 'Model_ of_individuals'!Z486*'Model_ of_individuals'!$K486,"")</f>
        <v/>
      </c>
      <c r="AA468" s="17" t="str">
        <f>IF(ISNUMBER('Model_ of_individuals'!AA486), 'Model_ of_individuals'!AA486*'Model_ of_individuals'!$K486,"")</f>
        <v/>
      </c>
      <c r="AB468" s="17" t="str">
        <f>IF(ISNUMBER('Model_ of_individuals'!AB486), 'Model_ of_individuals'!AB486*'Model_ of_individuals'!$K486,"")</f>
        <v/>
      </c>
      <c r="AC468" s="17" t="str">
        <f>IF(ISNUMBER('Model_ of_individuals'!AC486), 'Model_ of_individuals'!AC486*'Model_ of_individuals'!$K486,"")</f>
        <v/>
      </c>
      <c r="AD468" s="17" t="str">
        <f>IF(ISNUMBER('Model_ of_individuals'!AD486), 'Model_ of_individuals'!AD486*'Model_ of_individuals'!$K486,"")</f>
        <v/>
      </c>
      <c r="AE468" s="17" t="str">
        <f>IF(ISNUMBER('Model_ of_individuals'!AE486), 'Model_ of_individuals'!AE486*'Model_ of_individuals'!$K486,"")</f>
        <v/>
      </c>
      <c r="AF468" s="17" t="str">
        <f>IF(ISNUMBER('Model_ of_individuals'!AF486), 'Model_ of_individuals'!AF486*'Model_ of_individuals'!$K486,"")</f>
        <v/>
      </c>
      <c r="AG468" s="17" t="str">
        <f>IF(ISNUMBER('Model_ of_individuals'!AG486), 'Model_ of_individuals'!AG486*'Model_ of_individuals'!$K486,"")</f>
        <v/>
      </c>
      <c r="AH468" s="17" t="str">
        <f>IF(ISNUMBER('Model_ of_individuals'!AH486), 'Model_ of_individuals'!AH486*'Model_ of_individuals'!$K486,"")</f>
        <v/>
      </c>
      <c r="AI468" s="17" t="str">
        <f>IF(ISNUMBER('Model_ of_individuals'!AI486), 'Model_ of_individuals'!AI486*'Model_ of_individuals'!$K486,"")</f>
        <v/>
      </c>
      <c r="AJ468" s="17" t="str">
        <f>IF(ISNUMBER('Model_ of_individuals'!AJ486), 'Model_ of_individuals'!AJ486*'Model_ of_individuals'!$K486,"")</f>
        <v/>
      </c>
      <c r="AK468" s="17" t="str">
        <f>IF(ISNUMBER('Model_ of_individuals'!AK486), 'Model_ of_individuals'!AK486*'Model_ of_individuals'!$K486,"")</f>
        <v/>
      </c>
      <c r="AL468" s="17" t="str">
        <f>IF(ISNUMBER('Model_ of_individuals'!AL486), 'Model_ of_individuals'!AL486*'Model_ of_individuals'!$K486,"")</f>
        <v/>
      </c>
      <c r="AM468" s="17" t="str">
        <f>IF(ISNUMBER('Model_ of_individuals'!AM486), 'Model_ of_individuals'!AM486*'Model_ of_individuals'!$K486,"")</f>
        <v/>
      </c>
      <c r="AN468" s="17" t="str">
        <f>IF(ISNUMBER('Model_ of_individuals'!AN486), 'Model_ of_individuals'!AN486*'Model_ of_individuals'!$K486,"")</f>
        <v/>
      </c>
      <c r="AO468" s="17" t="str">
        <f>IF(ISNUMBER('Model_ of_individuals'!AO486), 'Model_ of_individuals'!AO486*'Model_ of_individuals'!$K486,"")</f>
        <v/>
      </c>
      <c r="AP468" s="17" t="str">
        <f>IF(ISNUMBER('Model_ of_individuals'!AP486), 'Model_ of_individuals'!AP486*'Model_ of_individuals'!$K486,"")</f>
        <v/>
      </c>
      <c r="AQ468" s="17" t="str">
        <f>IF(ISNUMBER('Model_ of_individuals'!AQ486), 'Model_ of_individuals'!AQ486*'Model_ of_individuals'!$K486,"")</f>
        <v/>
      </c>
      <c r="AR468" s="17" t="str">
        <f>IF(ISNUMBER('Model_ of_individuals'!AR486), 'Model_ of_individuals'!AR486*'Model_ of_individuals'!$K486,"")</f>
        <v/>
      </c>
      <c r="AS468" s="17" t="str">
        <f>IF(ISNUMBER('Model_ of_individuals'!AS486), 'Model_ of_individuals'!AS486*'Model_ of_individuals'!$K486,"")</f>
        <v/>
      </c>
      <c r="AT468" s="17" t="str">
        <f>IF(ISNUMBER('Model_ of_individuals'!AT486), 'Model_ of_individuals'!AT486*'Model_ of_individuals'!$K486,"")</f>
        <v/>
      </c>
      <c r="AU468" s="17" t="str">
        <f>IF(ISNUMBER('Model_ of_individuals'!AU486), 'Model_ of_individuals'!AU486*'Model_ of_individuals'!$K486,"")</f>
        <v/>
      </c>
      <c r="AV468" s="17" t="str">
        <f>IF(ISNUMBER('Model_ of_individuals'!AV486), 'Model_ of_individuals'!AV486*'Model_ of_individuals'!$K486,"")</f>
        <v/>
      </c>
      <c r="AW468" s="17" t="str">
        <f>IF(ISNUMBER('Model_ of_individuals'!AW486), 'Model_ of_individuals'!AW486*'Model_ of_individuals'!$K486,"")</f>
        <v/>
      </c>
    </row>
    <row r="469" spans="1:50" ht="15.75" thickBot="1" x14ac:dyDescent="0.3">
      <c r="A469" s="518"/>
      <c r="B469" s="504"/>
      <c r="C469" s="107" t="str">
        <f>IF(AND(ISNUMBER(B448), OR('Cost Inputs'!$H$126&lt;&gt;"", 'Cost Inputs'!$I$126&lt;&gt;"", 'Cost Inputs'!$J$126&lt;&gt;"")), _4_5_2, "")</f>
        <v/>
      </c>
      <c r="D469" s="93" t="str">
        <f>IF(AND(C469&lt;&gt;"", 'Cost Inputs'!$G$126&lt;&gt;""), 'Cost Inputs'!$G$126, "")</f>
        <v/>
      </c>
      <c r="E469" s="93" t="str">
        <f>IF(AND(C469&lt;&gt;"", 'Cost Inputs'!$H$126&lt;&gt;""), 'Cost Inputs'!$H$126, "")</f>
        <v/>
      </c>
      <c r="F469" s="93" t="str">
        <f>IF(AND(C469&lt;&gt;"", 'Cost Inputs'!$I$126&lt;&gt;""), 'Cost Inputs'!$I$126, "")</f>
        <v/>
      </c>
      <c r="G469" s="108" t="str">
        <f t="shared" si="39"/>
        <v/>
      </c>
      <c r="H469" s="93" t="str">
        <f>IF(AND(C469&lt;&gt;"", 'Cost Inputs'!$J$126&lt;&gt;""), 'Cost Inputs'!$J$126, "")</f>
        <v/>
      </c>
      <c r="I469" s="93" t="str">
        <f>IF($C469&lt;&gt;"", IF(AND($E469&lt;&gt;"", H469&lt;&gt;""), H469/$E469, 0),"")</f>
        <v/>
      </c>
      <c r="J469" s="93" t="str">
        <f>IF(AND(C469&lt;&gt;"",('Cost Inputs'!$I$126+'Cost Inputs'!$J$126+'Cost Inputs'!$K$126)&gt;0), 'Cost Inputs'!$I$126+'Cost Inputs'!$J$126+'Cost Inputs'!$K$126, "")</f>
        <v/>
      </c>
      <c r="K469" s="93" t="str">
        <f>IF($C469&lt;&gt;"", IF(AND($E469&lt;&gt;"", J469&lt;&gt;""), J469/$E469, 0),"")</f>
        <v/>
      </c>
      <c r="L469" s="525"/>
      <c r="M469" s="525"/>
      <c r="V469" s="95" t="str">
        <f>IF(ISNUMBER('Model_ of_individuals'!V487), 'Model_ of_individuals'!V487*'Model_ of_individuals'!$K487,"")</f>
        <v/>
      </c>
      <c r="W469" s="95" t="str">
        <f>IF(ISNUMBER('Model_ of_individuals'!W487), 'Model_ of_individuals'!W487*'Model_ of_individuals'!$K487,"")</f>
        <v/>
      </c>
      <c r="X469" s="95" t="str">
        <f>IF(ISNUMBER('Model_ of_individuals'!X487), 'Model_ of_individuals'!X487*'Model_ of_individuals'!$K487,"")</f>
        <v/>
      </c>
      <c r="Y469" s="95" t="str">
        <f>IF(ISNUMBER('Model_ of_individuals'!Y487), 'Model_ of_individuals'!Y487*'Model_ of_individuals'!$K487,"")</f>
        <v/>
      </c>
      <c r="Z469" s="95" t="str">
        <f>IF(ISNUMBER('Model_ of_individuals'!Z487), 'Model_ of_individuals'!Z487*'Model_ of_individuals'!$K487,"")</f>
        <v/>
      </c>
      <c r="AA469" s="95" t="str">
        <f>IF(ISNUMBER('Model_ of_individuals'!AA487), 'Model_ of_individuals'!AA487*'Model_ of_individuals'!$K487,"")</f>
        <v/>
      </c>
      <c r="AB469" s="95" t="str">
        <f>IF(ISNUMBER('Model_ of_individuals'!AB487), 'Model_ of_individuals'!AB487*'Model_ of_individuals'!$K487,"")</f>
        <v/>
      </c>
      <c r="AC469" s="95" t="str">
        <f>IF(ISNUMBER('Model_ of_individuals'!AC487), 'Model_ of_individuals'!AC487*'Model_ of_individuals'!$K487,"")</f>
        <v/>
      </c>
      <c r="AD469" s="95" t="str">
        <f>IF(ISNUMBER('Model_ of_individuals'!AD487), 'Model_ of_individuals'!AD487*'Model_ of_individuals'!$K487,"")</f>
        <v/>
      </c>
      <c r="AE469" s="95" t="str">
        <f>IF(ISNUMBER('Model_ of_individuals'!AE487), 'Model_ of_individuals'!AE487*'Model_ of_individuals'!$K487,"")</f>
        <v/>
      </c>
      <c r="AF469" s="95" t="str">
        <f>IF(ISNUMBER('Model_ of_individuals'!AF487), 'Model_ of_individuals'!AF487*'Model_ of_individuals'!$K487,"")</f>
        <v/>
      </c>
      <c r="AG469" s="95" t="str">
        <f>IF(ISNUMBER('Model_ of_individuals'!AG487), 'Model_ of_individuals'!AG487*'Model_ of_individuals'!$K487,"")</f>
        <v/>
      </c>
      <c r="AH469" s="95" t="str">
        <f>IF(ISNUMBER('Model_ of_individuals'!AH487), 'Model_ of_individuals'!AH487*'Model_ of_individuals'!$K487,"")</f>
        <v/>
      </c>
      <c r="AI469" s="95" t="str">
        <f>IF(ISNUMBER('Model_ of_individuals'!AI487), 'Model_ of_individuals'!AI487*'Model_ of_individuals'!$K487,"")</f>
        <v/>
      </c>
      <c r="AJ469" s="95" t="str">
        <f>IF(ISNUMBER('Model_ of_individuals'!AJ487), 'Model_ of_individuals'!AJ487*'Model_ of_individuals'!$K487,"")</f>
        <v/>
      </c>
      <c r="AK469" s="95" t="str">
        <f>IF(ISNUMBER('Model_ of_individuals'!AK487), 'Model_ of_individuals'!AK487*'Model_ of_individuals'!$K487,"")</f>
        <v/>
      </c>
      <c r="AL469" s="95" t="str">
        <f>IF(ISNUMBER('Model_ of_individuals'!AL487), 'Model_ of_individuals'!AL487*'Model_ of_individuals'!$K487,"")</f>
        <v/>
      </c>
      <c r="AM469" s="95" t="str">
        <f>IF(ISNUMBER('Model_ of_individuals'!AM487), 'Model_ of_individuals'!AM487*'Model_ of_individuals'!$K487,"")</f>
        <v/>
      </c>
      <c r="AN469" s="95" t="str">
        <f>IF(ISNUMBER('Model_ of_individuals'!AN487), 'Model_ of_individuals'!AN487*'Model_ of_individuals'!$K487,"")</f>
        <v/>
      </c>
      <c r="AO469" s="95" t="str">
        <f>IF(ISNUMBER('Model_ of_individuals'!AO487), 'Model_ of_individuals'!AO487*'Model_ of_individuals'!$K487,"")</f>
        <v/>
      </c>
      <c r="AP469" s="95" t="str">
        <f>IF(ISNUMBER('Model_ of_individuals'!AP487), 'Model_ of_individuals'!AP487*'Model_ of_individuals'!$K487,"")</f>
        <v/>
      </c>
      <c r="AQ469" s="95" t="str">
        <f>IF(ISNUMBER('Model_ of_individuals'!AQ487), 'Model_ of_individuals'!AQ487*'Model_ of_individuals'!$K487,"")</f>
        <v/>
      </c>
      <c r="AR469" s="95" t="str">
        <f>IF(ISNUMBER('Model_ of_individuals'!AR487), 'Model_ of_individuals'!AR487*'Model_ of_individuals'!$K487,"")</f>
        <v/>
      </c>
      <c r="AS469" s="95" t="str">
        <f>IF(ISNUMBER('Model_ of_individuals'!AS487), 'Model_ of_individuals'!AS487*'Model_ of_individuals'!$K487,"")</f>
        <v/>
      </c>
      <c r="AT469" s="95" t="str">
        <f>IF(ISNUMBER('Model_ of_individuals'!AT487), 'Model_ of_individuals'!AT487*'Model_ of_individuals'!$K487,"")</f>
        <v/>
      </c>
      <c r="AU469" s="95" t="str">
        <f>IF(ISNUMBER('Model_ of_individuals'!AU487), 'Model_ of_individuals'!AU487*'Model_ of_individuals'!$K487,"")</f>
        <v/>
      </c>
      <c r="AV469" s="95" t="str">
        <f>IF(ISNUMBER('Model_ of_individuals'!AV487), 'Model_ of_individuals'!AV487*'Model_ of_individuals'!$K487,"")</f>
        <v/>
      </c>
      <c r="AW469" s="95" t="str">
        <f>IF(ISNUMBER('Model_ of_individuals'!AW487), 'Model_ of_individuals'!AW487*'Model_ of_individuals'!$K487,"")</f>
        <v/>
      </c>
    </row>
    <row r="470" spans="1:50" ht="6.6" customHeight="1" thickBot="1" x14ac:dyDescent="0.3">
      <c r="A470" s="213"/>
      <c r="B470" s="282"/>
      <c r="C470" s="283"/>
      <c r="D470" s="114"/>
      <c r="E470" s="114"/>
      <c r="F470" s="114"/>
      <c r="G470" s="284"/>
      <c r="H470" s="114"/>
      <c r="I470" s="114"/>
      <c r="J470" s="114"/>
      <c r="K470" s="114"/>
      <c r="L470" s="285"/>
      <c r="M470" s="285"/>
      <c r="N470" s="99"/>
      <c r="O470" s="99"/>
      <c r="P470" s="99"/>
      <c r="Q470" s="99"/>
      <c r="R470" s="99"/>
      <c r="S470" s="99"/>
      <c r="T470" s="99"/>
      <c r="U470" s="286"/>
      <c r="V470" s="288" t="str">
        <f>IF(ISNUMBER($B$448),
IF(AND(ISNUMBER(U$447), U$447&gt;0),
IF(AND(V$269=123, Cultivar_1_Cohort_Year_Selection=$O$268,Cultivar_2_Cohort_Year_Selection=$O$268,Cultivar_3_Cohort_Year_Selection=$O$268), ROUND(MAX(0,(U$447-('Stage 2 Randomized Selection'!K$2*$M448)) - 3),0),
IF(AND(OR(V$269=123, V$269=12), Cultivar_1_Cohort_Year_Selection=$O$268,Cultivar_2_Cohort_Year_Selection=$O$268),  ROUND(MAX(0,(U$447-('Stage 2 Randomized Selection'!J$2*$M448)) - 2),0),
IF(AND(OR(V$269=123, V$269=13), Cultivar_1_Cohort_Year_Selection=$O$268,Cultivar_3_Cohort_Year_Selection=$O$268), ROUND(MAX(0,(U$447-('Stage 2 Randomized Selection'!J$2*$M448)) - 2),0),
IF(AND(OR(V$269=123, V$269=23), Cultivar_2_Cohort_Year_Selection=$O$268,Cultivar_3_Cohort_Year_Selection=$O$268), ROUND(MAX(0,(U$447-('Stage 2 Randomized Selection'!J$2*$M448)) - 2),0),
IF(AND(OR(V$269=123, V$269=12, V$269=13, V$269=1), Cultivar_1_Cohort_Year_Selection=$O$268), ROUND(MAX(0,(U$447-('Stage 2 Randomized Selection'!J$2*$M448)) - 1),0),
IF(AND(OR(V$269=123, V$269=12, V$269=23, V$269=2), Cultivar_2_Cohort_Year_Selection=$O$268), ROUND(MAX(0,(U$447-('Stage 2 Randomized Selection'!J$2*$M448)) - 1),0),
IF(AND(OR(V$269=123, V$269=13, V$269=23, V$269=3), Cultivar_3_Cohort_Year_Selection=$O$268), ROUND(MAX(0,(U$447-('Stage 2 Randomized Selection'!J$2*$M448)) - 1),0),
ROUND(MAX(0,(U$447-('Stage 2 Randomized Selection'!J$2*$M448))),0)))))))),0),"")</f>
        <v/>
      </c>
      <c r="W470" s="288" t="str">
        <f>IF(ISNUMBER($B$448),
IF(AND(ISNUMBER(V$447), V$447&gt;0),
IF(AND(W$269=123, Cultivar_1_Cohort_Year_Selection=$P$268,Cultivar_2_Cohort_Year_Selection=$P$268,Cultivar_3_Cohort_Year_Selection=$P$268), ROUND(MAX(0,(V$447-('Stage 2 Randomized Selection'!L$2*$M448)) - 3),0),
IF(AND(OR(W$269=123, W$269=12), Cultivar_1_Cohort_Year_Selection=$P$268,Cultivar_2_Cohort_Year_Selection=$P$268),  ROUND(MAX(0,(V$447-('Stage 2 Randomized Selection'!K$2*$M448)) - 2),0),
IF(AND(OR(W$269=123, W$269=13), Cultivar_1_Cohort_Year_Selection=$P$268,Cultivar_3_Cohort_Year_Selection=$P$268), ROUND(MAX(0,(V$447-('Stage 2 Randomized Selection'!K$2*$M448)) - 2),0),
IF(AND(OR(W$269=123, W$269=23), Cultivar_2_Cohort_Year_Selection=$P$268,Cultivar_3_Cohort_Year_Selection=$P$268), ROUND(MAX(0,(V$447-('Stage 2 Randomized Selection'!K$2*$M448)) - 2),0),
IF(AND(OR(W$269=123, W$269=12, W$269=13, W$269=1), Cultivar_1_Cohort_Year_Selection=$P$268), ROUND(MAX(0,(V$447-('Stage 2 Randomized Selection'!K$2*$M448)) - 1),0),
IF(AND(OR(W$269=123, W$269=12, W$269=23, W$269=2), Cultivar_2_Cohort_Year_Selection=$P$268), ROUND(MAX(0,(V$447-('Stage 2 Randomized Selection'!K$2*$M448)) - 1),0),
IF(AND(OR(W$269=123, W$269=13, W$269=23, W$269=3), Cultivar_3_Cohort_Year_Selection=$P$268), ROUND(MAX(0,(V$447-('Stage 2 Randomized Selection'!K$2*$M448)) - 1),0),
ROUND(MAX(0,(V$447-('Stage 2 Randomized Selection'!K$2*$M448))),0)))))))),0),"")</f>
        <v/>
      </c>
      <c r="X470" s="288" t="str">
        <f>IF(ISNUMBER($B$448),
IF(AND(ISNUMBER(W$447), W$447&gt;0),
IF(AND(X$269=123, Cultivar_1_Cohort_Year_Selection=$Q$268,Cultivar_2_Cohort_Year_Selection=$Q$268,Cultivar_3_Cohort_Year_Selection=$Q$268), ROUND(MAX(0,(W$447-('Stage 2 Randomized Selection'!M$2*$M448)) - 3),0),
IF(AND(OR(X$269=123, X$269=12), Cultivar_1_Cohort_Year_Selection=$Q$268,Cultivar_2_Cohort_Year_Selection=$Q$268),  ROUND(MAX(0,(W$447-('Stage 2 Randomized Selection'!L$2*$M448)) - 2),0),
IF(AND(OR(X$269=123, X$269=13), Cultivar_1_Cohort_Year_Selection=$Q$268,Cultivar_3_Cohort_Year_Selection=$Q$268), ROUND(MAX(0,(W$447-('Stage 2 Randomized Selection'!L$2*$M448)) - 2),0),
IF(AND(OR(X$269=123, X$269=23), Cultivar_2_Cohort_Year_Selection=$Q$268,Cultivar_3_Cohort_Year_Selection=$Q$268), ROUND(MAX(0,(W$447-('Stage 2 Randomized Selection'!L$2*$M448)) - 2),0),
IF(AND(OR(X$269=123, X$269=12, X$269=13, X$269=1), Cultivar_1_Cohort_Year_Selection=$Q$268), ROUND(MAX(0,(W$447-('Stage 2 Randomized Selection'!L$2*$M448)) - 1),0),
IF(AND(OR(X$269=123, X$269=12, X$269=23, X$269=2), Cultivar_2_Cohort_Year_Selection=$Q$268), ROUND(MAX(0,(W$447-('Stage 2 Randomized Selection'!L$2*$M448)) - 1),0),
IF(AND(OR(X$269=123, X$269=13, X$269=23, X$269=3), Cultivar_3_Cohort_Year_Selection=$Q$268), ROUND(MAX(0,(W$447-('Stage 2 Randomized Selection'!L$2*$M448)) - 1),0),
ROUND(MAX(0,(W$447-('Stage 2 Randomized Selection'!L$2*$M448))),0)))))))),0),"")</f>
        <v/>
      </c>
      <c r="Y470" s="288" t="str">
        <f>IF(ISNUMBER($B$448),
IF(AND(ISNUMBER(X$447), X$447&gt;0),
IF(AND(Y$269=123, Cultivar_1_Cohort_Year_Selection=$R$268,Cultivar_2_Cohort_Year_Selection=$R$268,Cultivar_3_Cohort_Year_Selection=$R$268), ROUND(MAX(0,(X$447-('Stage 2 Randomized Selection'!N$2*$M448)) - 3),0),
IF(AND(OR(Y$269=123, Y$269=12), Cultivar_1_Cohort_Year_Selection=$R$268,Cultivar_2_Cohort_Year_Selection=$R$268),  ROUND(MAX(0,(X$447-('Stage 2 Randomized Selection'!M$2*$M448)) - 2),0),
IF(AND(OR(Y$269=123, Y$269=13), Cultivar_1_Cohort_Year_Selection=$R$268,Cultivar_3_Cohort_Year_Selection=$R$268), ROUND(MAX(0,(X$447-('Stage 2 Randomized Selection'!M$2*$M448)) - 2),0),
IF(AND(OR(Y$269=123, Y$269=23), Cultivar_2_Cohort_Year_Selection=$R$268,Cultivar_3_Cohort_Year_Selection=$R$268), ROUND(MAX(0,(X$447-('Stage 2 Randomized Selection'!M$2*$M448)) - 2),0),
IF(AND(OR(Y$269=123, Y$269=12, Y$269=13, Y$269=1), Cultivar_1_Cohort_Year_Selection=$R$268), ROUND(MAX(0,(X$447-('Stage 2 Randomized Selection'!M$2*$M448)) - 1),0),
IF(AND(OR(Y$269=123, Y$269=12, Y$269=23, Y$269=2), Cultivar_2_Cohort_Year_Selection=$R$268), ROUND(MAX(0,(X$447-('Stage 2 Randomized Selection'!M$2*$M448)) - 1),0),
IF(AND(OR(Y$269=123, Y$269=13, Y$269=23, Y$269=3), Cultivar_3_Cohort_Year_Selection=$R$268), ROUND(MAX(0,(X$447-('Stage 2 Randomized Selection'!M$2*$M448)) - 1),0),
ROUND(MAX(0,(X$447-('Stage 2 Randomized Selection'!M$2*$M448))),0)))))))),0),"")</f>
        <v/>
      </c>
      <c r="Z470" s="288" t="str">
        <f>IF(ISNUMBER($B$448),
IF(AND(ISNUMBER(Y$447), Y$447&gt;0),
IF(AND(Z$269=123, Cultivar_1_Cohort_Year_Selection=$S$268,Cultivar_2_Cohort_Year_Selection=$S$268,Cultivar_3_Cohort_Year_Selection=$S$268), ROUND(MAX(0,(Y$447-('Stage 2 Randomized Selection'!O$2*$M448)) - 3),0),
IF(AND(OR(Z$269=123, Z$269=12), Cultivar_1_Cohort_Year_Selection=$S$268,Cultivar_2_Cohort_Year_Selection=$S$268),  ROUND(MAX(0,(Y$447-('Stage 2 Randomized Selection'!N$2*$M448)) - 2),0),
IF(AND(OR(Z$269=123, Z$269=13), Cultivar_1_Cohort_Year_Selection=$S$268,Cultivar_3_Cohort_Year_Selection=$S$268), ROUND(MAX(0,(Y$447-('Stage 2 Randomized Selection'!N$2*$M448)) - 2),0),
IF(AND(OR(Z$269=123, Z$269=23), Cultivar_2_Cohort_Year_Selection=$S$268,Cultivar_3_Cohort_Year_Selection=$S$268), ROUND(MAX(0,(Y$447-('Stage 2 Randomized Selection'!N$2*$M448)) - 2),0),
IF(AND(OR(Z$269=123, Z$269=12, Z$269=13, Z$269=1), Cultivar_1_Cohort_Year_Selection=$S$268), ROUND(MAX(0,(Y$447-('Stage 2 Randomized Selection'!N$2*$M448)) - 1),0),
IF(AND(OR(Z$269=123, Z$269=12, Z$269=23, Z$269=2), Cultivar_2_Cohort_Year_Selection=$S$268), ROUND(MAX(0,(Y$447-('Stage 2 Randomized Selection'!N$2*$M448)) - 1),0),
IF(AND(OR(Z$269=123, Z$269=13, Z$269=23, Z$269=3), Cultivar_3_Cohort_Year_Selection=$S$268), ROUND(MAX(0,(Y$447-('Stage 2 Randomized Selection'!N$2*$M448)) - 1),0),
ROUND(MAX(0,(Y$447-('Stage 2 Randomized Selection'!N$2*$M448))),0)))))))),0),"")</f>
        <v/>
      </c>
      <c r="AA470" s="288" t="str">
        <f>IF(ISNUMBER($B$448),
IF(AND(ISNUMBER(Z$447), Z$447&gt;0),
IF(AND(AA$269=123, Cultivar_1_Cohort_Year_Selection=$T$268,Cultivar_2_Cohort_Year_Selection=$T$268,Cultivar_3_Cohort_Year_Selection=$T$268), ROUND(MAX(0,(Z$447-('Stage 2 Randomized Selection'!P$2*$M448)) - 3),0),
IF(AND(OR(AA$269=123, AA$269=12), Cultivar_1_Cohort_Year_Selection=$T$268,Cultivar_2_Cohort_Year_Selection=$T$268),  ROUND(MAX(0,(Z$447-('Stage 2 Randomized Selection'!O$2*$M448)) - 2),0),
IF(AND(OR(AA$269=123, AA$269=13), Cultivar_1_Cohort_Year_Selection=$T$268,Cultivar_3_Cohort_Year_Selection=$T$268), ROUND(MAX(0,(Z$447-('Stage 2 Randomized Selection'!O$2*$M448)) - 2),0),
IF(AND(OR(AA$269=123, AA$269=23), Cultivar_2_Cohort_Year_Selection=$T$268,Cultivar_3_Cohort_Year_Selection=$T$268), ROUND(MAX(0,(Z$447-('Stage 2 Randomized Selection'!O$2*$M448)) - 2),0),
IF(AND(OR(AA$269=123, AA$269=12, AA$269=13, AA$269=1), Cultivar_1_Cohort_Year_Selection=$T$268), ROUND(MAX(0,(Z$447-('Stage 2 Randomized Selection'!O$2*$M448)) - 1),0),
IF(AND(OR(AA$269=123, AA$269=12, AA$269=23, AA$269=2), Cultivar_2_Cohort_Year_Selection=$T$268), ROUND(MAX(0,(Z$447-('Stage 2 Randomized Selection'!O$2*$M448)) - 1),0),
IF(AND(OR(AA$269=123, AA$269=13, AA$269=23, AA$269=3), Cultivar_3_Cohort_Year_Selection=$T$268), ROUND(MAX(0,(Z$447-('Stage 2 Randomized Selection'!O$2*$M448)) - 1),0),
ROUND(MAX(0,(Z$447-('Stage 2 Randomized Selection'!O$2*$M448))),0)))))))),0),"")</f>
        <v/>
      </c>
      <c r="AB470" s="288" t="str">
        <f>IF(ISNUMBER($B$448),
IF(AND(ISNUMBER(AA$447), AA$447&gt;0),
IF(AND(AB$269=123, Cultivar_1_Cohort_Year_Selection=$U$268,Cultivar_2_Cohort_Year_Selection=$U$268,Cultivar_3_Cohort_Year_Selection=$U$268), ROUND(MAX(0,(AA$447-('Stage 2 Randomized Selection'!Q$2*$M448)) - 3),0),
IF(AND(OR(AB$269=123, AB$269=12), Cultivar_1_Cohort_Year_Selection=$U$268,Cultivar_2_Cohort_Year_Selection=$U$268),  ROUND(MAX(0,(AA$447-('Stage 2 Randomized Selection'!P$2*$M448)) - 2),0),
IF(AND(OR(AB$269=123, AB$269=13), Cultivar_1_Cohort_Year_Selection=$U$268,Cultivar_3_Cohort_Year_Selection=$U$268), ROUND(MAX(0,(AA$447-('Stage 2 Randomized Selection'!P$2*$M448)) - 2),0),
IF(AND(OR(AB$269=123, AB$269=23), Cultivar_2_Cohort_Year_Selection=$U$268,Cultivar_3_Cohort_Year_Selection=$U$268), ROUND(MAX(0,(AA$447-('Stage 2 Randomized Selection'!P$2*$M448)) - 2),0),
IF(AND(OR(AB$269=123, AB$269=12, AB$269=13, AB$269=1), Cultivar_1_Cohort_Year_Selection=$U$268), ROUND(MAX(0,(AA$447-('Stage 2 Randomized Selection'!P$2*$M448)) - 1),0),
IF(AND(OR(AB$269=123, AB$269=12, AB$269=23, AB$269=2), Cultivar_2_Cohort_Year_Selection=$U$268), ROUND(MAX(0,(AA$447-('Stage 2 Randomized Selection'!P$2*$M448)) - 1),0),
IF(AND(OR(AB$269=123, AB$269=13, AB$269=23, AB$269=3), Cultivar_3_Cohort_Year_Selection=$U$268), ROUND(MAX(0,(AA$447-('Stage 2 Randomized Selection'!P$2*$M448)) - 1),0),
ROUND(MAX(0,(AA$447-('Stage 2 Randomized Selection'!P$2*$M448))),0)))))))),0),"")</f>
        <v/>
      </c>
      <c r="AC470" s="288" t="str">
        <f>IF(ISNUMBER($B$448),
IF(AND(ISNUMBER(AB$447), AB$447&gt;0),
IF(AND(AC$269=123, Cultivar_1_Cohort_Year_Selection=$V$268,Cultivar_2_Cohort_Year_Selection=$V$268,Cultivar_3_Cohort_Year_Selection=$V$268), ROUND(MAX(0,(AB$447-('Stage 2 Randomized Selection'!R$2*$M448)) - 3),0),
IF(AND(OR(AC$269=123, AC$269=12), Cultivar_1_Cohort_Year_Selection=$V$268,Cultivar_2_Cohort_Year_Selection=$V$268),  ROUND(MAX(0,(AB$447-('Stage 2 Randomized Selection'!Q$2*$M448)) - 2),0),
IF(AND(OR(AC$269=123, AC$269=13), Cultivar_1_Cohort_Year_Selection=$V$268,Cultivar_3_Cohort_Year_Selection=$V$268), ROUND(MAX(0,(AB$447-('Stage 2 Randomized Selection'!Q$2*$M448)) - 2),0),
IF(AND(OR(AC$269=123, AC$269=23), Cultivar_2_Cohort_Year_Selection=$V$268,Cultivar_3_Cohort_Year_Selection=$V$268), ROUND(MAX(0,(AB$447-('Stage 2 Randomized Selection'!Q$2*$M448)) - 2),0),
IF(AND(OR(AC$269=123, AC$269=12, AC$269=13, AC$269=1), Cultivar_1_Cohort_Year_Selection=$V$268), ROUND(MAX(0,(AB$447-('Stage 2 Randomized Selection'!Q$2*$M448)) - 1),0),
IF(AND(OR(AC$269=123, AC$269=12, AC$269=23, AC$269=2), Cultivar_2_Cohort_Year_Selection=$V$268), ROUND(MAX(0,(AB$447-('Stage 2 Randomized Selection'!Q$2*$M448)) - 1),0),
IF(AND(OR(AC$269=123, AC$269=13, AC$269=23, AC$269=3), Cultivar_3_Cohort_Year_Selection=$V$268), ROUND(MAX(0,(AB$447-('Stage 2 Randomized Selection'!Q$2*$M448)) - 1),0),
ROUND(MAX(0,(AB$447-('Stage 2 Randomized Selection'!Q$2*$M448))),0)))))))),0),"")</f>
        <v/>
      </c>
      <c r="AD470" s="288" t="str">
        <f>IF(ISNUMBER($B$448),
IF(AND(ISNUMBER(AC$447), AC$447&gt;0),
IF(AND(AD$269=123, Cultivar_1_Cohort_Year_Selection=$W$268,Cultivar_2_Cohort_Year_Selection=$W$268,Cultivar_3_Cohort_Year_Selection=$W$268), ROUND(MAX(0,(AC$447-('Stage 2 Randomized Selection'!S$2*$M448)) - 3),0),
IF(AND(OR(AD$269=123, AD$269=12), Cultivar_1_Cohort_Year_Selection=$W$268,Cultivar_2_Cohort_Year_Selection=$W$268),  ROUND(MAX(0,(AC$447-('Stage 2 Randomized Selection'!R$2*$M448)) - 2),0),
IF(AND(OR(AD$269=123, AD$269=13), Cultivar_1_Cohort_Year_Selection=$W$268,Cultivar_3_Cohort_Year_Selection=$W$268), ROUND(MAX(0,(AC$447-('Stage 2 Randomized Selection'!R$2*$M448)) - 2),0),
IF(AND(OR(AD$269=123, AD$269=23), Cultivar_2_Cohort_Year_Selection=$W$268,Cultivar_3_Cohort_Year_Selection=$W$268), ROUND(MAX(0,(AC$447-('Stage 2 Randomized Selection'!R$2*$M448)) - 2),0),
IF(AND(OR(AD$269=123, AD$269=12, AD$269=13, AD$269=1), Cultivar_1_Cohort_Year_Selection=$W$268), ROUND(MAX(0,(AC$447-('Stage 2 Randomized Selection'!R$2*$M448)) - 1),0),
IF(AND(OR(AD$269=123, AD$269=12, AD$269=23, AD$269=2), Cultivar_2_Cohort_Year_Selection=$W$268), ROUND(MAX(0,(AC$447-('Stage 2 Randomized Selection'!R$2*$M448)) - 1),0),
IF(AND(OR(AD$269=123, AD$269=13, AD$269=23, AD$269=3), Cultivar_3_Cohort_Year_Selection=$W$268), ROUND(MAX(0,(AC$447-('Stage 2 Randomized Selection'!R$2*$M448)) - 1),0),
ROUND(MAX(0,(AC$447-('Stage 2 Randomized Selection'!R$2*$M448))),0)))))))),0),"")</f>
        <v/>
      </c>
      <c r="AE470" s="288" t="str">
        <f>IF(ISNUMBER($B$448),
IF(AND(ISNUMBER(AD$447), AD$447&gt;0),
IF(AND(AE$269=123, Cultivar_1_Cohort_Year_Selection=$X$268,Cultivar_2_Cohort_Year_Selection=$X$268,Cultivar_3_Cohort_Year_Selection=$X$268), ROUND(MAX(0,(AD$447-('Stage 2 Randomized Selection'!T$2*$M448)) - 3),0),
IF(AND(OR(AE$269=123, AE$269=12), Cultivar_1_Cohort_Year_Selection=$X$268,Cultivar_2_Cohort_Year_Selection=$X$268),  ROUND(MAX(0,(AD$447-('Stage 2 Randomized Selection'!S$2*$M448)) - 2),0),
IF(AND(OR(AE$269=123, AE$269=13), Cultivar_1_Cohort_Year_Selection=$X$268,Cultivar_3_Cohort_Year_Selection=$X$268), ROUND(MAX(0,(AD$447-('Stage 2 Randomized Selection'!S$2*$M448)) - 2),0),
IF(AND(OR(AE$269=123, AE$269=23), Cultivar_2_Cohort_Year_Selection=$X$268,Cultivar_3_Cohort_Year_Selection=$X$268), ROUND(MAX(0,(AD$447-('Stage 2 Randomized Selection'!S$2*$M448)) - 2),0),
IF(AND(OR(AE$269=123, AE$269=12, AE$269=13, AE$269=1), Cultivar_1_Cohort_Year_Selection=$X$268), ROUND(MAX(0,(AD$447-('Stage 2 Randomized Selection'!S$2*$M448)) - 1),0),
IF(AND(OR(AE$269=123, AE$269=12, AE$269=23, AE$269=2), Cultivar_2_Cohort_Year_Selection=$X$268), ROUND(MAX(0,(AD$447-('Stage 2 Randomized Selection'!S$2*$M448)) - 1),0),
IF(AND(OR(AE$269=123, AE$269=13, AE$269=23, AE$269=3), Cultivar_3_Cohort_Year_Selection=$X$268), ROUND(MAX(0,(AD$447-('Stage 2 Randomized Selection'!S$2*$M448)) - 1),0),
ROUND(MAX(0,(AD$447-('Stage 2 Randomized Selection'!S$2*$M448))),0)))))))),0),"")</f>
        <v/>
      </c>
      <c r="AF470" s="288" t="str">
        <f>IF(ISNUMBER($B$448),
IF(AND(ISNUMBER(AE$447), AE$447&gt;0),
IF(AND(AF$269=123, Cultivar_1_Cohort_Year_Selection=$Y$268,Cultivar_2_Cohort_Year_Selection=$Y$268,Cultivar_3_Cohort_Year_Selection=$Y$268), ROUND(MAX(0,(AE$447-('Stage 2 Randomized Selection'!U$2*$M448)) - 3),0),
IF(AND(OR(AF$269=123, AF$269=12), Cultivar_1_Cohort_Year_Selection=$Y$268,Cultivar_2_Cohort_Year_Selection=$Y$268),  ROUND(MAX(0,(AE$447-('Stage 2 Randomized Selection'!T$2*$M448)) - 2),0),
IF(AND(OR(AF$269=123, AF$269=13), Cultivar_1_Cohort_Year_Selection=$Y$268,Cultivar_3_Cohort_Year_Selection=$Y$268), ROUND(MAX(0,(AE$447-('Stage 2 Randomized Selection'!T$2*$M448)) - 2),0),
IF(AND(OR(AF$269=123, AF$269=23), Cultivar_2_Cohort_Year_Selection=$Y$268,Cultivar_3_Cohort_Year_Selection=$Y$268), ROUND(MAX(0,(AE$447-('Stage 2 Randomized Selection'!T$2*$M448)) - 2),0),
IF(AND(OR(AF$269=123, AF$269=12, AF$269=13, AF$269=1), Cultivar_1_Cohort_Year_Selection=$Y$268), ROUND(MAX(0,(AE$447-('Stage 2 Randomized Selection'!T$2*$M448)) - 1),0),
IF(AND(OR(AF$269=123, AF$269=12, AF$269=23, AF$269=2), Cultivar_2_Cohort_Year_Selection=$Y$268), ROUND(MAX(0,(AE$447-('Stage 2 Randomized Selection'!T$2*$M448)) - 1),0),
IF(AND(OR(AF$269=123, AF$269=13, AF$269=23, AF$269=3), Cultivar_3_Cohort_Year_Selection=$Y$268), ROUND(MAX(0,(AE$447-('Stage 2 Randomized Selection'!T$2*$M448)) - 1),0),
ROUND(MAX(0,(AE$447-('Stage 2 Randomized Selection'!T$2*$M448))),0)))))))),0),"")</f>
        <v/>
      </c>
      <c r="AG470" s="288" t="str">
        <f>IF(ISNUMBER($B$448),
IF(AND(ISNUMBER(AF$447), AF$447&gt;0),
IF(AND(AG$269=123, Cultivar_1_Cohort_Year_Selection=$Z$268,Cultivar_2_Cohort_Year_Selection=$Z$268,Cultivar_3_Cohort_Year_Selection=$Z$268), ROUND(MAX(0,(AF$447-('Stage 2 Randomized Selection'!V$2*$M448)) - 3),0),
IF(AND(OR(AG$269=123, AG$269=12), Cultivar_1_Cohort_Year_Selection=$Z$268,Cultivar_2_Cohort_Year_Selection=$Z$268),  ROUND(MAX(0,(AF$447-('Stage 2 Randomized Selection'!U$2*$M448)) - 2),0),
IF(AND(OR(AG$269=123, AG$269=13), Cultivar_1_Cohort_Year_Selection=$Z$268,Cultivar_3_Cohort_Year_Selection=$Z$268), ROUND(MAX(0,(AF$447-('Stage 2 Randomized Selection'!U$2*$M448)) - 2),0),
IF(AND(OR(AG$269=123, AG$269=23), Cultivar_2_Cohort_Year_Selection=$Z$268,Cultivar_3_Cohort_Year_Selection=$Z$268), ROUND(MAX(0,(AF$447-('Stage 2 Randomized Selection'!U$2*$M448)) - 2),0),
IF(AND(OR(AG$269=123, AG$269=12, AG$269=13, AG$269=1), Cultivar_1_Cohort_Year_Selection=$Z$268), ROUND(MAX(0,(AF$447-('Stage 2 Randomized Selection'!U$2*$M448)) - 1),0),
IF(AND(OR(AG$269=123, AG$269=12, AG$269=23, AG$269=2), Cultivar_2_Cohort_Year_Selection=$Z$268), ROUND(MAX(0,(AF$447-('Stage 2 Randomized Selection'!U$2*$M448)) - 1),0),
IF(AND(OR(AG$269=123, AG$269=13, AG$269=23, AG$269=3), Cultivar_3_Cohort_Year_Selection=$Z$268), ROUND(MAX(0,(AF$447-('Stage 2 Randomized Selection'!U$2*$M448)) - 1),0),
ROUND(MAX(0,(AF$447-('Stage 2 Randomized Selection'!U$2*$M448))),0)))))))),0),"")</f>
        <v/>
      </c>
      <c r="AH470" s="288" t="str">
        <f>IF(ISNUMBER($B$448),
IF(AND(ISNUMBER(AG$447), AG$447&gt;0),
IF(AND(AH$269=123, Cultivar_1_Cohort_Year_Selection=$AA$268,Cultivar_2_Cohort_Year_Selection=$AA$268,Cultivar_3_Cohort_Year_Selection=$AA$268), ROUND(MAX(0,(AG$447-('Stage 2 Randomized Selection'!W$2*$M448)) - 3),0),
IF(AND(OR(AH$269=123, AH$269=12), Cultivar_1_Cohort_Year_Selection=$AA$268,Cultivar_2_Cohort_Year_Selection=$AA$268),  ROUND(MAX(0,(AG$447-('Stage 2 Randomized Selection'!V$2*$M448)) - 2),0),
IF(AND(OR(AH$269=123, AH$269=13), Cultivar_1_Cohort_Year_Selection=$AA$268,Cultivar_3_Cohort_Year_Selection=$AA$268), ROUND(MAX(0,(AG$447-('Stage 2 Randomized Selection'!V$2*$M448)) - 2),0),
IF(AND(OR(AH$269=123, AH$269=23), Cultivar_2_Cohort_Year_Selection=$AA$268,Cultivar_3_Cohort_Year_Selection=$AA$268), ROUND(MAX(0,(AG$447-('Stage 2 Randomized Selection'!V$2*$M448)) - 2),0),
IF(AND(OR(AH$269=123, AH$269=12, AH$269=13, AH$269=1), Cultivar_1_Cohort_Year_Selection=$AA$268), ROUND(MAX(0,(AG$447-('Stage 2 Randomized Selection'!V$2*$M448)) - 1),0),
IF(AND(OR(AH$269=123, AH$269=12, AH$269=23, AH$269=2), Cultivar_2_Cohort_Year_Selection=$AA$268), ROUND(MAX(0,(AG$447-('Stage 2 Randomized Selection'!V$2*$M448)) - 1),0),
IF(AND(OR(AH$269=123, AH$269=13, AH$269=23, AH$269=3), Cultivar_3_Cohort_Year_Selection=$AA$268), ROUND(MAX(0,(AG$447-('Stage 2 Randomized Selection'!V$2*$M448)) - 1),0),
ROUND(MAX(0,(AG$447-('Stage 2 Randomized Selection'!V$2*$M448))),0)))))))),0),"")</f>
        <v/>
      </c>
      <c r="AI470" s="288" t="str">
        <f>IF(ISNUMBER($B$448),
IF(AND(ISNUMBER(AH$447), AH$447&gt;0),
IF(AND(AI$269=123, Cultivar_1_Cohort_Year_Selection=$AB$268,Cultivar_2_Cohort_Year_Selection=$AB$268,Cultivar_3_Cohort_Year_Selection=$AB$268), ROUND(MAX(0,(AH$447-('Stage 2 Randomized Selection'!X$2*$M448)) - 3),0),
IF(AND(OR(AI$269=123, AI$269=12), Cultivar_1_Cohort_Year_Selection=$AB$268,Cultivar_2_Cohort_Year_Selection=$AB$268),  ROUND(MAX(0,(AH$447-('Stage 2 Randomized Selection'!W$2*$M448)) - 2),0),
IF(AND(OR(AI$269=123, AI$269=13), Cultivar_1_Cohort_Year_Selection=$AB$268,Cultivar_3_Cohort_Year_Selection=$AB$268), ROUND(MAX(0,(AH$447-('Stage 2 Randomized Selection'!W$2*$M448)) - 2),0),
IF(AND(OR(AI$269=123, AI$269=23), Cultivar_2_Cohort_Year_Selection=$AB$268,Cultivar_3_Cohort_Year_Selection=$AB$268), ROUND(MAX(0,(AH$447-('Stage 2 Randomized Selection'!W$2*$M448)) - 2),0),
IF(AND(OR(AI$269=123, AI$269=12, AI$269=13, AI$269=1), Cultivar_1_Cohort_Year_Selection=$AB$268), ROUND(MAX(0,(AH$447-('Stage 2 Randomized Selection'!W$2*$M448)) - 1),0),
IF(AND(OR(AI$269=123, AI$269=12, AI$269=23, AI$269=2), Cultivar_2_Cohort_Year_Selection=$AB$268), ROUND(MAX(0,(AH$447-('Stage 2 Randomized Selection'!W$2*$M448)) - 1),0),
IF(AND(OR(AI$269=123, AI$269=13, AI$269=23, AI$269=3), Cultivar_3_Cohort_Year_Selection=$AB$268), ROUND(MAX(0,(AH$447-('Stage 2 Randomized Selection'!W$2*$M448)) - 1),0),
ROUND(MAX(0,(AH$447-('Stage 2 Randomized Selection'!W$2*$M448))),0)))))))),0),"")</f>
        <v/>
      </c>
      <c r="AJ470" s="288" t="str">
        <f>IF(ISNUMBER($B$448),
IF(AND(ISNUMBER(AI$447), AI$447&gt;0),
IF(AND(AJ$269=123, Cultivar_1_Cohort_Year_Selection=$AC$268,Cultivar_2_Cohort_Year_Selection=$AC$268,Cultivar_3_Cohort_Year_Selection=$AC$268), ROUND(MAX(0,(AI$447-('Stage 2 Randomized Selection'!Y$2*$M448)) - 3),0),
IF(AND(OR(AJ$269=123, AJ$269=12), Cultivar_1_Cohort_Year_Selection=$AC$268,Cultivar_2_Cohort_Year_Selection=$AC$268),  ROUND(MAX(0,(AI$447-('Stage 2 Randomized Selection'!X$2*$M448)) - 2),0),
IF(AND(OR(AJ$269=123, AJ$269=13), Cultivar_1_Cohort_Year_Selection=$AC$268,Cultivar_3_Cohort_Year_Selection=$AC$268), ROUND(MAX(0,(AI$447-('Stage 2 Randomized Selection'!X$2*$M448)) - 2),0),
IF(AND(OR(AJ$269=123, AJ$269=23), Cultivar_2_Cohort_Year_Selection=$AC$268,Cultivar_3_Cohort_Year_Selection=$AC$268), ROUND(MAX(0,(AI$447-('Stage 2 Randomized Selection'!X$2*$M448)) - 2),0),
IF(AND(OR(AJ$269=123, AJ$269=12, AJ$269=13, AJ$269=1), Cultivar_1_Cohort_Year_Selection=$AC$268), ROUND(MAX(0,(AI$447-('Stage 2 Randomized Selection'!X$2*$M448)) - 1),0),
IF(AND(OR(AJ$269=123, AJ$269=12, AJ$269=23, AJ$269=2), Cultivar_2_Cohort_Year_Selection=$AC$268), ROUND(MAX(0,(AI$447-('Stage 2 Randomized Selection'!X$2*$M448)) - 1),0),
IF(AND(OR(AJ$269=123, AJ$269=13, AJ$269=23, AJ$269=3), Cultivar_3_Cohort_Year_Selection=$AC$268), ROUND(MAX(0,(AI$447-('Stage 2 Randomized Selection'!X$2*$M448)) - 1),0),
ROUND(MAX(0,(AI$447-('Stage 2 Randomized Selection'!X$2*$M448))),0)))))))),0),"")</f>
        <v/>
      </c>
      <c r="AK470" s="288" t="str">
        <f>IF(ISNUMBER($B$448),
IF(AND(ISNUMBER(AJ$447), AJ$447&gt;0),
IF(AND(AK$269=123, Cultivar_1_Cohort_Year_Selection=$AD$268,Cultivar_2_Cohort_Year_Selection=$AD$268,Cultivar_3_Cohort_Year_Selection=$AD$268), ROUND(MAX(0,(AJ$447-('Stage 2 Randomized Selection'!Z$2*$M448)) - 3),0),
IF(AND(OR(AK$269=123, AK$269=12), Cultivar_1_Cohort_Year_Selection=$AD$268,Cultivar_2_Cohort_Year_Selection=$AD$268),  ROUND(MAX(0,(AJ$447-('Stage 2 Randomized Selection'!Y$2*$M448)) - 2),0),
IF(AND(OR(AK$269=123, AK$269=13), Cultivar_1_Cohort_Year_Selection=$AD$268,Cultivar_3_Cohort_Year_Selection=$AD$268), ROUND(MAX(0,(AJ$447-('Stage 2 Randomized Selection'!Y$2*$M448)) - 2),0),
IF(AND(OR(AK$269=123, AK$269=23), Cultivar_2_Cohort_Year_Selection=$AD$268,Cultivar_3_Cohort_Year_Selection=$AD$268), ROUND(MAX(0,(AJ$447-('Stage 2 Randomized Selection'!Y$2*$M448)) - 2),0),
IF(AND(OR(AK$269=123, AK$269=12, AK$269=13, AK$269=1), Cultivar_1_Cohort_Year_Selection=$AD$268), ROUND(MAX(0,(AJ$447-('Stage 2 Randomized Selection'!Y$2*$M448)) - 1),0),
IF(AND(OR(AK$269=123, AK$269=12, AK$269=23, AK$269=2), Cultivar_2_Cohort_Year_Selection=$AD$268), ROUND(MAX(0,(AJ$447-('Stage 2 Randomized Selection'!Y$2*$M448)) - 1),0),
IF(AND(OR(AK$269=123, AK$269=13, AK$269=23, AK$269=3), Cultivar_3_Cohort_Year_Selection=$AD$268), ROUND(MAX(0,(AJ$447-('Stage 2 Randomized Selection'!Y$2*$M448)) - 1),0),
ROUND(MAX(0,(AJ$447-('Stage 2 Randomized Selection'!Y$2*$M448))),0)))))))),0),"")</f>
        <v/>
      </c>
      <c r="AL470" s="288" t="str">
        <f>IF(ISNUMBER($B$448),
IF(AND(ISNUMBER(AK$447), AK$447&gt;0),
IF(AND(AL$269=123, Cultivar_1_Cohort_Year_Selection=$AE$268,Cultivar_2_Cohort_Year_Selection=$AE$268,Cultivar_3_Cohort_Year_Selection=$AE$268), ROUND(MAX(0,(AK$447-('Stage 2 Randomized Selection'!AA$2*$M448)) - 3),0),
IF(AND(OR(AL$269=123, AL$269=12), Cultivar_1_Cohort_Year_Selection=$AE$268,Cultivar_2_Cohort_Year_Selection=$AE$268),  ROUND(MAX(0,(AK$447-('Stage 2 Randomized Selection'!Z$2*$M448)) - 2),0),
IF(AND(OR(AL$269=123, AL$269=13), Cultivar_1_Cohort_Year_Selection=$AE$268,Cultivar_3_Cohort_Year_Selection=$AE$268), ROUND(MAX(0,(AK$447-('Stage 2 Randomized Selection'!Z$2*$M448)) - 2),0),
IF(AND(OR(AL$269=123, AL$269=23), Cultivar_2_Cohort_Year_Selection=$AE$268,Cultivar_3_Cohort_Year_Selection=$AE$268), ROUND(MAX(0,(AK$447-('Stage 2 Randomized Selection'!Z$2*$M448)) - 2),0),
IF(AND(OR(AL$269=123, AL$269=12, AL$269=13, AL$269=1), Cultivar_1_Cohort_Year_Selection=$AE$268), ROUND(MAX(0,(AK$447-('Stage 2 Randomized Selection'!Z$2*$M448)) - 1),0),
IF(AND(OR(AL$269=123, AL$269=12, AL$269=23, AL$269=2), Cultivar_2_Cohort_Year_Selection=$AE$268), ROUND(MAX(0,(AK$447-('Stage 2 Randomized Selection'!Z$2*$M448)) - 1),0),
IF(AND(OR(AL$269=123, AL$269=13, AL$269=23, AL$269=3), Cultivar_3_Cohort_Year_Selection=$AE$268), ROUND(MAX(0,(AK$447-('Stage 2 Randomized Selection'!Z$2*$M448)) - 1),0),
ROUND(MAX(0,(AK$447-('Stage 2 Randomized Selection'!Z$2*$M448))),0)))))))),0),"")</f>
        <v/>
      </c>
      <c r="AM470" s="288" t="str">
        <f>IF(ISNUMBER($B$448),
IF(AND(ISNUMBER(AL$447), AL$447&gt;0),
IF(AND(AM$269=123, Cultivar_1_Cohort_Year_Selection=$AF$268,Cultivar_2_Cohort_Year_Selection=$AF$268,Cultivar_3_Cohort_Year_Selection=$AF$268), ROUND(MAX(0,(AL$447-('Stage 2 Randomized Selection'!AB$2*$M448)) - 3),0),
IF(AND(OR(AM$269=123, AM$269=12), Cultivar_1_Cohort_Year_Selection=$AF$268,Cultivar_2_Cohort_Year_Selection=$AF$268),  ROUND(MAX(0,(AL$447-('Stage 2 Randomized Selection'!AA$2*$M448)) - 2),0),
IF(AND(OR(AM$269=123, AM$269=13), Cultivar_1_Cohort_Year_Selection=$AF$268,Cultivar_3_Cohort_Year_Selection=$AF$268), ROUND(MAX(0,(AL$447-('Stage 2 Randomized Selection'!AA$2*$M448)) - 2),0),
IF(AND(OR(AM$269=123, AM$269=23), Cultivar_2_Cohort_Year_Selection=$AF$268,Cultivar_3_Cohort_Year_Selection=$AF$268), ROUND(MAX(0,(AL$447-('Stage 2 Randomized Selection'!AA$2*$M448)) - 2),0),
IF(AND(OR(AM$269=123, AM$269=12, AM$269=13, AM$269=1), Cultivar_1_Cohort_Year_Selection=$AF$268), ROUND(MAX(0,(AL$447-('Stage 2 Randomized Selection'!AA$2*$M448)) - 1),0),
IF(AND(OR(AM$269=123, AM$269=12, AM$269=23, AM$269=2), Cultivar_2_Cohort_Year_Selection=$AF$268), ROUND(MAX(0,(AL$447-('Stage 2 Randomized Selection'!AA$2*$M448)) - 1),0),
IF(AND(OR(AM$269=123, AM$269=13, AM$269=23, AM$269=3), Cultivar_3_Cohort_Year_Selection=$AF$268), ROUND(MAX(0,(AL$447-('Stage 2 Randomized Selection'!AA$2*$M448)) - 1),0),
ROUND(MAX(0,(AL$447-('Stage 2 Randomized Selection'!AA$2*$M448))),0)))))))),0),"")</f>
        <v/>
      </c>
      <c r="AN470" s="288" t="str">
        <f>IF(ISNUMBER($B$448),
IF(AND(ISNUMBER(AM$447), AM$447&gt;0),
IF(AND(AN$269=123, Cultivar_1_Cohort_Year_Selection=$AG$268,Cultivar_2_Cohort_Year_Selection=$AG$268,Cultivar_3_Cohort_Year_Selection=$AG$268), ROUND(MAX(0,(AM$447-('Stage 2 Randomized Selection'!AC$2*$M448)) - 3),0),
IF(AND(OR(AN$269=123, AN$269=12), Cultivar_1_Cohort_Year_Selection=$AG$268,Cultivar_2_Cohort_Year_Selection=$AG$268),  ROUND(MAX(0,(AM$447-('Stage 2 Randomized Selection'!AB$2*$M448)) - 2),0),
IF(AND(OR(AN$269=123, AN$269=13), Cultivar_1_Cohort_Year_Selection=$AG$268,Cultivar_3_Cohort_Year_Selection=$AG$268), ROUND(MAX(0,(AM$447-('Stage 2 Randomized Selection'!AB$2*$M448)) - 2),0),
IF(AND(OR(AN$269=123, AN$269=23), Cultivar_2_Cohort_Year_Selection=$AG$268,Cultivar_3_Cohort_Year_Selection=$AG$268), ROUND(MAX(0,(AM$447-('Stage 2 Randomized Selection'!AB$2*$M448)) - 2),0),
IF(AND(OR(AN$269=123, AN$269=12, AN$269=13, AN$269=1), Cultivar_1_Cohort_Year_Selection=$AG$268), ROUND(MAX(0,(AM$447-('Stage 2 Randomized Selection'!AB$2*$M448)) - 1),0),
IF(AND(OR(AN$269=123, AN$269=12, AN$269=23, AN$269=2), Cultivar_2_Cohort_Year_Selection=$AG$268), ROUND(MAX(0,(AM$447-('Stage 2 Randomized Selection'!AB$2*$M448)) - 1),0),
IF(AND(OR(AN$269=123, AN$269=13, AN$269=23, AN$269=3), Cultivar_3_Cohort_Year_Selection=$AG$268), ROUND(MAX(0,(AM$447-('Stage 2 Randomized Selection'!AB$2*$M448)) - 1),0),
ROUND(MAX(0,(AM$447-('Stage 2 Randomized Selection'!AB$2*$M448))),0)))))))),0),"")</f>
        <v/>
      </c>
      <c r="AO470" s="288" t="str">
        <f>IF(ISNUMBER($B$448),
IF(AND(ISNUMBER(AN$447), AN$447&gt;0),
IF(AND(AO$269=123, Cultivar_1_Cohort_Year_Selection=$AH$268,Cultivar_2_Cohort_Year_Selection=$AH$268,Cultivar_3_Cohort_Year_Selection=$AH$268), ROUND(MAX(0,(AN$447-('Stage 2 Randomized Selection'!AD$2*$M448)) - 3),0),
IF(AND(OR(AO$269=123, AO$269=12), Cultivar_1_Cohort_Year_Selection=$AH$268,Cultivar_2_Cohort_Year_Selection=$AH$268),  ROUND(MAX(0,(AN$447-('Stage 2 Randomized Selection'!AC$2*$M448)) - 2),0),
IF(AND(OR(AO$269=123, AO$269=13), Cultivar_1_Cohort_Year_Selection=$AH$268,Cultivar_3_Cohort_Year_Selection=$AH$268), ROUND(MAX(0,(AN$447-('Stage 2 Randomized Selection'!AC$2*$M448)) - 2),0),
IF(AND(OR(AO$269=123, AO$269=23), Cultivar_2_Cohort_Year_Selection=$AH$268,Cultivar_3_Cohort_Year_Selection=$AH$268), ROUND(MAX(0,(AN$447-('Stage 2 Randomized Selection'!AC$2*$M448)) - 2),0),
IF(AND(OR(AO$269=123, AO$269=12, AO$269=13, AO$269=1), Cultivar_1_Cohort_Year_Selection=$AH$268), ROUND(MAX(0,(AN$447-('Stage 2 Randomized Selection'!AC$2*$M448)) - 1),0),
IF(AND(OR(AO$269=123, AO$269=12, AO$269=23, AO$269=2), Cultivar_2_Cohort_Year_Selection=$AH$268), ROUND(MAX(0,(AN$447-('Stage 2 Randomized Selection'!AC$2*$M448)) - 1),0),
IF(AND(OR(AO$269=123, AO$269=13, AO$269=23, AO$269=3), Cultivar_3_Cohort_Year_Selection=$AH$268), ROUND(MAX(0,(AN$447-('Stage 2 Randomized Selection'!AC$2*$M448)) - 1),0),
ROUND(MAX(0,(AN$447-('Stage 2 Randomized Selection'!AC$2*$M448))),0)))))))),0),"")</f>
        <v/>
      </c>
      <c r="AP470" s="288" t="str">
        <f>IF(ISNUMBER($B$448),
IF(AND(ISNUMBER(AO$447), AO$447&gt;0),
IF(AND(AP$269=123, Cultivar_1_Cohort_Year_Selection=$AI$268,Cultivar_2_Cohort_Year_Selection=$AI$268,Cultivar_3_Cohort_Year_Selection=$AI$268), ROUND(MAX(0,(AO$447-('Stage 2 Randomized Selection'!AE$2*$M448)) - 3),0),
IF(AND(OR(AP$269=123, AP$269=12), Cultivar_1_Cohort_Year_Selection=$AI$268,Cultivar_2_Cohort_Year_Selection=$AI$268),  ROUND(MAX(0,(AO$447-('Stage 2 Randomized Selection'!AD$2*$M448)) - 2),0),
IF(AND(OR(AP$269=123, AP$269=13), Cultivar_1_Cohort_Year_Selection=$AI$268,Cultivar_3_Cohort_Year_Selection=$AI$268), ROUND(MAX(0,(AO$447-('Stage 2 Randomized Selection'!AD$2*$M448)) - 2),0),
IF(AND(OR(AP$269=123, AP$269=23), Cultivar_2_Cohort_Year_Selection=$AI$268,Cultivar_3_Cohort_Year_Selection=$AI$268), ROUND(MAX(0,(AO$447-('Stage 2 Randomized Selection'!AD$2*$M448)) - 2),0),
IF(AND(OR(AP$269=123, AP$269=12, AP$269=13, AP$269=1), Cultivar_1_Cohort_Year_Selection=$AI$268), ROUND(MAX(0,(AO$447-('Stage 2 Randomized Selection'!AD$2*$M448)) - 1),0),
IF(AND(OR(AP$269=123, AP$269=12, AP$269=23, AP$269=2), Cultivar_2_Cohort_Year_Selection=$AI$268), ROUND(MAX(0,(AO$447-('Stage 2 Randomized Selection'!AD$2*$M448)) - 1),0),
IF(AND(OR(AP$269=123, AP$269=13, AP$269=23, AP$269=3), Cultivar_3_Cohort_Year_Selection=$AI$268), ROUND(MAX(0,(AO$447-('Stage 2 Randomized Selection'!AD$2*$M448)) - 1),0),
ROUND(MAX(0,(AO$447-('Stage 2 Randomized Selection'!AD$2*$M448))),0)))))))),0),"")</f>
        <v/>
      </c>
      <c r="AQ470" s="288" t="str">
        <f>IF(ISNUMBER($B$448),
IF(AND(ISNUMBER(AP$447), AP$447&gt;0),
IF(AND(AQ$269=123, Cultivar_1_Cohort_Year_Selection=$AJ$268,Cultivar_2_Cohort_Year_Selection=$AJ$268,Cultivar_3_Cohort_Year_Selection=$AJ$268), ROUND(MAX(0,(AP$447-('Stage 2 Randomized Selection'!AF$2*$M448)) - 3),0),
IF(AND(OR(AQ$269=123, AQ$269=12), Cultivar_1_Cohort_Year_Selection=$AJ$268,Cultivar_2_Cohort_Year_Selection=$AJ$268),  ROUND(MAX(0,(AP$447-('Stage 2 Randomized Selection'!AE$2*$M448)) - 2),0),
IF(AND(OR(AQ$269=123, AQ$269=13), Cultivar_1_Cohort_Year_Selection=$AJ$268,Cultivar_3_Cohort_Year_Selection=$AJ$268), ROUND(MAX(0,(AP$447-('Stage 2 Randomized Selection'!AE$2*$M448)) - 2),0),
IF(AND(OR(AQ$269=123, AQ$269=23), Cultivar_2_Cohort_Year_Selection=$AJ$268,Cultivar_3_Cohort_Year_Selection=$AJ$268), ROUND(MAX(0,(AP$447-('Stage 2 Randomized Selection'!AE$2*$M448)) - 2),0),
IF(AND(OR(AQ$269=123, AQ$269=12, AQ$269=13, AQ$269=1), Cultivar_1_Cohort_Year_Selection=$AJ$268), ROUND(MAX(0,(AP$447-('Stage 2 Randomized Selection'!AE$2*$M448)) - 1),0),
IF(AND(OR(AQ$269=123, AQ$269=12, AQ$269=23, AQ$269=2), Cultivar_2_Cohort_Year_Selection=$AJ$268), ROUND(MAX(0,(AP$447-('Stage 2 Randomized Selection'!AE$2*$M448)) - 1),0),
IF(AND(OR(AQ$269=123, AQ$269=13, AQ$269=23, AQ$269=3), Cultivar_3_Cohort_Year_Selection=$AJ$268), ROUND(MAX(0,(AP$447-('Stage 2 Randomized Selection'!AE$2*$M448)) - 1),0),
ROUND(MAX(0,(AP$447-('Stage 2 Randomized Selection'!AE$2*$M448))),0)))))))),0),"")</f>
        <v/>
      </c>
      <c r="AR470" s="288" t="str">
        <f>IF(ISNUMBER($B$448),
IF(AND(ISNUMBER(AQ$447), AQ$447&gt;0),
IF(AND(AR$269=123, Cultivar_1_Cohort_Year_Selection=$AK$268,Cultivar_2_Cohort_Year_Selection=$AK$268,Cultivar_3_Cohort_Year_Selection=$AK$268), ROUND(MAX(0,(AQ$447-('Stage 2 Randomized Selection'!AG$2*$M448)) - 3),0),
IF(AND(OR(AR$269=123, AR$269=12), Cultivar_1_Cohort_Year_Selection=$AK$268,Cultivar_2_Cohort_Year_Selection=$AK$268),  ROUND(MAX(0,(AQ$447-('Stage 2 Randomized Selection'!AF$2*$M448)) - 2),0),
IF(AND(OR(AR$269=123, AR$269=13), Cultivar_1_Cohort_Year_Selection=$AK$268,Cultivar_3_Cohort_Year_Selection=$AK$268), ROUND(MAX(0,(AQ$447-('Stage 2 Randomized Selection'!AF$2*$M448)) - 2),0),
IF(AND(OR(AR$269=123, AR$269=23), Cultivar_2_Cohort_Year_Selection=$AK$268,Cultivar_3_Cohort_Year_Selection=$AK$268), ROUND(MAX(0,(AQ$447-('Stage 2 Randomized Selection'!AF$2*$M448)) - 2),0),
IF(AND(OR(AR$269=123, AR$269=12, AR$269=13, AR$269=1), Cultivar_1_Cohort_Year_Selection=$AK$268), ROUND(MAX(0,(AQ$447-('Stage 2 Randomized Selection'!AF$2*$M448)) - 1),0),
IF(AND(OR(AR$269=123, AR$269=12, AR$269=23, AR$269=2), Cultivar_2_Cohort_Year_Selection=$AK$268), ROUND(MAX(0,(AQ$447-('Stage 2 Randomized Selection'!AF$2*$M448)) - 1),0),
IF(AND(OR(AR$269=123, AR$269=13, AR$269=23, AR$269=3), Cultivar_3_Cohort_Year_Selection=$AK$268), ROUND(MAX(0,(AQ$447-('Stage 2 Randomized Selection'!AF$2*$M448)) - 1),0),
ROUND(MAX(0,(AQ$447-('Stage 2 Randomized Selection'!AF$2*$M448))),0)))))))),0),"")</f>
        <v/>
      </c>
      <c r="AS470" s="288" t="str">
        <f>IF(ISNUMBER($B$448),
IF(AND(ISNUMBER(AR$447), AR$447&gt;0),
IF(AND(AS$269=123, Cultivar_1_Cohort_Year_Selection=$AL$268,Cultivar_2_Cohort_Year_Selection=$AL$268,Cultivar_3_Cohort_Year_Selection=$AL$268), ROUND(MAX(0,(AR$447-('Stage 2 Randomized Selection'!AH$2*$M448)) - 3),0),
IF(AND(OR(AS$269=123, AS$269=12), Cultivar_1_Cohort_Year_Selection=$AL$268,Cultivar_2_Cohort_Year_Selection=$AL$268),  ROUND(MAX(0,(AR$447-('Stage 2 Randomized Selection'!AG$2*$M448)) - 2),0),
IF(AND(OR(AS$269=123, AS$269=13), Cultivar_1_Cohort_Year_Selection=$AL$268,Cultivar_3_Cohort_Year_Selection=$AL$268), ROUND(MAX(0,(AR$447-('Stage 2 Randomized Selection'!AG$2*$M448)) - 2),0),
IF(AND(OR(AS$269=123, AS$269=23), Cultivar_2_Cohort_Year_Selection=$AL$268,Cultivar_3_Cohort_Year_Selection=$AL$268), ROUND(MAX(0,(AR$447-('Stage 2 Randomized Selection'!AG$2*$M448)) - 2),0),
IF(AND(OR(AS$269=123, AS$269=12, AS$269=13, AS$269=1), Cultivar_1_Cohort_Year_Selection=$AL$268), ROUND(MAX(0,(AR$447-('Stage 2 Randomized Selection'!AG$2*$M448)) - 1),0),
IF(AND(OR(AS$269=123, AS$269=12, AS$269=23, AS$269=2), Cultivar_2_Cohort_Year_Selection=$AL$268), ROUND(MAX(0,(AR$447-('Stage 2 Randomized Selection'!AG$2*$M448)) - 1),0),
IF(AND(OR(AS$269=123, AS$269=13, AS$269=23, AS$269=3), Cultivar_3_Cohort_Year_Selection=$AL$268), ROUND(MAX(0,(AR$447-('Stage 2 Randomized Selection'!AG$2*$M448)) - 1),0),
ROUND(MAX(0,(AR$447-('Stage 2 Randomized Selection'!AG$2*$M448))),0)))))))),0),"")</f>
        <v/>
      </c>
      <c r="AT470" s="288" t="str">
        <f>IF(ISNUMBER($B$448),
IF(AND(ISNUMBER(AS$447), AS$447&gt;0),
IF(AND(AT$269=123, Cultivar_1_Cohort_Year_Selection=$AM$268,Cultivar_2_Cohort_Year_Selection=$AM$268,Cultivar_3_Cohort_Year_Selection=$AM$268), ROUND(MAX(0,(AS$447-('Stage 2 Randomized Selection'!AI$2*$M448)) - 3),0),
IF(AND(OR(AT$269=123, AT$269=12), Cultivar_1_Cohort_Year_Selection=$AM$268,Cultivar_2_Cohort_Year_Selection=$AM$268),  ROUND(MAX(0,(AS$447-('Stage 2 Randomized Selection'!AH$2*$M448)) - 2),0),
IF(AND(OR(AT$269=123, AT$269=13), Cultivar_1_Cohort_Year_Selection=$AM$268,Cultivar_3_Cohort_Year_Selection=$AM$268), ROUND(MAX(0,(AS$447-('Stage 2 Randomized Selection'!AH$2*$M448)) - 2),0),
IF(AND(OR(AT$269=123, AT$269=23), Cultivar_2_Cohort_Year_Selection=$AM$268,Cultivar_3_Cohort_Year_Selection=$AM$268), ROUND(MAX(0,(AS$447-('Stage 2 Randomized Selection'!AH$2*$M448)) - 2),0),
IF(AND(OR(AT$269=123, AT$269=12, AT$269=13, AT$269=1), Cultivar_1_Cohort_Year_Selection=$AM$268), ROUND(MAX(0,(AS$447-('Stage 2 Randomized Selection'!AH$2*$M448)) - 1),0),
IF(AND(OR(AT$269=123, AT$269=12, AT$269=23, AT$269=2), Cultivar_2_Cohort_Year_Selection=$AM$268), ROUND(MAX(0,(AS$447-('Stage 2 Randomized Selection'!AH$2*$M448)) - 1),0),
IF(AND(OR(AT$269=123, AT$269=13, AT$269=23, AT$269=3), Cultivar_3_Cohort_Year_Selection=$AM$268), ROUND(MAX(0,(AS$447-('Stage 2 Randomized Selection'!AH$2*$M448)) - 1),0),
ROUND(MAX(0,(AS$447-('Stage 2 Randomized Selection'!AH$2*$M448))),0)))))))),0),"")</f>
        <v/>
      </c>
      <c r="AU470" s="288" t="str">
        <f>IF(ISNUMBER($B$448),
IF(AND(ISNUMBER(AT$447), AT$447&gt;0),
IF(AND(AU$269=123, Cultivar_1_Cohort_Year_Selection=$AN$268,Cultivar_2_Cohort_Year_Selection=$AN$268,Cultivar_3_Cohort_Year_Selection=$AN$268), ROUND(MAX(0,(AT$447-('Stage 2 Randomized Selection'!AJ$2*$M448)) - 3),0),
IF(AND(OR(AU$269=123, AU$269=12), Cultivar_1_Cohort_Year_Selection=$AN$268,Cultivar_2_Cohort_Year_Selection=$AN$268),  ROUND(MAX(0,(AT$447-('Stage 2 Randomized Selection'!AI$2*$M448)) - 2),0),
IF(AND(OR(AU$269=123, AU$269=13), Cultivar_1_Cohort_Year_Selection=$AN$268,Cultivar_3_Cohort_Year_Selection=$AN$268), ROUND(MAX(0,(AT$447-('Stage 2 Randomized Selection'!AI$2*$M448)) - 2),0),
IF(AND(OR(AU$269=123, AU$269=23), Cultivar_2_Cohort_Year_Selection=$AN$268,Cultivar_3_Cohort_Year_Selection=$AN$268), ROUND(MAX(0,(AT$447-('Stage 2 Randomized Selection'!AI$2*$M448)) - 2),0),
IF(AND(OR(AU$269=123, AU$269=12, AU$269=13, AU$269=1), Cultivar_1_Cohort_Year_Selection=$AN$268), ROUND(MAX(0,(AT$447-('Stage 2 Randomized Selection'!AI$2*$M448)) - 1),0),
IF(AND(OR(AU$269=123, AU$269=12, AU$269=23, AU$269=2), Cultivar_2_Cohort_Year_Selection=$AN$268), ROUND(MAX(0,(AT$447-('Stage 2 Randomized Selection'!AI$2*$M448)) - 1),0),
IF(AND(OR(AU$269=123, AU$269=13, AU$269=23, AU$269=3), Cultivar_3_Cohort_Year_Selection=$AN$268), ROUND(MAX(0,(AT$447-('Stage 2 Randomized Selection'!AI$2*$M448)) - 1),0),
ROUND(MAX(0,(AT$447-('Stage 2 Randomized Selection'!AI$2*$M448))),0)))))))),0),"")</f>
        <v/>
      </c>
      <c r="AV470" s="288" t="str">
        <f>IF(ISNUMBER($B$448),
IF(AND(ISNUMBER(AU$447), AU$447&gt;0),
IF(AND(AV$269=123, Cultivar_1_Cohort_Year_Selection=$AO$268,Cultivar_2_Cohort_Year_Selection=$AO$268,Cultivar_3_Cohort_Year_Selection=$AO$268), ROUND(MAX(0,(AU$447-('Stage 2 Randomized Selection'!AK$2*$M448)) - 3),0),
IF(AND(OR(AV$269=123, AV$269=12), Cultivar_1_Cohort_Year_Selection=$AO$268,Cultivar_2_Cohort_Year_Selection=$AO$268),  ROUND(MAX(0,(AU$447-('Stage 2 Randomized Selection'!AJ$2*$M448)) - 2),0),
IF(AND(OR(AV$269=123, AV$269=13), Cultivar_1_Cohort_Year_Selection=$AO$268,Cultivar_3_Cohort_Year_Selection=$AO$268), ROUND(MAX(0,(AU$447-('Stage 2 Randomized Selection'!AJ$2*$M448)) - 2),0),
IF(AND(OR(AV$269=123, AV$269=23), Cultivar_2_Cohort_Year_Selection=$AO$268,Cultivar_3_Cohort_Year_Selection=$AO$268), ROUND(MAX(0,(AU$447-('Stage 2 Randomized Selection'!AJ$2*$M448)) - 2),0),
IF(AND(OR(AV$269=123, AV$269=12, AV$269=13, AV$269=1), Cultivar_1_Cohort_Year_Selection=$AO$268), ROUND(MAX(0,(AU$447-('Stage 2 Randomized Selection'!AJ$2*$M448)) - 1),0),
IF(AND(OR(AV$269=123, AV$269=12, AV$269=23, AV$269=2), Cultivar_2_Cohort_Year_Selection=$AO$268), ROUND(MAX(0,(AU$447-('Stage 2 Randomized Selection'!AJ$2*$M448)) - 1),0),
IF(AND(OR(AV$269=123, AV$269=13, AV$269=23, AV$269=3), Cultivar_3_Cohort_Year_Selection=$AO$268), ROUND(MAX(0,(AU$447-('Stage 2 Randomized Selection'!AJ$2*$M448)) - 1),0),
ROUND(MAX(0,(AU$447-('Stage 2 Randomized Selection'!AJ$2*$M448))),0)))))))),0),"")</f>
        <v/>
      </c>
      <c r="AW470" s="288" t="str">
        <f>IF(ISNUMBER($B$448),
IF(AND(ISNUMBER(AV$447), AV$447&gt;0),
IF(AND(AW$269=123, Cultivar_1_Cohort_Year_Selection=$AP$268,Cultivar_2_Cohort_Year_Selection=$AP$268,Cultivar_3_Cohort_Year_Selection=$AP$268), ROUND(MAX(0,(AV$447-('Stage 2 Randomized Selection'!AL$2*$M448)) - 3),0),
IF(AND(OR(AW$269=123, AW$269=12), Cultivar_1_Cohort_Year_Selection=$AP$268,Cultivar_2_Cohort_Year_Selection=$AP$268),  ROUND(MAX(0,(AV$447-('Stage 2 Randomized Selection'!AK$2*$M448)) - 2),0),
IF(AND(OR(AW$269=123, AW$269=13), Cultivar_1_Cohort_Year_Selection=$AP$268,Cultivar_3_Cohort_Year_Selection=$AP$268), ROUND(MAX(0,(AV$447-('Stage 2 Randomized Selection'!AK$2*$M448)) - 2),0),
IF(AND(OR(AW$269=123, AW$269=23), Cultivar_2_Cohort_Year_Selection=$AP$268,Cultivar_3_Cohort_Year_Selection=$AP$268), ROUND(MAX(0,(AV$447-('Stage 2 Randomized Selection'!AK$2*$M448)) - 2),0),
IF(AND(OR(AW$269=123, AW$269=12, AW$269=13, AW$269=1), Cultivar_1_Cohort_Year_Selection=$AP$268), ROUND(MAX(0,(AV$447-('Stage 2 Randomized Selection'!AK$2*$M448)) - 1),0),
IF(AND(OR(AW$269=123, AW$269=12, AW$269=23, AW$269=2), Cultivar_2_Cohort_Year_Selection=$AP$268), ROUND(MAX(0,(AV$447-('Stage 2 Randomized Selection'!AK$2*$M448)) - 1),0),
IF(AND(OR(AW$269=123, AW$269=13, AW$269=23, AW$269=3), Cultivar_3_Cohort_Year_Selection=$AP$268), ROUND(MAX(0,(AV$447-('Stage 2 Randomized Selection'!AK$2*$M448)) - 1),0),
ROUND(MAX(0,(AV$447-('Stage 2 Randomized Selection'!AK$2*$M448))),0)))))))),0),"")</f>
        <v/>
      </c>
    </row>
    <row r="471" spans="1:50" ht="14.45" customHeight="1" x14ac:dyDescent="0.25">
      <c r="A471" s="518" t="str">
        <f>Fourth_Stage</f>
        <v>Stage 2 Clonal Test Plots</v>
      </c>
      <c r="B471" s="504" t="str">
        <f>'Breeding Inputs'!B97</f>
        <v/>
      </c>
      <c r="C471" s="521" t="str">
        <f>IF(ISNUMBER(B471), _4_3_0, "")</f>
        <v/>
      </c>
      <c r="D471" s="94" t="str">
        <f>IF(AND(C471&lt;&gt;"", 'Cost Inputs'!$G$105&lt;&gt;""), 'Cost Inputs'!$G$105, "")</f>
        <v/>
      </c>
      <c r="E471" s="94" t="str">
        <f>IF(AND(C471&lt;&gt;"", 'Cost Inputs'!$H$105&lt;&gt;""), 'Cost Inputs'!$H$105, "")</f>
        <v/>
      </c>
      <c r="F471" s="492" t="str">
        <f>IF(AND(C471&lt;&gt;"", 'Cost Inputs'!$I$105&lt;&gt;""), 'Cost Inputs'!$I$105, "")</f>
        <v/>
      </c>
      <c r="G471" s="102" t="str">
        <f t="shared" si="39"/>
        <v/>
      </c>
      <c r="H471" s="492" t="str">
        <f>IF(AND(C471&lt;&gt;"", 'Cost Inputs'!$J$105&lt;&gt;""), 'Cost Inputs'!$J$105, "")</f>
        <v/>
      </c>
      <c r="I471" s="102" t="str">
        <f>IF($C471&lt;&gt;"",IF(AND($E471&lt;&gt;"",H471&lt;&gt;""), H471/$E471, 0),"")</f>
        <v/>
      </c>
      <c r="J471" s="492" t="str">
        <f>IF(AND(C471&lt;&gt;"",('Cost Inputs'!$I$105+'Cost Inputs'!$J$105+'Cost Inputs'!$K$105)&gt;0), 'Cost Inputs'!$I$105+'Cost Inputs'!$J$105+'Cost Inputs'!$K$105, "")</f>
        <v/>
      </c>
      <c r="K471" s="102" t="str">
        <f>IF($C471&lt;&gt;"",IF(AND($E471&lt;&gt;"",J471&lt;&gt;""), J471/$E471, 0),"")</f>
        <v/>
      </c>
      <c r="L471" s="525" t="str">
        <f>IF(AND($B471&lt;&gt;"", 'Breeding Inputs'!$C$89&lt;&gt;""), INDEX('Breeding Inputs'!$C$89:$C$98, MATCH($B471,'Breeding Inputs'!$B$89:$B$98,0)), IF($B471="", "", 0%))</f>
        <v/>
      </c>
      <c r="M471" s="525" t="str">
        <f>IF(AND($B471&lt;&gt;"", 'Breeding Inputs'!$D$89&lt;&gt;""), INDEX('Breeding Inputs'!$D$89:$D$98, MATCH($B471,'Breeding Inputs'!$B$89:$B$98,0))+INDEX('Breeding Inputs'!$E$89:$E$98, MATCH($B471,'Breeding Inputs'!$B$89:$B$98,0)), IF($B471="", "", 0%))</f>
        <v/>
      </c>
      <c r="W471" s="495" t="str">
        <f>IF(ISNUMBER('Model_ of_individuals'!W489), 'Model_ of_individuals'!W489*'Model_ of_individuals'!$K489,"")</f>
        <v/>
      </c>
      <c r="X471" s="495" t="str">
        <f>IF(ISNUMBER('Model_ of_individuals'!X489), 'Model_ of_individuals'!X489*'Model_ of_individuals'!$K489,"")</f>
        <v/>
      </c>
      <c r="Y471" s="495" t="str">
        <f>IF(ISNUMBER('Model_ of_individuals'!Y489), 'Model_ of_individuals'!Y489*'Model_ of_individuals'!$K489,"")</f>
        <v/>
      </c>
      <c r="Z471" s="495" t="str">
        <f>IF(ISNUMBER('Model_ of_individuals'!Z489), 'Model_ of_individuals'!Z489*'Model_ of_individuals'!$K489,"")</f>
        <v/>
      </c>
      <c r="AA471" s="495" t="str">
        <f>IF(ISNUMBER('Model_ of_individuals'!AA489), 'Model_ of_individuals'!AA489*'Model_ of_individuals'!$K489,"")</f>
        <v/>
      </c>
      <c r="AB471" s="495" t="str">
        <f>IF(ISNUMBER('Model_ of_individuals'!AB489), 'Model_ of_individuals'!AB489*'Model_ of_individuals'!$K489,"")</f>
        <v/>
      </c>
      <c r="AC471" s="495" t="str">
        <f>IF(ISNUMBER('Model_ of_individuals'!AC489), 'Model_ of_individuals'!AC489*'Model_ of_individuals'!$K489,"")</f>
        <v/>
      </c>
      <c r="AD471" s="495" t="str">
        <f>IF(ISNUMBER('Model_ of_individuals'!AD489), 'Model_ of_individuals'!AD489*'Model_ of_individuals'!$K489,"")</f>
        <v/>
      </c>
      <c r="AE471" s="495" t="str">
        <f>IF(ISNUMBER('Model_ of_individuals'!AE489), 'Model_ of_individuals'!AE489*'Model_ of_individuals'!$K489,"")</f>
        <v/>
      </c>
      <c r="AF471" s="495" t="str">
        <f>IF(ISNUMBER('Model_ of_individuals'!AF489), 'Model_ of_individuals'!AF489*'Model_ of_individuals'!$K489,"")</f>
        <v/>
      </c>
      <c r="AG471" s="495" t="str">
        <f>IF(ISNUMBER('Model_ of_individuals'!AG489), 'Model_ of_individuals'!AG489*'Model_ of_individuals'!$K489,"")</f>
        <v/>
      </c>
      <c r="AH471" s="495" t="str">
        <f>IF(ISNUMBER('Model_ of_individuals'!AH489), 'Model_ of_individuals'!AH489*'Model_ of_individuals'!$K489,"")</f>
        <v/>
      </c>
      <c r="AI471" s="495" t="str">
        <f>IF(ISNUMBER('Model_ of_individuals'!AI489), 'Model_ of_individuals'!AI489*'Model_ of_individuals'!$K489,"")</f>
        <v/>
      </c>
      <c r="AJ471" s="495" t="str">
        <f>IF(ISNUMBER('Model_ of_individuals'!AJ489), 'Model_ of_individuals'!AJ489*'Model_ of_individuals'!$K489,"")</f>
        <v/>
      </c>
      <c r="AK471" s="495" t="str">
        <f>IF(ISNUMBER('Model_ of_individuals'!AK489), 'Model_ of_individuals'!AK489*'Model_ of_individuals'!$K489,"")</f>
        <v/>
      </c>
      <c r="AL471" s="495" t="str">
        <f>IF(ISNUMBER('Model_ of_individuals'!AL489), 'Model_ of_individuals'!AL489*'Model_ of_individuals'!$K489,"")</f>
        <v/>
      </c>
      <c r="AM471" s="495" t="str">
        <f>IF(ISNUMBER('Model_ of_individuals'!AM489), 'Model_ of_individuals'!AM489*'Model_ of_individuals'!$K489,"")</f>
        <v/>
      </c>
      <c r="AN471" s="495" t="str">
        <f>IF(ISNUMBER('Model_ of_individuals'!AN489), 'Model_ of_individuals'!AN489*'Model_ of_individuals'!$K489,"")</f>
        <v/>
      </c>
      <c r="AO471" s="495" t="str">
        <f>IF(ISNUMBER('Model_ of_individuals'!AO489), 'Model_ of_individuals'!AO489*'Model_ of_individuals'!$K489,"")</f>
        <v/>
      </c>
      <c r="AP471" s="495" t="str">
        <f>IF(ISNUMBER('Model_ of_individuals'!AP489), 'Model_ of_individuals'!AP489*'Model_ of_individuals'!$K489,"")</f>
        <v/>
      </c>
      <c r="AQ471" s="495" t="str">
        <f>IF(ISNUMBER('Model_ of_individuals'!AQ489), 'Model_ of_individuals'!AQ489*'Model_ of_individuals'!$K489,"")</f>
        <v/>
      </c>
      <c r="AR471" s="495" t="str">
        <f>IF(ISNUMBER('Model_ of_individuals'!AR489), 'Model_ of_individuals'!AR489*'Model_ of_individuals'!$K489,"")</f>
        <v/>
      </c>
      <c r="AS471" s="495" t="str">
        <f>IF(ISNUMBER('Model_ of_individuals'!AS489), 'Model_ of_individuals'!AS489*'Model_ of_individuals'!$K489,"")</f>
        <v/>
      </c>
      <c r="AT471" s="495" t="str">
        <f>IF(ISNUMBER('Model_ of_individuals'!AT489), 'Model_ of_individuals'!AT489*'Model_ of_individuals'!$K489,"")</f>
        <v/>
      </c>
      <c r="AU471" s="495" t="str">
        <f>IF(ISNUMBER('Model_ of_individuals'!AU489), 'Model_ of_individuals'!AU489*'Model_ of_individuals'!$K489,"")</f>
        <v/>
      </c>
      <c r="AV471" s="495" t="str">
        <f>IF(ISNUMBER('Model_ of_individuals'!AV489), 'Model_ of_individuals'!AV489*'Model_ of_individuals'!$K489,"")</f>
        <v/>
      </c>
      <c r="AW471" s="495" t="str">
        <f>IF(ISNUMBER('Model_ of_individuals'!AW489), 'Model_ of_individuals'!AW489*'Model_ of_individuals'!$K489,"")</f>
        <v/>
      </c>
      <c r="AX471" s="495" t="str">
        <f>IF(ISNUMBER('Model_ of_individuals'!AX489), 'Model_ of_individuals'!AX489*'Model_ of_individuals'!$K489,"")</f>
        <v/>
      </c>
    </row>
    <row r="472" spans="1:50" x14ac:dyDescent="0.25">
      <c r="A472" s="518"/>
      <c r="B472" s="504"/>
      <c r="C472" s="521"/>
      <c r="D472" s="94" t="str">
        <f>IF(AND(C471&lt;&gt;"", 'Cost Inputs'!$G$106&lt;&gt;""), 'Cost Inputs'!$G$106, "")</f>
        <v/>
      </c>
      <c r="E472" s="94" t="str">
        <f>IF(AND(C471&lt;&gt;"", 'Cost Inputs'!H301&lt;&gt;""), 'Cost Inputs'!H301, "")</f>
        <v/>
      </c>
      <c r="F472" s="492"/>
      <c r="G472" s="102" t="str">
        <f t="shared" si="39"/>
        <v/>
      </c>
      <c r="H472" s="492"/>
      <c r="I472" s="102" t="str">
        <f>IF($C471&lt;&gt;"", IF(AND($E472&lt;&gt;"", H471&lt;&gt;""), H471/($E471*$E472), 0), "")</f>
        <v/>
      </c>
      <c r="J472" s="492" t="str">
        <f>IF(AND(C472&lt;&gt;"",('Cost Inputs'!$I$86+'Cost Inputs'!$J$86+'Cost Inputs'!$K$86)&gt;0), 'Cost Inputs'!$I$86+'Cost Inputs'!$J$86+'Cost Inputs'!$K$86, "")</f>
        <v/>
      </c>
      <c r="K472" s="102" t="str">
        <f>IF($C471&lt;&gt;"", IF(AND($E472&lt;&gt;"", J471&lt;&gt;""), J471/($E471*$E472), 0), "")</f>
        <v/>
      </c>
      <c r="L472" s="525"/>
      <c r="M472" s="525"/>
      <c r="W472" s="496" t="str">
        <f>IF(ISNUMBER('Model_ of_individuals'!W490), 'Model_ of_individuals'!W490*'Model_ of_individuals'!$K490,"")</f>
        <v/>
      </c>
      <c r="X472" s="496" t="str">
        <f>IF(ISNUMBER('Model_ of_individuals'!X490), 'Model_ of_individuals'!X490*'Model_ of_individuals'!$K490,"")</f>
        <v/>
      </c>
      <c r="Y472" s="496" t="str">
        <f>IF(ISNUMBER('Model_ of_individuals'!Y490), 'Model_ of_individuals'!Y490*'Model_ of_individuals'!$K490,"")</f>
        <v/>
      </c>
      <c r="Z472" s="496" t="str">
        <f>IF(ISNUMBER('Model_ of_individuals'!Z490), 'Model_ of_individuals'!Z490*'Model_ of_individuals'!$K490,"")</f>
        <v/>
      </c>
      <c r="AA472" s="496" t="str">
        <f>IF(ISNUMBER('Model_ of_individuals'!AA490), 'Model_ of_individuals'!AA490*'Model_ of_individuals'!$K490,"")</f>
        <v/>
      </c>
      <c r="AB472" s="496" t="str">
        <f>IF(ISNUMBER('Model_ of_individuals'!AB490), 'Model_ of_individuals'!AB490*'Model_ of_individuals'!$K490,"")</f>
        <v/>
      </c>
      <c r="AC472" s="496" t="str">
        <f>IF(ISNUMBER('Model_ of_individuals'!AC490), 'Model_ of_individuals'!AC490*'Model_ of_individuals'!$K490,"")</f>
        <v/>
      </c>
      <c r="AD472" s="496" t="str">
        <f>IF(ISNUMBER('Model_ of_individuals'!AD490), 'Model_ of_individuals'!AD490*'Model_ of_individuals'!$K490,"")</f>
        <v/>
      </c>
      <c r="AE472" s="496" t="str">
        <f>IF(ISNUMBER('Model_ of_individuals'!AE490), 'Model_ of_individuals'!AE490*'Model_ of_individuals'!$K490,"")</f>
        <v/>
      </c>
      <c r="AF472" s="496" t="str">
        <f>IF(ISNUMBER('Model_ of_individuals'!AF490), 'Model_ of_individuals'!AF490*'Model_ of_individuals'!$K490,"")</f>
        <v/>
      </c>
      <c r="AG472" s="496" t="str">
        <f>IF(ISNUMBER('Model_ of_individuals'!AG490), 'Model_ of_individuals'!AG490*'Model_ of_individuals'!$K490,"")</f>
        <v/>
      </c>
      <c r="AH472" s="496" t="str">
        <f>IF(ISNUMBER('Model_ of_individuals'!AH490), 'Model_ of_individuals'!AH490*'Model_ of_individuals'!$K490,"")</f>
        <v/>
      </c>
      <c r="AI472" s="496" t="str">
        <f>IF(ISNUMBER('Model_ of_individuals'!AI490), 'Model_ of_individuals'!AI490*'Model_ of_individuals'!$K490,"")</f>
        <v/>
      </c>
      <c r="AJ472" s="496" t="str">
        <f>IF(ISNUMBER('Model_ of_individuals'!AJ490), 'Model_ of_individuals'!AJ490*'Model_ of_individuals'!$K490,"")</f>
        <v/>
      </c>
      <c r="AK472" s="496" t="str">
        <f>IF(ISNUMBER('Model_ of_individuals'!AK490), 'Model_ of_individuals'!AK490*'Model_ of_individuals'!$K490,"")</f>
        <v/>
      </c>
      <c r="AL472" s="496" t="str">
        <f>IF(ISNUMBER('Model_ of_individuals'!AL490), 'Model_ of_individuals'!AL490*'Model_ of_individuals'!$K490,"")</f>
        <v/>
      </c>
      <c r="AM472" s="496" t="str">
        <f>IF(ISNUMBER('Model_ of_individuals'!AM490), 'Model_ of_individuals'!AM490*'Model_ of_individuals'!$K490,"")</f>
        <v/>
      </c>
      <c r="AN472" s="496" t="str">
        <f>IF(ISNUMBER('Model_ of_individuals'!AN490), 'Model_ of_individuals'!AN490*'Model_ of_individuals'!$K490,"")</f>
        <v/>
      </c>
      <c r="AO472" s="496" t="str">
        <f>IF(ISNUMBER('Model_ of_individuals'!AO490), 'Model_ of_individuals'!AO490*'Model_ of_individuals'!$K490,"")</f>
        <v/>
      </c>
      <c r="AP472" s="496" t="str">
        <f>IF(ISNUMBER('Model_ of_individuals'!AP490), 'Model_ of_individuals'!AP490*'Model_ of_individuals'!$K490,"")</f>
        <v/>
      </c>
      <c r="AQ472" s="496" t="str">
        <f>IF(ISNUMBER('Model_ of_individuals'!AQ490), 'Model_ of_individuals'!AQ490*'Model_ of_individuals'!$K490,"")</f>
        <v/>
      </c>
      <c r="AR472" s="496" t="str">
        <f>IF(ISNUMBER('Model_ of_individuals'!AR490), 'Model_ of_individuals'!AR490*'Model_ of_individuals'!$K490,"")</f>
        <v/>
      </c>
      <c r="AS472" s="496" t="str">
        <f>IF(ISNUMBER('Model_ of_individuals'!AS490), 'Model_ of_individuals'!AS490*'Model_ of_individuals'!$K490,"")</f>
        <v/>
      </c>
      <c r="AT472" s="496" t="str">
        <f>IF(ISNUMBER('Model_ of_individuals'!AT490), 'Model_ of_individuals'!AT490*'Model_ of_individuals'!$K490,"")</f>
        <v/>
      </c>
      <c r="AU472" s="496" t="str">
        <f>IF(ISNUMBER('Model_ of_individuals'!AU490), 'Model_ of_individuals'!AU490*'Model_ of_individuals'!$K490,"")</f>
        <v/>
      </c>
      <c r="AV472" s="496" t="str">
        <f>IF(ISNUMBER('Model_ of_individuals'!AV490), 'Model_ of_individuals'!AV490*'Model_ of_individuals'!$K490,"")</f>
        <v/>
      </c>
      <c r="AW472" s="496" t="str">
        <f>IF(ISNUMBER('Model_ of_individuals'!AW490), 'Model_ of_individuals'!AW490*'Model_ of_individuals'!$K490,"")</f>
        <v/>
      </c>
      <c r="AX472" s="496" t="str">
        <f>IF(ISNUMBER('Model_ of_individuals'!AX490), 'Model_ of_individuals'!AX490*'Model_ of_individuals'!$K490,"")</f>
        <v/>
      </c>
    </row>
    <row r="473" spans="1:50" x14ac:dyDescent="0.25">
      <c r="A473" s="518"/>
      <c r="B473" s="504"/>
      <c r="C473" s="104" t="str">
        <f>IF(AND(ISNUMBER(B471), OR('Cost Inputs'!$H$107&lt;&gt;"", 'Cost Inputs'!$I$107&lt;&gt;"", 'Cost Inputs'!$J$107&lt;&gt;"")), _4_3_1, "")</f>
        <v/>
      </c>
      <c r="D473" s="17" t="str">
        <f>IF(AND(C473&lt;&gt;"", 'Cost Inputs'!$G$107&lt;&gt;""), 'Cost Inputs'!$G$107, "")</f>
        <v/>
      </c>
      <c r="E473" s="17" t="str">
        <f>IF(AND(C473&lt;&gt;"", 'Cost Inputs'!$H$107&lt;&gt;""), 'Cost Inputs'!$H$107, "")</f>
        <v/>
      </c>
      <c r="F473" s="17" t="str">
        <f>IF(AND(C473&lt;&gt;"", 'Cost Inputs'!$I$107&lt;&gt;""), 'Cost Inputs'!$I$107, "")</f>
        <v/>
      </c>
      <c r="G473" s="105" t="str">
        <f t="shared" si="39"/>
        <v/>
      </c>
      <c r="H473" s="17" t="str">
        <f>IF(AND(C473&lt;&gt;"", 'Cost Inputs'!$J$107&lt;&gt;""), 'Cost Inputs'!$J$107, "")</f>
        <v/>
      </c>
      <c r="I473" s="17" t="str">
        <f t="shared" ref="I473:I481" si="40">IF($C473&lt;&gt;"", IF(AND($E473&lt;&gt;"", H473&lt;&gt;""), H473/$E473, 0),"")</f>
        <v/>
      </c>
      <c r="J473" s="17" t="str">
        <f>IF(AND(C473&lt;&gt;"",('Cost Inputs'!$I$107+'Cost Inputs'!$J$107+'Cost Inputs'!$K$107)&gt;0), 'Cost Inputs'!$I$107+'Cost Inputs'!$J$107+'Cost Inputs'!$K$107, "")</f>
        <v/>
      </c>
      <c r="K473" s="17" t="str">
        <f t="shared" ref="K473:K481" si="41">IF($C473&lt;&gt;"", IF(AND($E473&lt;&gt;"", J473&lt;&gt;""), J473/$E473, 0),"")</f>
        <v/>
      </c>
      <c r="L473" s="525"/>
      <c r="M473" s="525"/>
      <c r="W473" s="17" t="str">
        <f>IF(ISNUMBER('Model_ of_individuals'!W491), 'Model_ of_individuals'!W491*'Model_ of_individuals'!$K491,"")</f>
        <v/>
      </c>
      <c r="X473" s="17" t="str">
        <f>IF(ISNUMBER('Model_ of_individuals'!X491), 'Model_ of_individuals'!X491*'Model_ of_individuals'!$K491,"")</f>
        <v/>
      </c>
      <c r="Y473" s="17" t="str">
        <f>IF(ISNUMBER('Model_ of_individuals'!Y491), 'Model_ of_individuals'!Y491*'Model_ of_individuals'!$K491,"")</f>
        <v/>
      </c>
      <c r="Z473" s="17" t="str">
        <f>IF(ISNUMBER('Model_ of_individuals'!Z491), 'Model_ of_individuals'!Z491*'Model_ of_individuals'!$K491,"")</f>
        <v/>
      </c>
      <c r="AA473" s="17" t="str">
        <f>IF(ISNUMBER('Model_ of_individuals'!AA491), 'Model_ of_individuals'!AA491*'Model_ of_individuals'!$K491,"")</f>
        <v/>
      </c>
      <c r="AB473" s="17" t="str">
        <f>IF(ISNUMBER('Model_ of_individuals'!AB491), 'Model_ of_individuals'!AB491*'Model_ of_individuals'!$K491,"")</f>
        <v/>
      </c>
      <c r="AC473" s="17" t="str">
        <f>IF(ISNUMBER('Model_ of_individuals'!AC491), 'Model_ of_individuals'!AC491*'Model_ of_individuals'!$K491,"")</f>
        <v/>
      </c>
      <c r="AD473" s="17" t="str">
        <f>IF(ISNUMBER('Model_ of_individuals'!AD491), 'Model_ of_individuals'!AD491*'Model_ of_individuals'!$K491,"")</f>
        <v/>
      </c>
      <c r="AE473" s="17" t="str">
        <f>IF(ISNUMBER('Model_ of_individuals'!AE491), 'Model_ of_individuals'!AE491*'Model_ of_individuals'!$K491,"")</f>
        <v/>
      </c>
      <c r="AF473" s="17" t="str">
        <f>IF(ISNUMBER('Model_ of_individuals'!AF491), 'Model_ of_individuals'!AF491*'Model_ of_individuals'!$K491,"")</f>
        <v/>
      </c>
      <c r="AG473" s="17" t="str">
        <f>IF(ISNUMBER('Model_ of_individuals'!AG491), 'Model_ of_individuals'!AG491*'Model_ of_individuals'!$K491,"")</f>
        <v/>
      </c>
      <c r="AH473" s="17" t="str">
        <f>IF(ISNUMBER('Model_ of_individuals'!AH491), 'Model_ of_individuals'!AH491*'Model_ of_individuals'!$K491,"")</f>
        <v/>
      </c>
      <c r="AI473" s="17" t="str">
        <f>IF(ISNUMBER('Model_ of_individuals'!AI491), 'Model_ of_individuals'!AI491*'Model_ of_individuals'!$K491,"")</f>
        <v/>
      </c>
      <c r="AJ473" s="17" t="str">
        <f>IF(ISNUMBER('Model_ of_individuals'!AJ491), 'Model_ of_individuals'!AJ491*'Model_ of_individuals'!$K491,"")</f>
        <v/>
      </c>
      <c r="AK473" s="17" t="str">
        <f>IF(ISNUMBER('Model_ of_individuals'!AK491), 'Model_ of_individuals'!AK491*'Model_ of_individuals'!$K491,"")</f>
        <v/>
      </c>
      <c r="AL473" s="17" t="str">
        <f>IF(ISNUMBER('Model_ of_individuals'!AL491), 'Model_ of_individuals'!AL491*'Model_ of_individuals'!$K491,"")</f>
        <v/>
      </c>
      <c r="AM473" s="17" t="str">
        <f>IF(ISNUMBER('Model_ of_individuals'!AM491), 'Model_ of_individuals'!AM491*'Model_ of_individuals'!$K491,"")</f>
        <v/>
      </c>
      <c r="AN473" s="17" t="str">
        <f>IF(ISNUMBER('Model_ of_individuals'!AN491), 'Model_ of_individuals'!AN491*'Model_ of_individuals'!$K491,"")</f>
        <v/>
      </c>
      <c r="AO473" s="17" t="str">
        <f>IF(ISNUMBER('Model_ of_individuals'!AO491), 'Model_ of_individuals'!AO491*'Model_ of_individuals'!$K491,"")</f>
        <v/>
      </c>
      <c r="AP473" s="17" t="str">
        <f>IF(ISNUMBER('Model_ of_individuals'!AP491), 'Model_ of_individuals'!AP491*'Model_ of_individuals'!$K491,"")</f>
        <v/>
      </c>
      <c r="AQ473" s="17" t="str">
        <f>IF(ISNUMBER('Model_ of_individuals'!AQ491), 'Model_ of_individuals'!AQ491*'Model_ of_individuals'!$K491,"")</f>
        <v/>
      </c>
      <c r="AR473" s="17" t="str">
        <f>IF(ISNUMBER('Model_ of_individuals'!AR491), 'Model_ of_individuals'!AR491*'Model_ of_individuals'!$K491,"")</f>
        <v/>
      </c>
      <c r="AS473" s="17" t="str">
        <f>IF(ISNUMBER('Model_ of_individuals'!AS491), 'Model_ of_individuals'!AS491*'Model_ of_individuals'!$K491,"")</f>
        <v/>
      </c>
      <c r="AT473" s="17" t="str">
        <f>IF(ISNUMBER('Model_ of_individuals'!AT491), 'Model_ of_individuals'!AT491*'Model_ of_individuals'!$K491,"")</f>
        <v/>
      </c>
      <c r="AU473" s="17" t="str">
        <f>IF(ISNUMBER('Model_ of_individuals'!AU491), 'Model_ of_individuals'!AU491*'Model_ of_individuals'!$K491,"")</f>
        <v/>
      </c>
      <c r="AV473" s="17" t="str">
        <f>IF(ISNUMBER('Model_ of_individuals'!AV491), 'Model_ of_individuals'!AV491*'Model_ of_individuals'!$K491,"")</f>
        <v/>
      </c>
      <c r="AW473" s="17" t="str">
        <f>IF(ISNUMBER('Model_ of_individuals'!AW491), 'Model_ of_individuals'!AW491*'Model_ of_individuals'!$K491,"")</f>
        <v/>
      </c>
      <c r="AX473" s="17" t="str">
        <f>IF(ISNUMBER('Model_ of_individuals'!AX491), 'Model_ of_individuals'!AX491*'Model_ of_individuals'!$K491,"")</f>
        <v/>
      </c>
    </row>
    <row r="474" spans="1:50" x14ac:dyDescent="0.25">
      <c r="A474" s="518"/>
      <c r="B474" s="504"/>
      <c r="C474" s="107" t="str">
        <f>IF(AND(ISNUMBER(B471), OR('Cost Inputs'!$H$108&lt;&gt;"", 'Cost Inputs'!$I$108&lt;&gt;"", 'Cost Inputs'!$J$108&lt;&gt;"")), _4_3_2, "")</f>
        <v/>
      </c>
      <c r="D474" s="93" t="str">
        <f>IF(AND(C474&lt;&gt;"", 'Cost Inputs'!$G$108&lt;&gt;""), 'Cost Inputs'!$G$108, "")</f>
        <v/>
      </c>
      <c r="E474" s="93" t="str">
        <f>IF(AND(C474&lt;&gt;"", 'Cost Inputs'!$H$108&lt;&gt;""), 'Cost Inputs'!$H$108, "")</f>
        <v/>
      </c>
      <c r="F474" s="93" t="str">
        <f>IF(AND(C474&lt;&gt;"", 'Cost Inputs'!$I$108&lt;&gt;""), 'Cost Inputs'!$I$108, "")</f>
        <v/>
      </c>
      <c r="G474" s="108" t="str">
        <f t="shared" si="39"/>
        <v/>
      </c>
      <c r="H474" s="93" t="str">
        <f>IF(AND(C474&lt;&gt;"", 'Cost Inputs'!$J$108&lt;&gt;""), 'Cost Inputs'!$J$108, "")</f>
        <v/>
      </c>
      <c r="I474" s="93" t="str">
        <f t="shared" si="40"/>
        <v/>
      </c>
      <c r="J474" s="93" t="str">
        <f>IF(AND(C474&lt;&gt;"",('Cost Inputs'!$I$108+'Cost Inputs'!$J$108+'Cost Inputs'!$K$108)&gt;0), 'Cost Inputs'!$I$108+'Cost Inputs'!$J$108+'Cost Inputs'!$K$108, "")</f>
        <v/>
      </c>
      <c r="K474" s="93" t="str">
        <f t="shared" si="41"/>
        <v/>
      </c>
      <c r="L474" s="525"/>
      <c r="M474" s="525"/>
      <c r="W474" s="93" t="str">
        <f>IF(ISNUMBER('Model_ of_individuals'!W492), 'Model_ of_individuals'!W492*'Model_ of_individuals'!$K492,"")</f>
        <v/>
      </c>
      <c r="X474" s="93" t="str">
        <f>IF(ISNUMBER('Model_ of_individuals'!X492), 'Model_ of_individuals'!X492*'Model_ of_individuals'!$K492,"")</f>
        <v/>
      </c>
      <c r="Y474" s="93" t="str">
        <f>IF(ISNUMBER('Model_ of_individuals'!Y492), 'Model_ of_individuals'!Y492*'Model_ of_individuals'!$K492,"")</f>
        <v/>
      </c>
      <c r="Z474" s="93" t="str">
        <f>IF(ISNUMBER('Model_ of_individuals'!Z492), 'Model_ of_individuals'!Z492*'Model_ of_individuals'!$K492,"")</f>
        <v/>
      </c>
      <c r="AA474" s="93" t="str">
        <f>IF(ISNUMBER('Model_ of_individuals'!AA492), 'Model_ of_individuals'!AA492*'Model_ of_individuals'!$K492,"")</f>
        <v/>
      </c>
      <c r="AB474" s="93" t="str">
        <f>IF(ISNUMBER('Model_ of_individuals'!AB492), 'Model_ of_individuals'!AB492*'Model_ of_individuals'!$K492,"")</f>
        <v/>
      </c>
      <c r="AC474" s="93" t="str">
        <f>IF(ISNUMBER('Model_ of_individuals'!AC492), 'Model_ of_individuals'!AC492*'Model_ of_individuals'!$K492,"")</f>
        <v/>
      </c>
      <c r="AD474" s="93" t="str">
        <f>IF(ISNUMBER('Model_ of_individuals'!AD492), 'Model_ of_individuals'!AD492*'Model_ of_individuals'!$K492,"")</f>
        <v/>
      </c>
      <c r="AE474" s="93" t="str">
        <f>IF(ISNUMBER('Model_ of_individuals'!AE492), 'Model_ of_individuals'!AE492*'Model_ of_individuals'!$K492,"")</f>
        <v/>
      </c>
      <c r="AF474" s="93" t="str">
        <f>IF(ISNUMBER('Model_ of_individuals'!AF492), 'Model_ of_individuals'!AF492*'Model_ of_individuals'!$K492,"")</f>
        <v/>
      </c>
      <c r="AG474" s="93" t="str">
        <f>IF(ISNUMBER('Model_ of_individuals'!AG492), 'Model_ of_individuals'!AG492*'Model_ of_individuals'!$K492,"")</f>
        <v/>
      </c>
      <c r="AH474" s="93" t="str">
        <f>IF(ISNUMBER('Model_ of_individuals'!AH492), 'Model_ of_individuals'!AH492*'Model_ of_individuals'!$K492,"")</f>
        <v/>
      </c>
      <c r="AI474" s="93" t="str">
        <f>IF(ISNUMBER('Model_ of_individuals'!AI492), 'Model_ of_individuals'!AI492*'Model_ of_individuals'!$K492,"")</f>
        <v/>
      </c>
      <c r="AJ474" s="93" t="str">
        <f>IF(ISNUMBER('Model_ of_individuals'!AJ492), 'Model_ of_individuals'!AJ492*'Model_ of_individuals'!$K492,"")</f>
        <v/>
      </c>
      <c r="AK474" s="93" t="str">
        <f>IF(ISNUMBER('Model_ of_individuals'!AK492), 'Model_ of_individuals'!AK492*'Model_ of_individuals'!$K492,"")</f>
        <v/>
      </c>
      <c r="AL474" s="93" t="str">
        <f>IF(ISNUMBER('Model_ of_individuals'!AL492), 'Model_ of_individuals'!AL492*'Model_ of_individuals'!$K492,"")</f>
        <v/>
      </c>
      <c r="AM474" s="93" t="str">
        <f>IF(ISNUMBER('Model_ of_individuals'!AM492), 'Model_ of_individuals'!AM492*'Model_ of_individuals'!$K492,"")</f>
        <v/>
      </c>
      <c r="AN474" s="93" t="str">
        <f>IF(ISNUMBER('Model_ of_individuals'!AN492), 'Model_ of_individuals'!AN492*'Model_ of_individuals'!$K492,"")</f>
        <v/>
      </c>
      <c r="AO474" s="93" t="str">
        <f>IF(ISNUMBER('Model_ of_individuals'!AO492), 'Model_ of_individuals'!AO492*'Model_ of_individuals'!$K492,"")</f>
        <v/>
      </c>
      <c r="AP474" s="93" t="str">
        <f>IF(ISNUMBER('Model_ of_individuals'!AP492), 'Model_ of_individuals'!AP492*'Model_ of_individuals'!$K492,"")</f>
        <v/>
      </c>
      <c r="AQ474" s="93" t="str">
        <f>IF(ISNUMBER('Model_ of_individuals'!AQ492), 'Model_ of_individuals'!AQ492*'Model_ of_individuals'!$K492,"")</f>
        <v/>
      </c>
      <c r="AR474" s="93" t="str">
        <f>IF(ISNUMBER('Model_ of_individuals'!AR492), 'Model_ of_individuals'!AR492*'Model_ of_individuals'!$K492,"")</f>
        <v/>
      </c>
      <c r="AS474" s="93" t="str">
        <f>IF(ISNUMBER('Model_ of_individuals'!AS492), 'Model_ of_individuals'!AS492*'Model_ of_individuals'!$K492,"")</f>
        <v/>
      </c>
      <c r="AT474" s="93" t="str">
        <f>IF(ISNUMBER('Model_ of_individuals'!AT492), 'Model_ of_individuals'!AT492*'Model_ of_individuals'!$K492,"")</f>
        <v/>
      </c>
      <c r="AU474" s="93" t="str">
        <f>IF(ISNUMBER('Model_ of_individuals'!AU492), 'Model_ of_individuals'!AU492*'Model_ of_individuals'!$K492,"")</f>
        <v/>
      </c>
      <c r="AV474" s="93" t="str">
        <f>IF(ISNUMBER('Model_ of_individuals'!AV492), 'Model_ of_individuals'!AV492*'Model_ of_individuals'!$K492,"")</f>
        <v/>
      </c>
      <c r="AW474" s="93" t="str">
        <f>IF(ISNUMBER('Model_ of_individuals'!AW492), 'Model_ of_individuals'!AW492*'Model_ of_individuals'!$K492,"")</f>
        <v/>
      </c>
      <c r="AX474" s="93" t="str">
        <f>IF(ISNUMBER('Model_ of_individuals'!AX492), 'Model_ of_individuals'!AX492*'Model_ of_individuals'!$K492,"")</f>
        <v/>
      </c>
    </row>
    <row r="475" spans="1:50" x14ac:dyDescent="0.25">
      <c r="A475" s="518"/>
      <c r="B475" s="504"/>
      <c r="C475" s="110" t="str">
        <f>IF(ISNUMBER(B471), _4_4_0, "")</f>
        <v/>
      </c>
      <c r="D475" s="94" t="str">
        <f>IF(AND(C475&lt;&gt;"", 'Cost Inputs'!$G$109&lt;&gt;""), 'Cost Inputs'!$G$109, "")</f>
        <v/>
      </c>
      <c r="E475" s="94" t="str">
        <f>IF(AND(C475&lt;&gt;"", 'Cost Inputs'!$H$109&lt;&gt;""), 'Cost Inputs'!$H$109, "")</f>
        <v/>
      </c>
      <c r="F475" s="94" t="str">
        <f>IF(AND(C475&lt;&gt;"", 'Cost Inputs'!$I$109&lt;&gt;""), 'Cost Inputs'!$I$109, "")</f>
        <v/>
      </c>
      <c r="G475" s="102" t="str">
        <f t="shared" si="39"/>
        <v/>
      </c>
      <c r="H475" s="102" t="str">
        <f>IF(AND(C475&lt;&gt;"", 'Cost Inputs'!$J$109&lt;&gt;""), 'Cost Inputs'!$J$109, "")</f>
        <v/>
      </c>
      <c r="I475" s="102" t="str">
        <f t="shared" si="40"/>
        <v/>
      </c>
      <c r="J475" s="102" t="str">
        <f>IF(AND(C475&lt;&gt;"",('Cost Inputs'!$I$109+'Cost Inputs'!$J$109+'Cost Inputs'!$K$109)&gt;0), 'Cost Inputs'!$I$109+'Cost Inputs'!$J$109+'Cost Inputs'!$K$109, "")</f>
        <v/>
      </c>
      <c r="K475" s="102" t="str">
        <f t="shared" si="41"/>
        <v/>
      </c>
      <c r="L475" s="525"/>
      <c r="M475" s="525"/>
      <c r="W475" s="102" t="str">
        <f>IF(ISNUMBER('Model_ of_individuals'!W493), 'Model_ of_individuals'!W493*'Model_ of_individuals'!$K493,"")</f>
        <v/>
      </c>
      <c r="X475" s="102" t="str">
        <f>IF(ISNUMBER('Model_ of_individuals'!X493), 'Model_ of_individuals'!X493*'Model_ of_individuals'!$K493,"")</f>
        <v/>
      </c>
      <c r="Y475" s="102" t="str">
        <f>IF(ISNUMBER('Model_ of_individuals'!Y493), 'Model_ of_individuals'!Y493*'Model_ of_individuals'!$K493,"")</f>
        <v/>
      </c>
      <c r="Z475" s="102" t="str">
        <f>IF(ISNUMBER('Model_ of_individuals'!Z493), 'Model_ of_individuals'!Z493*'Model_ of_individuals'!$K493,"")</f>
        <v/>
      </c>
      <c r="AA475" s="102" t="str">
        <f>IF(ISNUMBER('Model_ of_individuals'!AA493), 'Model_ of_individuals'!AA493*'Model_ of_individuals'!$K493,"")</f>
        <v/>
      </c>
      <c r="AB475" s="102" t="str">
        <f>IF(ISNUMBER('Model_ of_individuals'!AB493), 'Model_ of_individuals'!AB493*'Model_ of_individuals'!$K493,"")</f>
        <v/>
      </c>
      <c r="AC475" s="102" t="str">
        <f>IF(ISNUMBER('Model_ of_individuals'!AC493), 'Model_ of_individuals'!AC493*'Model_ of_individuals'!$K493,"")</f>
        <v/>
      </c>
      <c r="AD475" s="102" t="str">
        <f>IF(ISNUMBER('Model_ of_individuals'!AD493), 'Model_ of_individuals'!AD493*'Model_ of_individuals'!$K493,"")</f>
        <v/>
      </c>
      <c r="AE475" s="102" t="str">
        <f>IF(ISNUMBER('Model_ of_individuals'!AE493), 'Model_ of_individuals'!AE493*'Model_ of_individuals'!$K493,"")</f>
        <v/>
      </c>
      <c r="AF475" s="102" t="str">
        <f>IF(ISNUMBER('Model_ of_individuals'!AF493), 'Model_ of_individuals'!AF493*'Model_ of_individuals'!$K493,"")</f>
        <v/>
      </c>
      <c r="AG475" s="102" t="str">
        <f>IF(ISNUMBER('Model_ of_individuals'!AG493), 'Model_ of_individuals'!AG493*'Model_ of_individuals'!$K493,"")</f>
        <v/>
      </c>
      <c r="AH475" s="102" t="str">
        <f>IF(ISNUMBER('Model_ of_individuals'!AH493), 'Model_ of_individuals'!AH493*'Model_ of_individuals'!$K493,"")</f>
        <v/>
      </c>
      <c r="AI475" s="102" t="str">
        <f>IF(ISNUMBER('Model_ of_individuals'!AI493), 'Model_ of_individuals'!AI493*'Model_ of_individuals'!$K493,"")</f>
        <v/>
      </c>
      <c r="AJ475" s="102" t="str">
        <f>IF(ISNUMBER('Model_ of_individuals'!AJ493), 'Model_ of_individuals'!AJ493*'Model_ of_individuals'!$K493,"")</f>
        <v/>
      </c>
      <c r="AK475" s="102" t="str">
        <f>IF(ISNUMBER('Model_ of_individuals'!AK493), 'Model_ of_individuals'!AK493*'Model_ of_individuals'!$K493,"")</f>
        <v/>
      </c>
      <c r="AL475" s="102" t="str">
        <f>IF(ISNUMBER('Model_ of_individuals'!AL493), 'Model_ of_individuals'!AL493*'Model_ of_individuals'!$K493,"")</f>
        <v/>
      </c>
      <c r="AM475" s="102" t="str">
        <f>IF(ISNUMBER('Model_ of_individuals'!AM493), 'Model_ of_individuals'!AM493*'Model_ of_individuals'!$K493,"")</f>
        <v/>
      </c>
      <c r="AN475" s="102" t="str">
        <f>IF(ISNUMBER('Model_ of_individuals'!AN493), 'Model_ of_individuals'!AN493*'Model_ of_individuals'!$K493,"")</f>
        <v/>
      </c>
      <c r="AO475" s="102" t="str">
        <f>IF(ISNUMBER('Model_ of_individuals'!AO493), 'Model_ of_individuals'!AO493*'Model_ of_individuals'!$K493,"")</f>
        <v/>
      </c>
      <c r="AP475" s="102" t="str">
        <f>IF(ISNUMBER('Model_ of_individuals'!AP493), 'Model_ of_individuals'!AP493*'Model_ of_individuals'!$K493,"")</f>
        <v/>
      </c>
      <c r="AQ475" s="102" t="str">
        <f>IF(ISNUMBER('Model_ of_individuals'!AQ493), 'Model_ of_individuals'!AQ493*'Model_ of_individuals'!$K493,"")</f>
        <v/>
      </c>
      <c r="AR475" s="102" t="str">
        <f>IF(ISNUMBER('Model_ of_individuals'!AR493), 'Model_ of_individuals'!AR493*'Model_ of_individuals'!$K493,"")</f>
        <v/>
      </c>
      <c r="AS475" s="102" t="str">
        <f>IF(ISNUMBER('Model_ of_individuals'!AS493), 'Model_ of_individuals'!AS493*'Model_ of_individuals'!$K493,"")</f>
        <v/>
      </c>
      <c r="AT475" s="102" t="str">
        <f>IF(ISNUMBER('Model_ of_individuals'!AT493), 'Model_ of_individuals'!AT493*'Model_ of_individuals'!$K493,"")</f>
        <v/>
      </c>
      <c r="AU475" s="102" t="str">
        <f>IF(ISNUMBER('Model_ of_individuals'!AU493), 'Model_ of_individuals'!AU493*'Model_ of_individuals'!$K493,"")</f>
        <v/>
      </c>
      <c r="AV475" s="102" t="str">
        <f>IF(ISNUMBER('Model_ of_individuals'!AV493), 'Model_ of_individuals'!AV493*'Model_ of_individuals'!$K493,"")</f>
        <v/>
      </c>
      <c r="AW475" s="102" t="str">
        <f>IF(ISNUMBER('Model_ of_individuals'!AW493), 'Model_ of_individuals'!AW493*'Model_ of_individuals'!$K493,"")</f>
        <v/>
      </c>
      <c r="AX475" s="102" t="str">
        <f>IF(ISNUMBER('Model_ of_individuals'!AX493), 'Model_ of_individuals'!AX493*'Model_ of_individuals'!$K493,"")</f>
        <v/>
      </c>
    </row>
    <row r="476" spans="1:50" x14ac:dyDescent="0.25">
      <c r="A476" s="518"/>
      <c r="B476" s="504"/>
      <c r="C476" s="104" t="str">
        <f>IF(AND(ISNUMBER(B471), OR('Cost Inputs'!$H$110&lt;&gt;"", 'Cost Inputs'!$I$110&lt;&gt;"", 'Cost Inputs'!$J$110&lt;&gt;"")), _4_4_1, "")</f>
        <v/>
      </c>
      <c r="D476" s="17" t="str">
        <f>IF(AND(C476&lt;&gt;"", 'Cost Inputs'!$G$110&lt;&gt;""), 'Cost Inputs'!$G$110, "")</f>
        <v/>
      </c>
      <c r="E476" s="17" t="str">
        <f>IF(AND(C476&lt;&gt;"", 'Cost Inputs'!$H$110&lt;&gt;""), 'Cost Inputs'!$H$110, "")</f>
        <v/>
      </c>
      <c r="F476" s="17" t="str">
        <f>IF(AND(C476&lt;&gt;"", 'Cost Inputs'!$I$110&lt;&gt;""), 'Cost Inputs'!$I$110, "")</f>
        <v/>
      </c>
      <c r="G476" s="105" t="str">
        <f t="shared" si="39"/>
        <v/>
      </c>
      <c r="H476" s="17" t="str">
        <f>IF(AND(C476&lt;&gt;"", 'Cost Inputs'!$J$110&lt;&gt;""), 'Cost Inputs'!$J$110, "")</f>
        <v/>
      </c>
      <c r="I476" s="17" t="str">
        <f t="shared" si="40"/>
        <v/>
      </c>
      <c r="J476" s="17" t="str">
        <f>IF(AND(C476&lt;&gt;"",('Cost Inputs'!$I$110+'Cost Inputs'!$J$110+'Cost Inputs'!$K$110)&gt;0), 'Cost Inputs'!$I$110+'Cost Inputs'!$J$110+'Cost Inputs'!$K$110, "")</f>
        <v/>
      </c>
      <c r="K476" s="17" t="str">
        <f t="shared" si="41"/>
        <v/>
      </c>
      <c r="L476" s="525"/>
      <c r="M476" s="525"/>
      <c r="W476" s="17" t="str">
        <f>IF(ISNUMBER('Model_ of_individuals'!W494), 'Model_ of_individuals'!W494*'Model_ of_individuals'!$K494,"")</f>
        <v/>
      </c>
      <c r="X476" s="17" t="str">
        <f>IF(ISNUMBER('Model_ of_individuals'!X494), 'Model_ of_individuals'!X494*'Model_ of_individuals'!$K494,"")</f>
        <v/>
      </c>
      <c r="Y476" s="17" t="str">
        <f>IF(ISNUMBER('Model_ of_individuals'!Y494), 'Model_ of_individuals'!Y494*'Model_ of_individuals'!$K494,"")</f>
        <v/>
      </c>
      <c r="Z476" s="17" t="str">
        <f>IF(ISNUMBER('Model_ of_individuals'!Z494), 'Model_ of_individuals'!Z494*'Model_ of_individuals'!$K494,"")</f>
        <v/>
      </c>
      <c r="AA476" s="17" t="str">
        <f>IF(ISNUMBER('Model_ of_individuals'!AA494), 'Model_ of_individuals'!AA494*'Model_ of_individuals'!$K494,"")</f>
        <v/>
      </c>
      <c r="AB476" s="17" t="str">
        <f>IF(ISNUMBER('Model_ of_individuals'!AB494), 'Model_ of_individuals'!AB494*'Model_ of_individuals'!$K494,"")</f>
        <v/>
      </c>
      <c r="AC476" s="17" t="str">
        <f>IF(ISNUMBER('Model_ of_individuals'!AC494), 'Model_ of_individuals'!AC494*'Model_ of_individuals'!$K494,"")</f>
        <v/>
      </c>
      <c r="AD476" s="17" t="str">
        <f>IF(ISNUMBER('Model_ of_individuals'!AD494), 'Model_ of_individuals'!AD494*'Model_ of_individuals'!$K494,"")</f>
        <v/>
      </c>
      <c r="AE476" s="17" t="str">
        <f>IF(ISNUMBER('Model_ of_individuals'!AE494), 'Model_ of_individuals'!AE494*'Model_ of_individuals'!$K494,"")</f>
        <v/>
      </c>
      <c r="AF476" s="17" t="str">
        <f>IF(ISNUMBER('Model_ of_individuals'!AF494), 'Model_ of_individuals'!AF494*'Model_ of_individuals'!$K494,"")</f>
        <v/>
      </c>
      <c r="AG476" s="17" t="str">
        <f>IF(ISNUMBER('Model_ of_individuals'!AG494), 'Model_ of_individuals'!AG494*'Model_ of_individuals'!$K494,"")</f>
        <v/>
      </c>
      <c r="AH476" s="17" t="str">
        <f>IF(ISNUMBER('Model_ of_individuals'!AH494), 'Model_ of_individuals'!AH494*'Model_ of_individuals'!$K494,"")</f>
        <v/>
      </c>
      <c r="AI476" s="17" t="str">
        <f>IF(ISNUMBER('Model_ of_individuals'!AI494), 'Model_ of_individuals'!AI494*'Model_ of_individuals'!$K494,"")</f>
        <v/>
      </c>
      <c r="AJ476" s="17" t="str">
        <f>IF(ISNUMBER('Model_ of_individuals'!AJ494), 'Model_ of_individuals'!AJ494*'Model_ of_individuals'!$K494,"")</f>
        <v/>
      </c>
      <c r="AK476" s="17" t="str">
        <f>IF(ISNUMBER('Model_ of_individuals'!AK494), 'Model_ of_individuals'!AK494*'Model_ of_individuals'!$K494,"")</f>
        <v/>
      </c>
      <c r="AL476" s="17" t="str">
        <f>IF(ISNUMBER('Model_ of_individuals'!AL494), 'Model_ of_individuals'!AL494*'Model_ of_individuals'!$K494,"")</f>
        <v/>
      </c>
      <c r="AM476" s="17" t="str">
        <f>IF(ISNUMBER('Model_ of_individuals'!AM494), 'Model_ of_individuals'!AM494*'Model_ of_individuals'!$K494,"")</f>
        <v/>
      </c>
      <c r="AN476" s="17" t="str">
        <f>IF(ISNUMBER('Model_ of_individuals'!AN494), 'Model_ of_individuals'!AN494*'Model_ of_individuals'!$K494,"")</f>
        <v/>
      </c>
      <c r="AO476" s="17" t="str">
        <f>IF(ISNUMBER('Model_ of_individuals'!AO494), 'Model_ of_individuals'!AO494*'Model_ of_individuals'!$K494,"")</f>
        <v/>
      </c>
      <c r="AP476" s="17" t="str">
        <f>IF(ISNUMBER('Model_ of_individuals'!AP494), 'Model_ of_individuals'!AP494*'Model_ of_individuals'!$K494,"")</f>
        <v/>
      </c>
      <c r="AQ476" s="17" t="str">
        <f>IF(ISNUMBER('Model_ of_individuals'!AQ494), 'Model_ of_individuals'!AQ494*'Model_ of_individuals'!$K494,"")</f>
        <v/>
      </c>
      <c r="AR476" s="17" t="str">
        <f>IF(ISNUMBER('Model_ of_individuals'!AR494), 'Model_ of_individuals'!AR494*'Model_ of_individuals'!$K494,"")</f>
        <v/>
      </c>
      <c r="AS476" s="17" t="str">
        <f>IF(ISNUMBER('Model_ of_individuals'!AS494), 'Model_ of_individuals'!AS494*'Model_ of_individuals'!$K494,"")</f>
        <v/>
      </c>
      <c r="AT476" s="17" t="str">
        <f>IF(ISNUMBER('Model_ of_individuals'!AT494), 'Model_ of_individuals'!AT494*'Model_ of_individuals'!$K494,"")</f>
        <v/>
      </c>
      <c r="AU476" s="17" t="str">
        <f>IF(ISNUMBER('Model_ of_individuals'!AU494), 'Model_ of_individuals'!AU494*'Model_ of_individuals'!$K494,"")</f>
        <v/>
      </c>
      <c r="AV476" s="17" t="str">
        <f>IF(ISNUMBER('Model_ of_individuals'!AV494), 'Model_ of_individuals'!AV494*'Model_ of_individuals'!$K494,"")</f>
        <v/>
      </c>
      <c r="AW476" s="17" t="str">
        <f>IF(ISNUMBER('Model_ of_individuals'!AW494), 'Model_ of_individuals'!AW494*'Model_ of_individuals'!$K494,"")</f>
        <v/>
      </c>
      <c r="AX476" s="17" t="str">
        <f>IF(ISNUMBER('Model_ of_individuals'!AX494), 'Model_ of_individuals'!AX494*'Model_ of_individuals'!$K494,"")</f>
        <v/>
      </c>
    </row>
    <row r="477" spans="1:50" x14ac:dyDescent="0.25">
      <c r="A477" s="518"/>
      <c r="B477" s="504"/>
      <c r="C477" s="107" t="str">
        <f>IF(AND(ISNUMBER(B471), OR('Cost Inputs'!$H$111&lt;&gt;"", 'Cost Inputs'!$I$111&lt;&gt;"", 'Cost Inputs'!$J$111&lt;&gt;"")), _4_4_2, "")</f>
        <v/>
      </c>
      <c r="D477" s="93" t="str">
        <f>IF(AND(C477&lt;&gt;"", 'Cost Inputs'!$G$111&lt;&gt;""), 'Cost Inputs'!$G$111, "")</f>
        <v/>
      </c>
      <c r="E477" s="93" t="str">
        <f>IF(AND(C477&lt;&gt;"", 'Cost Inputs'!$H$111&lt;&gt;""), 'Cost Inputs'!$H$111, "")</f>
        <v/>
      </c>
      <c r="F477" s="93" t="str">
        <f>IF(AND(C477&lt;&gt;"", 'Cost Inputs'!$I$111&lt;&gt;""), 'Cost Inputs'!$I$111, "")</f>
        <v/>
      </c>
      <c r="G477" s="108" t="str">
        <f t="shared" si="39"/>
        <v/>
      </c>
      <c r="H477" s="93" t="str">
        <f>IF(AND(C477&lt;&gt;"", 'Cost Inputs'!$J$111&lt;&gt;""), 'Cost Inputs'!$J$111, "")</f>
        <v/>
      </c>
      <c r="I477" s="93" t="str">
        <f t="shared" si="40"/>
        <v/>
      </c>
      <c r="J477" s="93" t="str">
        <f>IF(AND(C477&lt;&gt;"",('Cost Inputs'!$I$111+'Cost Inputs'!$J$111+'Cost Inputs'!$K$111)&gt;0), 'Cost Inputs'!$I$111+'Cost Inputs'!$J$111+'Cost Inputs'!$K$111, "")</f>
        <v/>
      </c>
      <c r="K477" s="93" t="str">
        <f t="shared" si="41"/>
        <v/>
      </c>
      <c r="L477" s="525"/>
      <c r="M477" s="525"/>
      <c r="W477" s="93" t="str">
        <f>IF(ISNUMBER('Model_ of_individuals'!W495), 'Model_ of_individuals'!W495*'Model_ of_individuals'!$K495,"")</f>
        <v/>
      </c>
      <c r="X477" s="93" t="str">
        <f>IF(ISNUMBER('Model_ of_individuals'!X495), 'Model_ of_individuals'!X495*'Model_ of_individuals'!$K495,"")</f>
        <v/>
      </c>
      <c r="Y477" s="93" t="str">
        <f>IF(ISNUMBER('Model_ of_individuals'!Y495), 'Model_ of_individuals'!Y495*'Model_ of_individuals'!$K495,"")</f>
        <v/>
      </c>
      <c r="Z477" s="93" t="str">
        <f>IF(ISNUMBER('Model_ of_individuals'!Z495), 'Model_ of_individuals'!Z495*'Model_ of_individuals'!$K495,"")</f>
        <v/>
      </c>
      <c r="AA477" s="93" t="str">
        <f>IF(ISNUMBER('Model_ of_individuals'!AA495), 'Model_ of_individuals'!AA495*'Model_ of_individuals'!$K495,"")</f>
        <v/>
      </c>
      <c r="AB477" s="93" t="str">
        <f>IF(ISNUMBER('Model_ of_individuals'!AB495), 'Model_ of_individuals'!AB495*'Model_ of_individuals'!$K495,"")</f>
        <v/>
      </c>
      <c r="AC477" s="93" t="str">
        <f>IF(ISNUMBER('Model_ of_individuals'!AC495), 'Model_ of_individuals'!AC495*'Model_ of_individuals'!$K495,"")</f>
        <v/>
      </c>
      <c r="AD477" s="93" t="str">
        <f>IF(ISNUMBER('Model_ of_individuals'!AD495), 'Model_ of_individuals'!AD495*'Model_ of_individuals'!$K495,"")</f>
        <v/>
      </c>
      <c r="AE477" s="93" t="str">
        <f>IF(ISNUMBER('Model_ of_individuals'!AE495), 'Model_ of_individuals'!AE495*'Model_ of_individuals'!$K495,"")</f>
        <v/>
      </c>
      <c r="AF477" s="93" t="str">
        <f>IF(ISNUMBER('Model_ of_individuals'!AF495), 'Model_ of_individuals'!AF495*'Model_ of_individuals'!$K495,"")</f>
        <v/>
      </c>
      <c r="AG477" s="93" t="str">
        <f>IF(ISNUMBER('Model_ of_individuals'!AG495), 'Model_ of_individuals'!AG495*'Model_ of_individuals'!$K495,"")</f>
        <v/>
      </c>
      <c r="AH477" s="93" t="str">
        <f>IF(ISNUMBER('Model_ of_individuals'!AH495), 'Model_ of_individuals'!AH495*'Model_ of_individuals'!$K495,"")</f>
        <v/>
      </c>
      <c r="AI477" s="93" t="str">
        <f>IF(ISNUMBER('Model_ of_individuals'!AI495), 'Model_ of_individuals'!AI495*'Model_ of_individuals'!$K495,"")</f>
        <v/>
      </c>
      <c r="AJ477" s="93" t="str">
        <f>IF(ISNUMBER('Model_ of_individuals'!AJ495), 'Model_ of_individuals'!AJ495*'Model_ of_individuals'!$K495,"")</f>
        <v/>
      </c>
      <c r="AK477" s="93" t="str">
        <f>IF(ISNUMBER('Model_ of_individuals'!AK495), 'Model_ of_individuals'!AK495*'Model_ of_individuals'!$K495,"")</f>
        <v/>
      </c>
      <c r="AL477" s="93" t="str">
        <f>IF(ISNUMBER('Model_ of_individuals'!AL495), 'Model_ of_individuals'!AL495*'Model_ of_individuals'!$K495,"")</f>
        <v/>
      </c>
      <c r="AM477" s="93" t="str">
        <f>IF(ISNUMBER('Model_ of_individuals'!AM495), 'Model_ of_individuals'!AM495*'Model_ of_individuals'!$K495,"")</f>
        <v/>
      </c>
      <c r="AN477" s="93" t="str">
        <f>IF(ISNUMBER('Model_ of_individuals'!AN495), 'Model_ of_individuals'!AN495*'Model_ of_individuals'!$K495,"")</f>
        <v/>
      </c>
      <c r="AO477" s="93" t="str">
        <f>IF(ISNUMBER('Model_ of_individuals'!AO495), 'Model_ of_individuals'!AO495*'Model_ of_individuals'!$K495,"")</f>
        <v/>
      </c>
      <c r="AP477" s="93" t="str">
        <f>IF(ISNUMBER('Model_ of_individuals'!AP495), 'Model_ of_individuals'!AP495*'Model_ of_individuals'!$K495,"")</f>
        <v/>
      </c>
      <c r="AQ477" s="93" t="str">
        <f>IF(ISNUMBER('Model_ of_individuals'!AQ495), 'Model_ of_individuals'!AQ495*'Model_ of_individuals'!$K495,"")</f>
        <v/>
      </c>
      <c r="AR477" s="93" t="str">
        <f>IF(ISNUMBER('Model_ of_individuals'!AR495), 'Model_ of_individuals'!AR495*'Model_ of_individuals'!$K495,"")</f>
        <v/>
      </c>
      <c r="AS477" s="93" t="str">
        <f>IF(ISNUMBER('Model_ of_individuals'!AS495), 'Model_ of_individuals'!AS495*'Model_ of_individuals'!$K495,"")</f>
        <v/>
      </c>
      <c r="AT477" s="93" t="str">
        <f>IF(ISNUMBER('Model_ of_individuals'!AT495), 'Model_ of_individuals'!AT495*'Model_ of_individuals'!$K495,"")</f>
        <v/>
      </c>
      <c r="AU477" s="93" t="str">
        <f>IF(ISNUMBER('Model_ of_individuals'!AU495), 'Model_ of_individuals'!AU495*'Model_ of_individuals'!$K495,"")</f>
        <v/>
      </c>
      <c r="AV477" s="93" t="str">
        <f>IF(ISNUMBER('Model_ of_individuals'!AV495), 'Model_ of_individuals'!AV495*'Model_ of_individuals'!$K495,"")</f>
        <v/>
      </c>
      <c r="AW477" s="93" t="str">
        <f>IF(ISNUMBER('Model_ of_individuals'!AW495), 'Model_ of_individuals'!AW495*'Model_ of_individuals'!$K495,"")</f>
        <v/>
      </c>
      <c r="AX477" s="93" t="str">
        <f>IF(ISNUMBER('Model_ of_individuals'!AX495), 'Model_ of_individuals'!AX495*'Model_ of_individuals'!$K495,"")</f>
        <v/>
      </c>
    </row>
    <row r="478" spans="1:50" x14ac:dyDescent="0.25">
      <c r="A478" s="518"/>
      <c r="B478" s="504"/>
      <c r="C478" s="104" t="str">
        <f>IF(AND(ISNUMBER(B471), OR('Cost Inputs'!$H$112&lt;&gt;"", 'Cost Inputs'!$I$112&lt;&gt;"", 'Cost Inputs'!$J$112&lt;&gt;"")), _4_4_3, "")</f>
        <v/>
      </c>
      <c r="D478" s="17" t="str">
        <f>IF(AND(C478&lt;&gt;"", 'Cost Inputs'!$G$112&lt;&gt;""), 'Cost Inputs'!$G$112, "")</f>
        <v/>
      </c>
      <c r="E478" s="17" t="str">
        <f>IF(AND(C478&lt;&gt;"", 'Cost Inputs'!$H$112&lt;&gt;""), 'Cost Inputs'!$H$112, "")</f>
        <v/>
      </c>
      <c r="F478" s="17" t="str">
        <f>IF(AND(C478&lt;&gt;"", 'Cost Inputs'!$I$112&lt;&gt;""), 'Cost Inputs'!$I$112, "")</f>
        <v/>
      </c>
      <c r="G478" s="105" t="str">
        <f t="shared" si="39"/>
        <v/>
      </c>
      <c r="H478" s="17" t="str">
        <f>IF(AND(C478&lt;&gt;"", 'Cost Inputs'!$J$112&lt;&gt;""), 'Cost Inputs'!$J$112, "")</f>
        <v/>
      </c>
      <c r="I478" s="17" t="str">
        <f t="shared" si="40"/>
        <v/>
      </c>
      <c r="J478" s="17" t="str">
        <f>IF(AND(C478&lt;&gt;"",('Cost Inputs'!$I$112+'Cost Inputs'!$J$112+'Cost Inputs'!$K$112)&gt;0), 'Cost Inputs'!$I$112+'Cost Inputs'!$J$112+'Cost Inputs'!$K$112, "")</f>
        <v/>
      </c>
      <c r="K478" s="17" t="str">
        <f t="shared" si="41"/>
        <v/>
      </c>
      <c r="L478" s="525"/>
      <c r="M478" s="525"/>
      <c r="W478" s="17" t="str">
        <f>IF(ISNUMBER('Model_ of_individuals'!W496), 'Model_ of_individuals'!W496*'Model_ of_individuals'!$K496,"")</f>
        <v/>
      </c>
      <c r="X478" s="17" t="str">
        <f>IF(ISNUMBER('Model_ of_individuals'!X496), 'Model_ of_individuals'!X496*'Model_ of_individuals'!$K496,"")</f>
        <v/>
      </c>
      <c r="Y478" s="17" t="str">
        <f>IF(ISNUMBER('Model_ of_individuals'!Y496), 'Model_ of_individuals'!Y496*'Model_ of_individuals'!$K496,"")</f>
        <v/>
      </c>
      <c r="Z478" s="17" t="str">
        <f>IF(ISNUMBER('Model_ of_individuals'!Z496), 'Model_ of_individuals'!Z496*'Model_ of_individuals'!$K496,"")</f>
        <v/>
      </c>
      <c r="AA478" s="17" t="str">
        <f>IF(ISNUMBER('Model_ of_individuals'!AA496), 'Model_ of_individuals'!AA496*'Model_ of_individuals'!$K496,"")</f>
        <v/>
      </c>
      <c r="AB478" s="17" t="str">
        <f>IF(ISNUMBER('Model_ of_individuals'!AB496), 'Model_ of_individuals'!AB496*'Model_ of_individuals'!$K496,"")</f>
        <v/>
      </c>
      <c r="AC478" s="17" t="str">
        <f>IF(ISNUMBER('Model_ of_individuals'!AC496), 'Model_ of_individuals'!AC496*'Model_ of_individuals'!$K496,"")</f>
        <v/>
      </c>
      <c r="AD478" s="17" t="str">
        <f>IF(ISNUMBER('Model_ of_individuals'!AD496), 'Model_ of_individuals'!AD496*'Model_ of_individuals'!$K496,"")</f>
        <v/>
      </c>
      <c r="AE478" s="17" t="str">
        <f>IF(ISNUMBER('Model_ of_individuals'!AE496), 'Model_ of_individuals'!AE496*'Model_ of_individuals'!$K496,"")</f>
        <v/>
      </c>
      <c r="AF478" s="17" t="str">
        <f>IF(ISNUMBER('Model_ of_individuals'!AF496), 'Model_ of_individuals'!AF496*'Model_ of_individuals'!$K496,"")</f>
        <v/>
      </c>
      <c r="AG478" s="17" t="str">
        <f>IF(ISNUMBER('Model_ of_individuals'!AG496), 'Model_ of_individuals'!AG496*'Model_ of_individuals'!$K496,"")</f>
        <v/>
      </c>
      <c r="AH478" s="17" t="str">
        <f>IF(ISNUMBER('Model_ of_individuals'!AH496), 'Model_ of_individuals'!AH496*'Model_ of_individuals'!$K496,"")</f>
        <v/>
      </c>
      <c r="AI478" s="17" t="str">
        <f>IF(ISNUMBER('Model_ of_individuals'!AI496), 'Model_ of_individuals'!AI496*'Model_ of_individuals'!$K496,"")</f>
        <v/>
      </c>
      <c r="AJ478" s="17" t="str">
        <f>IF(ISNUMBER('Model_ of_individuals'!AJ496), 'Model_ of_individuals'!AJ496*'Model_ of_individuals'!$K496,"")</f>
        <v/>
      </c>
      <c r="AK478" s="17" t="str">
        <f>IF(ISNUMBER('Model_ of_individuals'!AK496), 'Model_ of_individuals'!AK496*'Model_ of_individuals'!$K496,"")</f>
        <v/>
      </c>
      <c r="AL478" s="17" t="str">
        <f>IF(ISNUMBER('Model_ of_individuals'!AL496), 'Model_ of_individuals'!AL496*'Model_ of_individuals'!$K496,"")</f>
        <v/>
      </c>
      <c r="AM478" s="17" t="str">
        <f>IF(ISNUMBER('Model_ of_individuals'!AM496), 'Model_ of_individuals'!AM496*'Model_ of_individuals'!$K496,"")</f>
        <v/>
      </c>
      <c r="AN478" s="17" t="str">
        <f>IF(ISNUMBER('Model_ of_individuals'!AN496), 'Model_ of_individuals'!AN496*'Model_ of_individuals'!$K496,"")</f>
        <v/>
      </c>
      <c r="AO478" s="17" t="str">
        <f>IF(ISNUMBER('Model_ of_individuals'!AO496), 'Model_ of_individuals'!AO496*'Model_ of_individuals'!$K496,"")</f>
        <v/>
      </c>
      <c r="AP478" s="17" t="str">
        <f>IF(ISNUMBER('Model_ of_individuals'!AP496), 'Model_ of_individuals'!AP496*'Model_ of_individuals'!$K496,"")</f>
        <v/>
      </c>
      <c r="AQ478" s="17" t="str">
        <f>IF(ISNUMBER('Model_ of_individuals'!AQ496), 'Model_ of_individuals'!AQ496*'Model_ of_individuals'!$K496,"")</f>
        <v/>
      </c>
      <c r="AR478" s="17" t="str">
        <f>IF(ISNUMBER('Model_ of_individuals'!AR496), 'Model_ of_individuals'!AR496*'Model_ of_individuals'!$K496,"")</f>
        <v/>
      </c>
      <c r="AS478" s="17" t="str">
        <f>IF(ISNUMBER('Model_ of_individuals'!AS496), 'Model_ of_individuals'!AS496*'Model_ of_individuals'!$K496,"")</f>
        <v/>
      </c>
      <c r="AT478" s="17" t="str">
        <f>IF(ISNUMBER('Model_ of_individuals'!AT496), 'Model_ of_individuals'!AT496*'Model_ of_individuals'!$K496,"")</f>
        <v/>
      </c>
      <c r="AU478" s="17" t="str">
        <f>IF(ISNUMBER('Model_ of_individuals'!AU496), 'Model_ of_individuals'!AU496*'Model_ of_individuals'!$K496,"")</f>
        <v/>
      </c>
      <c r="AV478" s="17" t="str">
        <f>IF(ISNUMBER('Model_ of_individuals'!AV496), 'Model_ of_individuals'!AV496*'Model_ of_individuals'!$K496,"")</f>
        <v/>
      </c>
      <c r="AW478" s="17" t="str">
        <f>IF(ISNUMBER('Model_ of_individuals'!AW496), 'Model_ of_individuals'!AW496*'Model_ of_individuals'!$K496,"")</f>
        <v/>
      </c>
      <c r="AX478" s="17" t="str">
        <f>IF(ISNUMBER('Model_ of_individuals'!AX496), 'Model_ of_individuals'!AX496*'Model_ of_individuals'!$K496,"")</f>
        <v/>
      </c>
    </row>
    <row r="479" spans="1:50" x14ac:dyDescent="0.25">
      <c r="A479" s="518"/>
      <c r="B479" s="504"/>
      <c r="C479" s="107" t="str">
        <f>IF(AND(ISNUMBER(B471), OR('Cost Inputs'!$H$113&lt;&gt;"", 'Cost Inputs'!$I$113&lt;&gt;"", 'Cost Inputs'!$J$113&lt;&gt;"")), _4_4_4, "")</f>
        <v/>
      </c>
      <c r="D479" s="93" t="str">
        <f>IF(AND(C479&lt;&gt;"", 'Cost Inputs'!$G$113&lt;&gt;""), 'Cost Inputs'!$G$113, "")</f>
        <v/>
      </c>
      <c r="E479" s="93" t="str">
        <f>IF(AND(C479&lt;&gt;"", 'Cost Inputs'!$H$113&lt;&gt;""), 'Cost Inputs'!$H$113, "")</f>
        <v/>
      </c>
      <c r="F479" s="93" t="str">
        <f>IF(AND(C479&lt;&gt;"", 'Cost Inputs'!$I$113&lt;&gt;""), 'Cost Inputs'!$I$113, "")</f>
        <v/>
      </c>
      <c r="G479" s="108" t="str">
        <f t="shared" si="39"/>
        <v/>
      </c>
      <c r="H479" s="93" t="str">
        <f>IF(AND(C479&lt;&gt;"", 'Cost Inputs'!$J$113&lt;&gt;""), 'Cost Inputs'!$J$113, "")</f>
        <v/>
      </c>
      <c r="I479" s="93" t="str">
        <f t="shared" si="40"/>
        <v/>
      </c>
      <c r="J479" s="93" t="str">
        <f>IF(AND(C479&lt;&gt;"",('Cost Inputs'!$I$113+'Cost Inputs'!$J$113+'Cost Inputs'!$K$113)&gt;0), 'Cost Inputs'!$I$113+'Cost Inputs'!$J$113+'Cost Inputs'!$K$113, "")</f>
        <v/>
      </c>
      <c r="K479" s="93" t="str">
        <f t="shared" si="41"/>
        <v/>
      </c>
      <c r="L479" s="525"/>
      <c r="M479" s="525"/>
      <c r="W479" s="93" t="str">
        <f>IF(ISNUMBER('Model_ of_individuals'!W497), 'Model_ of_individuals'!W497*'Model_ of_individuals'!$K497,"")</f>
        <v/>
      </c>
      <c r="X479" s="93" t="str">
        <f>IF(ISNUMBER('Model_ of_individuals'!X497), 'Model_ of_individuals'!X497*'Model_ of_individuals'!$K497,"")</f>
        <v/>
      </c>
      <c r="Y479" s="93" t="str">
        <f>IF(ISNUMBER('Model_ of_individuals'!Y497), 'Model_ of_individuals'!Y497*'Model_ of_individuals'!$K497,"")</f>
        <v/>
      </c>
      <c r="Z479" s="93" t="str">
        <f>IF(ISNUMBER('Model_ of_individuals'!Z497), 'Model_ of_individuals'!Z497*'Model_ of_individuals'!$K497,"")</f>
        <v/>
      </c>
      <c r="AA479" s="93" t="str">
        <f>IF(ISNUMBER('Model_ of_individuals'!AA497), 'Model_ of_individuals'!AA497*'Model_ of_individuals'!$K497,"")</f>
        <v/>
      </c>
      <c r="AB479" s="93" t="str">
        <f>IF(ISNUMBER('Model_ of_individuals'!AB497), 'Model_ of_individuals'!AB497*'Model_ of_individuals'!$K497,"")</f>
        <v/>
      </c>
      <c r="AC479" s="93" t="str">
        <f>IF(ISNUMBER('Model_ of_individuals'!AC497), 'Model_ of_individuals'!AC497*'Model_ of_individuals'!$K497,"")</f>
        <v/>
      </c>
      <c r="AD479" s="93" t="str">
        <f>IF(ISNUMBER('Model_ of_individuals'!AD497), 'Model_ of_individuals'!AD497*'Model_ of_individuals'!$K497,"")</f>
        <v/>
      </c>
      <c r="AE479" s="93" t="str">
        <f>IF(ISNUMBER('Model_ of_individuals'!AE497), 'Model_ of_individuals'!AE497*'Model_ of_individuals'!$K497,"")</f>
        <v/>
      </c>
      <c r="AF479" s="93" t="str">
        <f>IF(ISNUMBER('Model_ of_individuals'!AF497), 'Model_ of_individuals'!AF497*'Model_ of_individuals'!$K497,"")</f>
        <v/>
      </c>
      <c r="AG479" s="93" t="str">
        <f>IF(ISNUMBER('Model_ of_individuals'!AG497), 'Model_ of_individuals'!AG497*'Model_ of_individuals'!$K497,"")</f>
        <v/>
      </c>
      <c r="AH479" s="93" t="str">
        <f>IF(ISNUMBER('Model_ of_individuals'!AH497), 'Model_ of_individuals'!AH497*'Model_ of_individuals'!$K497,"")</f>
        <v/>
      </c>
      <c r="AI479" s="93" t="str">
        <f>IF(ISNUMBER('Model_ of_individuals'!AI497), 'Model_ of_individuals'!AI497*'Model_ of_individuals'!$K497,"")</f>
        <v/>
      </c>
      <c r="AJ479" s="93" t="str">
        <f>IF(ISNUMBER('Model_ of_individuals'!AJ497), 'Model_ of_individuals'!AJ497*'Model_ of_individuals'!$K497,"")</f>
        <v/>
      </c>
      <c r="AK479" s="93" t="str">
        <f>IF(ISNUMBER('Model_ of_individuals'!AK497), 'Model_ of_individuals'!AK497*'Model_ of_individuals'!$K497,"")</f>
        <v/>
      </c>
      <c r="AL479" s="93" t="str">
        <f>IF(ISNUMBER('Model_ of_individuals'!AL497), 'Model_ of_individuals'!AL497*'Model_ of_individuals'!$K497,"")</f>
        <v/>
      </c>
      <c r="AM479" s="93" t="str">
        <f>IF(ISNUMBER('Model_ of_individuals'!AM497), 'Model_ of_individuals'!AM497*'Model_ of_individuals'!$K497,"")</f>
        <v/>
      </c>
      <c r="AN479" s="93" t="str">
        <f>IF(ISNUMBER('Model_ of_individuals'!AN497), 'Model_ of_individuals'!AN497*'Model_ of_individuals'!$K497,"")</f>
        <v/>
      </c>
      <c r="AO479" s="93" t="str">
        <f>IF(ISNUMBER('Model_ of_individuals'!AO497), 'Model_ of_individuals'!AO497*'Model_ of_individuals'!$K497,"")</f>
        <v/>
      </c>
      <c r="AP479" s="93" t="str">
        <f>IF(ISNUMBER('Model_ of_individuals'!AP497), 'Model_ of_individuals'!AP497*'Model_ of_individuals'!$K497,"")</f>
        <v/>
      </c>
      <c r="AQ479" s="93" t="str">
        <f>IF(ISNUMBER('Model_ of_individuals'!AQ497), 'Model_ of_individuals'!AQ497*'Model_ of_individuals'!$K497,"")</f>
        <v/>
      </c>
      <c r="AR479" s="93" t="str">
        <f>IF(ISNUMBER('Model_ of_individuals'!AR497), 'Model_ of_individuals'!AR497*'Model_ of_individuals'!$K497,"")</f>
        <v/>
      </c>
      <c r="AS479" s="93" t="str">
        <f>IF(ISNUMBER('Model_ of_individuals'!AS497), 'Model_ of_individuals'!AS497*'Model_ of_individuals'!$K497,"")</f>
        <v/>
      </c>
      <c r="AT479" s="93" t="str">
        <f>IF(ISNUMBER('Model_ of_individuals'!AT497), 'Model_ of_individuals'!AT497*'Model_ of_individuals'!$K497,"")</f>
        <v/>
      </c>
      <c r="AU479" s="93" t="str">
        <f>IF(ISNUMBER('Model_ of_individuals'!AU497), 'Model_ of_individuals'!AU497*'Model_ of_individuals'!$K497,"")</f>
        <v/>
      </c>
      <c r="AV479" s="93" t="str">
        <f>IF(ISNUMBER('Model_ of_individuals'!AV497), 'Model_ of_individuals'!AV497*'Model_ of_individuals'!$K497,"")</f>
        <v/>
      </c>
      <c r="AW479" s="93" t="str">
        <f>IF(ISNUMBER('Model_ of_individuals'!AW497), 'Model_ of_individuals'!AW497*'Model_ of_individuals'!$K497,"")</f>
        <v/>
      </c>
      <c r="AX479" s="93" t="str">
        <f>IF(ISNUMBER('Model_ of_individuals'!AX497), 'Model_ of_individuals'!AX497*'Model_ of_individuals'!$K497,"")</f>
        <v/>
      </c>
    </row>
    <row r="480" spans="1:50" x14ac:dyDescent="0.25">
      <c r="A480" s="518"/>
      <c r="B480" s="504"/>
      <c r="C480" s="104" t="str">
        <f>IF(AND(ISNUMBER(B471), OR('Cost Inputs'!$H$114&lt;&gt;"", 'Cost Inputs'!$I$114&lt;&gt;"", 'Cost Inputs'!$J$114&lt;&gt;"")), _4_4_5, "")</f>
        <v/>
      </c>
      <c r="D480" s="17" t="str">
        <f>IF(AND(C480&lt;&gt;"", 'Cost Inputs'!$G$114&lt;&gt;""), 'Cost Inputs'!$G$114, "")</f>
        <v/>
      </c>
      <c r="E480" s="17" t="str">
        <f>IF(AND(C480&lt;&gt;"", 'Cost Inputs'!$H$114&lt;&gt;""), 'Cost Inputs'!$H$114, "")</f>
        <v/>
      </c>
      <c r="F480" s="17" t="str">
        <f>IF(AND(C480&lt;&gt;"", 'Cost Inputs'!$I$114&lt;&gt;""), 'Cost Inputs'!$I$114, "")</f>
        <v/>
      </c>
      <c r="G480" s="105" t="str">
        <f t="shared" si="39"/>
        <v/>
      </c>
      <c r="H480" s="17" t="str">
        <f>IF(AND(C480&lt;&gt;"", 'Cost Inputs'!$J$114&lt;&gt;""), 'Cost Inputs'!$J$114, "")</f>
        <v/>
      </c>
      <c r="I480" s="17" t="str">
        <f t="shared" si="40"/>
        <v/>
      </c>
      <c r="J480" s="17" t="str">
        <f>IF(AND(C480&lt;&gt;"",('Cost Inputs'!$I$114+'Cost Inputs'!$J$114+'Cost Inputs'!$K$114)&gt;0), 'Cost Inputs'!$I$114+'Cost Inputs'!$J$114+'Cost Inputs'!$K$114, "")</f>
        <v/>
      </c>
      <c r="K480" s="17" t="str">
        <f t="shared" si="41"/>
        <v/>
      </c>
      <c r="L480" s="525"/>
      <c r="M480" s="525"/>
      <c r="W480" s="17" t="str">
        <f>IF(ISNUMBER('Model_ of_individuals'!W498), 'Model_ of_individuals'!W498*'Model_ of_individuals'!$K498,"")</f>
        <v/>
      </c>
      <c r="X480" s="17" t="str">
        <f>IF(ISNUMBER('Model_ of_individuals'!X498), 'Model_ of_individuals'!X498*'Model_ of_individuals'!$K498,"")</f>
        <v/>
      </c>
      <c r="Y480" s="17" t="str">
        <f>IF(ISNUMBER('Model_ of_individuals'!Y498), 'Model_ of_individuals'!Y498*'Model_ of_individuals'!$K498,"")</f>
        <v/>
      </c>
      <c r="Z480" s="17" t="str">
        <f>IF(ISNUMBER('Model_ of_individuals'!Z498), 'Model_ of_individuals'!Z498*'Model_ of_individuals'!$K498,"")</f>
        <v/>
      </c>
      <c r="AA480" s="17" t="str">
        <f>IF(ISNUMBER('Model_ of_individuals'!AA498), 'Model_ of_individuals'!AA498*'Model_ of_individuals'!$K498,"")</f>
        <v/>
      </c>
      <c r="AB480" s="17" t="str">
        <f>IF(ISNUMBER('Model_ of_individuals'!AB498), 'Model_ of_individuals'!AB498*'Model_ of_individuals'!$K498,"")</f>
        <v/>
      </c>
      <c r="AC480" s="17" t="str">
        <f>IF(ISNUMBER('Model_ of_individuals'!AC498), 'Model_ of_individuals'!AC498*'Model_ of_individuals'!$K498,"")</f>
        <v/>
      </c>
      <c r="AD480" s="17" t="str">
        <f>IF(ISNUMBER('Model_ of_individuals'!AD498), 'Model_ of_individuals'!AD498*'Model_ of_individuals'!$K498,"")</f>
        <v/>
      </c>
      <c r="AE480" s="17" t="str">
        <f>IF(ISNUMBER('Model_ of_individuals'!AE498), 'Model_ of_individuals'!AE498*'Model_ of_individuals'!$K498,"")</f>
        <v/>
      </c>
      <c r="AF480" s="17" t="str">
        <f>IF(ISNUMBER('Model_ of_individuals'!AF498), 'Model_ of_individuals'!AF498*'Model_ of_individuals'!$K498,"")</f>
        <v/>
      </c>
      <c r="AG480" s="17" t="str">
        <f>IF(ISNUMBER('Model_ of_individuals'!AG498), 'Model_ of_individuals'!AG498*'Model_ of_individuals'!$K498,"")</f>
        <v/>
      </c>
      <c r="AH480" s="17" t="str">
        <f>IF(ISNUMBER('Model_ of_individuals'!AH498), 'Model_ of_individuals'!AH498*'Model_ of_individuals'!$K498,"")</f>
        <v/>
      </c>
      <c r="AI480" s="17" t="str">
        <f>IF(ISNUMBER('Model_ of_individuals'!AI498), 'Model_ of_individuals'!AI498*'Model_ of_individuals'!$K498,"")</f>
        <v/>
      </c>
      <c r="AJ480" s="17" t="str">
        <f>IF(ISNUMBER('Model_ of_individuals'!AJ498), 'Model_ of_individuals'!AJ498*'Model_ of_individuals'!$K498,"")</f>
        <v/>
      </c>
      <c r="AK480" s="17" t="str">
        <f>IF(ISNUMBER('Model_ of_individuals'!AK498), 'Model_ of_individuals'!AK498*'Model_ of_individuals'!$K498,"")</f>
        <v/>
      </c>
      <c r="AL480" s="17" t="str">
        <f>IF(ISNUMBER('Model_ of_individuals'!AL498), 'Model_ of_individuals'!AL498*'Model_ of_individuals'!$K498,"")</f>
        <v/>
      </c>
      <c r="AM480" s="17" t="str">
        <f>IF(ISNUMBER('Model_ of_individuals'!AM498), 'Model_ of_individuals'!AM498*'Model_ of_individuals'!$K498,"")</f>
        <v/>
      </c>
      <c r="AN480" s="17" t="str">
        <f>IF(ISNUMBER('Model_ of_individuals'!AN498), 'Model_ of_individuals'!AN498*'Model_ of_individuals'!$K498,"")</f>
        <v/>
      </c>
      <c r="AO480" s="17" t="str">
        <f>IF(ISNUMBER('Model_ of_individuals'!AO498), 'Model_ of_individuals'!AO498*'Model_ of_individuals'!$K498,"")</f>
        <v/>
      </c>
      <c r="AP480" s="17" t="str">
        <f>IF(ISNUMBER('Model_ of_individuals'!AP498), 'Model_ of_individuals'!AP498*'Model_ of_individuals'!$K498,"")</f>
        <v/>
      </c>
      <c r="AQ480" s="17" t="str">
        <f>IF(ISNUMBER('Model_ of_individuals'!AQ498), 'Model_ of_individuals'!AQ498*'Model_ of_individuals'!$K498,"")</f>
        <v/>
      </c>
      <c r="AR480" s="17" t="str">
        <f>IF(ISNUMBER('Model_ of_individuals'!AR498), 'Model_ of_individuals'!AR498*'Model_ of_individuals'!$K498,"")</f>
        <v/>
      </c>
      <c r="AS480" s="17" t="str">
        <f>IF(ISNUMBER('Model_ of_individuals'!AS498), 'Model_ of_individuals'!AS498*'Model_ of_individuals'!$K498,"")</f>
        <v/>
      </c>
      <c r="AT480" s="17" t="str">
        <f>IF(ISNUMBER('Model_ of_individuals'!AT498), 'Model_ of_individuals'!AT498*'Model_ of_individuals'!$K498,"")</f>
        <v/>
      </c>
      <c r="AU480" s="17" t="str">
        <f>IF(ISNUMBER('Model_ of_individuals'!AU498), 'Model_ of_individuals'!AU498*'Model_ of_individuals'!$K498,"")</f>
        <v/>
      </c>
      <c r="AV480" s="17" t="str">
        <f>IF(ISNUMBER('Model_ of_individuals'!AV498), 'Model_ of_individuals'!AV498*'Model_ of_individuals'!$K498,"")</f>
        <v/>
      </c>
      <c r="AW480" s="17" t="str">
        <f>IF(ISNUMBER('Model_ of_individuals'!AW498), 'Model_ of_individuals'!AW498*'Model_ of_individuals'!$K498,"")</f>
        <v/>
      </c>
      <c r="AX480" s="17" t="str">
        <f>IF(ISNUMBER('Model_ of_individuals'!AX498), 'Model_ of_individuals'!AX498*'Model_ of_individuals'!$K498,"")</f>
        <v/>
      </c>
    </row>
    <row r="481" spans="1:51" x14ac:dyDescent="0.25">
      <c r="A481" s="518"/>
      <c r="B481" s="504"/>
      <c r="C481" s="107" t="str">
        <f>IF(AND(ISNUMBER(B471), OR('Cost Inputs'!$H$115&lt;&gt;"", 'Cost Inputs'!$I$115&lt;&gt;"", 'Cost Inputs'!$J$115&lt;&gt;"")), _4_4_6, "")</f>
        <v/>
      </c>
      <c r="D481" s="93" t="str">
        <f>IF(AND(C481&lt;&gt;"", 'Cost Inputs'!$G$115&lt;&gt;""), 'Cost Inputs'!$G$115, "")</f>
        <v/>
      </c>
      <c r="E481" s="93" t="str">
        <f>IF(AND(C481&lt;&gt;"", 'Cost Inputs'!$H$115&lt;&gt;""), 'Cost Inputs'!$H$115, "")</f>
        <v/>
      </c>
      <c r="F481" s="93" t="str">
        <f>IF(AND(C481&lt;&gt;"", 'Cost Inputs'!$I$115&lt;&gt;""), 'Cost Inputs'!$I$115, "")</f>
        <v/>
      </c>
      <c r="G481" s="108" t="str">
        <f t="shared" si="39"/>
        <v/>
      </c>
      <c r="H481" s="93" t="str">
        <f>IF(AND(C481&lt;&gt;"", 'Cost Inputs'!$J$115&lt;&gt;""), 'Cost Inputs'!$J$115, "")</f>
        <v/>
      </c>
      <c r="I481" s="93" t="str">
        <f t="shared" si="40"/>
        <v/>
      </c>
      <c r="J481" s="93" t="str">
        <f>IF(AND(C481&lt;&gt;"",('Cost Inputs'!$I$115+'Cost Inputs'!$J$115+'Cost Inputs'!$K$115)&gt;0), 'Cost Inputs'!$I$115+'Cost Inputs'!$J$115+'Cost Inputs'!$K$115, "")</f>
        <v/>
      </c>
      <c r="K481" s="93" t="str">
        <f t="shared" si="41"/>
        <v/>
      </c>
      <c r="L481" s="525"/>
      <c r="M481" s="525"/>
      <c r="W481" s="93" t="str">
        <f>IF(ISNUMBER('Model_ of_individuals'!W499), 'Model_ of_individuals'!W499*'Model_ of_individuals'!$K499,"")</f>
        <v/>
      </c>
      <c r="X481" s="93" t="str">
        <f>IF(ISNUMBER('Model_ of_individuals'!X499), 'Model_ of_individuals'!X499*'Model_ of_individuals'!$K499,"")</f>
        <v/>
      </c>
      <c r="Y481" s="93" t="str">
        <f>IF(ISNUMBER('Model_ of_individuals'!Y499), 'Model_ of_individuals'!Y499*'Model_ of_individuals'!$K499,"")</f>
        <v/>
      </c>
      <c r="Z481" s="93" t="str">
        <f>IF(ISNUMBER('Model_ of_individuals'!Z499), 'Model_ of_individuals'!Z499*'Model_ of_individuals'!$K499,"")</f>
        <v/>
      </c>
      <c r="AA481" s="93" t="str">
        <f>IF(ISNUMBER('Model_ of_individuals'!AA499), 'Model_ of_individuals'!AA499*'Model_ of_individuals'!$K499,"")</f>
        <v/>
      </c>
      <c r="AB481" s="93" t="str">
        <f>IF(ISNUMBER('Model_ of_individuals'!AB499), 'Model_ of_individuals'!AB499*'Model_ of_individuals'!$K499,"")</f>
        <v/>
      </c>
      <c r="AC481" s="93" t="str">
        <f>IF(ISNUMBER('Model_ of_individuals'!AC499), 'Model_ of_individuals'!AC499*'Model_ of_individuals'!$K499,"")</f>
        <v/>
      </c>
      <c r="AD481" s="93" t="str">
        <f>IF(ISNUMBER('Model_ of_individuals'!AD499), 'Model_ of_individuals'!AD499*'Model_ of_individuals'!$K499,"")</f>
        <v/>
      </c>
      <c r="AE481" s="93" t="str">
        <f>IF(ISNUMBER('Model_ of_individuals'!AE499), 'Model_ of_individuals'!AE499*'Model_ of_individuals'!$K499,"")</f>
        <v/>
      </c>
      <c r="AF481" s="93" t="str">
        <f>IF(ISNUMBER('Model_ of_individuals'!AF499), 'Model_ of_individuals'!AF499*'Model_ of_individuals'!$K499,"")</f>
        <v/>
      </c>
      <c r="AG481" s="93" t="str">
        <f>IF(ISNUMBER('Model_ of_individuals'!AG499), 'Model_ of_individuals'!AG499*'Model_ of_individuals'!$K499,"")</f>
        <v/>
      </c>
      <c r="AH481" s="93" t="str">
        <f>IF(ISNUMBER('Model_ of_individuals'!AH499), 'Model_ of_individuals'!AH499*'Model_ of_individuals'!$K499,"")</f>
        <v/>
      </c>
      <c r="AI481" s="93" t="str">
        <f>IF(ISNUMBER('Model_ of_individuals'!AI499), 'Model_ of_individuals'!AI499*'Model_ of_individuals'!$K499,"")</f>
        <v/>
      </c>
      <c r="AJ481" s="93" t="str">
        <f>IF(ISNUMBER('Model_ of_individuals'!AJ499), 'Model_ of_individuals'!AJ499*'Model_ of_individuals'!$K499,"")</f>
        <v/>
      </c>
      <c r="AK481" s="93" t="str">
        <f>IF(ISNUMBER('Model_ of_individuals'!AK499), 'Model_ of_individuals'!AK499*'Model_ of_individuals'!$K499,"")</f>
        <v/>
      </c>
      <c r="AL481" s="93" t="str">
        <f>IF(ISNUMBER('Model_ of_individuals'!AL499), 'Model_ of_individuals'!AL499*'Model_ of_individuals'!$K499,"")</f>
        <v/>
      </c>
      <c r="AM481" s="93" t="str">
        <f>IF(ISNUMBER('Model_ of_individuals'!AM499), 'Model_ of_individuals'!AM499*'Model_ of_individuals'!$K499,"")</f>
        <v/>
      </c>
      <c r="AN481" s="93" t="str">
        <f>IF(ISNUMBER('Model_ of_individuals'!AN499), 'Model_ of_individuals'!AN499*'Model_ of_individuals'!$K499,"")</f>
        <v/>
      </c>
      <c r="AO481" s="93" t="str">
        <f>IF(ISNUMBER('Model_ of_individuals'!AO499), 'Model_ of_individuals'!AO499*'Model_ of_individuals'!$K499,"")</f>
        <v/>
      </c>
      <c r="AP481" s="93" t="str">
        <f>IF(ISNUMBER('Model_ of_individuals'!AP499), 'Model_ of_individuals'!AP499*'Model_ of_individuals'!$K499,"")</f>
        <v/>
      </c>
      <c r="AQ481" s="93" t="str">
        <f>IF(ISNUMBER('Model_ of_individuals'!AQ499), 'Model_ of_individuals'!AQ499*'Model_ of_individuals'!$K499,"")</f>
        <v/>
      </c>
      <c r="AR481" s="93" t="str">
        <f>IF(ISNUMBER('Model_ of_individuals'!AR499), 'Model_ of_individuals'!AR499*'Model_ of_individuals'!$K499,"")</f>
        <v/>
      </c>
      <c r="AS481" s="93" t="str">
        <f>IF(ISNUMBER('Model_ of_individuals'!AS499), 'Model_ of_individuals'!AS499*'Model_ of_individuals'!$K499,"")</f>
        <v/>
      </c>
      <c r="AT481" s="93" t="str">
        <f>IF(ISNUMBER('Model_ of_individuals'!AT499), 'Model_ of_individuals'!AT499*'Model_ of_individuals'!$K499,"")</f>
        <v/>
      </c>
      <c r="AU481" s="93" t="str">
        <f>IF(ISNUMBER('Model_ of_individuals'!AU499), 'Model_ of_individuals'!AU499*'Model_ of_individuals'!$K499,"")</f>
        <v/>
      </c>
      <c r="AV481" s="93" t="str">
        <f>IF(ISNUMBER('Model_ of_individuals'!AV499), 'Model_ of_individuals'!AV499*'Model_ of_individuals'!$K499,"")</f>
        <v/>
      </c>
      <c r="AW481" s="93" t="str">
        <f>IF(ISNUMBER('Model_ of_individuals'!AW499), 'Model_ of_individuals'!AW499*'Model_ of_individuals'!$K499,"")</f>
        <v/>
      </c>
      <c r="AX481" s="93" t="str">
        <f>IF(ISNUMBER('Model_ of_individuals'!AX499), 'Model_ of_individuals'!AX499*'Model_ of_individuals'!$K499,"")</f>
        <v/>
      </c>
    </row>
    <row r="482" spans="1:51" x14ac:dyDescent="0.25">
      <c r="A482" s="518"/>
      <c r="B482" s="504"/>
      <c r="C482" s="521" t="str">
        <f>IF(AND(B471&lt;&gt;"", ISNUMBER(B471), ISNUMBER(Stage2EvaluationBegins)), IF((INDEX(ProgramYearStage2,MATCH(Stage2EvaluationBegins,Years_in_Stage2,0)))=B471, _4_5_0, IF(AND(B471&lt;&gt;"", C459&lt;&gt;""), _4_5_0, IF(AND(B471&lt;&gt;"", ISNUMBER(B471), OR(Stage2EvaluationBegins=0, Stage2EvaluationBegins="")),"", ""))),"")</f>
        <v/>
      </c>
      <c r="D482" s="94" t="str">
        <f>IF(AND(C482&lt;&gt;"", 'Cost Inputs'!$G$116&lt;&gt;""), 'Cost Inputs'!$G$116, "")</f>
        <v/>
      </c>
      <c r="E482" s="94" t="str">
        <f>IF(AND(C482&lt;&gt;"", 'Cost Inputs'!$H$116&lt;&gt;""), 'Cost Inputs'!$H$116, "")</f>
        <v/>
      </c>
      <c r="F482" s="492" t="str">
        <f>IF(AND(C482&lt;&gt;"", 'Cost Inputs'!$I$116&lt;&gt;""), 'Cost Inputs'!$I$116, "")</f>
        <v/>
      </c>
      <c r="G482" s="102" t="str">
        <f t="shared" si="39"/>
        <v/>
      </c>
      <c r="H482" s="492" t="str">
        <f>IF(AND(C482&lt;&gt;"", 'Cost Inputs'!$J$116&lt;&gt;""), 'Cost Inputs'!$J$116, "")</f>
        <v/>
      </c>
      <c r="I482" s="102" t="str">
        <f>IF($C482&lt;&gt;"",IF(AND($E482&lt;&gt;"",H482&lt;&gt;""), H482/$E482, 0),"")</f>
        <v/>
      </c>
      <c r="J482" s="492" t="str">
        <f>IF(AND(C482&lt;&gt;"",('Cost Inputs'!$I$116+'Cost Inputs'!$J$116+'Cost Inputs'!$K$116)&gt;0), 'Cost Inputs'!$I$116+'Cost Inputs'!$J$116+'Cost Inputs'!$K$116, "")</f>
        <v/>
      </c>
      <c r="K482" s="102" t="str">
        <f>IF($C482&lt;&gt;"",IF(AND($E482&lt;&gt;"",J482&lt;&gt;""), J482/$E482, 0),"")</f>
        <v/>
      </c>
      <c r="L482" s="525"/>
      <c r="M482" s="525"/>
      <c r="W482" s="496" t="str">
        <f>IF(ISNUMBER('Model_ of_individuals'!W501), 'Model_ of_individuals'!W501*'Model_ of_individuals'!$K501,"")</f>
        <v/>
      </c>
      <c r="X482" s="496" t="str">
        <f>IF(ISNUMBER('Model_ of_individuals'!X501), 'Model_ of_individuals'!X501*'Model_ of_individuals'!$K501,"")</f>
        <v/>
      </c>
      <c r="Y482" s="496" t="str">
        <f>IF(ISNUMBER('Model_ of_individuals'!Y501), 'Model_ of_individuals'!Y501*'Model_ of_individuals'!$K501,"")</f>
        <v/>
      </c>
      <c r="Z482" s="496" t="str">
        <f>IF(ISNUMBER('Model_ of_individuals'!Z501), 'Model_ of_individuals'!Z501*'Model_ of_individuals'!$K501,"")</f>
        <v/>
      </c>
      <c r="AA482" s="496" t="str">
        <f>IF(ISNUMBER('Model_ of_individuals'!AA501), 'Model_ of_individuals'!AA501*'Model_ of_individuals'!$K501,"")</f>
        <v/>
      </c>
      <c r="AB482" s="496" t="str">
        <f>IF(ISNUMBER('Model_ of_individuals'!AB501), 'Model_ of_individuals'!AB501*'Model_ of_individuals'!$K501,"")</f>
        <v/>
      </c>
      <c r="AC482" s="496" t="str">
        <f>IF(ISNUMBER('Model_ of_individuals'!AC501), 'Model_ of_individuals'!AC501*'Model_ of_individuals'!$K501,"")</f>
        <v/>
      </c>
      <c r="AD482" s="496" t="str">
        <f>IF(ISNUMBER('Model_ of_individuals'!AD501), 'Model_ of_individuals'!AD501*'Model_ of_individuals'!$K501,"")</f>
        <v/>
      </c>
      <c r="AE482" s="496" t="str">
        <f>IF(ISNUMBER('Model_ of_individuals'!AE501), 'Model_ of_individuals'!AE501*'Model_ of_individuals'!$K501,"")</f>
        <v/>
      </c>
      <c r="AF482" s="496" t="str">
        <f>IF(ISNUMBER('Model_ of_individuals'!AF501), 'Model_ of_individuals'!AF501*'Model_ of_individuals'!$K501,"")</f>
        <v/>
      </c>
      <c r="AG482" s="496" t="str">
        <f>IF(ISNUMBER('Model_ of_individuals'!AG501), 'Model_ of_individuals'!AG501*'Model_ of_individuals'!$K501,"")</f>
        <v/>
      </c>
      <c r="AH482" s="496" t="str">
        <f>IF(ISNUMBER('Model_ of_individuals'!AH501), 'Model_ of_individuals'!AH501*'Model_ of_individuals'!$K501,"")</f>
        <v/>
      </c>
      <c r="AI482" s="496" t="str">
        <f>IF(ISNUMBER('Model_ of_individuals'!AI501), 'Model_ of_individuals'!AI501*'Model_ of_individuals'!$K501,"")</f>
        <v/>
      </c>
      <c r="AJ482" s="496" t="str">
        <f>IF(ISNUMBER('Model_ of_individuals'!AJ501), 'Model_ of_individuals'!AJ501*'Model_ of_individuals'!$K501,"")</f>
        <v/>
      </c>
      <c r="AK482" s="496" t="str">
        <f>IF(ISNUMBER('Model_ of_individuals'!AK501), 'Model_ of_individuals'!AK501*'Model_ of_individuals'!$K501,"")</f>
        <v/>
      </c>
      <c r="AL482" s="496" t="str">
        <f>IF(ISNUMBER('Model_ of_individuals'!AL501), 'Model_ of_individuals'!AL501*'Model_ of_individuals'!$K501,"")</f>
        <v/>
      </c>
      <c r="AM482" s="496" t="str">
        <f>IF(ISNUMBER('Model_ of_individuals'!AM501), 'Model_ of_individuals'!AM501*'Model_ of_individuals'!$K501,"")</f>
        <v/>
      </c>
      <c r="AN482" s="496" t="str">
        <f>IF(ISNUMBER('Model_ of_individuals'!AN501), 'Model_ of_individuals'!AN501*'Model_ of_individuals'!$K501,"")</f>
        <v/>
      </c>
      <c r="AO482" s="496" t="str">
        <f>IF(ISNUMBER('Model_ of_individuals'!AO501), 'Model_ of_individuals'!AO501*'Model_ of_individuals'!$K501,"")</f>
        <v/>
      </c>
      <c r="AP482" s="496" t="str">
        <f>IF(ISNUMBER('Model_ of_individuals'!AP501), 'Model_ of_individuals'!AP501*'Model_ of_individuals'!$K501,"")</f>
        <v/>
      </c>
      <c r="AQ482" s="496" t="str">
        <f>IF(ISNUMBER('Model_ of_individuals'!AQ501), 'Model_ of_individuals'!AQ501*'Model_ of_individuals'!$K501,"")</f>
        <v/>
      </c>
      <c r="AR482" s="496" t="str">
        <f>IF(ISNUMBER('Model_ of_individuals'!AR501), 'Model_ of_individuals'!AR501*'Model_ of_individuals'!$K501,"")</f>
        <v/>
      </c>
      <c r="AS482" s="496" t="str">
        <f>IF(ISNUMBER('Model_ of_individuals'!AS501), 'Model_ of_individuals'!AS501*'Model_ of_individuals'!$K501,"")</f>
        <v/>
      </c>
      <c r="AT482" s="496" t="str">
        <f>IF(ISNUMBER('Model_ of_individuals'!AT501), 'Model_ of_individuals'!AT501*'Model_ of_individuals'!$K501,"")</f>
        <v/>
      </c>
      <c r="AU482" s="496" t="str">
        <f>IF(ISNUMBER('Model_ of_individuals'!AU501), 'Model_ of_individuals'!AU501*'Model_ of_individuals'!$K501,"")</f>
        <v/>
      </c>
      <c r="AV482" s="496" t="str">
        <f>IF(ISNUMBER('Model_ of_individuals'!AV501), 'Model_ of_individuals'!AV501*'Model_ of_individuals'!$K501,"")</f>
        <v/>
      </c>
      <c r="AW482" s="496" t="str">
        <f>IF(ISNUMBER('Model_ of_individuals'!AW501), 'Model_ of_individuals'!AW501*'Model_ of_individuals'!$K501,"")</f>
        <v/>
      </c>
      <c r="AX482" s="496" t="str">
        <f>IF(ISNUMBER('Model_ of_individuals'!AX501), 'Model_ of_individuals'!AX501*'Model_ of_individuals'!$K501,"")</f>
        <v/>
      </c>
    </row>
    <row r="483" spans="1:51" x14ac:dyDescent="0.25">
      <c r="A483" s="518"/>
      <c r="B483" s="504"/>
      <c r="C483" s="521"/>
      <c r="D483" s="94" t="str">
        <f>IF(AND(C482&lt;&gt;"", 'Cost Inputs'!$G$117&lt;&gt;""), 'Cost Inputs'!$G$117, "")</f>
        <v/>
      </c>
      <c r="E483" s="94" t="str">
        <f>IF(AND(C482&lt;&gt;"", 'Cost Inputs'!$H$117&lt;&gt;""), 'Cost Inputs'!$H$117, "")</f>
        <v/>
      </c>
      <c r="F483" s="492"/>
      <c r="G483" s="102" t="str">
        <f t="shared" si="39"/>
        <v/>
      </c>
      <c r="H483" s="492"/>
      <c r="I483" s="102" t="str">
        <f>IF($C482&lt;&gt;"", IF(AND($E483&lt;&gt;"", H482&lt;&gt;""), H482/($E482*$E483), 0), "")</f>
        <v/>
      </c>
      <c r="J483" s="492" t="str">
        <f>IF(AND(C483&lt;&gt;"",('Cost Inputs'!$I$86+'Cost Inputs'!$J$86+'Cost Inputs'!$K$86)&gt;0), 'Cost Inputs'!$I$86+'Cost Inputs'!$J$86+'Cost Inputs'!$K$86, "")</f>
        <v/>
      </c>
      <c r="K483" s="102" t="str">
        <f>IF($C482&lt;&gt;"", IF(AND($E483&lt;&gt;"", J482&lt;&gt;""), J482/($E482*$E483), 0), "")</f>
        <v/>
      </c>
      <c r="L483" s="525"/>
      <c r="M483" s="525"/>
      <c r="W483" s="496" t="str">
        <f>IF(ISNUMBER('Model_ of_individuals'!W502), 'Model_ of_individuals'!W502*'Model_ of_individuals'!$K502,"")</f>
        <v/>
      </c>
      <c r="X483" s="496" t="str">
        <f>IF(ISNUMBER('Model_ of_individuals'!X502), 'Model_ of_individuals'!X502*'Model_ of_individuals'!$K502,"")</f>
        <v/>
      </c>
      <c r="Y483" s="496" t="str">
        <f>IF(ISNUMBER('Model_ of_individuals'!Y502), 'Model_ of_individuals'!Y502*'Model_ of_individuals'!$K502,"")</f>
        <v/>
      </c>
      <c r="Z483" s="496" t="str">
        <f>IF(ISNUMBER('Model_ of_individuals'!Z502), 'Model_ of_individuals'!Z502*'Model_ of_individuals'!$K502,"")</f>
        <v/>
      </c>
      <c r="AA483" s="496" t="str">
        <f>IF(ISNUMBER('Model_ of_individuals'!AA502), 'Model_ of_individuals'!AA502*'Model_ of_individuals'!$K502,"")</f>
        <v/>
      </c>
      <c r="AB483" s="496" t="str">
        <f>IF(ISNUMBER('Model_ of_individuals'!AB502), 'Model_ of_individuals'!AB502*'Model_ of_individuals'!$K502,"")</f>
        <v/>
      </c>
      <c r="AC483" s="496" t="str">
        <f>IF(ISNUMBER('Model_ of_individuals'!AC502), 'Model_ of_individuals'!AC502*'Model_ of_individuals'!$K502,"")</f>
        <v/>
      </c>
      <c r="AD483" s="496" t="str">
        <f>IF(ISNUMBER('Model_ of_individuals'!AD502), 'Model_ of_individuals'!AD502*'Model_ of_individuals'!$K502,"")</f>
        <v/>
      </c>
      <c r="AE483" s="496" t="str">
        <f>IF(ISNUMBER('Model_ of_individuals'!AE502), 'Model_ of_individuals'!AE502*'Model_ of_individuals'!$K502,"")</f>
        <v/>
      </c>
      <c r="AF483" s="496" t="str">
        <f>IF(ISNUMBER('Model_ of_individuals'!AF502), 'Model_ of_individuals'!AF502*'Model_ of_individuals'!$K502,"")</f>
        <v/>
      </c>
      <c r="AG483" s="496" t="str">
        <f>IF(ISNUMBER('Model_ of_individuals'!AG502), 'Model_ of_individuals'!AG502*'Model_ of_individuals'!$K502,"")</f>
        <v/>
      </c>
      <c r="AH483" s="496" t="str">
        <f>IF(ISNUMBER('Model_ of_individuals'!AH502), 'Model_ of_individuals'!AH502*'Model_ of_individuals'!$K502,"")</f>
        <v/>
      </c>
      <c r="AI483" s="496" t="str">
        <f>IF(ISNUMBER('Model_ of_individuals'!AI502), 'Model_ of_individuals'!AI502*'Model_ of_individuals'!$K502,"")</f>
        <v/>
      </c>
      <c r="AJ483" s="496" t="str">
        <f>IF(ISNUMBER('Model_ of_individuals'!AJ502), 'Model_ of_individuals'!AJ502*'Model_ of_individuals'!$K502,"")</f>
        <v/>
      </c>
      <c r="AK483" s="496" t="str">
        <f>IF(ISNUMBER('Model_ of_individuals'!AK502), 'Model_ of_individuals'!AK502*'Model_ of_individuals'!$K502,"")</f>
        <v/>
      </c>
      <c r="AL483" s="496" t="str">
        <f>IF(ISNUMBER('Model_ of_individuals'!AL502), 'Model_ of_individuals'!AL502*'Model_ of_individuals'!$K502,"")</f>
        <v/>
      </c>
      <c r="AM483" s="496" t="str">
        <f>IF(ISNUMBER('Model_ of_individuals'!AM502), 'Model_ of_individuals'!AM502*'Model_ of_individuals'!$K502,"")</f>
        <v/>
      </c>
      <c r="AN483" s="496" t="str">
        <f>IF(ISNUMBER('Model_ of_individuals'!AN502), 'Model_ of_individuals'!AN502*'Model_ of_individuals'!$K502,"")</f>
        <v/>
      </c>
      <c r="AO483" s="496" t="str">
        <f>IF(ISNUMBER('Model_ of_individuals'!AO502), 'Model_ of_individuals'!AO502*'Model_ of_individuals'!$K502,"")</f>
        <v/>
      </c>
      <c r="AP483" s="496" t="str">
        <f>IF(ISNUMBER('Model_ of_individuals'!AP502), 'Model_ of_individuals'!AP502*'Model_ of_individuals'!$K502,"")</f>
        <v/>
      </c>
      <c r="AQ483" s="496" t="str">
        <f>IF(ISNUMBER('Model_ of_individuals'!AQ502), 'Model_ of_individuals'!AQ502*'Model_ of_individuals'!$K502,"")</f>
        <v/>
      </c>
      <c r="AR483" s="496" t="str">
        <f>IF(ISNUMBER('Model_ of_individuals'!AR502), 'Model_ of_individuals'!AR502*'Model_ of_individuals'!$K502,"")</f>
        <v/>
      </c>
      <c r="AS483" s="496" t="str">
        <f>IF(ISNUMBER('Model_ of_individuals'!AS502), 'Model_ of_individuals'!AS502*'Model_ of_individuals'!$K502,"")</f>
        <v/>
      </c>
      <c r="AT483" s="496" t="str">
        <f>IF(ISNUMBER('Model_ of_individuals'!AT502), 'Model_ of_individuals'!AT502*'Model_ of_individuals'!$K502,"")</f>
        <v/>
      </c>
      <c r="AU483" s="496" t="str">
        <f>IF(ISNUMBER('Model_ of_individuals'!AU502), 'Model_ of_individuals'!AU502*'Model_ of_individuals'!$K502,"")</f>
        <v/>
      </c>
      <c r="AV483" s="496" t="str">
        <f>IF(ISNUMBER('Model_ of_individuals'!AV502), 'Model_ of_individuals'!AV502*'Model_ of_individuals'!$K502,"")</f>
        <v/>
      </c>
      <c r="AW483" s="496" t="str">
        <f>IF(ISNUMBER('Model_ of_individuals'!AW502), 'Model_ of_individuals'!AW502*'Model_ of_individuals'!$K502,"")</f>
        <v/>
      </c>
      <c r="AX483" s="496" t="str">
        <f>IF(ISNUMBER('Model_ of_individuals'!AX502), 'Model_ of_individuals'!AX502*'Model_ of_individuals'!$K502,"")</f>
        <v/>
      </c>
    </row>
    <row r="484" spans="1:51" x14ac:dyDescent="0.25">
      <c r="A484" s="518"/>
      <c r="B484" s="504"/>
      <c r="C484" s="376" t="str">
        <f>IF(AND(ISNUMBER(B471), C482&lt;&gt;"", OR('Cost Inputs'!$H$118&lt;&gt;"", 'Cost Inputs'!$I$118&lt;&gt;"", 'Cost Inputs'!$J$118&lt;&gt;"")), _4_5_1, "")</f>
        <v/>
      </c>
      <c r="D484" s="17" t="str">
        <f>IF(AND(C484&lt;&gt;"", 'Cost Inputs'!$G$118&lt;&gt;""), 'Cost Inputs'!$G$118, "")</f>
        <v/>
      </c>
      <c r="E484" s="17" t="str">
        <f>IF(AND(C484&lt;&gt;"", 'Cost Inputs'!$H$118&lt;&gt;""), 'Cost Inputs'!$H$118, "")</f>
        <v/>
      </c>
      <c r="F484" s="493" t="str">
        <f>IF(AND(C484&lt;&gt;"", 'Cost Inputs'!$I$118&lt;&gt;""), 'Cost Inputs'!$I$118, "")</f>
        <v/>
      </c>
      <c r="G484" s="105" t="str">
        <f t="shared" si="39"/>
        <v/>
      </c>
      <c r="H484" s="493" t="str">
        <f>IF(AND(C484&lt;&gt;"", 'Cost Inputs'!$J$118&lt;&gt;""), 'Cost Inputs'!$J$118, "")</f>
        <v/>
      </c>
      <c r="I484" s="105" t="str">
        <f>IF($C484&lt;&gt;"",IF(AND($E484&lt;&gt;"",H484&lt;&gt;""), H484/$E484, 0),"")</f>
        <v/>
      </c>
      <c r="J484" s="493" t="str">
        <f>IF(AND(C484&lt;&gt;"",('Cost Inputs'!$I$118+'Cost Inputs'!$J$118+'Cost Inputs'!$K$118)&gt;0), 'Cost Inputs'!$I$118+'Cost Inputs'!$J$118+'Cost Inputs'!$K$118, "")</f>
        <v/>
      </c>
      <c r="K484" s="105" t="str">
        <f>IF($C484&lt;&gt;"",IF(AND($E484&lt;&gt;"",J484&lt;&gt;""), J484/$E484, 0),"")</f>
        <v/>
      </c>
      <c r="L484" s="525"/>
      <c r="M484" s="525"/>
      <c r="W484" s="497" t="str">
        <f>IF(ISNUMBER('Model_ of_individuals'!W503), 'Model_ of_individuals'!W503*'Model_ of_individuals'!$K503,"")</f>
        <v/>
      </c>
      <c r="X484" s="497" t="str">
        <f>IF(ISNUMBER('Model_ of_individuals'!X503), 'Model_ of_individuals'!X503*'Model_ of_individuals'!$K503,"")</f>
        <v/>
      </c>
      <c r="Y484" s="497" t="str">
        <f>IF(ISNUMBER('Model_ of_individuals'!Y503), 'Model_ of_individuals'!Y503*'Model_ of_individuals'!$K503,"")</f>
        <v/>
      </c>
      <c r="Z484" s="497" t="str">
        <f>IF(ISNUMBER('Model_ of_individuals'!Z503), 'Model_ of_individuals'!Z503*'Model_ of_individuals'!$K503,"")</f>
        <v/>
      </c>
      <c r="AA484" s="497" t="str">
        <f>IF(ISNUMBER('Model_ of_individuals'!AA503), 'Model_ of_individuals'!AA503*'Model_ of_individuals'!$K503,"")</f>
        <v/>
      </c>
      <c r="AB484" s="497" t="str">
        <f>IF(ISNUMBER('Model_ of_individuals'!AB503), 'Model_ of_individuals'!AB503*'Model_ of_individuals'!$K503,"")</f>
        <v/>
      </c>
      <c r="AC484" s="497" t="str">
        <f>IF(ISNUMBER('Model_ of_individuals'!AC503), 'Model_ of_individuals'!AC503*'Model_ of_individuals'!$K503,"")</f>
        <v/>
      </c>
      <c r="AD484" s="497" t="str">
        <f>IF(ISNUMBER('Model_ of_individuals'!AD503), 'Model_ of_individuals'!AD503*'Model_ of_individuals'!$K503,"")</f>
        <v/>
      </c>
      <c r="AE484" s="497" t="str">
        <f>IF(ISNUMBER('Model_ of_individuals'!AE503), 'Model_ of_individuals'!AE503*'Model_ of_individuals'!$K503,"")</f>
        <v/>
      </c>
      <c r="AF484" s="497" t="str">
        <f>IF(ISNUMBER('Model_ of_individuals'!AF503), 'Model_ of_individuals'!AF503*'Model_ of_individuals'!$K503,"")</f>
        <v/>
      </c>
      <c r="AG484" s="497" t="str">
        <f>IF(ISNUMBER('Model_ of_individuals'!AG503), 'Model_ of_individuals'!AG503*'Model_ of_individuals'!$K503,"")</f>
        <v/>
      </c>
      <c r="AH484" s="497" t="str">
        <f>IF(ISNUMBER('Model_ of_individuals'!AH503), 'Model_ of_individuals'!AH503*'Model_ of_individuals'!$K503,"")</f>
        <v/>
      </c>
      <c r="AI484" s="497" t="str">
        <f>IF(ISNUMBER('Model_ of_individuals'!AI503), 'Model_ of_individuals'!AI503*'Model_ of_individuals'!$K503,"")</f>
        <v/>
      </c>
      <c r="AJ484" s="497" t="str">
        <f>IF(ISNUMBER('Model_ of_individuals'!AJ503), 'Model_ of_individuals'!AJ503*'Model_ of_individuals'!$K503,"")</f>
        <v/>
      </c>
      <c r="AK484" s="497" t="str">
        <f>IF(ISNUMBER('Model_ of_individuals'!AK503), 'Model_ of_individuals'!AK503*'Model_ of_individuals'!$K503,"")</f>
        <v/>
      </c>
      <c r="AL484" s="497" t="str">
        <f>IF(ISNUMBER('Model_ of_individuals'!AL503), 'Model_ of_individuals'!AL503*'Model_ of_individuals'!$K503,"")</f>
        <v/>
      </c>
      <c r="AM484" s="497" t="str">
        <f>IF(ISNUMBER('Model_ of_individuals'!AM503), 'Model_ of_individuals'!AM503*'Model_ of_individuals'!$K503,"")</f>
        <v/>
      </c>
      <c r="AN484" s="497" t="str">
        <f>IF(ISNUMBER('Model_ of_individuals'!AN503), 'Model_ of_individuals'!AN503*'Model_ of_individuals'!$K503,"")</f>
        <v/>
      </c>
      <c r="AO484" s="497" t="str">
        <f>IF(ISNUMBER('Model_ of_individuals'!AO503), 'Model_ of_individuals'!AO503*'Model_ of_individuals'!$K503,"")</f>
        <v/>
      </c>
      <c r="AP484" s="497" t="str">
        <f>IF(ISNUMBER('Model_ of_individuals'!AP503), 'Model_ of_individuals'!AP503*'Model_ of_individuals'!$K503,"")</f>
        <v/>
      </c>
      <c r="AQ484" s="497" t="str">
        <f>IF(ISNUMBER('Model_ of_individuals'!AQ503), 'Model_ of_individuals'!AQ503*'Model_ of_individuals'!$K503,"")</f>
        <v/>
      </c>
      <c r="AR484" s="497" t="str">
        <f>IF(ISNUMBER('Model_ of_individuals'!AR503), 'Model_ of_individuals'!AR503*'Model_ of_individuals'!$K503,"")</f>
        <v/>
      </c>
      <c r="AS484" s="497" t="str">
        <f>IF(ISNUMBER('Model_ of_individuals'!AS503), 'Model_ of_individuals'!AS503*'Model_ of_individuals'!$K503,"")</f>
        <v/>
      </c>
      <c r="AT484" s="497" t="str">
        <f>IF(ISNUMBER('Model_ of_individuals'!AT503), 'Model_ of_individuals'!AT503*'Model_ of_individuals'!$K503,"")</f>
        <v/>
      </c>
      <c r="AU484" s="497" t="str">
        <f>IF(ISNUMBER('Model_ of_individuals'!AU503), 'Model_ of_individuals'!AU503*'Model_ of_individuals'!$K503,"")</f>
        <v/>
      </c>
      <c r="AV484" s="497" t="str">
        <f>IF(ISNUMBER('Model_ of_individuals'!AV503), 'Model_ of_individuals'!AV503*'Model_ of_individuals'!$K503,"")</f>
        <v/>
      </c>
      <c r="AW484" s="497" t="str">
        <f>IF(ISNUMBER('Model_ of_individuals'!AW503), 'Model_ of_individuals'!AW503*'Model_ of_individuals'!$K503,"")</f>
        <v/>
      </c>
      <c r="AX484" s="497" t="str">
        <f>IF(ISNUMBER('Model_ of_individuals'!AX503), 'Model_ of_individuals'!AX503*'Model_ of_individuals'!$K503,"")</f>
        <v/>
      </c>
    </row>
    <row r="485" spans="1:51" x14ac:dyDescent="0.25">
      <c r="A485" s="518"/>
      <c r="B485" s="504"/>
      <c r="C485" s="376" t="str">
        <f>IF(AND(ISNUMBER(B466), OR('Cost Inputs'!$H$85&lt;&gt;"", 'Cost Inputs'!$I$85&lt;&gt;"", 'Cost Inputs'!$J$85&lt;&gt;"")), _3_5_1, "")</f>
        <v/>
      </c>
      <c r="D485" s="17" t="str">
        <f>IF(AND(C484&lt;&gt;"", 'Cost Inputs'!$G$119&lt;&gt;""), 'Cost Inputs'!$G$119, "")</f>
        <v/>
      </c>
      <c r="E485" s="17" t="str">
        <f>IF(AND(C484&lt;&gt;"", 'Cost Inputs'!$H$119&lt;&gt;""), 'Cost Inputs'!$H$119, "")</f>
        <v/>
      </c>
      <c r="F485" s="493"/>
      <c r="G485" s="105" t="str">
        <f t="shared" si="39"/>
        <v/>
      </c>
      <c r="H485" s="493"/>
      <c r="I485" s="105" t="str">
        <f>IF($C484&lt;&gt;"", IF(AND($E485&lt;&gt;"", H484&lt;&gt;""), H484/($E484*$E485), 0), "")</f>
        <v/>
      </c>
      <c r="J485" s="493" t="str">
        <f>IF(AND(C485&lt;&gt;"",('Cost Inputs'!$I$86+'Cost Inputs'!$J$86+'Cost Inputs'!$K$86)&gt;0), 'Cost Inputs'!$I$86+'Cost Inputs'!$J$86+'Cost Inputs'!$K$86, "")</f>
        <v/>
      </c>
      <c r="K485" s="105" t="str">
        <f>IF($C484&lt;&gt;"", IF(AND($E485&lt;&gt;"", J484&lt;&gt;""), J484/($E484*$E485), 0), "")</f>
        <v/>
      </c>
      <c r="L485" s="525"/>
      <c r="M485" s="525"/>
      <c r="W485" s="497" t="str">
        <f>IF(ISNUMBER('Model_ of_individuals'!W504), 'Model_ of_individuals'!W504*'Model_ of_individuals'!$K504,"")</f>
        <v/>
      </c>
      <c r="X485" s="497" t="str">
        <f>IF(ISNUMBER('Model_ of_individuals'!X504), 'Model_ of_individuals'!X504*'Model_ of_individuals'!$K504,"")</f>
        <v/>
      </c>
      <c r="Y485" s="497" t="str">
        <f>IF(ISNUMBER('Model_ of_individuals'!Y504), 'Model_ of_individuals'!Y504*'Model_ of_individuals'!$K504,"")</f>
        <v/>
      </c>
      <c r="Z485" s="497" t="str">
        <f>IF(ISNUMBER('Model_ of_individuals'!Z504), 'Model_ of_individuals'!Z504*'Model_ of_individuals'!$K504,"")</f>
        <v/>
      </c>
      <c r="AA485" s="497" t="str">
        <f>IF(ISNUMBER('Model_ of_individuals'!AA504), 'Model_ of_individuals'!AA504*'Model_ of_individuals'!$K504,"")</f>
        <v/>
      </c>
      <c r="AB485" s="497" t="str">
        <f>IF(ISNUMBER('Model_ of_individuals'!AB504), 'Model_ of_individuals'!AB504*'Model_ of_individuals'!$K504,"")</f>
        <v/>
      </c>
      <c r="AC485" s="497" t="str">
        <f>IF(ISNUMBER('Model_ of_individuals'!AC504), 'Model_ of_individuals'!AC504*'Model_ of_individuals'!$K504,"")</f>
        <v/>
      </c>
      <c r="AD485" s="497" t="str">
        <f>IF(ISNUMBER('Model_ of_individuals'!AD504), 'Model_ of_individuals'!AD504*'Model_ of_individuals'!$K504,"")</f>
        <v/>
      </c>
      <c r="AE485" s="497" t="str">
        <f>IF(ISNUMBER('Model_ of_individuals'!AE504), 'Model_ of_individuals'!AE504*'Model_ of_individuals'!$K504,"")</f>
        <v/>
      </c>
      <c r="AF485" s="497" t="str">
        <f>IF(ISNUMBER('Model_ of_individuals'!AF504), 'Model_ of_individuals'!AF504*'Model_ of_individuals'!$K504,"")</f>
        <v/>
      </c>
      <c r="AG485" s="497" t="str">
        <f>IF(ISNUMBER('Model_ of_individuals'!AG504), 'Model_ of_individuals'!AG504*'Model_ of_individuals'!$K504,"")</f>
        <v/>
      </c>
      <c r="AH485" s="497" t="str">
        <f>IF(ISNUMBER('Model_ of_individuals'!AH504), 'Model_ of_individuals'!AH504*'Model_ of_individuals'!$K504,"")</f>
        <v/>
      </c>
      <c r="AI485" s="497" t="str">
        <f>IF(ISNUMBER('Model_ of_individuals'!AI504), 'Model_ of_individuals'!AI504*'Model_ of_individuals'!$K504,"")</f>
        <v/>
      </c>
      <c r="AJ485" s="497" t="str">
        <f>IF(ISNUMBER('Model_ of_individuals'!AJ504), 'Model_ of_individuals'!AJ504*'Model_ of_individuals'!$K504,"")</f>
        <v/>
      </c>
      <c r="AK485" s="497" t="str">
        <f>IF(ISNUMBER('Model_ of_individuals'!AK504), 'Model_ of_individuals'!AK504*'Model_ of_individuals'!$K504,"")</f>
        <v/>
      </c>
      <c r="AL485" s="497" t="str">
        <f>IF(ISNUMBER('Model_ of_individuals'!AL504), 'Model_ of_individuals'!AL504*'Model_ of_individuals'!$K504,"")</f>
        <v/>
      </c>
      <c r="AM485" s="497" t="str">
        <f>IF(ISNUMBER('Model_ of_individuals'!AM504), 'Model_ of_individuals'!AM504*'Model_ of_individuals'!$K504,"")</f>
        <v/>
      </c>
      <c r="AN485" s="497" t="str">
        <f>IF(ISNUMBER('Model_ of_individuals'!AN504), 'Model_ of_individuals'!AN504*'Model_ of_individuals'!$K504,"")</f>
        <v/>
      </c>
      <c r="AO485" s="497" t="str">
        <f>IF(ISNUMBER('Model_ of_individuals'!AO504), 'Model_ of_individuals'!AO504*'Model_ of_individuals'!$K504,"")</f>
        <v/>
      </c>
      <c r="AP485" s="497" t="str">
        <f>IF(ISNUMBER('Model_ of_individuals'!AP504), 'Model_ of_individuals'!AP504*'Model_ of_individuals'!$K504,"")</f>
        <v/>
      </c>
      <c r="AQ485" s="497" t="str">
        <f>IF(ISNUMBER('Model_ of_individuals'!AQ504), 'Model_ of_individuals'!AQ504*'Model_ of_individuals'!$K504,"")</f>
        <v/>
      </c>
      <c r="AR485" s="497" t="str">
        <f>IF(ISNUMBER('Model_ of_individuals'!AR504), 'Model_ of_individuals'!AR504*'Model_ of_individuals'!$K504,"")</f>
        <v/>
      </c>
      <c r="AS485" s="497" t="str">
        <f>IF(ISNUMBER('Model_ of_individuals'!AS504), 'Model_ of_individuals'!AS504*'Model_ of_individuals'!$K504,"")</f>
        <v/>
      </c>
      <c r="AT485" s="497" t="str">
        <f>IF(ISNUMBER('Model_ of_individuals'!AT504), 'Model_ of_individuals'!AT504*'Model_ of_individuals'!$K504,"")</f>
        <v/>
      </c>
      <c r="AU485" s="497" t="str">
        <f>IF(ISNUMBER('Model_ of_individuals'!AU504), 'Model_ of_individuals'!AU504*'Model_ of_individuals'!$K504,"")</f>
        <v/>
      </c>
      <c r="AV485" s="497" t="str">
        <f>IF(ISNUMBER('Model_ of_individuals'!AV504), 'Model_ of_individuals'!AV504*'Model_ of_individuals'!$K504,"")</f>
        <v/>
      </c>
      <c r="AW485" s="497" t="str">
        <f>IF(ISNUMBER('Model_ of_individuals'!AW504), 'Model_ of_individuals'!AW504*'Model_ of_individuals'!$K504,"")</f>
        <v/>
      </c>
      <c r="AX485" s="497" t="str">
        <f>IF(ISNUMBER('Model_ of_individuals'!AX504), 'Model_ of_individuals'!AX504*'Model_ of_individuals'!$K504,"")</f>
        <v/>
      </c>
    </row>
    <row r="486" spans="1:51" x14ac:dyDescent="0.25">
      <c r="A486" s="518"/>
      <c r="B486" s="504"/>
      <c r="C486" s="107" t="str">
        <f>IF(AND(ISNUMBER(B471), C482&lt;&gt;"", OR('Cost Inputs'!$H$120&lt;&gt;"", 'Cost Inputs'!$I$120&lt;&gt;"", 'Cost Inputs'!$J$120&lt;&gt;"")), _4_5_2, "")</f>
        <v/>
      </c>
      <c r="D486" s="93" t="str">
        <f>IF(AND(C486&lt;&gt;"", 'Cost Inputs'!$G$120&lt;&gt;""), 'Cost Inputs'!$G$120, "")</f>
        <v/>
      </c>
      <c r="E486" s="93" t="str">
        <f>IF(AND(C486&lt;&gt;"", 'Cost Inputs'!$H$120&lt;&gt;""), 'Cost Inputs'!$H$120, "")</f>
        <v/>
      </c>
      <c r="F486" s="93" t="str">
        <f>IF(AND(C486&lt;&gt;"", 'Cost Inputs'!$I$120&lt;&gt;""), 'Cost Inputs'!$I$120, "")</f>
        <v/>
      </c>
      <c r="G486" s="108" t="str">
        <f t="shared" si="39"/>
        <v/>
      </c>
      <c r="H486" s="93" t="str">
        <f>IF(AND(C486&lt;&gt;"", 'Cost Inputs'!$J$120&lt;&gt;""), 'Cost Inputs'!$J$120, "")</f>
        <v/>
      </c>
      <c r="I486" s="93" t="str">
        <f>IF($C486&lt;&gt;"", IF(AND($E486&lt;&gt;"", H486&lt;&gt;""), H486/$E486, 0),"")</f>
        <v/>
      </c>
      <c r="J486" s="93" t="str">
        <f>IF(AND(C486&lt;&gt;"",('Cost Inputs'!$I$120+'Cost Inputs'!$J$120+'Cost Inputs'!$K$120)&gt;0), 'Cost Inputs'!$I$120+'Cost Inputs'!$J$120+'Cost Inputs'!$K$120, "")</f>
        <v/>
      </c>
      <c r="K486" s="93" t="str">
        <f>IF($C486&lt;&gt;"", IF(AND($E486&lt;&gt;"", J486&lt;&gt;""), J486/$E486, 0),"")</f>
        <v/>
      </c>
      <c r="L486" s="525"/>
      <c r="M486" s="525"/>
      <c r="W486" s="93" t="str">
        <f>IF(ISNUMBER('Model_ of_individuals'!W505), 'Model_ of_individuals'!W505*'Model_ of_individuals'!$K505,"")</f>
        <v/>
      </c>
      <c r="X486" s="93" t="str">
        <f>IF(ISNUMBER('Model_ of_individuals'!X505), 'Model_ of_individuals'!X505*'Model_ of_individuals'!$K505,"")</f>
        <v/>
      </c>
      <c r="Y486" s="93" t="str">
        <f>IF(ISNUMBER('Model_ of_individuals'!Y505), 'Model_ of_individuals'!Y505*'Model_ of_individuals'!$K505,"")</f>
        <v/>
      </c>
      <c r="Z486" s="93" t="str">
        <f>IF(ISNUMBER('Model_ of_individuals'!Z505), 'Model_ of_individuals'!Z505*'Model_ of_individuals'!$K505,"")</f>
        <v/>
      </c>
      <c r="AA486" s="93" t="str">
        <f>IF(ISNUMBER('Model_ of_individuals'!AA505), 'Model_ of_individuals'!AA505*'Model_ of_individuals'!$K505,"")</f>
        <v/>
      </c>
      <c r="AB486" s="93" t="str">
        <f>IF(ISNUMBER('Model_ of_individuals'!AB505), 'Model_ of_individuals'!AB505*'Model_ of_individuals'!$K505,"")</f>
        <v/>
      </c>
      <c r="AC486" s="93" t="str">
        <f>IF(ISNUMBER('Model_ of_individuals'!AC505), 'Model_ of_individuals'!AC505*'Model_ of_individuals'!$K505,"")</f>
        <v/>
      </c>
      <c r="AD486" s="93" t="str">
        <f>IF(ISNUMBER('Model_ of_individuals'!AD505), 'Model_ of_individuals'!AD505*'Model_ of_individuals'!$K505,"")</f>
        <v/>
      </c>
      <c r="AE486" s="93" t="str">
        <f>IF(ISNUMBER('Model_ of_individuals'!AE505), 'Model_ of_individuals'!AE505*'Model_ of_individuals'!$K505,"")</f>
        <v/>
      </c>
      <c r="AF486" s="93" t="str">
        <f>IF(ISNUMBER('Model_ of_individuals'!AF505), 'Model_ of_individuals'!AF505*'Model_ of_individuals'!$K505,"")</f>
        <v/>
      </c>
      <c r="AG486" s="93" t="str">
        <f>IF(ISNUMBER('Model_ of_individuals'!AG505), 'Model_ of_individuals'!AG505*'Model_ of_individuals'!$K505,"")</f>
        <v/>
      </c>
      <c r="AH486" s="93" t="str">
        <f>IF(ISNUMBER('Model_ of_individuals'!AH505), 'Model_ of_individuals'!AH505*'Model_ of_individuals'!$K505,"")</f>
        <v/>
      </c>
      <c r="AI486" s="93" t="str">
        <f>IF(ISNUMBER('Model_ of_individuals'!AI505), 'Model_ of_individuals'!AI505*'Model_ of_individuals'!$K505,"")</f>
        <v/>
      </c>
      <c r="AJ486" s="93" t="str">
        <f>IF(ISNUMBER('Model_ of_individuals'!AJ505), 'Model_ of_individuals'!AJ505*'Model_ of_individuals'!$K505,"")</f>
        <v/>
      </c>
      <c r="AK486" s="93" t="str">
        <f>IF(ISNUMBER('Model_ of_individuals'!AK505), 'Model_ of_individuals'!AK505*'Model_ of_individuals'!$K505,"")</f>
        <v/>
      </c>
      <c r="AL486" s="93" t="str">
        <f>IF(ISNUMBER('Model_ of_individuals'!AL505), 'Model_ of_individuals'!AL505*'Model_ of_individuals'!$K505,"")</f>
        <v/>
      </c>
      <c r="AM486" s="93" t="str">
        <f>IF(ISNUMBER('Model_ of_individuals'!AM505), 'Model_ of_individuals'!AM505*'Model_ of_individuals'!$K505,"")</f>
        <v/>
      </c>
      <c r="AN486" s="93" t="str">
        <f>IF(ISNUMBER('Model_ of_individuals'!AN505), 'Model_ of_individuals'!AN505*'Model_ of_individuals'!$K505,"")</f>
        <v/>
      </c>
      <c r="AO486" s="93" t="str">
        <f>IF(ISNUMBER('Model_ of_individuals'!AO505), 'Model_ of_individuals'!AO505*'Model_ of_individuals'!$K505,"")</f>
        <v/>
      </c>
      <c r="AP486" s="93" t="str">
        <f>IF(ISNUMBER('Model_ of_individuals'!AP505), 'Model_ of_individuals'!AP505*'Model_ of_individuals'!$K505,"")</f>
        <v/>
      </c>
      <c r="AQ486" s="93" t="str">
        <f>IF(ISNUMBER('Model_ of_individuals'!AQ505), 'Model_ of_individuals'!AQ505*'Model_ of_individuals'!$K505,"")</f>
        <v/>
      </c>
      <c r="AR486" s="93" t="str">
        <f>IF(ISNUMBER('Model_ of_individuals'!AR505), 'Model_ of_individuals'!AR505*'Model_ of_individuals'!$K505,"")</f>
        <v/>
      </c>
      <c r="AS486" s="93" t="str">
        <f>IF(ISNUMBER('Model_ of_individuals'!AS505), 'Model_ of_individuals'!AS505*'Model_ of_individuals'!$K505,"")</f>
        <v/>
      </c>
      <c r="AT486" s="93" t="str">
        <f>IF(ISNUMBER('Model_ of_individuals'!AT505), 'Model_ of_individuals'!AT505*'Model_ of_individuals'!$K505,"")</f>
        <v/>
      </c>
      <c r="AU486" s="93" t="str">
        <f>IF(ISNUMBER('Model_ of_individuals'!AU505), 'Model_ of_individuals'!AU505*'Model_ of_individuals'!$K505,"")</f>
        <v/>
      </c>
      <c r="AV486" s="93" t="str">
        <f>IF(ISNUMBER('Model_ of_individuals'!AV505), 'Model_ of_individuals'!AV505*'Model_ of_individuals'!$K505,"")</f>
        <v/>
      </c>
      <c r="AW486" s="93" t="str">
        <f>IF(ISNUMBER('Model_ of_individuals'!AW505), 'Model_ of_individuals'!AW505*'Model_ of_individuals'!$K505,"")</f>
        <v/>
      </c>
      <c r="AX486" s="93" t="str">
        <f>IF(ISNUMBER('Model_ of_individuals'!AX505), 'Model_ of_individuals'!AX505*'Model_ of_individuals'!$K505,"")</f>
        <v/>
      </c>
    </row>
    <row r="487" spans="1:51" x14ac:dyDescent="0.25">
      <c r="A487" s="518"/>
      <c r="B487" s="504"/>
      <c r="C487" s="104" t="str">
        <f>IF(AND(ISNUMBER(B471), C482&lt;&gt;"", OR('Cost Inputs'!$H$121&lt;&gt;"", 'Cost Inputs'!$I$121&lt;&gt;"", 'Cost Inputs'!$J$121&lt;&gt;"")), _4_5_3, "")</f>
        <v/>
      </c>
      <c r="D487" s="17" t="str">
        <f>IF(AND(C487&lt;&gt;"", 'Cost Inputs'!$G$121&lt;&gt;""), 'Cost Inputs'!$G$121, "")</f>
        <v/>
      </c>
      <c r="E487" s="17" t="str">
        <f>IF(AND(C487&lt;&gt;"", 'Cost Inputs'!$H$121&lt;&gt;""), 'Cost Inputs'!$H$121, "")</f>
        <v/>
      </c>
      <c r="F487" s="17" t="str">
        <f>IF(AND(C487&lt;&gt;"", 'Cost Inputs'!$I$121&lt;&gt;""), 'Cost Inputs'!$I$121, "")</f>
        <v/>
      </c>
      <c r="G487" s="105" t="str">
        <f t="shared" si="39"/>
        <v/>
      </c>
      <c r="H487" s="17" t="str">
        <f>IF(AND(C487&lt;&gt;"", 'Cost Inputs'!$J$121&lt;&gt;""), 'Cost Inputs'!$J$121, "")</f>
        <v/>
      </c>
      <c r="I487" s="17" t="str">
        <f>IF($C487&lt;&gt;"", IF(AND($E487&lt;&gt;"", H487&lt;&gt;""), H487/$E487, 0),"")</f>
        <v/>
      </c>
      <c r="J487" s="17" t="str">
        <f>IF(AND(C487&lt;&gt;"",('Cost Inputs'!$I$121+'Cost Inputs'!$J$121+'Cost Inputs'!$K$121)&gt;0), 'Cost Inputs'!$I$121+'Cost Inputs'!$J$121+'Cost Inputs'!$K$121, "")</f>
        <v/>
      </c>
      <c r="K487" s="17" t="str">
        <f>IF($C487&lt;&gt;"", IF(AND($E487&lt;&gt;"", J487&lt;&gt;""), J487/$E487, 0),"")</f>
        <v/>
      </c>
      <c r="L487" s="525"/>
      <c r="M487" s="525"/>
      <c r="W487" s="17" t="str">
        <f>IF(ISNUMBER('Model_ of_individuals'!W506), 'Model_ of_individuals'!W506*'Model_ of_individuals'!$K506,"")</f>
        <v/>
      </c>
      <c r="X487" s="17" t="str">
        <f>IF(ISNUMBER('Model_ of_individuals'!X506), 'Model_ of_individuals'!X506*'Model_ of_individuals'!$K506,"")</f>
        <v/>
      </c>
      <c r="Y487" s="17" t="str">
        <f>IF(ISNUMBER('Model_ of_individuals'!Y506), 'Model_ of_individuals'!Y506*'Model_ of_individuals'!$K506,"")</f>
        <v/>
      </c>
      <c r="Z487" s="17" t="str">
        <f>IF(ISNUMBER('Model_ of_individuals'!Z506), 'Model_ of_individuals'!Z506*'Model_ of_individuals'!$K506,"")</f>
        <v/>
      </c>
      <c r="AA487" s="17" t="str">
        <f>IF(ISNUMBER('Model_ of_individuals'!AA506), 'Model_ of_individuals'!AA506*'Model_ of_individuals'!$K506,"")</f>
        <v/>
      </c>
      <c r="AB487" s="17" t="str">
        <f>IF(ISNUMBER('Model_ of_individuals'!AB506), 'Model_ of_individuals'!AB506*'Model_ of_individuals'!$K506,"")</f>
        <v/>
      </c>
      <c r="AC487" s="17" t="str">
        <f>IF(ISNUMBER('Model_ of_individuals'!AC506), 'Model_ of_individuals'!AC506*'Model_ of_individuals'!$K506,"")</f>
        <v/>
      </c>
      <c r="AD487" s="17" t="str">
        <f>IF(ISNUMBER('Model_ of_individuals'!AD506), 'Model_ of_individuals'!AD506*'Model_ of_individuals'!$K506,"")</f>
        <v/>
      </c>
      <c r="AE487" s="17" t="str">
        <f>IF(ISNUMBER('Model_ of_individuals'!AE506), 'Model_ of_individuals'!AE506*'Model_ of_individuals'!$K506,"")</f>
        <v/>
      </c>
      <c r="AF487" s="17" t="str">
        <f>IF(ISNUMBER('Model_ of_individuals'!AF506), 'Model_ of_individuals'!AF506*'Model_ of_individuals'!$K506,"")</f>
        <v/>
      </c>
      <c r="AG487" s="17" t="str">
        <f>IF(ISNUMBER('Model_ of_individuals'!AG506), 'Model_ of_individuals'!AG506*'Model_ of_individuals'!$K506,"")</f>
        <v/>
      </c>
      <c r="AH487" s="17" t="str">
        <f>IF(ISNUMBER('Model_ of_individuals'!AH506), 'Model_ of_individuals'!AH506*'Model_ of_individuals'!$K506,"")</f>
        <v/>
      </c>
      <c r="AI487" s="17" t="str">
        <f>IF(ISNUMBER('Model_ of_individuals'!AI506), 'Model_ of_individuals'!AI506*'Model_ of_individuals'!$K506,"")</f>
        <v/>
      </c>
      <c r="AJ487" s="17" t="str">
        <f>IF(ISNUMBER('Model_ of_individuals'!AJ506), 'Model_ of_individuals'!AJ506*'Model_ of_individuals'!$K506,"")</f>
        <v/>
      </c>
      <c r="AK487" s="17" t="str">
        <f>IF(ISNUMBER('Model_ of_individuals'!AK506), 'Model_ of_individuals'!AK506*'Model_ of_individuals'!$K506,"")</f>
        <v/>
      </c>
      <c r="AL487" s="17" t="str">
        <f>IF(ISNUMBER('Model_ of_individuals'!AL506), 'Model_ of_individuals'!AL506*'Model_ of_individuals'!$K506,"")</f>
        <v/>
      </c>
      <c r="AM487" s="17" t="str">
        <f>IF(ISNUMBER('Model_ of_individuals'!AM506), 'Model_ of_individuals'!AM506*'Model_ of_individuals'!$K506,"")</f>
        <v/>
      </c>
      <c r="AN487" s="17" t="str">
        <f>IF(ISNUMBER('Model_ of_individuals'!AN506), 'Model_ of_individuals'!AN506*'Model_ of_individuals'!$K506,"")</f>
        <v/>
      </c>
      <c r="AO487" s="17" t="str">
        <f>IF(ISNUMBER('Model_ of_individuals'!AO506), 'Model_ of_individuals'!AO506*'Model_ of_individuals'!$K506,"")</f>
        <v/>
      </c>
      <c r="AP487" s="17" t="str">
        <f>IF(ISNUMBER('Model_ of_individuals'!AP506), 'Model_ of_individuals'!AP506*'Model_ of_individuals'!$K506,"")</f>
        <v/>
      </c>
      <c r="AQ487" s="17" t="str">
        <f>IF(ISNUMBER('Model_ of_individuals'!AQ506), 'Model_ of_individuals'!AQ506*'Model_ of_individuals'!$K506,"")</f>
        <v/>
      </c>
      <c r="AR487" s="17" t="str">
        <f>IF(ISNUMBER('Model_ of_individuals'!AR506), 'Model_ of_individuals'!AR506*'Model_ of_individuals'!$K506,"")</f>
        <v/>
      </c>
      <c r="AS487" s="17" t="str">
        <f>IF(ISNUMBER('Model_ of_individuals'!AS506), 'Model_ of_individuals'!AS506*'Model_ of_individuals'!$K506,"")</f>
        <v/>
      </c>
      <c r="AT487" s="17" t="str">
        <f>IF(ISNUMBER('Model_ of_individuals'!AT506), 'Model_ of_individuals'!AT506*'Model_ of_individuals'!$K506,"")</f>
        <v/>
      </c>
      <c r="AU487" s="17" t="str">
        <f>IF(ISNUMBER('Model_ of_individuals'!AU506), 'Model_ of_individuals'!AU506*'Model_ of_individuals'!$K506,"")</f>
        <v/>
      </c>
      <c r="AV487" s="17" t="str">
        <f>IF(ISNUMBER('Model_ of_individuals'!AV506), 'Model_ of_individuals'!AV506*'Model_ of_individuals'!$K506,"")</f>
        <v/>
      </c>
      <c r="AW487" s="17" t="str">
        <f>IF(ISNUMBER('Model_ of_individuals'!AW506), 'Model_ of_individuals'!AW506*'Model_ of_individuals'!$K506,"")</f>
        <v/>
      </c>
      <c r="AX487" s="17" t="str">
        <f>IF(ISNUMBER('Model_ of_individuals'!AX506), 'Model_ of_individuals'!AX506*'Model_ of_individuals'!$K506,"")</f>
        <v/>
      </c>
    </row>
    <row r="488" spans="1:51" x14ac:dyDescent="0.25">
      <c r="A488" s="518"/>
      <c r="B488" s="504"/>
      <c r="C488" s="107" t="str">
        <f>IF(AND(ISNUMBER(B471), C482&lt;&gt;"", OR('Cost Inputs'!$H$122&lt;&gt;"", 'Cost Inputs'!$I$122&lt;&gt;"", 'Cost Inputs'!$J$122&lt;&gt;"")), _4_5_2, "")</f>
        <v/>
      </c>
      <c r="D488" s="93" t="str">
        <f>IF(AND(C488&lt;&gt;"", 'Cost Inputs'!$G$122&lt;&gt;""), 'Cost Inputs'!$G$122, "")</f>
        <v/>
      </c>
      <c r="E488" s="93" t="str">
        <f>IF(AND(C488&lt;&gt;"", 'Cost Inputs'!$H$122&lt;&gt;""), 'Cost Inputs'!$H$122, "")</f>
        <v/>
      </c>
      <c r="F488" s="93" t="str">
        <f>IF(AND(C488&lt;&gt;"", 'Cost Inputs'!$I$122&lt;&gt;""), 'Cost Inputs'!$I$122, "")</f>
        <v/>
      </c>
      <c r="G488" s="108" t="str">
        <f t="shared" si="39"/>
        <v/>
      </c>
      <c r="H488" s="93" t="str">
        <f>IF(AND(C488&lt;&gt;"", 'Cost Inputs'!$J$122&lt;&gt;""), 'Cost Inputs'!$J$122, "")</f>
        <v/>
      </c>
      <c r="I488" s="93" t="str">
        <f>IF($C488&lt;&gt;"", IF(AND($E488&lt;&gt;"", H488&lt;&gt;""), H488/$E488, 0),"")</f>
        <v/>
      </c>
      <c r="J488" s="93" t="str">
        <f>IF(AND(C488&lt;&gt;"",('Cost Inputs'!$I$122+'Cost Inputs'!$J$122+'Cost Inputs'!$K$122)&gt;0), 'Cost Inputs'!$I$122+'Cost Inputs'!$J$122+'Cost Inputs'!$K$122, "")</f>
        <v/>
      </c>
      <c r="K488" s="93" t="str">
        <f>IF($C488&lt;&gt;"", IF(AND($E488&lt;&gt;"", J488&lt;&gt;""), J488/$E488, 0),"")</f>
        <v/>
      </c>
      <c r="L488" s="525"/>
      <c r="M488" s="525"/>
      <c r="W488" s="93" t="str">
        <f>IF(ISNUMBER('Model_ of_individuals'!W507), 'Model_ of_individuals'!W507*'Model_ of_individuals'!$K507,"")</f>
        <v/>
      </c>
      <c r="X488" s="93" t="str">
        <f>IF(ISNUMBER('Model_ of_individuals'!X507), 'Model_ of_individuals'!X507*'Model_ of_individuals'!$K507,"")</f>
        <v/>
      </c>
      <c r="Y488" s="93" t="str">
        <f>IF(ISNUMBER('Model_ of_individuals'!Y507), 'Model_ of_individuals'!Y507*'Model_ of_individuals'!$K507,"")</f>
        <v/>
      </c>
      <c r="Z488" s="93" t="str">
        <f>IF(ISNUMBER('Model_ of_individuals'!Z507), 'Model_ of_individuals'!Z507*'Model_ of_individuals'!$K507,"")</f>
        <v/>
      </c>
      <c r="AA488" s="93" t="str">
        <f>IF(ISNUMBER('Model_ of_individuals'!AA507), 'Model_ of_individuals'!AA507*'Model_ of_individuals'!$K507,"")</f>
        <v/>
      </c>
      <c r="AB488" s="93" t="str">
        <f>IF(ISNUMBER('Model_ of_individuals'!AB507), 'Model_ of_individuals'!AB507*'Model_ of_individuals'!$K507,"")</f>
        <v/>
      </c>
      <c r="AC488" s="93" t="str">
        <f>IF(ISNUMBER('Model_ of_individuals'!AC507), 'Model_ of_individuals'!AC507*'Model_ of_individuals'!$K507,"")</f>
        <v/>
      </c>
      <c r="AD488" s="93" t="str">
        <f>IF(ISNUMBER('Model_ of_individuals'!AD507), 'Model_ of_individuals'!AD507*'Model_ of_individuals'!$K507,"")</f>
        <v/>
      </c>
      <c r="AE488" s="93" t="str">
        <f>IF(ISNUMBER('Model_ of_individuals'!AE507), 'Model_ of_individuals'!AE507*'Model_ of_individuals'!$K507,"")</f>
        <v/>
      </c>
      <c r="AF488" s="93" t="str">
        <f>IF(ISNUMBER('Model_ of_individuals'!AF507), 'Model_ of_individuals'!AF507*'Model_ of_individuals'!$K507,"")</f>
        <v/>
      </c>
      <c r="AG488" s="93" t="str">
        <f>IF(ISNUMBER('Model_ of_individuals'!AG507), 'Model_ of_individuals'!AG507*'Model_ of_individuals'!$K507,"")</f>
        <v/>
      </c>
      <c r="AH488" s="93" t="str">
        <f>IF(ISNUMBER('Model_ of_individuals'!AH507), 'Model_ of_individuals'!AH507*'Model_ of_individuals'!$K507,"")</f>
        <v/>
      </c>
      <c r="AI488" s="93" t="str">
        <f>IF(ISNUMBER('Model_ of_individuals'!AI507), 'Model_ of_individuals'!AI507*'Model_ of_individuals'!$K507,"")</f>
        <v/>
      </c>
      <c r="AJ488" s="93" t="str">
        <f>IF(ISNUMBER('Model_ of_individuals'!AJ507), 'Model_ of_individuals'!AJ507*'Model_ of_individuals'!$K507,"")</f>
        <v/>
      </c>
      <c r="AK488" s="93" t="str">
        <f>IF(ISNUMBER('Model_ of_individuals'!AK507), 'Model_ of_individuals'!AK507*'Model_ of_individuals'!$K507,"")</f>
        <v/>
      </c>
      <c r="AL488" s="93" t="str">
        <f>IF(ISNUMBER('Model_ of_individuals'!AL507), 'Model_ of_individuals'!AL507*'Model_ of_individuals'!$K507,"")</f>
        <v/>
      </c>
      <c r="AM488" s="93" t="str">
        <f>IF(ISNUMBER('Model_ of_individuals'!AM507), 'Model_ of_individuals'!AM507*'Model_ of_individuals'!$K507,"")</f>
        <v/>
      </c>
      <c r="AN488" s="93" t="str">
        <f>IF(ISNUMBER('Model_ of_individuals'!AN507), 'Model_ of_individuals'!AN507*'Model_ of_individuals'!$K507,"")</f>
        <v/>
      </c>
      <c r="AO488" s="93" t="str">
        <f>IF(ISNUMBER('Model_ of_individuals'!AO507), 'Model_ of_individuals'!AO507*'Model_ of_individuals'!$K507,"")</f>
        <v/>
      </c>
      <c r="AP488" s="93" t="str">
        <f>IF(ISNUMBER('Model_ of_individuals'!AP507), 'Model_ of_individuals'!AP507*'Model_ of_individuals'!$K507,"")</f>
        <v/>
      </c>
      <c r="AQ488" s="93" t="str">
        <f>IF(ISNUMBER('Model_ of_individuals'!AQ507), 'Model_ of_individuals'!AQ507*'Model_ of_individuals'!$K507,"")</f>
        <v/>
      </c>
      <c r="AR488" s="93" t="str">
        <f>IF(ISNUMBER('Model_ of_individuals'!AR507), 'Model_ of_individuals'!AR507*'Model_ of_individuals'!$K507,"")</f>
        <v/>
      </c>
      <c r="AS488" s="93" t="str">
        <f>IF(ISNUMBER('Model_ of_individuals'!AS507), 'Model_ of_individuals'!AS507*'Model_ of_individuals'!$K507,"")</f>
        <v/>
      </c>
      <c r="AT488" s="93" t="str">
        <f>IF(ISNUMBER('Model_ of_individuals'!AT507), 'Model_ of_individuals'!AT507*'Model_ of_individuals'!$K507,"")</f>
        <v/>
      </c>
      <c r="AU488" s="93" t="str">
        <f>IF(ISNUMBER('Model_ of_individuals'!AU507), 'Model_ of_individuals'!AU507*'Model_ of_individuals'!$K507,"")</f>
        <v/>
      </c>
      <c r="AV488" s="93" t="str">
        <f>IF(ISNUMBER('Model_ of_individuals'!AV507), 'Model_ of_individuals'!AV507*'Model_ of_individuals'!$K507,"")</f>
        <v/>
      </c>
      <c r="AW488" s="93" t="str">
        <f>IF(ISNUMBER('Model_ of_individuals'!AW507), 'Model_ of_individuals'!AW507*'Model_ of_individuals'!$K507,"")</f>
        <v/>
      </c>
      <c r="AX488" s="93" t="str">
        <f>IF(ISNUMBER('Model_ of_individuals'!AX507), 'Model_ of_individuals'!AX507*'Model_ of_individuals'!$K507,"")</f>
        <v/>
      </c>
    </row>
    <row r="489" spans="1:51" x14ac:dyDescent="0.25">
      <c r="A489" s="518"/>
      <c r="B489" s="504"/>
      <c r="C489" s="104" t="str">
        <f>IF(AND(ISNUMBER(B471), C482&lt;&gt;"", OR('Cost Inputs'!$H$123&lt;&gt;"", 'Cost Inputs'!$I$123&lt;&gt;"", 'Cost Inputs'!$J$123&lt;&gt;"")), _4_5_3, "")</f>
        <v/>
      </c>
      <c r="D489" s="17" t="str">
        <f>IF(AND(C489&lt;&gt;"", 'Cost Inputs'!$G$123&lt;&gt;""), 'Cost Inputs'!$G$123, "")</f>
        <v/>
      </c>
      <c r="E489" s="17" t="str">
        <f>IF(AND(C489&lt;&gt;"", 'Cost Inputs'!$H$123&lt;&gt;""), 'Cost Inputs'!$H$123, "")</f>
        <v/>
      </c>
      <c r="F489" s="17" t="str">
        <f>IF(AND(C489&lt;&gt;"", 'Cost Inputs'!$I$123&lt;&gt;""), 'Cost Inputs'!$I$123, "")</f>
        <v/>
      </c>
      <c r="G489" s="105" t="str">
        <f t="shared" si="39"/>
        <v/>
      </c>
      <c r="H489" s="17" t="str">
        <f>IF(AND(C489&lt;&gt;"", 'Cost Inputs'!$J$123&lt;&gt;""), 'Cost Inputs'!$J$123, "")</f>
        <v/>
      </c>
      <c r="I489" s="17" t="str">
        <f>IF($C489&lt;&gt;"", IF(AND($E489&lt;&gt;"", H489&lt;&gt;""), H489/$E489, 0),"")</f>
        <v/>
      </c>
      <c r="J489" s="17" t="str">
        <f>IF(AND(C489&lt;&gt;"",('Cost Inputs'!$I$123+'Cost Inputs'!$J$123+'Cost Inputs'!$K$123)&gt;0), 'Cost Inputs'!$I$123+'Cost Inputs'!$J$123+'Cost Inputs'!$K$123, "")</f>
        <v/>
      </c>
      <c r="K489" s="17" t="str">
        <f>IF($C489&lt;&gt;"", IF(AND($E489&lt;&gt;"", J489&lt;&gt;""), J489/$E489, 0),"")</f>
        <v/>
      </c>
      <c r="L489" s="525"/>
      <c r="M489" s="525"/>
      <c r="W489" s="17" t="str">
        <f>IF(ISNUMBER('Model_ of_individuals'!W508), 'Model_ of_individuals'!W508*'Model_ of_individuals'!$K508,"")</f>
        <v/>
      </c>
      <c r="X489" s="17" t="str">
        <f>IF(ISNUMBER('Model_ of_individuals'!X508), 'Model_ of_individuals'!X508*'Model_ of_individuals'!$K508,"")</f>
        <v/>
      </c>
      <c r="Y489" s="17" t="str">
        <f>IF(ISNUMBER('Model_ of_individuals'!Y508), 'Model_ of_individuals'!Y508*'Model_ of_individuals'!$K508,"")</f>
        <v/>
      </c>
      <c r="Z489" s="17" t="str">
        <f>IF(ISNUMBER('Model_ of_individuals'!Z508), 'Model_ of_individuals'!Z508*'Model_ of_individuals'!$K508,"")</f>
        <v/>
      </c>
      <c r="AA489" s="17" t="str">
        <f>IF(ISNUMBER('Model_ of_individuals'!AA508), 'Model_ of_individuals'!AA508*'Model_ of_individuals'!$K508,"")</f>
        <v/>
      </c>
      <c r="AB489" s="17" t="str">
        <f>IF(ISNUMBER('Model_ of_individuals'!AB508), 'Model_ of_individuals'!AB508*'Model_ of_individuals'!$K508,"")</f>
        <v/>
      </c>
      <c r="AC489" s="17" t="str">
        <f>IF(ISNUMBER('Model_ of_individuals'!AC508), 'Model_ of_individuals'!AC508*'Model_ of_individuals'!$K508,"")</f>
        <v/>
      </c>
      <c r="AD489" s="17" t="str">
        <f>IF(ISNUMBER('Model_ of_individuals'!AD508), 'Model_ of_individuals'!AD508*'Model_ of_individuals'!$K508,"")</f>
        <v/>
      </c>
      <c r="AE489" s="17" t="str">
        <f>IF(ISNUMBER('Model_ of_individuals'!AE508), 'Model_ of_individuals'!AE508*'Model_ of_individuals'!$K508,"")</f>
        <v/>
      </c>
      <c r="AF489" s="17" t="str">
        <f>IF(ISNUMBER('Model_ of_individuals'!AF508), 'Model_ of_individuals'!AF508*'Model_ of_individuals'!$K508,"")</f>
        <v/>
      </c>
      <c r="AG489" s="17" t="str">
        <f>IF(ISNUMBER('Model_ of_individuals'!AG508), 'Model_ of_individuals'!AG508*'Model_ of_individuals'!$K508,"")</f>
        <v/>
      </c>
      <c r="AH489" s="17" t="str">
        <f>IF(ISNUMBER('Model_ of_individuals'!AH508), 'Model_ of_individuals'!AH508*'Model_ of_individuals'!$K508,"")</f>
        <v/>
      </c>
      <c r="AI489" s="17" t="str">
        <f>IF(ISNUMBER('Model_ of_individuals'!AI508), 'Model_ of_individuals'!AI508*'Model_ of_individuals'!$K508,"")</f>
        <v/>
      </c>
      <c r="AJ489" s="17" t="str">
        <f>IF(ISNUMBER('Model_ of_individuals'!AJ508), 'Model_ of_individuals'!AJ508*'Model_ of_individuals'!$K508,"")</f>
        <v/>
      </c>
      <c r="AK489" s="17" t="str">
        <f>IF(ISNUMBER('Model_ of_individuals'!AK508), 'Model_ of_individuals'!AK508*'Model_ of_individuals'!$K508,"")</f>
        <v/>
      </c>
      <c r="AL489" s="17" t="str">
        <f>IF(ISNUMBER('Model_ of_individuals'!AL508), 'Model_ of_individuals'!AL508*'Model_ of_individuals'!$K508,"")</f>
        <v/>
      </c>
      <c r="AM489" s="17" t="str">
        <f>IF(ISNUMBER('Model_ of_individuals'!AM508), 'Model_ of_individuals'!AM508*'Model_ of_individuals'!$K508,"")</f>
        <v/>
      </c>
      <c r="AN489" s="17" t="str">
        <f>IF(ISNUMBER('Model_ of_individuals'!AN508), 'Model_ of_individuals'!AN508*'Model_ of_individuals'!$K508,"")</f>
        <v/>
      </c>
      <c r="AO489" s="17" t="str">
        <f>IF(ISNUMBER('Model_ of_individuals'!AO508), 'Model_ of_individuals'!AO508*'Model_ of_individuals'!$K508,"")</f>
        <v/>
      </c>
      <c r="AP489" s="17" t="str">
        <f>IF(ISNUMBER('Model_ of_individuals'!AP508), 'Model_ of_individuals'!AP508*'Model_ of_individuals'!$K508,"")</f>
        <v/>
      </c>
      <c r="AQ489" s="17" t="str">
        <f>IF(ISNUMBER('Model_ of_individuals'!AQ508), 'Model_ of_individuals'!AQ508*'Model_ of_individuals'!$K508,"")</f>
        <v/>
      </c>
      <c r="AR489" s="17" t="str">
        <f>IF(ISNUMBER('Model_ of_individuals'!AR508), 'Model_ of_individuals'!AR508*'Model_ of_individuals'!$K508,"")</f>
        <v/>
      </c>
      <c r="AS489" s="17" t="str">
        <f>IF(ISNUMBER('Model_ of_individuals'!AS508), 'Model_ of_individuals'!AS508*'Model_ of_individuals'!$K508,"")</f>
        <v/>
      </c>
      <c r="AT489" s="17" t="str">
        <f>IF(ISNUMBER('Model_ of_individuals'!AT508), 'Model_ of_individuals'!AT508*'Model_ of_individuals'!$K508,"")</f>
        <v/>
      </c>
      <c r="AU489" s="17" t="str">
        <f>IF(ISNUMBER('Model_ of_individuals'!AU508), 'Model_ of_individuals'!AU508*'Model_ of_individuals'!$K508,"")</f>
        <v/>
      </c>
      <c r="AV489" s="17" t="str">
        <f>IF(ISNUMBER('Model_ of_individuals'!AV508), 'Model_ of_individuals'!AV508*'Model_ of_individuals'!$K508,"")</f>
        <v/>
      </c>
      <c r="AW489" s="17" t="str">
        <f>IF(ISNUMBER('Model_ of_individuals'!AW508), 'Model_ of_individuals'!AW508*'Model_ of_individuals'!$K508,"")</f>
        <v/>
      </c>
      <c r="AX489" s="17" t="str">
        <f>IF(ISNUMBER('Model_ of_individuals'!AX508), 'Model_ of_individuals'!AX508*'Model_ of_individuals'!$K508,"")</f>
        <v/>
      </c>
    </row>
    <row r="490" spans="1:51" x14ac:dyDescent="0.25">
      <c r="A490" s="518"/>
      <c r="B490" s="504"/>
      <c r="C490" s="110" t="str">
        <f>IF(ISNUMBER(B471), _4_6_0, "")</f>
        <v/>
      </c>
      <c r="D490" s="94" t="str">
        <f>IF(AND(C490&lt;&gt;"", 'Cost Inputs'!$G$124&lt;&gt;""), 'Cost Inputs'!$G$124, "")</f>
        <v/>
      </c>
      <c r="E490" s="94" t="str">
        <f>IF(AND(C490&lt;&gt;"", 'Cost Inputs'!$H$124&lt;&gt;""), 'Cost Inputs'!$H$124, "")</f>
        <v/>
      </c>
      <c r="F490" s="94" t="str">
        <f>IF(AND(C490&lt;&gt;"", 'Cost Inputs'!$I$124&lt;&gt;""), 'Cost Inputs'!$I$124, "")</f>
        <v/>
      </c>
      <c r="G490" s="102" t="str">
        <f t="shared" si="39"/>
        <v/>
      </c>
      <c r="H490" s="94" t="str">
        <f>IF(AND(C490&lt;&gt;"", 'Cost Inputs'!$J$124&lt;&gt;""), 'Cost Inputs'!$J$124, "")</f>
        <v/>
      </c>
      <c r="I490" s="102" t="str">
        <f>IF($C490&lt;&gt;"",IF(AND($E490&lt;&gt;"",H490&lt;&gt;""), H490/$E490, 0),"")</f>
        <v/>
      </c>
      <c r="J490" s="94" t="str">
        <f>IF(AND(C490&lt;&gt;"",('Cost Inputs'!$I$124+'Cost Inputs'!$J$124+'Cost Inputs'!$K$124)&gt;0), 'Cost Inputs'!$I$124+'Cost Inputs'!$J$124+'Cost Inputs'!$K$124, "")</f>
        <v/>
      </c>
      <c r="K490" s="102" t="str">
        <f>IF($C490&lt;&gt;"",IF(AND($E490&lt;&gt;"",J490&lt;&gt;""), J490/$E490, 0),"")</f>
        <v/>
      </c>
      <c r="L490" s="525"/>
      <c r="M490" s="525"/>
      <c r="W490" s="102" t="str">
        <f>IF(ISNUMBER('Model_ of_individuals'!W509), 'Model_ of_individuals'!W509*'Model_ of_individuals'!$K509,"")</f>
        <v/>
      </c>
      <c r="X490" s="102" t="str">
        <f>IF(ISNUMBER('Model_ of_individuals'!X509), 'Model_ of_individuals'!X509*'Model_ of_individuals'!$K509,"")</f>
        <v/>
      </c>
      <c r="Y490" s="102" t="str">
        <f>IF(ISNUMBER('Model_ of_individuals'!Y509), 'Model_ of_individuals'!Y509*'Model_ of_individuals'!$K509,"")</f>
        <v/>
      </c>
      <c r="Z490" s="102" t="str">
        <f>IF(ISNUMBER('Model_ of_individuals'!Z509), 'Model_ of_individuals'!Z509*'Model_ of_individuals'!$K509,"")</f>
        <v/>
      </c>
      <c r="AA490" s="102" t="str">
        <f>IF(ISNUMBER('Model_ of_individuals'!AA509), 'Model_ of_individuals'!AA509*'Model_ of_individuals'!$K509,"")</f>
        <v/>
      </c>
      <c r="AB490" s="102" t="str">
        <f>IF(ISNUMBER('Model_ of_individuals'!AB509), 'Model_ of_individuals'!AB509*'Model_ of_individuals'!$K509,"")</f>
        <v/>
      </c>
      <c r="AC490" s="102" t="str">
        <f>IF(ISNUMBER('Model_ of_individuals'!AC509), 'Model_ of_individuals'!AC509*'Model_ of_individuals'!$K509,"")</f>
        <v/>
      </c>
      <c r="AD490" s="102" t="str">
        <f>IF(ISNUMBER('Model_ of_individuals'!AD509), 'Model_ of_individuals'!AD509*'Model_ of_individuals'!$K509,"")</f>
        <v/>
      </c>
      <c r="AE490" s="102" t="str">
        <f>IF(ISNUMBER('Model_ of_individuals'!AE509), 'Model_ of_individuals'!AE509*'Model_ of_individuals'!$K509,"")</f>
        <v/>
      </c>
      <c r="AF490" s="102" t="str">
        <f>IF(ISNUMBER('Model_ of_individuals'!AF509), 'Model_ of_individuals'!AF509*'Model_ of_individuals'!$K509,"")</f>
        <v/>
      </c>
      <c r="AG490" s="102" t="str">
        <f>IF(ISNUMBER('Model_ of_individuals'!AG509), 'Model_ of_individuals'!AG509*'Model_ of_individuals'!$K509,"")</f>
        <v/>
      </c>
      <c r="AH490" s="102" t="str">
        <f>IF(ISNUMBER('Model_ of_individuals'!AH509), 'Model_ of_individuals'!AH509*'Model_ of_individuals'!$K509,"")</f>
        <v/>
      </c>
      <c r="AI490" s="102" t="str">
        <f>IF(ISNUMBER('Model_ of_individuals'!AI509), 'Model_ of_individuals'!AI509*'Model_ of_individuals'!$K509,"")</f>
        <v/>
      </c>
      <c r="AJ490" s="102" t="str">
        <f>IF(ISNUMBER('Model_ of_individuals'!AJ509), 'Model_ of_individuals'!AJ509*'Model_ of_individuals'!$K509,"")</f>
        <v/>
      </c>
      <c r="AK490" s="102" t="str">
        <f>IF(ISNUMBER('Model_ of_individuals'!AK509), 'Model_ of_individuals'!AK509*'Model_ of_individuals'!$K509,"")</f>
        <v/>
      </c>
      <c r="AL490" s="102" t="str">
        <f>IF(ISNUMBER('Model_ of_individuals'!AL509), 'Model_ of_individuals'!AL509*'Model_ of_individuals'!$K509,"")</f>
        <v/>
      </c>
      <c r="AM490" s="102" t="str">
        <f>IF(ISNUMBER('Model_ of_individuals'!AM509), 'Model_ of_individuals'!AM509*'Model_ of_individuals'!$K509,"")</f>
        <v/>
      </c>
      <c r="AN490" s="102" t="str">
        <f>IF(ISNUMBER('Model_ of_individuals'!AN509), 'Model_ of_individuals'!AN509*'Model_ of_individuals'!$K509,"")</f>
        <v/>
      </c>
      <c r="AO490" s="102" t="str">
        <f>IF(ISNUMBER('Model_ of_individuals'!AO509), 'Model_ of_individuals'!AO509*'Model_ of_individuals'!$K509,"")</f>
        <v/>
      </c>
      <c r="AP490" s="102" t="str">
        <f>IF(ISNUMBER('Model_ of_individuals'!AP509), 'Model_ of_individuals'!AP509*'Model_ of_individuals'!$K509,"")</f>
        <v/>
      </c>
      <c r="AQ490" s="102" t="str">
        <f>IF(ISNUMBER('Model_ of_individuals'!AQ509), 'Model_ of_individuals'!AQ509*'Model_ of_individuals'!$K509,"")</f>
        <v/>
      </c>
      <c r="AR490" s="102" t="str">
        <f>IF(ISNUMBER('Model_ of_individuals'!AR509), 'Model_ of_individuals'!AR509*'Model_ of_individuals'!$K509,"")</f>
        <v/>
      </c>
      <c r="AS490" s="102" t="str">
        <f>IF(ISNUMBER('Model_ of_individuals'!AS509), 'Model_ of_individuals'!AS509*'Model_ of_individuals'!$K509,"")</f>
        <v/>
      </c>
      <c r="AT490" s="102" t="str">
        <f>IF(ISNUMBER('Model_ of_individuals'!AT509), 'Model_ of_individuals'!AT509*'Model_ of_individuals'!$K509,"")</f>
        <v/>
      </c>
      <c r="AU490" s="102" t="str">
        <f>IF(ISNUMBER('Model_ of_individuals'!AU509), 'Model_ of_individuals'!AU509*'Model_ of_individuals'!$K509,"")</f>
        <v/>
      </c>
      <c r="AV490" s="102" t="str">
        <f>IF(ISNUMBER('Model_ of_individuals'!AV509), 'Model_ of_individuals'!AV509*'Model_ of_individuals'!$K509,"")</f>
        <v/>
      </c>
      <c r="AW490" s="102" t="str">
        <f>IF(ISNUMBER('Model_ of_individuals'!AW509), 'Model_ of_individuals'!AW509*'Model_ of_individuals'!$K509,"")</f>
        <v/>
      </c>
      <c r="AX490" s="102" t="str">
        <f>IF(ISNUMBER('Model_ of_individuals'!AX509), 'Model_ of_individuals'!AX509*'Model_ of_individuals'!$K509,"")</f>
        <v/>
      </c>
    </row>
    <row r="491" spans="1:51" x14ac:dyDescent="0.25">
      <c r="A491" s="518"/>
      <c r="B491" s="504"/>
      <c r="C491" s="104" t="str">
        <f>IF(AND(ISNUMBER(B471), OR('Cost Inputs'!$H$125&lt;&gt;"", 'Cost Inputs'!$I$125&lt;&gt;"", 'Cost Inputs'!$J$125&lt;&gt;"")), _4_5_3, "")</f>
        <v/>
      </c>
      <c r="D491" s="17" t="str">
        <f>IF(AND(C491&lt;&gt;"", 'Cost Inputs'!$G$125&lt;&gt;""), 'Cost Inputs'!$G$125, "")</f>
        <v/>
      </c>
      <c r="E491" s="17" t="str">
        <f>IF(AND(C491&lt;&gt;"", 'Cost Inputs'!$H$125&lt;&gt;""), 'Cost Inputs'!$H$125, "")</f>
        <v/>
      </c>
      <c r="F491" s="17" t="str">
        <f>IF(AND(C491&lt;&gt;"", 'Cost Inputs'!$I$125&lt;&gt;""), 'Cost Inputs'!$I$125, "")</f>
        <v/>
      </c>
      <c r="G491" s="105" t="str">
        <f t="shared" si="39"/>
        <v/>
      </c>
      <c r="H491" s="17" t="str">
        <f>IF(AND(C491&lt;&gt;"", 'Cost Inputs'!$J$125&lt;&gt;""), 'Cost Inputs'!$J$125, "")</f>
        <v/>
      </c>
      <c r="I491" s="17" t="str">
        <f>IF($C491&lt;&gt;"", IF(AND($E491&lt;&gt;"", H491&lt;&gt;""), H491/$E491, 0),"")</f>
        <v/>
      </c>
      <c r="J491" s="17" t="str">
        <f>IF(AND(C491&lt;&gt;"",('Cost Inputs'!$I$125+'Cost Inputs'!$J$125+'Cost Inputs'!$K$125)&gt;0), 'Cost Inputs'!$I$125+'Cost Inputs'!$J$125+'Cost Inputs'!$K$125, "")</f>
        <v/>
      </c>
      <c r="K491" s="17" t="str">
        <f>IF($C491&lt;&gt;"", IF(AND($E491&lt;&gt;"", J491&lt;&gt;""), J491/$E491, 0),"")</f>
        <v/>
      </c>
      <c r="L491" s="525"/>
      <c r="M491" s="525"/>
      <c r="W491" s="17" t="str">
        <f>IF(ISNUMBER('Model_ of_individuals'!W510), 'Model_ of_individuals'!W510*'Model_ of_individuals'!$K510,"")</f>
        <v/>
      </c>
      <c r="X491" s="17" t="str">
        <f>IF(ISNUMBER('Model_ of_individuals'!X510), 'Model_ of_individuals'!X510*'Model_ of_individuals'!$K510,"")</f>
        <v/>
      </c>
      <c r="Y491" s="17" t="str">
        <f>IF(ISNUMBER('Model_ of_individuals'!Y510), 'Model_ of_individuals'!Y510*'Model_ of_individuals'!$K510,"")</f>
        <v/>
      </c>
      <c r="Z491" s="17" t="str">
        <f>IF(ISNUMBER('Model_ of_individuals'!Z510), 'Model_ of_individuals'!Z510*'Model_ of_individuals'!$K510,"")</f>
        <v/>
      </c>
      <c r="AA491" s="17" t="str">
        <f>IF(ISNUMBER('Model_ of_individuals'!AA510), 'Model_ of_individuals'!AA510*'Model_ of_individuals'!$K510,"")</f>
        <v/>
      </c>
      <c r="AB491" s="17" t="str">
        <f>IF(ISNUMBER('Model_ of_individuals'!AB510), 'Model_ of_individuals'!AB510*'Model_ of_individuals'!$K510,"")</f>
        <v/>
      </c>
      <c r="AC491" s="17" t="str">
        <f>IF(ISNUMBER('Model_ of_individuals'!AC510), 'Model_ of_individuals'!AC510*'Model_ of_individuals'!$K510,"")</f>
        <v/>
      </c>
      <c r="AD491" s="17" t="str">
        <f>IF(ISNUMBER('Model_ of_individuals'!AD510), 'Model_ of_individuals'!AD510*'Model_ of_individuals'!$K510,"")</f>
        <v/>
      </c>
      <c r="AE491" s="17" t="str">
        <f>IF(ISNUMBER('Model_ of_individuals'!AE510), 'Model_ of_individuals'!AE510*'Model_ of_individuals'!$K510,"")</f>
        <v/>
      </c>
      <c r="AF491" s="17" t="str">
        <f>IF(ISNUMBER('Model_ of_individuals'!AF510), 'Model_ of_individuals'!AF510*'Model_ of_individuals'!$K510,"")</f>
        <v/>
      </c>
      <c r="AG491" s="17" t="str">
        <f>IF(ISNUMBER('Model_ of_individuals'!AG510), 'Model_ of_individuals'!AG510*'Model_ of_individuals'!$K510,"")</f>
        <v/>
      </c>
      <c r="AH491" s="17" t="str">
        <f>IF(ISNUMBER('Model_ of_individuals'!AH510), 'Model_ of_individuals'!AH510*'Model_ of_individuals'!$K510,"")</f>
        <v/>
      </c>
      <c r="AI491" s="17" t="str">
        <f>IF(ISNUMBER('Model_ of_individuals'!AI510), 'Model_ of_individuals'!AI510*'Model_ of_individuals'!$K510,"")</f>
        <v/>
      </c>
      <c r="AJ491" s="17" t="str">
        <f>IF(ISNUMBER('Model_ of_individuals'!AJ510), 'Model_ of_individuals'!AJ510*'Model_ of_individuals'!$K510,"")</f>
        <v/>
      </c>
      <c r="AK491" s="17" t="str">
        <f>IF(ISNUMBER('Model_ of_individuals'!AK510), 'Model_ of_individuals'!AK510*'Model_ of_individuals'!$K510,"")</f>
        <v/>
      </c>
      <c r="AL491" s="17" t="str">
        <f>IF(ISNUMBER('Model_ of_individuals'!AL510), 'Model_ of_individuals'!AL510*'Model_ of_individuals'!$K510,"")</f>
        <v/>
      </c>
      <c r="AM491" s="17" t="str">
        <f>IF(ISNUMBER('Model_ of_individuals'!AM510), 'Model_ of_individuals'!AM510*'Model_ of_individuals'!$K510,"")</f>
        <v/>
      </c>
      <c r="AN491" s="17" t="str">
        <f>IF(ISNUMBER('Model_ of_individuals'!AN510), 'Model_ of_individuals'!AN510*'Model_ of_individuals'!$K510,"")</f>
        <v/>
      </c>
      <c r="AO491" s="17" t="str">
        <f>IF(ISNUMBER('Model_ of_individuals'!AO510), 'Model_ of_individuals'!AO510*'Model_ of_individuals'!$K510,"")</f>
        <v/>
      </c>
      <c r="AP491" s="17" t="str">
        <f>IF(ISNUMBER('Model_ of_individuals'!AP510), 'Model_ of_individuals'!AP510*'Model_ of_individuals'!$K510,"")</f>
        <v/>
      </c>
      <c r="AQ491" s="17" t="str">
        <f>IF(ISNUMBER('Model_ of_individuals'!AQ510), 'Model_ of_individuals'!AQ510*'Model_ of_individuals'!$K510,"")</f>
        <v/>
      </c>
      <c r="AR491" s="17" t="str">
        <f>IF(ISNUMBER('Model_ of_individuals'!AR510), 'Model_ of_individuals'!AR510*'Model_ of_individuals'!$K510,"")</f>
        <v/>
      </c>
      <c r="AS491" s="17" t="str">
        <f>IF(ISNUMBER('Model_ of_individuals'!AS510), 'Model_ of_individuals'!AS510*'Model_ of_individuals'!$K510,"")</f>
        <v/>
      </c>
      <c r="AT491" s="17" t="str">
        <f>IF(ISNUMBER('Model_ of_individuals'!AT510), 'Model_ of_individuals'!AT510*'Model_ of_individuals'!$K510,"")</f>
        <v/>
      </c>
      <c r="AU491" s="17" t="str">
        <f>IF(ISNUMBER('Model_ of_individuals'!AU510), 'Model_ of_individuals'!AU510*'Model_ of_individuals'!$K510,"")</f>
        <v/>
      </c>
      <c r="AV491" s="17" t="str">
        <f>IF(ISNUMBER('Model_ of_individuals'!AV510), 'Model_ of_individuals'!AV510*'Model_ of_individuals'!$K510,"")</f>
        <v/>
      </c>
      <c r="AW491" s="17" t="str">
        <f>IF(ISNUMBER('Model_ of_individuals'!AW510), 'Model_ of_individuals'!AW510*'Model_ of_individuals'!$K510,"")</f>
        <v/>
      </c>
      <c r="AX491" s="17" t="str">
        <f>IF(ISNUMBER('Model_ of_individuals'!AX510), 'Model_ of_individuals'!AX510*'Model_ of_individuals'!$K510,"")</f>
        <v/>
      </c>
    </row>
    <row r="492" spans="1:51" ht="15.75" thickBot="1" x14ac:dyDescent="0.3">
      <c r="A492" s="518"/>
      <c r="B492" s="504"/>
      <c r="C492" s="107" t="str">
        <f>IF(AND(ISNUMBER(B471), OR('Cost Inputs'!$H$126&lt;&gt;"", 'Cost Inputs'!$I$126&lt;&gt;"", 'Cost Inputs'!$J$126&lt;&gt;"")), _4_5_2, "")</f>
        <v/>
      </c>
      <c r="D492" s="93" t="str">
        <f>IF(AND(C492&lt;&gt;"", 'Cost Inputs'!$G$126&lt;&gt;""), 'Cost Inputs'!$G$126, "")</f>
        <v/>
      </c>
      <c r="E492" s="93" t="str">
        <f>IF(AND(C492&lt;&gt;"", 'Cost Inputs'!$H$126&lt;&gt;""), 'Cost Inputs'!$H$126, "")</f>
        <v/>
      </c>
      <c r="F492" s="93" t="str">
        <f>IF(AND(C492&lt;&gt;"", 'Cost Inputs'!$I$126&lt;&gt;""), 'Cost Inputs'!$I$126, "")</f>
        <v/>
      </c>
      <c r="G492" s="108" t="str">
        <f t="shared" si="39"/>
        <v/>
      </c>
      <c r="H492" s="93" t="str">
        <f>IF(AND(C492&lt;&gt;"", 'Cost Inputs'!$J$126&lt;&gt;""), 'Cost Inputs'!$J$126, "")</f>
        <v/>
      </c>
      <c r="I492" s="93" t="str">
        <f>IF($C492&lt;&gt;"", IF(AND($E492&lt;&gt;"", H492&lt;&gt;""), H492/$E492, 0),"")</f>
        <v/>
      </c>
      <c r="J492" s="93" t="str">
        <f>IF(AND(C492&lt;&gt;"",('Cost Inputs'!$I$126+'Cost Inputs'!$J$126+'Cost Inputs'!$K$126)&gt;0), 'Cost Inputs'!$I$126+'Cost Inputs'!$J$126+'Cost Inputs'!$K$126, "")</f>
        <v/>
      </c>
      <c r="K492" s="93" t="str">
        <f>IF($C492&lt;&gt;"", IF(AND($E492&lt;&gt;"", J492&lt;&gt;""), J492/$E492, 0),"")</f>
        <v/>
      </c>
      <c r="L492" s="525"/>
      <c r="M492" s="525"/>
      <c r="W492" s="95" t="str">
        <f>IF(ISNUMBER('Model_ of_individuals'!W511), 'Model_ of_individuals'!W511*'Model_ of_individuals'!$K511,"")</f>
        <v/>
      </c>
      <c r="X492" s="95" t="str">
        <f>IF(ISNUMBER('Model_ of_individuals'!X511), 'Model_ of_individuals'!X511*'Model_ of_individuals'!$K511,"")</f>
        <v/>
      </c>
      <c r="Y492" s="95" t="str">
        <f>IF(ISNUMBER('Model_ of_individuals'!Y511), 'Model_ of_individuals'!Y511*'Model_ of_individuals'!$K511,"")</f>
        <v/>
      </c>
      <c r="Z492" s="95" t="str">
        <f>IF(ISNUMBER('Model_ of_individuals'!Z511), 'Model_ of_individuals'!Z511*'Model_ of_individuals'!$K511,"")</f>
        <v/>
      </c>
      <c r="AA492" s="95" t="str">
        <f>IF(ISNUMBER('Model_ of_individuals'!AA511), 'Model_ of_individuals'!AA511*'Model_ of_individuals'!$K511,"")</f>
        <v/>
      </c>
      <c r="AB492" s="95" t="str">
        <f>IF(ISNUMBER('Model_ of_individuals'!AB511), 'Model_ of_individuals'!AB511*'Model_ of_individuals'!$K511,"")</f>
        <v/>
      </c>
      <c r="AC492" s="95" t="str">
        <f>IF(ISNUMBER('Model_ of_individuals'!AC511), 'Model_ of_individuals'!AC511*'Model_ of_individuals'!$K511,"")</f>
        <v/>
      </c>
      <c r="AD492" s="95" t="str">
        <f>IF(ISNUMBER('Model_ of_individuals'!AD511), 'Model_ of_individuals'!AD511*'Model_ of_individuals'!$K511,"")</f>
        <v/>
      </c>
      <c r="AE492" s="95" t="str">
        <f>IF(ISNUMBER('Model_ of_individuals'!AE511), 'Model_ of_individuals'!AE511*'Model_ of_individuals'!$K511,"")</f>
        <v/>
      </c>
      <c r="AF492" s="95" t="str">
        <f>IF(ISNUMBER('Model_ of_individuals'!AF511), 'Model_ of_individuals'!AF511*'Model_ of_individuals'!$K511,"")</f>
        <v/>
      </c>
      <c r="AG492" s="95" t="str">
        <f>IF(ISNUMBER('Model_ of_individuals'!AG511), 'Model_ of_individuals'!AG511*'Model_ of_individuals'!$K511,"")</f>
        <v/>
      </c>
      <c r="AH492" s="95" t="str">
        <f>IF(ISNUMBER('Model_ of_individuals'!AH511), 'Model_ of_individuals'!AH511*'Model_ of_individuals'!$K511,"")</f>
        <v/>
      </c>
      <c r="AI492" s="95" t="str">
        <f>IF(ISNUMBER('Model_ of_individuals'!AI511), 'Model_ of_individuals'!AI511*'Model_ of_individuals'!$K511,"")</f>
        <v/>
      </c>
      <c r="AJ492" s="95" t="str">
        <f>IF(ISNUMBER('Model_ of_individuals'!AJ511), 'Model_ of_individuals'!AJ511*'Model_ of_individuals'!$K511,"")</f>
        <v/>
      </c>
      <c r="AK492" s="95" t="str">
        <f>IF(ISNUMBER('Model_ of_individuals'!AK511), 'Model_ of_individuals'!AK511*'Model_ of_individuals'!$K511,"")</f>
        <v/>
      </c>
      <c r="AL492" s="95" t="str">
        <f>IF(ISNUMBER('Model_ of_individuals'!AL511), 'Model_ of_individuals'!AL511*'Model_ of_individuals'!$K511,"")</f>
        <v/>
      </c>
      <c r="AM492" s="95" t="str">
        <f>IF(ISNUMBER('Model_ of_individuals'!AM511), 'Model_ of_individuals'!AM511*'Model_ of_individuals'!$K511,"")</f>
        <v/>
      </c>
      <c r="AN492" s="95" t="str">
        <f>IF(ISNUMBER('Model_ of_individuals'!AN511), 'Model_ of_individuals'!AN511*'Model_ of_individuals'!$K511,"")</f>
        <v/>
      </c>
      <c r="AO492" s="95" t="str">
        <f>IF(ISNUMBER('Model_ of_individuals'!AO511), 'Model_ of_individuals'!AO511*'Model_ of_individuals'!$K511,"")</f>
        <v/>
      </c>
      <c r="AP492" s="95" t="str">
        <f>IF(ISNUMBER('Model_ of_individuals'!AP511), 'Model_ of_individuals'!AP511*'Model_ of_individuals'!$K511,"")</f>
        <v/>
      </c>
      <c r="AQ492" s="95" t="str">
        <f>IF(ISNUMBER('Model_ of_individuals'!AQ511), 'Model_ of_individuals'!AQ511*'Model_ of_individuals'!$K511,"")</f>
        <v/>
      </c>
      <c r="AR492" s="95" t="str">
        <f>IF(ISNUMBER('Model_ of_individuals'!AR511), 'Model_ of_individuals'!AR511*'Model_ of_individuals'!$K511,"")</f>
        <v/>
      </c>
      <c r="AS492" s="95" t="str">
        <f>IF(ISNUMBER('Model_ of_individuals'!AS511), 'Model_ of_individuals'!AS511*'Model_ of_individuals'!$K511,"")</f>
        <v/>
      </c>
      <c r="AT492" s="95" t="str">
        <f>IF(ISNUMBER('Model_ of_individuals'!AT511), 'Model_ of_individuals'!AT511*'Model_ of_individuals'!$K511,"")</f>
        <v/>
      </c>
      <c r="AU492" s="95" t="str">
        <f>IF(ISNUMBER('Model_ of_individuals'!AU511), 'Model_ of_individuals'!AU511*'Model_ of_individuals'!$K511,"")</f>
        <v/>
      </c>
      <c r="AV492" s="95" t="str">
        <f>IF(ISNUMBER('Model_ of_individuals'!AV511), 'Model_ of_individuals'!AV511*'Model_ of_individuals'!$K511,"")</f>
        <v/>
      </c>
      <c r="AW492" s="95" t="str">
        <f>IF(ISNUMBER('Model_ of_individuals'!AW511), 'Model_ of_individuals'!AW511*'Model_ of_individuals'!$K511,"")</f>
        <v/>
      </c>
      <c r="AX492" s="95" t="str">
        <f>IF(ISNUMBER('Model_ of_individuals'!AX511), 'Model_ of_individuals'!AX511*'Model_ of_individuals'!$K511,"")</f>
        <v/>
      </c>
    </row>
    <row r="493" spans="1:51" ht="6.6" customHeight="1" thickBot="1" x14ac:dyDescent="0.3">
      <c r="A493" s="213"/>
      <c r="B493" s="282"/>
      <c r="C493" s="283"/>
      <c r="D493" s="114"/>
      <c r="E493" s="114"/>
      <c r="F493" s="114"/>
      <c r="G493" s="284"/>
      <c r="H493" s="114"/>
      <c r="I493" s="114"/>
      <c r="J493" s="114"/>
      <c r="K493" s="114"/>
      <c r="L493" s="285"/>
      <c r="M493" s="285"/>
      <c r="N493" s="99"/>
      <c r="O493" s="99"/>
      <c r="P493" s="99"/>
      <c r="Q493" s="99"/>
      <c r="R493" s="99"/>
      <c r="S493" s="99"/>
      <c r="T493" s="99"/>
      <c r="U493" s="99"/>
      <c r="V493" s="286"/>
      <c r="W493" s="288" t="str">
        <f>IF(ISNUMBER($B$471),
IF(AND(ISNUMBER(V$470), V$470&gt;0),
IF(AND(W$269=123, Cultivar_1_Cohort_Year_Selection=$O$268,Cultivar_2_Cohort_Year_Selection=$O$268,Cultivar_3_Cohort_Year_Selection=$O$268), ROUND(MAX(0,(V$470-('Stage 2 Randomized Selection'!L$2*$M471)) - 3),0),
IF(AND(OR(W$269=123, W$269=12), Cultivar_1_Cohort_Year_Selection=$O$268,Cultivar_2_Cohort_Year_Selection=$O$268),  ROUND(MAX(0,(V$470-('Stage 2 Randomized Selection'!K$2*$M471)) - 2),0),
IF(AND(OR(W$269=123, W$269=13), Cultivar_1_Cohort_Year_Selection=$O$268,Cultivar_3_Cohort_Year_Selection=$O$268), ROUND(MAX(0,(V$470-('Stage 2 Randomized Selection'!K$2*$M471)) - 2),0),
IF(AND(OR(W$269=123, W$269=23), Cultivar_2_Cohort_Year_Selection=$O$268,Cultivar_3_Cohort_Year_Selection=$O$268), ROUND(MAX(0,(V$470-('Stage 2 Randomized Selection'!K$2*$M471)) - 2),0),
IF(AND(OR(W$269=123, W$269=12, W$269=13, W$269=1), Cultivar_1_Cohort_Year_Selection=$O$268), ROUND(MAX(0,(V$470-('Stage 2 Randomized Selection'!K$2*$M471)) - 1),0),
IF(AND(OR(W$269=123, W$269=12, W$269=23, W$269=2), Cultivar_2_Cohort_Year_Selection=$O$268), ROUND(MAX(0,(V$470-('Stage 2 Randomized Selection'!K$2*$M471)) - 1),0),
IF(AND(OR(W$269=123, W$269=13, W$269=23, W$269=3), Cultivar_3_Cohort_Year_Selection=$O$268), ROUND(MAX(0,(V$470-('Stage 2 Randomized Selection'!K$2*$M471)) - 1),0),
ROUND(MAX(0,(V$470-('Stage 2 Randomized Selection'!K$2*$M471))),0)))))))),0),"")</f>
        <v/>
      </c>
      <c r="X493" s="288" t="str">
        <f>IF(ISNUMBER($B$471),
IF(AND(ISNUMBER(W$470), W$470&gt;0),
IF(AND(X$269=123, Cultivar_1_Cohort_Year_Selection=$P$268,Cultivar_2_Cohort_Year_Selection=$P$268,Cultivar_3_Cohort_Year_Selection=$P$268), ROUND(MAX(0,(W$470-('Stage 2 Randomized Selection'!M$2*$M471)) - 3),0),
IF(AND(OR(X$269=123, X$269=12), Cultivar_1_Cohort_Year_Selection=$P$268,Cultivar_2_Cohort_Year_Selection=$P$268),  ROUND(MAX(0,(W$470-('Stage 2 Randomized Selection'!L$2*$M471)) - 2),0),
IF(AND(OR(X$269=123, X$269=13), Cultivar_1_Cohort_Year_Selection=$P$268,Cultivar_3_Cohort_Year_Selection=$P$268), ROUND(MAX(0,(W$470-('Stage 2 Randomized Selection'!L$2*$M471)) - 2),0),
IF(AND(OR(X$269=123, X$269=23), Cultivar_2_Cohort_Year_Selection=$P$268,Cultivar_3_Cohort_Year_Selection=$P$268), ROUND(MAX(0,(W$470-('Stage 2 Randomized Selection'!L$2*$M471)) - 2),0),
IF(AND(OR(X$269=123, X$269=12, X$269=13, X$269=1), Cultivar_1_Cohort_Year_Selection=$P$268), ROUND(MAX(0,(W$470-('Stage 2 Randomized Selection'!L$2*$M471)) - 1),0),
IF(AND(OR(X$269=123, X$269=12, X$269=23, X$269=2), Cultivar_2_Cohort_Year_Selection=$P$268), ROUND(MAX(0,(W$470-('Stage 2 Randomized Selection'!L$2*$M471)) - 1),0),
IF(AND(OR(X$269=123, X$269=13, X$269=23, X$269=3), Cultivar_3_Cohort_Year_Selection=$P$268), ROUND(MAX(0,(W$470-('Stage 2 Randomized Selection'!L$2*$M471)) - 1),0),
ROUND(MAX(0,(W$470-('Stage 2 Randomized Selection'!L$2*$M471))),0)))))))),0),"")</f>
        <v/>
      </c>
      <c r="Y493" s="288" t="str">
        <f>IF(ISNUMBER($B$471),
IF(AND(ISNUMBER(X$470), X$470&gt;0),
IF(AND(Y$269=123, Cultivar_1_Cohort_Year_Selection=$Q$268,Cultivar_2_Cohort_Year_Selection=$Q$268,Cultivar_3_Cohort_Year_Selection=$Q$268), ROUND(MAX(0,(X$470-('Stage 2 Randomized Selection'!N$2*$M471)) - 3),0),
IF(AND(OR(Y$269=123, Y$269=12), Cultivar_1_Cohort_Year_Selection=$Q$268,Cultivar_2_Cohort_Year_Selection=$Q$268),  ROUND(MAX(0,(X$470-('Stage 2 Randomized Selection'!M$2*$M471)) - 2),0),
IF(AND(OR(Y$269=123, Y$269=13), Cultivar_1_Cohort_Year_Selection=$Q$268,Cultivar_3_Cohort_Year_Selection=$Q$268), ROUND(MAX(0,(X$470-('Stage 2 Randomized Selection'!M$2*$M471)) - 2),0),
IF(AND(OR(Y$269=123, Y$269=23), Cultivar_2_Cohort_Year_Selection=$Q$268,Cultivar_3_Cohort_Year_Selection=$Q$268), ROUND(MAX(0,(X$470-('Stage 2 Randomized Selection'!M$2*$M471)) - 2),0),
IF(AND(OR(Y$269=123, Y$269=12, Y$269=13, Y$269=1), Cultivar_1_Cohort_Year_Selection=$Q$268), ROUND(MAX(0,(X$470-('Stage 2 Randomized Selection'!M$2*$M471)) - 1),0),
IF(AND(OR(Y$269=123, Y$269=12, Y$269=23, Y$269=2), Cultivar_2_Cohort_Year_Selection=$Q$268), ROUND(MAX(0,(X$470-('Stage 2 Randomized Selection'!M$2*$M471)) - 1),0),
IF(AND(OR(Y$269=123, Y$269=13, Y$269=23, Y$269=3), Cultivar_3_Cohort_Year_Selection=$Q$268), ROUND(MAX(0,(X$470-('Stage 2 Randomized Selection'!M$2*$M471)) - 1),0),
ROUND(MAX(0,(X$470-('Stage 2 Randomized Selection'!M$2*$M471))),0)))))))),0),"")</f>
        <v/>
      </c>
      <c r="Z493" s="288" t="str">
        <f>IF(ISNUMBER($B$471),
IF(AND(ISNUMBER(Y$470), Y$470&gt;0),
IF(AND(Z$269=123, Cultivar_1_Cohort_Year_Selection=$R$268,Cultivar_2_Cohort_Year_Selection=$R$268,Cultivar_3_Cohort_Year_Selection=$R$268), ROUND(MAX(0,(Y$470-('Stage 2 Randomized Selection'!O$2*$M471)) - 3),0),
IF(AND(OR(Z$269=123, Z$269=12), Cultivar_1_Cohort_Year_Selection=$R$268,Cultivar_2_Cohort_Year_Selection=$R$268),  ROUND(MAX(0,(Y$470-('Stage 2 Randomized Selection'!N$2*$M471)) - 2),0),
IF(AND(OR(Z$269=123, Z$269=13), Cultivar_1_Cohort_Year_Selection=$R$268,Cultivar_3_Cohort_Year_Selection=$R$268), ROUND(MAX(0,(Y$470-('Stage 2 Randomized Selection'!N$2*$M471)) - 2),0),
IF(AND(OR(Z$269=123, Z$269=23), Cultivar_2_Cohort_Year_Selection=$R$268,Cultivar_3_Cohort_Year_Selection=$R$268), ROUND(MAX(0,(Y$470-('Stage 2 Randomized Selection'!N$2*$M471)) - 2),0),
IF(AND(OR(Z$269=123, Z$269=12, Z$269=13, Z$269=1), Cultivar_1_Cohort_Year_Selection=$R$268), ROUND(MAX(0,(Y$470-('Stage 2 Randomized Selection'!N$2*$M471)) - 1),0),
IF(AND(OR(Z$269=123, Z$269=12, Z$269=23, Z$269=2), Cultivar_2_Cohort_Year_Selection=$R$268), ROUND(MAX(0,(Y$470-('Stage 2 Randomized Selection'!N$2*$M471)) - 1),0),
IF(AND(OR(Z$269=123, Z$269=13, Z$269=23, Z$269=3), Cultivar_3_Cohort_Year_Selection=$R$268), ROUND(MAX(0,(Y$470-('Stage 2 Randomized Selection'!N$2*$M471)) - 1),0),
ROUND(MAX(0,(Y$470-('Stage 2 Randomized Selection'!N$2*$M471))),0)))))))),0),"")</f>
        <v/>
      </c>
      <c r="AA493" s="288" t="str">
        <f>IF(ISNUMBER($B$471),
IF(AND(ISNUMBER(Z$470), Z$470&gt;0),
IF(AND(AA$269=123, Cultivar_1_Cohort_Year_Selection=$S$268,Cultivar_2_Cohort_Year_Selection=$S$268,Cultivar_3_Cohort_Year_Selection=$S$268), ROUND(MAX(0,(Z$470-('Stage 2 Randomized Selection'!P$2*$M471)) - 3),0),
IF(AND(OR(AA$269=123, AA$269=12), Cultivar_1_Cohort_Year_Selection=$S$268,Cultivar_2_Cohort_Year_Selection=$S$268),  ROUND(MAX(0,(Z$470-('Stage 2 Randomized Selection'!O$2*$M471)) - 2),0),
IF(AND(OR(AA$269=123, AA$269=13), Cultivar_1_Cohort_Year_Selection=$S$268,Cultivar_3_Cohort_Year_Selection=$S$268), ROUND(MAX(0,(Z$470-('Stage 2 Randomized Selection'!O$2*$M471)) - 2),0),
IF(AND(OR(AA$269=123, AA$269=23), Cultivar_2_Cohort_Year_Selection=$S$268,Cultivar_3_Cohort_Year_Selection=$S$268), ROUND(MAX(0,(Z$470-('Stage 2 Randomized Selection'!O$2*$M471)) - 2),0),
IF(AND(OR(AA$269=123, AA$269=12, AA$269=13, AA$269=1), Cultivar_1_Cohort_Year_Selection=$S$268), ROUND(MAX(0,(Z$470-('Stage 2 Randomized Selection'!O$2*$M471)) - 1),0),
IF(AND(OR(AA$269=123, AA$269=12, AA$269=23, AA$269=2), Cultivar_2_Cohort_Year_Selection=$S$268), ROUND(MAX(0,(Z$470-('Stage 2 Randomized Selection'!O$2*$M471)) - 1),0),
IF(AND(OR(AA$269=123, AA$269=13, AA$269=23, AA$269=3), Cultivar_3_Cohort_Year_Selection=$S$268), ROUND(MAX(0,(Z$470-('Stage 2 Randomized Selection'!O$2*$M471)) - 1),0),
ROUND(MAX(0,(Z$470-('Stage 2 Randomized Selection'!O$2*$M471))),0)))))))),0),"")</f>
        <v/>
      </c>
      <c r="AB493" s="288" t="str">
        <f>IF(ISNUMBER($B$471),
IF(AND(ISNUMBER(AA$470), AA$470&gt;0),
IF(AND(AB$269=123, Cultivar_1_Cohort_Year_Selection=$T$268,Cultivar_2_Cohort_Year_Selection=$T$268,Cultivar_3_Cohort_Year_Selection=$T$268), ROUND(MAX(0,(AA$470-('Stage 2 Randomized Selection'!Q$2*$M471)) - 3),0),
IF(AND(OR(AB$269=123, AB$269=12), Cultivar_1_Cohort_Year_Selection=$T$268,Cultivar_2_Cohort_Year_Selection=$T$268),  ROUND(MAX(0,(AA$470-('Stage 2 Randomized Selection'!P$2*$M471)) - 2),0),
IF(AND(OR(AB$269=123, AB$269=13), Cultivar_1_Cohort_Year_Selection=$T$268,Cultivar_3_Cohort_Year_Selection=$T$268), ROUND(MAX(0,(AA$470-('Stage 2 Randomized Selection'!P$2*$M471)) - 2),0),
IF(AND(OR(AB$269=123, AB$269=23), Cultivar_2_Cohort_Year_Selection=$T$268,Cultivar_3_Cohort_Year_Selection=$T$268), ROUND(MAX(0,(AA$470-('Stage 2 Randomized Selection'!P$2*$M471)) - 2),0),
IF(AND(OR(AB$269=123, AB$269=12, AB$269=13, AB$269=1), Cultivar_1_Cohort_Year_Selection=$T$268), ROUND(MAX(0,(AA$470-('Stage 2 Randomized Selection'!P$2*$M471)) - 1),0),
IF(AND(OR(AB$269=123, AB$269=12, AB$269=23, AB$269=2), Cultivar_2_Cohort_Year_Selection=$T$268), ROUND(MAX(0,(AA$470-('Stage 2 Randomized Selection'!P$2*$M471)) - 1),0),
IF(AND(OR(AB$269=123, AB$269=13, AB$269=23, AB$269=3), Cultivar_3_Cohort_Year_Selection=$T$268), ROUND(MAX(0,(AA$470-('Stage 2 Randomized Selection'!P$2*$M471)) - 1),0),
ROUND(MAX(0,(AA$470-('Stage 2 Randomized Selection'!P$2*$M471))),0)))))))),0),"")</f>
        <v/>
      </c>
      <c r="AC493" s="288" t="str">
        <f>IF(ISNUMBER($B$471),
IF(AND(ISNUMBER(AB$470), AB$470&gt;0),
IF(AND(AC$269=123, Cultivar_1_Cohort_Year_Selection=$U$268,Cultivar_2_Cohort_Year_Selection=$U$268,Cultivar_3_Cohort_Year_Selection=$U$268), ROUND(MAX(0,(AB$470-('Stage 2 Randomized Selection'!R$2*$M471)) - 3),0),
IF(AND(OR(AC$269=123, AC$269=12), Cultivar_1_Cohort_Year_Selection=$U$268,Cultivar_2_Cohort_Year_Selection=$U$268),  ROUND(MAX(0,(AB$470-('Stage 2 Randomized Selection'!Q$2*$M471)) - 2),0),
IF(AND(OR(AC$269=123, AC$269=13), Cultivar_1_Cohort_Year_Selection=$U$268,Cultivar_3_Cohort_Year_Selection=$U$268), ROUND(MAX(0,(AB$470-('Stage 2 Randomized Selection'!Q$2*$M471)) - 2),0),
IF(AND(OR(AC$269=123, AC$269=23), Cultivar_2_Cohort_Year_Selection=$U$268,Cultivar_3_Cohort_Year_Selection=$U$268), ROUND(MAX(0,(AB$470-('Stage 2 Randomized Selection'!Q$2*$M471)) - 2),0),
IF(AND(OR(AC$269=123, AC$269=12, AC$269=13, AC$269=1), Cultivar_1_Cohort_Year_Selection=$U$268), ROUND(MAX(0,(AB$470-('Stage 2 Randomized Selection'!Q$2*$M471)) - 1),0),
IF(AND(OR(AC$269=123, AC$269=12, AC$269=23, AC$269=2), Cultivar_2_Cohort_Year_Selection=$U$268), ROUND(MAX(0,(AB$470-('Stage 2 Randomized Selection'!Q$2*$M471)) - 1),0),
IF(AND(OR(AC$269=123, AC$269=13, AC$269=23, AC$269=3), Cultivar_3_Cohort_Year_Selection=$U$268), ROUND(MAX(0,(AB$470-('Stage 2 Randomized Selection'!Q$2*$M471)) - 1),0),
ROUND(MAX(0,(AB$470-('Stage 2 Randomized Selection'!Q$2*$M471))),0)))))))),0),"")</f>
        <v/>
      </c>
      <c r="AD493" s="288" t="str">
        <f>IF(ISNUMBER($B$471),
IF(AND(ISNUMBER(AC$470), AC$470&gt;0),
IF(AND(AD$269=123, Cultivar_1_Cohort_Year_Selection=$V$268,Cultivar_2_Cohort_Year_Selection=$V$268,Cultivar_3_Cohort_Year_Selection=$V$268), ROUND(MAX(0,(AC$470-('Stage 2 Randomized Selection'!S$2*$M471)) - 3),0),
IF(AND(OR(AD$269=123, AD$269=12), Cultivar_1_Cohort_Year_Selection=$V$268,Cultivar_2_Cohort_Year_Selection=$V$268),  ROUND(MAX(0,(AC$470-('Stage 2 Randomized Selection'!R$2*$M471)) - 2),0),
IF(AND(OR(AD$269=123, AD$269=13), Cultivar_1_Cohort_Year_Selection=$V$268,Cultivar_3_Cohort_Year_Selection=$V$268), ROUND(MAX(0,(AC$470-('Stage 2 Randomized Selection'!R$2*$M471)) - 2),0),
IF(AND(OR(AD$269=123, AD$269=23), Cultivar_2_Cohort_Year_Selection=$V$268,Cultivar_3_Cohort_Year_Selection=$V$268), ROUND(MAX(0,(AC$470-('Stage 2 Randomized Selection'!R$2*$M471)) - 2),0),
IF(AND(OR(AD$269=123, AD$269=12, AD$269=13, AD$269=1), Cultivar_1_Cohort_Year_Selection=$V$268), ROUND(MAX(0,(AC$470-('Stage 2 Randomized Selection'!R$2*$M471)) - 1),0),
IF(AND(OR(AD$269=123, AD$269=12, AD$269=23, AD$269=2), Cultivar_2_Cohort_Year_Selection=$V$268), ROUND(MAX(0,(AC$470-('Stage 2 Randomized Selection'!R$2*$M471)) - 1),0),
IF(AND(OR(AD$269=123, AD$269=13, AD$269=23, AD$269=3), Cultivar_3_Cohort_Year_Selection=$V$268), ROUND(MAX(0,(AC$470-('Stage 2 Randomized Selection'!R$2*$M471)) - 1),0),
ROUND(MAX(0,(AC$470-('Stage 2 Randomized Selection'!R$2*$M471))),0)))))))),0),"")</f>
        <v/>
      </c>
      <c r="AE493" s="288" t="str">
        <f>IF(ISNUMBER($B$471),
IF(AND(ISNUMBER(AD$470), AD$470&gt;0),
IF(AND(AE$269=123, Cultivar_1_Cohort_Year_Selection=$W$268,Cultivar_2_Cohort_Year_Selection=$W$268,Cultivar_3_Cohort_Year_Selection=$W$268), ROUND(MAX(0,(AD$470-('Stage 2 Randomized Selection'!T$2*$M471)) - 3),0),
IF(AND(OR(AE$269=123, AE$269=12), Cultivar_1_Cohort_Year_Selection=$W$268,Cultivar_2_Cohort_Year_Selection=$W$268),  ROUND(MAX(0,(AD$470-('Stage 2 Randomized Selection'!S$2*$M471)) - 2),0),
IF(AND(OR(AE$269=123, AE$269=13), Cultivar_1_Cohort_Year_Selection=$W$268,Cultivar_3_Cohort_Year_Selection=$W$268), ROUND(MAX(0,(AD$470-('Stage 2 Randomized Selection'!S$2*$M471)) - 2),0),
IF(AND(OR(AE$269=123, AE$269=23), Cultivar_2_Cohort_Year_Selection=$W$268,Cultivar_3_Cohort_Year_Selection=$W$268), ROUND(MAX(0,(AD$470-('Stage 2 Randomized Selection'!S$2*$M471)) - 2),0),
IF(AND(OR(AE$269=123, AE$269=12, AE$269=13, AE$269=1), Cultivar_1_Cohort_Year_Selection=$W$268), ROUND(MAX(0,(AD$470-('Stage 2 Randomized Selection'!S$2*$M471)) - 1),0),
IF(AND(OR(AE$269=123, AE$269=12, AE$269=23, AE$269=2), Cultivar_2_Cohort_Year_Selection=$W$268), ROUND(MAX(0,(AD$470-('Stage 2 Randomized Selection'!S$2*$M471)) - 1),0),
IF(AND(OR(AE$269=123, AE$269=13, AE$269=23, AE$269=3), Cultivar_3_Cohort_Year_Selection=$W$268), ROUND(MAX(0,(AD$470-('Stage 2 Randomized Selection'!S$2*$M471)) - 1),0),
ROUND(MAX(0,(AD$470-('Stage 2 Randomized Selection'!S$2*$M471))),0)))))))),0),"")</f>
        <v/>
      </c>
      <c r="AF493" s="288" t="str">
        <f>IF(ISNUMBER($B$471),
IF(AND(ISNUMBER(AE$470), AE$470&gt;0),
IF(AND(AF$269=123, Cultivar_1_Cohort_Year_Selection=$X$268,Cultivar_2_Cohort_Year_Selection=$X$268,Cultivar_3_Cohort_Year_Selection=$X$268), ROUND(MAX(0,(AE$470-('Stage 2 Randomized Selection'!U$2*$M471)) - 3),0),
IF(AND(OR(AF$269=123, AF$269=12), Cultivar_1_Cohort_Year_Selection=$X$268,Cultivar_2_Cohort_Year_Selection=$X$268),  ROUND(MAX(0,(AE$470-('Stage 2 Randomized Selection'!T$2*$M471)) - 2),0),
IF(AND(OR(AF$269=123, AF$269=13), Cultivar_1_Cohort_Year_Selection=$X$268,Cultivar_3_Cohort_Year_Selection=$X$268), ROUND(MAX(0,(AE$470-('Stage 2 Randomized Selection'!T$2*$M471)) - 2),0),
IF(AND(OR(AF$269=123, AF$269=23), Cultivar_2_Cohort_Year_Selection=$X$268,Cultivar_3_Cohort_Year_Selection=$X$268), ROUND(MAX(0,(AE$470-('Stage 2 Randomized Selection'!T$2*$M471)) - 2),0),
IF(AND(OR(AF$269=123, AF$269=12, AF$269=13, AF$269=1), Cultivar_1_Cohort_Year_Selection=$X$268), ROUND(MAX(0,(AE$470-('Stage 2 Randomized Selection'!T$2*$M471)) - 1),0),
IF(AND(OR(AF$269=123, AF$269=12, AF$269=23, AF$269=2), Cultivar_2_Cohort_Year_Selection=$X$268), ROUND(MAX(0,(AE$470-('Stage 2 Randomized Selection'!T$2*$M471)) - 1),0),
IF(AND(OR(AF$269=123, AF$269=13, AF$269=23, AF$269=3), Cultivar_3_Cohort_Year_Selection=$X$268), ROUND(MAX(0,(AE$470-('Stage 2 Randomized Selection'!T$2*$M471)) - 1),0),
ROUND(MAX(0,(AE$470-('Stage 2 Randomized Selection'!T$2*$M471))),0)))))))),0),"")</f>
        <v/>
      </c>
      <c r="AG493" s="288" t="str">
        <f>IF(ISNUMBER($B$471),
IF(AND(ISNUMBER(AF$470), AF$470&gt;0),
IF(AND(AG$269=123, Cultivar_1_Cohort_Year_Selection=$Y$268,Cultivar_2_Cohort_Year_Selection=$Y$268,Cultivar_3_Cohort_Year_Selection=$Y$268), ROUND(MAX(0,(AF$470-('Stage 2 Randomized Selection'!V$2*$M471)) - 3),0),
IF(AND(OR(AG$269=123, AG$269=12), Cultivar_1_Cohort_Year_Selection=$Y$268,Cultivar_2_Cohort_Year_Selection=$Y$268),  ROUND(MAX(0,(AF$470-('Stage 2 Randomized Selection'!U$2*$M471)) - 2),0),
IF(AND(OR(AG$269=123, AG$269=13), Cultivar_1_Cohort_Year_Selection=$Y$268,Cultivar_3_Cohort_Year_Selection=$Y$268), ROUND(MAX(0,(AF$470-('Stage 2 Randomized Selection'!U$2*$M471)) - 2),0),
IF(AND(OR(AG$269=123, AG$269=23), Cultivar_2_Cohort_Year_Selection=$Y$268,Cultivar_3_Cohort_Year_Selection=$Y$268), ROUND(MAX(0,(AF$470-('Stage 2 Randomized Selection'!U$2*$M471)) - 2),0),
IF(AND(OR(AG$269=123, AG$269=12, AG$269=13, AG$269=1), Cultivar_1_Cohort_Year_Selection=$Y$268), ROUND(MAX(0,(AF$470-('Stage 2 Randomized Selection'!U$2*$M471)) - 1),0),
IF(AND(OR(AG$269=123, AG$269=12, AG$269=23, AG$269=2), Cultivar_2_Cohort_Year_Selection=$Y$268), ROUND(MAX(0,(AF$470-('Stage 2 Randomized Selection'!U$2*$M471)) - 1),0),
IF(AND(OR(AG$269=123, AG$269=13, AG$269=23, AG$269=3), Cultivar_3_Cohort_Year_Selection=$Y$268), ROUND(MAX(0,(AF$470-('Stage 2 Randomized Selection'!U$2*$M471)) - 1),0),
ROUND(MAX(0,(AF$470-('Stage 2 Randomized Selection'!U$2*$M471))),0)))))))),0),"")</f>
        <v/>
      </c>
      <c r="AH493" s="288" t="str">
        <f>IF(ISNUMBER($B$471),
IF(AND(ISNUMBER(AG$470), AG$470&gt;0),
IF(AND(AH$269=123, Cultivar_1_Cohort_Year_Selection=$Z$268,Cultivar_2_Cohort_Year_Selection=$Z$268,Cultivar_3_Cohort_Year_Selection=$Z$268), ROUND(MAX(0,(AG$470-('Stage 2 Randomized Selection'!W$2*$M471)) - 3),0),
IF(AND(OR(AH$269=123, AH$269=12), Cultivar_1_Cohort_Year_Selection=$Z$268,Cultivar_2_Cohort_Year_Selection=$Z$268),  ROUND(MAX(0,(AG$470-('Stage 2 Randomized Selection'!V$2*$M471)) - 2),0),
IF(AND(OR(AH$269=123, AH$269=13), Cultivar_1_Cohort_Year_Selection=$Z$268,Cultivar_3_Cohort_Year_Selection=$Z$268), ROUND(MAX(0,(AG$470-('Stage 2 Randomized Selection'!V$2*$M471)) - 2),0),
IF(AND(OR(AH$269=123, AH$269=23), Cultivar_2_Cohort_Year_Selection=$Z$268,Cultivar_3_Cohort_Year_Selection=$Z$268), ROUND(MAX(0,(AG$470-('Stage 2 Randomized Selection'!V$2*$M471)) - 2),0),
IF(AND(OR(AH$269=123, AH$269=12, AH$269=13, AH$269=1), Cultivar_1_Cohort_Year_Selection=$Z$268), ROUND(MAX(0,(AG$470-('Stage 2 Randomized Selection'!V$2*$M471)) - 1),0),
IF(AND(OR(AH$269=123, AH$269=12, AH$269=23, AH$269=2), Cultivar_2_Cohort_Year_Selection=$Z$268), ROUND(MAX(0,(AG$470-('Stage 2 Randomized Selection'!V$2*$M471)) - 1),0),
IF(AND(OR(AH$269=123, AH$269=13, AH$269=23, AH$269=3), Cultivar_3_Cohort_Year_Selection=$Z$268), ROUND(MAX(0,(AG$470-('Stage 2 Randomized Selection'!V$2*$M471)) - 1),0),
ROUND(MAX(0,(AG$470-('Stage 2 Randomized Selection'!V$2*$M471))),0)))))))),0),"")</f>
        <v/>
      </c>
      <c r="AI493" s="288" t="str">
        <f>IF(ISNUMBER($B$471),
IF(AND(ISNUMBER(AH$470), AH$470&gt;0),
IF(AND(AI$269=123, Cultivar_1_Cohort_Year_Selection=$AA$268,Cultivar_2_Cohort_Year_Selection=$AA$268,Cultivar_3_Cohort_Year_Selection=$AA$268), ROUND(MAX(0,(AH$470-('Stage 2 Randomized Selection'!X$2*$M471)) - 3),0),
IF(AND(OR(AI$269=123, AI$269=12), Cultivar_1_Cohort_Year_Selection=$AA$268,Cultivar_2_Cohort_Year_Selection=$AA$268),  ROUND(MAX(0,(AH$470-('Stage 2 Randomized Selection'!W$2*$M471)) - 2),0),
IF(AND(OR(AI$269=123, AI$269=13), Cultivar_1_Cohort_Year_Selection=$AA$268,Cultivar_3_Cohort_Year_Selection=$AA$268), ROUND(MAX(0,(AH$470-('Stage 2 Randomized Selection'!W$2*$M471)) - 2),0),
IF(AND(OR(AI$269=123, AI$269=23), Cultivar_2_Cohort_Year_Selection=$AA$268,Cultivar_3_Cohort_Year_Selection=$AA$268), ROUND(MAX(0,(AH$470-('Stage 2 Randomized Selection'!W$2*$M471)) - 2),0),
IF(AND(OR(AI$269=123, AI$269=12, AI$269=13, AI$269=1), Cultivar_1_Cohort_Year_Selection=$AA$268), ROUND(MAX(0,(AH$470-('Stage 2 Randomized Selection'!W$2*$M471)) - 1),0),
IF(AND(OR(AI$269=123, AI$269=12, AI$269=23, AI$269=2), Cultivar_2_Cohort_Year_Selection=$AA$268), ROUND(MAX(0,(AH$470-('Stage 2 Randomized Selection'!W$2*$M471)) - 1),0),
IF(AND(OR(AI$269=123, AI$269=13, AI$269=23, AI$269=3), Cultivar_3_Cohort_Year_Selection=$AA$268), ROUND(MAX(0,(AH$470-('Stage 2 Randomized Selection'!W$2*$M471)) - 1),0),
ROUND(MAX(0,(AH$470-('Stage 2 Randomized Selection'!W$2*$M471))),0)))))))),0),"")</f>
        <v/>
      </c>
      <c r="AJ493" s="288" t="str">
        <f>IF(ISNUMBER($B$471),
IF(AND(ISNUMBER(AI$470), AI$470&gt;0),
IF(AND(AJ$269=123, Cultivar_1_Cohort_Year_Selection=$AB$268,Cultivar_2_Cohort_Year_Selection=$AB$268,Cultivar_3_Cohort_Year_Selection=$AB$268), ROUND(MAX(0,(AI$470-('Stage 2 Randomized Selection'!Y$2*$M471)) - 3),0),
IF(AND(OR(AJ$269=123, AJ$269=12), Cultivar_1_Cohort_Year_Selection=$AB$268,Cultivar_2_Cohort_Year_Selection=$AB$268),  ROUND(MAX(0,(AI$470-('Stage 2 Randomized Selection'!X$2*$M471)) - 2),0),
IF(AND(OR(AJ$269=123, AJ$269=13), Cultivar_1_Cohort_Year_Selection=$AB$268,Cultivar_3_Cohort_Year_Selection=$AB$268), ROUND(MAX(0,(AI$470-('Stage 2 Randomized Selection'!X$2*$M471)) - 2),0),
IF(AND(OR(AJ$269=123, AJ$269=23), Cultivar_2_Cohort_Year_Selection=$AB$268,Cultivar_3_Cohort_Year_Selection=$AB$268), ROUND(MAX(0,(AI$470-('Stage 2 Randomized Selection'!X$2*$M471)) - 2),0),
IF(AND(OR(AJ$269=123, AJ$269=12, AJ$269=13, AJ$269=1), Cultivar_1_Cohort_Year_Selection=$AB$268), ROUND(MAX(0,(AI$470-('Stage 2 Randomized Selection'!X$2*$M471)) - 1),0),
IF(AND(OR(AJ$269=123, AJ$269=12, AJ$269=23, AJ$269=2), Cultivar_2_Cohort_Year_Selection=$AB$268), ROUND(MAX(0,(AI$470-('Stage 2 Randomized Selection'!X$2*$M471)) - 1),0),
IF(AND(OR(AJ$269=123, AJ$269=13, AJ$269=23, AJ$269=3), Cultivar_3_Cohort_Year_Selection=$AB$268), ROUND(MAX(0,(AI$470-('Stage 2 Randomized Selection'!X$2*$M471)) - 1),0),
ROUND(MAX(0,(AI$470-('Stage 2 Randomized Selection'!X$2*$M471))),0)))))))),0),"")</f>
        <v/>
      </c>
      <c r="AK493" s="288" t="str">
        <f>IF(ISNUMBER($B$471),
IF(AND(ISNUMBER(AJ$470), AJ$470&gt;0),
IF(AND(AK$269=123, Cultivar_1_Cohort_Year_Selection=$AC$268,Cultivar_2_Cohort_Year_Selection=$AC$268,Cultivar_3_Cohort_Year_Selection=$AC$268), ROUND(MAX(0,(AJ$470-('Stage 2 Randomized Selection'!Z$2*$M471)) - 3),0),
IF(AND(OR(AK$269=123, AK$269=12), Cultivar_1_Cohort_Year_Selection=$AC$268,Cultivar_2_Cohort_Year_Selection=$AC$268),  ROUND(MAX(0,(AJ$470-('Stage 2 Randomized Selection'!Y$2*$M471)) - 2),0),
IF(AND(OR(AK$269=123, AK$269=13), Cultivar_1_Cohort_Year_Selection=$AC$268,Cultivar_3_Cohort_Year_Selection=$AC$268), ROUND(MAX(0,(AJ$470-('Stage 2 Randomized Selection'!Y$2*$M471)) - 2),0),
IF(AND(OR(AK$269=123, AK$269=23), Cultivar_2_Cohort_Year_Selection=$AC$268,Cultivar_3_Cohort_Year_Selection=$AC$268), ROUND(MAX(0,(AJ$470-('Stage 2 Randomized Selection'!Y$2*$M471)) - 2),0),
IF(AND(OR(AK$269=123, AK$269=12, AK$269=13, AK$269=1), Cultivar_1_Cohort_Year_Selection=$AC$268), ROUND(MAX(0,(AJ$470-('Stage 2 Randomized Selection'!Y$2*$M471)) - 1),0),
IF(AND(OR(AK$269=123, AK$269=12, AK$269=23, AK$269=2), Cultivar_2_Cohort_Year_Selection=$AC$268), ROUND(MAX(0,(AJ$470-('Stage 2 Randomized Selection'!Y$2*$M471)) - 1),0),
IF(AND(OR(AK$269=123, AK$269=13, AK$269=23, AK$269=3), Cultivar_3_Cohort_Year_Selection=$AC$268), ROUND(MAX(0,(AJ$470-('Stage 2 Randomized Selection'!Y$2*$M471)) - 1),0),
ROUND(MAX(0,(AJ$470-('Stage 2 Randomized Selection'!Y$2*$M471))),0)))))))),0),"")</f>
        <v/>
      </c>
      <c r="AL493" s="288" t="str">
        <f>IF(ISNUMBER($B$471),
IF(AND(ISNUMBER(AK$470), AK$470&gt;0),
IF(AND(AL$269=123, Cultivar_1_Cohort_Year_Selection=$AD$268,Cultivar_2_Cohort_Year_Selection=$AD$268,Cultivar_3_Cohort_Year_Selection=$AD$268), ROUND(MAX(0,(AK$470-('Stage 2 Randomized Selection'!AA$2*$M471)) - 3),0),
IF(AND(OR(AL$269=123, AL$269=12), Cultivar_1_Cohort_Year_Selection=$AD$268,Cultivar_2_Cohort_Year_Selection=$AD$268),  ROUND(MAX(0,(AK$470-('Stage 2 Randomized Selection'!Z$2*$M471)) - 2),0),
IF(AND(OR(AL$269=123, AL$269=13), Cultivar_1_Cohort_Year_Selection=$AD$268,Cultivar_3_Cohort_Year_Selection=$AD$268), ROUND(MAX(0,(AK$470-('Stage 2 Randomized Selection'!Z$2*$M471)) - 2),0),
IF(AND(OR(AL$269=123, AL$269=23), Cultivar_2_Cohort_Year_Selection=$AD$268,Cultivar_3_Cohort_Year_Selection=$AD$268), ROUND(MAX(0,(AK$470-('Stage 2 Randomized Selection'!Z$2*$M471)) - 2),0),
IF(AND(OR(AL$269=123, AL$269=12, AL$269=13, AL$269=1), Cultivar_1_Cohort_Year_Selection=$AD$268), ROUND(MAX(0,(AK$470-('Stage 2 Randomized Selection'!Z$2*$M471)) - 1),0),
IF(AND(OR(AL$269=123, AL$269=12, AL$269=23, AL$269=2), Cultivar_2_Cohort_Year_Selection=$AD$268), ROUND(MAX(0,(AK$470-('Stage 2 Randomized Selection'!Z$2*$M471)) - 1),0),
IF(AND(OR(AL$269=123, AL$269=13, AL$269=23, AL$269=3), Cultivar_3_Cohort_Year_Selection=$AD$268), ROUND(MAX(0,(AK$470-('Stage 2 Randomized Selection'!Z$2*$M471)) - 1),0),
ROUND(MAX(0,(AK$470-('Stage 2 Randomized Selection'!Z$2*$M471))),0)))))))),0),"")</f>
        <v/>
      </c>
      <c r="AM493" s="288" t="str">
        <f>IF(ISNUMBER($B$471),
IF(AND(ISNUMBER(AL$470), AL$470&gt;0),
IF(AND(AM$269=123, Cultivar_1_Cohort_Year_Selection=$AE$268,Cultivar_2_Cohort_Year_Selection=$AE$268,Cultivar_3_Cohort_Year_Selection=$AE$268), ROUND(MAX(0,(AL$470-('Stage 2 Randomized Selection'!AB$2*$M471)) - 3),0),
IF(AND(OR(AM$269=123, AM$269=12), Cultivar_1_Cohort_Year_Selection=$AE$268,Cultivar_2_Cohort_Year_Selection=$AE$268),  ROUND(MAX(0,(AL$470-('Stage 2 Randomized Selection'!AA$2*$M471)) - 2),0),
IF(AND(OR(AM$269=123, AM$269=13), Cultivar_1_Cohort_Year_Selection=$AE$268,Cultivar_3_Cohort_Year_Selection=$AE$268), ROUND(MAX(0,(AL$470-('Stage 2 Randomized Selection'!AA$2*$M471)) - 2),0),
IF(AND(OR(AM$269=123, AM$269=23), Cultivar_2_Cohort_Year_Selection=$AE$268,Cultivar_3_Cohort_Year_Selection=$AE$268), ROUND(MAX(0,(AL$470-('Stage 2 Randomized Selection'!AA$2*$M471)) - 2),0),
IF(AND(OR(AM$269=123, AM$269=12, AM$269=13, AM$269=1), Cultivar_1_Cohort_Year_Selection=$AE$268), ROUND(MAX(0,(AL$470-('Stage 2 Randomized Selection'!AA$2*$M471)) - 1),0),
IF(AND(OR(AM$269=123, AM$269=12, AM$269=23, AM$269=2), Cultivar_2_Cohort_Year_Selection=$AE$268), ROUND(MAX(0,(AL$470-('Stage 2 Randomized Selection'!AA$2*$M471)) - 1),0),
IF(AND(OR(AM$269=123, AM$269=13, AM$269=23, AM$269=3), Cultivar_3_Cohort_Year_Selection=$AE$268), ROUND(MAX(0,(AL$470-('Stage 2 Randomized Selection'!AA$2*$M471)) - 1),0),
ROUND(MAX(0,(AL$470-('Stage 2 Randomized Selection'!AA$2*$M471))),0)))))))),0),"")</f>
        <v/>
      </c>
      <c r="AN493" s="288" t="str">
        <f>IF(ISNUMBER($B$471),
IF(AND(ISNUMBER(AM$470), AM$470&gt;0),
IF(AND(AN$269=123, Cultivar_1_Cohort_Year_Selection=$AF$268,Cultivar_2_Cohort_Year_Selection=$AF$268,Cultivar_3_Cohort_Year_Selection=$AF$268), ROUND(MAX(0,(AM$470-('Stage 2 Randomized Selection'!AC$2*$M471)) - 3),0),
IF(AND(OR(AN$269=123, AN$269=12), Cultivar_1_Cohort_Year_Selection=$AF$268,Cultivar_2_Cohort_Year_Selection=$AF$268),  ROUND(MAX(0,(AM$470-('Stage 2 Randomized Selection'!AB$2*$M471)) - 2),0),
IF(AND(OR(AN$269=123, AN$269=13), Cultivar_1_Cohort_Year_Selection=$AF$268,Cultivar_3_Cohort_Year_Selection=$AF$268), ROUND(MAX(0,(AM$470-('Stage 2 Randomized Selection'!AB$2*$M471)) - 2),0),
IF(AND(OR(AN$269=123, AN$269=23), Cultivar_2_Cohort_Year_Selection=$AF$268,Cultivar_3_Cohort_Year_Selection=$AF$268), ROUND(MAX(0,(AM$470-('Stage 2 Randomized Selection'!AB$2*$M471)) - 2),0),
IF(AND(OR(AN$269=123, AN$269=12, AN$269=13, AN$269=1), Cultivar_1_Cohort_Year_Selection=$AF$268), ROUND(MAX(0,(AM$470-('Stage 2 Randomized Selection'!AB$2*$M471)) - 1),0),
IF(AND(OR(AN$269=123, AN$269=12, AN$269=23, AN$269=2), Cultivar_2_Cohort_Year_Selection=$AF$268), ROUND(MAX(0,(AM$470-('Stage 2 Randomized Selection'!AB$2*$M471)) - 1),0),
IF(AND(OR(AN$269=123, AN$269=13, AN$269=23, AN$269=3), Cultivar_3_Cohort_Year_Selection=$AF$268), ROUND(MAX(0,(AM$470-('Stage 2 Randomized Selection'!AB$2*$M471)) - 1),0),
ROUND(MAX(0,(AM$470-('Stage 2 Randomized Selection'!AB$2*$M471))),0)))))))),0),"")</f>
        <v/>
      </c>
      <c r="AO493" s="288" t="str">
        <f>IF(ISNUMBER($B$471),
IF(AND(ISNUMBER(AN$470), AN$470&gt;0),
IF(AND(AO$269=123, Cultivar_1_Cohort_Year_Selection=$AG$268,Cultivar_2_Cohort_Year_Selection=$AG$268,Cultivar_3_Cohort_Year_Selection=$AG$268), ROUND(MAX(0,(AN$470-('Stage 2 Randomized Selection'!AD$2*$M471)) - 3),0),
IF(AND(OR(AO$269=123, AO$269=12), Cultivar_1_Cohort_Year_Selection=$AG$268,Cultivar_2_Cohort_Year_Selection=$AG$268),  ROUND(MAX(0,(AN$470-('Stage 2 Randomized Selection'!AC$2*$M471)) - 2),0),
IF(AND(OR(AO$269=123, AO$269=13), Cultivar_1_Cohort_Year_Selection=$AG$268,Cultivar_3_Cohort_Year_Selection=$AG$268), ROUND(MAX(0,(AN$470-('Stage 2 Randomized Selection'!AC$2*$M471)) - 2),0),
IF(AND(OR(AO$269=123, AO$269=23), Cultivar_2_Cohort_Year_Selection=$AG$268,Cultivar_3_Cohort_Year_Selection=$AG$268), ROUND(MAX(0,(AN$470-('Stage 2 Randomized Selection'!AC$2*$M471)) - 2),0),
IF(AND(OR(AO$269=123, AO$269=12, AO$269=13, AO$269=1), Cultivar_1_Cohort_Year_Selection=$AG$268), ROUND(MAX(0,(AN$470-('Stage 2 Randomized Selection'!AC$2*$M471)) - 1),0),
IF(AND(OR(AO$269=123, AO$269=12, AO$269=23, AO$269=2), Cultivar_2_Cohort_Year_Selection=$AG$268), ROUND(MAX(0,(AN$470-('Stage 2 Randomized Selection'!AC$2*$M471)) - 1),0),
IF(AND(OR(AO$269=123, AO$269=13, AO$269=23, AO$269=3), Cultivar_3_Cohort_Year_Selection=$AG$268), ROUND(MAX(0,(AN$470-('Stage 2 Randomized Selection'!AC$2*$M471)) - 1),0),
ROUND(MAX(0,(AN$470-('Stage 2 Randomized Selection'!AC$2*$M471))),0)))))))),0),"")</f>
        <v/>
      </c>
      <c r="AP493" s="288" t="str">
        <f>IF(ISNUMBER($B$471),
IF(AND(ISNUMBER(AO$470), AO$470&gt;0),
IF(AND(AP$269=123, Cultivar_1_Cohort_Year_Selection=$AH$268,Cultivar_2_Cohort_Year_Selection=$AH$268,Cultivar_3_Cohort_Year_Selection=$AH$268), ROUND(MAX(0,(AO$470-('Stage 2 Randomized Selection'!AE$2*$M471)) - 3),0),
IF(AND(OR(AP$269=123, AP$269=12), Cultivar_1_Cohort_Year_Selection=$AH$268,Cultivar_2_Cohort_Year_Selection=$AH$268),  ROUND(MAX(0,(AO$470-('Stage 2 Randomized Selection'!AD$2*$M471)) - 2),0),
IF(AND(OR(AP$269=123, AP$269=13), Cultivar_1_Cohort_Year_Selection=$AH$268,Cultivar_3_Cohort_Year_Selection=$AH$268), ROUND(MAX(0,(AO$470-('Stage 2 Randomized Selection'!AD$2*$M471)) - 2),0),
IF(AND(OR(AP$269=123, AP$269=23), Cultivar_2_Cohort_Year_Selection=$AH$268,Cultivar_3_Cohort_Year_Selection=$AH$268), ROUND(MAX(0,(AO$470-('Stage 2 Randomized Selection'!AD$2*$M471)) - 2),0),
IF(AND(OR(AP$269=123, AP$269=12, AP$269=13, AP$269=1), Cultivar_1_Cohort_Year_Selection=$AH$268), ROUND(MAX(0,(AO$470-('Stage 2 Randomized Selection'!AD$2*$M471)) - 1),0),
IF(AND(OR(AP$269=123, AP$269=12, AP$269=23, AP$269=2), Cultivar_2_Cohort_Year_Selection=$AH$268), ROUND(MAX(0,(AO$470-('Stage 2 Randomized Selection'!AD$2*$M471)) - 1),0),
IF(AND(OR(AP$269=123, AP$269=13, AP$269=23, AP$269=3), Cultivar_3_Cohort_Year_Selection=$AH$268), ROUND(MAX(0,(AO$470-('Stage 2 Randomized Selection'!AD$2*$M471)) - 1),0),
ROUND(MAX(0,(AO$470-('Stage 2 Randomized Selection'!AD$2*$M471))),0)))))))),0),"")</f>
        <v/>
      </c>
      <c r="AQ493" s="288" t="str">
        <f>IF(ISNUMBER($B$471),
IF(AND(ISNUMBER(AP$470), AP$470&gt;0),
IF(AND(AQ$269=123, Cultivar_1_Cohort_Year_Selection=$AI$268,Cultivar_2_Cohort_Year_Selection=$AI$268,Cultivar_3_Cohort_Year_Selection=$AI$268), ROUND(MAX(0,(AP$470-('Stage 2 Randomized Selection'!AF$2*$M471)) - 3),0),
IF(AND(OR(AQ$269=123, AQ$269=12), Cultivar_1_Cohort_Year_Selection=$AI$268,Cultivar_2_Cohort_Year_Selection=$AI$268),  ROUND(MAX(0,(AP$470-('Stage 2 Randomized Selection'!AE$2*$M471)) - 2),0),
IF(AND(OR(AQ$269=123, AQ$269=13), Cultivar_1_Cohort_Year_Selection=$AI$268,Cultivar_3_Cohort_Year_Selection=$AI$268), ROUND(MAX(0,(AP$470-('Stage 2 Randomized Selection'!AE$2*$M471)) - 2),0),
IF(AND(OR(AQ$269=123, AQ$269=23), Cultivar_2_Cohort_Year_Selection=$AI$268,Cultivar_3_Cohort_Year_Selection=$AI$268), ROUND(MAX(0,(AP$470-('Stage 2 Randomized Selection'!AE$2*$M471)) - 2),0),
IF(AND(OR(AQ$269=123, AQ$269=12, AQ$269=13, AQ$269=1), Cultivar_1_Cohort_Year_Selection=$AI$268), ROUND(MAX(0,(AP$470-('Stage 2 Randomized Selection'!AE$2*$M471)) - 1),0),
IF(AND(OR(AQ$269=123, AQ$269=12, AQ$269=23, AQ$269=2), Cultivar_2_Cohort_Year_Selection=$AI$268), ROUND(MAX(0,(AP$470-('Stage 2 Randomized Selection'!AE$2*$M471)) - 1),0),
IF(AND(OR(AQ$269=123, AQ$269=13, AQ$269=23, AQ$269=3), Cultivar_3_Cohort_Year_Selection=$AI$268), ROUND(MAX(0,(AP$470-('Stage 2 Randomized Selection'!AE$2*$M471)) - 1),0),
ROUND(MAX(0,(AP$470-('Stage 2 Randomized Selection'!AE$2*$M471))),0)))))))),0),"")</f>
        <v/>
      </c>
      <c r="AR493" s="288" t="str">
        <f>IF(ISNUMBER($B$471),
IF(AND(ISNUMBER(AQ$470), AQ$470&gt;0),
IF(AND(AR$269=123, Cultivar_1_Cohort_Year_Selection=$AJ$268,Cultivar_2_Cohort_Year_Selection=$AJ$268,Cultivar_3_Cohort_Year_Selection=$AJ$268), ROUND(MAX(0,(AQ$470-('Stage 2 Randomized Selection'!AG$2*$M471)) - 3),0),
IF(AND(OR(AR$269=123, AR$269=12), Cultivar_1_Cohort_Year_Selection=$AJ$268,Cultivar_2_Cohort_Year_Selection=$AJ$268),  ROUND(MAX(0,(AQ$470-('Stage 2 Randomized Selection'!AF$2*$M471)) - 2),0),
IF(AND(OR(AR$269=123, AR$269=13), Cultivar_1_Cohort_Year_Selection=$AJ$268,Cultivar_3_Cohort_Year_Selection=$AJ$268), ROUND(MAX(0,(AQ$470-('Stage 2 Randomized Selection'!AF$2*$M471)) - 2),0),
IF(AND(OR(AR$269=123, AR$269=23), Cultivar_2_Cohort_Year_Selection=$AJ$268,Cultivar_3_Cohort_Year_Selection=$AJ$268), ROUND(MAX(0,(AQ$470-('Stage 2 Randomized Selection'!AF$2*$M471)) - 2),0),
IF(AND(OR(AR$269=123, AR$269=12, AR$269=13, AR$269=1), Cultivar_1_Cohort_Year_Selection=$AJ$268), ROUND(MAX(0,(AQ$470-('Stage 2 Randomized Selection'!AF$2*$M471)) - 1),0),
IF(AND(OR(AR$269=123, AR$269=12, AR$269=23, AR$269=2), Cultivar_2_Cohort_Year_Selection=$AJ$268), ROUND(MAX(0,(AQ$470-('Stage 2 Randomized Selection'!AF$2*$M471)) - 1),0),
IF(AND(OR(AR$269=123, AR$269=13, AR$269=23, AR$269=3), Cultivar_3_Cohort_Year_Selection=$AJ$268), ROUND(MAX(0,(AQ$470-('Stage 2 Randomized Selection'!AF$2*$M471)) - 1),0),
ROUND(MAX(0,(AQ$470-('Stage 2 Randomized Selection'!AF$2*$M471))),0)))))))),0),"")</f>
        <v/>
      </c>
      <c r="AS493" s="288" t="str">
        <f>IF(ISNUMBER($B$471),
IF(AND(ISNUMBER(AR$470), AR$470&gt;0),
IF(AND(AS$269=123, Cultivar_1_Cohort_Year_Selection=$AK$268,Cultivar_2_Cohort_Year_Selection=$AK$268,Cultivar_3_Cohort_Year_Selection=$AK$268), ROUND(MAX(0,(AR$470-('Stage 2 Randomized Selection'!AH$2*$M471)) - 3),0),
IF(AND(OR(AS$269=123, AS$269=12), Cultivar_1_Cohort_Year_Selection=$AK$268,Cultivar_2_Cohort_Year_Selection=$AK$268),  ROUND(MAX(0,(AR$470-('Stage 2 Randomized Selection'!AG$2*$M471)) - 2),0),
IF(AND(OR(AS$269=123, AS$269=13), Cultivar_1_Cohort_Year_Selection=$AK$268,Cultivar_3_Cohort_Year_Selection=$AK$268), ROUND(MAX(0,(AR$470-('Stage 2 Randomized Selection'!AG$2*$M471)) - 2),0),
IF(AND(OR(AS$269=123, AS$269=23), Cultivar_2_Cohort_Year_Selection=$AK$268,Cultivar_3_Cohort_Year_Selection=$AK$268), ROUND(MAX(0,(AR$470-('Stage 2 Randomized Selection'!AG$2*$M471)) - 2),0),
IF(AND(OR(AS$269=123, AS$269=12, AS$269=13, AS$269=1), Cultivar_1_Cohort_Year_Selection=$AK$268), ROUND(MAX(0,(AR$470-('Stage 2 Randomized Selection'!AG$2*$M471)) - 1),0),
IF(AND(OR(AS$269=123, AS$269=12, AS$269=23, AS$269=2), Cultivar_2_Cohort_Year_Selection=$AK$268), ROUND(MAX(0,(AR$470-('Stage 2 Randomized Selection'!AG$2*$M471)) - 1),0),
IF(AND(OR(AS$269=123, AS$269=13, AS$269=23, AS$269=3), Cultivar_3_Cohort_Year_Selection=$AK$268), ROUND(MAX(0,(AR$470-('Stage 2 Randomized Selection'!AG$2*$M471)) - 1),0),
ROUND(MAX(0,(AR$470-('Stage 2 Randomized Selection'!AG$2*$M471))),0)))))))),0),"")</f>
        <v/>
      </c>
      <c r="AT493" s="288" t="str">
        <f>IF(ISNUMBER($B$471),
IF(AND(ISNUMBER(AS$470), AS$470&gt;0),
IF(AND(AT$269=123, Cultivar_1_Cohort_Year_Selection=$AL$268,Cultivar_2_Cohort_Year_Selection=$AL$268,Cultivar_3_Cohort_Year_Selection=$AL$268), ROUND(MAX(0,(AS$470-('Stage 2 Randomized Selection'!AI$2*$M471)) - 3),0),
IF(AND(OR(AT$269=123, AT$269=12), Cultivar_1_Cohort_Year_Selection=$AL$268,Cultivar_2_Cohort_Year_Selection=$AL$268),  ROUND(MAX(0,(AS$470-('Stage 2 Randomized Selection'!AH$2*$M471)) - 2),0),
IF(AND(OR(AT$269=123, AT$269=13), Cultivar_1_Cohort_Year_Selection=$AL$268,Cultivar_3_Cohort_Year_Selection=$AL$268), ROUND(MAX(0,(AS$470-('Stage 2 Randomized Selection'!AH$2*$M471)) - 2),0),
IF(AND(OR(AT$269=123, AT$269=23), Cultivar_2_Cohort_Year_Selection=$AL$268,Cultivar_3_Cohort_Year_Selection=$AL$268), ROUND(MAX(0,(AS$470-('Stage 2 Randomized Selection'!AH$2*$M471)) - 2),0),
IF(AND(OR(AT$269=123, AT$269=12, AT$269=13, AT$269=1), Cultivar_1_Cohort_Year_Selection=$AL$268), ROUND(MAX(0,(AS$470-('Stage 2 Randomized Selection'!AH$2*$M471)) - 1),0),
IF(AND(OR(AT$269=123, AT$269=12, AT$269=23, AT$269=2), Cultivar_2_Cohort_Year_Selection=$AL$268), ROUND(MAX(0,(AS$470-('Stage 2 Randomized Selection'!AH$2*$M471)) - 1),0),
IF(AND(OR(AT$269=123, AT$269=13, AT$269=23, AT$269=3), Cultivar_3_Cohort_Year_Selection=$AL$268), ROUND(MAX(0,(AS$470-('Stage 2 Randomized Selection'!AH$2*$M471)) - 1),0),
ROUND(MAX(0,(AS$470-('Stage 2 Randomized Selection'!AH$2*$M471))),0)))))))),0),"")</f>
        <v/>
      </c>
      <c r="AU493" s="288" t="str">
        <f>IF(ISNUMBER($B$471),
IF(AND(ISNUMBER(AT$470), AT$470&gt;0),
IF(AND(AU$269=123, Cultivar_1_Cohort_Year_Selection=$AM$268,Cultivar_2_Cohort_Year_Selection=$AM$268,Cultivar_3_Cohort_Year_Selection=$AM$268), ROUND(MAX(0,(AT$470-('Stage 2 Randomized Selection'!AJ$2*$M471)) - 3),0),
IF(AND(OR(AU$269=123, AU$269=12), Cultivar_1_Cohort_Year_Selection=$AM$268,Cultivar_2_Cohort_Year_Selection=$AM$268),  ROUND(MAX(0,(AT$470-('Stage 2 Randomized Selection'!AI$2*$M471)) - 2),0),
IF(AND(OR(AU$269=123, AU$269=13), Cultivar_1_Cohort_Year_Selection=$AM$268,Cultivar_3_Cohort_Year_Selection=$AM$268), ROUND(MAX(0,(AT$470-('Stage 2 Randomized Selection'!AI$2*$M471)) - 2),0),
IF(AND(OR(AU$269=123, AU$269=23), Cultivar_2_Cohort_Year_Selection=$AM$268,Cultivar_3_Cohort_Year_Selection=$AM$268), ROUND(MAX(0,(AT$470-('Stage 2 Randomized Selection'!AI$2*$M471)) - 2),0),
IF(AND(OR(AU$269=123, AU$269=12, AU$269=13, AU$269=1), Cultivar_1_Cohort_Year_Selection=$AM$268), ROUND(MAX(0,(AT$470-('Stage 2 Randomized Selection'!AI$2*$M471)) - 1),0),
IF(AND(OR(AU$269=123, AU$269=12, AU$269=23, AU$269=2), Cultivar_2_Cohort_Year_Selection=$AM$268), ROUND(MAX(0,(AT$470-('Stage 2 Randomized Selection'!AI$2*$M471)) - 1),0),
IF(AND(OR(AU$269=123, AU$269=13, AU$269=23, AU$269=3), Cultivar_3_Cohort_Year_Selection=$AM$268), ROUND(MAX(0,(AT$470-('Stage 2 Randomized Selection'!AI$2*$M471)) - 1),0),
ROUND(MAX(0,(AT$470-('Stage 2 Randomized Selection'!AI$2*$M471))),0)))))))),0),"")</f>
        <v/>
      </c>
      <c r="AV493" s="288" t="str">
        <f>IF(ISNUMBER($B$471),
IF(AND(ISNUMBER(AU$470), AU$470&gt;0),
IF(AND(AV$269=123, Cultivar_1_Cohort_Year_Selection=$AN$268,Cultivar_2_Cohort_Year_Selection=$AN$268,Cultivar_3_Cohort_Year_Selection=$AN$268), ROUND(MAX(0,(AU$470-('Stage 2 Randomized Selection'!AK$2*$M471)) - 3),0),
IF(AND(OR(AV$269=123, AV$269=12), Cultivar_1_Cohort_Year_Selection=$AN$268,Cultivar_2_Cohort_Year_Selection=$AN$268),  ROUND(MAX(0,(AU$470-('Stage 2 Randomized Selection'!AJ$2*$M471)) - 2),0),
IF(AND(OR(AV$269=123, AV$269=13), Cultivar_1_Cohort_Year_Selection=$AN$268,Cultivar_3_Cohort_Year_Selection=$AN$268), ROUND(MAX(0,(AU$470-('Stage 2 Randomized Selection'!AJ$2*$M471)) - 2),0),
IF(AND(OR(AV$269=123, AV$269=23), Cultivar_2_Cohort_Year_Selection=$AN$268,Cultivar_3_Cohort_Year_Selection=$AN$268), ROUND(MAX(0,(AU$470-('Stage 2 Randomized Selection'!AJ$2*$M471)) - 2),0),
IF(AND(OR(AV$269=123, AV$269=12, AV$269=13, AV$269=1), Cultivar_1_Cohort_Year_Selection=$AN$268), ROUND(MAX(0,(AU$470-('Stage 2 Randomized Selection'!AJ$2*$M471)) - 1),0),
IF(AND(OR(AV$269=123, AV$269=12, AV$269=23, AV$269=2), Cultivar_2_Cohort_Year_Selection=$AN$268), ROUND(MAX(0,(AU$470-('Stage 2 Randomized Selection'!AJ$2*$M471)) - 1),0),
IF(AND(OR(AV$269=123, AV$269=13, AV$269=23, AV$269=3), Cultivar_3_Cohort_Year_Selection=$AN$268), ROUND(MAX(0,(AU$470-('Stage 2 Randomized Selection'!AJ$2*$M471)) - 1),0),
ROUND(MAX(0,(AU$470-('Stage 2 Randomized Selection'!AJ$2*$M471))),0)))))))),0),"")</f>
        <v/>
      </c>
      <c r="AW493" s="288" t="str">
        <f>IF(ISNUMBER($B$471),
IF(AND(ISNUMBER(AV$470), AV$470&gt;0),
IF(AND(AW$269=123, Cultivar_1_Cohort_Year_Selection=$AO$268,Cultivar_2_Cohort_Year_Selection=$AO$268,Cultivar_3_Cohort_Year_Selection=$AO$268), ROUND(MAX(0,(AV$470-('Stage 2 Randomized Selection'!AL$2*$M471)) - 3),0),
IF(AND(OR(AW$269=123, AW$269=12), Cultivar_1_Cohort_Year_Selection=$AO$268,Cultivar_2_Cohort_Year_Selection=$AO$268),  ROUND(MAX(0,(AV$470-('Stage 2 Randomized Selection'!AK$2*$M471)) - 2),0),
IF(AND(OR(AW$269=123, AW$269=13), Cultivar_1_Cohort_Year_Selection=$AO$268,Cultivar_3_Cohort_Year_Selection=$AO$268), ROUND(MAX(0,(AV$470-('Stage 2 Randomized Selection'!AK$2*$M471)) - 2),0),
IF(AND(OR(AW$269=123, AW$269=23), Cultivar_2_Cohort_Year_Selection=$AO$268,Cultivar_3_Cohort_Year_Selection=$AO$268), ROUND(MAX(0,(AV$470-('Stage 2 Randomized Selection'!AK$2*$M471)) - 2),0),
IF(AND(OR(AW$269=123, AW$269=12, AW$269=13, AW$269=1), Cultivar_1_Cohort_Year_Selection=$AO$268), ROUND(MAX(0,(AV$470-('Stage 2 Randomized Selection'!AK$2*$M471)) - 1),0),
IF(AND(OR(AW$269=123, AW$269=12, AW$269=23, AW$269=2), Cultivar_2_Cohort_Year_Selection=$AO$268), ROUND(MAX(0,(AV$470-('Stage 2 Randomized Selection'!AK$2*$M471)) - 1),0),
IF(AND(OR(AW$269=123, AW$269=13, AW$269=23, AW$269=3), Cultivar_3_Cohort_Year_Selection=$AO$268), ROUND(MAX(0,(AV$470-('Stage 2 Randomized Selection'!AK$2*$M471)) - 1),0),
ROUND(MAX(0,(AV$470-('Stage 2 Randomized Selection'!AK$2*$M471))),0)))))))),0),"")</f>
        <v/>
      </c>
      <c r="AX493" s="288" t="str">
        <f>IF(ISNUMBER($B$471),
IF(AND(ISNUMBER(AW$470), AW$470&gt;0),
IF(AND(AX$269=123, Cultivar_1_Cohort_Year_Selection=$AP$268,Cultivar_2_Cohort_Year_Selection=$AP$268,Cultivar_3_Cohort_Year_Selection=$AP$268), ROUND(MAX(0,(AW$470-('Stage 2 Randomized Selection'!AM$2*$M471)) - 3),0),
IF(AND(OR(AX$269=123, AX$269=12), Cultivar_1_Cohort_Year_Selection=$AP$268,Cultivar_2_Cohort_Year_Selection=$AP$268),  ROUND(MAX(0,(AW$470-('Stage 2 Randomized Selection'!AL$2*$M471)) - 2),0),
IF(AND(OR(AX$269=123, AX$269=13), Cultivar_1_Cohort_Year_Selection=$AP$268,Cultivar_3_Cohort_Year_Selection=$AP$268), ROUND(MAX(0,(AW$470-('Stage 2 Randomized Selection'!AL$2*$M471)) - 2),0),
IF(AND(OR(AX$269=123, AX$269=23), Cultivar_2_Cohort_Year_Selection=$AP$268,Cultivar_3_Cohort_Year_Selection=$AP$268), ROUND(MAX(0,(AW$470-('Stage 2 Randomized Selection'!AL$2*$M471)) - 2),0),
IF(AND(OR(AX$269=123, AX$269=12, AX$269=13, AX$269=1), Cultivar_1_Cohort_Year_Selection=$AP$268), ROUND(MAX(0,(AW$470-('Stage 2 Randomized Selection'!AL$2*$M471)) - 1),0),
IF(AND(OR(AX$269=123, AX$269=12, AX$269=23, AX$269=2), Cultivar_2_Cohort_Year_Selection=$AP$268), ROUND(MAX(0,(AW$470-('Stage 2 Randomized Selection'!AL$2*$M471)) - 1),0),
IF(AND(OR(AX$269=123, AX$269=13, AX$269=23, AX$269=3), Cultivar_3_Cohort_Year_Selection=$AP$268), ROUND(MAX(0,(AW$470-('Stage 2 Randomized Selection'!AL$2*$M471)) - 1),0),
ROUND(MAX(0,(AW$470-('Stage 2 Randomized Selection'!AL$2*$M471))),0)))))))),0),"")</f>
        <v/>
      </c>
    </row>
    <row r="494" spans="1:51" ht="14.45" customHeight="1" x14ac:dyDescent="0.25">
      <c r="A494" s="518" t="str">
        <f>Fourth_Stage</f>
        <v>Stage 2 Clonal Test Plots</v>
      </c>
      <c r="B494" s="504" t="str">
        <f>'Breeding Inputs'!B98</f>
        <v/>
      </c>
      <c r="C494" s="521" t="str">
        <f>IF(ISNUMBER(B494), _4_3_0, "")</f>
        <v/>
      </c>
      <c r="D494" s="94" t="str">
        <f>IF(AND(C494&lt;&gt;"", 'Cost Inputs'!$G$105&lt;&gt;""), 'Cost Inputs'!$G$105, "")</f>
        <v/>
      </c>
      <c r="E494" s="94" t="str">
        <f>IF(AND(C494&lt;&gt;"", 'Cost Inputs'!$H$105&lt;&gt;""), 'Cost Inputs'!$H$105, "")</f>
        <v/>
      </c>
      <c r="F494" s="492" t="str">
        <f>IF(AND(C494&lt;&gt;"", 'Cost Inputs'!$I$105&lt;&gt;""), 'Cost Inputs'!$I$105, "")</f>
        <v/>
      </c>
      <c r="G494" s="102" t="str">
        <f t="shared" si="39"/>
        <v/>
      </c>
      <c r="H494" s="492" t="str">
        <f>IF(AND(C494&lt;&gt;"", 'Cost Inputs'!$J$105&lt;&gt;""), 'Cost Inputs'!$J$105, "")</f>
        <v/>
      </c>
      <c r="I494" s="102" t="str">
        <f>IF($C494&lt;&gt;"",IF(AND($E494&lt;&gt;"",H494&lt;&gt;""), H494/$E494, 0),"")</f>
        <v/>
      </c>
      <c r="J494" s="492" t="str">
        <f>IF(AND(C494&lt;&gt;"",('Cost Inputs'!$I$105+'Cost Inputs'!$J$105+'Cost Inputs'!$K$105)&gt;0), 'Cost Inputs'!$I$105+'Cost Inputs'!$J$105+'Cost Inputs'!$K$105, "")</f>
        <v/>
      </c>
      <c r="K494" s="102" t="str">
        <f>IF($C494&lt;&gt;"",IF(AND($E494&lt;&gt;"",J494&lt;&gt;""), J494/$E494, 0),"")</f>
        <v/>
      </c>
      <c r="L494" s="525" t="str">
        <f>IF(AND($B494&lt;&gt;"", 'Breeding Inputs'!$C$89&lt;&gt;""), INDEX('Breeding Inputs'!$C$89:$C$98, MATCH($B494,'Breeding Inputs'!$B$89:$B$98,0)), IF($B494="", "", 0%))</f>
        <v/>
      </c>
      <c r="M494" s="525" t="str">
        <f>IF(AND($B494&lt;&gt;"", 'Breeding Inputs'!$D$89&lt;&gt;""), INDEX('Breeding Inputs'!$D$89:$D$98, MATCH($B494,'Breeding Inputs'!$B$89:$B$98,0))+INDEX('Breeding Inputs'!$E$89:$E$98, MATCH($B494,'Breeding Inputs'!$B$89:$B$98,0)), IF($B494="", "", 0%))</f>
        <v/>
      </c>
      <c r="X494" s="495" t="str">
        <f>IF(ISNUMBER('Model_ of_individuals'!X513), 'Model_ of_individuals'!X513*'Model_ of_individuals'!$K513,"")</f>
        <v/>
      </c>
      <c r="Y494" s="495" t="str">
        <f>IF(ISNUMBER('Model_ of_individuals'!Y513), 'Model_ of_individuals'!Y513*'Model_ of_individuals'!$K513,"")</f>
        <v/>
      </c>
      <c r="Z494" s="495" t="str">
        <f>IF(ISNUMBER('Model_ of_individuals'!Z513), 'Model_ of_individuals'!Z513*'Model_ of_individuals'!$K513,"")</f>
        <v/>
      </c>
      <c r="AA494" s="495" t="str">
        <f>IF(ISNUMBER('Model_ of_individuals'!AA513), 'Model_ of_individuals'!AA513*'Model_ of_individuals'!$K513,"")</f>
        <v/>
      </c>
      <c r="AB494" s="495" t="str">
        <f>IF(ISNUMBER('Model_ of_individuals'!AB513), 'Model_ of_individuals'!AB513*'Model_ of_individuals'!$K513,"")</f>
        <v/>
      </c>
      <c r="AC494" s="495" t="str">
        <f>IF(ISNUMBER('Model_ of_individuals'!AC513), 'Model_ of_individuals'!AC513*'Model_ of_individuals'!$K513,"")</f>
        <v/>
      </c>
      <c r="AD494" s="495" t="str">
        <f>IF(ISNUMBER('Model_ of_individuals'!AD513), 'Model_ of_individuals'!AD513*'Model_ of_individuals'!$K513,"")</f>
        <v/>
      </c>
      <c r="AE494" s="495" t="str">
        <f>IF(ISNUMBER('Model_ of_individuals'!AE513), 'Model_ of_individuals'!AE513*'Model_ of_individuals'!$K513,"")</f>
        <v/>
      </c>
      <c r="AF494" s="495" t="str">
        <f>IF(ISNUMBER('Model_ of_individuals'!AF513), 'Model_ of_individuals'!AF513*'Model_ of_individuals'!$K513,"")</f>
        <v/>
      </c>
      <c r="AG494" s="495" t="str">
        <f>IF(ISNUMBER('Model_ of_individuals'!AG513), 'Model_ of_individuals'!AG513*'Model_ of_individuals'!$K513,"")</f>
        <v/>
      </c>
      <c r="AH494" s="495" t="str">
        <f>IF(ISNUMBER('Model_ of_individuals'!AH513), 'Model_ of_individuals'!AH513*'Model_ of_individuals'!$K513,"")</f>
        <v/>
      </c>
      <c r="AI494" s="495" t="str">
        <f>IF(ISNUMBER('Model_ of_individuals'!AI513), 'Model_ of_individuals'!AI513*'Model_ of_individuals'!$K513,"")</f>
        <v/>
      </c>
      <c r="AJ494" s="495" t="str">
        <f>IF(ISNUMBER('Model_ of_individuals'!AJ513), 'Model_ of_individuals'!AJ513*'Model_ of_individuals'!$K513,"")</f>
        <v/>
      </c>
      <c r="AK494" s="495" t="str">
        <f>IF(ISNUMBER('Model_ of_individuals'!AK513), 'Model_ of_individuals'!AK513*'Model_ of_individuals'!$K513,"")</f>
        <v/>
      </c>
      <c r="AL494" s="495" t="str">
        <f>IF(ISNUMBER('Model_ of_individuals'!AL513), 'Model_ of_individuals'!AL513*'Model_ of_individuals'!$K513,"")</f>
        <v/>
      </c>
      <c r="AM494" s="495" t="str">
        <f>IF(ISNUMBER('Model_ of_individuals'!AM513), 'Model_ of_individuals'!AM513*'Model_ of_individuals'!$K513,"")</f>
        <v/>
      </c>
      <c r="AN494" s="495" t="str">
        <f>IF(ISNUMBER('Model_ of_individuals'!AN513), 'Model_ of_individuals'!AN513*'Model_ of_individuals'!$K513,"")</f>
        <v/>
      </c>
      <c r="AO494" s="495" t="str">
        <f>IF(ISNUMBER('Model_ of_individuals'!AO513), 'Model_ of_individuals'!AO513*'Model_ of_individuals'!$K513,"")</f>
        <v/>
      </c>
      <c r="AP494" s="495" t="str">
        <f>IF(ISNUMBER('Model_ of_individuals'!AP513), 'Model_ of_individuals'!AP513*'Model_ of_individuals'!$K513,"")</f>
        <v/>
      </c>
      <c r="AQ494" s="495" t="str">
        <f>IF(ISNUMBER('Model_ of_individuals'!AQ513), 'Model_ of_individuals'!AQ513*'Model_ of_individuals'!$K513,"")</f>
        <v/>
      </c>
      <c r="AR494" s="495" t="str">
        <f>IF(ISNUMBER('Model_ of_individuals'!AR513), 'Model_ of_individuals'!AR513*'Model_ of_individuals'!$K513,"")</f>
        <v/>
      </c>
      <c r="AS494" s="495" t="str">
        <f>IF(ISNUMBER('Model_ of_individuals'!AS513), 'Model_ of_individuals'!AS513*'Model_ of_individuals'!$K513,"")</f>
        <v/>
      </c>
      <c r="AT494" s="495" t="str">
        <f>IF(ISNUMBER('Model_ of_individuals'!AT513), 'Model_ of_individuals'!AT513*'Model_ of_individuals'!$K513,"")</f>
        <v/>
      </c>
      <c r="AU494" s="495" t="str">
        <f>IF(ISNUMBER('Model_ of_individuals'!AU513), 'Model_ of_individuals'!AU513*'Model_ of_individuals'!$K513,"")</f>
        <v/>
      </c>
      <c r="AV494" s="495" t="str">
        <f>IF(ISNUMBER('Model_ of_individuals'!AV513), 'Model_ of_individuals'!AV513*'Model_ of_individuals'!$K513,"")</f>
        <v/>
      </c>
      <c r="AW494" s="495" t="str">
        <f>IF(ISNUMBER('Model_ of_individuals'!AW513), 'Model_ of_individuals'!AW513*'Model_ of_individuals'!$K513,"")</f>
        <v/>
      </c>
      <c r="AX494" s="495" t="str">
        <f>IF(ISNUMBER('Model_ of_individuals'!AX513), 'Model_ of_individuals'!AX513*'Model_ of_individuals'!$K513,"")</f>
        <v/>
      </c>
      <c r="AY494" s="495" t="str">
        <f>IF(ISNUMBER('Model_ of_individuals'!AY513), 'Model_ of_individuals'!AY513*'Model_ of_individuals'!$K513,"")</f>
        <v/>
      </c>
    </row>
    <row r="495" spans="1:51" x14ac:dyDescent="0.25">
      <c r="A495" s="518"/>
      <c r="B495" s="504"/>
      <c r="C495" s="521"/>
      <c r="D495" s="94" t="str">
        <f>IF(AND(C494&lt;&gt;"", 'Cost Inputs'!$G$106&lt;&gt;""), 'Cost Inputs'!$G$106, "")</f>
        <v/>
      </c>
      <c r="E495" s="94" t="str">
        <f>IF(AND(C494&lt;&gt;"", 'Cost Inputs'!H323&lt;&gt;""), 'Cost Inputs'!H323, "")</f>
        <v/>
      </c>
      <c r="F495" s="492"/>
      <c r="G495" s="102" t="str">
        <f t="shared" si="39"/>
        <v/>
      </c>
      <c r="H495" s="492"/>
      <c r="I495" s="102" t="str">
        <f>IF($C494&lt;&gt;"", IF(AND($E495&lt;&gt;"", H494&lt;&gt;""), H494/($E494*$E495), 0), "")</f>
        <v/>
      </c>
      <c r="J495" s="492" t="str">
        <f>IF(AND(C495&lt;&gt;"",('Cost Inputs'!$I$86+'Cost Inputs'!$J$86+'Cost Inputs'!$K$86)&gt;0), 'Cost Inputs'!$I$86+'Cost Inputs'!$J$86+'Cost Inputs'!$K$86, "")</f>
        <v/>
      </c>
      <c r="K495" s="102" t="str">
        <f>IF($C494&lt;&gt;"", IF(AND($E495&lt;&gt;"", J494&lt;&gt;""), J494/($E494*$E495), 0), "")</f>
        <v/>
      </c>
      <c r="L495" s="525"/>
      <c r="M495" s="525"/>
      <c r="X495" s="496" t="str">
        <f>IF(ISNUMBER('Model_ of_individuals'!X514), 'Model_ of_individuals'!X514*'Model_ of_individuals'!$K514,"")</f>
        <v/>
      </c>
      <c r="Y495" s="496" t="str">
        <f>IF(ISNUMBER('Model_ of_individuals'!Y514), 'Model_ of_individuals'!Y514*'Model_ of_individuals'!$K514,"")</f>
        <v/>
      </c>
      <c r="Z495" s="496" t="str">
        <f>IF(ISNUMBER('Model_ of_individuals'!Z514), 'Model_ of_individuals'!Z514*'Model_ of_individuals'!$K514,"")</f>
        <v/>
      </c>
      <c r="AA495" s="496" t="str">
        <f>IF(ISNUMBER('Model_ of_individuals'!AA514), 'Model_ of_individuals'!AA514*'Model_ of_individuals'!$K514,"")</f>
        <v/>
      </c>
      <c r="AB495" s="496" t="str">
        <f>IF(ISNUMBER('Model_ of_individuals'!AB514), 'Model_ of_individuals'!AB514*'Model_ of_individuals'!$K514,"")</f>
        <v/>
      </c>
      <c r="AC495" s="496" t="str">
        <f>IF(ISNUMBER('Model_ of_individuals'!AC514), 'Model_ of_individuals'!AC514*'Model_ of_individuals'!$K514,"")</f>
        <v/>
      </c>
      <c r="AD495" s="496" t="str">
        <f>IF(ISNUMBER('Model_ of_individuals'!AD514), 'Model_ of_individuals'!AD514*'Model_ of_individuals'!$K514,"")</f>
        <v/>
      </c>
      <c r="AE495" s="496" t="str">
        <f>IF(ISNUMBER('Model_ of_individuals'!AE514), 'Model_ of_individuals'!AE514*'Model_ of_individuals'!$K514,"")</f>
        <v/>
      </c>
      <c r="AF495" s="496" t="str">
        <f>IF(ISNUMBER('Model_ of_individuals'!AF514), 'Model_ of_individuals'!AF514*'Model_ of_individuals'!$K514,"")</f>
        <v/>
      </c>
      <c r="AG495" s="496" t="str">
        <f>IF(ISNUMBER('Model_ of_individuals'!AG514), 'Model_ of_individuals'!AG514*'Model_ of_individuals'!$K514,"")</f>
        <v/>
      </c>
      <c r="AH495" s="496" t="str">
        <f>IF(ISNUMBER('Model_ of_individuals'!AH514), 'Model_ of_individuals'!AH514*'Model_ of_individuals'!$K514,"")</f>
        <v/>
      </c>
      <c r="AI495" s="496" t="str">
        <f>IF(ISNUMBER('Model_ of_individuals'!AI514), 'Model_ of_individuals'!AI514*'Model_ of_individuals'!$K514,"")</f>
        <v/>
      </c>
      <c r="AJ495" s="496" t="str">
        <f>IF(ISNUMBER('Model_ of_individuals'!AJ514), 'Model_ of_individuals'!AJ514*'Model_ of_individuals'!$K514,"")</f>
        <v/>
      </c>
      <c r="AK495" s="496" t="str">
        <f>IF(ISNUMBER('Model_ of_individuals'!AK514), 'Model_ of_individuals'!AK514*'Model_ of_individuals'!$K514,"")</f>
        <v/>
      </c>
      <c r="AL495" s="496" t="str">
        <f>IF(ISNUMBER('Model_ of_individuals'!AL514), 'Model_ of_individuals'!AL514*'Model_ of_individuals'!$K514,"")</f>
        <v/>
      </c>
      <c r="AM495" s="496" t="str">
        <f>IF(ISNUMBER('Model_ of_individuals'!AM514), 'Model_ of_individuals'!AM514*'Model_ of_individuals'!$K514,"")</f>
        <v/>
      </c>
      <c r="AN495" s="496" t="str">
        <f>IF(ISNUMBER('Model_ of_individuals'!AN514), 'Model_ of_individuals'!AN514*'Model_ of_individuals'!$K514,"")</f>
        <v/>
      </c>
      <c r="AO495" s="496" t="str">
        <f>IF(ISNUMBER('Model_ of_individuals'!AO514), 'Model_ of_individuals'!AO514*'Model_ of_individuals'!$K514,"")</f>
        <v/>
      </c>
      <c r="AP495" s="496" t="str">
        <f>IF(ISNUMBER('Model_ of_individuals'!AP514), 'Model_ of_individuals'!AP514*'Model_ of_individuals'!$K514,"")</f>
        <v/>
      </c>
      <c r="AQ495" s="496" t="str">
        <f>IF(ISNUMBER('Model_ of_individuals'!AQ514), 'Model_ of_individuals'!AQ514*'Model_ of_individuals'!$K514,"")</f>
        <v/>
      </c>
      <c r="AR495" s="496" t="str">
        <f>IF(ISNUMBER('Model_ of_individuals'!AR514), 'Model_ of_individuals'!AR514*'Model_ of_individuals'!$K514,"")</f>
        <v/>
      </c>
      <c r="AS495" s="496" t="str">
        <f>IF(ISNUMBER('Model_ of_individuals'!AS514), 'Model_ of_individuals'!AS514*'Model_ of_individuals'!$K514,"")</f>
        <v/>
      </c>
      <c r="AT495" s="496" t="str">
        <f>IF(ISNUMBER('Model_ of_individuals'!AT514), 'Model_ of_individuals'!AT514*'Model_ of_individuals'!$K514,"")</f>
        <v/>
      </c>
      <c r="AU495" s="496" t="str">
        <f>IF(ISNUMBER('Model_ of_individuals'!AU514), 'Model_ of_individuals'!AU514*'Model_ of_individuals'!$K514,"")</f>
        <v/>
      </c>
      <c r="AV495" s="496" t="str">
        <f>IF(ISNUMBER('Model_ of_individuals'!AV514), 'Model_ of_individuals'!AV514*'Model_ of_individuals'!$K514,"")</f>
        <v/>
      </c>
      <c r="AW495" s="496" t="str">
        <f>IF(ISNUMBER('Model_ of_individuals'!AW514), 'Model_ of_individuals'!AW514*'Model_ of_individuals'!$K514,"")</f>
        <v/>
      </c>
      <c r="AX495" s="496" t="str">
        <f>IF(ISNUMBER('Model_ of_individuals'!AX514), 'Model_ of_individuals'!AX514*'Model_ of_individuals'!$K514,"")</f>
        <v/>
      </c>
      <c r="AY495" s="496" t="str">
        <f>IF(ISNUMBER('Model_ of_individuals'!AY514), 'Model_ of_individuals'!AY514*'Model_ of_individuals'!$K514,"")</f>
        <v/>
      </c>
    </row>
    <row r="496" spans="1:51" x14ac:dyDescent="0.25">
      <c r="A496" s="518"/>
      <c r="B496" s="504"/>
      <c r="C496" s="104" t="str">
        <f>IF(AND(ISNUMBER(B494), OR('Cost Inputs'!$H$107&lt;&gt;"", 'Cost Inputs'!$I$107&lt;&gt;"", 'Cost Inputs'!$J$107&lt;&gt;"")), _4_3_1, "")</f>
        <v/>
      </c>
      <c r="D496" s="17" t="str">
        <f>IF(AND(C496&lt;&gt;"", 'Cost Inputs'!$G$107&lt;&gt;""), 'Cost Inputs'!$G$107, "")</f>
        <v/>
      </c>
      <c r="E496" s="17" t="str">
        <f>IF(AND(C496&lt;&gt;"", 'Cost Inputs'!$H$107&lt;&gt;""), 'Cost Inputs'!$H$107, "")</f>
        <v/>
      </c>
      <c r="F496" s="17" t="str">
        <f>IF(AND(C496&lt;&gt;"", 'Cost Inputs'!$I$107&lt;&gt;""), 'Cost Inputs'!$I$107, "")</f>
        <v/>
      </c>
      <c r="G496" s="105" t="str">
        <f t="shared" si="39"/>
        <v/>
      </c>
      <c r="H496" s="17" t="str">
        <f>IF(AND(C496&lt;&gt;"", 'Cost Inputs'!$J$107&lt;&gt;""), 'Cost Inputs'!$J$107, "")</f>
        <v/>
      </c>
      <c r="I496" s="17" t="str">
        <f t="shared" ref="I496:I504" si="42">IF($C496&lt;&gt;"", IF(AND($E496&lt;&gt;"", H496&lt;&gt;""), H496/$E496, 0),"")</f>
        <v/>
      </c>
      <c r="J496" s="17" t="str">
        <f>IF(AND(C496&lt;&gt;"",('Cost Inputs'!$I$107+'Cost Inputs'!$J$107+'Cost Inputs'!$K$107)&gt;0), 'Cost Inputs'!$I$107+'Cost Inputs'!$J$107+'Cost Inputs'!$K$107, "")</f>
        <v/>
      </c>
      <c r="K496" s="17" t="str">
        <f t="shared" ref="K496:K504" si="43">IF($C496&lt;&gt;"", IF(AND($E496&lt;&gt;"", J496&lt;&gt;""), J496/$E496, 0),"")</f>
        <v/>
      </c>
      <c r="L496" s="525"/>
      <c r="M496" s="525"/>
      <c r="X496" s="17" t="str">
        <f>IF(ISNUMBER('Model_ of_individuals'!X515), 'Model_ of_individuals'!X515*'Model_ of_individuals'!$K515,"")</f>
        <v/>
      </c>
      <c r="Y496" s="17" t="str">
        <f>IF(ISNUMBER('Model_ of_individuals'!Y515), 'Model_ of_individuals'!Y515*'Model_ of_individuals'!$K515,"")</f>
        <v/>
      </c>
      <c r="Z496" s="17" t="str">
        <f>IF(ISNUMBER('Model_ of_individuals'!Z515), 'Model_ of_individuals'!Z515*'Model_ of_individuals'!$K515,"")</f>
        <v/>
      </c>
      <c r="AA496" s="17" t="str">
        <f>IF(ISNUMBER('Model_ of_individuals'!AA515), 'Model_ of_individuals'!AA515*'Model_ of_individuals'!$K515,"")</f>
        <v/>
      </c>
      <c r="AB496" s="17" t="str">
        <f>IF(ISNUMBER('Model_ of_individuals'!AB515), 'Model_ of_individuals'!AB515*'Model_ of_individuals'!$K515,"")</f>
        <v/>
      </c>
      <c r="AC496" s="17" t="str">
        <f>IF(ISNUMBER('Model_ of_individuals'!AC515), 'Model_ of_individuals'!AC515*'Model_ of_individuals'!$K515,"")</f>
        <v/>
      </c>
      <c r="AD496" s="17" t="str">
        <f>IF(ISNUMBER('Model_ of_individuals'!AD515), 'Model_ of_individuals'!AD515*'Model_ of_individuals'!$K515,"")</f>
        <v/>
      </c>
      <c r="AE496" s="17" t="str">
        <f>IF(ISNUMBER('Model_ of_individuals'!AE515), 'Model_ of_individuals'!AE515*'Model_ of_individuals'!$K515,"")</f>
        <v/>
      </c>
      <c r="AF496" s="17" t="str">
        <f>IF(ISNUMBER('Model_ of_individuals'!AF515), 'Model_ of_individuals'!AF515*'Model_ of_individuals'!$K515,"")</f>
        <v/>
      </c>
      <c r="AG496" s="17" t="str">
        <f>IF(ISNUMBER('Model_ of_individuals'!AG515), 'Model_ of_individuals'!AG515*'Model_ of_individuals'!$K515,"")</f>
        <v/>
      </c>
      <c r="AH496" s="17" t="str">
        <f>IF(ISNUMBER('Model_ of_individuals'!AH515), 'Model_ of_individuals'!AH515*'Model_ of_individuals'!$K515,"")</f>
        <v/>
      </c>
      <c r="AI496" s="17" t="str">
        <f>IF(ISNUMBER('Model_ of_individuals'!AI515), 'Model_ of_individuals'!AI515*'Model_ of_individuals'!$K515,"")</f>
        <v/>
      </c>
      <c r="AJ496" s="17" t="str">
        <f>IF(ISNUMBER('Model_ of_individuals'!AJ515), 'Model_ of_individuals'!AJ515*'Model_ of_individuals'!$K515,"")</f>
        <v/>
      </c>
      <c r="AK496" s="17" t="str">
        <f>IF(ISNUMBER('Model_ of_individuals'!AK515), 'Model_ of_individuals'!AK515*'Model_ of_individuals'!$K515,"")</f>
        <v/>
      </c>
      <c r="AL496" s="17" t="str">
        <f>IF(ISNUMBER('Model_ of_individuals'!AL515), 'Model_ of_individuals'!AL515*'Model_ of_individuals'!$K515,"")</f>
        <v/>
      </c>
      <c r="AM496" s="17" t="str">
        <f>IF(ISNUMBER('Model_ of_individuals'!AM515), 'Model_ of_individuals'!AM515*'Model_ of_individuals'!$K515,"")</f>
        <v/>
      </c>
      <c r="AN496" s="17" t="str">
        <f>IF(ISNUMBER('Model_ of_individuals'!AN515), 'Model_ of_individuals'!AN515*'Model_ of_individuals'!$K515,"")</f>
        <v/>
      </c>
      <c r="AO496" s="17" t="str">
        <f>IF(ISNUMBER('Model_ of_individuals'!AO515), 'Model_ of_individuals'!AO515*'Model_ of_individuals'!$K515,"")</f>
        <v/>
      </c>
      <c r="AP496" s="17" t="str">
        <f>IF(ISNUMBER('Model_ of_individuals'!AP515), 'Model_ of_individuals'!AP515*'Model_ of_individuals'!$K515,"")</f>
        <v/>
      </c>
      <c r="AQ496" s="17" t="str">
        <f>IF(ISNUMBER('Model_ of_individuals'!AQ515), 'Model_ of_individuals'!AQ515*'Model_ of_individuals'!$K515,"")</f>
        <v/>
      </c>
      <c r="AR496" s="17" t="str">
        <f>IF(ISNUMBER('Model_ of_individuals'!AR515), 'Model_ of_individuals'!AR515*'Model_ of_individuals'!$K515,"")</f>
        <v/>
      </c>
      <c r="AS496" s="17" t="str">
        <f>IF(ISNUMBER('Model_ of_individuals'!AS515), 'Model_ of_individuals'!AS515*'Model_ of_individuals'!$K515,"")</f>
        <v/>
      </c>
      <c r="AT496" s="17" t="str">
        <f>IF(ISNUMBER('Model_ of_individuals'!AT515), 'Model_ of_individuals'!AT515*'Model_ of_individuals'!$K515,"")</f>
        <v/>
      </c>
      <c r="AU496" s="17" t="str">
        <f>IF(ISNUMBER('Model_ of_individuals'!AU515), 'Model_ of_individuals'!AU515*'Model_ of_individuals'!$K515,"")</f>
        <v/>
      </c>
      <c r="AV496" s="17" t="str">
        <f>IF(ISNUMBER('Model_ of_individuals'!AV515), 'Model_ of_individuals'!AV515*'Model_ of_individuals'!$K515,"")</f>
        <v/>
      </c>
      <c r="AW496" s="17" t="str">
        <f>IF(ISNUMBER('Model_ of_individuals'!AW515), 'Model_ of_individuals'!AW515*'Model_ of_individuals'!$K515,"")</f>
        <v/>
      </c>
      <c r="AX496" s="17" t="str">
        <f>IF(ISNUMBER('Model_ of_individuals'!AX515), 'Model_ of_individuals'!AX515*'Model_ of_individuals'!$K515,"")</f>
        <v/>
      </c>
      <c r="AY496" s="17" t="str">
        <f>IF(ISNUMBER('Model_ of_individuals'!AY515), 'Model_ of_individuals'!AY515*'Model_ of_individuals'!$K515,"")</f>
        <v/>
      </c>
    </row>
    <row r="497" spans="1:51" x14ac:dyDescent="0.25">
      <c r="A497" s="518"/>
      <c r="B497" s="504"/>
      <c r="C497" s="107" t="str">
        <f>IF(AND(ISNUMBER(B494), OR('Cost Inputs'!$H$108&lt;&gt;"", 'Cost Inputs'!$I$108&lt;&gt;"", 'Cost Inputs'!$J$108&lt;&gt;"")), _4_3_2, "")</f>
        <v/>
      </c>
      <c r="D497" s="93" t="str">
        <f>IF(AND(C497&lt;&gt;"", 'Cost Inputs'!$G$108&lt;&gt;""), 'Cost Inputs'!$G$108, "")</f>
        <v/>
      </c>
      <c r="E497" s="93" t="str">
        <f>IF(AND(C497&lt;&gt;"", 'Cost Inputs'!$H$108&lt;&gt;""), 'Cost Inputs'!$H$108, "")</f>
        <v/>
      </c>
      <c r="F497" s="93" t="str">
        <f>IF(AND(C497&lt;&gt;"", 'Cost Inputs'!$I$108&lt;&gt;""), 'Cost Inputs'!$I$108, "")</f>
        <v/>
      </c>
      <c r="G497" s="108" t="str">
        <f t="shared" si="39"/>
        <v/>
      </c>
      <c r="H497" s="93" t="str">
        <f>IF(AND(C497&lt;&gt;"", 'Cost Inputs'!$J$108&lt;&gt;""), 'Cost Inputs'!$J$108, "")</f>
        <v/>
      </c>
      <c r="I497" s="93" t="str">
        <f t="shared" si="42"/>
        <v/>
      </c>
      <c r="J497" s="93" t="str">
        <f>IF(AND(C497&lt;&gt;"",('Cost Inputs'!$I$108+'Cost Inputs'!$J$108+'Cost Inputs'!$K$108)&gt;0), 'Cost Inputs'!$I$108+'Cost Inputs'!$J$108+'Cost Inputs'!$K$108, "")</f>
        <v/>
      </c>
      <c r="K497" s="93" t="str">
        <f t="shared" si="43"/>
        <v/>
      </c>
      <c r="L497" s="525"/>
      <c r="M497" s="525"/>
      <c r="X497" s="93" t="str">
        <f>IF(ISNUMBER('Model_ of_individuals'!X516), 'Model_ of_individuals'!X516*'Model_ of_individuals'!$K516,"")</f>
        <v/>
      </c>
      <c r="Y497" s="93" t="str">
        <f>IF(ISNUMBER('Model_ of_individuals'!Y516), 'Model_ of_individuals'!Y516*'Model_ of_individuals'!$K516,"")</f>
        <v/>
      </c>
      <c r="Z497" s="93" t="str">
        <f>IF(ISNUMBER('Model_ of_individuals'!Z516), 'Model_ of_individuals'!Z516*'Model_ of_individuals'!$K516,"")</f>
        <v/>
      </c>
      <c r="AA497" s="93" t="str">
        <f>IF(ISNUMBER('Model_ of_individuals'!AA516), 'Model_ of_individuals'!AA516*'Model_ of_individuals'!$K516,"")</f>
        <v/>
      </c>
      <c r="AB497" s="93" t="str">
        <f>IF(ISNUMBER('Model_ of_individuals'!AB516), 'Model_ of_individuals'!AB516*'Model_ of_individuals'!$K516,"")</f>
        <v/>
      </c>
      <c r="AC497" s="93" t="str">
        <f>IF(ISNUMBER('Model_ of_individuals'!AC516), 'Model_ of_individuals'!AC516*'Model_ of_individuals'!$K516,"")</f>
        <v/>
      </c>
      <c r="AD497" s="93" t="str">
        <f>IF(ISNUMBER('Model_ of_individuals'!AD516), 'Model_ of_individuals'!AD516*'Model_ of_individuals'!$K516,"")</f>
        <v/>
      </c>
      <c r="AE497" s="93" t="str">
        <f>IF(ISNUMBER('Model_ of_individuals'!AE516), 'Model_ of_individuals'!AE516*'Model_ of_individuals'!$K516,"")</f>
        <v/>
      </c>
      <c r="AF497" s="93" t="str">
        <f>IF(ISNUMBER('Model_ of_individuals'!AF516), 'Model_ of_individuals'!AF516*'Model_ of_individuals'!$K516,"")</f>
        <v/>
      </c>
      <c r="AG497" s="93" t="str">
        <f>IF(ISNUMBER('Model_ of_individuals'!AG516), 'Model_ of_individuals'!AG516*'Model_ of_individuals'!$K516,"")</f>
        <v/>
      </c>
      <c r="AH497" s="93" t="str">
        <f>IF(ISNUMBER('Model_ of_individuals'!AH516), 'Model_ of_individuals'!AH516*'Model_ of_individuals'!$K516,"")</f>
        <v/>
      </c>
      <c r="AI497" s="93" t="str">
        <f>IF(ISNUMBER('Model_ of_individuals'!AI516), 'Model_ of_individuals'!AI516*'Model_ of_individuals'!$K516,"")</f>
        <v/>
      </c>
      <c r="AJ497" s="93" t="str">
        <f>IF(ISNUMBER('Model_ of_individuals'!AJ516), 'Model_ of_individuals'!AJ516*'Model_ of_individuals'!$K516,"")</f>
        <v/>
      </c>
      <c r="AK497" s="93" t="str">
        <f>IF(ISNUMBER('Model_ of_individuals'!AK516), 'Model_ of_individuals'!AK516*'Model_ of_individuals'!$K516,"")</f>
        <v/>
      </c>
      <c r="AL497" s="93" t="str">
        <f>IF(ISNUMBER('Model_ of_individuals'!AL516), 'Model_ of_individuals'!AL516*'Model_ of_individuals'!$K516,"")</f>
        <v/>
      </c>
      <c r="AM497" s="93" t="str">
        <f>IF(ISNUMBER('Model_ of_individuals'!AM516), 'Model_ of_individuals'!AM516*'Model_ of_individuals'!$K516,"")</f>
        <v/>
      </c>
      <c r="AN497" s="93" t="str">
        <f>IF(ISNUMBER('Model_ of_individuals'!AN516), 'Model_ of_individuals'!AN516*'Model_ of_individuals'!$K516,"")</f>
        <v/>
      </c>
      <c r="AO497" s="93" t="str">
        <f>IF(ISNUMBER('Model_ of_individuals'!AO516), 'Model_ of_individuals'!AO516*'Model_ of_individuals'!$K516,"")</f>
        <v/>
      </c>
      <c r="AP497" s="93" t="str">
        <f>IF(ISNUMBER('Model_ of_individuals'!AP516), 'Model_ of_individuals'!AP516*'Model_ of_individuals'!$K516,"")</f>
        <v/>
      </c>
      <c r="AQ497" s="93" t="str">
        <f>IF(ISNUMBER('Model_ of_individuals'!AQ516), 'Model_ of_individuals'!AQ516*'Model_ of_individuals'!$K516,"")</f>
        <v/>
      </c>
      <c r="AR497" s="93" t="str">
        <f>IF(ISNUMBER('Model_ of_individuals'!AR516), 'Model_ of_individuals'!AR516*'Model_ of_individuals'!$K516,"")</f>
        <v/>
      </c>
      <c r="AS497" s="93" t="str">
        <f>IF(ISNUMBER('Model_ of_individuals'!AS516), 'Model_ of_individuals'!AS516*'Model_ of_individuals'!$K516,"")</f>
        <v/>
      </c>
      <c r="AT497" s="93" t="str">
        <f>IF(ISNUMBER('Model_ of_individuals'!AT516), 'Model_ of_individuals'!AT516*'Model_ of_individuals'!$K516,"")</f>
        <v/>
      </c>
      <c r="AU497" s="93" t="str">
        <f>IF(ISNUMBER('Model_ of_individuals'!AU516), 'Model_ of_individuals'!AU516*'Model_ of_individuals'!$K516,"")</f>
        <v/>
      </c>
      <c r="AV497" s="93" t="str">
        <f>IF(ISNUMBER('Model_ of_individuals'!AV516), 'Model_ of_individuals'!AV516*'Model_ of_individuals'!$K516,"")</f>
        <v/>
      </c>
      <c r="AW497" s="93" t="str">
        <f>IF(ISNUMBER('Model_ of_individuals'!AW516), 'Model_ of_individuals'!AW516*'Model_ of_individuals'!$K516,"")</f>
        <v/>
      </c>
      <c r="AX497" s="93" t="str">
        <f>IF(ISNUMBER('Model_ of_individuals'!AX516), 'Model_ of_individuals'!AX516*'Model_ of_individuals'!$K516,"")</f>
        <v/>
      </c>
      <c r="AY497" s="93" t="str">
        <f>IF(ISNUMBER('Model_ of_individuals'!AY516), 'Model_ of_individuals'!AY516*'Model_ of_individuals'!$K516,"")</f>
        <v/>
      </c>
    </row>
    <row r="498" spans="1:51" x14ac:dyDescent="0.25">
      <c r="A498" s="518"/>
      <c r="B498" s="504"/>
      <c r="C498" s="110" t="str">
        <f>IF(ISNUMBER(B494), _4_4_0, "")</f>
        <v/>
      </c>
      <c r="D498" s="94" t="str">
        <f>IF(AND(C498&lt;&gt;"", 'Cost Inputs'!$G$109&lt;&gt;""), 'Cost Inputs'!$G$109, "")</f>
        <v/>
      </c>
      <c r="E498" s="94" t="str">
        <f>IF(AND(C498&lt;&gt;"", 'Cost Inputs'!$H$109&lt;&gt;""), 'Cost Inputs'!$H$109, "")</f>
        <v/>
      </c>
      <c r="F498" s="94" t="str">
        <f>IF(AND(C498&lt;&gt;"", 'Cost Inputs'!$I$109&lt;&gt;""), 'Cost Inputs'!$I$109, "")</f>
        <v/>
      </c>
      <c r="G498" s="102" t="str">
        <f t="shared" si="39"/>
        <v/>
      </c>
      <c r="H498" s="102" t="str">
        <f>IF(AND(C498&lt;&gt;"", 'Cost Inputs'!$J$109&lt;&gt;""), 'Cost Inputs'!$J$109, "")</f>
        <v/>
      </c>
      <c r="I498" s="102" t="str">
        <f t="shared" si="42"/>
        <v/>
      </c>
      <c r="J498" s="102" t="str">
        <f>IF(AND(C498&lt;&gt;"",('Cost Inputs'!$I$109+'Cost Inputs'!$J$109+'Cost Inputs'!$K$109)&gt;0), 'Cost Inputs'!$I$109+'Cost Inputs'!$J$109+'Cost Inputs'!$K$109, "")</f>
        <v/>
      </c>
      <c r="K498" s="102" t="str">
        <f t="shared" si="43"/>
        <v/>
      </c>
      <c r="L498" s="525"/>
      <c r="M498" s="525"/>
      <c r="X498" s="102" t="str">
        <f>IF(ISNUMBER('Model_ of_individuals'!X517), 'Model_ of_individuals'!X517*'Model_ of_individuals'!$K517,"")</f>
        <v/>
      </c>
      <c r="Y498" s="102" t="str">
        <f>IF(ISNUMBER('Model_ of_individuals'!Y517), 'Model_ of_individuals'!Y517*'Model_ of_individuals'!$K517,"")</f>
        <v/>
      </c>
      <c r="Z498" s="102" t="str">
        <f>IF(ISNUMBER('Model_ of_individuals'!Z517), 'Model_ of_individuals'!Z517*'Model_ of_individuals'!$K517,"")</f>
        <v/>
      </c>
      <c r="AA498" s="102" t="str">
        <f>IF(ISNUMBER('Model_ of_individuals'!AA517), 'Model_ of_individuals'!AA517*'Model_ of_individuals'!$K517,"")</f>
        <v/>
      </c>
      <c r="AB498" s="102" t="str">
        <f>IF(ISNUMBER('Model_ of_individuals'!AB517), 'Model_ of_individuals'!AB517*'Model_ of_individuals'!$K517,"")</f>
        <v/>
      </c>
      <c r="AC498" s="102" t="str">
        <f>IF(ISNUMBER('Model_ of_individuals'!AC517), 'Model_ of_individuals'!AC517*'Model_ of_individuals'!$K517,"")</f>
        <v/>
      </c>
      <c r="AD498" s="102" t="str">
        <f>IF(ISNUMBER('Model_ of_individuals'!AD517), 'Model_ of_individuals'!AD517*'Model_ of_individuals'!$K517,"")</f>
        <v/>
      </c>
      <c r="AE498" s="102" t="str">
        <f>IF(ISNUMBER('Model_ of_individuals'!AE517), 'Model_ of_individuals'!AE517*'Model_ of_individuals'!$K517,"")</f>
        <v/>
      </c>
      <c r="AF498" s="102" t="str">
        <f>IF(ISNUMBER('Model_ of_individuals'!AF517), 'Model_ of_individuals'!AF517*'Model_ of_individuals'!$K517,"")</f>
        <v/>
      </c>
      <c r="AG498" s="102" t="str">
        <f>IF(ISNUMBER('Model_ of_individuals'!AG517), 'Model_ of_individuals'!AG517*'Model_ of_individuals'!$K517,"")</f>
        <v/>
      </c>
      <c r="AH498" s="102" t="str">
        <f>IF(ISNUMBER('Model_ of_individuals'!AH517), 'Model_ of_individuals'!AH517*'Model_ of_individuals'!$K517,"")</f>
        <v/>
      </c>
      <c r="AI498" s="102" t="str">
        <f>IF(ISNUMBER('Model_ of_individuals'!AI517), 'Model_ of_individuals'!AI517*'Model_ of_individuals'!$K517,"")</f>
        <v/>
      </c>
      <c r="AJ498" s="102" t="str">
        <f>IF(ISNUMBER('Model_ of_individuals'!AJ517), 'Model_ of_individuals'!AJ517*'Model_ of_individuals'!$K517,"")</f>
        <v/>
      </c>
      <c r="AK498" s="102" t="str">
        <f>IF(ISNUMBER('Model_ of_individuals'!AK517), 'Model_ of_individuals'!AK517*'Model_ of_individuals'!$K517,"")</f>
        <v/>
      </c>
      <c r="AL498" s="102" t="str">
        <f>IF(ISNUMBER('Model_ of_individuals'!AL517), 'Model_ of_individuals'!AL517*'Model_ of_individuals'!$K517,"")</f>
        <v/>
      </c>
      <c r="AM498" s="102" t="str">
        <f>IF(ISNUMBER('Model_ of_individuals'!AM517), 'Model_ of_individuals'!AM517*'Model_ of_individuals'!$K517,"")</f>
        <v/>
      </c>
      <c r="AN498" s="102" t="str">
        <f>IF(ISNUMBER('Model_ of_individuals'!AN517), 'Model_ of_individuals'!AN517*'Model_ of_individuals'!$K517,"")</f>
        <v/>
      </c>
      <c r="AO498" s="102" t="str">
        <f>IF(ISNUMBER('Model_ of_individuals'!AO517), 'Model_ of_individuals'!AO517*'Model_ of_individuals'!$K517,"")</f>
        <v/>
      </c>
      <c r="AP498" s="102" t="str">
        <f>IF(ISNUMBER('Model_ of_individuals'!AP517), 'Model_ of_individuals'!AP517*'Model_ of_individuals'!$K517,"")</f>
        <v/>
      </c>
      <c r="AQ498" s="102" t="str">
        <f>IF(ISNUMBER('Model_ of_individuals'!AQ517), 'Model_ of_individuals'!AQ517*'Model_ of_individuals'!$K517,"")</f>
        <v/>
      </c>
      <c r="AR498" s="102" t="str">
        <f>IF(ISNUMBER('Model_ of_individuals'!AR517), 'Model_ of_individuals'!AR517*'Model_ of_individuals'!$K517,"")</f>
        <v/>
      </c>
      <c r="AS498" s="102" t="str">
        <f>IF(ISNUMBER('Model_ of_individuals'!AS517), 'Model_ of_individuals'!AS517*'Model_ of_individuals'!$K517,"")</f>
        <v/>
      </c>
      <c r="AT498" s="102" t="str">
        <f>IF(ISNUMBER('Model_ of_individuals'!AT517), 'Model_ of_individuals'!AT517*'Model_ of_individuals'!$K517,"")</f>
        <v/>
      </c>
      <c r="AU498" s="102" t="str">
        <f>IF(ISNUMBER('Model_ of_individuals'!AU517), 'Model_ of_individuals'!AU517*'Model_ of_individuals'!$K517,"")</f>
        <v/>
      </c>
      <c r="AV498" s="102" t="str">
        <f>IF(ISNUMBER('Model_ of_individuals'!AV517), 'Model_ of_individuals'!AV517*'Model_ of_individuals'!$K517,"")</f>
        <v/>
      </c>
      <c r="AW498" s="102" t="str">
        <f>IF(ISNUMBER('Model_ of_individuals'!AW517), 'Model_ of_individuals'!AW517*'Model_ of_individuals'!$K517,"")</f>
        <v/>
      </c>
      <c r="AX498" s="102" t="str">
        <f>IF(ISNUMBER('Model_ of_individuals'!AX517), 'Model_ of_individuals'!AX517*'Model_ of_individuals'!$K517,"")</f>
        <v/>
      </c>
      <c r="AY498" s="102" t="str">
        <f>IF(ISNUMBER('Model_ of_individuals'!AY517), 'Model_ of_individuals'!AY517*'Model_ of_individuals'!$K517,"")</f>
        <v/>
      </c>
    </row>
    <row r="499" spans="1:51" x14ac:dyDescent="0.25">
      <c r="A499" s="518"/>
      <c r="B499" s="504"/>
      <c r="C499" s="104" t="str">
        <f>IF(AND(ISNUMBER(B494), OR('Cost Inputs'!$H$110&lt;&gt;"", 'Cost Inputs'!$I$110&lt;&gt;"", 'Cost Inputs'!$J$110&lt;&gt;"")), _4_4_1, "")</f>
        <v/>
      </c>
      <c r="D499" s="17" t="str">
        <f>IF(AND(C499&lt;&gt;"", 'Cost Inputs'!$G$110&lt;&gt;""), 'Cost Inputs'!$G$110, "")</f>
        <v/>
      </c>
      <c r="E499" s="17" t="str">
        <f>IF(AND(C499&lt;&gt;"", 'Cost Inputs'!$H$110&lt;&gt;""), 'Cost Inputs'!$H$110, "")</f>
        <v/>
      </c>
      <c r="F499" s="17" t="str">
        <f>IF(AND(C499&lt;&gt;"", 'Cost Inputs'!$I$110&lt;&gt;""), 'Cost Inputs'!$I$110, "")</f>
        <v/>
      </c>
      <c r="G499" s="105" t="str">
        <f t="shared" si="39"/>
        <v/>
      </c>
      <c r="H499" s="17" t="str">
        <f>IF(AND(C499&lt;&gt;"", 'Cost Inputs'!$J$110&lt;&gt;""), 'Cost Inputs'!$J$110, "")</f>
        <v/>
      </c>
      <c r="I499" s="17" t="str">
        <f t="shared" si="42"/>
        <v/>
      </c>
      <c r="J499" s="17" t="str">
        <f>IF(AND(C499&lt;&gt;"",('Cost Inputs'!$I$110+'Cost Inputs'!$J$110+'Cost Inputs'!$K$110)&gt;0), 'Cost Inputs'!$I$110+'Cost Inputs'!$J$110+'Cost Inputs'!$K$110, "")</f>
        <v/>
      </c>
      <c r="K499" s="17" t="str">
        <f t="shared" si="43"/>
        <v/>
      </c>
      <c r="L499" s="525"/>
      <c r="M499" s="525"/>
      <c r="X499" s="17" t="str">
        <f>IF(ISNUMBER('Model_ of_individuals'!X518), 'Model_ of_individuals'!X518*'Model_ of_individuals'!$K518,"")</f>
        <v/>
      </c>
      <c r="Y499" s="17" t="str">
        <f>IF(ISNUMBER('Model_ of_individuals'!Y518), 'Model_ of_individuals'!Y518*'Model_ of_individuals'!$K518,"")</f>
        <v/>
      </c>
      <c r="Z499" s="17" t="str">
        <f>IF(ISNUMBER('Model_ of_individuals'!Z518), 'Model_ of_individuals'!Z518*'Model_ of_individuals'!$K518,"")</f>
        <v/>
      </c>
      <c r="AA499" s="17" t="str">
        <f>IF(ISNUMBER('Model_ of_individuals'!AA518), 'Model_ of_individuals'!AA518*'Model_ of_individuals'!$K518,"")</f>
        <v/>
      </c>
      <c r="AB499" s="17" t="str">
        <f>IF(ISNUMBER('Model_ of_individuals'!AB518), 'Model_ of_individuals'!AB518*'Model_ of_individuals'!$K518,"")</f>
        <v/>
      </c>
      <c r="AC499" s="17" t="str">
        <f>IF(ISNUMBER('Model_ of_individuals'!AC518), 'Model_ of_individuals'!AC518*'Model_ of_individuals'!$K518,"")</f>
        <v/>
      </c>
      <c r="AD499" s="17" t="str">
        <f>IF(ISNUMBER('Model_ of_individuals'!AD518), 'Model_ of_individuals'!AD518*'Model_ of_individuals'!$K518,"")</f>
        <v/>
      </c>
      <c r="AE499" s="17" t="str">
        <f>IF(ISNUMBER('Model_ of_individuals'!AE518), 'Model_ of_individuals'!AE518*'Model_ of_individuals'!$K518,"")</f>
        <v/>
      </c>
      <c r="AF499" s="17" t="str">
        <f>IF(ISNUMBER('Model_ of_individuals'!AF518), 'Model_ of_individuals'!AF518*'Model_ of_individuals'!$K518,"")</f>
        <v/>
      </c>
      <c r="AG499" s="17" t="str">
        <f>IF(ISNUMBER('Model_ of_individuals'!AG518), 'Model_ of_individuals'!AG518*'Model_ of_individuals'!$K518,"")</f>
        <v/>
      </c>
      <c r="AH499" s="17" t="str">
        <f>IF(ISNUMBER('Model_ of_individuals'!AH518), 'Model_ of_individuals'!AH518*'Model_ of_individuals'!$K518,"")</f>
        <v/>
      </c>
      <c r="AI499" s="17" t="str">
        <f>IF(ISNUMBER('Model_ of_individuals'!AI518), 'Model_ of_individuals'!AI518*'Model_ of_individuals'!$K518,"")</f>
        <v/>
      </c>
      <c r="AJ499" s="17" t="str">
        <f>IF(ISNUMBER('Model_ of_individuals'!AJ518), 'Model_ of_individuals'!AJ518*'Model_ of_individuals'!$K518,"")</f>
        <v/>
      </c>
      <c r="AK499" s="17" t="str">
        <f>IF(ISNUMBER('Model_ of_individuals'!AK518), 'Model_ of_individuals'!AK518*'Model_ of_individuals'!$K518,"")</f>
        <v/>
      </c>
      <c r="AL499" s="17" t="str">
        <f>IF(ISNUMBER('Model_ of_individuals'!AL518), 'Model_ of_individuals'!AL518*'Model_ of_individuals'!$K518,"")</f>
        <v/>
      </c>
      <c r="AM499" s="17" t="str">
        <f>IF(ISNUMBER('Model_ of_individuals'!AM518), 'Model_ of_individuals'!AM518*'Model_ of_individuals'!$K518,"")</f>
        <v/>
      </c>
      <c r="AN499" s="17" t="str">
        <f>IF(ISNUMBER('Model_ of_individuals'!AN518), 'Model_ of_individuals'!AN518*'Model_ of_individuals'!$K518,"")</f>
        <v/>
      </c>
      <c r="AO499" s="17" t="str">
        <f>IF(ISNUMBER('Model_ of_individuals'!AO518), 'Model_ of_individuals'!AO518*'Model_ of_individuals'!$K518,"")</f>
        <v/>
      </c>
      <c r="AP499" s="17" t="str">
        <f>IF(ISNUMBER('Model_ of_individuals'!AP518), 'Model_ of_individuals'!AP518*'Model_ of_individuals'!$K518,"")</f>
        <v/>
      </c>
      <c r="AQ499" s="17" t="str">
        <f>IF(ISNUMBER('Model_ of_individuals'!AQ518), 'Model_ of_individuals'!AQ518*'Model_ of_individuals'!$K518,"")</f>
        <v/>
      </c>
      <c r="AR499" s="17" t="str">
        <f>IF(ISNUMBER('Model_ of_individuals'!AR518), 'Model_ of_individuals'!AR518*'Model_ of_individuals'!$K518,"")</f>
        <v/>
      </c>
      <c r="AS499" s="17" t="str">
        <f>IF(ISNUMBER('Model_ of_individuals'!AS518), 'Model_ of_individuals'!AS518*'Model_ of_individuals'!$K518,"")</f>
        <v/>
      </c>
      <c r="AT499" s="17" t="str">
        <f>IF(ISNUMBER('Model_ of_individuals'!AT518), 'Model_ of_individuals'!AT518*'Model_ of_individuals'!$K518,"")</f>
        <v/>
      </c>
      <c r="AU499" s="17" t="str">
        <f>IF(ISNUMBER('Model_ of_individuals'!AU518), 'Model_ of_individuals'!AU518*'Model_ of_individuals'!$K518,"")</f>
        <v/>
      </c>
      <c r="AV499" s="17" t="str">
        <f>IF(ISNUMBER('Model_ of_individuals'!AV518), 'Model_ of_individuals'!AV518*'Model_ of_individuals'!$K518,"")</f>
        <v/>
      </c>
      <c r="AW499" s="17" t="str">
        <f>IF(ISNUMBER('Model_ of_individuals'!AW518), 'Model_ of_individuals'!AW518*'Model_ of_individuals'!$K518,"")</f>
        <v/>
      </c>
      <c r="AX499" s="17" t="str">
        <f>IF(ISNUMBER('Model_ of_individuals'!AX518), 'Model_ of_individuals'!AX518*'Model_ of_individuals'!$K518,"")</f>
        <v/>
      </c>
      <c r="AY499" s="17" t="str">
        <f>IF(ISNUMBER('Model_ of_individuals'!AY518), 'Model_ of_individuals'!AY518*'Model_ of_individuals'!$K518,"")</f>
        <v/>
      </c>
    </row>
    <row r="500" spans="1:51" x14ac:dyDescent="0.25">
      <c r="A500" s="518"/>
      <c r="B500" s="504"/>
      <c r="C500" s="107" t="str">
        <f>IF(AND(ISNUMBER(B494), OR('Cost Inputs'!$H$111&lt;&gt;"", 'Cost Inputs'!$I$111&lt;&gt;"", 'Cost Inputs'!$J$111&lt;&gt;"")), _4_4_2, "")</f>
        <v/>
      </c>
      <c r="D500" s="93" t="str">
        <f>IF(AND(C500&lt;&gt;"", 'Cost Inputs'!$G$111&lt;&gt;""), 'Cost Inputs'!$G$111, "")</f>
        <v/>
      </c>
      <c r="E500" s="93" t="str">
        <f>IF(AND(C500&lt;&gt;"", 'Cost Inputs'!$H$111&lt;&gt;""), 'Cost Inputs'!$H$111, "")</f>
        <v/>
      </c>
      <c r="F500" s="93" t="str">
        <f>IF(AND(C500&lt;&gt;"", 'Cost Inputs'!$I$111&lt;&gt;""), 'Cost Inputs'!$I$111, "")</f>
        <v/>
      </c>
      <c r="G500" s="108" t="str">
        <f t="shared" si="39"/>
        <v/>
      </c>
      <c r="H500" s="93" t="str">
        <f>IF(AND(C500&lt;&gt;"", 'Cost Inputs'!$J$111&lt;&gt;""), 'Cost Inputs'!$J$111, "")</f>
        <v/>
      </c>
      <c r="I500" s="93" t="str">
        <f t="shared" si="42"/>
        <v/>
      </c>
      <c r="J500" s="93" t="str">
        <f>IF(AND(C500&lt;&gt;"",('Cost Inputs'!$I$111+'Cost Inputs'!$J$111+'Cost Inputs'!$K$111)&gt;0), 'Cost Inputs'!$I$111+'Cost Inputs'!$J$111+'Cost Inputs'!$K$111, "")</f>
        <v/>
      </c>
      <c r="K500" s="93" t="str">
        <f t="shared" si="43"/>
        <v/>
      </c>
      <c r="L500" s="525"/>
      <c r="M500" s="525"/>
      <c r="X500" s="93" t="str">
        <f>IF(ISNUMBER('Model_ of_individuals'!X519), 'Model_ of_individuals'!X519*'Model_ of_individuals'!$K519,"")</f>
        <v/>
      </c>
      <c r="Y500" s="93" t="str">
        <f>IF(ISNUMBER('Model_ of_individuals'!Y519), 'Model_ of_individuals'!Y519*'Model_ of_individuals'!$K519,"")</f>
        <v/>
      </c>
      <c r="Z500" s="93" t="str">
        <f>IF(ISNUMBER('Model_ of_individuals'!Z519), 'Model_ of_individuals'!Z519*'Model_ of_individuals'!$K519,"")</f>
        <v/>
      </c>
      <c r="AA500" s="93" t="str">
        <f>IF(ISNUMBER('Model_ of_individuals'!AA519), 'Model_ of_individuals'!AA519*'Model_ of_individuals'!$K519,"")</f>
        <v/>
      </c>
      <c r="AB500" s="93" t="str">
        <f>IF(ISNUMBER('Model_ of_individuals'!AB519), 'Model_ of_individuals'!AB519*'Model_ of_individuals'!$K519,"")</f>
        <v/>
      </c>
      <c r="AC500" s="93" t="str">
        <f>IF(ISNUMBER('Model_ of_individuals'!AC519), 'Model_ of_individuals'!AC519*'Model_ of_individuals'!$K519,"")</f>
        <v/>
      </c>
      <c r="AD500" s="93" t="str">
        <f>IF(ISNUMBER('Model_ of_individuals'!AD519), 'Model_ of_individuals'!AD519*'Model_ of_individuals'!$K519,"")</f>
        <v/>
      </c>
      <c r="AE500" s="93" t="str">
        <f>IF(ISNUMBER('Model_ of_individuals'!AE519), 'Model_ of_individuals'!AE519*'Model_ of_individuals'!$K519,"")</f>
        <v/>
      </c>
      <c r="AF500" s="93" t="str">
        <f>IF(ISNUMBER('Model_ of_individuals'!AF519), 'Model_ of_individuals'!AF519*'Model_ of_individuals'!$K519,"")</f>
        <v/>
      </c>
      <c r="AG500" s="93" t="str">
        <f>IF(ISNUMBER('Model_ of_individuals'!AG519), 'Model_ of_individuals'!AG519*'Model_ of_individuals'!$K519,"")</f>
        <v/>
      </c>
      <c r="AH500" s="93" t="str">
        <f>IF(ISNUMBER('Model_ of_individuals'!AH519), 'Model_ of_individuals'!AH519*'Model_ of_individuals'!$K519,"")</f>
        <v/>
      </c>
      <c r="AI500" s="93" t="str">
        <f>IF(ISNUMBER('Model_ of_individuals'!AI519), 'Model_ of_individuals'!AI519*'Model_ of_individuals'!$K519,"")</f>
        <v/>
      </c>
      <c r="AJ500" s="93" t="str">
        <f>IF(ISNUMBER('Model_ of_individuals'!AJ519), 'Model_ of_individuals'!AJ519*'Model_ of_individuals'!$K519,"")</f>
        <v/>
      </c>
      <c r="AK500" s="93" t="str">
        <f>IF(ISNUMBER('Model_ of_individuals'!AK519), 'Model_ of_individuals'!AK519*'Model_ of_individuals'!$K519,"")</f>
        <v/>
      </c>
      <c r="AL500" s="93" t="str">
        <f>IF(ISNUMBER('Model_ of_individuals'!AL519), 'Model_ of_individuals'!AL519*'Model_ of_individuals'!$K519,"")</f>
        <v/>
      </c>
      <c r="AM500" s="93" t="str">
        <f>IF(ISNUMBER('Model_ of_individuals'!AM519), 'Model_ of_individuals'!AM519*'Model_ of_individuals'!$K519,"")</f>
        <v/>
      </c>
      <c r="AN500" s="93" t="str">
        <f>IF(ISNUMBER('Model_ of_individuals'!AN519), 'Model_ of_individuals'!AN519*'Model_ of_individuals'!$K519,"")</f>
        <v/>
      </c>
      <c r="AO500" s="93" t="str">
        <f>IF(ISNUMBER('Model_ of_individuals'!AO519), 'Model_ of_individuals'!AO519*'Model_ of_individuals'!$K519,"")</f>
        <v/>
      </c>
      <c r="AP500" s="93" t="str">
        <f>IF(ISNUMBER('Model_ of_individuals'!AP519), 'Model_ of_individuals'!AP519*'Model_ of_individuals'!$K519,"")</f>
        <v/>
      </c>
      <c r="AQ500" s="93" t="str">
        <f>IF(ISNUMBER('Model_ of_individuals'!AQ519), 'Model_ of_individuals'!AQ519*'Model_ of_individuals'!$K519,"")</f>
        <v/>
      </c>
      <c r="AR500" s="93" t="str">
        <f>IF(ISNUMBER('Model_ of_individuals'!AR519), 'Model_ of_individuals'!AR519*'Model_ of_individuals'!$K519,"")</f>
        <v/>
      </c>
      <c r="AS500" s="93" t="str">
        <f>IF(ISNUMBER('Model_ of_individuals'!AS519), 'Model_ of_individuals'!AS519*'Model_ of_individuals'!$K519,"")</f>
        <v/>
      </c>
      <c r="AT500" s="93" t="str">
        <f>IF(ISNUMBER('Model_ of_individuals'!AT519), 'Model_ of_individuals'!AT519*'Model_ of_individuals'!$K519,"")</f>
        <v/>
      </c>
      <c r="AU500" s="93" t="str">
        <f>IF(ISNUMBER('Model_ of_individuals'!AU519), 'Model_ of_individuals'!AU519*'Model_ of_individuals'!$K519,"")</f>
        <v/>
      </c>
      <c r="AV500" s="93" t="str">
        <f>IF(ISNUMBER('Model_ of_individuals'!AV519), 'Model_ of_individuals'!AV519*'Model_ of_individuals'!$K519,"")</f>
        <v/>
      </c>
      <c r="AW500" s="93" t="str">
        <f>IF(ISNUMBER('Model_ of_individuals'!AW519), 'Model_ of_individuals'!AW519*'Model_ of_individuals'!$K519,"")</f>
        <v/>
      </c>
      <c r="AX500" s="93" t="str">
        <f>IF(ISNUMBER('Model_ of_individuals'!AX519), 'Model_ of_individuals'!AX519*'Model_ of_individuals'!$K519,"")</f>
        <v/>
      </c>
      <c r="AY500" s="93" t="str">
        <f>IF(ISNUMBER('Model_ of_individuals'!AY519), 'Model_ of_individuals'!AY519*'Model_ of_individuals'!$K519,"")</f>
        <v/>
      </c>
    </row>
    <row r="501" spans="1:51" x14ac:dyDescent="0.25">
      <c r="A501" s="518"/>
      <c r="B501" s="504"/>
      <c r="C501" s="104" t="str">
        <f>IF(AND(ISNUMBER(B494), OR('Cost Inputs'!$H$112&lt;&gt;"", 'Cost Inputs'!$I$112&lt;&gt;"", 'Cost Inputs'!$J$112&lt;&gt;"")), _4_4_3, "")</f>
        <v/>
      </c>
      <c r="D501" s="17" t="str">
        <f>IF(AND(C501&lt;&gt;"", 'Cost Inputs'!$G$112&lt;&gt;""), 'Cost Inputs'!$G$112, "")</f>
        <v/>
      </c>
      <c r="E501" s="17" t="str">
        <f>IF(AND(C501&lt;&gt;"", 'Cost Inputs'!$H$112&lt;&gt;""), 'Cost Inputs'!$H$112, "")</f>
        <v/>
      </c>
      <c r="F501" s="17" t="str">
        <f>IF(AND(C501&lt;&gt;"", 'Cost Inputs'!$I$112&lt;&gt;""), 'Cost Inputs'!$I$112, "")</f>
        <v/>
      </c>
      <c r="G501" s="105" t="str">
        <f t="shared" si="39"/>
        <v/>
      </c>
      <c r="H501" s="17" t="str">
        <f>IF(AND(C501&lt;&gt;"", 'Cost Inputs'!$J$112&lt;&gt;""), 'Cost Inputs'!$J$112, "")</f>
        <v/>
      </c>
      <c r="I501" s="17" t="str">
        <f t="shared" si="42"/>
        <v/>
      </c>
      <c r="J501" s="17" t="str">
        <f>IF(AND(C501&lt;&gt;"",('Cost Inputs'!$I$112+'Cost Inputs'!$J$112+'Cost Inputs'!$K$112)&gt;0), 'Cost Inputs'!$I$112+'Cost Inputs'!$J$112+'Cost Inputs'!$K$112, "")</f>
        <v/>
      </c>
      <c r="K501" s="17" t="str">
        <f t="shared" si="43"/>
        <v/>
      </c>
      <c r="L501" s="525"/>
      <c r="M501" s="525"/>
      <c r="X501" s="17" t="str">
        <f>IF(ISNUMBER('Model_ of_individuals'!X520), 'Model_ of_individuals'!X520*'Model_ of_individuals'!$K520,"")</f>
        <v/>
      </c>
      <c r="Y501" s="17" t="str">
        <f>IF(ISNUMBER('Model_ of_individuals'!Y520), 'Model_ of_individuals'!Y520*'Model_ of_individuals'!$K520,"")</f>
        <v/>
      </c>
      <c r="Z501" s="17" t="str">
        <f>IF(ISNUMBER('Model_ of_individuals'!Z520), 'Model_ of_individuals'!Z520*'Model_ of_individuals'!$K520,"")</f>
        <v/>
      </c>
      <c r="AA501" s="17" t="str">
        <f>IF(ISNUMBER('Model_ of_individuals'!AA520), 'Model_ of_individuals'!AA520*'Model_ of_individuals'!$K520,"")</f>
        <v/>
      </c>
      <c r="AB501" s="17" t="str">
        <f>IF(ISNUMBER('Model_ of_individuals'!AB520), 'Model_ of_individuals'!AB520*'Model_ of_individuals'!$K520,"")</f>
        <v/>
      </c>
      <c r="AC501" s="17" t="str">
        <f>IF(ISNUMBER('Model_ of_individuals'!AC520), 'Model_ of_individuals'!AC520*'Model_ of_individuals'!$K520,"")</f>
        <v/>
      </c>
      <c r="AD501" s="17" t="str">
        <f>IF(ISNUMBER('Model_ of_individuals'!AD520), 'Model_ of_individuals'!AD520*'Model_ of_individuals'!$K520,"")</f>
        <v/>
      </c>
      <c r="AE501" s="17" t="str">
        <f>IF(ISNUMBER('Model_ of_individuals'!AE520), 'Model_ of_individuals'!AE520*'Model_ of_individuals'!$K520,"")</f>
        <v/>
      </c>
      <c r="AF501" s="17" t="str">
        <f>IF(ISNUMBER('Model_ of_individuals'!AF520), 'Model_ of_individuals'!AF520*'Model_ of_individuals'!$K520,"")</f>
        <v/>
      </c>
      <c r="AG501" s="17" t="str">
        <f>IF(ISNUMBER('Model_ of_individuals'!AG520), 'Model_ of_individuals'!AG520*'Model_ of_individuals'!$K520,"")</f>
        <v/>
      </c>
      <c r="AH501" s="17" t="str">
        <f>IF(ISNUMBER('Model_ of_individuals'!AH520), 'Model_ of_individuals'!AH520*'Model_ of_individuals'!$K520,"")</f>
        <v/>
      </c>
      <c r="AI501" s="17" t="str">
        <f>IF(ISNUMBER('Model_ of_individuals'!AI520), 'Model_ of_individuals'!AI520*'Model_ of_individuals'!$K520,"")</f>
        <v/>
      </c>
      <c r="AJ501" s="17" t="str">
        <f>IF(ISNUMBER('Model_ of_individuals'!AJ520), 'Model_ of_individuals'!AJ520*'Model_ of_individuals'!$K520,"")</f>
        <v/>
      </c>
      <c r="AK501" s="17" t="str">
        <f>IF(ISNUMBER('Model_ of_individuals'!AK520), 'Model_ of_individuals'!AK520*'Model_ of_individuals'!$K520,"")</f>
        <v/>
      </c>
      <c r="AL501" s="17" t="str">
        <f>IF(ISNUMBER('Model_ of_individuals'!AL520), 'Model_ of_individuals'!AL520*'Model_ of_individuals'!$K520,"")</f>
        <v/>
      </c>
      <c r="AM501" s="17" t="str">
        <f>IF(ISNUMBER('Model_ of_individuals'!AM520), 'Model_ of_individuals'!AM520*'Model_ of_individuals'!$K520,"")</f>
        <v/>
      </c>
      <c r="AN501" s="17" t="str">
        <f>IF(ISNUMBER('Model_ of_individuals'!AN520), 'Model_ of_individuals'!AN520*'Model_ of_individuals'!$K520,"")</f>
        <v/>
      </c>
      <c r="AO501" s="17" t="str">
        <f>IF(ISNUMBER('Model_ of_individuals'!AO520), 'Model_ of_individuals'!AO520*'Model_ of_individuals'!$K520,"")</f>
        <v/>
      </c>
      <c r="AP501" s="17" t="str">
        <f>IF(ISNUMBER('Model_ of_individuals'!AP520), 'Model_ of_individuals'!AP520*'Model_ of_individuals'!$K520,"")</f>
        <v/>
      </c>
      <c r="AQ501" s="17" t="str">
        <f>IF(ISNUMBER('Model_ of_individuals'!AQ520), 'Model_ of_individuals'!AQ520*'Model_ of_individuals'!$K520,"")</f>
        <v/>
      </c>
      <c r="AR501" s="17" t="str">
        <f>IF(ISNUMBER('Model_ of_individuals'!AR520), 'Model_ of_individuals'!AR520*'Model_ of_individuals'!$K520,"")</f>
        <v/>
      </c>
      <c r="AS501" s="17" t="str">
        <f>IF(ISNUMBER('Model_ of_individuals'!AS520), 'Model_ of_individuals'!AS520*'Model_ of_individuals'!$K520,"")</f>
        <v/>
      </c>
      <c r="AT501" s="17" t="str">
        <f>IF(ISNUMBER('Model_ of_individuals'!AT520), 'Model_ of_individuals'!AT520*'Model_ of_individuals'!$K520,"")</f>
        <v/>
      </c>
      <c r="AU501" s="17" t="str">
        <f>IF(ISNUMBER('Model_ of_individuals'!AU520), 'Model_ of_individuals'!AU520*'Model_ of_individuals'!$K520,"")</f>
        <v/>
      </c>
      <c r="AV501" s="17" t="str">
        <f>IF(ISNUMBER('Model_ of_individuals'!AV520), 'Model_ of_individuals'!AV520*'Model_ of_individuals'!$K520,"")</f>
        <v/>
      </c>
      <c r="AW501" s="17" t="str">
        <f>IF(ISNUMBER('Model_ of_individuals'!AW520), 'Model_ of_individuals'!AW520*'Model_ of_individuals'!$K520,"")</f>
        <v/>
      </c>
      <c r="AX501" s="17" t="str">
        <f>IF(ISNUMBER('Model_ of_individuals'!AX520), 'Model_ of_individuals'!AX520*'Model_ of_individuals'!$K520,"")</f>
        <v/>
      </c>
      <c r="AY501" s="17" t="str">
        <f>IF(ISNUMBER('Model_ of_individuals'!AY520), 'Model_ of_individuals'!AY520*'Model_ of_individuals'!$K520,"")</f>
        <v/>
      </c>
    </row>
    <row r="502" spans="1:51" x14ac:dyDescent="0.25">
      <c r="A502" s="518"/>
      <c r="B502" s="504"/>
      <c r="C502" s="107" t="str">
        <f>IF(AND(ISNUMBER(B494), OR('Cost Inputs'!$H$113&lt;&gt;"", 'Cost Inputs'!$I$113&lt;&gt;"", 'Cost Inputs'!$J$113&lt;&gt;"")), _4_4_4, "")</f>
        <v/>
      </c>
      <c r="D502" s="93" t="str">
        <f>IF(AND(C502&lt;&gt;"", 'Cost Inputs'!$G$113&lt;&gt;""), 'Cost Inputs'!$G$113, "")</f>
        <v/>
      </c>
      <c r="E502" s="93" t="str">
        <f>IF(AND(C502&lt;&gt;"", 'Cost Inputs'!$H$113&lt;&gt;""), 'Cost Inputs'!$H$113, "")</f>
        <v/>
      </c>
      <c r="F502" s="93" t="str">
        <f>IF(AND(C502&lt;&gt;"", 'Cost Inputs'!$I$113&lt;&gt;""), 'Cost Inputs'!$I$113, "")</f>
        <v/>
      </c>
      <c r="G502" s="108" t="str">
        <f t="shared" si="39"/>
        <v/>
      </c>
      <c r="H502" s="93" t="str">
        <f>IF(AND(C502&lt;&gt;"", 'Cost Inputs'!$J$113&lt;&gt;""), 'Cost Inputs'!$J$113, "")</f>
        <v/>
      </c>
      <c r="I502" s="93" t="str">
        <f t="shared" si="42"/>
        <v/>
      </c>
      <c r="J502" s="93" t="str">
        <f>IF(AND(C502&lt;&gt;"",('Cost Inputs'!$I$113+'Cost Inputs'!$J$113+'Cost Inputs'!$K$113)&gt;0), 'Cost Inputs'!$I$113+'Cost Inputs'!$J$113+'Cost Inputs'!$K$113, "")</f>
        <v/>
      </c>
      <c r="K502" s="93" t="str">
        <f t="shared" si="43"/>
        <v/>
      </c>
      <c r="L502" s="525"/>
      <c r="M502" s="525"/>
      <c r="X502" s="93" t="str">
        <f>IF(ISNUMBER('Model_ of_individuals'!X521), 'Model_ of_individuals'!X521*'Model_ of_individuals'!$K521,"")</f>
        <v/>
      </c>
      <c r="Y502" s="93" t="str">
        <f>IF(ISNUMBER('Model_ of_individuals'!Y521), 'Model_ of_individuals'!Y521*'Model_ of_individuals'!$K521,"")</f>
        <v/>
      </c>
      <c r="Z502" s="93" t="str">
        <f>IF(ISNUMBER('Model_ of_individuals'!Z521), 'Model_ of_individuals'!Z521*'Model_ of_individuals'!$K521,"")</f>
        <v/>
      </c>
      <c r="AA502" s="93" t="str">
        <f>IF(ISNUMBER('Model_ of_individuals'!AA521), 'Model_ of_individuals'!AA521*'Model_ of_individuals'!$K521,"")</f>
        <v/>
      </c>
      <c r="AB502" s="93" t="str">
        <f>IF(ISNUMBER('Model_ of_individuals'!AB521), 'Model_ of_individuals'!AB521*'Model_ of_individuals'!$K521,"")</f>
        <v/>
      </c>
      <c r="AC502" s="93" t="str">
        <f>IF(ISNUMBER('Model_ of_individuals'!AC521), 'Model_ of_individuals'!AC521*'Model_ of_individuals'!$K521,"")</f>
        <v/>
      </c>
      <c r="AD502" s="93" t="str">
        <f>IF(ISNUMBER('Model_ of_individuals'!AD521), 'Model_ of_individuals'!AD521*'Model_ of_individuals'!$K521,"")</f>
        <v/>
      </c>
      <c r="AE502" s="93" t="str">
        <f>IF(ISNUMBER('Model_ of_individuals'!AE521), 'Model_ of_individuals'!AE521*'Model_ of_individuals'!$K521,"")</f>
        <v/>
      </c>
      <c r="AF502" s="93" t="str">
        <f>IF(ISNUMBER('Model_ of_individuals'!AF521), 'Model_ of_individuals'!AF521*'Model_ of_individuals'!$K521,"")</f>
        <v/>
      </c>
      <c r="AG502" s="93" t="str">
        <f>IF(ISNUMBER('Model_ of_individuals'!AG521), 'Model_ of_individuals'!AG521*'Model_ of_individuals'!$K521,"")</f>
        <v/>
      </c>
      <c r="AH502" s="93" t="str">
        <f>IF(ISNUMBER('Model_ of_individuals'!AH521), 'Model_ of_individuals'!AH521*'Model_ of_individuals'!$K521,"")</f>
        <v/>
      </c>
      <c r="AI502" s="93" t="str">
        <f>IF(ISNUMBER('Model_ of_individuals'!AI521), 'Model_ of_individuals'!AI521*'Model_ of_individuals'!$K521,"")</f>
        <v/>
      </c>
      <c r="AJ502" s="93" t="str">
        <f>IF(ISNUMBER('Model_ of_individuals'!AJ521), 'Model_ of_individuals'!AJ521*'Model_ of_individuals'!$K521,"")</f>
        <v/>
      </c>
      <c r="AK502" s="93" t="str">
        <f>IF(ISNUMBER('Model_ of_individuals'!AK521), 'Model_ of_individuals'!AK521*'Model_ of_individuals'!$K521,"")</f>
        <v/>
      </c>
      <c r="AL502" s="93" t="str">
        <f>IF(ISNUMBER('Model_ of_individuals'!AL521), 'Model_ of_individuals'!AL521*'Model_ of_individuals'!$K521,"")</f>
        <v/>
      </c>
      <c r="AM502" s="93" t="str">
        <f>IF(ISNUMBER('Model_ of_individuals'!AM521), 'Model_ of_individuals'!AM521*'Model_ of_individuals'!$K521,"")</f>
        <v/>
      </c>
      <c r="AN502" s="93" t="str">
        <f>IF(ISNUMBER('Model_ of_individuals'!AN521), 'Model_ of_individuals'!AN521*'Model_ of_individuals'!$K521,"")</f>
        <v/>
      </c>
      <c r="AO502" s="93" t="str">
        <f>IF(ISNUMBER('Model_ of_individuals'!AO521), 'Model_ of_individuals'!AO521*'Model_ of_individuals'!$K521,"")</f>
        <v/>
      </c>
      <c r="AP502" s="93" t="str">
        <f>IF(ISNUMBER('Model_ of_individuals'!AP521), 'Model_ of_individuals'!AP521*'Model_ of_individuals'!$K521,"")</f>
        <v/>
      </c>
      <c r="AQ502" s="93" t="str">
        <f>IF(ISNUMBER('Model_ of_individuals'!AQ521), 'Model_ of_individuals'!AQ521*'Model_ of_individuals'!$K521,"")</f>
        <v/>
      </c>
      <c r="AR502" s="93" t="str">
        <f>IF(ISNUMBER('Model_ of_individuals'!AR521), 'Model_ of_individuals'!AR521*'Model_ of_individuals'!$K521,"")</f>
        <v/>
      </c>
      <c r="AS502" s="93" t="str">
        <f>IF(ISNUMBER('Model_ of_individuals'!AS521), 'Model_ of_individuals'!AS521*'Model_ of_individuals'!$K521,"")</f>
        <v/>
      </c>
      <c r="AT502" s="93" t="str">
        <f>IF(ISNUMBER('Model_ of_individuals'!AT521), 'Model_ of_individuals'!AT521*'Model_ of_individuals'!$K521,"")</f>
        <v/>
      </c>
      <c r="AU502" s="93" t="str">
        <f>IF(ISNUMBER('Model_ of_individuals'!AU521), 'Model_ of_individuals'!AU521*'Model_ of_individuals'!$K521,"")</f>
        <v/>
      </c>
      <c r="AV502" s="93" t="str">
        <f>IF(ISNUMBER('Model_ of_individuals'!AV521), 'Model_ of_individuals'!AV521*'Model_ of_individuals'!$K521,"")</f>
        <v/>
      </c>
      <c r="AW502" s="93" t="str">
        <f>IF(ISNUMBER('Model_ of_individuals'!AW521), 'Model_ of_individuals'!AW521*'Model_ of_individuals'!$K521,"")</f>
        <v/>
      </c>
      <c r="AX502" s="93" t="str">
        <f>IF(ISNUMBER('Model_ of_individuals'!AX521), 'Model_ of_individuals'!AX521*'Model_ of_individuals'!$K521,"")</f>
        <v/>
      </c>
      <c r="AY502" s="93" t="str">
        <f>IF(ISNUMBER('Model_ of_individuals'!AY521), 'Model_ of_individuals'!AY521*'Model_ of_individuals'!$K521,"")</f>
        <v/>
      </c>
    </row>
    <row r="503" spans="1:51" x14ac:dyDescent="0.25">
      <c r="A503" s="518"/>
      <c r="B503" s="504"/>
      <c r="C503" s="104" t="str">
        <f>IF(AND(ISNUMBER(B494), OR('Cost Inputs'!$H$114&lt;&gt;"", 'Cost Inputs'!$I$114&lt;&gt;"", 'Cost Inputs'!$J$114&lt;&gt;"")), _4_4_5, "")</f>
        <v/>
      </c>
      <c r="D503" s="17" t="str">
        <f>IF(AND(C503&lt;&gt;"", 'Cost Inputs'!$G$114&lt;&gt;""), 'Cost Inputs'!$G$114, "")</f>
        <v/>
      </c>
      <c r="E503" s="17" t="str">
        <f>IF(AND(C503&lt;&gt;"", 'Cost Inputs'!$H$114&lt;&gt;""), 'Cost Inputs'!$H$114, "")</f>
        <v/>
      </c>
      <c r="F503" s="17" t="str">
        <f>IF(AND(C503&lt;&gt;"", 'Cost Inputs'!$I$114&lt;&gt;""), 'Cost Inputs'!$I$114, "")</f>
        <v/>
      </c>
      <c r="G503" s="105" t="str">
        <f t="shared" si="39"/>
        <v/>
      </c>
      <c r="H503" s="17" t="str">
        <f>IF(AND(C503&lt;&gt;"", 'Cost Inputs'!$J$114&lt;&gt;""), 'Cost Inputs'!$J$114, "")</f>
        <v/>
      </c>
      <c r="I503" s="17" t="str">
        <f t="shared" si="42"/>
        <v/>
      </c>
      <c r="J503" s="17" t="str">
        <f>IF(AND(C503&lt;&gt;"",('Cost Inputs'!$I$114+'Cost Inputs'!$J$114+'Cost Inputs'!$K$114)&gt;0), 'Cost Inputs'!$I$114+'Cost Inputs'!$J$114+'Cost Inputs'!$K$114, "")</f>
        <v/>
      </c>
      <c r="K503" s="17" t="str">
        <f t="shared" si="43"/>
        <v/>
      </c>
      <c r="L503" s="525"/>
      <c r="M503" s="525"/>
      <c r="X503" s="17" t="str">
        <f>IF(ISNUMBER('Model_ of_individuals'!X522), 'Model_ of_individuals'!X522*'Model_ of_individuals'!$K522,"")</f>
        <v/>
      </c>
      <c r="Y503" s="17" t="str">
        <f>IF(ISNUMBER('Model_ of_individuals'!Y522), 'Model_ of_individuals'!Y522*'Model_ of_individuals'!$K522,"")</f>
        <v/>
      </c>
      <c r="Z503" s="17" t="str">
        <f>IF(ISNUMBER('Model_ of_individuals'!Z522), 'Model_ of_individuals'!Z522*'Model_ of_individuals'!$K522,"")</f>
        <v/>
      </c>
      <c r="AA503" s="17" t="str">
        <f>IF(ISNUMBER('Model_ of_individuals'!AA522), 'Model_ of_individuals'!AA522*'Model_ of_individuals'!$K522,"")</f>
        <v/>
      </c>
      <c r="AB503" s="17" t="str">
        <f>IF(ISNUMBER('Model_ of_individuals'!AB522), 'Model_ of_individuals'!AB522*'Model_ of_individuals'!$K522,"")</f>
        <v/>
      </c>
      <c r="AC503" s="17" t="str">
        <f>IF(ISNUMBER('Model_ of_individuals'!AC522), 'Model_ of_individuals'!AC522*'Model_ of_individuals'!$K522,"")</f>
        <v/>
      </c>
      <c r="AD503" s="17" t="str">
        <f>IF(ISNUMBER('Model_ of_individuals'!AD522), 'Model_ of_individuals'!AD522*'Model_ of_individuals'!$K522,"")</f>
        <v/>
      </c>
      <c r="AE503" s="17" t="str">
        <f>IF(ISNUMBER('Model_ of_individuals'!AE522), 'Model_ of_individuals'!AE522*'Model_ of_individuals'!$K522,"")</f>
        <v/>
      </c>
      <c r="AF503" s="17" t="str">
        <f>IF(ISNUMBER('Model_ of_individuals'!AF522), 'Model_ of_individuals'!AF522*'Model_ of_individuals'!$K522,"")</f>
        <v/>
      </c>
      <c r="AG503" s="17" t="str">
        <f>IF(ISNUMBER('Model_ of_individuals'!AG522), 'Model_ of_individuals'!AG522*'Model_ of_individuals'!$K522,"")</f>
        <v/>
      </c>
      <c r="AH503" s="17" t="str">
        <f>IF(ISNUMBER('Model_ of_individuals'!AH522), 'Model_ of_individuals'!AH522*'Model_ of_individuals'!$K522,"")</f>
        <v/>
      </c>
      <c r="AI503" s="17" t="str">
        <f>IF(ISNUMBER('Model_ of_individuals'!AI522), 'Model_ of_individuals'!AI522*'Model_ of_individuals'!$K522,"")</f>
        <v/>
      </c>
      <c r="AJ503" s="17" t="str">
        <f>IF(ISNUMBER('Model_ of_individuals'!AJ522), 'Model_ of_individuals'!AJ522*'Model_ of_individuals'!$K522,"")</f>
        <v/>
      </c>
      <c r="AK503" s="17" t="str">
        <f>IF(ISNUMBER('Model_ of_individuals'!AK522), 'Model_ of_individuals'!AK522*'Model_ of_individuals'!$K522,"")</f>
        <v/>
      </c>
      <c r="AL503" s="17" t="str">
        <f>IF(ISNUMBER('Model_ of_individuals'!AL522), 'Model_ of_individuals'!AL522*'Model_ of_individuals'!$K522,"")</f>
        <v/>
      </c>
      <c r="AM503" s="17" t="str">
        <f>IF(ISNUMBER('Model_ of_individuals'!AM522), 'Model_ of_individuals'!AM522*'Model_ of_individuals'!$K522,"")</f>
        <v/>
      </c>
      <c r="AN503" s="17" t="str">
        <f>IF(ISNUMBER('Model_ of_individuals'!AN522), 'Model_ of_individuals'!AN522*'Model_ of_individuals'!$K522,"")</f>
        <v/>
      </c>
      <c r="AO503" s="17" t="str">
        <f>IF(ISNUMBER('Model_ of_individuals'!AO522), 'Model_ of_individuals'!AO522*'Model_ of_individuals'!$K522,"")</f>
        <v/>
      </c>
      <c r="AP503" s="17" t="str">
        <f>IF(ISNUMBER('Model_ of_individuals'!AP522), 'Model_ of_individuals'!AP522*'Model_ of_individuals'!$K522,"")</f>
        <v/>
      </c>
      <c r="AQ503" s="17" t="str">
        <f>IF(ISNUMBER('Model_ of_individuals'!AQ522), 'Model_ of_individuals'!AQ522*'Model_ of_individuals'!$K522,"")</f>
        <v/>
      </c>
      <c r="AR503" s="17" t="str">
        <f>IF(ISNUMBER('Model_ of_individuals'!AR522), 'Model_ of_individuals'!AR522*'Model_ of_individuals'!$K522,"")</f>
        <v/>
      </c>
      <c r="AS503" s="17" t="str">
        <f>IF(ISNUMBER('Model_ of_individuals'!AS522), 'Model_ of_individuals'!AS522*'Model_ of_individuals'!$K522,"")</f>
        <v/>
      </c>
      <c r="AT503" s="17" t="str">
        <f>IF(ISNUMBER('Model_ of_individuals'!AT522), 'Model_ of_individuals'!AT522*'Model_ of_individuals'!$K522,"")</f>
        <v/>
      </c>
      <c r="AU503" s="17" t="str">
        <f>IF(ISNUMBER('Model_ of_individuals'!AU522), 'Model_ of_individuals'!AU522*'Model_ of_individuals'!$K522,"")</f>
        <v/>
      </c>
      <c r="AV503" s="17" t="str">
        <f>IF(ISNUMBER('Model_ of_individuals'!AV522), 'Model_ of_individuals'!AV522*'Model_ of_individuals'!$K522,"")</f>
        <v/>
      </c>
      <c r="AW503" s="17" t="str">
        <f>IF(ISNUMBER('Model_ of_individuals'!AW522), 'Model_ of_individuals'!AW522*'Model_ of_individuals'!$K522,"")</f>
        <v/>
      </c>
      <c r="AX503" s="17" t="str">
        <f>IF(ISNUMBER('Model_ of_individuals'!AX522), 'Model_ of_individuals'!AX522*'Model_ of_individuals'!$K522,"")</f>
        <v/>
      </c>
      <c r="AY503" s="17" t="str">
        <f>IF(ISNUMBER('Model_ of_individuals'!AY522), 'Model_ of_individuals'!AY522*'Model_ of_individuals'!$K522,"")</f>
        <v/>
      </c>
    </row>
    <row r="504" spans="1:51" x14ac:dyDescent="0.25">
      <c r="A504" s="518"/>
      <c r="B504" s="504"/>
      <c r="C504" s="107" t="str">
        <f>IF(AND(ISNUMBER(B494), OR('Cost Inputs'!$H$115&lt;&gt;"", 'Cost Inputs'!$I$115&lt;&gt;"", 'Cost Inputs'!$J$115&lt;&gt;"")), _4_4_6, "")</f>
        <v/>
      </c>
      <c r="D504" s="93" t="str">
        <f>IF(AND(C504&lt;&gt;"", 'Cost Inputs'!$G$115&lt;&gt;""), 'Cost Inputs'!$G$115, "")</f>
        <v/>
      </c>
      <c r="E504" s="93" t="str">
        <f>IF(AND(C504&lt;&gt;"", 'Cost Inputs'!$H$115&lt;&gt;""), 'Cost Inputs'!$H$115, "")</f>
        <v/>
      </c>
      <c r="F504" s="93" t="str">
        <f>IF(AND(C504&lt;&gt;"", 'Cost Inputs'!$I$115&lt;&gt;""), 'Cost Inputs'!$I$115, "")</f>
        <v/>
      </c>
      <c r="G504" s="108" t="str">
        <f t="shared" si="39"/>
        <v/>
      </c>
      <c r="H504" s="93" t="str">
        <f>IF(AND(C504&lt;&gt;"", 'Cost Inputs'!$J$115&lt;&gt;""), 'Cost Inputs'!$J$115, "")</f>
        <v/>
      </c>
      <c r="I504" s="93" t="str">
        <f t="shared" si="42"/>
        <v/>
      </c>
      <c r="J504" s="93" t="str">
        <f>IF(AND(C504&lt;&gt;"",('Cost Inputs'!$I$115+'Cost Inputs'!$J$115+'Cost Inputs'!$K$115)&gt;0), 'Cost Inputs'!$I$115+'Cost Inputs'!$J$115+'Cost Inputs'!$K$115, "")</f>
        <v/>
      </c>
      <c r="K504" s="93" t="str">
        <f t="shared" si="43"/>
        <v/>
      </c>
      <c r="L504" s="525"/>
      <c r="M504" s="525"/>
      <c r="X504" s="93" t="str">
        <f>IF(ISNUMBER('Model_ of_individuals'!X523), 'Model_ of_individuals'!X523*'Model_ of_individuals'!$K523,"")</f>
        <v/>
      </c>
      <c r="Y504" s="93" t="str">
        <f>IF(ISNUMBER('Model_ of_individuals'!Y523), 'Model_ of_individuals'!Y523*'Model_ of_individuals'!$K523,"")</f>
        <v/>
      </c>
      <c r="Z504" s="93" t="str">
        <f>IF(ISNUMBER('Model_ of_individuals'!Z523), 'Model_ of_individuals'!Z523*'Model_ of_individuals'!$K523,"")</f>
        <v/>
      </c>
      <c r="AA504" s="93" t="str">
        <f>IF(ISNUMBER('Model_ of_individuals'!AA523), 'Model_ of_individuals'!AA523*'Model_ of_individuals'!$K523,"")</f>
        <v/>
      </c>
      <c r="AB504" s="93" t="str">
        <f>IF(ISNUMBER('Model_ of_individuals'!AB523), 'Model_ of_individuals'!AB523*'Model_ of_individuals'!$K523,"")</f>
        <v/>
      </c>
      <c r="AC504" s="93" t="str">
        <f>IF(ISNUMBER('Model_ of_individuals'!AC523), 'Model_ of_individuals'!AC523*'Model_ of_individuals'!$K523,"")</f>
        <v/>
      </c>
      <c r="AD504" s="93" t="str">
        <f>IF(ISNUMBER('Model_ of_individuals'!AD523), 'Model_ of_individuals'!AD523*'Model_ of_individuals'!$K523,"")</f>
        <v/>
      </c>
      <c r="AE504" s="93" t="str">
        <f>IF(ISNUMBER('Model_ of_individuals'!AE523), 'Model_ of_individuals'!AE523*'Model_ of_individuals'!$K523,"")</f>
        <v/>
      </c>
      <c r="AF504" s="93" t="str">
        <f>IF(ISNUMBER('Model_ of_individuals'!AF523), 'Model_ of_individuals'!AF523*'Model_ of_individuals'!$K523,"")</f>
        <v/>
      </c>
      <c r="AG504" s="93" t="str">
        <f>IF(ISNUMBER('Model_ of_individuals'!AG523), 'Model_ of_individuals'!AG523*'Model_ of_individuals'!$K523,"")</f>
        <v/>
      </c>
      <c r="AH504" s="93" t="str">
        <f>IF(ISNUMBER('Model_ of_individuals'!AH523), 'Model_ of_individuals'!AH523*'Model_ of_individuals'!$K523,"")</f>
        <v/>
      </c>
      <c r="AI504" s="93" t="str">
        <f>IF(ISNUMBER('Model_ of_individuals'!AI523), 'Model_ of_individuals'!AI523*'Model_ of_individuals'!$K523,"")</f>
        <v/>
      </c>
      <c r="AJ504" s="93" t="str">
        <f>IF(ISNUMBER('Model_ of_individuals'!AJ523), 'Model_ of_individuals'!AJ523*'Model_ of_individuals'!$K523,"")</f>
        <v/>
      </c>
      <c r="AK504" s="93" t="str">
        <f>IF(ISNUMBER('Model_ of_individuals'!AK523), 'Model_ of_individuals'!AK523*'Model_ of_individuals'!$K523,"")</f>
        <v/>
      </c>
      <c r="AL504" s="93" t="str">
        <f>IF(ISNUMBER('Model_ of_individuals'!AL523), 'Model_ of_individuals'!AL523*'Model_ of_individuals'!$K523,"")</f>
        <v/>
      </c>
      <c r="AM504" s="93" t="str">
        <f>IF(ISNUMBER('Model_ of_individuals'!AM523), 'Model_ of_individuals'!AM523*'Model_ of_individuals'!$K523,"")</f>
        <v/>
      </c>
      <c r="AN504" s="93" t="str">
        <f>IF(ISNUMBER('Model_ of_individuals'!AN523), 'Model_ of_individuals'!AN523*'Model_ of_individuals'!$K523,"")</f>
        <v/>
      </c>
      <c r="AO504" s="93" t="str">
        <f>IF(ISNUMBER('Model_ of_individuals'!AO523), 'Model_ of_individuals'!AO523*'Model_ of_individuals'!$K523,"")</f>
        <v/>
      </c>
      <c r="AP504" s="93" t="str">
        <f>IF(ISNUMBER('Model_ of_individuals'!AP523), 'Model_ of_individuals'!AP523*'Model_ of_individuals'!$K523,"")</f>
        <v/>
      </c>
      <c r="AQ504" s="93" t="str">
        <f>IF(ISNUMBER('Model_ of_individuals'!AQ523), 'Model_ of_individuals'!AQ523*'Model_ of_individuals'!$K523,"")</f>
        <v/>
      </c>
      <c r="AR504" s="93" t="str">
        <f>IF(ISNUMBER('Model_ of_individuals'!AR523), 'Model_ of_individuals'!AR523*'Model_ of_individuals'!$K523,"")</f>
        <v/>
      </c>
      <c r="AS504" s="93" t="str">
        <f>IF(ISNUMBER('Model_ of_individuals'!AS523), 'Model_ of_individuals'!AS523*'Model_ of_individuals'!$K523,"")</f>
        <v/>
      </c>
      <c r="AT504" s="93" t="str">
        <f>IF(ISNUMBER('Model_ of_individuals'!AT523), 'Model_ of_individuals'!AT523*'Model_ of_individuals'!$K523,"")</f>
        <v/>
      </c>
      <c r="AU504" s="93" t="str">
        <f>IF(ISNUMBER('Model_ of_individuals'!AU523), 'Model_ of_individuals'!AU523*'Model_ of_individuals'!$K523,"")</f>
        <v/>
      </c>
      <c r="AV504" s="93" t="str">
        <f>IF(ISNUMBER('Model_ of_individuals'!AV523), 'Model_ of_individuals'!AV523*'Model_ of_individuals'!$K523,"")</f>
        <v/>
      </c>
      <c r="AW504" s="93" t="str">
        <f>IF(ISNUMBER('Model_ of_individuals'!AW523), 'Model_ of_individuals'!AW523*'Model_ of_individuals'!$K523,"")</f>
        <v/>
      </c>
      <c r="AX504" s="93" t="str">
        <f>IF(ISNUMBER('Model_ of_individuals'!AX523), 'Model_ of_individuals'!AX523*'Model_ of_individuals'!$K523,"")</f>
        <v/>
      </c>
      <c r="AY504" s="93" t="str">
        <f>IF(ISNUMBER('Model_ of_individuals'!AY523), 'Model_ of_individuals'!AY523*'Model_ of_individuals'!$K523,"")</f>
        <v/>
      </c>
    </row>
    <row r="505" spans="1:51" x14ac:dyDescent="0.25">
      <c r="A505" s="518"/>
      <c r="B505" s="504"/>
      <c r="C505" s="521" t="str">
        <f>IF(AND(B494&lt;&gt;"", ISNUMBER(B494), ISNUMBER(Stage2EvaluationBegins)), IF((INDEX(ProgramYearStage2,MATCH(Stage2EvaluationBegins,Years_in_Stage2,0)))=B494, _4_5_0, IF(AND(B494&lt;&gt;"", C482&lt;&gt;""), _4_5_0, IF(AND(B494&lt;&gt;"", ISNUMBER(B494), OR(Stage2EvaluationBegins=0, Stage2EvaluationBegins="")),"", ""))),"")</f>
        <v/>
      </c>
      <c r="D505" s="94" t="str">
        <f>IF(AND(C505&lt;&gt;"", 'Cost Inputs'!$G$116&lt;&gt;""), 'Cost Inputs'!$G$116, "")</f>
        <v/>
      </c>
      <c r="E505" s="94" t="str">
        <f>IF(AND(C505&lt;&gt;"", 'Cost Inputs'!$H$116&lt;&gt;""), 'Cost Inputs'!$H$116, "")</f>
        <v/>
      </c>
      <c r="F505" s="492" t="str">
        <f>IF(AND(C505&lt;&gt;"", 'Cost Inputs'!$I$116&lt;&gt;""), 'Cost Inputs'!$I$116, "")</f>
        <v/>
      </c>
      <c r="G505" s="102" t="str">
        <f t="shared" si="39"/>
        <v/>
      </c>
      <c r="H505" s="492" t="str">
        <f>IF(AND(C505&lt;&gt;"", 'Cost Inputs'!$J$116&lt;&gt;""), 'Cost Inputs'!$J$116, "")</f>
        <v/>
      </c>
      <c r="I505" s="102" t="str">
        <f>IF($C505&lt;&gt;"",IF(AND($E505&lt;&gt;"",H505&lt;&gt;""), H505/$E505, 0),"")</f>
        <v/>
      </c>
      <c r="J505" s="492" t="str">
        <f>IF(AND(C505&lt;&gt;"",('Cost Inputs'!$I$116+'Cost Inputs'!$J$116+'Cost Inputs'!$K$116)&gt;0), 'Cost Inputs'!$I$116+'Cost Inputs'!$J$116+'Cost Inputs'!$K$116, "")</f>
        <v/>
      </c>
      <c r="K505" s="102" t="str">
        <f>IF($C505&lt;&gt;"",IF(AND($E505&lt;&gt;"",J505&lt;&gt;""), J505/$E505, 0),"")</f>
        <v/>
      </c>
      <c r="L505" s="525"/>
      <c r="M505" s="525"/>
      <c r="X505" s="496" t="str">
        <f>IF(ISNUMBER('Model_ of_individuals'!X525), 'Model_ of_individuals'!X525*'Model_ of_individuals'!$K525,"")</f>
        <v/>
      </c>
      <c r="Y505" s="496" t="str">
        <f>IF(ISNUMBER('Model_ of_individuals'!Y525), 'Model_ of_individuals'!Y525*'Model_ of_individuals'!$K525,"")</f>
        <v/>
      </c>
      <c r="Z505" s="496" t="str">
        <f>IF(ISNUMBER('Model_ of_individuals'!Z525), 'Model_ of_individuals'!Z525*'Model_ of_individuals'!$K525,"")</f>
        <v/>
      </c>
      <c r="AA505" s="496" t="str">
        <f>IF(ISNUMBER('Model_ of_individuals'!AA525), 'Model_ of_individuals'!AA525*'Model_ of_individuals'!$K525,"")</f>
        <v/>
      </c>
      <c r="AB505" s="496" t="str">
        <f>IF(ISNUMBER('Model_ of_individuals'!AB525), 'Model_ of_individuals'!AB525*'Model_ of_individuals'!$K525,"")</f>
        <v/>
      </c>
      <c r="AC505" s="496" t="str">
        <f>IF(ISNUMBER('Model_ of_individuals'!AC525), 'Model_ of_individuals'!AC525*'Model_ of_individuals'!$K525,"")</f>
        <v/>
      </c>
      <c r="AD505" s="496" t="str">
        <f>IF(ISNUMBER('Model_ of_individuals'!AD525), 'Model_ of_individuals'!AD525*'Model_ of_individuals'!$K525,"")</f>
        <v/>
      </c>
      <c r="AE505" s="496" t="str">
        <f>IF(ISNUMBER('Model_ of_individuals'!AE525), 'Model_ of_individuals'!AE525*'Model_ of_individuals'!$K525,"")</f>
        <v/>
      </c>
      <c r="AF505" s="496" t="str">
        <f>IF(ISNUMBER('Model_ of_individuals'!AF525), 'Model_ of_individuals'!AF525*'Model_ of_individuals'!$K525,"")</f>
        <v/>
      </c>
      <c r="AG505" s="496" t="str">
        <f>IF(ISNUMBER('Model_ of_individuals'!AG525), 'Model_ of_individuals'!AG525*'Model_ of_individuals'!$K525,"")</f>
        <v/>
      </c>
      <c r="AH505" s="496" t="str">
        <f>IF(ISNUMBER('Model_ of_individuals'!AH525), 'Model_ of_individuals'!AH525*'Model_ of_individuals'!$K525,"")</f>
        <v/>
      </c>
      <c r="AI505" s="496" t="str">
        <f>IF(ISNUMBER('Model_ of_individuals'!AI525), 'Model_ of_individuals'!AI525*'Model_ of_individuals'!$K525,"")</f>
        <v/>
      </c>
      <c r="AJ505" s="496" t="str">
        <f>IF(ISNUMBER('Model_ of_individuals'!AJ525), 'Model_ of_individuals'!AJ525*'Model_ of_individuals'!$K525,"")</f>
        <v/>
      </c>
      <c r="AK505" s="496" t="str">
        <f>IF(ISNUMBER('Model_ of_individuals'!AK525), 'Model_ of_individuals'!AK525*'Model_ of_individuals'!$K525,"")</f>
        <v/>
      </c>
      <c r="AL505" s="496" t="str">
        <f>IF(ISNUMBER('Model_ of_individuals'!AL525), 'Model_ of_individuals'!AL525*'Model_ of_individuals'!$K525,"")</f>
        <v/>
      </c>
      <c r="AM505" s="496" t="str">
        <f>IF(ISNUMBER('Model_ of_individuals'!AM525), 'Model_ of_individuals'!AM525*'Model_ of_individuals'!$K525,"")</f>
        <v/>
      </c>
      <c r="AN505" s="496" t="str">
        <f>IF(ISNUMBER('Model_ of_individuals'!AN525), 'Model_ of_individuals'!AN525*'Model_ of_individuals'!$K525,"")</f>
        <v/>
      </c>
      <c r="AO505" s="496" t="str">
        <f>IF(ISNUMBER('Model_ of_individuals'!AO525), 'Model_ of_individuals'!AO525*'Model_ of_individuals'!$K525,"")</f>
        <v/>
      </c>
      <c r="AP505" s="496" t="str">
        <f>IF(ISNUMBER('Model_ of_individuals'!AP525), 'Model_ of_individuals'!AP525*'Model_ of_individuals'!$K525,"")</f>
        <v/>
      </c>
      <c r="AQ505" s="496" t="str">
        <f>IF(ISNUMBER('Model_ of_individuals'!AQ525), 'Model_ of_individuals'!AQ525*'Model_ of_individuals'!$K525,"")</f>
        <v/>
      </c>
      <c r="AR505" s="496" t="str">
        <f>IF(ISNUMBER('Model_ of_individuals'!AR525), 'Model_ of_individuals'!AR525*'Model_ of_individuals'!$K525,"")</f>
        <v/>
      </c>
      <c r="AS505" s="496" t="str">
        <f>IF(ISNUMBER('Model_ of_individuals'!AS525), 'Model_ of_individuals'!AS525*'Model_ of_individuals'!$K525,"")</f>
        <v/>
      </c>
      <c r="AT505" s="496" t="str">
        <f>IF(ISNUMBER('Model_ of_individuals'!AT525), 'Model_ of_individuals'!AT525*'Model_ of_individuals'!$K525,"")</f>
        <v/>
      </c>
      <c r="AU505" s="496" t="str">
        <f>IF(ISNUMBER('Model_ of_individuals'!AU525), 'Model_ of_individuals'!AU525*'Model_ of_individuals'!$K525,"")</f>
        <v/>
      </c>
      <c r="AV505" s="496" t="str">
        <f>IF(ISNUMBER('Model_ of_individuals'!AV525), 'Model_ of_individuals'!AV525*'Model_ of_individuals'!$K525,"")</f>
        <v/>
      </c>
      <c r="AW505" s="496" t="str">
        <f>IF(ISNUMBER('Model_ of_individuals'!AW525), 'Model_ of_individuals'!AW525*'Model_ of_individuals'!$K525,"")</f>
        <v/>
      </c>
      <c r="AX505" s="496" t="str">
        <f>IF(ISNUMBER('Model_ of_individuals'!AX525), 'Model_ of_individuals'!AX525*'Model_ of_individuals'!$K525,"")</f>
        <v/>
      </c>
      <c r="AY505" s="496" t="str">
        <f>IF(ISNUMBER('Model_ of_individuals'!AY525), 'Model_ of_individuals'!AY525*'Model_ of_individuals'!$K525,"")</f>
        <v/>
      </c>
    </row>
    <row r="506" spans="1:51" x14ac:dyDescent="0.25">
      <c r="A506" s="518"/>
      <c r="B506" s="504"/>
      <c r="C506" s="521"/>
      <c r="D506" s="94" t="str">
        <f>IF(AND(C505&lt;&gt;"", 'Cost Inputs'!$G$117&lt;&gt;""), 'Cost Inputs'!$G$117, "")</f>
        <v/>
      </c>
      <c r="E506" s="94" t="str">
        <f>IF(AND(C505&lt;&gt;"", 'Cost Inputs'!$H$117&lt;&gt;""), 'Cost Inputs'!$H$117, "")</f>
        <v/>
      </c>
      <c r="F506" s="492"/>
      <c r="G506" s="102" t="str">
        <f t="shared" si="39"/>
        <v/>
      </c>
      <c r="H506" s="492"/>
      <c r="I506" s="102" t="str">
        <f>IF($C505&lt;&gt;"", IF(AND($E506&lt;&gt;"", H505&lt;&gt;""), H505/($E505*$E506), 0), "")</f>
        <v/>
      </c>
      <c r="J506" s="492" t="str">
        <f>IF(AND(C506&lt;&gt;"",('Cost Inputs'!$I$86+'Cost Inputs'!$J$86+'Cost Inputs'!$K$86)&gt;0), 'Cost Inputs'!$I$86+'Cost Inputs'!$J$86+'Cost Inputs'!$K$86, "")</f>
        <v/>
      </c>
      <c r="K506" s="102" t="str">
        <f>IF($C505&lt;&gt;"", IF(AND($E506&lt;&gt;"", J505&lt;&gt;""), J505/($E505*$E506), 0), "")</f>
        <v/>
      </c>
      <c r="L506" s="525"/>
      <c r="M506" s="525"/>
      <c r="X506" s="496" t="str">
        <f>IF(ISNUMBER('Model_ of_individuals'!X526), 'Model_ of_individuals'!X526*'Model_ of_individuals'!$K526,"")</f>
        <v/>
      </c>
      <c r="Y506" s="496" t="str">
        <f>IF(ISNUMBER('Model_ of_individuals'!Y526), 'Model_ of_individuals'!Y526*'Model_ of_individuals'!$K526,"")</f>
        <v/>
      </c>
      <c r="Z506" s="496" t="str">
        <f>IF(ISNUMBER('Model_ of_individuals'!Z526), 'Model_ of_individuals'!Z526*'Model_ of_individuals'!$K526,"")</f>
        <v/>
      </c>
      <c r="AA506" s="496" t="str">
        <f>IF(ISNUMBER('Model_ of_individuals'!AA526), 'Model_ of_individuals'!AA526*'Model_ of_individuals'!$K526,"")</f>
        <v/>
      </c>
      <c r="AB506" s="496" t="str">
        <f>IF(ISNUMBER('Model_ of_individuals'!AB526), 'Model_ of_individuals'!AB526*'Model_ of_individuals'!$K526,"")</f>
        <v/>
      </c>
      <c r="AC506" s="496" t="str">
        <f>IF(ISNUMBER('Model_ of_individuals'!AC526), 'Model_ of_individuals'!AC526*'Model_ of_individuals'!$K526,"")</f>
        <v/>
      </c>
      <c r="AD506" s="496" t="str">
        <f>IF(ISNUMBER('Model_ of_individuals'!AD526), 'Model_ of_individuals'!AD526*'Model_ of_individuals'!$K526,"")</f>
        <v/>
      </c>
      <c r="AE506" s="496" t="str">
        <f>IF(ISNUMBER('Model_ of_individuals'!AE526), 'Model_ of_individuals'!AE526*'Model_ of_individuals'!$K526,"")</f>
        <v/>
      </c>
      <c r="AF506" s="496" t="str">
        <f>IF(ISNUMBER('Model_ of_individuals'!AF526), 'Model_ of_individuals'!AF526*'Model_ of_individuals'!$K526,"")</f>
        <v/>
      </c>
      <c r="AG506" s="496" t="str">
        <f>IF(ISNUMBER('Model_ of_individuals'!AG526), 'Model_ of_individuals'!AG526*'Model_ of_individuals'!$K526,"")</f>
        <v/>
      </c>
      <c r="AH506" s="496" t="str">
        <f>IF(ISNUMBER('Model_ of_individuals'!AH526), 'Model_ of_individuals'!AH526*'Model_ of_individuals'!$K526,"")</f>
        <v/>
      </c>
      <c r="AI506" s="496" t="str">
        <f>IF(ISNUMBER('Model_ of_individuals'!AI526), 'Model_ of_individuals'!AI526*'Model_ of_individuals'!$K526,"")</f>
        <v/>
      </c>
      <c r="AJ506" s="496" t="str">
        <f>IF(ISNUMBER('Model_ of_individuals'!AJ526), 'Model_ of_individuals'!AJ526*'Model_ of_individuals'!$K526,"")</f>
        <v/>
      </c>
      <c r="AK506" s="496" t="str">
        <f>IF(ISNUMBER('Model_ of_individuals'!AK526), 'Model_ of_individuals'!AK526*'Model_ of_individuals'!$K526,"")</f>
        <v/>
      </c>
      <c r="AL506" s="496" t="str">
        <f>IF(ISNUMBER('Model_ of_individuals'!AL526), 'Model_ of_individuals'!AL526*'Model_ of_individuals'!$K526,"")</f>
        <v/>
      </c>
      <c r="AM506" s="496" t="str">
        <f>IF(ISNUMBER('Model_ of_individuals'!AM526), 'Model_ of_individuals'!AM526*'Model_ of_individuals'!$K526,"")</f>
        <v/>
      </c>
      <c r="AN506" s="496" t="str">
        <f>IF(ISNUMBER('Model_ of_individuals'!AN526), 'Model_ of_individuals'!AN526*'Model_ of_individuals'!$K526,"")</f>
        <v/>
      </c>
      <c r="AO506" s="496" t="str">
        <f>IF(ISNUMBER('Model_ of_individuals'!AO526), 'Model_ of_individuals'!AO526*'Model_ of_individuals'!$K526,"")</f>
        <v/>
      </c>
      <c r="AP506" s="496" t="str">
        <f>IF(ISNUMBER('Model_ of_individuals'!AP526), 'Model_ of_individuals'!AP526*'Model_ of_individuals'!$K526,"")</f>
        <v/>
      </c>
      <c r="AQ506" s="496" t="str">
        <f>IF(ISNUMBER('Model_ of_individuals'!AQ526), 'Model_ of_individuals'!AQ526*'Model_ of_individuals'!$K526,"")</f>
        <v/>
      </c>
      <c r="AR506" s="496" t="str">
        <f>IF(ISNUMBER('Model_ of_individuals'!AR526), 'Model_ of_individuals'!AR526*'Model_ of_individuals'!$K526,"")</f>
        <v/>
      </c>
      <c r="AS506" s="496" t="str">
        <f>IF(ISNUMBER('Model_ of_individuals'!AS526), 'Model_ of_individuals'!AS526*'Model_ of_individuals'!$K526,"")</f>
        <v/>
      </c>
      <c r="AT506" s="496" t="str">
        <f>IF(ISNUMBER('Model_ of_individuals'!AT526), 'Model_ of_individuals'!AT526*'Model_ of_individuals'!$K526,"")</f>
        <v/>
      </c>
      <c r="AU506" s="496" t="str">
        <f>IF(ISNUMBER('Model_ of_individuals'!AU526), 'Model_ of_individuals'!AU526*'Model_ of_individuals'!$K526,"")</f>
        <v/>
      </c>
      <c r="AV506" s="496" t="str">
        <f>IF(ISNUMBER('Model_ of_individuals'!AV526), 'Model_ of_individuals'!AV526*'Model_ of_individuals'!$K526,"")</f>
        <v/>
      </c>
      <c r="AW506" s="496" t="str">
        <f>IF(ISNUMBER('Model_ of_individuals'!AW526), 'Model_ of_individuals'!AW526*'Model_ of_individuals'!$K526,"")</f>
        <v/>
      </c>
      <c r="AX506" s="496" t="str">
        <f>IF(ISNUMBER('Model_ of_individuals'!AX526), 'Model_ of_individuals'!AX526*'Model_ of_individuals'!$K526,"")</f>
        <v/>
      </c>
      <c r="AY506" s="496" t="str">
        <f>IF(ISNUMBER('Model_ of_individuals'!AY526), 'Model_ of_individuals'!AY526*'Model_ of_individuals'!$K526,"")</f>
        <v/>
      </c>
    </row>
    <row r="507" spans="1:51" x14ac:dyDescent="0.25">
      <c r="A507" s="518"/>
      <c r="B507" s="504"/>
      <c r="C507" s="376" t="str">
        <f>IF(AND(ISNUMBER(B494), C505&lt;&gt;"", OR('Cost Inputs'!$H$118&lt;&gt;"", 'Cost Inputs'!$I$118&lt;&gt;"", 'Cost Inputs'!$J$118&lt;&gt;"")), _4_5_1, "")</f>
        <v/>
      </c>
      <c r="D507" s="17" t="str">
        <f>IF(AND(C507&lt;&gt;"", 'Cost Inputs'!$G$118&lt;&gt;""), 'Cost Inputs'!$G$118, "")</f>
        <v/>
      </c>
      <c r="E507" s="17" t="str">
        <f>IF(AND(C507&lt;&gt;"", 'Cost Inputs'!$H$118&lt;&gt;""), 'Cost Inputs'!$H$118, "")</f>
        <v/>
      </c>
      <c r="F507" s="493" t="str">
        <f>IF(AND(C507&lt;&gt;"", 'Cost Inputs'!$I$118&lt;&gt;""), 'Cost Inputs'!$I$118, "")</f>
        <v/>
      </c>
      <c r="G507" s="105" t="str">
        <f t="shared" si="39"/>
        <v/>
      </c>
      <c r="H507" s="493" t="str">
        <f>IF(AND(C507&lt;&gt;"", 'Cost Inputs'!$J$118&lt;&gt;""), 'Cost Inputs'!$J$118, "")</f>
        <v/>
      </c>
      <c r="I507" s="105" t="str">
        <f>IF($C507&lt;&gt;"",IF(AND($E507&lt;&gt;"",H507&lt;&gt;""), H507/$E507, 0),"")</f>
        <v/>
      </c>
      <c r="J507" s="493" t="str">
        <f>IF(AND(C507&lt;&gt;"",('Cost Inputs'!$I$118+'Cost Inputs'!$J$118+'Cost Inputs'!$K$118)&gt;0), 'Cost Inputs'!$I$118+'Cost Inputs'!$J$118+'Cost Inputs'!$K$118, "")</f>
        <v/>
      </c>
      <c r="K507" s="105" t="str">
        <f>IF($C507&lt;&gt;"",IF(AND($E507&lt;&gt;"",J507&lt;&gt;""), J507/$E507, 0),"")</f>
        <v/>
      </c>
      <c r="L507" s="525"/>
      <c r="M507" s="525"/>
      <c r="X507" s="497" t="str">
        <f>IF(ISNUMBER('Model_ of_individuals'!X527), 'Model_ of_individuals'!X527*'Model_ of_individuals'!$K527,"")</f>
        <v/>
      </c>
      <c r="Y507" s="497" t="str">
        <f>IF(ISNUMBER('Model_ of_individuals'!Y527), 'Model_ of_individuals'!Y527*'Model_ of_individuals'!$K527,"")</f>
        <v/>
      </c>
      <c r="Z507" s="497" t="str">
        <f>IF(ISNUMBER('Model_ of_individuals'!Z527), 'Model_ of_individuals'!Z527*'Model_ of_individuals'!$K527,"")</f>
        <v/>
      </c>
      <c r="AA507" s="497" t="str">
        <f>IF(ISNUMBER('Model_ of_individuals'!AA527), 'Model_ of_individuals'!AA527*'Model_ of_individuals'!$K527,"")</f>
        <v/>
      </c>
      <c r="AB507" s="497" t="str">
        <f>IF(ISNUMBER('Model_ of_individuals'!AB527), 'Model_ of_individuals'!AB527*'Model_ of_individuals'!$K527,"")</f>
        <v/>
      </c>
      <c r="AC507" s="497" t="str">
        <f>IF(ISNUMBER('Model_ of_individuals'!AC527), 'Model_ of_individuals'!AC527*'Model_ of_individuals'!$K527,"")</f>
        <v/>
      </c>
      <c r="AD507" s="497" t="str">
        <f>IF(ISNUMBER('Model_ of_individuals'!AD527), 'Model_ of_individuals'!AD527*'Model_ of_individuals'!$K527,"")</f>
        <v/>
      </c>
      <c r="AE507" s="497" t="str">
        <f>IF(ISNUMBER('Model_ of_individuals'!AE527), 'Model_ of_individuals'!AE527*'Model_ of_individuals'!$K527,"")</f>
        <v/>
      </c>
      <c r="AF507" s="497" t="str">
        <f>IF(ISNUMBER('Model_ of_individuals'!AF527), 'Model_ of_individuals'!AF527*'Model_ of_individuals'!$K527,"")</f>
        <v/>
      </c>
      <c r="AG507" s="497" t="str">
        <f>IF(ISNUMBER('Model_ of_individuals'!AG527), 'Model_ of_individuals'!AG527*'Model_ of_individuals'!$K527,"")</f>
        <v/>
      </c>
      <c r="AH507" s="497" t="str">
        <f>IF(ISNUMBER('Model_ of_individuals'!AH527), 'Model_ of_individuals'!AH527*'Model_ of_individuals'!$K527,"")</f>
        <v/>
      </c>
      <c r="AI507" s="497" t="str">
        <f>IF(ISNUMBER('Model_ of_individuals'!AI527), 'Model_ of_individuals'!AI527*'Model_ of_individuals'!$K527,"")</f>
        <v/>
      </c>
      <c r="AJ507" s="497" t="str">
        <f>IF(ISNUMBER('Model_ of_individuals'!AJ527), 'Model_ of_individuals'!AJ527*'Model_ of_individuals'!$K527,"")</f>
        <v/>
      </c>
      <c r="AK507" s="497" t="str">
        <f>IF(ISNUMBER('Model_ of_individuals'!AK527), 'Model_ of_individuals'!AK527*'Model_ of_individuals'!$K527,"")</f>
        <v/>
      </c>
      <c r="AL507" s="497" t="str">
        <f>IF(ISNUMBER('Model_ of_individuals'!AL527), 'Model_ of_individuals'!AL527*'Model_ of_individuals'!$K527,"")</f>
        <v/>
      </c>
      <c r="AM507" s="497" t="str">
        <f>IF(ISNUMBER('Model_ of_individuals'!AM527), 'Model_ of_individuals'!AM527*'Model_ of_individuals'!$K527,"")</f>
        <v/>
      </c>
      <c r="AN507" s="497" t="str">
        <f>IF(ISNUMBER('Model_ of_individuals'!AN527), 'Model_ of_individuals'!AN527*'Model_ of_individuals'!$K527,"")</f>
        <v/>
      </c>
      <c r="AO507" s="497" t="str">
        <f>IF(ISNUMBER('Model_ of_individuals'!AO527), 'Model_ of_individuals'!AO527*'Model_ of_individuals'!$K527,"")</f>
        <v/>
      </c>
      <c r="AP507" s="497" t="str">
        <f>IF(ISNUMBER('Model_ of_individuals'!AP527), 'Model_ of_individuals'!AP527*'Model_ of_individuals'!$K527,"")</f>
        <v/>
      </c>
      <c r="AQ507" s="497" t="str">
        <f>IF(ISNUMBER('Model_ of_individuals'!AQ527), 'Model_ of_individuals'!AQ527*'Model_ of_individuals'!$K527,"")</f>
        <v/>
      </c>
      <c r="AR507" s="497" t="str">
        <f>IF(ISNUMBER('Model_ of_individuals'!AR527), 'Model_ of_individuals'!AR527*'Model_ of_individuals'!$K527,"")</f>
        <v/>
      </c>
      <c r="AS507" s="497" t="str">
        <f>IF(ISNUMBER('Model_ of_individuals'!AS527), 'Model_ of_individuals'!AS527*'Model_ of_individuals'!$K527,"")</f>
        <v/>
      </c>
      <c r="AT507" s="497" t="str">
        <f>IF(ISNUMBER('Model_ of_individuals'!AT527), 'Model_ of_individuals'!AT527*'Model_ of_individuals'!$K527,"")</f>
        <v/>
      </c>
      <c r="AU507" s="497" t="str">
        <f>IF(ISNUMBER('Model_ of_individuals'!AU527), 'Model_ of_individuals'!AU527*'Model_ of_individuals'!$K527,"")</f>
        <v/>
      </c>
      <c r="AV507" s="497" t="str">
        <f>IF(ISNUMBER('Model_ of_individuals'!AV527), 'Model_ of_individuals'!AV527*'Model_ of_individuals'!$K527,"")</f>
        <v/>
      </c>
      <c r="AW507" s="497" t="str">
        <f>IF(ISNUMBER('Model_ of_individuals'!AW527), 'Model_ of_individuals'!AW527*'Model_ of_individuals'!$K527,"")</f>
        <v/>
      </c>
      <c r="AX507" s="497" t="str">
        <f>IF(ISNUMBER('Model_ of_individuals'!AX527), 'Model_ of_individuals'!AX527*'Model_ of_individuals'!$K527,"")</f>
        <v/>
      </c>
      <c r="AY507" s="497" t="str">
        <f>IF(ISNUMBER('Model_ of_individuals'!AY527), 'Model_ of_individuals'!AY527*'Model_ of_individuals'!$K527,"")</f>
        <v/>
      </c>
    </row>
    <row r="508" spans="1:51" x14ac:dyDescent="0.25">
      <c r="A508" s="518"/>
      <c r="B508" s="504"/>
      <c r="C508" s="376" t="str">
        <f>IF(AND(ISNUMBER(B489), OR('Cost Inputs'!$H$85&lt;&gt;"", 'Cost Inputs'!$I$85&lt;&gt;"", 'Cost Inputs'!$J$85&lt;&gt;"")), _3_5_1, "")</f>
        <v/>
      </c>
      <c r="D508" s="17" t="str">
        <f>IF(AND(C507&lt;&gt;"", 'Cost Inputs'!$G$119&lt;&gt;""), 'Cost Inputs'!$G$119, "")</f>
        <v/>
      </c>
      <c r="E508" s="17" t="str">
        <f>IF(AND(C507&lt;&gt;"", 'Cost Inputs'!$H$119&lt;&gt;""), 'Cost Inputs'!$H$119, "")</f>
        <v/>
      </c>
      <c r="F508" s="493"/>
      <c r="G508" s="105" t="str">
        <f t="shared" si="39"/>
        <v/>
      </c>
      <c r="H508" s="493"/>
      <c r="I508" s="105" t="str">
        <f>IF($C507&lt;&gt;"", IF(AND($E508&lt;&gt;"", H507&lt;&gt;""), H507/($E507*$E508), 0), "")</f>
        <v/>
      </c>
      <c r="J508" s="493" t="str">
        <f>IF(AND(C508&lt;&gt;"",('Cost Inputs'!$I$86+'Cost Inputs'!$J$86+'Cost Inputs'!$K$86)&gt;0), 'Cost Inputs'!$I$86+'Cost Inputs'!$J$86+'Cost Inputs'!$K$86, "")</f>
        <v/>
      </c>
      <c r="K508" s="105" t="str">
        <f>IF($C507&lt;&gt;"", IF(AND($E508&lt;&gt;"", J507&lt;&gt;""), J507/($E507*$E508), 0), "")</f>
        <v/>
      </c>
      <c r="L508" s="525"/>
      <c r="M508" s="525"/>
      <c r="X508" s="497" t="str">
        <f>IF(ISNUMBER('Model_ of_individuals'!X528), 'Model_ of_individuals'!X528*'Model_ of_individuals'!$K528,"")</f>
        <v/>
      </c>
      <c r="Y508" s="497" t="str">
        <f>IF(ISNUMBER('Model_ of_individuals'!Y528), 'Model_ of_individuals'!Y528*'Model_ of_individuals'!$K528,"")</f>
        <v/>
      </c>
      <c r="Z508" s="497" t="str">
        <f>IF(ISNUMBER('Model_ of_individuals'!Z528), 'Model_ of_individuals'!Z528*'Model_ of_individuals'!$K528,"")</f>
        <v/>
      </c>
      <c r="AA508" s="497" t="str">
        <f>IF(ISNUMBER('Model_ of_individuals'!AA528), 'Model_ of_individuals'!AA528*'Model_ of_individuals'!$K528,"")</f>
        <v/>
      </c>
      <c r="AB508" s="497" t="str">
        <f>IF(ISNUMBER('Model_ of_individuals'!AB528), 'Model_ of_individuals'!AB528*'Model_ of_individuals'!$K528,"")</f>
        <v/>
      </c>
      <c r="AC508" s="497" t="str">
        <f>IF(ISNUMBER('Model_ of_individuals'!AC528), 'Model_ of_individuals'!AC528*'Model_ of_individuals'!$K528,"")</f>
        <v/>
      </c>
      <c r="AD508" s="497" t="str">
        <f>IF(ISNUMBER('Model_ of_individuals'!AD528), 'Model_ of_individuals'!AD528*'Model_ of_individuals'!$K528,"")</f>
        <v/>
      </c>
      <c r="AE508" s="497" t="str">
        <f>IF(ISNUMBER('Model_ of_individuals'!AE528), 'Model_ of_individuals'!AE528*'Model_ of_individuals'!$K528,"")</f>
        <v/>
      </c>
      <c r="AF508" s="497" t="str">
        <f>IF(ISNUMBER('Model_ of_individuals'!AF528), 'Model_ of_individuals'!AF528*'Model_ of_individuals'!$K528,"")</f>
        <v/>
      </c>
      <c r="AG508" s="497" t="str">
        <f>IF(ISNUMBER('Model_ of_individuals'!AG528), 'Model_ of_individuals'!AG528*'Model_ of_individuals'!$K528,"")</f>
        <v/>
      </c>
      <c r="AH508" s="497" t="str">
        <f>IF(ISNUMBER('Model_ of_individuals'!AH528), 'Model_ of_individuals'!AH528*'Model_ of_individuals'!$K528,"")</f>
        <v/>
      </c>
      <c r="AI508" s="497" t="str">
        <f>IF(ISNUMBER('Model_ of_individuals'!AI528), 'Model_ of_individuals'!AI528*'Model_ of_individuals'!$K528,"")</f>
        <v/>
      </c>
      <c r="AJ508" s="497" t="str">
        <f>IF(ISNUMBER('Model_ of_individuals'!AJ528), 'Model_ of_individuals'!AJ528*'Model_ of_individuals'!$K528,"")</f>
        <v/>
      </c>
      <c r="AK508" s="497" t="str">
        <f>IF(ISNUMBER('Model_ of_individuals'!AK528), 'Model_ of_individuals'!AK528*'Model_ of_individuals'!$K528,"")</f>
        <v/>
      </c>
      <c r="AL508" s="497" t="str">
        <f>IF(ISNUMBER('Model_ of_individuals'!AL528), 'Model_ of_individuals'!AL528*'Model_ of_individuals'!$K528,"")</f>
        <v/>
      </c>
      <c r="AM508" s="497" t="str">
        <f>IF(ISNUMBER('Model_ of_individuals'!AM528), 'Model_ of_individuals'!AM528*'Model_ of_individuals'!$K528,"")</f>
        <v/>
      </c>
      <c r="AN508" s="497" t="str">
        <f>IF(ISNUMBER('Model_ of_individuals'!AN528), 'Model_ of_individuals'!AN528*'Model_ of_individuals'!$K528,"")</f>
        <v/>
      </c>
      <c r="AO508" s="497" t="str">
        <f>IF(ISNUMBER('Model_ of_individuals'!AO528), 'Model_ of_individuals'!AO528*'Model_ of_individuals'!$K528,"")</f>
        <v/>
      </c>
      <c r="AP508" s="497" t="str">
        <f>IF(ISNUMBER('Model_ of_individuals'!AP528), 'Model_ of_individuals'!AP528*'Model_ of_individuals'!$K528,"")</f>
        <v/>
      </c>
      <c r="AQ508" s="497" t="str">
        <f>IF(ISNUMBER('Model_ of_individuals'!AQ528), 'Model_ of_individuals'!AQ528*'Model_ of_individuals'!$K528,"")</f>
        <v/>
      </c>
      <c r="AR508" s="497" t="str">
        <f>IF(ISNUMBER('Model_ of_individuals'!AR528), 'Model_ of_individuals'!AR528*'Model_ of_individuals'!$K528,"")</f>
        <v/>
      </c>
      <c r="AS508" s="497" t="str">
        <f>IF(ISNUMBER('Model_ of_individuals'!AS528), 'Model_ of_individuals'!AS528*'Model_ of_individuals'!$K528,"")</f>
        <v/>
      </c>
      <c r="AT508" s="497" t="str">
        <f>IF(ISNUMBER('Model_ of_individuals'!AT528), 'Model_ of_individuals'!AT528*'Model_ of_individuals'!$K528,"")</f>
        <v/>
      </c>
      <c r="AU508" s="497" t="str">
        <f>IF(ISNUMBER('Model_ of_individuals'!AU528), 'Model_ of_individuals'!AU528*'Model_ of_individuals'!$K528,"")</f>
        <v/>
      </c>
      <c r="AV508" s="497" t="str">
        <f>IF(ISNUMBER('Model_ of_individuals'!AV528), 'Model_ of_individuals'!AV528*'Model_ of_individuals'!$K528,"")</f>
        <v/>
      </c>
      <c r="AW508" s="497" t="str">
        <f>IF(ISNUMBER('Model_ of_individuals'!AW528), 'Model_ of_individuals'!AW528*'Model_ of_individuals'!$K528,"")</f>
        <v/>
      </c>
      <c r="AX508" s="497" t="str">
        <f>IF(ISNUMBER('Model_ of_individuals'!AX528), 'Model_ of_individuals'!AX528*'Model_ of_individuals'!$K528,"")</f>
        <v/>
      </c>
      <c r="AY508" s="497" t="str">
        <f>IF(ISNUMBER('Model_ of_individuals'!AY528), 'Model_ of_individuals'!AY528*'Model_ of_individuals'!$K528,"")</f>
        <v/>
      </c>
    </row>
    <row r="509" spans="1:51" x14ac:dyDescent="0.25">
      <c r="A509" s="518"/>
      <c r="B509" s="504"/>
      <c r="C509" s="107" t="str">
        <f>IF(AND(ISNUMBER(B494), C505&lt;&gt;"", OR('Cost Inputs'!$H$120&lt;&gt;"", 'Cost Inputs'!$I$120&lt;&gt;"", 'Cost Inputs'!$J$120&lt;&gt;"")), _4_5_2, "")</f>
        <v/>
      </c>
      <c r="D509" s="93" t="str">
        <f>IF(AND(C509&lt;&gt;"", 'Cost Inputs'!$G$120&lt;&gt;""), 'Cost Inputs'!$G$120, "")</f>
        <v/>
      </c>
      <c r="E509" s="93" t="str">
        <f>IF(AND(C509&lt;&gt;"", 'Cost Inputs'!$H$120&lt;&gt;""), 'Cost Inputs'!$H$120, "")</f>
        <v/>
      </c>
      <c r="F509" s="93" t="str">
        <f>IF(AND(C509&lt;&gt;"", 'Cost Inputs'!$I$120&lt;&gt;""), 'Cost Inputs'!$I$120, "")</f>
        <v/>
      </c>
      <c r="G509" s="108" t="str">
        <f t="shared" si="39"/>
        <v/>
      </c>
      <c r="H509" s="93" t="str">
        <f>IF(AND(C509&lt;&gt;"", 'Cost Inputs'!$J$120&lt;&gt;""), 'Cost Inputs'!$J$120, "")</f>
        <v/>
      </c>
      <c r="I509" s="93" t="str">
        <f>IF($C509&lt;&gt;"", IF(AND($E509&lt;&gt;"", H509&lt;&gt;""), H509/$E509, 0),"")</f>
        <v/>
      </c>
      <c r="J509" s="93" t="str">
        <f>IF(AND(C509&lt;&gt;"",('Cost Inputs'!$I$120+'Cost Inputs'!$J$120+'Cost Inputs'!$K$120)&gt;0), 'Cost Inputs'!$I$120+'Cost Inputs'!$J$120+'Cost Inputs'!$K$120, "")</f>
        <v/>
      </c>
      <c r="K509" s="93" t="str">
        <f>IF($C509&lt;&gt;"", IF(AND($E509&lt;&gt;"", J509&lt;&gt;""), J509/$E509, 0),"")</f>
        <v/>
      </c>
      <c r="L509" s="525"/>
      <c r="M509" s="525"/>
      <c r="X509" s="93" t="str">
        <f>IF(ISNUMBER('Model_ of_individuals'!X529), 'Model_ of_individuals'!X529*'Model_ of_individuals'!$K529,"")</f>
        <v/>
      </c>
      <c r="Y509" s="93" t="str">
        <f>IF(ISNUMBER('Model_ of_individuals'!Y529), 'Model_ of_individuals'!Y529*'Model_ of_individuals'!$K529,"")</f>
        <v/>
      </c>
      <c r="Z509" s="93" t="str">
        <f>IF(ISNUMBER('Model_ of_individuals'!Z529), 'Model_ of_individuals'!Z529*'Model_ of_individuals'!$K529,"")</f>
        <v/>
      </c>
      <c r="AA509" s="93" t="str">
        <f>IF(ISNUMBER('Model_ of_individuals'!AA529), 'Model_ of_individuals'!AA529*'Model_ of_individuals'!$K529,"")</f>
        <v/>
      </c>
      <c r="AB509" s="93" t="str">
        <f>IF(ISNUMBER('Model_ of_individuals'!AB529), 'Model_ of_individuals'!AB529*'Model_ of_individuals'!$K529,"")</f>
        <v/>
      </c>
      <c r="AC509" s="93" t="str">
        <f>IF(ISNUMBER('Model_ of_individuals'!AC529), 'Model_ of_individuals'!AC529*'Model_ of_individuals'!$K529,"")</f>
        <v/>
      </c>
      <c r="AD509" s="93" t="str">
        <f>IF(ISNUMBER('Model_ of_individuals'!AD529), 'Model_ of_individuals'!AD529*'Model_ of_individuals'!$K529,"")</f>
        <v/>
      </c>
      <c r="AE509" s="93" t="str">
        <f>IF(ISNUMBER('Model_ of_individuals'!AE529), 'Model_ of_individuals'!AE529*'Model_ of_individuals'!$K529,"")</f>
        <v/>
      </c>
      <c r="AF509" s="93" t="str">
        <f>IF(ISNUMBER('Model_ of_individuals'!AF529), 'Model_ of_individuals'!AF529*'Model_ of_individuals'!$K529,"")</f>
        <v/>
      </c>
      <c r="AG509" s="93" t="str">
        <f>IF(ISNUMBER('Model_ of_individuals'!AG529), 'Model_ of_individuals'!AG529*'Model_ of_individuals'!$K529,"")</f>
        <v/>
      </c>
      <c r="AH509" s="93" t="str">
        <f>IF(ISNUMBER('Model_ of_individuals'!AH529), 'Model_ of_individuals'!AH529*'Model_ of_individuals'!$K529,"")</f>
        <v/>
      </c>
      <c r="AI509" s="93" t="str">
        <f>IF(ISNUMBER('Model_ of_individuals'!AI529), 'Model_ of_individuals'!AI529*'Model_ of_individuals'!$K529,"")</f>
        <v/>
      </c>
      <c r="AJ509" s="93" t="str">
        <f>IF(ISNUMBER('Model_ of_individuals'!AJ529), 'Model_ of_individuals'!AJ529*'Model_ of_individuals'!$K529,"")</f>
        <v/>
      </c>
      <c r="AK509" s="93" t="str">
        <f>IF(ISNUMBER('Model_ of_individuals'!AK529), 'Model_ of_individuals'!AK529*'Model_ of_individuals'!$K529,"")</f>
        <v/>
      </c>
      <c r="AL509" s="93" t="str">
        <f>IF(ISNUMBER('Model_ of_individuals'!AL529), 'Model_ of_individuals'!AL529*'Model_ of_individuals'!$K529,"")</f>
        <v/>
      </c>
      <c r="AM509" s="93" t="str">
        <f>IF(ISNUMBER('Model_ of_individuals'!AM529), 'Model_ of_individuals'!AM529*'Model_ of_individuals'!$K529,"")</f>
        <v/>
      </c>
      <c r="AN509" s="93" t="str">
        <f>IF(ISNUMBER('Model_ of_individuals'!AN529), 'Model_ of_individuals'!AN529*'Model_ of_individuals'!$K529,"")</f>
        <v/>
      </c>
      <c r="AO509" s="93" t="str">
        <f>IF(ISNUMBER('Model_ of_individuals'!AO529), 'Model_ of_individuals'!AO529*'Model_ of_individuals'!$K529,"")</f>
        <v/>
      </c>
      <c r="AP509" s="93" t="str">
        <f>IF(ISNUMBER('Model_ of_individuals'!AP529), 'Model_ of_individuals'!AP529*'Model_ of_individuals'!$K529,"")</f>
        <v/>
      </c>
      <c r="AQ509" s="93" t="str">
        <f>IF(ISNUMBER('Model_ of_individuals'!AQ529), 'Model_ of_individuals'!AQ529*'Model_ of_individuals'!$K529,"")</f>
        <v/>
      </c>
      <c r="AR509" s="93" t="str">
        <f>IF(ISNUMBER('Model_ of_individuals'!AR529), 'Model_ of_individuals'!AR529*'Model_ of_individuals'!$K529,"")</f>
        <v/>
      </c>
      <c r="AS509" s="93" t="str">
        <f>IF(ISNUMBER('Model_ of_individuals'!AS529), 'Model_ of_individuals'!AS529*'Model_ of_individuals'!$K529,"")</f>
        <v/>
      </c>
      <c r="AT509" s="93" t="str">
        <f>IF(ISNUMBER('Model_ of_individuals'!AT529), 'Model_ of_individuals'!AT529*'Model_ of_individuals'!$K529,"")</f>
        <v/>
      </c>
      <c r="AU509" s="93" t="str">
        <f>IF(ISNUMBER('Model_ of_individuals'!AU529), 'Model_ of_individuals'!AU529*'Model_ of_individuals'!$K529,"")</f>
        <v/>
      </c>
      <c r="AV509" s="93" t="str">
        <f>IF(ISNUMBER('Model_ of_individuals'!AV529), 'Model_ of_individuals'!AV529*'Model_ of_individuals'!$K529,"")</f>
        <v/>
      </c>
      <c r="AW509" s="93" t="str">
        <f>IF(ISNUMBER('Model_ of_individuals'!AW529), 'Model_ of_individuals'!AW529*'Model_ of_individuals'!$K529,"")</f>
        <v/>
      </c>
      <c r="AX509" s="93" t="str">
        <f>IF(ISNUMBER('Model_ of_individuals'!AX529), 'Model_ of_individuals'!AX529*'Model_ of_individuals'!$K529,"")</f>
        <v/>
      </c>
      <c r="AY509" s="93" t="str">
        <f>IF(ISNUMBER('Model_ of_individuals'!AY529), 'Model_ of_individuals'!AY529*'Model_ of_individuals'!$K529,"")</f>
        <v/>
      </c>
    </row>
    <row r="510" spans="1:51" x14ac:dyDescent="0.25">
      <c r="A510" s="518"/>
      <c r="B510" s="504"/>
      <c r="C510" s="104" t="str">
        <f>IF(AND(ISNUMBER(B494), C505&lt;&gt;"", OR('Cost Inputs'!$H$121&lt;&gt;"", 'Cost Inputs'!$I$121&lt;&gt;"", 'Cost Inputs'!$J$121&lt;&gt;"")), _4_5_3, "")</f>
        <v/>
      </c>
      <c r="D510" s="17" t="str">
        <f>IF(AND(C510&lt;&gt;"", 'Cost Inputs'!$G$121&lt;&gt;""), 'Cost Inputs'!$G$121, "")</f>
        <v/>
      </c>
      <c r="E510" s="17" t="str">
        <f>IF(AND(C510&lt;&gt;"", 'Cost Inputs'!$H$121&lt;&gt;""), 'Cost Inputs'!$H$121, "")</f>
        <v/>
      </c>
      <c r="F510" s="17" t="str">
        <f>IF(AND(C510&lt;&gt;"", 'Cost Inputs'!$I$121&lt;&gt;""), 'Cost Inputs'!$I$121, "")</f>
        <v/>
      </c>
      <c r="G510" s="105" t="str">
        <f t="shared" si="39"/>
        <v/>
      </c>
      <c r="H510" s="17" t="str">
        <f>IF(AND(C510&lt;&gt;"", 'Cost Inputs'!$J$121&lt;&gt;""), 'Cost Inputs'!$J$121, "")</f>
        <v/>
      </c>
      <c r="I510" s="17" t="str">
        <f>IF($C510&lt;&gt;"", IF(AND($E510&lt;&gt;"", H510&lt;&gt;""), H510/$E510, 0),"")</f>
        <v/>
      </c>
      <c r="J510" s="17" t="str">
        <f>IF(AND(C510&lt;&gt;"",('Cost Inputs'!$I$121+'Cost Inputs'!$J$121+'Cost Inputs'!$K$121)&gt;0), 'Cost Inputs'!$I$121+'Cost Inputs'!$J$121+'Cost Inputs'!$K$121, "")</f>
        <v/>
      </c>
      <c r="K510" s="17" t="str">
        <f>IF($C510&lt;&gt;"", IF(AND($E510&lt;&gt;"", J510&lt;&gt;""), J510/$E510, 0),"")</f>
        <v/>
      </c>
      <c r="L510" s="525"/>
      <c r="M510" s="525"/>
      <c r="X510" s="17" t="str">
        <f>IF(ISNUMBER('Model_ of_individuals'!X530), 'Model_ of_individuals'!X530*'Model_ of_individuals'!$K530,"")</f>
        <v/>
      </c>
      <c r="Y510" s="17" t="str">
        <f>IF(ISNUMBER('Model_ of_individuals'!Y530), 'Model_ of_individuals'!Y530*'Model_ of_individuals'!$K530,"")</f>
        <v/>
      </c>
      <c r="Z510" s="17" t="str">
        <f>IF(ISNUMBER('Model_ of_individuals'!Z530), 'Model_ of_individuals'!Z530*'Model_ of_individuals'!$K530,"")</f>
        <v/>
      </c>
      <c r="AA510" s="17" t="str">
        <f>IF(ISNUMBER('Model_ of_individuals'!AA530), 'Model_ of_individuals'!AA530*'Model_ of_individuals'!$K530,"")</f>
        <v/>
      </c>
      <c r="AB510" s="17" t="str">
        <f>IF(ISNUMBER('Model_ of_individuals'!AB530), 'Model_ of_individuals'!AB530*'Model_ of_individuals'!$K530,"")</f>
        <v/>
      </c>
      <c r="AC510" s="17" t="str">
        <f>IF(ISNUMBER('Model_ of_individuals'!AC530), 'Model_ of_individuals'!AC530*'Model_ of_individuals'!$K530,"")</f>
        <v/>
      </c>
      <c r="AD510" s="17" t="str">
        <f>IF(ISNUMBER('Model_ of_individuals'!AD530), 'Model_ of_individuals'!AD530*'Model_ of_individuals'!$K530,"")</f>
        <v/>
      </c>
      <c r="AE510" s="17" t="str">
        <f>IF(ISNUMBER('Model_ of_individuals'!AE530), 'Model_ of_individuals'!AE530*'Model_ of_individuals'!$K530,"")</f>
        <v/>
      </c>
      <c r="AF510" s="17" t="str">
        <f>IF(ISNUMBER('Model_ of_individuals'!AF530), 'Model_ of_individuals'!AF530*'Model_ of_individuals'!$K530,"")</f>
        <v/>
      </c>
      <c r="AG510" s="17" t="str">
        <f>IF(ISNUMBER('Model_ of_individuals'!AG530), 'Model_ of_individuals'!AG530*'Model_ of_individuals'!$K530,"")</f>
        <v/>
      </c>
      <c r="AH510" s="17" t="str">
        <f>IF(ISNUMBER('Model_ of_individuals'!AH530), 'Model_ of_individuals'!AH530*'Model_ of_individuals'!$K530,"")</f>
        <v/>
      </c>
      <c r="AI510" s="17" t="str">
        <f>IF(ISNUMBER('Model_ of_individuals'!AI530), 'Model_ of_individuals'!AI530*'Model_ of_individuals'!$K530,"")</f>
        <v/>
      </c>
      <c r="AJ510" s="17" t="str">
        <f>IF(ISNUMBER('Model_ of_individuals'!AJ530), 'Model_ of_individuals'!AJ530*'Model_ of_individuals'!$K530,"")</f>
        <v/>
      </c>
      <c r="AK510" s="17" t="str">
        <f>IF(ISNUMBER('Model_ of_individuals'!AK530), 'Model_ of_individuals'!AK530*'Model_ of_individuals'!$K530,"")</f>
        <v/>
      </c>
      <c r="AL510" s="17" t="str">
        <f>IF(ISNUMBER('Model_ of_individuals'!AL530), 'Model_ of_individuals'!AL530*'Model_ of_individuals'!$K530,"")</f>
        <v/>
      </c>
      <c r="AM510" s="17" t="str">
        <f>IF(ISNUMBER('Model_ of_individuals'!AM530), 'Model_ of_individuals'!AM530*'Model_ of_individuals'!$K530,"")</f>
        <v/>
      </c>
      <c r="AN510" s="17" t="str">
        <f>IF(ISNUMBER('Model_ of_individuals'!AN530), 'Model_ of_individuals'!AN530*'Model_ of_individuals'!$K530,"")</f>
        <v/>
      </c>
      <c r="AO510" s="17" t="str">
        <f>IF(ISNUMBER('Model_ of_individuals'!AO530), 'Model_ of_individuals'!AO530*'Model_ of_individuals'!$K530,"")</f>
        <v/>
      </c>
      <c r="AP510" s="17" t="str">
        <f>IF(ISNUMBER('Model_ of_individuals'!AP530), 'Model_ of_individuals'!AP530*'Model_ of_individuals'!$K530,"")</f>
        <v/>
      </c>
      <c r="AQ510" s="17" t="str">
        <f>IF(ISNUMBER('Model_ of_individuals'!AQ530), 'Model_ of_individuals'!AQ530*'Model_ of_individuals'!$K530,"")</f>
        <v/>
      </c>
      <c r="AR510" s="17" t="str">
        <f>IF(ISNUMBER('Model_ of_individuals'!AR530), 'Model_ of_individuals'!AR530*'Model_ of_individuals'!$K530,"")</f>
        <v/>
      </c>
      <c r="AS510" s="17" t="str">
        <f>IF(ISNUMBER('Model_ of_individuals'!AS530), 'Model_ of_individuals'!AS530*'Model_ of_individuals'!$K530,"")</f>
        <v/>
      </c>
      <c r="AT510" s="17" t="str">
        <f>IF(ISNUMBER('Model_ of_individuals'!AT530), 'Model_ of_individuals'!AT530*'Model_ of_individuals'!$K530,"")</f>
        <v/>
      </c>
      <c r="AU510" s="17" t="str">
        <f>IF(ISNUMBER('Model_ of_individuals'!AU530), 'Model_ of_individuals'!AU530*'Model_ of_individuals'!$K530,"")</f>
        <v/>
      </c>
      <c r="AV510" s="17" t="str">
        <f>IF(ISNUMBER('Model_ of_individuals'!AV530), 'Model_ of_individuals'!AV530*'Model_ of_individuals'!$K530,"")</f>
        <v/>
      </c>
      <c r="AW510" s="17" t="str">
        <f>IF(ISNUMBER('Model_ of_individuals'!AW530), 'Model_ of_individuals'!AW530*'Model_ of_individuals'!$K530,"")</f>
        <v/>
      </c>
      <c r="AX510" s="17" t="str">
        <f>IF(ISNUMBER('Model_ of_individuals'!AX530), 'Model_ of_individuals'!AX530*'Model_ of_individuals'!$K530,"")</f>
        <v/>
      </c>
      <c r="AY510" s="17" t="str">
        <f>IF(ISNUMBER('Model_ of_individuals'!AY530), 'Model_ of_individuals'!AY530*'Model_ of_individuals'!$K530,"")</f>
        <v/>
      </c>
    </row>
    <row r="511" spans="1:51" x14ac:dyDescent="0.25">
      <c r="A511" s="518"/>
      <c r="B511" s="504"/>
      <c r="C511" s="107" t="str">
        <f>IF(AND(ISNUMBER(B494), C505&lt;&gt;"", OR('Cost Inputs'!$H$122&lt;&gt;"", 'Cost Inputs'!$I$122&lt;&gt;"", 'Cost Inputs'!$J$122&lt;&gt;"")), _4_5_2, "")</f>
        <v/>
      </c>
      <c r="D511" s="93" t="str">
        <f>IF(AND(C511&lt;&gt;"", 'Cost Inputs'!$G$122&lt;&gt;""), 'Cost Inputs'!$G$122, "")</f>
        <v/>
      </c>
      <c r="E511" s="93" t="str">
        <f>IF(AND(C511&lt;&gt;"", 'Cost Inputs'!$H$122&lt;&gt;""), 'Cost Inputs'!$H$122, "")</f>
        <v/>
      </c>
      <c r="F511" s="93" t="str">
        <f>IF(AND(C511&lt;&gt;"", 'Cost Inputs'!$I$122&lt;&gt;""), 'Cost Inputs'!$I$122, "")</f>
        <v/>
      </c>
      <c r="G511" s="108" t="str">
        <f t="shared" si="39"/>
        <v/>
      </c>
      <c r="H511" s="93" t="str">
        <f>IF(AND(C511&lt;&gt;"", 'Cost Inputs'!$J$122&lt;&gt;""), 'Cost Inputs'!$J$122, "")</f>
        <v/>
      </c>
      <c r="I511" s="93" t="str">
        <f>IF($C511&lt;&gt;"", IF(AND($E511&lt;&gt;"", H511&lt;&gt;""), H511/$E511, 0),"")</f>
        <v/>
      </c>
      <c r="J511" s="93" t="str">
        <f>IF(AND(C511&lt;&gt;"",('Cost Inputs'!$I$122+'Cost Inputs'!$J$122+'Cost Inputs'!$K$122)&gt;0), 'Cost Inputs'!$I$122+'Cost Inputs'!$J$122+'Cost Inputs'!$K$122, "")</f>
        <v/>
      </c>
      <c r="K511" s="93" t="str">
        <f>IF($C511&lt;&gt;"", IF(AND($E511&lt;&gt;"", J511&lt;&gt;""), J511/$E511, 0),"")</f>
        <v/>
      </c>
      <c r="L511" s="525"/>
      <c r="M511" s="525"/>
      <c r="X511" s="93" t="str">
        <f>IF(ISNUMBER('Model_ of_individuals'!X531), 'Model_ of_individuals'!X531*'Model_ of_individuals'!$K531,"")</f>
        <v/>
      </c>
      <c r="Y511" s="93" t="str">
        <f>IF(ISNUMBER('Model_ of_individuals'!Y531), 'Model_ of_individuals'!Y531*'Model_ of_individuals'!$K531,"")</f>
        <v/>
      </c>
      <c r="Z511" s="93" t="str">
        <f>IF(ISNUMBER('Model_ of_individuals'!Z531), 'Model_ of_individuals'!Z531*'Model_ of_individuals'!$K531,"")</f>
        <v/>
      </c>
      <c r="AA511" s="93" t="str">
        <f>IF(ISNUMBER('Model_ of_individuals'!AA531), 'Model_ of_individuals'!AA531*'Model_ of_individuals'!$K531,"")</f>
        <v/>
      </c>
      <c r="AB511" s="93" t="str">
        <f>IF(ISNUMBER('Model_ of_individuals'!AB531), 'Model_ of_individuals'!AB531*'Model_ of_individuals'!$K531,"")</f>
        <v/>
      </c>
      <c r="AC511" s="93" t="str">
        <f>IF(ISNUMBER('Model_ of_individuals'!AC531), 'Model_ of_individuals'!AC531*'Model_ of_individuals'!$K531,"")</f>
        <v/>
      </c>
      <c r="AD511" s="93" t="str">
        <f>IF(ISNUMBER('Model_ of_individuals'!AD531), 'Model_ of_individuals'!AD531*'Model_ of_individuals'!$K531,"")</f>
        <v/>
      </c>
      <c r="AE511" s="93" t="str">
        <f>IF(ISNUMBER('Model_ of_individuals'!AE531), 'Model_ of_individuals'!AE531*'Model_ of_individuals'!$K531,"")</f>
        <v/>
      </c>
      <c r="AF511" s="93" t="str">
        <f>IF(ISNUMBER('Model_ of_individuals'!AF531), 'Model_ of_individuals'!AF531*'Model_ of_individuals'!$K531,"")</f>
        <v/>
      </c>
      <c r="AG511" s="93" t="str">
        <f>IF(ISNUMBER('Model_ of_individuals'!AG531), 'Model_ of_individuals'!AG531*'Model_ of_individuals'!$K531,"")</f>
        <v/>
      </c>
      <c r="AH511" s="93" t="str">
        <f>IF(ISNUMBER('Model_ of_individuals'!AH531), 'Model_ of_individuals'!AH531*'Model_ of_individuals'!$K531,"")</f>
        <v/>
      </c>
      <c r="AI511" s="93" t="str">
        <f>IF(ISNUMBER('Model_ of_individuals'!AI531), 'Model_ of_individuals'!AI531*'Model_ of_individuals'!$K531,"")</f>
        <v/>
      </c>
      <c r="AJ511" s="93" t="str">
        <f>IF(ISNUMBER('Model_ of_individuals'!AJ531), 'Model_ of_individuals'!AJ531*'Model_ of_individuals'!$K531,"")</f>
        <v/>
      </c>
      <c r="AK511" s="93" t="str">
        <f>IF(ISNUMBER('Model_ of_individuals'!AK531), 'Model_ of_individuals'!AK531*'Model_ of_individuals'!$K531,"")</f>
        <v/>
      </c>
      <c r="AL511" s="93" t="str">
        <f>IF(ISNUMBER('Model_ of_individuals'!AL531), 'Model_ of_individuals'!AL531*'Model_ of_individuals'!$K531,"")</f>
        <v/>
      </c>
      <c r="AM511" s="93" t="str">
        <f>IF(ISNUMBER('Model_ of_individuals'!AM531), 'Model_ of_individuals'!AM531*'Model_ of_individuals'!$K531,"")</f>
        <v/>
      </c>
      <c r="AN511" s="93" t="str">
        <f>IF(ISNUMBER('Model_ of_individuals'!AN531), 'Model_ of_individuals'!AN531*'Model_ of_individuals'!$K531,"")</f>
        <v/>
      </c>
      <c r="AO511" s="93" t="str">
        <f>IF(ISNUMBER('Model_ of_individuals'!AO531), 'Model_ of_individuals'!AO531*'Model_ of_individuals'!$K531,"")</f>
        <v/>
      </c>
      <c r="AP511" s="93" t="str">
        <f>IF(ISNUMBER('Model_ of_individuals'!AP531), 'Model_ of_individuals'!AP531*'Model_ of_individuals'!$K531,"")</f>
        <v/>
      </c>
      <c r="AQ511" s="93" t="str">
        <f>IF(ISNUMBER('Model_ of_individuals'!AQ531), 'Model_ of_individuals'!AQ531*'Model_ of_individuals'!$K531,"")</f>
        <v/>
      </c>
      <c r="AR511" s="93" t="str">
        <f>IF(ISNUMBER('Model_ of_individuals'!AR531), 'Model_ of_individuals'!AR531*'Model_ of_individuals'!$K531,"")</f>
        <v/>
      </c>
      <c r="AS511" s="93" t="str">
        <f>IF(ISNUMBER('Model_ of_individuals'!AS531), 'Model_ of_individuals'!AS531*'Model_ of_individuals'!$K531,"")</f>
        <v/>
      </c>
      <c r="AT511" s="93" t="str">
        <f>IF(ISNUMBER('Model_ of_individuals'!AT531), 'Model_ of_individuals'!AT531*'Model_ of_individuals'!$K531,"")</f>
        <v/>
      </c>
      <c r="AU511" s="93" t="str">
        <f>IF(ISNUMBER('Model_ of_individuals'!AU531), 'Model_ of_individuals'!AU531*'Model_ of_individuals'!$K531,"")</f>
        <v/>
      </c>
      <c r="AV511" s="93" t="str">
        <f>IF(ISNUMBER('Model_ of_individuals'!AV531), 'Model_ of_individuals'!AV531*'Model_ of_individuals'!$K531,"")</f>
        <v/>
      </c>
      <c r="AW511" s="93" t="str">
        <f>IF(ISNUMBER('Model_ of_individuals'!AW531), 'Model_ of_individuals'!AW531*'Model_ of_individuals'!$K531,"")</f>
        <v/>
      </c>
      <c r="AX511" s="93" t="str">
        <f>IF(ISNUMBER('Model_ of_individuals'!AX531), 'Model_ of_individuals'!AX531*'Model_ of_individuals'!$K531,"")</f>
        <v/>
      </c>
      <c r="AY511" s="93" t="str">
        <f>IF(ISNUMBER('Model_ of_individuals'!AY531), 'Model_ of_individuals'!AY531*'Model_ of_individuals'!$K531,"")</f>
        <v/>
      </c>
    </row>
    <row r="512" spans="1:51" x14ac:dyDescent="0.25">
      <c r="A512" s="518"/>
      <c r="B512" s="504"/>
      <c r="C512" s="104" t="str">
        <f>IF(AND(ISNUMBER(B494), C505&lt;&gt;"", OR('Cost Inputs'!$H$123&lt;&gt;"", 'Cost Inputs'!$I$123&lt;&gt;"", 'Cost Inputs'!$J$123&lt;&gt;"")), _4_5_3, "")</f>
        <v/>
      </c>
      <c r="D512" s="17" t="str">
        <f>IF(AND(C512&lt;&gt;"", 'Cost Inputs'!$G$123&lt;&gt;""), 'Cost Inputs'!$G$123, "")</f>
        <v/>
      </c>
      <c r="E512" s="17" t="str">
        <f>IF(AND(C512&lt;&gt;"", 'Cost Inputs'!$H$123&lt;&gt;""), 'Cost Inputs'!$H$123, "")</f>
        <v/>
      </c>
      <c r="F512" s="17" t="str">
        <f>IF(AND(C512&lt;&gt;"", 'Cost Inputs'!$I$123&lt;&gt;""), 'Cost Inputs'!$I$123, "")</f>
        <v/>
      </c>
      <c r="G512" s="105" t="str">
        <f t="shared" si="39"/>
        <v/>
      </c>
      <c r="H512" s="17" t="str">
        <f>IF(AND(C512&lt;&gt;"", 'Cost Inputs'!$J$123&lt;&gt;""), 'Cost Inputs'!$J$123, "")</f>
        <v/>
      </c>
      <c r="I512" s="17" t="str">
        <f>IF($C512&lt;&gt;"", IF(AND($E512&lt;&gt;"", H512&lt;&gt;""), H512/$E512, 0),"")</f>
        <v/>
      </c>
      <c r="J512" s="17" t="str">
        <f>IF(AND(C512&lt;&gt;"",('Cost Inputs'!$I$123+'Cost Inputs'!$J$123+'Cost Inputs'!$K$123)&gt;0), 'Cost Inputs'!$I$123+'Cost Inputs'!$J$123+'Cost Inputs'!$K$123, "")</f>
        <v/>
      </c>
      <c r="K512" s="17" t="str">
        <f>IF($C512&lt;&gt;"", IF(AND($E512&lt;&gt;"", J512&lt;&gt;""), J512/$E512, 0),"")</f>
        <v/>
      </c>
      <c r="L512" s="525"/>
      <c r="M512" s="525"/>
      <c r="X512" s="17" t="str">
        <f>IF(ISNUMBER('Model_ of_individuals'!X532), 'Model_ of_individuals'!X532*'Model_ of_individuals'!$K532,"")</f>
        <v/>
      </c>
      <c r="Y512" s="17" t="str">
        <f>IF(ISNUMBER('Model_ of_individuals'!Y532), 'Model_ of_individuals'!Y532*'Model_ of_individuals'!$K532,"")</f>
        <v/>
      </c>
      <c r="Z512" s="17" t="str">
        <f>IF(ISNUMBER('Model_ of_individuals'!Z532), 'Model_ of_individuals'!Z532*'Model_ of_individuals'!$K532,"")</f>
        <v/>
      </c>
      <c r="AA512" s="17" t="str">
        <f>IF(ISNUMBER('Model_ of_individuals'!AA532), 'Model_ of_individuals'!AA532*'Model_ of_individuals'!$K532,"")</f>
        <v/>
      </c>
      <c r="AB512" s="17" t="str">
        <f>IF(ISNUMBER('Model_ of_individuals'!AB532), 'Model_ of_individuals'!AB532*'Model_ of_individuals'!$K532,"")</f>
        <v/>
      </c>
      <c r="AC512" s="17" t="str">
        <f>IF(ISNUMBER('Model_ of_individuals'!AC532), 'Model_ of_individuals'!AC532*'Model_ of_individuals'!$K532,"")</f>
        <v/>
      </c>
      <c r="AD512" s="17" t="str">
        <f>IF(ISNUMBER('Model_ of_individuals'!AD532), 'Model_ of_individuals'!AD532*'Model_ of_individuals'!$K532,"")</f>
        <v/>
      </c>
      <c r="AE512" s="17" t="str">
        <f>IF(ISNUMBER('Model_ of_individuals'!AE532), 'Model_ of_individuals'!AE532*'Model_ of_individuals'!$K532,"")</f>
        <v/>
      </c>
      <c r="AF512" s="17" t="str">
        <f>IF(ISNUMBER('Model_ of_individuals'!AF532), 'Model_ of_individuals'!AF532*'Model_ of_individuals'!$K532,"")</f>
        <v/>
      </c>
      <c r="AG512" s="17" t="str">
        <f>IF(ISNUMBER('Model_ of_individuals'!AG532), 'Model_ of_individuals'!AG532*'Model_ of_individuals'!$K532,"")</f>
        <v/>
      </c>
      <c r="AH512" s="17" t="str">
        <f>IF(ISNUMBER('Model_ of_individuals'!AH532), 'Model_ of_individuals'!AH532*'Model_ of_individuals'!$K532,"")</f>
        <v/>
      </c>
      <c r="AI512" s="17" t="str">
        <f>IF(ISNUMBER('Model_ of_individuals'!AI532), 'Model_ of_individuals'!AI532*'Model_ of_individuals'!$K532,"")</f>
        <v/>
      </c>
      <c r="AJ512" s="17" t="str">
        <f>IF(ISNUMBER('Model_ of_individuals'!AJ532), 'Model_ of_individuals'!AJ532*'Model_ of_individuals'!$K532,"")</f>
        <v/>
      </c>
      <c r="AK512" s="17" t="str">
        <f>IF(ISNUMBER('Model_ of_individuals'!AK532), 'Model_ of_individuals'!AK532*'Model_ of_individuals'!$K532,"")</f>
        <v/>
      </c>
      <c r="AL512" s="17" t="str">
        <f>IF(ISNUMBER('Model_ of_individuals'!AL532), 'Model_ of_individuals'!AL532*'Model_ of_individuals'!$K532,"")</f>
        <v/>
      </c>
      <c r="AM512" s="17" t="str">
        <f>IF(ISNUMBER('Model_ of_individuals'!AM532), 'Model_ of_individuals'!AM532*'Model_ of_individuals'!$K532,"")</f>
        <v/>
      </c>
      <c r="AN512" s="17" t="str">
        <f>IF(ISNUMBER('Model_ of_individuals'!AN532), 'Model_ of_individuals'!AN532*'Model_ of_individuals'!$K532,"")</f>
        <v/>
      </c>
      <c r="AO512" s="17" t="str">
        <f>IF(ISNUMBER('Model_ of_individuals'!AO532), 'Model_ of_individuals'!AO532*'Model_ of_individuals'!$K532,"")</f>
        <v/>
      </c>
      <c r="AP512" s="17" t="str">
        <f>IF(ISNUMBER('Model_ of_individuals'!AP532), 'Model_ of_individuals'!AP532*'Model_ of_individuals'!$K532,"")</f>
        <v/>
      </c>
      <c r="AQ512" s="17" t="str">
        <f>IF(ISNUMBER('Model_ of_individuals'!AQ532), 'Model_ of_individuals'!AQ532*'Model_ of_individuals'!$K532,"")</f>
        <v/>
      </c>
      <c r="AR512" s="17" t="str">
        <f>IF(ISNUMBER('Model_ of_individuals'!AR532), 'Model_ of_individuals'!AR532*'Model_ of_individuals'!$K532,"")</f>
        <v/>
      </c>
      <c r="AS512" s="17" t="str">
        <f>IF(ISNUMBER('Model_ of_individuals'!AS532), 'Model_ of_individuals'!AS532*'Model_ of_individuals'!$K532,"")</f>
        <v/>
      </c>
      <c r="AT512" s="17" t="str">
        <f>IF(ISNUMBER('Model_ of_individuals'!AT532), 'Model_ of_individuals'!AT532*'Model_ of_individuals'!$K532,"")</f>
        <v/>
      </c>
      <c r="AU512" s="17" t="str">
        <f>IF(ISNUMBER('Model_ of_individuals'!AU532), 'Model_ of_individuals'!AU532*'Model_ of_individuals'!$K532,"")</f>
        <v/>
      </c>
      <c r="AV512" s="17" t="str">
        <f>IF(ISNUMBER('Model_ of_individuals'!AV532), 'Model_ of_individuals'!AV532*'Model_ of_individuals'!$K532,"")</f>
        <v/>
      </c>
      <c r="AW512" s="17" t="str">
        <f>IF(ISNUMBER('Model_ of_individuals'!AW532), 'Model_ of_individuals'!AW532*'Model_ of_individuals'!$K532,"")</f>
        <v/>
      </c>
      <c r="AX512" s="17" t="str">
        <f>IF(ISNUMBER('Model_ of_individuals'!AX532), 'Model_ of_individuals'!AX532*'Model_ of_individuals'!$K532,"")</f>
        <v/>
      </c>
      <c r="AY512" s="17" t="str">
        <f>IF(ISNUMBER('Model_ of_individuals'!AY532), 'Model_ of_individuals'!AY532*'Model_ of_individuals'!$K532,"")</f>
        <v/>
      </c>
    </row>
    <row r="513" spans="1:51" x14ac:dyDescent="0.25">
      <c r="A513" s="518"/>
      <c r="B513" s="504"/>
      <c r="C513" s="110" t="str">
        <f>IF(ISNUMBER(B494), _4_6_0, "")</f>
        <v/>
      </c>
      <c r="D513" s="94" t="str">
        <f>IF(AND(C513&lt;&gt;"", 'Cost Inputs'!$G$124&lt;&gt;""), 'Cost Inputs'!$G$124, "")</f>
        <v/>
      </c>
      <c r="E513" s="94" t="str">
        <f>IF(AND(C513&lt;&gt;"", 'Cost Inputs'!$H$124&lt;&gt;""), 'Cost Inputs'!$H$124, "")</f>
        <v/>
      </c>
      <c r="F513" s="94" t="str">
        <f>IF(AND(C513&lt;&gt;"", 'Cost Inputs'!$I$124&lt;&gt;""), 'Cost Inputs'!$I$124, "")</f>
        <v/>
      </c>
      <c r="G513" s="102" t="str">
        <f t="shared" si="39"/>
        <v/>
      </c>
      <c r="H513" s="94" t="str">
        <f>IF(AND(C513&lt;&gt;"", 'Cost Inputs'!$J$124&lt;&gt;""), 'Cost Inputs'!$J$124, "")</f>
        <v/>
      </c>
      <c r="I513" s="102" t="str">
        <f>IF($C513&lt;&gt;"",IF(AND($E513&lt;&gt;"",H513&lt;&gt;""), H513/$E513, 0),"")</f>
        <v/>
      </c>
      <c r="J513" s="94" t="str">
        <f>IF(AND(C513&lt;&gt;"",('Cost Inputs'!$I$124+'Cost Inputs'!$J$124+'Cost Inputs'!$K$124)&gt;0), 'Cost Inputs'!$I$124+'Cost Inputs'!$J$124+'Cost Inputs'!$K$124, "")</f>
        <v/>
      </c>
      <c r="K513" s="102" t="str">
        <f>IF($C513&lt;&gt;"",IF(AND($E513&lt;&gt;"",J513&lt;&gt;""), J513/$E513, 0),"")</f>
        <v/>
      </c>
      <c r="L513" s="525"/>
      <c r="M513" s="525"/>
      <c r="X513" s="102" t="str">
        <f>IF(ISNUMBER('Model_ of_individuals'!X533), 'Model_ of_individuals'!X533*'Model_ of_individuals'!$K533,"")</f>
        <v/>
      </c>
      <c r="Y513" s="102" t="str">
        <f>IF(ISNUMBER('Model_ of_individuals'!Y533), 'Model_ of_individuals'!Y533*'Model_ of_individuals'!$K533,"")</f>
        <v/>
      </c>
      <c r="Z513" s="102" t="str">
        <f>IF(ISNUMBER('Model_ of_individuals'!Z533), 'Model_ of_individuals'!Z533*'Model_ of_individuals'!$K533,"")</f>
        <v/>
      </c>
      <c r="AA513" s="102" t="str">
        <f>IF(ISNUMBER('Model_ of_individuals'!AA533), 'Model_ of_individuals'!AA533*'Model_ of_individuals'!$K533,"")</f>
        <v/>
      </c>
      <c r="AB513" s="102" t="str">
        <f>IF(ISNUMBER('Model_ of_individuals'!AB533), 'Model_ of_individuals'!AB533*'Model_ of_individuals'!$K533,"")</f>
        <v/>
      </c>
      <c r="AC513" s="102" t="str">
        <f>IF(ISNUMBER('Model_ of_individuals'!AC533), 'Model_ of_individuals'!AC533*'Model_ of_individuals'!$K533,"")</f>
        <v/>
      </c>
      <c r="AD513" s="102" t="str">
        <f>IF(ISNUMBER('Model_ of_individuals'!AD533), 'Model_ of_individuals'!AD533*'Model_ of_individuals'!$K533,"")</f>
        <v/>
      </c>
      <c r="AE513" s="102" t="str">
        <f>IF(ISNUMBER('Model_ of_individuals'!AE533), 'Model_ of_individuals'!AE533*'Model_ of_individuals'!$K533,"")</f>
        <v/>
      </c>
      <c r="AF513" s="102" t="str">
        <f>IF(ISNUMBER('Model_ of_individuals'!AF533), 'Model_ of_individuals'!AF533*'Model_ of_individuals'!$K533,"")</f>
        <v/>
      </c>
      <c r="AG513" s="102" t="str">
        <f>IF(ISNUMBER('Model_ of_individuals'!AG533), 'Model_ of_individuals'!AG533*'Model_ of_individuals'!$K533,"")</f>
        <v/>
      </c>
      <c r="AH513" s="102" t="str">
        <f>IF(ISNUMBER('Model_ of_individuals'!AH533), 'Model_ of_individuals'!AH533*'Model_ of_individuals'!$K533,"")</f>
        <v/>
      </c>
      <c r="AI513" s="102" t="str">
        <f>IF(ISNUMBER('Model_ of_individuals'!AI533), 'Model_ of_individuals'!AI533*'Model_ of_individuals'!$K533,"")</f>
        <v/>
      </c>
      <c r="AJ513" s="102" t="str">
        <f>IF(ISNUMBER('Model_ of_individuals'!AJ533), 'Model_ of_individuals'!AJ533*'Model_ of_individuals'!$K533,"")</f>
        <v/>
      </c>
      <c r="AK513" s="102" t="str">
        <f>IF(ISNUMBER('Model_ of_individuals'!AK533), 'Model_ of_individuals'!AK533*'Model_ of_individuals'!$K533,"")</f>
        <v/>
      </c>
      <c r="AL513" s="102" t="str">
        <f>IF(ISNUMBER('Model_ of_individuals'!AL533), 'Model_ of_individuals'!AL533*'Model_ of_individuals'!$K533,"")</f>
        <v/>
      </c>
      <c r="AM513" s="102" t="str">
        <f>IF(ISNUMBER('Model_ of_individuals'!AM533), 'Model_ of_individuals'!AM533*'Model_ of_individuals'!$K533,"")</f>
        <v/>
      </c>
      <c r="AN513" s="102" t="str">
        <f>IF(ISNUMBER('Model_ of_individuals'!AN533), 'Model_ of_individuals'!AN533*'Model_ of_individuals'!$K533,"")</f>
        <v/>
      </c>
      <c r="AO513" s="102" t="str">
        <f>IF(ISNUMBER('Model_ of_individuals'!AO533), 'Model_ of_individuals'!AO533*'Model_ of_individuals'!$K533,"")</f>
        <v/>
      </c>
      <c r="AP513" s="102" t="str">
        <f>IF(ISNUMBER('Model_ of_individuals'!AP533), 'Model_ of_individuals'!AP533*'Model_ of_individuals'!$K533,"")</f>
        <v/>
      </c>
      <c r="AQ513" s="102" t="str">
        <f>IF(ISNUMBER('Model_ of_individuals'!AQ533), 'Model_ of_individuals'!AQ533*'Model_ of_individuals'!$K533,"")</f>
        <v/>
      </c>
      <c r="AR513" s="102" t="str">
        <f>IF(ISNUMBER('Model_ of_individuals'!AR533), 'Model_ of_individuals'!AR533*'Model_ of_individuals'!$K533,"")</f>
        <v/>
      </c>
      <c r="AS513" s="102" t="str">
        <f>IF(ISNUMBER('Model_ of_individuals'!AS533), 'Model_ of_individuals'!AS533*'Model_ of_individuals'!$K533,"")</f>
        <v/>
      </c>
      <c r="AT513" s="102" t="str">
        <f>IF(ISNUMBER('Model_ of_individuals'!AT533), 'Model_ of_individuals'!AT533*'Model_ of_individuals'!$K533,"")</f>
        <v/>
      </c>
      <c r="AU513" s="102" t="str">
        <f>IF(ISNUMBER('Model_ of_individuals'!AU533), 'Model_ of_individuals'!AU533*'Model_ of_individuals'!$K533,"")</f>
        <v/>
      </c>
      <c r="AV513" s="102" t="str">
        <f>IF(ISNUMBER('Model_ of_individuals'!AV533), 'Model_ of_individuals'!AV533*'Model_ of_individuals'!$K533,"")</f>
        <v/>
      </c>
      <c r="AW513" s="102" t="str">
        <f>IF(ISNUMBER('Model_ of_individuals'!AW533), 'Model_ of_individuals'!AW533*'Model_ of_individuals'!$K533,"")</f>
        <v/>
      </c>
      <c r="AX513" s="102" t="str">
        <f>IF(ISNUMBER('Model_ of_individuals'!AX533), 'Model_ of_individuals'!AX533*'Model_ of_individuals'!$K533,"")</f>
        <v/>
      </c>
      <c r="AY513" s="102" t="str">
        <f>IF(ISNUMBER('Model_ of_individuals'!AY533), 'Model_ of_individuals'!AY533*'Model_ of_individuals'!$K533,"")</f>
        <v/>
      </c>
    </row>
    <row r="514" spans="1:51" x14ac:dyDescent="0.25">
      <c r="A514" s="518"/>
      <c r="B514" s="504"/>
      <c r="C514" s="104" t="str">
        <f>IF(AND(ISNUMBER(B494), OR('Cost Inputs'!$H$125&lt;&gt;"", 'Cost Inputs'!$I$125&lt;&gt;"", 'Cost Inputs'!$J$125&lt;&gt;"")), _4_5_3, "")</f>
        <v/>
      </c>
      <c r="D514" s="17" t="str">
        <f>IF(AND(C514&lt;&gt;"", 'Cost Inputs'!$G$125&lt;&gt;""), 'Cost Inputs'!$G$125, "")</f>
        <v/>
      </c>
      <c r="E514" s="17" t="str">
        <f>IF(AND(C514&lt;&gt;"", 'Cost Inputs'!$H$125&lt;&gt;""), 'Cost Inputs'!$H$125, "")</f>
        <v/>
      </c>
      <c r="F514" s="17" t="str">
        <f>IF(AND(C514&lt;&gt;"", 'Cost Inputs'!$I$125&lt;&gt;""), 'Cost Inputs'!$I$125, "")</f>
        <v/>
      </c>
      <c r="G514" s="105" t="str">
        <f t="shared" si="39"/>
        <v/>
      </c>
      <c r="H514" s="17" t="str">
        <f>IF(AND(C514&lt;&gt;"", 'Cost Inputs'!$J$125&lt;&gt;""), 'Cost Inputs'!$J$125, "")</f>
        <v/>
      </c>
      <c r="I514" s="17" t="str">
        <f>IF($C514&lt;&gt;"", IF(AND($E514&lt;&gt;"", H514&lt;&gt;""), H514/$E514, 0),"")</f>
        <v/>
      </c>
      <c r="J514" s="17" t="str">
        <f>IF(AND(C514&lt;&gt;"",('Cost Inputs'!$I$125+'Cost Inputs'!$J$125+'Cost Inputs'!$K$125)&gt;0), 'Cost Inputs'!$I$125+'Cost Inputs'!$J$125+'Cost Inputs'!$K$125, "")</f>
        <v/>
      </c>
      <c r="K514" s="17" t="str">
        <f>IF($C514&lt;&gt;"", IF(AND($E514&lt;&gt;"", J514&lt;&gt;""), J514/$E514, 0),"")</f>
        <v/>
      </c>
      <c r="L514" s="525"/>
      <c r="M514" s="525"/>
      <c r="X514" s="17" t="str">
        <f>IF(ISNUMBER('Model_ of_individuals'!X534), 'Model_ of_individuals'!X534*'Model_ of_individuals'!$K534,"")</f>
        <v/>
      </c>
      <c r="Y514" s="17" t="str">
        <f>IF(ISNUMBER('Model_ of_individuals'!Y534), 'Model_ of_individuals'!Y534*'Model_ of_individuals'!$K534,"")</f>
        <v/>
      </c>
      <c r="Z514" s="17" t="str">
        <f>IF(ISNUMBER('Model_ of_individuals'!Z534), 'Model_ of_individuals'!Z534*'Model_ of_individuals'!$K534,"")</f>
        <v/>
      </c>
      <c r="AA514" s="17" t="str">
        <f>IF(ISNUMBER('Model_ of_individuals'!AA534), 'Model_ of_individuals'!AA534*'Model_ of_individuals'!$K534,"")</f>
        <v/>
      </c>
      <c r="AB514" s="17" t="str">
        <f>IF(ISNUMBER('Model_ of_individuals'!AB534), 'Model_ of_individuals'!AB534*'Model_ of_individuals'!$K534,"")</f>
        <v/>
      </c>
      <c r="AC514" s="17" t="str">
        <f>IF(ISNUMBER('Model_ of_individuals'!AC534), 'Model_ of_individuals'!AC534*'Model_ of_individuals'!$K534,"")</f>
        <v/>
      </c>
      <c r="AD514" s="17" t="str">
        <f>IF(ISNUMBER('Model_ of_individuals'!AD534), 'Model_ of_individuals'!AD534*'Model_ of_individuals'!$K534,"")</f>
        <v/>
      </c>
      <c r="AE514" s="17" t="str">
        <f>IF(ISNUMBER('Model_ of_individuals'!AE534), 'Model_ of_individuals'!AE534*'Model_ of_individuals'!$K534,"")</f>
        <v/>
      </c>
      <c r="AF514" s="17" t="str">
        <f>IF(ISNUMBER('Model_ of_individuals'!AF534), 'Model_ of_individuals'!AF534*'Model_ of_individuals'!$K534,"")</f>
        <v/>
      </c>
      <c r="AG514" s="17" t="str">
        <f>IF(ISNUMBER('Model_ of_individuals'!AG534), 'Model_ of_individuals'!AG534*'Model_ of_individuals'!$K534,"")</f>
        <v/>
      </c>
      <c r="AH514" s="17" t="str">
        <f>IF(ISNUMBER('Model_ of_individuals'!AH534), 'Model_ of_individuals'!AH534*'Model_ of_individuals'!$K534,"")</f>
        <v/>
      </c>
      <c r="AI514" s="17" t="str">
        <f>IF(ISNUMBER('Model_ of_individuals'!AI534), 'Model_ of_individuals'!AI534*'Model_ of_individuals'!$K534,"")</f>
        <v/>
      </c>
      <c r="AJ514" s="17" t="str">
        <f>IF(ISNUMBER('Model_ of_individuals'!AJ534), 'Model_ of_individuals'!AJ534*'Model_ of_individuals'!$K534,"")</f>
        <v/>
      </c>
      <c r="AK514" s="17" t="str">
        <f>IF(ISNUMBER('Model_ of_individuals'!AK534), 'Model_ of_individuals'!AK534*'Model_ of_individuals'!$K534,"")</f>
        <v/>
      </c>
      <c r="AL514" s="17" t="str">
        <f>IF(ISNUMBER('Model_ of_individuals'!AL534), 'Model_ of_individuals'!AL534*'Model_ of_individuals'!$K534,"")</f>
        <v/>
      </c>
      <c r="AM514" s="17" t="str">
        <f>IF(ISNUMBER('Model_ of_individuals'!AM534), 'Model_ of_individuals'!AM534*'Model_ of_individuals'!$K534,"")</f>
        <v/>
      </c>
      <c r="AN514" s="17" t="str">
        <f>IF(ISNUMBER('Model_ of_individuals'!AN534), 'Model_ of_individuals'!AN534*'Model_ of_individuals'!$K534,"")</f>
        <v/>
      </c>
      <c r="AO514" s="17" t="str">
        <f>IF(ISNUMBER('Model_ of_individuals'!AO534), 'Model_ of_individuals'!AO534*'Model_ of_individuals'!$K534,"")</f>
        <v/>
      </c>
      <c r="AP514" s="17" t="str">
        <f>IF(ISNUMBER('Model_ of_individuals'!AP534), 'Model_ of_individuals'!AP534*'Model_ of_individuals'!$K534,"")</f>
        <v/>
      </c>
      <c r="AQ514" s="17" t="str">
        <f>IF(ISNUMBER('Model_ of_individuals'!AQ534), 'Model_ of_individuals'!AQ534*'Model_ of_individuals'!$K534,"")</f>
        <v/>
      </c>
      <c r="AR514" s="17" t="str">
        <f>IF(ISNUMBER('Model_ of_individuals'!AR534), 'Model_ of_individuals'!AR534*'Model_ of_individuals'!$K534,"")</f>
        <v/>
      </c>
      <c r="AS514" s="17" t="str">
        <f>IF(ISNUMBER('Model_ of_individuals'!AS534), 'Model_ of_individuals'!AS534*'Model_ of_individuals'!$K534,"")</f>
        <v/>
      </c>
      <c r="AT514" s="17" t="str">
        <f>IF(ISNUMBER('Model_ of_individuals'!AT534), 'Model_ of_individuals'!AT534*'Model_ of_individuals'!$K534,"")</f>
        <v/>
      </c>
      <c r="AU514" s="17" t="str">
        <f>IF(ISNUMBER('Model_ of_individuals'!AU534), 'Model_ of_individuals'!AU534*'Model_ of_individuals'!$K534,"")</f>
        <v/>
      </c>
      <c r="AV514" s="17" t="str">
        <f>IF(ISNUMBER('Model_ of_individuals'!AV534), 'Model_ of_individuals'!AV534*'Model_ of_individuals'!$K534,"")</f>
        <v/>
      </c>
      <c r="AW514" s="17" t="str">
        <f>IF(ISNUMBER('Model_ of_individuals'!AW534), 'Model_ of_individuals'!AW534*'Model_ of_individuals'!$K534,"")</f>
        <v/>
      </c>
      <c r="AX514" s="17" t="str">
        <f>IF(ISNUMBER('Model_ of_individuals'!AX534), 'Model_ of_individuals'!AX534*'Model_ of_individuals'!$K534,"")</f>
        <v/>
      </c>
      <c r="AY514" s="17" t="str">
        <f>IF(ISNUMBER('Model_ of_individuals'!AY534), 'Model_ of_individuals'!AY534*'Model_ of_individuals'!$K534,"")</f>
        <v/>
      </c>
    </row>
    <row r="515" spans="1:51" ht="15.75" thickBot="1" x14ac:dyDescent="0.3">
      <c r="A515" s="518"/>
      <c r="B515" s="504"/>
      <c r="C515" s="111" t="str">
        <f>IF(AND(ISNUMBER(B494), OR('Cost Inputs'!$H$126&lt;&gt;"", 'Cost Inputs'!$I$126&lt;&gt;"", 'Cost Inputs'!$J$126&lt;&gt;"")), _4_5_2, "")</f>
        <v/>
      </c>
      <c r="D515" s="95" t="str">
        <f>IF(AND(C515&lt;&gt;"", 'Cost Inputs'!$G$126&lt;&gt;""), 'Cost Inputs'!$G$126, "")</f>
        <v/>
      </c>
      <c r="E515" s="95" t="str">
        <f>IF(AND(C515&lt;&gt;"", 'Cost Inputs'!$H$126&lt;&gt;""), 'Cost Inputs'!$H$126, "")</f>
        <v/>
      </c>
      <c r="F515" s="95" t="str">
        <f>IF(AND(C515&lt;&gt;"", 'Cost Inputs'!$I$126&lt;&gt;""), 'Cost Inputs'!$I$126, "")</f>
        <v/>
      </c>
      <c r="G515" s="112" t="str">
        <f t="shared" si="39"/>
        <v/>
      </c>
      <c r="H515" s="95" t="str">
        <f>IF(AND(C515&lt;&gt;"", 'Cost Inputs'!$J$126&lt;&gt;""), 'Cost Inputs'!$J$126, "")</f>
        <v/>
      </c>
      <c r="I515" s="95" t="str">
        <f>IF($C515&lt;&gt;"", IF(AND($E515&lt;&gt;"", H515&lt;&gt;""), H515/$E515, 0),"")</f>
        <v/>
      </c>
      <c r="J515" s="95" t="str">
        <f>IF(AND(C515&lt;&gt;"",('Cost Inputs'!$I$126+'Cost Inputs'!$J$126+'Cost Inputs'!$K$126)&gt;0), 'Cost Inputs'!$I$126+'Cost Inputs'!$J$126+'Cost Inputs'!$K$126, "")</f>
        <v/>
      </c>
      <c r="K515" s="95" t="str">
        <f>IF($C515&lt;&gt;"", IF(AND($E515&lt;&gt;"", J515&lt;&gt;""), J515/$E515, 0),"")</f>
        <v/>
      </c>
      <c r="L515" s="526"/>
      <c r="M515" s="525"/>
      <c r="X515" s="93" t="str">
        <f>IF(ISNUMBER('Model_ of_individuals'!X535), 'Model_ of_individuals'!X535*'Model_ of_individuals'!$K535,"")</f>
        <v/>
      </c>
      <c r="Y515" s="93" t="str">
        <f>IF(ISNUMBER('Model_ of_individuals'!Y535), 'Model_ of_individuals'!Y535*'Model_ of_individuals'!$K535,"")</f>
        <v/>
      </c>
      <c r="Z515" s="93" t="str">
        <f>IF(ISNUMBER('Model_ of_individuals'!Z535), 'Model_ of_individuals'!Z535*'Model_ of_individuals'!$K535,"")</f>
        <v/>
      </c>
      <c r="AA515" s="93" t="str">
        <f>IF(ISNUMBER('Model_ of_individuals'!AA535), 'Model_ of_individuals'!AA535*'Model_ of_individuals'!$K535,"")</f>
        <v/>
      </c>
      <c r="AB515" s="93" t="str">
        <f>IF(ISNUMBER('Model_ of_individuals'!AB535), 'Model_ of_individuals'!AB535*'Model_ of_individuals'!$K535,"")</f>
        <v/>
      </c>
      <c r="AC515" s="93" t="str">
        <f>IF(ISNUMBER('Model_ of_individuals'!AC535), 'Model_ of_individuals'!AC535*'Model_ of_individuals'!$K535,"")</f>
        <v/>
      </c>
      <c r="AD515" s="93" t="str">
        <f>IF(ISNUMBER('Model_ of_individuals'!AD535), 'Model_ of_individuals'!AD535*'Model_ of_individuals'!$K535,"")</f>
        <v/>
      </c>
      <c r="AE515" s="93" t="str">
        <f>IF(ISNUMBER('Model_ of_individuals'!AE535), 'Model_ of_individuals'!AE535*'Model_ of_individuals'!$K535,"")</f>
        <v/>
      </c>
      <c r="AF515" s="93" t="str">
        <f>IF(ISNUMBER('Model_ of_individuals'!AF535), 'Model_ of_individuals'!AF535*'Model_ of_individuals'!$K535,"")</f>
        <v/>
      </c>
      <c r="AG515" s="93" t="str">
        <f>IF(ISNUMBER('Model_ of_individuals'!AG535), 'Model_ of_individuals'!AG535*'Model_ of_individuals'!$K535,"")</f>
        <v/>
      </c>
      <c r="AH515" s="93" t="str">
        <f>IF(ISNUMBER('Model_ of_individuals'!AH535), 'Model_ of_individuals'!AH535*'Model_ of_individuals'!$K535,"")</f>
        <v/>
      </c>
      <c r="AI515" s="93" t="str">
        <f>IF(ISNUMBER('Model_ of_individuals'!AI535), 'Model_ of_individuals'!AI535*'Model_ of_individuals'!$K535,"")</f>
        <v/>
      </c>
      <c r="AJ515" s="93" t="str">
        <f>IF(ISNUMBER('Model_ of_individuals'!AJ535), 'Model_ of_individuals'!AJ535*'Model_ of_individuals'!$K535,"")</f>
        <v/>
      </c>
      <c r="AK515" s="93" t="str">
        <f>IF(ISNUMBER('Model_ of_individuals'!AK535), 'Model_ of_individuals'!AK535*'Model_ of_individuals'!$K535,"")</f>
        <v/>
      </c>
      <c r="AL515" s="93" t="str">
        <f>IF(ISNUMBER('Model_ of_individuals'!AL535), 'Model_ of_individuals'!AL535*'Model_ of_individuals'!$K535,"")</f>
        <v/>
      </c>
      <c r="AM515" s="93" t="str">
        <f>IF(ISNUMBER('Model_ of_individuals'!AM535), 'Model_ of_individuals'!AM535*'Model_ of_individuals'!$K535,"")</f>
        <v/>
      </c>
      <c r="AN515" s="93" t="str">
        <f>IF(ISNUMBER('Model_ of_individuals'!AN535), 'Model_ of_individuals'!AN535*'Model_ of_individuals'!$K535,"")</f>
        <v/>
      </c>
      <c r="AO515" s="93" t="str">
        <f>IF(ISNUMBER('Model_ of_individuals'!AO535), 'Model_ of_individuals'!AO535*'Model_ of_individuals'!$K535,"")</f>
        <v/>
      </c>
      <c r="AP515" s="93" t="str">
        <f>IF(ISNUMBER('Model_ of_individuals'!AP535), 'Model_ of_individuals'!AP535*'Model_ of_individuals'!$K535,"")</f>
        <v/>
      </c>
      <c r="AQ515" s="93" t="str">
        <f>IF(ISNUMBER('Model_ of_individuals'!AQ535), 'Model_ of_individuals'!AQ535*'Model_ of_individuals'!$K535,"")</f>
        <v/>
      </c>
      <c r="AR515" s="93" t="str">
        <f>IF(ISNUMBER('Model_ of_individuals'!AR535), 'Model_ of_individuals'!AR535*'Model_ of_individuals'!$K535,"")</f>
        <v/>
      </c>
      <c r="AS515" s="93" t="str">
        <f>IF(ISNUMBER('Model_ of_individuals'!AS535), 'Model_ of_individuals'!AS535*'Model_ of_individuals'!$K535,"")</f>
        <v/>
      </c>
      <c r="AT515" s="93" t="str">
        <f>IF(ISNUMBER('Model_ of_individuals'!AT535), 'Model_ of_individuals'!AT535*'Model_ of_individuals'!$K535,"")</f>
        <v/>
      </c>
      <c r="AU515" s="93" t="str">
        <f>IF(ISNUMBER('Model_ of_individuals'!AU535), 'Model_ of_individuals'!AU535*'Model_ of_individuals'!$K535,"")</f>
        <v/>
      </c>
      <c r="AV515" s="93" t="str">
        <f>IF(ISNUMBER('Model_ of_individuals'!AV535), 'Model_ of_individuals'!AV535*'Model_ of_individuals'!$K535,"")</f>
        <v/>
      </c>
      <c r="AW515" s="93" t="str">
        <f>IF(ISNUMBER('Model_ of_individuals'!AW535), 'Model_ of_individuals'!AW535*'Model_ of_individuals'!$K535,"")</f>
        <v/>
      </c>
      <c r="AX515" s="93" t="str">
        <f>IF(ISNUMBER('Model_ of_individuals'!AX535), 'Model_ of_individuals'!AX535*'Model_ of_individuals'!$K535,"")</f>
        <v/>
      </c>
      <c r="AY515" s="93" t="str">
        <f>IF(ISNUMBER('Model_ of_individuals'!AY535), 'Model_ of_individuals'!AY535*'Model_ of_individuals'!$K535,"")</f>
        <v/>
      </c>
    </row>
    <row r="516" spans="1:51" ht="44.45" customHeight="1" thickBot="1" x14ac:dyDescent="0.3">
      <c r="A516" s="98"/>
      <c r="B516" s="99"/>
      <c r="C516" s="114"/>
      <c r="D516" s="114"/>
      <c r="E516" s="114"/>
      <c r="F516" s="114"/>
      <c r="G516" s="114" t="str">
        <f t="shared" si="39"/>
        <v/>
      </c>
      <c r="H516" s="114"/>
      <c r="I516" s="114"/>
      <c r="J516" s="114"/>
      <c r="K516" s="114"/>
      <c r="L516" s="114"/>
      <c r="M516" s="289"/>
      <c r="O516" s="291" t="str">
        <f>'Breeding Inputs'!B101</f>
        <v/>
      </c>
      <c r="P516" s="292" t="e">
        <f>O516+1</f>
        <v>#VALUE!</v>
      </c>
      <c r="Q516" s="292" t="e">
        <f t="shared" ref="Q516:AG516" si="44">P516+1</f>
        <v>#VALUE!</v>
      </c>
      <c r="R516" s="292" t="e">
        <f t="shared" si="44"/>
        <v>#VALUE!</v>
      </c>
      <c r="S516" s="292" t="e">
        <f t="shared" si="44"/>
        <v>#VALUE!</v>
      </c>
      <c r="T516" s="292" t="e">
        <f t="shared" si="44"/>
        <v>#VALUE!</v>
      </c>
      <c r="U516" s="292" t="e">
        <f t="shared" si="44"/>
        <v>#VALUE!</v>
      </c>
      <c r="V516" s="292" t="e">
        <f t="shared" si="44"/>
        <v>#VALUE!</v>
      </c>
      <c r="W516" s="292" t="e">
        <f t="shared" si="44"/>
        <v>#VALUE!</v>
      </c>
      <c r="X516" s="292" t="e">
        <f t="shared" si="44"/>
        <v>#VALUE!</v>
      </c>
      <c r="Y516" s="292" t="e">
        <f t="shared" si="44"/>
        <v>#VALUE!</v>
      </c>
      <c r="Z516" s="292" t="e">
        <f t="shared" si="44"/>
        <v>#VALUE!</v>
      </c>
      <c r="AA516" s="292" t="e">
        <f t="shared" si="44"/>
        <v>#VALUE!</v>
      </c>
      <c r="AB516" s="292" t="e">
        <f t="shared" si="44"/>
        <v>#VALUE!</v>
      </c>
      <c r="AC516" s="292" t="e">
        <f t="shared" si="44"/>
        <v>#VALUE!</v>
      </c>
      <c r="AD516" s="292" t="e">
        <f t="shared" si="44"/>
        <v>#VALUE!</v>
      </c>
      <c r="AE516" s="292" t="e">
        <f t="shared" si="44"/>
        <v>#VALUE!</v>
      </c>
      <c r="AF516" s="292" t="e">
        <f t="shared" si="44"/>
        <v>#VALUE!</v>
      </c>
      <c r="AG516" s="294" t="e">
        <f t="shared" si="44"/>
        <v>#VALUE!</v>
      </c>
      <c r="AH516" s="293"/>
      <c r="AI516" s="293"/>
      <c r="AJ516" s="293"/>
      <c r="AK516" s="293"/>
      <c r="AL516" s="293"/>
      <c r="AM516" s="293"/>
      <c r="AN516" s="293"/>
      <c r="AO516" s="293"/>
      <c r="AP516" s="293"/>
      <c r="AQ516" s="293"/>
      <c r="AR516" s="3"/>
      <c r="AS516" s="3"/>
      <c r="AT516" s="3"/>
      <c r="AU516" s="3"/>
      <c r="AV516" s="3"/>
      <c r="AW516" s="3"/>
      <c r="AX516" s="3"/>
      <c r="AY516" s="3"/>
    </row>
    <row r="517" spans="1:51" x14ac:dyDescent="0.25">
      <c r="A517" s="527" t="str">
        <f>Fifth_Stage</f>
        <v>Stage 3 Clonal Replication with Increased Repetitions</v>
      </c>
      <c r="B517" s="504" t="str">
        <f>'Breeding Inputs'!B101</f>
        <v/>
      </c>
      <c r="C517" s="521" t="str">
        <f>IF(ISNUMBER(B517), _5_1_0, "")</f>
        <v/>
      </c>
      <c r="D517" s="94" t="str">
        <f>IF(AND(C517&lt;&gt;"", 'Cost Inputs'!$G$128&lt;&gt;""), 'Cost Inputs'!$G$128, "")</f>
        <v/>
      </c>
      <c r="E517" s="94" t="str">
        <f>IF(AND(C517&lt;&gt;"", 'Cost Inputs'!$H$128&lt;&gt;""), 'Cost Inputs'!$H$128, "")</f>
        <v/>
      </c>
      <c r="F517" s="492" t="str">
        <f>IF(AND(C517&lt;&gt;"", 'Cost Inputs'!$I$128&lt;&gt;""), 'Cost Inputs'!$I$128, "")</f>
        <v/>
      </c>
      <c r="G517" s="102" t="str">
        <f t="shared" si="39"/>
        <v/>
      </c>
      <c r="H517" s="492" t="str">
        <f>IF(AND(C517&lt;&gt;"", 'Cost Inputs'!$J$128&lt;&gt;""), 'Cost Inputs'!$J$128, "")</f>
        <v/>
      </c>
      <c r="I517" s="102" t="str">
        <f>IF($C517&lt;&gt;"",IF(AND($E517&lt;&gt;"",H517&lt;&gt;""), H517/$E517, 0),"")</f>
        <v/>
      </c>
      <c r="J517" s="492" t="str">
        <f>IF(AND(C517&lt;&gt;"",('Cost Inputs'!$I$128+'Cost Inputs'!$J$128+'Cost Inputs'!$K$128)&gt;0), 'Cost Inputs'!$I$128+'Cost Inputs'!$J$128+'Cost Inputs'!$K$128, "")</f>
        <v/>
      </c>
      <c r="K517" s="102" t="str">
        <f>IF($C517&lt;&gt;"",IF(AND($E517&lt;&gt;"",J517&lt;&gt;""), J517/$E517, 0),"")</f>
        <v/>
      </c>
      <c r="L517" s="94"/>
      <c r="M517" s="103"/>
      <c r="O517" s="492" t="str">
        <f>IF(ISNUMBER('Model_ of_individuals'!O537), 'Model_ of_individuals'!O537*'Model_ of_individuals'!$K537,"")</f>
        <v/>
      </c>
      <c r="P517" s="492" t="str">
        <f>IF(ISNUMBER('Model_ of_individuals'!P537), 'Model_ of_individuals'!P537*'Model_ of_individuals'!$K537,"")</f>
        <v/>
      </c>
      <c r="Q517" s="492" t="str">
        <f>IF(ISNUMBER('Model_ of_individuals'!Q537), 'Model_ of_individuals'!Q537*'Model_ of_individuals'!$K537,"")</f>
        <v/>
      </c>
      <c r="R517" s="492" t="str">
        <f>IF(ISNUMBER('Model_ of_individuals'!R537), 'Model_ of_individuals'!R537*'Model_ of_individuals'!$K537,"")</f>
        <v/>
      </c>
      <c r="S517" s="492" t="str">
        <f>IF(ISNUMBER('Model_ of_individuals'!S537), 'Model_ of_individuals'!S537*'Model_ of_individuals'!$K537,"")</f>
        <v/>
      </c>
      <c r="T517" s="492" t="str">
        <f>IF(ISNUMBER('Model_ of_individuals'!T537), 'Model_ of_individuals'!T537*'Model_ of_individuals'!$K537,"")</f>
        <v/>
      </c>
      <c r="U517" s="492" t="str">
        <f>IF(ISNUMBER('Model_ of_individuals'!U537), 'Model_ of_individuals'!U537*'Model_ of_individuals'!$K537,"")</f>
        <v/>
      </c>
      <c r="V517" s="492" t="str">
        <f>IF(ISNUMBER('Model_ of_individuals'!V537), 'Model_ of_individuals'!V537*'Model_ of_individuals'!$K537,"")</f>
        <v/>
      </c>
      <c r="W517" s="492" t="str">
        <f>IF(ISNUMBER('Model_ of_individuals'!W537), 'Model_ of_individuals'!W537*'Model_ of_individuals'!$K537,"")</f>
        <v/>
      </c>
      <c r="X517" s="492" t="str">
        <f>IF(ISNUMBER('Model_ of_individuals'!X537), 'Model_ of_individuals'!X537*'Model_ of_individuals'!$K537,"")</f>
        <v/>
      </c>
      <c r="Y517" s="493"/>
      <c r="Z517" s="493"/>
      <c r="AA517" s="493"/>
      <c r="AB517" s="493"/>
      <c r="AC517" s="493"/>
      <c r="AD517" s="493"/>
      <c r="AE517" s="493"/>
      <c r="AF517" s="493"/>
      <c r="AG517" s="493"/>
      <c r="AH517" s="493"/>
      <c r="AI517" s="493"/>
      <c r="AJ517" s="493"/>
      <c r="AK517" s="493"/>
      <c r="AL517" s="493"/>
      <c r="AM517" s="493"/>
      <c r="AN517" s="493"/>
      <c r="AO517" s="493"/>
      <c r="AP517" s="493"/>
      <c r="AQ517" s="493"/>
    </row>
    <row r="518" spans="1:51" x14ac:dyDescent="0.25">
      <c r="A518" s="518"/>
      <c r="B518" s="504"/>
      <c r="C518" s="521"/>
      <c r="D518" s="94" t="str">
        <f>IF(AND(C517&lt;&gt;"", 'Cost Inputs'!$G$129&lt;&gt;""), 'Cost Inputs'!$G$129, "")</f>
        <v/>
      </c>
      <c r="E518" s="94" t="str">
        <f>IF(AND(C517&lt;&gt;"", 'Cost Inputs'!$H$129&lt;&gt;""), 'Cost Inputs'!$H$129, "")</f>
        <v/>
      </c>
      <c r="F518" s="492" t="str">
        <f>IF(AND(C518&lt;&gt;"", 'Cost Inputs'!$I$86&lt;&gt;""), 'Cost Inputs'!$I$86, "")</f>
        <v/>
      </c>
      <c r="G518" s="102" t="str">
        <f t="shared" si="39"/>
        <v/>
      </c>
      <c r="H518" s="492" t="str">
        <f>IF(AND(C518&lt;&gt;"", 'Cost Inputs'!$J$86&lt;&gt;""), 'Cost Inputs'!$J$86, "")</f>
        <v/>
      </c>
      <c r="I518" s="102" t="str">
        <f>IF($C517&lt;&gt;"", IF(AND($E518&lt;&gt;"", H517&lt;&gt;""), H517/($E517*$E518), 0), "")</f>
        <v/>
      </c>
      <c r="J518" s="492" t="str">
        <f>IF(AND(C518&lt;&gt;"",('Cost Inputs'!$I$86+'Cost Inputs'!$J$86+'Cost Inputs'!$K$86)&gt;0), 'Cost Inputs'!$I$86+'Cost Inputs'!$J$86+'Cost Inputs'!$K$86, "")</f>
        <v/>
      </c>
      <c r="K518" s="102" t="str">
        <f>IF($C517&lt;&gt;"", IF(AND($E518&lt;&gt;"", J517&lt;&gt;""), J517/($E517*$E518), 0), "")</f>
        <v/>
      </c>
      <c r="L518" s="94"/>
      <c r="M518" s="103"/>
      <c r="O518" s="492" t="str">
        <f>IF(ISNUMBER('Model_ of_individuals'!O538), 'Model_ of_individuals'!O538*'Model_ of_individuals'!$K538,"")</f>
        <v/>
      </c>
      <c r="P518" s="492" t="str">
        <f>IF(ISNUMBER('Model_ of_individuals'!P538), 'Model_ of_individuals'!P538*'Model_ of_individuals'!$K538,"")</f>
        <v/>
      </c>
      <c r="Q518" s="492" t="str">
        <f>IF(ISNUMBER('Model_ of_individuals'!Q538), 'Model_ of_individuals'!Q538*'Model_ of_individuals'!$K538,"")</f>
        <v/>
      </c>
      <c r="R518" s="492" t="str">
        <f>IF(ISNUMBER('Model_ of_individuals'!R538), 'Model_ of_individuals'!R538*'Model_ of_individuals'!$K538,"")</f>
        <v/>
      </c>
      <c r="S518" s="492" t="str">
        <f>IF(ISNUMBER('Model_ of_individuals'!S538), 'Model_ of_individuals'!S538*'Model_ of_individuals'!$K538,"")</f>
        <v/>
      </c>
      <c r="T518" s="492" t="str">
        <f>IF(ISNUMBER('Model_ of_individuals'!T538), 'Model_ of_individuals'!T538*'Model_ of_individuals'!$K538,"")</f>
        <v/>
      </c>
      <c r="U518" s="492" t="str">
        <f>IF(ISNUMBER('Model_ of_individuals'!U538), 'Model_ of_individuals'!U538*'Model_ of_individuals'!$K538,"")</f>
        <v/>
      </c>
      <c r="V518" s="492" t="str">
        <f>IF(ISNUMBER('Model_ of_individuals'!V538), 'Model_ of_individuals'!V538*'Model_ of_individuals'!$K538,"")</f>
        <v/>
      </c>
      <c r="W518" s="492" t="str">
        <f>IF(ISNUMBER('Model_ of_individuals'!W538), 'Model_ of_individuals'!W538*'Model_ of_individuals'!$K538,"")</f>
        <v/>
      </c>
      <c r="X518" s="492" t="str">
        <f>IF(ISNUMBER('Model_ of_individuals'!X538), 'Model_ of_individuals'!X538*'Model_ of_individuals'!$K538,"")</f>
        <v/>
      </c>
      <c r="Y518" s="493"/>
      <c r="Z518" s="493"/>
      <c r="AA518" s="493"/>
      <c r="AB518" s="493"/>
      <c r="AC518" s="493"/>
      <c r="AD518" s="493"/>
      <c r="AE518" s="493"/>
      <c r="AF518" s="493"/>
      <c r="AG518" s="493"/>
      <c r="AH518" s="493"/>
      <c r="AI518" s="493"/>
      <c r="AJ518" s="493"/>
      <c r="AK518" s="493"/>
      <c r="AL518" s="493"/>
      <c r="AM518" s="493"/>
      <c r="AN518" s="493"/>
      <c r="AO518" s="493"/>
      <c r="AP518" s="493"/>
      <c r="AQ518" s="493"/>
    </row>
    <row r="519" spans="1:51" x14ac:dyDescent="0.25">
      <c r="A519" s="518"/>
      <c r="B519" s="504"/>
      <c r="C519" s="376" t="str">
        <f>IF(AND(ISNUMBER(B517), OR('Cost Inputs'!$H$130&lt;&gt;"", 'Cost Inputs'!$I$130&lt;&gt;"", 'Cost Inputs'!$J$130&lt;&gt;"")), _5_1_1, "")</f>
        <v/>
      </c>
      <c r="D519" s="17" t="str">
        <f>IF(AND(C519&lt;&gt;"", 'Cost Inputs'!$G$130&lt;&gt;""), 'Cost Inputs'!$G$130, "")</f>
        <v/>
      </c>
      <c r="E519" s="17" t="str">
        <f>IF(AND(C519&lt;&gt;"", 'Cost Inputs'!$H$130&lt;&gt;""), 'Cost Inputs'!$H$130, "")</f>
        <v/>
      </c>
      <c r="F519" s="493" t="str">
        <f>IF(AND(C519&lt;&gt;"", 'Cost Inputs'!$I$130&lt;&gt;""), 'Cost Inputs'!$I$130, "")</f>
        <v/>
      </c>
      <c r="G519" s="105" t="str">
        <f t="shared" si="39"/>
        <v/>
      </c>
      <c r="H519" s="493" t="str">
        <f>IF(AND(C519&lt;&gt;"", 'Cost Inputs'!$J$130&lt;&gt;""), 'Cost Inputs'!$J$130, "")</f>
        <v/>
      </c>
      <c r="I519" s="105" t="str">
        <f>IF($C519&lt;&gt;"",IF(AND($E519&lt;&gt;"",H519&lt;&gt;""), H519/$E519, 0),"")</f>
        <v/>
      </c>
      <c r="J519" s="493" t="str">
        <f>IF(AND(C519&lt;&gt;"",('Cost Inputs'!$I$130+'Cost Inputs'!$J$130+'Cost Inputs'!$K$130)&gt;0), 'Cost Inputs'!$I$130+'Cost Inputs'!$J$130+'Cost Inputs'!$K$130, "")</f>
        <v/>
      </c>
      <c r="K519" s="105" t="str">
        <f>IF($C519&lt;&gt;"",IF(AND($E519&lt;&gt;"",J519&lt;&gt;""), J519/$E519, 0),"")</f>
        <v/>
      </c>
      <c r="M519" s="106"/>
      <c r="O519" s="493" t="str">
        <f>IF(ISNUMBER('Model_ of_individuals'!O539), 'Model_ of_individuals'!O539*'Model_ of_individuals'!$K539,"")</f>
        <v/>
      </c>
      <c r="P519" s="493" t="str">
        <f>IF(ISNUMBER('Model_ of_individuals'!P539), 'Model_ of_individuals'!P539*'Model_ of_individuals'!$K539,"")</f>
        <v/>
      </c>
      <c r="Q519" s="493" t="str">
        <f>IF(ISNUMBER('Model_ of_individuals'!Q539), 'Model_ of_individuals'!Q539*'Model_ of_individuals'!$K539,"")</f>
        <v/>
      </c>
      <c r="R519" s="493" t="str">
        <f>IF(ISNUMBER('Model_ of_individuals'!R539), 'Model_ of_individuals'!R539*'Model_ of_individuals'!$K539,"")</f>
        <v/>
      </c>
      <c r="S519" s="493" t="str">
        <f>IF(ISNUMBER('Model_ of_individuals'!S539), 'Model_ of_individuals'!S539*'Model_ of_individuals'!$K539,"")</f>
        <v/>
      </c>
      <c r="T519" s="493" t="str">
        <f>IF(ISNUMBER('Model_ of_individuals'!T539), 'Model_ of_individuals'!T539*'Model_ of_individuals'!$K539,"")</f>
        <v/>
      </c>
      <c r="U519" s="493" t="str">
        <f>IF(ISNUMBER('Model_ of_individuals'!U539), 'Model_ of_individuals'!U539*'Model_ of_individuals'!$K539,"")</f>
        <v/>
      </c>
      <c r="V519" s="493" t="str">
        <f>IF(ISNUMBER('Model_ of_individuals'!V539), 'Model_ of_individuals'!V539*'Model_ of_individuals'!$K539,"")</f>
        <v/>
      </c>
      <c r="W519" s="493" t="str">
        <f>IF(ISNUMBER('Model_ of_individuals'!W539), 'Model_ of_individuals'!W539*'Model_ of_individuals'!$K539,"")</f>
        <v/>
      </c>
      <c r="X519" s="493" t="str">
        <f>IF(ISNUMBER('Model_ of_individuals'!X539), 'Model_ of_individuals'!X539*'Model_ of_individuals'!$K539,"")</f>
        <v/>
      </c>
      <c r="Y519" s="493"/>
      <c r="Z519" s="493"/>
      <c r="AA519" s="493"/>
      <c r="AB519" s="493"/>
      <c r="AC519" s="493"/>
      <c r="AD519" s="493"/>
      <c r="AE519" s="493"/>
      <c r="AF519" s="493"/>
      <c r="AG519" s="493"/>
      <c r="AH519" s="493"/>
      <c r="AI519" s="493"/>
      <c r="AJ519" s="493"/>
      <c r="AK519" s="493"/>
      <c r="AL519" s="493"/>
      <c r="AM519" s="493"/>
      <c r="AN519" s="493"/>
      <c r="AO519" s="493"/>
      <c r="AP519" s="493"/>
      <c r="AQ519" s="493"/>
    </row>
    <row r="520" spans="1:51" x14ac:dyDescent="0.25">
      <c r="A520" s="518"/>
      <c r="B520" s="504"/>
      <c r="C520" s="376" t="str">
        <f>IF(AND(ISNUMBER(B502), OR('Cost Inputs'!$H$85&lt;&gt;"", 'Cost Inputs'!$I$85&lt;&gt;"", 'Cost Inputs'!$J$85&lt;&gt;"")), _3_5_1, "")</f>
        <v/>
      </c>
      <c r="D520" s="17" t="str">
        <f>IF(AND(C519&lt;&gt;"", 'Cost Inputs'!$G$131&lt;&gt;""), 'Cost Inputs'!$G$131, "")</f>
        <v/>
      </c>
      <c r="E520" s="17" t="str">
        <f>IF(AND(C519&lt;&gt;"", 'Cost Inputs'!$H$131&lt;&gt;""), 'Cost Inputs'!$H$131, "")</f>
        <v/>
      </c>
      <c r="F520" s="493"/>
      <c r="G520" s="105" t="str">
        <f t="shared" si="39"/>
        <v/>
      </c>
      <c r="H520" s="493"/>
      <c r="I520" s="105" t="str">
        <f>IF($C519&lt;&gt;"", IF(AND($E520&lt;&gt;"", H519&lt;&gt;""), H519/($E519*$E520), 0), "")</f>
        <v/>
      </c>
      <c r="J520" s="493" t="str">
        <f>IF(AND(C520&lt;&gt;"",('Cost Inputs'!$I$86+'Cost Inputs'!$J$86+'Cost Inputs'!$K$86)&gt;0), 'Cost Inputs'!$I$86+'Cost Inputs'!$J$86+'Cost Inputs'!$K$86, "")</f>
        <v/>
      </c>
      <c r="K520" s="105" t="str">
        <f>IF($C519&lt;&gt;"", IF(AND($E520&lt;&gt;"", J519&lt;&gt;""), J519/($E519*$E520), 0), "")</f>
        <v/>
      </c>
      <c r="M520" s="106"/>
      <c r="O520" s="493" t="str">
        <f>IF(ISNUMBER('Model_ of_individuals'!O540), 'Model_ of_individuals'!O540*'Model_ of_individuals'!$K540,"")</f>
        <v/>
      </c>
      <c r="P520" s="493" t="str">
        <f>IF(ISNUMBER('Model_ of_individuals'!P540), 'Model_ of_individuals'!P540*'Model_ of_individuals'!$K540,"")</f>
        <v/>
      </c>
      <c r="Q520" s="493" t="str">
        <f>IF(ISNUMBER('Model_ of_individuals'!Q540), 'Model_ of_individuals'!Q540*'Model_ of_individuals'!$K540,"")</f>
        <v/>
      </c>
      <c r="R520" s="493" t="str">
        <f>IF(ISNUMBER('Model_ of_individuals'!R540), 'Model_ of_individuals'!R540*'Model_ of_individuals'!$K540,"")</f>
        <v/>
      </c>
      <c r="S520" s="493" t="str">
        <f>IF(ISNUMBER('Model_ of_individuals'!S540), 'Model_ of_individuals'!S540*'Model_ of_individuals'!$K540,"")</f>
        <v/>
      </c>
      <c r="T520" s="493" t="str">
        <f>IF(ISNUMBER('Model_ of_individuals'!T540), 'Model_ of_individuals'!T540*'Model_ of_individuals'!$K540,"")</f>
        <v/>
      </c>
      <c r="U520" s="493" t="str">
        <f>IF(ISNUMBER('Model_ of_individuals'!U540), 'Model_ of_individuals'!U540*'Model_ of_individuals'!$K540,"")</f>
        <v/>
      </c>
      <c r="V520" s="493" t="str">
        <f>IF(ISNUMBER('Model_ of_individuals'!V540), 'Model_ of_individuals'!V540*'Model_ of_individuals'!$K540,"")</f>
        <v/>
      </c>
      <c r="W520" s="493" t="str">
        <f>IF(ISNUMBER('Model_ of_individuals'!W540), 'Model_ of_individuals'!W540*'Model_ of_individuals'!$K540,"")</f>
        <v/>
      </c>
      <c r="X520" s="493" t="str">
        <f>IF(ISNUMBER('Model_ of_individuals'!X540), 'Model_ of_individuals'!X540*'Model_ of_individuals'!$K540,"")</f>
        <v/>
      </c>
      <c r="Y520" s="493"/>
      <c r="Z520" s="493"/>
      <c r="AA520" s="493"/>
      <c r="AB520" s="493"/>
      <c r="AC520" s="493"/>
      <c r="AD520" s="493"/>
      <c r="AE520" s="493"/>
      <c r="AF520" s="493"/>
      <c r="AG520" s="493"/>
      <c r="AH520" s="493"/>
      <c r="AI520" s="493"/>
      <c r="AJ520" s="493"/>
      <c r="AK520" s="493"/>
      <c r="AL520" s="493"/>
      <c r="AM520" s="493"/>
      <c r="AN520" s="493"/>
      <c r="AO520" s="493"/>
      <c r="AP520" s="493"/>
      <c r="AQ520" s="493"/>
    </row>
    <row r="521" spans="1:51" x14ac:dyDescent="0.25">
      <c r="A521" s="518"/>
      <c r="B521" s="504"/>
      <c r="C521" s="523" t="str">
        <f>IF(AND(ISNUMBER(B517), OR('Cost Inputs'!$H$132&lt;&gt;"", 'Cost Inputs'!$I$132&lt;&gt;"", 'Cost Inputs'!$J$132&lt;&gt;"")), _5_1_2, "")</f>
        <v/>
      </c>
      <c r="D521" s="93" t="str">
        <f>IF(AND(C521&lt;&gt;"", 'Cost Inputs'!$G$132&lt;&gt;""), 'Cost Inputs'!$G$132, "")</f>
        <v/>
      </c>
      <c r="E521" s="93" t="str">
        <f>IF(AND(C521&lt;&gt;"", 'Cost Inputs'!$H$132&lt;&gt;""), 'Cost Inputs'!$H$132, "")</f>
        <v/>
      </c>
      <c r="F521" s="494" t="str">
        <f>IF(AND(C521&lt;&gt;"", 'Cost Inputs'!$I$132&lt;&gt;""), 'Cost Inputs'!$I$132, "")</f>
        <v/>
      </c>
      <c r="G521" s="108" t="str">
        <f t="shared" si="39"/>
        <v/>
      </c>
      <c r="H521" s="494" t="str">
        <f>IF(AND(C521&lt;&gt;"", 'Cost Inputs'!$J$132&lt;&gt;""), 'Cost Inputs'!$J$132, "")</f>
        <v/>
      </c>
      <c r="I521" s="108" t="str">
        <f>IF($C521&lt;&gt;"",IF(AND($E521&lt;&gt;"",H521&lt;&gt;""), H521/$E521, 0),"")</f>
        <v/>
      </c>
      <c r="J521" s="494" t="str">
        <f>IF(AND(C521&lt;&gt;"",('Cost Inputs'!$I$132+'Cost Inputs'!$J$132+'Cost Inputs'!$K$132)&gt;0), 'Cost Inputs'!$I$132+'Cost Inputs'!$J$132+'Cost Inputs'!$K$132, "")</f>
        <v/>
      </c>
      <c r="K521" s="108" t="str">
        <f>IF($C521&lt;&gt;"",IF(AND($E521&lt;&gt;"",J521&lt;&gt;""), J521/$E521, 0),"")</f>
        <v/>
      </c>
      <c r="L521" s="93"/>
      <c r="M521" s="109"/>
      <c r="O521" s="494" t="str">
        <f>IF(ISNUMBER('Model_ of_individuals'!O541), 'Model_ of_individuals'!O541*'Model_ of_individuals'!$K541,"")</f>
        <v/>
      </c>
      <c r="P521" s="494" t="str">
        <f>IF(ISNUMBER('Model_ of_individuals'!P541), 'Model_ of_individuals'!P541*'Model_ of_individuals'!$K541,"")</f>
        <v/>
      </c>
      <c r="Q521" s="494" t="str">
        <f>IF(ISNUMBER('Model_ of_individuals'!Q541), 'Model_ of_individuals'!Q541*'Model_ of_individuals'!$K541,"")</f>
        <v/>
      </c>
      <c r="R521" s="494" t="str">
        <f>IF(ISNUMBER('Model_ of_individuals'!R541), 'Model_ of_individuals'!R541*'Model_ of_individuals'!$K541,"")</f>
        <v/>
      </c>
      <c r="S521" s="494" t="str">
        <f>IF(ISNUMBER('Model_ of_individuals'!S541), 'Model_ of_individuals'!S541*'Model_ of_individuals'!$K541,"")</f>
        <v/>
      </c>
      <c r="T521" s="494" t="str">
        <f>IF(ISNUMBER('Model_ of_individuals'!T541), 'Model_ of_individuals'!T541*'Model_ of_individuals'!$K541,"")</f>
        <v/>
      </c>
      <c r="U521" s="494" t="str">
        <f>IF(ISNUMBER('Model_ of_individuals'!U541), 'Model_ of_individuals'!U541*'Model_ of_individuals'!$K541,"")</f>
        <v/>
      </c>
      <c r="V521" s="494" t="str">
        <f>IF(ISNUMBER('Model_ of_individuals'!V541), 'Model_ of_individuals'!V541*'Model_ of_individuals'!$K541,"")</f>
        <v/>
      </c>
      <c r="W521" s="494" t="str">
        <f>IF(ISNUMBER('Model_ of_individuals'!W541), 'Model_ of_individuals'!W541*'Model_ of_individuals'!$K541,"")</f>
        <v/>
      </c>
      <c r="X521" s="494" t="str">
        <f>IF(ISNUMBER('Model_ of_individuals'!X541), 'Model_ of_individuals'!X541*'Model_ of_individuals'!$K541,"")</f>
        <v/>
      </c>
      <c r="Y521" s="493"/>
      <c r="Z521" s="493"/>
      <c r="AA521" s="493"/>
      <c r="AB521" s="493"/>
      <c r="AC521" s="493"/>
      <c r="AD521" s="493"/>
      <c r="AE521" s="493"/>
      <c r="AF521" s="493"/>
      <c r="AG521" s="493"/>
      <c r="AH521" s="493"/>
      <c r="AI521" s="493"/>
      <c r="AJ521" s="493"/>
      <c r="AK521" s="493"/>
      <c r="AL521" s="493"/>
      <c r="AM521" s="493"/>
      <c r="AN521" s="493"/>
      <c r="AO521" s="493"/>
      <c r="AP521" s="493"/>
      <c r="AQ521" s="493"/>
    </row>
    <row r="522" spans="1:51" x14ac:dyDescent="0.25">
      <c r="A522" s="518"/>
      <c r="B522" s="504"/>
      <c r="C522" s="523"/>
      <c r="D522" s="93" t="str">
        <f>IF(AND(C521&lt;&gt;"", 'Cost Inputs'!$G$133&lt;&gt;""), 'Cost Inputs'!$G$133, "")</f>
        <v/>
      </c>
      <c r="E522" s="93" t="str">
        <f>IF(AND(C521&lt;&gt;"", 'Cost Inputs'!$H$133&lt;&gt;""), 'Cost Inputs'!$H$133, "")</f>
        <v/>
      </c>
      <c r="F522" s="494"/>
      <c r="G522" s="108" t="str">
        <f t="shared" si="39"/>
        <v/>
      </c>
      <c r="H522" s="494"/>
      <c r="I522" s="108" t="str">
        <f>IF($C521&lt;&gt;"", IF(AND($E522&lt;&gt;"", H521&lt;&gt;""), H521/($E521*$E522), 0), "")</f>
        <v/>
      </c>
      <c r="J522" s="494"/>
      <c r="K522" s="108" t="str">
        <f>IF($C521&lt;&gt;"", IF(AND($E522&lt;&gt;"", J521&lt;&gt;""), J521/($E521*$E522), 0), "")</f>
        <v/>
      </c>
      <c r="L522" s="93"/>
      <c r="M522" s="109"/>
      <c r="O522" s="494" t="str">
        <f>IF(ISNUMBER('Model_ of_individuals'!O542), 'Model_ of_individuals'!O542*'Model_ of_individuals'!$K542,"")</f>
        <v/>
      </c>
      <c r="P522" s="494" t="str">
        <f>IF(ISNUMBER('Model_ of_individuals'!P542), 'Model_ of_individuals'!P542*'Model_ of_individuals'!$K542,"")</f>
        <v/>
      </c>
      <c r="Q522" s="494" t="str">
        <f>IF(ISNUMBER('Model_ of_individuals'!Q542), 'Model_ of_individuals'!Q542*'Model_ of_individuals'!$K542,"")</f>
        <v/>
      </c>
      <c r="R522" s="494" t="str">
        <f>IF(ISNUMBER('Model_ of_individuals'!R542), 'Model_ of_individuals'!R542*'Model_ of_individuals'!$K542,"")</f>
        <v/>
      </c>
      <c r="S522" s="494" t="str">
        <f>IF(ISNUMBER('Model_ of_individuals'!S542), 'Model_ of_individuals'!S542*'Model_ of_individuals'!$K542,"")</f>
        <v/>
      </c>
      <c r="T522" s="494" t="str">
        <f>IF(ISNUMBER('Model_ of_individuals'!T542), 'Model_ of_individuals'!T542*'Model_ of_individuals'!$K542,"")</f>
        <v/>
      </c>
      <c r="U522" s="494" t="str">
        <f>IF(ISNUMBER('Model_ of_individuals'!U542), 'Model_ of_individuals'!U542*'Model_ of_individuals'!$K542,"")</f>
        <v/>
      </c>
      <c r="V522" s="494" t="str">
        <f>IF(ISNUMBER('Model_ of_individuals'!V542), 'Model_ of_individuals'!V542*'Model_ of_individuals'!$K542,"")</f>
        <v/>
      </c>
      <c r="W522" s="494" t="str">
        <f>IF(ISNUMBER('Model_ of_individuals'!W542), 'Model_ of_individuals'!W542*'Model_ of_individuals'!$K542,"")</f>
        <v/>
      </c>
      <c r="X522" s="494" t="str">
        <f>IF(ISNUMBER('Model_ of_individuals'!X542), 'Model_ of_individuals'!X542*'Model_ of_individuals'!$K542,"")</f>
        <v/>
      </c>
      <c r="Y522" s="493"/>
      <c r="Z522" s="493"/>
      <c r="AA522" s="493"/>
      <c r="AB522" s="493"/>
      <c r="AC522" s="493"/>
      <c r="AD522" s="493"/>
      <c r="AE522" s="493"/>
      <c r="AF522" s="493"/>
      <c r="AG522" s="493"/>
      <c r="AH522" s="493"/>
      <c r="AI522" s="493"/>
      <c r="AJ522" s="493"/>
      <c r="AK522" s="493"/>
      <c r="AL522" s="493"/>
      <c r="AM522" s="493"/>
      <c r="AN522" s="493"/>
      <c r="AO522" s="493"/>
      <c r="AP522" s="493"/>
      <c r="AQ522" s="493"/>
    </row>
    <row r="523" spans="1:51" x14ac:dyDescent="0.25">
      <c r="A523" s="518"/>
      <c r="B523" s="504"/>
      <c r="C523" s="376" t="str">
        <f>IF(AND(ISNUMBER(B517), OR('Cost Inputs'!$H$134&lt;&gt;"", 'Cost Inputs'!$I$134&lt;&gt;"", 'Cost Inputs'!$J$134&lt;&gt;"")), _5_1_3, "")</f>
        <v/>
      </c>
      <c r="D523" s="17" t="str">
        <f>IF(AND(C523&lt;&gt;"", 'Cost Inputs'!$G$134&lt;&gt;""), 'Cost Inputs'!$G$134, "")</f>
        <v/>
      </c>
      <c r="E523" s="17" t="str">
        <f>IF(AND(C523&lt;&gt;"", 'Cost Inputs'!$H$134&lt;&gt;""), 'Cost Inputs'!$H$134, "")</f>
        <v/>
      </c>
      <c r="F523" s="493" t="str">
        <f>IF(AND(C523&lt;&gt;"", 'Cost Inputs'!$I$134&lt;&gt;""), 'Cost Inputs'!$I$134, "")</f>
        <v/>
      </c>
      <c r="G523" s="105" t="str">
        <f t="shared" si="39"/>
        <v/>
      </c>
      <c r="H523" s="493" t="str">
        <f>IF(AND(C523&lt;&gt;"", 'Cost Inputs'!$J$134&lt;&gt;""), 'Cost Inputs'!$J$134, "")</f>
        <v/>
      </c>
      <c r="I523" s="105" t="str">
        <f>IF($C523&lt;&gt;"",IF(AND($E523&lt;&gt;"",H523&lt;&gt;""), H523/$E523, 0),"")</f>
        <v/>
      </c>
      <c r="J523" s="493" t="str">
        <f>IF(AND(C523&lt;&gt;"",('Cost Inputs'!$I$134+'Cost Inputs'!$J$134+'Cost Inputs'!$K$134)&gt;0), 'Cost Inputs'!$I$134+'Cost Inputs'!$J$134+'Cost Inputs'!$K$134, "")</f>
        <v/>
      </c>
      <c r="K523" s="105" t="str">
        <f>IF($C523&lt;&gt;"",IF(AND($E523&lt;&gt;"",J523&lt;&gt;""), J523/$E523, 0),"")</f>
        <v/>
      </c>
      <c r="M523" s="106"/>
      <c r="O523" s="493" t="str">
        <f>IF(ISNUMBER('Model_ of_individuals'!O543), 'Model_ of_individuals'!O543*'Model_ of_individuals'!$K543,"")</f>
        <v/>
      </c>
      <c r="P523" s="493" t="str">
        <f>IF(ISNUMBER('Model_ of_individuals'!P543), 'Model_ of_individuals'!P543*'Model_ of_individuals'!$K543,"")</f>
        <v/>
      </c>
      <c r="Q523" s="493" t="str">
        <f>IF(ISNUMBER('Model_ of_individuals'!Q543), 'Model_ of_individuals'!Q543*'Model_ of_individuals'!$K543,"")</f>
        <v/>
      </c>
      <c r="R523" s="493" t="str">
        <f>IF(ISNUMBER('Model_ of_individuals'!R543), 'Model_ of_individuals'!R543*'Model_ of_individuals'!$K543,"")</f>
        <v/>
      </c>
      <c r="S523" s="493" t="str">
        <f>IF(ISNUMBER('Model_ of_individuals'!S543), 'Model_ of_individuals'!S543*'Model_ of_individuals'!$K543,"")</f>
        <v/>
      </c>
      <c r="T523" s="493" t="str">
        <f>IF(ISNUMBER('Model_ of_individuals'!T543), 'Model_ of_individuals'!T543*'Model_ of_individuals'!$K543,"")</f>
        <v/>
      </c>
      <c r="U523" s="493" t="str">
        <f>IF(ISNUMBER('Model_ of_individuals'!U543), 'Model_ of_individuals'!U543*'Model_ of_individuals'!$K543,"")</f>
        <v/>
      </c>
      <c r="V523" s="493" t="str">
        <f>IF(ISNUMBER('Model_ of_individuals'!V543), 'Model_ of_individuals'!V543*'Model_ of_individuals'!$K543,"")</f>
        <v/>
      </c>
      <c r="W523" s="493" t="str">
        <f>IF(ISNUMBER('Model_ of_individuals'!W543), 'Model_ of_individuals'!W543*'Model_ of_individuals'!$K543,"")</f>
        <v/>
      </c>
      <c r="X523" s="493" t="str">
        <f>IF(ISNUMBER('Model_ of_individuals'!X543), 'Model_ of_individuals'!X543*'Model_ of_individuals'!$K543,"")</f>
        <v/>
      </c>
      <c r="Y523" s="493"/>
      <c r="Z523" s="493"/>
      <c r="AA523" s="493"/>
      <c r="AB523" s="493"/>
      <c r="AC523" s="493"/>
      <c r="AD523" s="493"/>
      <c r="AE523" s="493"/>
      <c r="AF523" s="493"/>
      <c r="AG523" s="493"/>
      <c r="AH523" s="493"/>
      <c r="AI523" s="493"/>
      <c r="AJ523" s="493"/>
      <c r="AK523" s="493"/>
      <c r="AL523" s="493"/>
      <c r="AM523" s="493"/>
      <c r="AN523" s="493"/>
      <c r="AO523" s="493"/>
      <c r="AP523" s="493"/>
      <c r="AQ523" s="493"/>
    </row>
    <row r="524" spans="1:51" x14ac:dyDescent="0.25">
      <c r="A524" s="518"/>
      <c r="B524" s="504"/>
      <c r="C524" s="376"/>
      <c r="D524" s="17" t="str">
        <f>IF(AND(C523&lt;&gt;"", 'Cost Inputs'!$G$135&lt;&gt;""), 'Cost Inputs'!$G$135, "")</f>
        <v/>
      </c>
      <c r="E524" s="17" t="str">
        <f>IF(AND(C523&lt;&gt;"", 'Cost Inputs'!$H$135&lt;&gt;""), 'Cost Inputs'!$H$135, "")</f>
        <v/>
      </c>
      <c r="F524" s="493"/>
      <c r="G524" s="105" t="str">
        <f t="shared" si="39"/>
        <v/>
      </c>
      <c r="H524" s="493"/>
      <c r="I524" s="105" t="str">
        <f>IF($C523&lt;&gt;"", IF(AND($E524&lt;&gt;"", H523&lt;&gt;""), H523/($E523*$E524), 0), "")</f>
        <v/>
      </c>
      <c r="J524" s="493"/>
      <c r="K524" s="105" t="str">
        <f>IF($C523&lt;&gt;"", IF(AND($E524&lt;&gt;"", J523&lt;&gt;""), J523/($E523*$E524), 0), "")</f>
        <v/>
      </c>
      <c r="M524" s="106"/>
      <c r="O524" s="493" t="str">
        <f>IF(ISNUMBER('Model_ of_individuals'!O544), 'Model_ of_individuals'!O544*'Model_ of_individuals'!$K544,"")</f>
        <v/>
      </c>
      <c r="P524" s="493" t="str">
        <f>IF(ISNUMBER('Model_ of_individuals'!P544), 'Model_ of_individuals'!P544*'Model_ of_individuals'!$K544,"")</f>
        <v/>
      </c>
      <c r="Q524" s="493" t="str">
        <f>IF(ISNUMBER('Model_ of_individuals'!Q544), 'Model_ of_individuals'!Q544*'Model_ of_individuals'!$K544,"")</f>
        <v/>
      </c>
      <c r="R524" s="493" t="str">
        <f>IF(ISNUMBER('Model_ of_individuals'!R544), 'Model_ of_individuals'!R544*'Model_ of_individuals'!$K544,"")</f>
        <v/>
      </c>
      <c r="S524" s="493" t="str">
        <f>IF(ISNUMBER('Model_ of_individuals'!S544), 'Model_ of_individuals'!S544*'Model_ of_individuals'!$K544,"")</f>
        <v/>
      </c>
      <c r="T524" s="493" t="str">
        <f>IF(ISNUMBER('Model_ of_individuals'!T544), 'Model_ of_individuals'!T544*'Model_ of_individuals'!$K544,"")</f>
        <v/>
      </c>
      <c r="U524" s="493" t="str">
        <f>IF(ISNUMBER('Model_ of_individuals'!U544), 'Model_ of_individuals'!U544*'Model_ of_individuals'!$K544,"")</f>
        <v/>
      </c>
      <c r="V524" s="493" t="str">
        <f>IF(ISNUMBER('Model_ of_individuals'!V544), 'Model_ of_individuals'!V544*'Model_ of_individuals'!$K544,"")</f>
        <v/>
      </c>
      <c r="W524" s="493" t="str">
        <f>IF(ISNUMBER('Model_ of_individuals'!W544), 'Model_ of_individuals'!W544*'Model_ of_individuals'!$K544,"")</f>
        <v/>
      </c>
      <c r="X524" s="493" t="str">
        <f>IF(ISNUMBER('Model_ of_individuals'!X544), 'Model_ of_individuals'!X544*'Model_ of_individuals'!$K544,"")</f>
        <v/>
      </c>
      <c r="Y524" s="493"/>
      <c r="Z524" s="493"/>
      <c r="AA524" s="493"/>
      <c r="AB524" s="493"/>
      <c r="AC524" s="493"/>
      <c r="AD524" s="493"/>
      <c r="AE524" s="493"/>
      <c r="AF524" s="493"/>
      <c r="AG524" s="493"/>
      <c r="AH524" s="493"/>
      <c r="AI524" s="493"/>
      <c r="AJ524" s="493"/>
      <c r="AK524" s="493"/>
      <c r="AL524" s="493"/>
      <c r="AM524" s="493"/>
      <c r="AN524" s="493"/>
      <c r="AO524" s="493"/>
      <c r="AP524" s="493"/>
      <c r="AQ524" s="493"/>
    </row>
    <row r="525" spans="1:51" x14ac:dyDescent="0.25">
      <c r="A525" s="518"/>
      <c r="B525" s="504"/>
      <c r="C525" s="107" t="str">
        <f>IF(AND(ISNUMBER(B517), OR('Cost Inputs'!$H$136&lt;&gt;"", 'Cost Inputs'!$I$136&lt;&gt;"", 'Cost Inputs'!$J$136&lt;&gt;"")), _5_1_4, "")</f>
        <v/>
      </c>
      <c r="D525" s="93" t="str">
        <f>IF(AND(C525&lt;&gt;"", 'Cost Inputs'!$G$136&lt;&gt;""), 'Cost Inputs'!$G$136, "")</f>
        <v/>
      </c>
      <c r="E525" s="93" t="str">
        <f>IF(AND(C525&lt;&gt;"", 'Cost Inputs'!$H$136&lt;&gt;""), 'Cost Inputs'!$H$136, "")</f>
        <v/>
      </c>
      <c r="F525" s="93" t="str">
        <f>IF(AND(C525&lt;&gt;"", 'Cost Inputs'!$I$136&lt;&gt;""), 'Cost Inputs'!$I$136, "")</f>
        <v/>
      </c>
      <c r="G525" s="108" t="str">
        <f t="shared" si="39"/>
        <v/>
      </c>
      <c r="H525" s="93" t="str">
        <f>IF(AND(C525&lt;&gt;"", 'Cost Inputs'!$J$136&lt;&gt;""), 'Cost Inputs'!$J$136, "")</f>
        <v/>
      </c>
      <c r="I525" s="108" t="str">
        <f>IF($C525&lt;&gt;"", IF(AND($E525&lt;&gt;"", H525&lt;&gt;""), H525/$E525, 0),"")</f>
        <v/>
      </c>
      <c r="J525" s="93" t="str">
        <f>IF(AND(C525&lt;&gt;"",('Cost Inputs'!$I$136+'Cost Inputs'!$J$136+'Cost Inputs'!$K$136)&gt;0), 'Cost Inputs'!$I$136+'Cost Inputs'!$J$136+'Cost Inputs'!$K$136, "")</f>
        <v/>
      </c>
      <c r="K525" s="108" t="str">
        <f>IF($C525&lt;&gt;"", IF(AND($E525&lt;&gt;"", J525&lt;&gt;""), J525/$E525, 0),"")</f>
        <v/>
      </c>
      <c r="L525" s="93"/>
      <c r="M525" s="109"/>
      <c r="O525" s="93" t="str">
        <f>IF(ISNUMBER('Model_ of_individuals'!O545), 'Model_ of_individuals'!O545*'Model_ of_individuals'!$K545,"")</f>
        <v/>
      </c>
      <c r="P525" s="93" t="str">
        <f>IF(ISNUMBER('Model_ of_individuals'!P545), 'Model_ of_individuals'!P545*'Model_ of_individuals'!$K545,"")</f>
        <v/>
      </c>
      <c r="Q525" s="93" t="str">
        <f>IF(ISNUMBER('Model_ of_individuals'!Q545), 'Model_ of_individuals'!Q545*'Model_ of_individuals'!$K545,"")</f>
        <v/>
      </c>
      <c r="R525" s="93" t="str">
        <f>IF(ISNUMBER('Model_ of_individuals'!R545), 'Model_ of_individuals'!R545*'Model_ of_individuals'!$K545,"")</f>
        <v/>
      </c>
      <c r="S525" s="93" t="str">
        <f>IF(ISNUMBER('Model_ of_individuals'!S545), 'Model_ of_individuals'!S545*'Model_ of_individuals'!$K545,"")</f>
        <v/>
      </c>
      <c r="T525" s="93" t="str">
        <f>IF(ISNUMBER('Model_ of_individuals'!T545), 'Model_ of_individuals'!T545*'Model_ of_individuals'!$K545,"")</f>
        <v/>
      </c>
      <c r="U525" s="93" t="str">
        <f>IF(ISNUMBER('Model_ of_individuals'!U545), 'Model_ of_individuals'!U545*'Model_ of_individuals'!$K545,"")</f>
        <v/>
      </c>
      <c r="V525" s="93" t="str">
        <f>IF(ISNUMBER('Model_ of_individuals'!V545), 'Model_ of_individuals'!V545*'Model_ of_individuals'!$K545,"")</f>
        <v/>
      </c>
      <c r="W525" s="93" t="str">
        <f>IF(ISNUMBER('Model_ of_individuals'!W545), 'Model_ of_individuals'!W545*'Model_ of_individuals'!$K545,"")</f>
        <v/>
      </c>
      <c r="X525" s="93" t="str">
        <f>IF(ISNUMBER('Model_ of_individuals'!X545), 'Model_ of_individuals'!X545*'Model_ of_individuals'!$K545,"")</f>
        <v/>
      </c>
      <c r="Y525" s="17"/>
      <c r="Z525" s="17"/>
      <c r="AA525" s="17"/>
      <c r="AB525" s="17"/>
      <c r="AC525" s="17"/>
      <c r="AD525" s="17"/>
      <c r="AE525" s="17"/>
      <c r="AF525" s="17"/>
      <c r="AG525" s="17"/>
      <c r="AH525" s="17"/>
      <c r="AI525" s="17"/>
      <c r="AJ525" s="17"/>
      <c r="AK525" s="17"/>
      <c r="AL525" s="17"/>
      <c r="AM525" s="17"/>
      <c r="AN525" s="17"/>
      <c r="AO525" s="17"/>
      <c r="AP525" s="17"/>
      <c r="AQ525" s="17"/>
    </row>
    <row r="526" spans="1:51" x14ac:dyDescent="0.25">
      <c r="A526" s="518"/>
      <c r="B526" s="504"/>
      <c r="C526" s="104" t="str">
        <f>IF(AND(ISNUMBER(B517), OR('Cost Inputs'!$H$137&lt;&gt;"", 'Cost Inputs'!$I$137&lt;&gt;"", 'Cost Inputs'!$J$137&lt;&gt;"")), _5_1_5, "")</f>
        <v/>
      </c>
      <c r="D526" s="17" t="str">
        <f>IF(AND(C526&lt;&gt;"", 'Cost Inputs'!$G$137&lt;&gt;""), 'Cost Inputs'!$G$137, "")</f>
        <v/>
      </c>
      <c r="E526" s="17" t="str">
        <f>IF(AND(C526&lt;&gt;"", 'Cost Inputs'!$H$137&lt;&gt;""), 'Cost Inputs'!$H$137, "")</f>
        <v/>
      </c>
      <c r="F526" s="17" t="str">
        <f>IF(AND(C526&lt;&gt;"", 'Cost Inputs'!$I$137&lt;&gt;""), 'Cost Inputs'!$I$137, "")</f>
        <v/>
      </c>
      <c r="G526" s="105" t="str">
        <f t="shared" si="39"/>
        <v/>
      </c>
      <c r="H526" s="17" t="str">
        <f>IF(AND(C526&lt;&gt;"", 'Cost Inputs'!$J$137&lt;&gt;""), 'Cost Inputs'!$J$137, "")</f>
        <v/>
      </c>
      <c r="I526" s="105" t="str">
        <f>IF($C526&lt;&gt;"", IF(AND($E526&lt;&gt;"", H526&lt;&gt;""), H526/$E526, 0),"")</f>
        <v/>
      </c>
      <c r="J526" s="17" t="str">
        <f>IF(AND(C526&lt;&gt;"",('Cost Inputs'!$I$137+'Cost Inputs'!$J$137+'Cost Inputs'!$K$137)&gt;0), 'Cost Inputs'!$I$137+'Cost Inputs'!$J$137+'Cost Inputs'!$K$137, "")</f>
        <v/>
      </c>
      <c r="K526" s="105"/>
      <c r="M526" s="106"/>
      <c r="O526" s="17" t="str">
        <f>IF(ISNUMBER('Model_ of_individuals'!O546), 'Model_ of_individuals'!O546*'Model_ of_individuals'!$K546,"")</f>
        <v/>
      </c>
      <c r="P526" s="17" t="str">
        <f>IF(ISNUMBER('Model_ of_individuals'!P546), 'Model_ of_individuals'!P546*'Model_ of_individuals'!$K546,"")</f>
        <v/>
      </c>
      <c r="Q526" s="17" t="str">
        <f>IF(ISNUMBER('Model_ of_individuals'!Q546), 'Model_ of_individuals'!Q546*'Model_ of_individuals'!$K546,"")</f>
        <v/>
      </c>
      <c r="R526" s="17" t="str">
        <f>IF(ISNUMBER('Model_ of_individuals'!R546), 'Model_ of_individuals'!R546*'Model_ of_individuals'!$K546,"")</f>
        <v/>
      </c>
      <c r="S526" s="17" t="str">
        <f>IF(ISNUMBER('Model_ of_individuals'!S546), 'Model_ of_individuals'!S546*'Model_ of_individuals'!$K546,"")</f>
        <v/>
      </c>
      <c r="T526" s="17" t="str">
        <f>IF(ISNUMBER('Model_ of_individuals'!T546), 'Model_ of_individuals'!T546*'Model_ of_individuals'!$K546,"")</f>
        <v/>
      </c>
      <c r="U526" s="17" t="str">
        <f>IF(ISNUMBER('Model_ of_individuals'!U546), 'Model_ of_individuals'!U546*'Model_ of_individuals'!$K546,"")</f>
        <v/>
      </c>
      <c r="V526" s="17" t="str">
        <f>IF(ISNUMBER('Model_ of_individuals'!V546), 'Model_ of_individuals'!V546*'Model_ of_individuals'!$K546,"")</f>
        <v/>
      </c>
      <c r="W526" s="17" t="str">
        <f>IF(ISNUMBER('Model_ of_individuals'!W546), 'Model_ of_individuals'!W546*'Model_ of_individuals'!$K546,"")</f>
        <v/>
      </c>
      <c r="X526" s="17" t="str">
        <f>IF(ISNUMBER('Model_ of_individuals'!X546), 'Model_ of_individuals'!X546*'Model_ of_individuals'!$K546,"")</f>
        <v/>
      </c>
      <c r="Y526" s="17"/>
      <c r="Z526" s="17"/>
      <c r="AA526" s="17"/>
      <c r="AB526" s="17"/>
      <c r="AC526" s="17"/>
      <c r="AD526" s="17"/>
      <c r="AE526" s="17"/>
      <c r="AF526" s="17"/>
      <c r="AG526" s="17"/>
      <c r="AH526" s="17"/>
      <c r="AI526" s="17"/>
      <c r="AJ526" s="17"/>
      <c r="AK526" s="17"/>
      <c r="AL526" s="17"/>
      <c r="AM526" s="17"/>
      <c r="AN526" s="17"/>
      <c r="AO526" s="17"/>
      <c r="AP526" s="17"/>
      <c r="AQ526" s="17"/>
    </row>
    <row r="527" spans="1:51" x14ac:dyDescent="0.25">
      <c r="A527" s="518"/>
      <c r="B527" s="504"/>
      <c r="C527" s="521" t="str">
        <f>IF(ISNUMBER(B517), _5_2_0, "")</f>
        <v/>
      </c>
      <c r="D527" s="94" t="str">
        <f>IF(AND(C527&lt;&gt;"", 'Cost Inputs'!$G$138&lt;&gt;""), 'Cost Inputs'!$G$138, "")</f>
        <v/>
      </c>
      <c r="E527" s="94" t="str">
        <f>IF(AND(C527&lt;&gt;"", 'Cost Inputs'!$H$138&lt;&gt;""), 'Cost Inputs'!$H$138, "")</f>
        <v/>
      </c>
      <c r="F527" s="492" t="str">
        <f>IF(AND(C527&lt;&gt;"", 'Cost Inputs'!$I$138&lt;&gt;""), 'Cost Inputs'!$I$138, "")</f>
        <v/>
      </c>
      <c r="G527" s="102" t="str">
        <f t="shared" ref="G527:G590" si="45">IF(AND($E527&lt;&gt;"", $E527&gt;0, F527&lt;&gt;""), F527/$E527, "")</f>
        <v/>
      </c>
      <c r="H527" s="492" t="str">
        <f>IF(AND(C527&lt;&gt;"", 'Cost Inputs'!$J$138&lt;&gt;""), 'Cost Inputs'!$J$138, "")</f>
        <v/>
      </c>
      <c r="I527" s="102" t="str">
        <f>IF($C527&lt;&gt;"",IF(AND($E527&lt;&gt;"",H527&lt;&gt;""), H527/$E527, 0),"")</f>
        <v/>
      </c>
      <c r="J527" s="492" t="str">
        <f>IF(AND(C527&lt;&gt;"",('Cost Inputs'!$I$138+'Cost Inputs'!$J$138+'Cost Inputs'!$K$138)&gt;0), 'Cost Inputs'!$I$138+'Cost Inputs'!$J$138+'Cost Inputs'!$K$138, "")</f>
        <v/>
      </c>
      <c r="K527" s="102" t="str">
        <f>IF($C527&lt;&gt;"",IF(AND($E527&lt;&gt;"",J527&lt;&gt;""), J527/$E527, 0),"")</f>
        <v/>
      </c>
      <c r="L527" s="94"/>
      <c r="M527" s="103"/>
      <c r="O527" s="492" t="str">
        <f>IF(ISNUMBER('Model_ of_individuals'!O547), 'Model_ of_individuals'!O547*'Model_ of_individuals'!$K547,"")</f>
        <v/>
      </c>
      <c r="P527" s="492" t="str">
        <f>IF(ISNUMBER('Model_ of_individuals'!P547), 'Model_ of_individuals'!P547*'Model_ of_individuals'!$K547,"")</f>
        <v/>
      </c>
      <c r="Q527" s="492" t="str">
        <f>IF(ISNUMBER('Model_ of_individuals'!Q547), 'Model_ of_individuals'!Q547*'Model_ of_individuals'!$K547,"")</f>
        <v/>
      </c>
      <c r="R527" s="492" t="str">
        <f>IF(ISNUMBER('Model_ of_individuals'!R547), 'Model_ of_individuals'!R547*'Model_ of_individuals'!$K547,"")</f>
        <v/>
      </c>
      <c r="S527" s="492" t="str">
        <f>IF(ISNUMBER('Model_ of_individuals'!S547), 'Model_ of_individuals'!S547*'Model_ of_individuals'!$K547,"")</f>
        <v/>
      </c>
      <c r="T527" s="492" t="str">
        <f>IF(ISNUMBER('Model_ of_individuals'!T547), 'Model_ of_individuals'!T547*'Model_ of_individuals'!$K547,"")</f>
        <v/>
      </c>
      <c r="U527" s="492" t="str">
        <f>IF(ISNUMBER('Model_ of_individuals'!U547), 'Model_ of_individuals'!U547*'Model_ of_individuals'!$K547,"")</f>
        <v/>
      </c>
      <c r="V527" s="492" t="str">
        <f>IF(ISNUMBER('Model_ of_individuals'!V547), 'Model_ of_individuals'!V547*'Model_ of_individuals'!$K547,"")</f>
        <v/>
      </c>
      <c r="W527" s="492" t="str">
        <f>IF(ISNUMBER('Model_ of_individuals'!W547), 'Model_ of_individuals'!W547*'Model_ of_individuals'!$K547,"")</f>
        <v/>
      </c>
      <c r="X527" s="492" t="str">
        <f>IF(ISNUMBER('Model_ of_individuals'!X547), 'Model_ of_individuals'!X547*'Model_ of_individuals'!$K547,"")</f>
        <v/>
      </c>
      <c r="Y527" s="493"/>
      <c r="Z527" s="493"/>
      <c r="AA527" s="493"/>
      <c r="AB527" s="493"/>
      <c r="AC527" s="493"/>
      <c r="AD527" s="493"/>
      <c r="AE527" s="493"/>
      <c r="AF527" s="493"/>
      <c r="AG527" s="493"/>
      <c r="AH527" s="493"/>
      <c r="AI527" s="493"/>
      <c r="AJ527" s="493"/>
      <c r="AK527" s="493"/>
      <c r="AL527" s="493"/>
      <c r="AM527" s="493"/>
      <c r="AN527" s="493"/>
      <c r="AO527" s="493"/>
      <c r="AP527" s="493"/>
      <c r="AQ527" s="493"/>
    </row>
    <row r="528" spans="1:51" x14ac:dyDescent="0.25">
      <c r="A528" s="518"/>
      <c r="B528" s="504"/>
      <c r="C528" s="521"/>
      <c r="D528" s="94" t="str">
        <f>IF(AND(C527&lt;&gt;"", 'Cost Inputs'!$G$139&lt;&gt;""), 'Cost Inputs'!$G$139, "")</f>
        <v/>
      </c>
      <c r="E528" s="94" t="str">
        <f>IF(AND(C527&lt;&gt;"", 'Cost Inputs'!$H$139&lt;&gt;""), 'Cost Inputs'!$H$139, "")</f>
        <v/>
      </c>
      <c r="F528" s="492"/>
      <c r="G528" s="102" t="str">
        <f t="shared" si="45"/>
        <v/>
      </c>
      <c r="H528" s="492"/>
      <c r="I528" s="102" t="str">
        <f>IF($C527&lt;&gt;"", IF(AND($E528&lt;&gt;"", H527&lt;&gt;""), H527/($E527*$E528), 0), "")</f>
        <v/>
      </c>
      <c r="J528" s="492" t="str">
        <f>IF(AND(C528&lt;&gt;"",('Cost Inputs'!$I$86+'Cost Inputs'!$J$86+'Cost Inputs'!$K$86)&gt;0), 'Cost Inputs'!$I$86+'Cost Inputs'!$J$86+'Cost Inputs'!$K$86, "")</f>
        <v/>
      </c>
      <c r="K528" s="102" t="str">
        <f>IF($C527&lt;&gt;"", IF(AND($E528&lt;&gt;"", J527&lt;&gt;""), J527/($E527*$E528), 0), "")</f>
        <v/>
      </c>
      <c r="L528" s="94"/>
      <c r="M528" s="103"/>
      <c r="O528" s="492" t="str">
        <f>IF(ISNUMBER('Model_ of_individuals'!O548), 'Model_ of_individuals'!O548*'Model_ of_individuals'!$K548,"")</f>
        <v/>
      </c>
      <c r="P528" s="492" t="str">
        <f>IF(ISNUMBER('Model_ of_individuals'!P548), 'Model_ of_individuals'!P548*'Model_ of_individuals'!$K548,"")</f>
        <v/>
      </c>
      <c r="Q528" s="492" t="str">
        <f>IF(ISNUMBER('Model_ of_individuals'!Q548), 'Model_ of_individuals'!Q548*'Model_ of_individuals'!$K548,"")</f>
        <v/>
      </c>
      <c r="R528" s="492" t="str">
        <f>IF(ISNUMBER('Model_ of_individuals'!R548), 'Model_ of_individuals'!R548*'Model_ of_individuals'!$K548,"")</f>
        <v/>
      </c>
      <c r="S528" s="492" t="str">
        <f>IF(ISNUMBER('Model_ of_individuals'!S548), 'Model_ of_individuals'!S548*'Model_ of_individuals'!$K548,"")</f>
        <v/>
      </c>
      <c r="T528" s="492" t="str">
        <f>IF(ISNUMBER('Model_ of_individuals'!T548), 'Model_ of_individuals'!T548*'Model_ of_individuals'!$K548,"")</f>
        <v/>
      </c>
      <c r="U528" s="492" t="str">
        <f>IF(ISNUMBER('Model_ of_individuals'!U548), 'Model_ of_individuals'!U548*'Model_ of_individuals'!$K548,"")</f>
        <v/>
      </c>
      <c r="V528" s="492" t="str">
        <f>IF(ISNUMBER('Model_ of_individuals'!V548), 'Model_ of_individuals'!V548*'Model_ of_individuals'!$K548,"")</f>
        <v/>
      </c>
      <c r="W528" s="492" t="str">
        <f>IF(ISNUMBER('Model_ of_individuals'!W548), 'Model_ of_individuals'!W548*'Model_ of_individuals'!$K548,"")</f>
        <v/>
      </c>
      <c r="X528" s="492" t="str">
        <f>IF(ISNUMBER('Model_ of_individuals'!X548), 'Model_ of_individuals'!X548*'Model_ of_individuals'!$K548,"")</f>
        <v/>
      </c>
      <c r="Y528" s="493"/>
      <c r="Z528" s="493"/>
      <c r="AA528" s="493"/>
      <c r="AB528" s="493"/>
      <c r="AC528" s="493"/>
      <c r="AD528" s="493"/>
      <c r="AE528" s="493"/>
      <c r="AF528" s="493"/>
      <c r="AG528" s="493"/>
      <c r="AH528" s="493"/>
      <c r="AI528" s="493"/>
      <c r="AJ528" s="493"/>
      <c r="AK528" s="493"/>
      <c r="AL528" s="493"/>
      <c r="AM528" s="493"/>
      <c r="AN528" s="493"/>
      <c r="AO528" s="493"/>
      <c r="AP528" s="493"/>
      <c r="AQ528" s="493"/>
    </row>
    <row r="529" spans="1:43" x14ac:dyDescent="0.25">
      <c r="A529" s="518"/>
      <c r="B529" s="504"/>
      <c r="C529" s="376" t="str">
        <f>IF(AND(ISNUMBER(B517), OR('Cost Inputs'!$H$140&lt;&gt;"", 'Cost Inputs'!$I$140&lt;&gt;"", 'Cost Inputs'!$J$140&lt;&gt;"")), _5_2_1, "")</f>
        <v/>
      </c>
      <c r="D529" s="17" t="str">
        <f>IF(AND(C529&lt;&gt;"", 'Cost Inputs'!$G$140&lt;&gt;""), 'Cost Inputs'!$G$140, "")</f>
        <v/>
      </c>
      <c r="E529" s="17" t="str">
        <f>IF(AND(C529&lt;&gt;"", 'Cost Inputs'!$H$140&lt;&gt;""), 'Cost Inputs'!$H$140, "")</f>
        <v/>
      </c>
      <c r="F529" s="493" t="str">
        <f>IF(AND(C529&lt;&gt;"", 'Cost Inputs'!$I$140&lt;&gt;""), 'Cost Inputs'!$I$140, "")</f>
        <v/>
      </c>
      <c r="G529" s="105" t="str">
        <f t="shared" si="45"/>
        <v/>
      </c>
      <c r="H529" s="493" t="str">
        <f>IF(AND(C529&lt;&gt;"", 'Cost Inputs'!$J$140&lt;&gt;""), 'Cost Inputs'!$J$140, "")</f>
        <v/>
      </c>
      <c r="I529" s="105" t="str">
        <f>IF($C529&lt;&gt;"",IF(AND($E529&lt;&gt;"",H529&lt;&gt;""), H529/$E529, 0),"")</f>
        <v/>
      </c>
      <c r="J529" s="493" t="str">
        <f>IF(AND(C529&lt;&gt;"",('Cost Inputs'!$I$140+'Cost Inputs'!$J$140+'Cost Inputs'!$K$140)&gt;0), 'Cost Inputs'!$I$140+'Cost Inputs'!$J$140+'Cost Inputs'!$K$140, "")</f>
        <v/>
      </c>
      <c r="K529" s="105" t="str">
        <f>IF($C529&lt;&gt;"",IF(AND($E529&lt;&gt;"",J529&lt;&gt;""), J529/$E529, 0),"")</f>
        <v/>
      </c>
      <c r="M529" s="106"/>
      <c r="O529" s="493" t="str">
        <f>IF(ISNUMBER('Model_ of_individuals'!O549), 'Model_ of_individuals'!O549*'Model_ of_individuals'!$K549,"")</f>
        <v/>
      </c>
      <c r="P529" s="493" t="str">
        <f>IF(ISNUMBER('Model_ of_individuals'!P549), 'Model_ of_individuals'!P549*'Model_ of_individuals'!$K549,"")</f>
        <v/>
      </c>
      <c r="Q529" s="493" t="str">
        <f>IF(ISNUMBER('Model_ of_individuals'!Q549), 'Model_ of_individuals'!Q549*'Model_ of_individuals'!$K549,"")</f>
        <v/>
      </c>
      <c r="R529" s="493" t="str">
        <f>IF(ISNUMBER('Model_ of_individuals'!R549), 'Model_ of_individuals'!R549*'Model_ of_individuals'!$K549,"")</f>
        <v/>
      </c>
      <c r="S529" s="493" t="str">
        <f>IF(ISNUMBER('Model_ of_individuals'!S549), 'Model_ of_individuals'!S549*'Model_ of_individuals'!$K549,"")</f>
        <v/>
      </c>
      <c r="T529" s="493" t="str">
        <f>IF(ISNUMBER('Model_ of_individuals'!T549), 'Model_ of_individuals'!T549*'Model_ of_individuals'!$K549,"")</f>
        <v/>
      </c>
      <c r="U529" s="493" t="str">
        <f>IF(ISNUMBER('Model_ of_individuals'!U549), 'Model_ of_individuals'!U549*'Model_ of_individuals'!$K549,"")</f>
        <v/>
      </c>
      <c r="V529" s="493" t="str">
        <f>IF(ISNUMBER('Model_ of_individuals'!V549), 'Model_ of_individuals'!V549*'Model_ of_individuals'!$K549,"")</f>
        <v/>
      </c>
      <c r="W529" s="493" t="str">
        <f>IF(ISNUMBER('Model_ of_individuals'!W549), 'Model_ of_individuals'!W549*'Model_ of_individuals'!$K549,"")</f>
        <v/>
      </c>
      <c r="X529" s="493" t="str">
        <f>IF(ISNUMBER('Model_ of_individuals'!X549), 'Model_ of_individuals'!X549*'Model_ of_individuals'!$K549,"")</f>
        <v/>
      </c>
      <c r="Y529" s="493"/>
      <c r="Z529" s="493"/>
      <c r="AA529" s="493"/>
      <c r="AB529" s="493"/>
      <c r="AC529" s="493"/>
      <c r="AD529" s="493"/>
      <c r="AE529" s="493"/>
      <c r="AF529" s="493"/>
      <c r="AG529" s="493"/>
      <c r="AH529" s="493"/>
      <c r="AI529" s="493"/>
      <c r="AJ529" s="493"/>
      <c r="AK529" s="493"/>
      <c r="AL529" s="493"/>
      <c r="AM529" s="493"/>
      <c r="AN529" s="493"/>
      <c r="AO529" s="493"/>
      <c r="AP529" s="493"/>
      <c r="AQ529" s="493"/>
    </row>
    <row r="530" spans="1:43" x14ac:dyDescent="0.25">
      <c r="A530" s="518"/>
      <c r="B530" s="504"/>
      <c r="C530" s="376" t="str">
        <f>IF(AND(ISNUMBER(B511), OR('Cost Inputs'!$H$85&lt;&gt;"", 'Cost Inputs'!$I$85&lt;&gt;"", 'Cost Inputs'!$J$85&lt;&gt;"")), _3_5_1, "")</f>
        <v/>
      </c>
      <c r="D530" s="17" t="str">
        <f>IF(AND(C529&lt;&gt;"", 'Cost Inputs'!$G$141&lt;&gt;""), 'Cost Inputs'!$G$141, "")</f>
        <v/>
      </c>
      <c r="E530" s="17" t="str">
        <f>IF(AND(C529&lt;&gt;"", 'Cost Inputs'!$H$141&lt;&gt;""), 'Cost Inputs'!$H$141, "")</f>
        <v/>
      </c>
      <c r="F530" s="493"/>
      <c r="G530" s="105" t="str">
        <f t="shared" si="45"/>
        <v/>
      </c>
      <c r="H530" s="493"/>
      <c r="I530" s="105" t="str">
        <f>IF($C529&lt;&gt;"", IF(AND($E530&lt;&gt;"", H529&lt;&gt;""), H529/($E529*$E530), 0), "")</f>
        <v/>
      </c>
      <c r="J530" s="493" t="str">
        <f>IF(AND(C530&lt;&gt;"",('Cost Inputs'!$I$86+'Cost Inputs'!$J$86+'Cost Inputs'!$K$86)&gt;0), 'Cost Inputs'!$I$86+'Cost Inputs'!$J$86+'Cost Inputs'!$K$86, "")</f>
        <v/>
      </c>
      <c r="K530" s="105" t="str">
        <f>IF($C529&lt;&gt;"", IF(AND($E530&lt;&gt;"", J529&lt;&gt;""), J529/($E529*$E530), 0), "")</f>
        <v/>
      </c>
      <c r="M530" s="106"/>
      <c r="O530" s="493" t="str">
        <f>IF(ISNUMBER('Model_ of_individuals'!O550), 'Model_ of_individuals'!O550*'Model_ of_individuals'!$K550,"")</f>
        <v/>
      </c>
      <c r="P530" s="493" t="str">
        <f>IF(ISNUMBER('Model_ of_individuals'!P550), 'Model_ of_individuals'!P550*'Model_ of_individuals'!$K550,"")</f>
        <v/>
      </c>
      <c r="Q530" s="493" t="str">
        <f>IF(ISNUMBER('Model_ of_individuals'!Q550), 'Model_ of_individuals'!Q550*'Model_ of_individuals'!$K550,"")</f>
        <v/>
      </c>
      <c r="R530" s="493" t="str">
        <f>IF(ISNUMBER('Model_ of_individuals'!R550), 'Model_ of_individuals'!R550*'Model_ of_individuals'!$K550,"")</f>
        <v/>
      </c>
      <c r="S530" s="493" t="str">
        <f>IF(ISNUMBER('Model_ of_individuals'!S550), 'Model_ of_individuals'!S550*'Model_ of_individuals'!$K550,"")</f>
        <v/>
      </c>
      <c r="T530" s="493" t="str">
        <f>IF(ISNUMBER('Model_ of_individuals'!T550), 'Model_ of_individuals'!T550*'Model_ of_individuals'!$K550,"")</f>
        <v/>
      </c>
      <c r="U530" s="493" t="str">
        <f>IF(ISNUMBER('Model_ of_individuals'!U550), 'Model_ of_individuals'!U550*'Model_ of_individuals'!$K550,"")</f>
        <v/>
      </c>
      <c r="V530" s="493" t="str">
        <f>IF(ISNUMBER('Model_ of_individuals'!V550), 'Model_ of_individuals'!V550*'Model_ of_individuals'!$K550,"")</f>
        <v/>
      </c>
      <c r="W530" s="493" t="str">
        <f>IF(ISNUMBER('Model_ of_individuals'!W550), 'Model_ of_individuals'!W550*'Model_ of_individuals'!$K550,"")</f>
        <v/>
      </c>
      <c r="X530" s="493" t="str">
        <f>IF(ISNUMBER('Model_ of_individuals'!X550), 'Model_ of_individuals'!X550*'Model_ of_individuals'!$K550,"")</f>
        <v/>
      </c>
      <c r="Y530" s="493"/>
      <c r="Z530" s="493"/>
      <c r="AA530" s="493"/>
      <c r="AB530" s="493"/>
      <c r="AC530" s="493"/>
      <c r="AD530" s="493"/>
      <c r="AE530" s="493"/>
      <c r="AF530" s="493"/>
      <c r="AG530" s="493"/>
      <c r="AH530" s="493"/>
      <c r="AI530" s="493"/>
      <c r="AJ530" s="493"/>
      <c r="AK530" s="493"/>
      <c r="AL530" s="493"/>
      <c r="AM530" s="493"/>
      <c r="AN530" s="493"/>
      <c r="AO530" s="493"/>
      <c r="AP530" s="493"/>
      <c r="AQ530" s="493"/>
    </row>
    <row r="531" spans="1:43" x14ac:dyDescent="0.25">
      <c r="A531" s="518"/>
      <c r="B531" s="504"/>
      <c r="C531" s="523" t="str">
        <f>IF(AND(ISNUMBER(B517), OR('Cost Inputs'!$H$142&lt;&gt;"", 'Cost Inputs'!$I$142&lt;&gt;"", 'Cost Inputs'!$J$142&lt;&gt;"")), _5_2_2, "")</f>
        <v/>
      </c>
      <c r="D531" s="93" t="str">
        <f>IF(AND(C531&lt;&gt;"", 'Cost Inputs'!$G$142&lt;&gt;""), 'Cost Inputs'!$G$142, "")</f>
        <v/>
      </c>
      <c r="E531" s="93" t="str">
        <f>IF(AND(C531&lt;&gt;"", 'Cost Inputs'!$H$142&lt;&gt;""), 'Cost Inputs'!$H$142, "")</f>
        <v/>
      </c>
      <c r="F531" s="494" t="str">
        <f>IF(AND(C531&lt;&gt;"", 'Cost Inputs'!$I$142&lt;&gt;""), 'Cost Inputs'!$I$142, "")</f>
        <v/>
      </c>
      <c r="G531" s="108" t="str">
        <f t="shared" si="45"/>
        <v/>
      </c>
      <c r="H531" s="494" t="str">
        <f>IF(AND(C531&lt;&gt;"", 'Cost Inputs'!$J$142&lt;&gt;""), 'Cost Inputs'!$J$142, "")</f>
        <v/>
      </c>
      <c r="I531" s="108" t="str">
        <f>IF($C531&lt;&gt;"",IF(AND($E531&lt;&gt;"",H531&lt;&gt;""), H531/$E531, 0),"")</f>
        <v/>
      </c>
      <c r="J531" s="494" t="str">
        <f>IF(AND(C531&lt;&gt;"",('Cost Inputs'!$I$142+'Cost Inputs'!$J$142+'Cost Inputs'!$K$142)&gt;0), 'Cost Inputs'!$I$142+'Cost Inputs'!$J$142+'Cost Inputs'!$K$142, "")</f>
        <v/>
      </c>
      <c r="K531" s="108" t="str">
        <f>IF($C531&lt;&gt;"",IF(AND($E531&lt;&gt;"",J531&lt;&gt;""), J531/$E531, 0),"")</f>
        <v/>
      </c>
      <c r="L531" s="93"/>
      <c r="M531" s="109"/>
      <c r="O531" s="494" t="str">
        <f>IF(ISNUMBER('Model_ of_individuals'!O551), 'Model_ of_individuals'!O551*'Model_ of_individuals'!$K551,"")</f>
        <v/>
      </c>
      <c r="P531" s="494" t="str">
        <f>IF(ISNUMBER('Model_ of_individuals'!P551), 'Model_ of_individuals'!P551*'Model_ of_individuals'!$K551,"")</f>
        <v/>
      </c>
      <c r="Q531" s="494" t="str">
        <f>IF(ISNUMBER('Model_ of_individuals'!Q551), 'Model_ of_individuals'!Q551*'Model_ of_individuals'!$K551,"")</f>
        <v/>
      </c>
      <c r="R531" s="494" t="str">
        <f>IF(ISNUMBER('Model_ of_individuals'!R551), 'Model_ of_individuals'!R551*'Model_ of_individuals'!$K551,"")</f>
        <v/>
      </c>
      <c r="S531" s="494" t="str">
        <f>IF(ISNUMBER('Model_ of_individuals'!S551), 'Model_ of_individuals'!S551*'Model_ of_individuals'!$K551,"")</f>
        <v/>
      </c>
      <c r="T531" s="494" t="str">
        <f>IF(ISNUMBER('Model_ of_individuals'!T551), 'Model_ of_individuals'!T551*'Model_ of_individuals'!$K551,"")</f>
        <v/>
      </c>
      <c r="U531" s="494" t="str">
        <f>IF(ISNUMBER('Model_ of_individuals'!U551), 'Model_ of_individuals'!U551*'Model_ of_individuals'!$K551,"")</f>
        <v/>
      </c>
      <c r="V531" s="494" t="str">
        <f>IF(ISNUMBER('Model_ of_individuals'!V551), 'Model_ of_individuals'!V551*'Model_ of_individuals'!$K551,"")</f>
        <v/>
      </c>
      <c r="W531" s="494" t="str">
        <f>IF(ISNUMBER('Model_ of_individuals'!W551), 'Model_ of_individuals'!W551*'Model_ of_individuals'!$K551,"")</f>
        <v/>
      </c>
      <c r="X531" s="494" t="str">
        <f>IF(ISNUMBER('Model_ of_individuals'!X551), 'Model_ of_individuals'!X551*'Model_ of_individuals'!$K551,"")</f>
        <v/>
      </c>
      <c r="Y531" s="493"/>
      <c r="Z531" s="493"/>
      <c r="AA531" s="493"/>
      <c r="AB531" s="493"/>
      <c r="AC531" s="493"/>
      <c r="AD531" s="493"/>
      <c r="AE531" s="493"/>
      <c r="AF531" s="493"/>
      <c r="AG531" s="493"/>
      <c r="AH531" s="493"/>
      <c r="AI531" s="493"/>
      <c r="AJ531" s="493"/>
      <c r="AK531" s="493"/>
      <c r="AL531" s="493"/>
      <c r="AM531" s="493"/>
      <c r="AN531" s="493"/>
      <c r="AO531" s="493"/>
      <c r="AP531" s="493"/>
      <c r="AQ531" s="493"/>
    </row>
    <row r="532" spans="1:43" x14ac:dyDescent="0.25">
      <c r="A532" s="518"/>
      <c r="B532" s="504"/>
      <c r="C532" s="523" t="str">
        <f>IF(AND(ISNUMBER(B513), OR('Cost Inputs'!$H$85&lt;&gt;"", 'Cost Inputs'!$I$85&lt;&gt;"", 'Cost Inputs'!$J$85&lt;&gt;"")), _3_5_1, "")</f>
        <v/>
      </c>
      <c r="D532" s="93" t="str">
        <f>IF(AND(C531&lt;&gt;"", 'Cost Inputs'!$G$143&lt;&gt;""), 'Cost Inputs'!$G$143, "")</f>
        <v/>
      </c>
      <c r="E532" s="93" t="str">
        <f>IF(AND(C531&lt;&gt;"", 'Cost Inputs'!$H$143&lt;&gt;""), 'Cost Inputs'!$H$143, "")</f>
        <v/>
      </c>
      <c r="F532" s="494"/>
      <c r="G532" s="108" t="str">
        <f t="shared" si="45"/>
        <v/>
      </c>
      <c r="H532" s="494"/>
      <c r="I532" s="108" t="str">
        <f>IF($C531&lt;&gt;"", IF(AND($E532&lt;&gt;"", H531&lt;&gt;""), H531/($E531*$E532), 0), "")</f>
        <v/>
      </c>
      <c r="J532" s="494" t="str">
        <f>IF(AND(C532&lt;&gt;"",('Cost Inputs'!$I$86+'Cost Inputs'!$J$86+'Cost Inputs'!$K$86)&gt;0), 'Cost Inputs'!$I$86+'Cost Inputs'!$J$86+'Cost Inputs'!$K$86, "")</f>
        <v/>
      </c>
      <c r="K532" s="108" t="str">
        <f>IF($C531&lt;&gt;"", IF(AND($E532&lt;&gt;"", J531&lt;&gt;""), J531/($E531*$E532), 0), "")</f>
        <v/>
      </c>
      <c r="L532" s="93"/>
      <c r="M532" s="109"/>
      <c r="O532" s="494" t="str">
        <f>IF(ISNUMBER('Model_ of_individuals'!O552), 'Model_ of_individuals'!O552*'Model_ of_individuals'!$K552,"")</f>
        <v/>
      </c>
      <c r="P532" s="494" t="str">
        <f>IF(ISNUMBER('Model_ of_individuals'!P552), 'Model_ of_individuals'!P552*'Model_ of_individuals'!$K552,"")</f>
        <v/>
      </c>
      <c r="Q532" s="494" t="str">
        <f>IF(ISNUMBER('Model_ of_individuals'!Q552), 'Model_ of_individuals'!Q552*'Model_ of_individuals'!$K552,"")</f>
        <v/>
      </c>
      <c r="R532" s="494" t="str">
        <f>IF(ISNUMBER('Model_ of_individuals'!R552), 'Model_ of_individuals'!R552*'Model_ of_individuals'!$K552,"")</f>
        <v/>
      </c>
      <c r="S532" s="494" t="str">
        <f>IF(ISNUMBER('Model_ of_individuals'!S552), 'Model_ of_individuals'!S552*'Model_ of_individuals'!$K552,"")</f>
        <v/>
      </c>
      <c r="T532" s="494" t="str">
        <f>IF(ISNUMBER('Model_ of_individuals'!T552), 'Model_ of_individuals'!T552*'Model_ of_individuals'!$K552,"")</f>
        <v/>
      </c>
      <c r="U532" s="494" t="str">
        <f>IF(ISNUMBER('Model_ of_individuals'!U552), 'Model_ of_individuals'!U552*'Model_ of_individuals'!$K552,"")</f>
        <v/>
      </c>
      <c r="V532" s="494" t="str">
        <f>IF(ISNUMBER('Model_ of_individuals'!V552), 'Model_ of_individuals'!V552*'Model_ of_individuals'!$K552,"")</f>
        <v/>
      </c>
      <c r="W532" s="494" t="str">
        <f>IF(ISNUMBER('Model_ of_individuals'!W552), 'Model_ of_individuals'!W552*'Model_ of_individuals'!$K552,"")</f>
        <v/>
      </c>
      <c r="X532" s="494" t="str">
        <f>IF(ISNUMBER('Model_ of_individuals'!X552), 'Model_ of_individuals'!X552*'Model_ of_individuals'!$K552,"")</f>
        <v/>
      </c>
      <c r="Y532" s="493"/>
      <c r="Z532" s="493"/>
      <c r="AA532" s="493"/>
      <c r="AB532" s="493"/>
      <c r="AC532" s="493"/>
      <c r="AD532" s="493"/>
      <c r="AE532" s="493"/>
      <c r="AF532" s="493"/>
      <c r="AG532" s="493"/>
      <c r="AH532" s="493"/>
      <c r="AI532" s="493"/>
      <c r="AJ532" s="493"/>
      <c r="AK532" s="493"/>
      <c r="AL532" s="493"/>
      <c r="AM532" s="493"/>
      <c r="AN532" s="493"/>
      <c r="AO532" s="493"/>
      <c r="AP532" s="493"/>
      <c r="AQ532" s="493"/>
    </row>
    <row r="533" spans="1:43" x14ac:dyDescent="0.25">
      <c r="A533" s="518"/>
      <c r="B533" s="504"/>
      <c r="C533" s="104" t="str">
        <f>IF(AND(ISNUMBER(B517), OR('Cost Inputs'!$H$144&lt;&gt;"", 'Cost Inputs'!$I$144&lt;&gt;"", 'Cost Inputs'!$J$144&lt;&gt;"")), _5_2_3, "")</f>
        <v/>
      </c>
      <c r="D533" s="17" t="str">
        <f>IF(AND(C533&lt;&gt;"", 'Cost Inputs'!$G$144&lt;&gt;""), 'Cost Inputs'!$G$144, "")</f>
        <v/>
      </c>
      <c r="E533" s="17" t="str">
        <f>IF(AND(C533&lt;&gt;"", 'Cost Inputs'!$H$144&lt;&gt;""), 'Cost Inputs'!$H$144, "")</f>
        <v/>
      </c>
      <c r="F533" s="17" t="str">
        <f>IF(AND(C533&lt;&gt;"", 'Cost Inputs'!$I$144&lt;&gt;""), 'Cost Inputs'!$I$144, "")</f>
        <v/>
      </c>
      <c r="G533" s="105" t="str">
        <f t="shared" si="45"/>
        <v/>
      </c>
      <c r="H533" s="17" t="str">
        <f>IF(AND(C533&lt;&gt;"", 'Cost Inputs'!$J$144&lt;&gt;""), 'Cost Inputs'!$J$144, "")</f>
        <v/>
      </c>
      <c r="I533" s="17" t="str">
        <f>IF($C533&lt;&gt;"", IF(AND($E533&lt;&gt;"", H533&lt;&gt;""), H533/$E533, 0),"")</f>
        <v/>
      </c>
      <c r="J533" s="17" t="str">
        <f>IF(AND(C533&lt;&gt;"",('Cost Inputs'!$I$144+'Cost Inputs'!$J$144+'Cost Inputs'!$K$144)&gt;0), 'Cost Inputs'!$I$144+'Cost Inputs'!$J$144+'Cost Inputs'!$K$144, "")</f>
        <v/>
      </c>
      <c r="K533" s="17" t="str">
        <f>IF($C533&lt;&gt;"", IF(AND($E533&lt;&gt;"", J533&lt;&gt;""), J533/$E533, 0),"")</f>
        <v/>
      </c>
      <c r="M533" s="106"/>
      <c r="O533" s="17" t="str">
        <f>IF(ISNUMBER('Model_ of_individuals'!O553), 'Model_ of_individuals'!O553*'Model_ of_individuals'!$K553,"")</f>
        <v/>
      </c>
      <c r="P533" s="17" t="str">
        <f>IF(ISNUMBER('Model_ of_individuals'!P553), 'Model_ of_individuals'!P553*'Model_ of_individuals'!$K553,"")</f>
        <v/>
      </c>
      <c r="Q533" s="17" t="str">
        <f>IF(ISNUMBER('Model_ of_individuals'!Q553), 'Model_ of_individuals'!Q553*'Model_ of_individuals'!$K553,"")</f>
        <v/>
      </c>
      <c r="R533" s="17" t="str">
        <f>IF(ISNUMBER('Model_ of_individuals'!R553), 'Model_ of_individuals'!R553*'Model_ of_individuals'!$K553,"")</f>
        <v/>
      </c>
      <c r="S533" s="17" t="str">
        <f>IF(ISNUMBER('Model_ of_individuals'!S553), 'Model_ of_individuals'!S553*'Model_ of_individuals'!$K553,"")</f>
        <v/>
      </c>
      <c r="T533" s="17" t="str">
        <f>IF(ISNUMBER('Model_ of_individuals'!T553), 'Model_ of_individuals'!T553*'Model_ of_individuals'!$K553,"")</f>
        <v/>
      </c>
      <c r="U533" s="17" t="str">
        <f>IF(ISNUMBER('Model_ of_individuals'!U553), 'Model_ of_individuals'!U553*'Model_ of_individuals'!$K553,"")</f>
        <v/>
      </c>
      <c r="V533" s="17" t="str">
        <f>IF(ISNUMBER('Model_ of_individuals'!V553), 'Model_ of_individuals'!V553*'Model_ of_individuals'!$K553,"")</f>
        <v/>
      </c>
      <c r="W533" s="17" t="str">
        <f>IF(ISNUMBER('Model_ of_individuals'!W553), 'Model_ of_individuals'!W553*'Model_ of_individuals'!$K553,"")</f>
        <v/>
      </c>
      <c r="X533" s="17" t="str">
        <f>IF(ISNUMBER('Model_ of_individuals'!X553), 'Model_ of_individuals'!X553*'Model_ of_individuals'!$K553,"")</f>
        <v/>
      </c>
      <c r="Y533" s="17"/>
      <c r="Z533" s="17"/>
      <c r="AA533" s="17"/>
      <c r="AB533" s="17"/>
      <c r="AC533" s="17"/>
      <c r="AD533" s="17"/>
      <c r="AE533" s="17"/>
      <c r="AF533" s="17"/>
      <c r="AG533" s="17"/>
      <c r="AH533" s="17"/>
      <c r="AI533" s="17"/>
      <c r="AJ533" s="17"/>
      <c r="AK533" s="17"/>
      <c r="AL533" s="17"/>
      <c r="AM533" s="17"/>
      <c r="AN533" s="17"/>
      <c r="AO533" s="17"/>
      <c r="AP533" s="17"/>
      <c r="AQ533" s="17"/>
    </row>
    <row r="534" spans="1:43" x14ac:dyDescent="0.25">
      <c r="A534" s="518"/>
      <c r="B534" s="504"/>
      <c r="C534" s="107" t="str">
        <f>IF(AND(ISNUMBER(B517), OR('Cost Inputs'!$H$145&lt;&gt;"", 'Cost Inputs'!$I$145&lt;&gt;"", 'Cost Inputs'!$J$145&lt;&gt;"")), _5_2_4, "")</f>
        <v/>
      </c>
      <c r="D534" s="93" t="str">
        <f>IF(AND(C534&lt;&gt;"", 'Cost Inputs'!$G$145&lt;&gt;""), 'Cost Inputs'!$G$145, "")</f>
        <v/>
      </c>
      <c r="E534" s="93" t="str">
        <f>IF(AND(C534&lt;&gt;"", 'Cost Inputs'!$H$145&lt;&gt;""), 'Cost Inputs'!$H$145, "")</f>
        <v/>
      </c>
      <c r="F534" s="93" t="str">
        <f>IF(AND(C534&lt;&gt;"", 'Cost Inputs'!$I$145&lt;&gt;""), 'Cost Inputs'!$I$145, "")</f>
        <v/>
      </c>
      <c r="G534" s="108" t="str">
        <f t="shared" si="45"/>
        <v/>
      </c>
      <c r="H534" s="93" t="str">
        <f>IF(AND(C534&lt;&gt;"", 'Cost Inputs'!$J$145&lt;&gt;""), 'Cost Inputs'!$J$145, "")</f>
        <v/>
      </c>
      <c r="I534" s="93" t="str">
        <f>IF($C534&lt;&gt;"", IF(AND($E534&lt;&gt;"", H534&lt;&gt;""), H534/$E534, 0),"")</f>
        <v/>
      </c>
      <c r="J534" s="93" t="str">
        <f>IF(AND(C534&lt;&gt;"",('Cost Inputs'!$I$145+'Cost Inputs'!$J$145+'Cost Inputs'!$K$145)&gt;0), 'Cost Inputs'!$I$145+'Cost Inputs'!$J$145+'Cost Inputs'!$K$145, "")</f>
        <v/>
      </c>
      <c r="K534" s="93" t="str">
        <f>IF($C534&lt;&gt;"", IF(AND($E534&lt;&gt;"", J534&lt;&gt;""), J534/$E534, 0),"")</f>
        <v/>
      </c>
      <c r="L534" s="93"/>
      <c r="M534" s="109"/>
      <c r="O534" s="93" t="str">
        <f>IF(ISNUMBER('Model_ of_individuals'!O554), 'Model_ of_individuals'!O554*'Model_ of_individuals'!$K554,"")</f>
        <v/>
      </c>
      <c r="P534" s="93" t="str">
        <f>IF(ISNUMBER('Model_ of_individuals'!P554), 'Model_ of_individuals'!P554*'Model_ of_individuals'!$K554,"")</f>
        <v/>
      </c>
      <c r="Q534" s="93" t="str">
        <f>IF(ISNUMBER('Model_ of_individuals'!Q554), 'Model_ of_individuals'!Q554*'Model_ of_individuals'!$K554,"")</f>
        <v/>
      </c>
      <c r="R534" s="93" t="str">
        <f>IF(ISNUMBER('Model_ of_individuals'!R554), 'Model_ of_individuals'!R554*'Model_ of_individuals'!$K554,"")</f>
        <v/>
      </c>
      <c r="S534" s="93" t="str">
        <f>IF(ISNUMBER('Model_ of_individuals'!S554), 'Model_ of_individuals'!S554*'Model_ of_individuals'!$K554,"")</f>
        <v/>
      </c>
      <c r="T534" s="93" t="str">
        <f>IF(ISNUMBER('Model_ of_individuals'!T554), 'Model_ of_individuals'!T554*'Model_ of_individuals'!$K554,"")</f>
        <v/>
      </c>
      <c r="U534" s="93" t="str">
        <f>IF(ISNUMBER('Model_ of_individuals'!U554), 'Model_ of_individuals'!U554*'Model_ of_individuals'!$K554,"")</f>
        <v/>
      </c>
      <c r="V534" s="93" t="str">
        <f>IF(ISNUMBER('Model_ of_individuals'!V554), 'Model_ of_individuals'!V554*'Model_ of_individuals'!$K554,"")</f>
        <v/>
      </c>
      <c r="W534" s="93" t="str">
        <f>IF(ISNUMBER('Model_ of_individuals'!W554), 'Model_ of_individuals'!W554*'Model_ of_individuals'!$K554,"")</f>
        <v/>
      </c>
      <c r="X534" s="93" t="str">
        <f>IF(ISNUMBER('Model_ of_individuals'!X554), 'Model_ of_individuals'!X554*'Model_ of_individuals'!$K554,"")</f>
        <v/>
      </c>
      <c r="Y534" s="17"/>
      <c r="Z534" s="17"/>
      <c r="AA534" s="17"/>
      <c r="AB534" s="17"/>
      <c r="AC534" s="17"/>
      <c r="AD534" s="17"/>
      <c r="AE534" s="17"/>
      <c r="AF534" s="17"/>
      <c r="AG534" s="17"/>
      <c r="AH534" s="17"/>
      <c r="AI534" s="17"/>
      <c r="AJ534" s="17"/>
      <c r="AK534" s="17"/>
      <c r="AL534" s="17"/>
      <c r="AM534" s="17"/>
      <c r="AN534" s="17"/>
      <c r="AO534" s="17"/>
      <c r="AP534" s="17"/>
      <c r="AQ534" s="17"/>
    </row>
    <row r="535" spans="1:43" x14ac:dyDescent="0.25">
      <c r="A535" s="518"/>
      <c r="B535" s="504"/>
      <c r="C535" s="521" t="str">
        <f>IF(ISNUMBER(B517), _5_3_0, "")</f>
        <v/>
      </c>
      <c r="D535" s="94" t="str">
        <f>IF(AND(C535&lt;&gt;"", 'Cost Inputs'!$G$146&lt;&gt;""), 'Cost Inputs'!$G$146, "")</f>
        <v/>
      </c>
      <c r="E535" s="94" t="str">
        <f>IF(AND(C535&lt;&gt;"", 'Cost Inputs'!$H$146&lt;&gt;""), 'Cost Inputs'!$H$146, "")</f>
        <v/>
      </c>
      <c r="F535" s="492" t="str">
        <f>IF(AND(C535&lt;&gt;"", 'Cost Inputs'!$I$146&lt;&gt;""), 'Cost Inputs'!$I$146, "")</f>
        <v/>
      </c>
      <c r="G535" s="102" t="str">
        <f t="shared" si="45"/>
        <v/>
      </c>
      <c r="H535" s="492" t="str">
        <f>IF(AND(C535&lt;&gt;"", 'Cost Inputs'!$J$146&lt;&gt;""), 'Cost Inputs'!$J$146, "")</f>
        <v/>
      </c>
      <c r="I535" s="102" t="str">
        <f>IF($C535&lt;&gt;"",IF(AND($E535&lt;&gt;"",H535&lt;&gt;""), H535/$E535, 0),"")</f>
        <v/>
      </c>
      <c r="J535" s="492" t="str">
        <f>IF(AND(C535&lt;&gt;"",('Cost Inputs'!$I$146+'Cost Inputs'!$J$146+'Cost Inputs'!$K$146)&gt;0), 'Cost Inputs'!$I$146+'Cost Inputs'!$J$146+'Cost Inputs'!$K$146, "")</f>
        <v/>
      </c>
      <c r="K535" s="102" t="str">
        <f>IF($C535&lt;&gt;"",IF(AND($E535&lt;&gt;"",J535&lt;&gt;""), J535/$E535, 0),"")</f>
        <v/>
      </c>
      <c r="L535" s="94"/>
      <c r="M535" s="103"/>
      <c r="O535" s="492" t="str">
        <f>IF(ISNUMBER('Model_ of_individuals'!O555), 'Model_ of_individuals'!O555*'Model_ of_individuals'!$K555,"")</f>
        <v/>
      </c>
      <c r="P535" s="492" t="str">
        <f>IF(ISNUMBER('Model_ of_individuals'!P555), 'Model_ of_individuals'!P555*'Model_ of_individuals'!$K555,"")</f>
        <v/>
      </c>
      <c r="Q535" s="492" t="str">
        <f>IF(ISNUMBER('Model_ of_individuals'!Q555), 'Model_ of_individuals'!Q555*'Model_ of_individuals'!$K555,"")</f>
        <v/>
      </c>
      <c r="R535" s="492" t="str">
        <f>IF(ISNUMBER('Model_ of_individuals'!R555), 'Model_ of_individuals'!R555*'Model_ of_individuals'!$K555,"")</f>
        <v/>
      </c>
      <c r="S535" s="492" t="str">
        <f>IF(ISNUMBER('Model_ of_individuals'!S555), 'Model_ of_individuals'!S555*'Model_ of_individuals'!$K555,"")</f>
        <v/>
      </c>
      <c r="T535" s="492" t="str">
        <f>IF(ISNUMBER('Model_ of_individuals'!T555), 'Model_ of_individuals'!T555*'Model_ of_individuals'!$K555,"")</f>
        <v/>
      </c>
      <c r="U535" s="492" t="str">
        <f>IF(ISNUMBER('Model_ of_individuals'!U555), 'Model_ of_individuals'!U555*'Model_ of_individuals'!$K555,"")</f>
        <v/>
      </c>
      <c r="V535" s="492" t="str">
        <f>IF(ISNUMBER('Model_ of_individuals'!V555), 'Model_ of_individuals'!V555*'Model_ of_individuals'!$K555,"")</f>
        <v/>
      </c>
      <c r="W535" s="492" t="str">
        <f>IF(ISNUMBER('Model_ of_individuals'!W555), 'Model_ of_individuals'!W555*'Model_ of_individuals'!$K555,"")</f>
        <v/>
      </c>
      <c r="X535" s="492" t="str">
        <f>IF(ISNUMBER('Model_ of_individuals'!X555), 'Model_ of_individuals'!X555*'Model_ of_individuals'!$K555,"")</f>
        <v/>
      </c>
      <c r="Y535" s="493"/>
      <c r="Z535" s="493"/>
      <c r="AA535" s="493"/>
      <c r="AB535" s="493"/>
      <c r="AC535" s="493"/>
      <c r="AD535" s="493"/>
      <c r="AE535" s="493"/>
      <c r="AF535" s="493"/>
      <c r="AG535" s="493"/>
      <c r="AH535" s="493"/>
      <c r="AI535" s="493"/>
      <c r="AJ535" s="493"/>
      <c r="AK535" s="493"/>
      <c r="AL535" s="493"/>
      <c r="AM535" s="493"/>
      <c r="AN535" s="493"/>
      <c r="AO535" s="493"/>
      <c r="AP535" s="493"/>
      <c r="AQ535" s="493"/>
    </row>
    <row r="536" spans="1:43" x14ac:dyDescent="0.25">
      <c r="A536" s="518"/>
      <c r="B536" s="504"/>
      <c r="C536" s="521"/>
      <c r="D536" s="94" t="str">
        <f>IF(AND(C535&lt;&gt;"", 'Cost Inputs'!$G$147&lt;&gt;""), 'Cost Inputs'!$G$147, "")</f>
        <v/>
      </c>
      <c r="E536" s="94" t="str">
        <f>IF(AND(C535&lt;&gt;"", 'Cost Inputs'!$H$147&lt;&gt;""), 'Cost Inputs'!$H$147, "")</f>
        <v/>
      </c>
      <c r="F536" s="492"/>
      <c r="G536" s="102" t="str">
        <f t="shared" si="45"/>
        <v/>
      </c>
      <c r="H536" s="492"/>
      <c r="I536" s="102" t="str">
        <f>IF($C535&lt;&gt;"", IF(AND($E536&lt;&gt;"", H535&lt;&gt;""), H535/($E535*$E536), 0), "")</f>
        <v/>
      </c>
      <c r="J536" s="492" t="str">
        <f>IF(AND(C536&lt;&gt;"",('Cost Inputs'!$I$86+'Cost Inputs'!$J$86+'Cost Inputs'!$K$86)&gt;0), 'Cost Inputs'!$I$86+'Cost Inputs'!$J$86+'Cost Inputs'!$K$86, "")</f>
        <v/>
      </c>
      <c r="K536" s="102" t="str">
        <f>IF($C535&lt;&gt;"", IF(AND($E536&lt;&gt;"", J535&lt;&gt;""), J535/($E535*$E536), 0), "")</f>
        <v/>
      </c>
      <c r="L536" s="94"/>
      <c r="M536" s="103"/>
      <c r="O536" s="492" t="str">
        <f>IF(ISNUMBER('Model_ of_individuals'!O556), 'Model_ of_individuals'!O556*'Model_ of_individuals'!$K556,"")</f>
        <v/>
      </c>
      <c r="P536" s="492" t="str">
        <f>IF(ISNUMBER('Model_ of_individuals'!P556), 'Model_ of_individuals'!P556*'Model_ of_individuals'!$K556,"")</f>
        <v/>
      </c>
      <c r="Q536" s="492" t="str">
        <f>IF(ISNUMBER('Model_ of_individuals'!Q556), 'Model_ of_individuals'!Q556*'Model_ of_individuals'!$K556,"")</f>
        <v/>
      </c>
      <c r="R536" s="492" t="str">
        <f>IF(ISNUMBER('Model_ of_individuals'!R556), 'Model_ of_individuals'!R556*'Model_ of_individuals'!$K556,"")</f>
        <v/>
      </c>
      <c r="S536" s="492" t="str">
        <f>IF(ISNUMBER('Model_ of_individuals'!S556), 'Model_ of_individuals'!S556*'Model_ of_individuals'!$K556,"")</f>
        <v/>
      </c>
      <c r="T536" s="492" t="str">
        <f>IF(ISNUMBER('Model_ of_individuals'!T556), 'Model_ of_individuals'!T556*'Model_ of_individuals'!$K556,"")</f>
        <v/>
      </c>
      <c r="U536" s="492" t="str">
        <f>IF(ISNUMBER('Model_ of_individuals'!U556), 'Model_ of_individuals'!U556*'Model_ of_individuals'!$K556,"")</f>
        <v/>
      </c>
      <c r="V536" s="492" t="str">
        <f>IF(ISNUMBER('Model_ of_individuals'!V556), 'Model_ of_individuals'!V556*'Model_ of_individuals'!$K556,"")</f>
        <v/>
      </c>
      <c r="W536" s="492" t="str">
        <f>IF(ISNUMBER('Model_ of_individuals'!W556), 'Model_ of_individuals'!W556*'Model_ of_individuals'!$K556,"")</f>
        <v/>
      </c>
      <c r="X536" s="492" t="str">
        <f>IF(ISNUMBER('Model_ of_individuals'!X556), 'Model_ of_individuals'!X556*'Model_ of_individuals'!$K556,"")</f>
        <v/>
      </c>
      <c r="Y536" s="493"/>
      <c r="Z536" s="493"/>
      <c r="AA536" s="493"/>
      <c r="AB536" s="493"/>
      <c r="AC536" s="493"/>
      <c r="AD536" s="493"/>
      <c r="AE536" s="493"/>
      <c r="AF536" s="493"/>
      <c r="AG536" s="493"/>
      <c r="AH536" s="493"/>
      <c r="AI536" s="493"/>
      <c r="AJ536" s="493"/>
      <c r="AK536" s="493"/>
      <c r="AL536" s="493"/>
      <c r="AM536" s="493"/>
      <c r="AN536" s="493"/>
      <c r="AO536" s="493"/>
      <c r="AP536" s="493"/>
      <c r="AQ536" s="493"/>
    </row>
    <row r="537" spans="1:43" x14ac:dyDescent="0.25">
      <c r="A537" s="518"/>
      <c r="B537" s="504"/>
      <c r="C537" s="104" t="str">
        <f>IF(AND(ISNUMBER(B517), OR('Cost Inputs'!$H$148&lt;&gt;"", 'Cost Inputs'!$I$148&lt;&gt;"", 'Cost Inputs'!$J$148&lt;&gt;"")), _5_3_1, "")</f>
        <v/>
      </c>
      <c r="D537" s="17" t="str">
        <f>IF(AND(C537&lt;&gt;"", 'Cost Inputs'!$G$148&lt;&gt;""), 'Cost Inputs'!$G$148, "")</f>
        <v/>
      </c>
      <c r="E537" s="17" t="str">
        <f>IF(AND(C537&lt;&gt;"", 'Cost Inputs'!$H$148&lt;&gt;""), 'Cost Inputs'!$H$148, "")</f>
        <v/>
      </c>
      <c r="F537" s="17" t="str">
        <f>IF(AND(C537&lt;&gt;"", 'Cost Inputs'!$I$148&lt;&gt;""), 'Cost Inputs'!$I$148, "")</f>
        <v/>
      </c>
      <c r="G537" s="105" t="str">
        <f t="shared" si="45"/>
        <v/>
      </c>
      <c r="H537" s="17" t="str">
        <f>IF(AND(C537&lt;&gt;"", 'Cost Inputs'!$J$148&lt;&gt;""), 'Cost Inputs'!$J$148, "")</f>
        <v/>
      </c>
      <c r="I537" s="17" t="str">
        <f t="shared" ref="I537:I545" si="46">IF($C537&lt;&gt;"", IF(AND($E537&lt;&gt;"", H537&lt;&gt;""), H537/$E537, 0),"")</f>
        <v/>
      </c>
      <c r="J537" s="17" t="str">
        <f>IF(AND(C537&lt;&gt;"",('Cost Inputs'!$I$148+'Cost Inputs'!$J$148+'Cost Inputs'!$K$148)&gt;0), 'Cost Inputs'!$I$148+'Cost Inputs'!$J$148+'Cost Inputs'!$K$148, "")</f>
        <v/>
      </c>
      <c r="K537" s="17" t="str">
        <f t="shared" ref="K537:K545" si="47">IF($C537&lt;&gt;"", IF(AND($E537&lt;&gt;"", J537&lt;&gt;""), J537/$E537, 0),"")</f>
        <v/>
      </c>
      <c r="M537" s="106"/>
      <c r="O537" s="17" t="str">
        <f>IF(ISNUMBER('Model_ of_individuals'!O557), 'Model_ of_individuals'!O557*'Model_ of_individuals'!$K557,"")</f>
        <v/>
      </c>
      <c r="P537" s="17" t="str">
        <f>IF(ISNUMBER('Model_ of_individuals'!P557), 'Model_ of_individuals'!P557*'Model_ of_individuals'!$K557,"")</f>
        <v/>
      </c>
      <c r="Q537" s="17" t="str">
        <f>IF(ISNUMBER('Model_ of_individuals'!Q557), 'Model_ of_individuals'!Q557*'Model_ of_individuals'!$K557,"")</f>
        <v/>
      </c>
      <c r="R537" s="17" t="str">
        <f>IF(ISNUMBER('Model_ of_individuals'!R557), 'Model_ of_individuals'!R557*'Model_ of_individuals'!$K557,"")</f>
        <v/>
      </c>
      <c r="S537" s="17" t="str">
        <f>IF(ISNUMBER('Model_ of_individuals'!S557), 'Model_ of_individuals'!S557*'Model_ of_individuals'!$K557,"")</f>
        <v/>
      </c>
      <c r="T537" s="17" t="str">
        <f>IF(ISNUMBER('Model_ of_individuals'!T557), 'Model_ of_individuals'!T557*'Model_ of_individuals'!$K557,"")</f>
        <v/>
      </c>
      <c r="U537" s="17" t="str">
        <f>IF(ISNUMBER('Model_ of_individuals'!U557), 'Model_ of_individuals'!U557*'Model_ of_individuals'!$K557,"")</f>
        <v/>
      </c>
      <c r="V537" s="17" t="str">
        <f>IF(ISNUMBER('Model_ of_individuals'!V557), 'Model_ of_individuals'!V557*'Model_ of_individuals'!$K557,"")</f>
        <v/>
      </c>
      <c r="W537" s="17" t="str">
        <f>IF(ISNUMBER('Model_ of_individuals'!W557), 'Model_ of_individuals'!W557*'Model_ of_individuals'!$K557,"")</f>
        <v/>
      </c>
      <c r="X537" s="17" t="str">
        <f>IF(ISNUMBER('Model_ of_individuals'!X557), 'Model_ of_individuals'!X557*'Model_ of_individuals'!$K557,"")</f>
        <v/>
      </c>
      <c r="Y537" s="17"/>
      <c r="Z537" s="17"/>
      <c r="AA537" s="17"/>
      <c r="AB537" s="17"/>
      <c r="AC537" s="17"/>
      <c r="AD537" s="17"/>
      <c r="AE537" s="17"/>
      <c r="AF537" s="17"/>
      <c r="AG537" s="17"/>
      <c r="AH537" s="17"/>
      <c r="AI537" s="17"/>
      <c r="AJ537" s="17"/>
      <c r="AK537" s="17"/>
      <c r="AL537" s="17"/>
      <c r="AM537" s="17"/>
      <c r="AN537" s="17"/>
      <c r="AO537" s="17"/>
      <c r="AP537" s="17"/>
      <c r="AQ537" s="17"/>
    </row>
    <row r="538" spans="1:43" x14ac:dyDescent="0.25">
      <c r="A538" s="518"/>
      <c r="B538" s="504"/>
      <c r="C538" s="107" t="str">
        <f>IF(AND(ISNUMBER(B517), OR('Cost Inputs'!$H$149&lt;&gt;"", 'Cost Inputs'!$I$149&lt;&gt;"", 'Cost Inputs'!$J$149&lt;&gt;"")), _5_3_2, "")</f>
        <v/>
      </c>
      <c r="D538" s="93" t="str">
        <f>IF(AND(C538&lt;&gt;"", 'Cost Inputs'!$G$149&lt;&gt;""), 'Cost Inputs'!$G$149, "")</f>
        <v/>
      </c>
      <c r="E538" s="93" t="str">
        <f>IF(AND(C538&lt;&gt;"", 'Cost Inputs'!$H$149&lt;&gt;""), 'Cost Inputs'!$H$149, "")</f>
        <v/>
      </c>
      <c r="F538" s="93" t="str">
        <f>IF(AND(C538&lt;&gt;"", 'Cost Inputs'!$I$149&lt;&gt;""), 'Cost Inputs'!$I$149, "")</f>
        <v/>
      </c>
      <c r="G538" s="108" t="str">
        <f t="shared" si="45"/>
        <v/>
      </c>
      <c r="H538" s="93" t="str">
        <f>IF(AND(C538&lt;&gt;"", 'Cost Inputs'!$J$149&lt;&gt;""), 'Cost Inputs'!$J$149, "")</f>
        <v/>
      </c>
      <c r="I538" s="93" t="str">
        <f t="shared" si="46"/>
        <v/>
      </c>
      <c r="J538" s="93" t="str">
        <f>IF(AND(C538&lt;&gt;"",('Cost Inputs'!$I$149+'Cost Inputs'!$J$149+'Cost Inputs'!$K$149)&gt;0), 'Cost Inputs'!$I$149+'Cost Inputs'!$J$149+'Cost Inputs'!$K$149, "")</f>
        <v/>
      </c>
      <c r="K538" s="93" t="str">
        <f t="shared" si="47"/>
        <v/>
      </c>
      <c r="L538" s="93"/>
      <c r="M538" s="109"/>
      <c r="O538" s="93" t="str">
        <f>IF(ISNUMBER('Model_ of_individuals'!O558), 'Model_ of_individuals'!O558*'Model_ of_individuals'!$K558,"")</f>
        <v/>
      </c>
      <c r="P538" s="93" t="str">
        <f>IF(ISNUMBER('Model_ of_individuals'!P558), 'Model_ of_individuals'!P558*'Model_ of_individuals'!$K558,"")</f>
        <v/>
      </c>
      <c r="Q538" s="93" t="str">
        <f>IF(ISNUMBER('Model_ of_individuals'!Q558), 'Model_ of_individuals'!Q558*'Model_ of_individuals'!$K558,"")</f>
        <v/>
      </c>
      <c r="R538" s="93" t="str">
        <f>IF(ISNUMBER('Model_ of_individuals'!R558), 'Model_ of_individuals'!R558*'Model_ of_individuals'!$K558,"")</f>
        <v/>
      </c>
      <c r="S538" s="93" t="str">
        <f>IF(ISNUMBER('Model_ of_individuals'!S558), 'Model_ of_individuals'!S558*'Model_ of_individuals'!$K558,"")</f>
        <v/>
      </c>
      <c r="T538" s="93" t="str">
        <f>IF(ISNUMBER('Model_ of_individuals'!T558), 'Model_ of_individuals'!T558*'Model_ of_individuals'!$K558,"")</f>
        <v/>
      </c>
      <c r="U538" s="93" t="str">
        <f>IF(ISNUMBER('Model_ of_individuals'!U558), 'Model_ of_individuals'!U558*'Model_ of_individuals'!$K558,"")</f>
        <v/>
      </c>
      <c r="V538" s="93" t="str">
        <f>IF(ISNUMBER('Model_ of_individuals'!V558), 'Model_ of_individuals'!V558*'Model_ of_individuals'!$K558,"")</f>
        <v/>
      </c>
      <c r="W538" s="93" t="str">
        <f>IF(ISNUMBER('Model_ of_individuals'!W558), 'Model_ of_individuals'!W558*'Model_ of_individuals'!$K558,"")</f>
        <v/>
      </c>
      <c r="X538" s="93" t="str">
        <f>IF(ISNUMBER('Model_ of_individuals'!X558), 'Model_ of_individuals'!X558*'Model_ of_individuals'!$K558,"")</f>
        <v/>
      </c>
      <c r="Y538" s="17"/>
      <c r="Z538" s="17"/>
      <c r="AA538" s="17"/>
      <c r="AB538" s="17"/>
      <c r="AC538" s="17"/>
      <c r="AD538" s="17"/>
      <c r="AE538" s="17"/>
      <c r="AF538" s="17"/>
      <c r="AG538" s="17"/>
      <c r="AH538" s="17"/>
      <c r="AI538" s="17"/>
      <c r="AJ538" s="17"/>
      <c r="AK538" s="17"/>
      <c r="AL538" s="17"/>
      <c r="AM538" s="17"/>
      <c r="AN538" s="17"/>
      <c r="AO538" s="17"/>
      <c r="AP538" s="17"/>
      <c r="AQ538" s="17"/>
    </row>
    <row r="539" spans="1:43" x14ac:dyDescent="0.25">
      <c r="A539" s="518"/>
      <c r="B539" s="504"/>
      <c r="C539" s="110" t="str">
        <f>IF(ISNUMBER(B517), _5_4_0, "")</f>
        <v/>
      </c>
      <c r="D539" s="94" t="str">
        <f>IF(AND(C539&lt;&gt;"", 'Cost Inputs'!$G$150&lt;&gt;""), 'Cost Inputs'!$G$150, "")</f>
        <v/>
      </c>
      <c r="E539" s="94" t="str">
        <f>IF(AND(C539&lt;&gt;"", 'Cost Inputs'!$H$150&lt;&gt;""), 'Cost Inputs'!$H$150, "")</f>
        <v/>
      </c>
      <c r="F539" s="94" t="str">
        <f>IF(AND(C539&lt;&gt;"", 'Cost Inputs'!$I$150&lt;&gt;""), 'Cost Inputs'!$I$150, "")</f>
        <v/>
      </c>
      <c r="G539" s="102" t="str">
        <f t="shared" si="45"/>
        <v/>
      </c>
      <c r="H539" s="102" t="str">
        <f>IF(AND(C539&lt;&gt;"", 'Cost Inputs'!$J$150&lt;&gt;""), 'Cost Inputs'!$J$150, "")</f>
        <v/>
      </c>
      <c r="I539" s="102" t="str">
        <f t="shared" si="46"/>
        <v/>
      </c>
      <c r="J539" s="102" t="str">
        <f>IF(AND(C539&lt;&gt;"",('Cost Inputs'!$I$150+'Cost Inputs'!$J$150+'Cost Inputs'!$K$150)&gt;0), 'Cost Inputs'!$I$150+'Cost Inputs'!$J$150+'Cost Inputs'!$K$150, "")</f>
        <v/>
      </c>
      <c r="K539" s="102" t="str">
        <f t="shared" si="47"/>
        <v/>
      </c>
      <c r="L539" s="94"/>
      <c r="M539" s="103"/>
      <c r="O539" s="102" t="str">
        <f>IF(ISNUMBER('Model_ of_individuals'!O559), 'Model_ of_individuals'!O559*'Model_ of_individuals'!$K559,"")</f>
        <v/>
      </c>
      <c r="P539" s="102" t="str">
        <f>IF(ISNUMBER('Model_ of_individuals'!P559), 'Model_ of_individuals'!P559*'Model_ of_individuals'!$K559,"")</f>
        <v/>
      </c>
      <c r="Q539" s="102" t="str">
        <f>IF(ISNUMBER('Model_ of_individuals'!Q559), 'Model_ of_individuals'!Q559*'Model_ of_individuals'!$K559,"")</f>
        <v/>
      </c>
      <c r="R539" s="102" t="str">
        <f>IF(ISNUMBER('Model_ of_individuals'!R559), 'Model_ of_individuals'!R559*'Model_ of_individuals'!$K559,"")</f>
        <v/>
      </c>
      <c r="S539" s="102" t="str">
        <f>IF(ISNUMBER('Model_ of_individuals'!S559), 'Model_ of_individuals'!S559*'Model_ of_individuals'!$K559,"")</f>
        <v/>
      </c>
      <c r="T539" s="102" t="str">
        <f>IF(ISNUMBER('Model_ of_individuals'!T559), 'Model_ of_individuals'!T559*'Model_ of_individuals'!$K559,"")</f>
        <v/>
      </c>
      <c r="U539" s="102" t="str">
        <f>IF(ISNUMBER('Model_ of_individuals'!U559), 'Model_ of_individuals'!U559*'Model_ of_individuals'!$K559,"")</f>
        <v/>
      </c>
      <c r="V539" s="102" t="str">
        <f>IF(ISNUMBER('Model_ of_individuals'!V559), 'Model_ of_individuals'!V559*'Model_ of_individuals'!$K559,"")</f>
        <v/>
      </c>
      <c r="W539" s="102" t="str">
        <f>IF(ISNUMBER('Model_ of_individuals'!W559), 'Model_ of_individuals'!W559*'Model_ of_individuals'!$K559,"")</f>
        <v/>
      </c>
      <c r="X539" s="102" t="str">
        <f>IF(ISNUMBER('Model_ of_individuals'!X559), 'Model_ of_individuals'!X559*'Model_ of_individuals'!$K559,"")</f>
        <v/>
      </c>
      <c r="Y539" s="105"/>
      <c r="Z539" s="105"/>
      <c r="AA539" s="105"/>
      <c r="AB539" s="105"/>
      <c r="AC539" s="105"/>
      <c r="AD539" s="105"/>
      <c r="AE539" s="105"/>
      <c r="AF539" s="105"/>
      <c r="AG539" s="105"/>
      <c r="AH539" s="105"/>
      <c r="AI539" s="105"/>
      <c r="AJ539" s="105"/>
      <c r="AK539" s="105"/>
      <c r="AL539" s="105"/>
      <c r="AM539" s="105"/>
      <c r="AN539" s="105"/>
      <c r="AO539" s="105"/>
      <c r="AP539" s="105"/>
      <c r="AQ539" s="105"/>
    </row>
    <row r="540" spans="1:43" x14ac:dyDescent="0.25">
      <c r="A540" s="518"/>
      <c r="B540" s="504"/>
      <c r="C540" s="104" t="str">
        <f>IF(AND(ISNUMBER(B517), OR('Cost Inputs'!$H$151&lt;&gt;"", 'Cost Inputs'!$I$151&lt;&gt;"", 'Cost Inputs'!$J$151&lt;&gt;"")), _5_4_1, "")</f>
        <v/>
      </c>
      <c r="D540" s="17" t="str">
        <f>IF(AND(C540&lt;&gt;"", 'Cost Inputs'!$G$151&lt;&gt;""), 'Cost Inputs'!$G$151, "")</f>
        <v/>
      </c>
      <c r="E540" s="17" t="str">
        <f>IF(AND(C540&lt;&gt;"", 'Cost Inputs'!$H$151&lt;&gt;""), 'Cost Inputs'!$H$151, "")</f>
        <v/>
      </c>
      <c r="F540" s="17" t="str">
        <f>IF(AND(C540&lt;&gt;"", 'Cost Inputs'!$I$151&lt;&gt;""), 'Cost Inputs'!$I$151, "")</f>
        <v/>
      </c>
      <c r="G540" s="105" t="str">
        <f t="shared" si="45"/>
        <v/>
      </c>
      <c r="H540" s="17" t="str">
        <f>IF(AND(C540&lt;&gt;"", 'Cost Inputs'!$J$151&lt;&gt;""), 'Cost Inputs'!$J$151, "")</f>
        <v/>
      </c>
      <c r="I540" s="17" t="str">
        <f t="shared" si="46"/>
        <v/>
      </c>
      <c r="J540" s="17" t="str">
        <f>IF(AND(C540&lt;&gt;"",('Cost Inputs'!$I$151+'Cost Inputs'!$J$151+'Cost Inputs'!$K$151)&gt;0), 'Cost Inputs'!$I$151+'Cost Inputs'!$J$151+'Cost Inputs'!$K$151, "")</f>
        <v/>
      </c>
      <c r="K540" s="17" t="str">
        <f t="shared" si="47"/>
        <v/>
      </c>
      <c r="M540" s="106"/>
      <c r="O540" s="17" t="str">
        <f>IF(ISNUMBER('Model_ of_individuals'!O560), 'Model_ of_individuals'!O560*'Model_ of_individuals'!$K560,"")</f>
        <v/>
      </c>
      <c r="P540" s="17" t="str">
        <f>IF(ISNUMBER('Model_ of_individuals'!P560), 'Model_ of_individuals'!P560*'Model_ of_individuals'!$K560,"")</f>
        <v/>
      </c>
      <c r="Q540" s="17" t="str">
        <f>IF(ISNUMBER('Model_ of_individuals'!Q560), 'Model_ of_individuals'!Q560*'Model_ of_individuals'!$K560,"")</f>
        <v/>
      </c>
      <c r="R540" s="17" t="str">
        <f>IF(ISNUMBER('Model_ of_individuals'!R560), 'Model_ of_individuals'!R560*'Model_ of_individuals'!$K560,"")</f>
        <v/>
      </c>
      <c r="S540" s="17" t="str">
        <f>IF(ISNUMBER('Model_ of_individuals'!S560), 'Model_ of_individuals'!S560*'Model_ of_individuals'!$K560,"")</f>
        <v/>
      </c>
      <c r="T540" s="17" t="str">
        <f>IF(ISNUMBER('Model_ of_individuals'!T560), 'Model_ of_individuals'!T560*'Model_ of_individuals'!$K560,"")</f>
        <v/>
      </c>
      <c r="U540" s="17" t="str">
        <f>IF(ISNUMBER('Model_ of_individuals'!U560), 'Model_ of_individuals'!U560*'Model_ of_individuals'!$K560,"")</f>
        <v/>
      </c>
      <c r="V540" s="17" t="str">
        <f>IF(ISNUMBER('Model_ of_individuals'!V560), 'Model_ of_individuals'!V560*'Model_ of_individuals'!$K560,"")</f>
        <v/>
      </c>
      <c r="W540" s="17" t="str">
        <f>IF(ISNUMBER('Model_ of_individuals'!W560), 'Model_ of_individuals'!W560*'Model_ of_individuals'!$K560,"")</f>
        <v/>
      </c>
      <c r="X540" s="17" t="str">
        <f>IF(ISNUMBER('Model_ of_individuals'!X560), 'Model_ of_individuals'!X560*'Model_ of_individuals'!$K560,"")</f>
        <v/>
      </c>
      <c r="Y540" s="17"/>
      <c r="Z540" s="17"/>
      <c r="AA540" s="17"/>
      <c r="AB540" s="17"/>
      <c r="AC540" s="17"/>
      <c r="AD540" s="17"/>
      <c r="AE540" s="17"/>
      <c r="AF540" s="17"/>
      <c r="AG540" s="17"/>
      <c r="AH540" s="17"/>
      <c r="AI540" s="17"/>
      <c r="AJ540" s="17"/>
      <c r="AK540" s="17"/>
      <c r="AL540" s="17"/>
      <c r="AM540" s="17"/>
      <c r="AN540" s="17"/>
      <c r="AO540" s="17"/>
      <c r="AP540" s="17"/>
      <c r="AQ540" s="17"/>
    </row>
    <row r="541" spans="1:43" x14ac:dyDescent="0.25">
      <c r="A541" s="518"/>
      <c r="B541" s="504"/>
      <c r="C541" s="107" t="str">
        <f>IF(AND(ISNUMBER(B517), OR('Cost Inputs'!$H$152&lt;&gt;"", 'Cost Inputs'!$I$152&lt;&gt;"", 'Cost Inputs'!$J$152&lt;&gt;"")), _5_4_2, "")</f>
        <v/>
      </c>
      <c r="D541" s="93" t="str">
        <f>IF(AND(C541&lt;&gt;"", 'Cost Inputs'!$G$152&lt;&gt;""), 'Cost Inputs'!$G$152, "")</f>
        <v/>
      </c>
      <c r="E541" s="93" t="str">
        <f>IF(AND(C541&lt;&gt;"", 'Cost Inputs'!$H$152&lt;&gt;""), 'Cost Inputs'!$H$152, "")</f>
        <v/>
      </c>
      <c r="F541" s="93" t="str">
        <f>IF(AND(C541&lt;&gt;"", 'Cost Inputs'!$I$152&lt;&gt;""), 'Cost Inputs'!$I$152, "")</f>
        <v/>
      </c>
      <c r="G541" s="108" t="str">
        <f t="shared" si="45"/>
        <v/>
      </c>
      <c r="H541" s="93" t="str">
        <f>IF(AND(C541&lt;&gt;"", 'Cost Inputs'!$J$152&lt;&gt;""), 'Cost Inputs'!$J$152, "")</f>
        <v/>
      </c>
      <c r="I541" s="93" t="str">
        <f t="shared" si="46"/>
        <v/>
      </c>
      <c r="J541" s="93" t="str">
        <f>IF(AND(C541&lt;&gt;"",('Cost Inputs'!$I$152+'Cost Inputs'!$J$152+'Cost Inputs'!$K$152)&gt;0), 'Cost Inputs'!$I$152+'Cost Inputs'!$J$152+'Cost Inputs'!$K$152, "")</f>
        <v/>
      </c>
      <c r="K541" s="93" t="str">
        <f t="shared" si="47"/>
        <v/>
      </c>
      <c r="L541" s="93"/>
      <c r="M541" s="109"/>
      <c r="O541" s="93" t="str">
        <f>IF(ISNUMBER('Model_ of_individuals'!O561), 'Model_ of_individuals'!O561*'Model_ of_individuals'!$K561,"")</f>
        <v/>
      </c>
      <c r="P541" s="93" t="str">
        <f>IF(ISNUMBER('Model_ of_individuals'!P561), 'Model_ of_individuals'!P561*'Model_ of_individuals'!$K561,"")</f>
        <v/>
      </c>
      <c r="Q541" s="93" t="str">
        <f>IF(ISNUMBER('Model_ of_individuals'!Q561), 'Model_ of_individuals'!Q561*'Model_ of_individuals'!$K561,"")</f>
        <v/>
      </c>
      <c r="R541" s="93" t="str">
        <f>IF(ISNUMBER('Model_ of_individuals'!R561), 'Model_ of_individuals'!R561*'Model_ of_individuals'!$K561,"")</f>
        <v/>
      </c>
      <c r="S541" s="93" t="str">
        <f>IF(ISNUMBER('Model_ of_individuals'!S561), 'Model_ of_individuals'!S561*'Model_ of_individuals'!$K561,"")</f>
        <v/>
      </c>
      <c r="T541" s="93" t="str">
        <f>IF(ISNUMBER('Model_ of_individuals'!T561), 'Model_ of_individuals'!T561*'Model_ of_individuals'!$K561,"")</f>
        <v/>
      </c>
      <c r="U541" s="93" t="str">
        <f>IF(ISNUMBER('Model_ of_individuals'!U561), 'Model_ of_individuals'!U561*'Model_ of_individuals'!$K561,"")</f>
        <v/>
      </c>
      <c r="V541" s="93" t="str">
        <f>IF(ISNUMBER('Model_ of_individuals'!V561), 'Model_ of_individuals'!V561*'Model_ of_individuals'!$K561,"")</f>
        <v/>
      </c>
      <c r="W541" s="93" t="str">
        <f>IF(ISNUMBER('Model_ of_individuals'!W561), 'Model_ of_individuals'!W561*'Model_ of_individuals'!$K561,"")</f>
        <v/>
      </c>
      <c r="X541" s="93" t="str">
        <f>IF(ISNUMBER('Model_ of_individuals'!X561), 'Model_ of_individuals'!X561*'Model_ of_individuals'!$K561,"")</f>
        <v/>
      </c>
      <c r="Y541" s="17"/>
      <c r="Z541" s="17"/>
      <c r="AA541" s="17"/>
      <c r="AB541" s="17"/>
      <c r="AC541" s="17"/>
      <c r="AD541" s="17"/>
      <c r="AE541" s="17"/>
      <c r="AF541" s="17"/>
      <c r="AG541" s="17"/>
      <c r="AH541" s="17"/>
      <c r="AI541" s="17"/>
      <c r="AJ541" s="17"/>
      <c r="AK541" s="17"/>
      <c r="AL541" s="17"/>
      <c r="AM541" s="17"/>
      <c r="AN541" s="17"/>
      <c r="AO541" s="17"/>
      <c r="AP541" s="17"/>
      <c r="AQ541" s="17"/>
    </row>
    <row r="542" spans="1:43" x14ac:dyDescent="0.25">
      <c r="A542" s="518"/>
      <c r="B542" s="504"/>
      <c r="C542" s="104" t="str">
        <f>IF(AND(ISNUMBER(B517), OR('Cost Inputs'!$H$153&lt;&gt;"", 'Cost Inputs'!$I$153&lt;&gt;"", 'Cost Inputs'!$J$153&lt;&gt;"")), _5_4_3, "")</f>
        <v/>
      </c>
      <c r="D542" s="17" t="str">
        <f>IF(AND(C542&lt;&gt;"", 'Cost Inputs'!$G$153&lt;&gt;""), 'Cost Inputs'!$G$153, "")</f>
        <v/>
      </c>
      <c r="E542" s="17" t="str">
        <f>IF(AND(C542&lt;&gt;"", 'Cost Inputs'!$H$153&lt;&gt;""), 'Cost Inputs'!$H$153, "")</f>
        <v/>
      </c>
      <c r="F542" s="17" t="str">
        <f>IF(AND(C542&lt;&gt;"", 'Cost Inputs'!$I$153&lt;&gt;""), 'Cost Inputs'!$I$153, "")</f>
        <v/>
      </c>
      <c r="G542" s="105" t="str">
        <f t="shared" si="45"/>
        <v/>
      </c>
      <c r="H542" s="17" t="str">
        <f>IF(AND(C542&lt;&gt;"", 'Cost Inputs'!$J$153&lt;&gt;""), 'Cost Inputs'!$J$153, "")</f>
        <v/>
      </c>
      <c r="I542" s="17" t="str">
        <f t="shared" si="46"/>
        <v/>
      </c>
      <c r="J542" s="17" t="str">
        <f>IF(AND(C542&lt;&gt;"",('Cost Inputs'!$I$153+'Cost Inputs'!$J$153+'Cost Inputs'!$K$153)&gt;0), 'Cost Inputs'!$I$153+'Cost Inputs'!$J$153+'Cost Inputs'!$K$153, "")</f>
        <v/>
      </c>
      <c r="K542" s="17" t="str">
        <f t="shared" si="47"/>
        <v/>
      </c>
      <c r="M542" s="106"/>
      <c r="O542" s="17" t="str">
        <f>IF(ISNUMBER('Model_ of_individuals'!O562), 'Model_ of_individuals'!O562*'Model_ of_individuals'!$K562,"")</f>
        <v/>
      </c>
      <c r="P542" s="17" t="str">
        <f>IF(ISNUMBER('Model_ of_individuals'!P562), 'Model_ of_individuals'!P562*'Model_ of_individuals'!$K562,"")</f>
        <v/>
      </c>
      <c r="Q542" s="17" t="str">
        <f>IF(ISNUMBER('Model_ of_individuals'!Q562), 'Model_ of_individuals'!Q562*'Model_ of_individuals'!$K562,"")</f>
        <v/>
      </c>
      <c r="R542" s="17" t="str">
        <f>IF(ISNUMBER('Model_ of_individuals'!R562), 'Model_ of_individuals'!R562*'Model_ of_individuals'!$K562,"")</f>
        <v/>
      </c>
      <c r="S542" s="17" t="str">
        <f>IF(ISNUMBER('Model_ of_individuals'!S562), 'Model_ of_individuals'!S562*'Model_ of_individuals'!$K562,"")</f>
        <v/>
      </c>
      <c r="T542" s="17" t="str">
        <f>IF(ISNUMBER('Model_ of_individuals'!T562), 'Model_ of_individuals'!T562*'Model_ of_individuals'!$K562,"")</f>
        <v/>
      </c>
      <c r="U542" s="17" t="str">
        <f>IF(ISNUMBER('Model_ of_individuals'!U562), 'Model_ of_individuals'!U562*'Model_ of_individuals'!$K562,"")</f>
        <v/>
      </c>
      <c r="V542" s="17" t="str">
        <f>IF(ISNUMBER('Model_ of_individuals'!V562), 'Model_ of_individuals'!V562*'Model_ of_individuals'!$K562,"")</f>
        <v/>
      </c>
      <c r="W542" s="17" t="str">
        <f>IF(ISNUMBER('Model_ of_individuals'!W562), 'Model_ of_individuals'!W562*'Model_ of_individuals'!$K562,"")</f>
        <v/>
      </c>
      <c r="X542" s="17" t="str">
        <f>IF(ISNUMBER('Model_ of_individuals'!X562), 'Model_ of_individuals'!X562*'Model_ of_individuals'!$K562,"")</f>
        <v/>
      </c>
      <c r="Y542" s="17"/>
      <c r="Z542" s="17"/>
      <c r="AA542" s="17"/>
      <c r="AB542" s="17"/>
      <c r="AC542" s="17"/>
      <c r="AD542" s="17"/>
      <c r="AE542" s="17"/>
      <c r="AF542" s="17"/>
      <c r="AG542" s="17"/>
      <c r="AH542" s="17"/>
      <c r="AI542" s="17"/>
      <c r="AJ542" s="17"/>
      <c r="AK542" s="17"/>
      <c r="AL542" s="17"/>
      <c r="AM542" s="17"/>
      <c r="AN542" s="17"/>
      <c r="AO542" s="17"/>
      <c r="AP542" s="17"/>
      <c r="AQ542" s="17"/>
    </row>
    <row r="543" spans="1:43" x14ac:dyDescent="0.25">
      <c r="A543" s="518"/>
      <c r="B543" s="504"/>
      <c r="C543" s="107" t="str">
        <f>IF(AND(ISNUMBER(B517), OR('Cost Inputs'!$H$154&lt;&gt;"", 'Cost Inputs'!$I$154&lt;&gt;"", 'Cost Inputs'!$J$154&lt;&gt;"")), _5_4_4, "")</f>
        <v/>
      </c>
      <c r="D543" s="93" t="str">
        <f>IF(AND(C543&lt;&gt;"", 'Cost Inputs'!$G$154&lt;&gt;""), 'Cost Inputs'!$G$154, "")</f>
        <v/>
      </c>
      <c r="E543" s="93" t="str">
        <f>IF(AND(C543&lt;&gt;"", 'Cost Inputs'!$H$154&lt;&gt;""), 'Cost Inputs'!$H$154, "")</f>
        <v/>
      </c>
      <c r="F543" s="93" t="str">
        <f>IF(AND(C543&lt;&gt;"", 'Cost Inputs'!$I$154&lt;&gt;""), 'Cost Inputs'!$I$154, "")</f>
        <v/>
      </c>
      <c r="G543" s="108" t="str">
        <f t="shared" si="45"/>
        <v/>
      </c>
      <c r="H543" s="93" t="str">
        <f>IF(AND(C543&lt;&gt;"", 'Cost Inputs'!$J$154&lt;&gt;""), 'Cost Inputs'!$J$154, "")</f>
        <v/>
      </c>
      <c r="I543" s="93" t="str">
        <f t="shared" si="46"/>
        <v/>
      </c>
      <c r="J543" s="93" t="str">
        <f>IF(AND(C543&lt;&gt;"",('Cost Inputs'!$I$154+'Cost Inputs'!$J$154+'Cost Inputs'!$K$154)&gt;0), 'Cost Inputs'!$I$154+'Cost Inputs'!$J$154+'Cost Inputs'!$K$154, "")</f>
        <v/>
      </c>
      <c r="K543" s="93" t="str">
        <f t="shared" si="47"/>
        <v/>
      </c>
      <c r="L543" s="93"/>
      <c r="M543" s="109"/>
      <c r="O543" s="93" t="str">
        <f>IF(ISNUMBER('Model_ of_individuals'!O563), 'Model_ of_individuals'!O563*'Model_ of_individuals'!$K563,"")</f>
        <v/>
      </c>
      <c r="P543" s="93" t="str">
        <f>IF(ISNUMBER('Model_ of_individuals'!P563), 'Model_ of_individuals'!P563*'Model_ of_individuals'!$K563,"")</f>
        <v/>
      </c>
      <c r="Q543" s="93" t="str">
        <f>IF(ISNUMBER('Model_ of_individuals'!Q563), 'Model_ of_individuals'!Q563*'Model_ of_individuals'!$K563,"")</f>
        <v/>
      </c>
      <c r="R543" s="93" t="str">
        <f>IF(ISNUMBER('Model_ of_individuals'!R563), 'Model_ of_individuals'!R563*'Model_ of_individuals'!$K563,"")</f>
        <v/>
      </c>
      <c r="S543" s="93" t="str">
        <f>IF(ISNUMBER('Model_ of_individuals'!S563), 'Model_ of_individuals'!S563*'Model_ of_individuals'!$K563,"")</f>
        <v/>
      </c>
      <c r="T543" s="93" t="str">
        <f>IF(ISNUMBER('Model_ of_individuals'!T563), 'Model_ of_individuals'!T563*'Model_ of_individuals'!$K563,"")</f>
        <v/>
      </c>
      <c r="U543" s="93" t="str">
        <f>IF(ISNUMBER('Model_ of_individuals'!U563), 'Model_ of_individuals'!U563*'Model_ of_individuals'!$K563,"")</f>
        <v/>
      </c>
      <c r="V543" s="93" t="str">
        <f>IF(ISNUMBER('Model_ of_individuals'!V563), 'Model_ of_individuals'!V563*'Model_ of_individuals'!$K563,"")</f>
        <v/>
      </c>
      <c r="W543" s="93" t="str">
        <f>IF(ISNUMBER('Model_ of_individuals'!W563), 'Model_ of_individuals'!W563*'Model_ of_individuals'!$K563,"")</f>
        <v/>
      </c>
      <c r="X543" s="93" t="str">
        <f>IF(ISNUMBER('Model_ of_individuals'!X563), 'Model_ of_individuals'!X563*'Model_ of_individuals'!$K563,"")</f>
        <v/>
      </c>
      <c r="Y543" s="17"/>
      <c r="Z543" s="17"/>
      <c r="AA543" s="17"/>
      <c r="AB543" s="17"/>
      <c r="AC543" s="17"/>
      <c r="AD543" s="17"/>
      <c r="AE543" s="17"/>
      <c r="AF543" s="17"/>
      <c r="AG543" s="17"/>
      <c r="AH543" s="17"/>
      <c r="AI543" s="17"/>
      <c r="AJ543" s="17"/>
      <c r="AK543" s="17"/>
      <c r="AL543" s="17"/>
      <c r="AM543" s="17"/>
      <c r="AN543" s="17"/>
      <c r="AO543" s="17"/>
      <c r="AP543" s="17"/>
      <c r="AQ543" s="17"/>
    </row>
    <row r="544" spans="1:43" x14ac:dyDescent="0.25">
      <c r="A544" s="518"/>
      <c r="B544" s="504"/>
      <c r="C544" s="104" t="str">
        <f>IF(AND(ISNUMBER(B517), OR('Cost Inputs'!$H$155&lt;&gt;"", 'Cost Inputs'!$I$155&lt;&gt;"", 'Cost Inputs'!$J$155&lt;&gt;"")), _5_4_5, "")</f>
        <v/>
      </c>
      <c r="D544" s="17" t="str">
        <f>IF(AND(C544&lt;&gt;"", 'Cost Inputs'!$G$155&lt;&gt;""), 'Cost Inputs'!$G$155, "")</f>
        <v/>
      </c>
      <c r="E544" s="17" t="str">
        <f>IF(AND(C544&lt;&gt;"", 'Cost Inputs'!$H$155&lt;&gt;""), 'Cost Inputs'!$H$155, "")</f>
        <v/>
      </c>
      <c r="F544" s="17" t="str">
        <f>IF(AND(C544&lt;&gt;"", 'Cost Inputs'!$I$155&lt;&gt;""), 'Cost Inputs'!$I$155, "")</f>
        <v/>
      </c>
      <c r="G544" s="105" t="str">
        <f t="shared" si="45"/>
        <v/>
      </c>
      <c r="H544" s="17" t="str">
        <f>IF(AND(C544&lt;&gt;"", 'Cost Inputs'!$J$155&lt;&gt;""), 'Cost Inputs'!$J$155, "")</f>
        <v/>
      </c>
      <c r="I544" s="17" t="str">
        <f t="shared" si="46"/>
        <v/>
      </c>
      <c r="J544" s="17" t="str">
        <f>IF(AND(C544&lt;&gt;"",('Cost Inputs'!$I$155+'Cost Inputs'!$J$155+'Cost Inputs'!$K$155)&gt;0), 'Cost Inputs'!$I$155+'Cost Inputs'!$J$155+'Cost Inputs'!$K$155, "")</f>
        <v/>
      </c>
      <c r="K544" s="17" t="str">
        <f t="shared" si="47"/>
        <v/>
      </c>
      <c r="M544" s="106"/>
      <c r="O544" s="17" t="str">
        <f>IF(ISNUMBER('Model_ of_individuals'!O564), 'Model_ of_individuals'!O564*'Model_ of_individuals'!$K564,"")</f>
        <v/>
      </c>
      <c r="P544" s="17" t="str">
        <f>IF(ISNUMBER('Model_ of_individuals'!P564), 'Model_ of_individuals'!P564*'Model_ of_individuals'!$K564,"")</f>
        <v/>
      </c>
      <c r="Q544" s="17" t="str">
        <f>IF(ISNUMBER('Model_ of_individuals'!Q564), 'Model_ of_individuals'!Q564*'Model_ of_individuals'!$K564,"")</f>
        <v/>
      </c>
      <c r="R544" s="17" t="str">
        <f>IF(ISNUMBER('Model_ of_individuals'!R564), 'Model_ of_individuals'!R564*'Model_ of_individuals'!$K564,"")</f>
        <v/>
      </c>
      <c r="S544" s="17" t="str">
        <f>IF(ISNUMBER('Model_ of_individuals'!S564), 'Model_ of_individuals'!S564*'Model_ of_individuals'!$K564,"")</f>
        <v/>
      </c>
      <c r="T544" s="17" t="str">
        <f>IF(ISNUMBER('Model_ of_individuals'!T564), 'Model_ of_individuals'!T564*'Model_ of_individuals'!$K564,"")</f>
        <v/>
      </c>
      <c r="U544" s="17" t="str">
        <f>IF(ISNUMBER('Model_ of_individuals'!U564), 'Model_ of_individuals'!U564*'Model_ of_individuals'!$K564,"")</f>
        <v/>
      </c>
      <c r="V544" s="17" t="str">
        <f>IF(ISNUMBER('Model_ of_individuals'!V564), 'Model_ of_individuals'!V564*'Model_ of_individuals'!$K564,"")</f>
        <v/>
      </c>
      <c r="W544" s="17" t="str">
        <f>IF(ISNUMBER('Model_ of_individuals'!W564), 'Model_ of_individuals'!W564*'Model_ of_individuals'!$K564,"")</f>
        <v/>
      </c>
      <c r="X544" s="17" t="str">
        <f>IF(ISNUMBER('Model_ of_individuals'!X564), 'Model_ of_individuals'!X564*'Model_ of_individuals'!$K564,"")</f>
        <v/>
      </c>
      <c r="Y544" s="17"/>
      <c r="Z544" s="17"/>
      <c r="AA544" s="17"/>
      <c r="AB544" s="17"/>
      <c r="AC544" s="17"/>
      <c r="AD544" s="17"/>
      <c r="AE544" s="17"/>
      <c r="AF544" s="17"/>
      <c r="AG544" s="17"/>
      <c r="AH544" s="17"/>
      <c r="AI544" s="17"/>
      <c r="AJ544" s="17"/>
      <c r="AK544" s="17"/>
      <c r="AL544" s="17"/>
      <c r="AM544" s="17"/>
      <c r="AN544" s="17"/>
      <c r="AO544" s="17"/>
      <c r="AP544" s="17"/>
      <c r="AQ544" s="17"/>
    </row>
    <row r="545" spans="1:43" x14ac:dyDescent="0.25">
      <c r="A545" s="518"/>
      <c r="B545" s="504"/>
      <c r="C545" s="107" t="str">
        <f>IF(AND(ISNUMBER(B517), OR('Cost Inputs'!$H$156&lt;&gt;"", 'Cost Inputs'!$I$156&lt;&gt;"", 'Cost Inputs'!$J$156&lt;&gt;"")), _5_4_6, "")</f>
        <v/>
      </c>
      <c r="D545" s="93" t="str">
        <f>IF(AND(C545&lt;&gt;"", 'Cost Inputs'!$G$156&lt;&gt;""), 'Cost Inputs'!$G$156, "")</f>
        <v/>
      </c>
      <c r="E545" s="93" t="str">
        <f>IF(AND(C545&lt;&gt;"", 'Cost Inputs'!$H$156&lt;&gt;""), 'Cost Inputs'!$H$156, "")</f>
        <v/>
      </c>
      <c r="F545" s="93" t="str">
        <f>IF(AND(C545&lt;&gt;"", 'Cost Inputs'!$I$156&lt;&gt;""), 'Cost Inputs'!$I$156, "")</f>
        <v/>
      </c>
      <c r="G545" s="108" t="str">
        <f t="shared" si="45"/>
        <v/>
      </c>
      <c r="H545" s="93" t="str">
        <f>IF(AND(C545&lt;&gt;"", 'Cost Inputs'!$J$156&lt;&gt;""), 'Cost Inputs'!$J$16, "")</f>
        <v/>
      </c>
      <c r="I545" s="93" t="str">
        <f t="shared" si="46"/>
        <v/>
      </c>
      <c r="J545" s="93" t="str">
        <f>IF(AND(C545&lt;&gt;"",('Cost Inputs'!$I$156+'Cost Inputs'!$J$156+'Cost Inputs'!$K$156)&gt;0), 'Cost Inputs'!$I$156+'Cost Inputs'!$J$156+'Cost Inputs'!$K$156, "")</f>
        <v/>
      </c>
      <c r="K545" s="93" t="str">
        <f t="shared" si="47"/>
        <v/>
      </c>
      <c r="L545" s="93"/>
      <c r="M545" s="109"/>
      <c r="O545" s="93" t="str">
        <f>IF(ISNUMBER('Model_ of_individuals'!O565), 'Model_ of_individuals'!O565*'Model_ of_individuals'!$K565,"")</f>
        <v/>
      </c>
      <c r="P545" s="93" t="str">
        <f>IF(ISNUMBER('Model_ of_individuals'!P565), 'Model_ of_individuals'!P565*'Model_ of_individuals'!$K565,"")</f>
        <v/>
      </c>
      <c r="Q545" s="93" t="str">
        <f>IF(ISNUMBER('Model_ of_individuals'!Q565), 'Model_ of_individuals'!Q565*'Model_ of_individuals'!$K565,"")</f>
        <v/>
      </c>
      <c r="R545" s="93" t="str">
        <f>IF(ISNUMBER('Model_ of_individuals'!R565), 'Model_ of_individuals'!R565*'Model_ of_individuals'!$K565,"")</f>
        <v/>
      </c>
      <c r="S545" s="93" t="str">
        <f>IF(ISNUMBER('Model_ of_individuals'!S565), 'Model_ of_individuals'!S565*'Model_ of_individuals'!$K565,"")</f>
        <v/>
      </c>
      <c r="T545" s="93" t="str">
        <f>IF(ISNUMBER('Model_ of_individuals'!T565), 'Model_ of_individuals'!T565*'Model_ of_individuals'!$K565,"")</f>
        <v/>
      </c>
      <c r="U545" s="93" t="str">
        <f>IF(ISNUMBER('Model_ of_individuals'!U565), 'Model_ of_individuals'!U565*'Model_ of_individuals'!$K565,"")</f>
        <v/>
      </c>
      <c r="V545" s="93" t="str">
        <f>IF(ISNUMBER('Model_ of_individuals'!V565), 'Model_ of_individuals'!V565*'Model_ of_individuals'!$K565,"")</f>
        <v/>
      </c>
      <c r="W545" s="93" t="str">
        <f>IF(ISNUMBER('Model_ of_individuals'!W565), 'Model_ of_individuals'!W565*'Model_ of_individuals'!$K565,"")</f>
        <v/>
      </c>
      <c r="X545" s="93" t="str">
        <f>IF(ISNUMBER('Model_ of_individuals'!X565), 'Model_ of_individuals'!X565*'Model_ of_individuals'!$K565,"")</f>
        <v/>
      </c>
      <c r="Y545" s="17"/>
      <c r="Z545" s="17"/>
      <c r="AA545" s="17"/>
      <c r="AB545" s="17"/>
      <c r="AC545" s="17"/>
      <c r="AD545" s="17"/>
      <c r="AE545" s="17"/>
      <c r="AF545" s="17"/>
      <c r="AG545" s="17"/>
      <c r="AH545" s="17"/>
      <c r="AI545" s="17"/>
      <c r="AJ545" s="17"/>
      <c r="AK545" s="17"/>
      <c r="AL545" s="17"/>
      <c r="AM545" s="17"/>
      <c r="AN545" s="17"/>
      <c r="AO545" s="17"/>
      <c r="AP545" s="17"/>
      <c r="AQ545" s="17"/>
    </row>
    <row r="546" spans="1:43" x14ac:dyDescent="0.25">
      <c r="A546" s="518"/>
      <c r="B546" s="504"/>
      <c r="C546" s="521" t="str">
        <f>IF(AND(B517&lt;&gt;"", ISNUMBER(B517), ISNUMBER(Stage3EvaluationBegins)), IF((INDEX(ProgramYearStage3,MATCH(Stage3EvaluationBegins,Years_in_Stage3,0)))=B517, _5_5_0, IF(AND(B517&lt;&gt;"", ISNUMBER(B517), OR(Stage3EvaluationBegins=0, Stage3EvaluationBegins="")),"", "")),"")</f>
        <v/>
      </c>
      <c r="D546" s="94" t="str">
        <f>IF(AND(C546&lt;&gt;"", 'Cost Inputs'!$G$157&lt;&gt;""), 'Cost Inputs'!$G$157, "")</f>
        <v/>
      </c>
      <c r="E546" s="94" t="str">
        <f>IF(AND(C546&lt;&gt;"", 'Cost Inputs'!$H$157&lt;&gt;""), 'Cost Inputs'!$H$157, "")</f>
        <v/>
      </c>
      <c r="F546" s="492" t="str">
        <f>IF(AND(C546&lt;&gt;"", 'Cost Inputs'!$I$157&lt;&gt;""), 'Cost Inputs'!$I$157, "")</f>
        <v/>
      </c>
      <c r="G546" s="102" t="str">
        <f t="shared" si="45"/>
        <v/>
      </c>
      <c r="H546" s="492" t="str">
        <f>IF(AND(C546&lt;&gt;"", 'Cost Inputs'!$J$157&lt;&gt;""), 'Cost Inputs'!$J$157, "")</f>
        <v/>
      </c>
      <c r="I546" s="102" t="str">
        <f>IF($C546&lt;&gt;"",IF(AND($E546&lt;&gt;"",H546&lt;&gt;""), H546/$E546, 0),"")</f>
        <v/>
      </c>
      <c r="J546" s="492" t="str">
        <f>IF(AND(C546&lt;&gt;"",('Cost Inputs'!$I$157+'Cost Inputs'!$J$157+'Cost Inputs'!$K$157)&gt;0), 'Cost Inputs'!$I$157+'Cost Inputs'!$J$157+'Cost Inputs'!$K$157, "")</f>
        <v/>
      </c>
      <c r="K546" s="102" t="str">
        <f>IF($C546&lt;&gt;"",IF(AND($E546&lt;&gt;"",J546&lt;&gt;""), J546/$E546, 0),"")</f>
        <v/>
      </c>
      <c r="L546" s="94"/>
      <c r="M546" s="103"/>
      <c r="O546" s="492" t="str">
        <f>IF(ISNUMBER('Model_ of_individuals'!O566), 'Model_ of_individuals'!O566*'Model_ of_individuals'!$K566,"")</f>
        <v/>
      </c>
      <c r="P546" s="492" t="str">
        <f>IF(ISNUMBER('Model_ of_individuals'!P566), 'Model_ of_individuals'!P566*'Model_ of_individuals'!$K566,"")</f>
        <v/>
      </c>
      <c r="Q546" s="492" t="str">
        <f>IF(ISNUMBER('Model_ of_individuals'!Q566), 'Model_ of_individuals'!Q566*'Model_ of_individuals'!$K566,"")</f>
        <v/>
      </c>
      <c r="R546" s="492" t="str">
        <f>IF(ISNUMBER('Model_ of_individuals'!R566), 'Model_ of_individuals'!R566*'Model_ of_individuals'!$K566,"")</f>
        <v/>
      </c>
      <c r="S546" s="492" t="str">
        <f>IF(ISNUMBER('Model_ of_individuals'!S566), 'Model_ of_individuals'!S566*'Model_ of_individuals'!$K566,"")</f>
        <v/>
      </c>
      <c r="T546" s="492" t="str">
        <f>IF(ISNUMBER('Model_ of_individuals'!T566), 'Model_ of_individuals'!T566*'Model_ of_individuals'!$K566,"")</f>
        <v/>
      </c>
      <c r="U546" s="492" t="str">
        <f>IF(ISNUMBER('Model_ of_individuals'!U566), 'Model_ of_individuals'!U566*'Model_ of_individuals'!$K566,"")</f>
        <v/>
      </c>
      <c r="V546" s="492" t="str">
        <f>IF(ISNUMBER('Model_ of_individuals'!V566), 'Model_ of_individuals'!V566*'Model_ of_individuals'!$K566,"")</f>
        <v/>
      </c>
      <c r="W546" s="492" t="str">
        <f>IF(ISNUMBER('Model_ of_individuals'!W566), 'Model_ of_individuals'!W566*'Model_ of_individuals'!$K566,"")</f>
        <v/>
      </c>
      <c r="X546" s="492" t="str">
        <f>IF(ISNUMBER('Model_ of_individuals'!X566), 'Model_ of_individuals'!X566*'Model_ of_individuals'!$K566,"")</f>
        <v/>
      </c>
      <c r="Y546" s="493"/>
      <c r="Z546" s="493"/>
      <c r="AA546" s="493"/>
      <c r="AB546" s="493"/>
      <c r="AC546" s="493"/>
      <c r="AD546" s="493"/>
      <c r="AE546" s="493"/>
      <c r="AF546" s="493"/>
      <c r="AG546" s="493"/>
      <c r="AH546" s="493"/>
      <c r="AI546" s="493"/>
      <c r="AJ546" s="493"/>
      <c r="AK546" s="493"/>
      <c r="AL546" s="493"/>
      <c r="AM546" s="493"/>
      <c r="AN546" s="493"/>
      <c r="AO546" s="493"/>
      <c r="AP546" s="493"/>
      <c r="AQ546" s="493"/>
    </row>
    <row r="547" spans="1:43" x14ac:dyDescent="0.25">
      <c r="A547" s="518"/>
      <c r="B547" s="504"/>
      <c r="C547" s="521"/>
      <c r="D547" s="94" t="str">
        <f>IF(AND(C546&lt;&gt;"", 'Cost Inputs'!$G$158&lt;&gt;""), 'Cost Inputs'!$G$158, "")</f>
        <v/>
      </c>
      <c r="E547" s="94" t="str">
        <f>IF(AND(C546&lt;&gt;"", 'Cost Inputs'!$H$158&lt;&gt;""), 'Cost Inputs'!$H$158, "")</f>
        <v/>
      </c>
      <c r="F547" s="492"/>
      <c r="G547" s="102" t="str">
        <f t="shared" si="45"/>
        <v/>
      </c>
      <c r="H547" s="492"/>
      <c r="I547" s="102" t="str">
        <f>IF($C546&lt;&gt;"", IF(AND($E547&lt;&gt;"", H546&lt;&gt;""), H546/($E546*$E547), 0), "")</f>
        <v/>
      </c>
      <c r="J547" s="492" t="str">
        <f>IF(AND(C547&lt;&gt;"",('Cost Inputs'!$I$86+'Cost Inputs'!$J$86+'Cost Inputs'!$K$86)&gt;0), 'Cost Inputs'!$I$86+'Cost Inputs'!$J$86+'Cost Inputs'!$K$86, "")</f>
        <v/>
      </c>
      <c r="K547" s="102" t="str">
        <f>IF($C546&lt;&gt;"", IF(AND($E547&lt;&gt;"", J546&lt;&gt;""), J546/($E546*$E547), 0), "")</f>
        <v/>
      </c>
      <c r="L547" s="94"/>
      <c r="M547" s="103"/>
      <c r="O547" s="492" t="str">
        <f>IF(ISNUMBER('Model_ of_individuals'!O567), 'Model_ of_individuals'!O567*'Model_ of_individuals'!$K567,"")</f>
        <v/>
      </c>
      <c r="P547" s="492" t="str">
        <f>IF(ISNUMBER('Model_ of_individuals'!P567), 'Model_ of_individuals'!P567*'Model_ of_individuals'!$K567,"")</f>
        <v/>
      </c>
      <c r="Q547" s="492" t="str">
        <f>IF(ISNUMBER('Model_ of_individuals'!Q567), 'Model_ of_individuals'!Q567*'Model_ of_individuals'!$K567,"")</f>
        <v/>
      </c>
      <c r="R547" s="492" t="str">
        <f>IF(ISNUMBER('Model_ of_individuals'!R567), 'Model_ of_individuals'!R567*'Model_ of_individuals'!$K567,"")</f>
        <v/>
      </c>
      <c r="S547" s="492" t="str">
        <f>IF(ISNUMBER('Model_ of_individuals'!S567), 'Model_ of_individuals'!S567*'Model_ of_individuals'!$K567,"")</f>
        <v/>
      </c>
      <c r="T547" s="492" t="str">
        <f>IF(ISNUMBER('Model_ of_individuals'!T567), 'Model_ of_individuals'!T567*'Model_ of_individuals'!$K567,"")</f>
        <v/>
      </c>
      <c r="U547" s="492" t="str">
        <f>IF(ISNUMBER('Model_ of_individuals'!U567), 'Model_ of_individuals'!U567*'Model_ of_individuals'!$K567,"")</f>
        <v/>
      </c>
      <c r="V547" s="492" t="str">
        <f>IF(ISNUMBER('Model_ of_individuals'!V567), 'Model_ of_individuals'!V567*'Model_ of_individuals'!$K567,"")</f>
        <v/>
      </c>
      <c r="W547" s="492" t="str">
        <f>IF(ISNUMBER('Model_ of_individuals'!W567), 'Model_ of_individuals'!W567*'Model_ of_individuals'!$K567,"")</f>
        <v/>
      </c>
      <c r="X547" s="492" t="str">
        <f>IF(ISNUMBER('Model_ of_individuals'!X567), 'Model_ of_individuals'!X567*'Model_ of_individuals'!$K567,"")</f>
        <v/>
      </c>
      <c r="Y547" s="493"/>
      <c r="Z547" s="493"/>
      <c r="AA547" s="493"/>
      <c r="AB547" s="493"/>
      <c r="AC547" s="493"/>
      <c r="AD547" s="493"/>
      <c r="AE547" s="493"/>
      <c r="AF547" s="493"/>
      <c r="AG547" s="493"/>
      <c r="AH547" s="493"/>
      <c r="AI547" s="493"/>
      <c r="AJ547" s="493"/>
      <c r="AK547" s="493"/>
      <c r="AL547" s="493"/>
      <c r="AM547" s="493"/>
      <c r="AN547" s="493"/>
      <c r="AO547" s="493"/>
      <c r="AP547" s="493"/>
      <c r="AQ547" s="493"/>
    </row>
    <row r="548" spans="1:43" x14ac:dyDescent="0.25">
      <c r="A548" s="518"/>
      <c r="B548" s="504"/>
      <c r="C548" s="376" t="str">
        <f>IF(AND(ISNUMBER(B517), C546&lt;&gt;"", OR('Cost Inputs'!$H$159&lt;&gt;"", 'Cost Inputs'!$I$159&lt;&gt;"", 'Cost Inputs'!$J$159&lt;&gt;"")), _5_5_1, "")</f>
        <v/>
      </c>
      <c r="D548" s="17" t="str">
        <f>IF(AND(C548&lt;&gt;"", 'Cost Inputs'!$G$159&lt;&gt;""), 'Cost Inputs'!$G$159, "")</f>
        <v/>
      </c>
      <c r="E548" s="17" t="str">
        <f>IF(AND(C548&lt;&gt;"", 'Cost Inputs'!$H$159&lt;&gt;""), 'Cost Inputs'!$H$159, "")</f>
        <v/>
      </c>
      <c r="F548" s="493" t="str">
        <f>IF(AND(C548&lt;&gt;"", 'Cost Inputs'!$I$159&lt;&gt;""), 'Cost Inputs'!$I$159, "")</f>
        <v/>
      </c>
      <c r="G548" s="105" t="str">
        <f t="shared" si="45"/>
        <v/>
      </c>
      <c r="H548" s="493" t="str">
        <f>IF(AND(C548&lt;&gt;"", 'Cost Inputs'!$J$159&lt;&gt;""), 'Cost Inputs'!$J$159, "")</f>
        <v/>
      </c>
      <c r="I548" s="105" t="str">
        <f>IF($C548&lt;&gt;"",IF(AND($E548&lt;&gt;"",H548&lt;&gt;""), H548/$E548, 0),"")</f>
        <v/>
      </c>
      <c r="J548" s="493" t="str">
        <f>IF(AND(C548&lt;&gt;"",('Cost Inputs'!$I$159+'Cost Inputs'!$J$159+'Cost Inputs'!$K$159)&gt;0), 'Cost Inputs'!$I$159+'Cost Inputs'!$J$159+'Cost Inputs'!$K$159, "")</f>
        <v/>
      </c>
      <c r="K548" s="105" t="str">
        <f>IF($C548&lt;&gt;"",IF(AND($E548&lt;&gt;"",J548&lt;&gt;""), J548/$E548, 0),"")</f>
        <v/>
      </c>
      <c r="M548" s="106"/>
      <c r="O548" s="493" t="str">
        <f>IF(ISNUMBER('Model_ of_individuals'!O568), 'Model_ of_individuals'!O568*'Model_ of_individuals'!$K568,"")</f>
        <v/>
      </c>
      <c r="P548" s="493" t="str">
        <f>IF(ISNUMBER('Model_ of_individuals'!P568), 'Model_ of_individuals'!P568*'Model_ of_individuals'!$K568,"")</f>
        <v/>
      </c>
      <c r="Q548" s="493" t="str">
        <f>IF(ISNUMBER('Model_ of_individuals'!Q568), 'Model_ of_individuals'!Q568*'Model_ of_individuals'!$K568,"")</f>
        <v/>
      </c>
      <c r="R548" s="493" t="str">
        <f>IF(ISNUMBER('Model_ of_individuals'!R568), 'Model_ of_individuals'!R568*'Model_ of_individuals'!$K568,"")</f>
        <v/>
      </c>
      <c r="S548" s="493" t="str">
        <f>IF(ISNUMBER('Model_ of_individuals'!S568), 'Model_ of_individuals'!S568*'Model_ of_individuals'!$K568,"")</f>
        <v/>
      </c>
      <c r="T548" s="493" t="str">
        <f>IF(ISNUMBER('Model_ of_individuals'!T568), 'Model_ of_individuals'!T568*'Model_ of_individuals'!$K568,"")</f>
        <v/>
      </c>
      <c r="U548" s="493" t="str">
        <f>IF(ISNUMBER('Model_ of_individuals'!U568), 'Model_ of_individuals'!U568*'Model_ of_individuals'!$K568,"")</f>
        <v/>
      </c>
      <c r="V548" s="493" t="str">
        <f>IF(ISNUMBER('Model_ of_individuals'!V568), 'Model_ of_individuals'!V568*'Model_ of_individuals'!$K568,"")</f>
        <v/>
      </c>
      <c r="W548" s="493" t="str">
        <f>IF(ISNUMBER('Model_ of_individuals'!W568), 'Model_ of_individuals'!W568*'Model_ of_individuals'!$K568,"")</f>
        <v/>
      </c>
      <c r="X548" s="493" t="str">
        <f>IF(ISNUMBER('Model_ of_individuals'!X568), 'Model_ of_individuals'!X568*'Model_ of_individuals'!$K568,"")</f>
        <v/>
      </c>
      <c r="Y548" s="493"/>
      <c r="Z548" s="493"/>
      <c r="AA548" s="493"/>
      <c r="AB548" s="493"/>
      <c r="AC548" s="493"/>
      <c r="AD548" s="493"/>
      <c r="AE548" s="493"/>
      <c r="AF548" s="493"/>
      <c r="AG548" s="493"/>
      <c r="AH548" s="493"/>
      <c r="AI548" s="493"/>
      <c r="AJ548" s="493"/>
      <c r="AK548" s="493"/>
      <c r="AL548" s="493"/>
      <c r="AM548" s="493"/>
      <c r="AN548" s="493"/>
      <c r="AO548" s="493"/>
      <c r="AP548" s="493"/>
      <c r="AQ548" s="493"/>
    </row>
    <row r="549" spans="1:43" x14ac:dyDescent="0.25">
      <c r="A549" s="518"/>
      <c r="B549" s="504"/>
      <c r="C549" s="376" t="str">
        <f>IF(AND(ISNUMBER(B531), OR('Cost Inputs'!$H$85&lt;&gt;"", 'Cost Inputs'!$I$85&lt;&gt;"", 'Cost Inputs'!$J$85&lt;&gt;"")), _3_5_1, "")</f>
        <v/>
      </c>
      <c r="D549" s="17" t="str">
        <f>IF(AND(C548&lt;&gt;"", 'Cost Inputs'!$G$160&lt;&gt;""), 'Cost Inputs'!$G$160, "")</f>
        <v/>
      </c>
      <c r="E549" s="17" t="str">
        <f>IF(AND(C548&lt;&gt;"", 'Cost Inputs'!$H$160&lt;&gt;""), 'Cost Inputs'!$H$160, "")</f>
        <v/>
      </c>
      <c r="F549" s="493"/>
      <c r="G549" s="105" t="str">
        <f t="shared" si="45"/>
        <v/>
      </c>
      <c r="H549" s="493"/>
      <c r="I549" s="105" t="str">
        <f>IF($C548&lt;&gt;"", IF(AND($E549&lt;&gt;"", H548&lt;&gt;""), H548/($E548*$E549), 0), "")</f>
        <v/>
      </c>
      <c r="J549" s="493" t="str">
        <f>IF(AND(C549&lt;&gt;"",('Cost Inputs'!$I$86+'Cost Inputs'!$J$86+'Cost Inputs'!$K$86)&gt;0), 'Cost Inputs'!$I$86+'Cost Inputs'!$J$86+'Cost Inputs'!$K$86, "")</f>
        <v/>
      </c>
      <c r="K549" s="105" t="str">
        <f>IF($C548&lt;&gt;"", IF(AND($E549&lt;&gt;"", J548&lt;&gt;""), J548/($E548*$E549), 0), "")</f>
        <v/>
      </c>
      <c r="M549" s="106"/>
      <c r="O549" s="493" t="str">
        <f>IF(ISNUMBER('Model_ of_individuals'!O569), 'Model_ of_individuals'!O569*'Model_ of_individuals'!$K569,"")</f>
        <v/>
      </c>
      <c r="P549" s="493" t="str">
        <f>IF(ISNUMBER('Model_ of_individuals'!P569), 'Model_ of_individuals'!P569*'Model_ of_individuals'!$K569,"")</f>
        <v/>
      </c>
      <c r="Q549" s="493" t="str">
        <f>IF(ISNUMBER('Model_ of_individuals'!Q569), 'Model_ of_individuals'!Q569*'Model_ of_individuals'!$K569,"")</f>
        <v/>
      </c>
      <c r="R549" s="493" t="str">
        <f>IF(ISNUMBER('Model_ of_individuals'!R569), 'Model_ of_individuals'!R569*'Model_ of_individuals'!$K569,"")</f>
        <v/>
      </c>
      <c r="S549" s="493" t="str">
        <f>IF(ISNUMBER('Model_ of_individuals'!S569), 'Model_ of_individuals'!S569*'Model_ of_individuals'!$K569,"")</f>
        <v/>
      </c>
      <c r="T549" s="493" t="str">
        <f>IF(ISNUMBER('Model_ of_individuals'!T569), 'Model_ of_individuals'!T569*'Model_ of_individuals'!$K569,"")</f>
        <v/>
      </c>
      <c r="U549" s="493" t="str">
        <f>IF(ISNUMBER('Model_ of_individuals'!U569), 'Model_ of_individuals'!U569*'Model_ of_individuals'!$K569,"")</f>
        <v/>
      </c>
      <c r="V549" s="493" t="str">
        <f>IF(ISNUMBER('Model_ of_individuals'!V569), 'Model_ of_individuals'!V569*'Model_ of_individuals'!$K569,"")</f>
        <v/>
      </c>
      <c r="W549" s="493" t="str">
        <f>IF(ISNUMBER('Model_ of_individuals'!W569), 'Model_ of_individuals'!W569*'Model_ of_individuals'!$K569,"")</f>
        <v/>
      </c>
      <c r="X549" s="493" t="str">
        <f>IF(ISNUMBER('Model_ of_individuals'!X569), 'Model_ of_individuals'!X569*'Model_ of_individuals'!$K569,"")</f>
        <v/>
      </c>
      <c r="Y549" s="493"/>
      <c r="Z549" s="493"/>
      <c r="AA549" s="493"/>
      <c r="AB549" s="493"/>
      <c r="AC549" s="493"/>
      <c r="AD549" s="493"/>
      <c r="AE549" s="493"/>
      <c r="AF549" s="493"/>
      <c r="AG549" s="493"/>
      <c r="AH549" s="493"/>
      <c r="AI549" s="493"/>
      <c r="AJ549" s="493"/>
      <c r="AK549" s="493"/>
      <c r="AL549" s="493"/>
      <c r="AM549" s="493"/>
      <c r="AN549" s="493"/>
      <c r="AO549" s="493"/>
      <c r="AP549" s="493"/>
      <c r="AQ549" s="493"/>
    </row>
    <row r="550" spans="1:43" x14ac:dyDescent="0.25">
      <c r="A550" s="518"/>
      <c r="B550" s="504"/>
      <c r="C550" s="107" t="str">
        <f>IF(AND(ISNUMBER(B517), C546&lt;&gt;"", OR('Cost Inputs'!$H$161&lt;&gt;"", 'Cost Inputs'!$I$161&lt;&gt;"", 'Cost Inputs'!$J$161&lt;&gt;"")), _5_5_2, "")</f>
        <v/>
      </c>
      <c r="D550" s="93" t="str">
        <f>IF(AND(C550&lt;&gt;"", 'Cost Inputs'!$G$161&lt;&gt;""), 'Cost Inputs'!$G$161, "")</f>
        <v/>
      </c>
      <c r="E550" s="93" t="str">
        <f>IF(AND(C550&lt;&gt;"", 'Cost Inputs'!$H$161&lt;&gt;""), 'Cost Inputs'!$H$161, "")</f>
        <v/>
      </c>
      <c r="F550" s="93" t="str">
        <f>IF(AND(C550&lt;&gt;"", 'Cost Inputs'!$I$161&lt;&gt;""), 'Cost Inputs'!$I$161, "")</f>
        <v/>
      </c>
      <c r="G550" s="108" t="str">
        <f t="shared" si="45"/>
        <v/>
      </c>
      <c r="H550" s="93" t="str">
        <f>IF(AND(C550&lt;&gt;"", 'Cost Inputs'!$J$161&lt;&gt;""), 'Cost Inputs'!$J$161, "")</f>
        <v/>
      </c>
      <c r="I550" s="93" t="str">
        <f>IF($C550&lt;&gt;"", IF(AND($E550&lt;&gt;"", H550&lt;&gt;""), H550/$E550, 0),"")</f>
        <v/>
      </c>
      <c r="J550" s="93" t="str">
        <f>IF(AND(C550&lt;&gt;"",('Cost Inputs'!$I$161+'Cost Inputs'!$J$161+'Cost Inputs'!$K$161)&gt;0), 'Cost Inputs'!$I$161+'Cost Inputs'!$J$161+'Cost Inputs'!$K$161, "")</f>
        <v/>
      </c>
      <c r="K550" s="93" t="str">
        <f>IF($C550&lt;&gt;"", IF(AND($E550&lt;&gt;"", J550&lt;&gt;""), J550/$E550, 0),"")</f>
        <v/>
      </c>
      <c r="L550" s="93"/>
      <c r="M550" s="109"/>
      <c r="O550" s="93" t="str">
        <f>IF(ISNUMBER('Model_ of_individuals'!O570), 'Model_ of_individuals'!O570*'Model_ of_individuals'!$K570,"")</f>
        <v/>
      </c>
      <c r="P550" s="93" t="str">
        <f>IF(ISNUMBER('Model_ of_individuals'!P570), 'Model_ of_individuals'!P570*'Model_ of_individuals'!$K570,"")</f>
        <v/>
      </c>
      <c r="Q550" s="93" t="str">
        <f>IF(ISNUMBER('Model_ of_individuals'!Q570), 'Model_ of_individuals'!Q570*'Model_ of_individuals'!$K570,"")</f>
        <v/>
      </c>
      <c r="R550" s="93" t="str">
        <f>IF(ISNUMBER('Model_ of_individuals'!R570), 'Model_ of_individuals'!R570*'Model_ of_individuals'!$K570,"")</f>
        <v/>
      </c>
      <c r="S550" s="93" t="str">
        <f>IF(ISNUMBER('Model_ of_individuals'!S570), 'Model_ of_individuals'!S570*'Model_ of_individuals'!$K570,"")</f>
        <v/>
      </c>
      <c r="T550" s="93" t="str">
        <f>IF(ISNUMBER('Model_ of_individuals'!T570), 'Model_ of_individuals'!T570*'Model_ of_individuals'!$K570,"")</f>
        <v/>
      </c>
      <c r="U550" s="93" t="str">
        <f>IF(ISNUMBER('Model_ of_individuals'!U570), 'Model_ of_individuals'!U570*'Model_ of_individuals'!$K570,"")</f>
        <v/>
      </c>
      <c r="V550" s="93" t="str">
        <f>IF(ISNUMBER('Model_ of_individuals'!V570), 'Model_ of_individuals'!V570*'Model_ of_individuals'!$K570,"")</f>
        <v/>
      </c>
      <c r="W550" s="93" t="str">
        <f>IF(ISNUMBER('Model_ of_individuals'!W570), 'Model_ of_individuals'!W570*'Model_ of_individuals'!$K570,"")</f>
        <v/>
      </c>
      <c r="X550" s="93" t="str">
        <f>IF(ISNUMBER('Model_ of_individuals'!X570), 'Model_ of_individuals'!X570*'Model_ of_individuals'!$K570,"")</f>
        <v/>
      </c>
      <c r="Y550" s="17"/>
      <c r="Z550" s="17"/>
      <c r="AA550" s="17"/>
      <c r="AB550" s="17"/>
      <c r="AC550" s="17"/>
      <c r="AD550" s="17"/>
      <c r="AE550" s="17"/>
      <c r="AF550" s="17"/>
      <c r="AG550" s="17"/>
      <c r="AH550" s="17"/>
      <c r="AI550" s="17"/>
      <c r="AJ550" s="17"/>
      <c r="AK550" s="17"/>
      <c r="AL550" s="17"/>
      <c r="AM550" s="17"/>
      <c r="AN550" s="17"/>
      <c r="AO550" s="17"/>
      <c r="AP550" s="17"/>
      <c r="AQ550" s="17"/>
    </row>
    <row r="551" spans="1:43" x14ac:dyDescent="0.25">
      <c r="A551" s="518"/>
      <c r="B551" s="504"/>
      <c r="C551" s="104" t="str">
        <f>IF(AND(ISNUMBER(B517), C546&lt;&gt;"", OR('Cost Inputs'!$H$162&lt;&gt;"", 'Cost Inputs'!$I$162&lt;&gt;"", 'Cost Inputs'!$J$162&lt;&gt;"")), _5_5_3, "")</f>
        <v/>
      </c>
      <c r="D551" s="17" t="str">
        <f>IF(AND(C551&lt;&gt;"", 'Cost Inputs'!$G$162&lt;&gt;""), 'Cost Inputs'!$G$162, "")</f>
        <v/>
      </c>
      <c r="E551" s="17" t="str">
        <f>IF(AND(C551&lt;&gt;"", 'Cost Inputs'!$H$162&lt;&gt;""), 'Cost Inputs'!$H$162, "")</f>
        <v/>
      </c>
      <c r="F551" s="17" t="str">
        <f>IF(AND(C551&lt;&gt;"", 'Cost Inputs'!$I$162&lt;&gt;""), 'Cost Inputs'!$I$162, "")</f>
        <v/>
      </c>
      <c r="G551" s="105" t="str">
        <f t="shared" si="45"/>
        <v/>
      </c>
      <c r="H551" s="17" t="str">
        <f>IF(AND(C551&lt;&gt;"", 'Cost Inputs'!$J$162&lt;&gt;""), 'Cost Inputs'!$J$162, "")</f>
        <v/>
      </c>
      <c r="I551" s="17" t="str">
        <f>IF($C551&lt;&gt;"", IF(AND($E551&lt;&gt;"", H551&lt;&gt;""), H551/$E551, 0),"")</f>
        <v/>
      </c>
      <c r="J551" s="17" t="str">
        <f>IF(AND(C551&lt;&gt;"",('Cost Inputs'!$I$162+'Cost Inputs'!$J$162+'Cost Inputs'!$K$162)&gt;0), 'Cost Inputs'!$I$162+'Cost Inputs'!$J$162+'Cost Inputs'!$K$162, "")</f>
        <v/>
      </c>
      <c r="K551" s="17" t="str">
        <f>IF($C551&lt;&gt;"", IF(AND($E551&lt;&gt;"", J551&lt;&gt;""), J551/$E551, 0),"")</f>
        <v/>
      </c>
      <c r="M551" s="106"/>
      <c r="O551" s="17" t="str">
        <f>IF(ISNUMBER('Model_ of_individuals'!O571), 'Model_ of_individuals'!O571*'Model_ of_individuals'!$K571,"")</f>
        <v/>
      </c>
      <c r="P551" s="17" t="str">
        <f>IF(ISNUMBER('Model_ of_individuals'!P571), 'Model_ of_individuals'!P571*'Model_ of_individuals'!$K571,"")</f>
        <v/>
      </c>
      <c r="Q551" s="17" t="str">
        <f>IF(ISNUMBER('Model_ of_individuals'!Q571), 'Model_ of_individuals'!Q571*'Model_ of_individuals'!$K571,"")</f>
        <v/>
      </c>
      <c r="R551" s="17" t="str">
        <f>IF(ISNUMBER('Model_ of_individuals'!R571), 'Model_ of_individuals'!R571*'Model_ of_individuals'!$K571,"")</f>
        <v/>
      </c>
      <c r="S551" s="17" t="str">
        <f>IF(ISNUMBER('Model_ of_individuals'!S571), 'Model_ of_individuals'!S571*'Model_ of_individuals'!$K571,"")</f>
        <v/>
      </c>
      <c r="T551" s="17" t="str">
        <f>IF(ISNUMBER('Model_ of_individuals'!T571), 'Model_ of_individuals'!T571*'Model_ of_individuals'!$K571,"")</f>
        <v/>
      </c>
      <c r="U551" s="17" t="str">
        <f>IF(ISNUMBER('Model_ of_individuals'!U571), 'Model_ of_individuals'!U571*'Model_ of_individuals'!$K571,"")</f>
        <v/>
      </c>
      <c r="V551" s="17" t="str">
        <f>IF(ISNUMBER('Model_ of_individuals'!V571), 'Model_ of_individuals'!V571*'Model_ of_individuals'!$K571,"")</f>
        <v/>
      </c>
      <c r="W551" s="17" t="str">
        <f>IF(ISNUMBER('Model_ of_individuals'!W571), 'Model_ of_individuals'!W571*'Model_ of_individuals'!$K571,"")</f>
        <v/>
      </c>
      <c r="X551" s="17" t="str">
        <f>IF(ISNUMBER('Model_ of_individuals'!X571), 'Model_ of_individuals'!X571*'Model_ of_individuals'!$K571,"")</f>
        <v/>
      </c>
      <c r="Y551" s="17"/>
      <c r="Z551" s="17"/>
      <c r="AA551" s="17"/>
      <c r="AB551" s="17"/>
      <c r="AC551" s="17"/>
      <c r="AD551" s="17"/>
      <c r="AE551" s="17"/>
      <c r="AF551" s="17"/>
      <c r="AG551" s="17"/>
      <c r="AH551" s="17"/>
      <c r="AI551" s="17"/>
      <c r="AJ551" s="17"/>
      <c r="AK551" s="17"/>
      <c r="AL551" s="17"/>
      <c r="AM551" s="17"/>
      <c r="AN551" s="17"/>
      <c r="AO551" s="17"/>
      <c r="AP551" s="17"/>
      <c r="AQ551" s="17"/>
    </row>
    <row r="552" spans="1:43" x14ac:dyDescent="0.25">
      <c r="A552" s="518"/>
      <c r="B552" s="504"/>
      <c r="C552" s="107" t="str">
        <f>IF(AND(ISNUMBER(B517), C546&lt;&gt;"", OR('Cost Inputs'!$H$163&lt;&gt;"", 'Cost Inputs'!$I$163&lt;&gt;"", 'Cost Inputs'!$J$163&lt;&gt;"")), _5_5_4, "")</f>
        <v/>
      </c>
      <c r="D552" s="93" t="str">
        <f>IF(AND(C552&lt;&gt;"", 'Cost Inputs'!$G$163&lt;&gt;""), 'Cost Inputs'!$G$163, "")</f>
        <v/>
      </c>
      <c r="E552" s="93" t="str">
        <f>IF(AND(C552&lt;&gt;"", 'Cost Inputs'!$H$163&lt;&gt;""), 'Cost Inputs'!$H$163, "")</f>
        <v/>
      </c>
      <c r="F552" s="93" t="str">
        <f>IF(AND(C552&lt;&gt;"", 'Cost Inputs'!$I$163&lt;&gt;""), 'Cost Inputs'!$I$163, "")</f>
        <v/>
      </c>
      <c r="G552" s="108" t="str">
        <f t="shared" si="45"/>
        <v/>
      </c>
      <c r="H552" s="93" t="str">
        <f>IF(AND(C552&lt;&gt;"", 'Cost Inputs'!$J$163&lt;&gt;""), 'Cost Inputs'!$J$163, "")</f>
        <v/>
      </c>
      <c r="I552" s="93" t="str">
        <f>IF($C552&lt;&gt;"", IF(AND($E552&lt;&gt;"", H552&lt;&gt;""), H552/$E552, 0),"")</f>
        <v/>
      </c>
      <c r="J552" s="93" t="str">
        <f>IF(AND(C552&lt;&gt;"",('Cost Inputs'!$I$163+'Cost Inputs'!$J$163+'Cost Inputs'!$K$163)&gt;0), 'Cost Inputs'!$I$163+'Cost Inputs'!$J$163+'Cost Inputs'!$K$163, "")</f>
        <v/>
      </c>
      <c r="K552" s="93" t="str">
        <f>IF($C552&lt;&gt;"", IF(AND($E552&lt;&gt;"", J552&lt;&gt;""), J552/$E552, 0),"")</f>
        <v/>
      </c>
      <c r="L552" s="93"/>
      <c r="M552" s="109"/>
      <c r="O552" s="93" t="str">
        <f>IF(ISNUMBER('Model_ of_individuals'!O572), 'Model_ of_individuals'!O572*'Model_ of_individuals'!$K572,"")</f>
        <v/>
      </c>
      <c r="P552" s="93" t="str">
        <f>IF(ISNUMBER('Model_ of_individuals'!P572), 'Model_ of_individuals'!P572*'Model_ of_individuals'!$K572,"")</f>
        <v/>
      </c>
      <c r="Q552" s="93" t="str">
        <f>IF(ISNUMBER('Model_ of_individuals'!Q572), 'Model_ of_individuals'!Q572*'Model_ of_individuals'!$K572,"")</f>
        <v/>
      </c>
      <c r="R552" s="93" t="str">
        <f>IF(ISNUMBER('Model_ of_individuals'!R572), 'Model_ of_individuals'!R572*'Model_ of_individuals'!$K572,"")</f>
        <v/>
      </c>
      <c r="S552" s="93" t="str">
        <f>IF(ISNUMBER('Model_ of_individuals'!S572), 'Model_ of_individuals'!S572*'Model_ of_individuals'!$K572,"")</f>
        <v/>
      </c>
      <c r="T552" s="93" t="str">
        <f>IF(ISNUMBER('Model_ of_individuals'!T572), 'Model_ of_individuals'!T572*'Model_ of_individuals'!$K572,"")</f>
        <v/>
      </c>
      <c r="U552" s="93" t="str">
        <f>IF(ISNUMBER('Model_ of_individuals'!U572), 'Model_ of_individuals'!U572*'Model_ of_individuals'!$K572,"")</f>
        <v/>
      </c>
      <c r="V552" s="93" t="str">
        <f>IF(ISNUMBER('Model_ of_individuals'!V572), 'Model_ of_individuals'!V572*'Model_ of_individuals'!$K572,"")</f>
        <v/>
      </c>
      <c r="W552" s="93" t="str">
        <f>IF(ISNUMBER('Model_ of_individuals'!W572), 'Model_ of_individuals'!W572*'Model_ of_individuals'!$K572,"")</f>
        <v/>
      </c>
      <c r="X552" s="93" t="str">
        <f>IF(ISNUMBER('Model_ of_individuals'!X572), 'Model_ of_individuals'!X572*'Model_ of_individuals'!$K572,"")</f>
        <v/>
      </c>
      <c r="Y552" s="17"/>
      <c r="Z552" s="17"/>
      <c r="AA552" s="17"/>
      <c r="AB552" s="17"/>
      <c r="AC552" s="17"/>
      <c r="AD552" s="17"/>
      <c r="AE552" s="17"/>
      <c r="AF552" s="17"/>
      <c r="AG552" s="17"/>
      <c r="AH552" s="17"/>
      <c r="AI552" s="17"/>
      <c r="AJ552" s="17"/>
      <c r="AK552" s="17"/>
      <c r="AL552" s="17"/>
      <c r="AM552" s="17"/>
      <c r="AN552" s="17"/>
      <c r="AO552" s="17"/>
      <c r="AP552" s="17"/>
      <c r="AQ552" s="17"/>
    </row>
    <row r="553" spans="1:43" x14ac:dyDescent="0.25">
      <c r="A553" s="518"/>
      <c r="B553" s="504"/>
      <c r="C553" s="104" t="str">
        <f>IF(AND(ISNUMBER(B517), C546&lt;&gt;"", OR('Cost Inputs'!$H$164&lt;&gt;"", 'Cost Inputs'!$I$164&lt;&gt;"", 'Cost Inputs'!$J$164&lt;&gt;"")), _5_5_5, "")</f>
        <v/>
      </c>
      <c r="D553" s="17" t="str">
        <f>IF(AND(C553&lt;&gt;"", 'Cost Inputs'!$G$164&lt;&gt;""), 'Cost Inputs'!$G$164, "")</f>
        <v/>
      </c>
      <c r="E553" s="17" t="str">
        <f>IF(AND(C553&lt;&gt;"", 'Cost Inputs'!$H$164&lt;&gt;""), 'Cost Inputs'!$H$164, "")</f>
        <v/>
      </c>
      <c r="F553" s="17" t="str">
        <f>IF(AND(C553&lt;&gt;"", 'Cost Inputs'!$I$164&lt;&gt;""), 'Cost Inputs'!$I$164, "")</f>
        <v/>
      </c>
      <c r="G553" s="105" t="str">
        <f t="shared" si="45"/>
        <v/>
      </c>
      <c r="H553" s="17" t="str">
        <f>IF(AND(C553&lt;&gt;"", 'Cost Inputs'!$J$164&lt;&gt;""), 'Cost Inputs'!$J$164, "")</f>
        <v/>
      </c>
      <c r="I553" s="17" t="str">
        <f>IF($C553&lt;&gt;"", IF(AND($E553&lt;&gt;"", H553&lt;&gt;""), H553/$E553, 0),"")</f>
        <v/>
      </c>
      <c r="J553" s="17" t="str">
        <f>IF(AND(C553&lt;&gt;"",('Cost Inputs'!$I$164+'Cost Inputs'!$J$164+'Cost Inputs'!$K$164)&gt;0), 'Cost Inputs'!$I$164+'Cost Inputs'!$J$164+'Cost Inputs'!$K$164, "")</f>
        <v/>
      </c>
      <c r="K553" s="17" t="str">
        <f>IF($C553&lt;&gt;"", IF(AND($E553&lt;&gt;"", J553&lt;&gt;""), J553/$E553, 0),"")</f>
        <v/>
      </c>
      <c r="M553" s="106"/>
      <c r="O553" s="17" t="str">
        <f>IF(ISNUMBER('Model_ of_individuals'!O573), 'Model_ of_individuals'!O573*'Model_ of_individuals'!$K573,"")</f>
        <v/>
      </c>
      <c r="P553" s="17" t="str">
        <f>IF(ISNUMBER('Model_ of_individuals'!P573), 'Model_ of_individuals'!P573*'Model_ of_individuals'!$K573,"")</f>
        <v/>
      </c>
      <c r="Q553" s="17" t="str">
        <f>IF(ISNUMBER('Model_ of_individuals'!Q573), 'Model_ of_individuals'!Q573*'Model_ of_individuals'!$K573,"")</f>
        <v/>
      </c>
      <c r="R553" s="17" t="str">
        <f>IF(ISNUMBER('Model_ of_individuals'!R573), 'Model_ of_individuals'!R573*'Model_ of_individuals'!$K573,"")</f>
        <v/>
      </c>
      <c r="S553" s="17" t="str">
        <f>IF(ISNUMBER('Model_ of_individuals'!S573), 'Model_ of_individuals'!S573*'Model_ of_individuals'!$K573,"")</f>
        <v/>
      </c>
      <c r="T553" s="17" t="str">
        <f>IF(ISNUMBER('Model_ of_individuals'!T573), 'Model_ of_individuals'!T573*'Model_ of_individuals'!$K573,"")</f>
        <v/>
      </c>
      <c r="U553" s="17" t="str">
        <f>IF(ISNUMBER('Model_ of_individuals'!U573), 'Model_ of_individuals'!U573*'Model_ of_individuals'!$K573,"")</f>
        <v/>
      </c>
      <c r="V553" s="17" t="str">
        <f>IF(ISNUMBER('Model_ of_individuals'!V573), 'Model_ of_individuals'!V573*'Model_ of_individuals'!$K573,"")</f>
        <v/>
      </c>
      <c r="W553" s="17" t="str">
        <f>IF(ISNUMBER('Model_ of_individuals'!W573), 'Model_ of_individuals'!W573*'Model_ of_individuals'!$K573,"")</f>
        <v/>
      </c>
      <c r="X553" s="17" t="str">
        <f>IF(ISNUMBER('Model_ of_individuals'!X573), 'Model_ of_individuals'!X573*'Model_ of_individuals'!$K573,"")</f>
        <v/>
      </c>
      <c r="Y553" s="17"/>
      <c r="Z553" s="17"/>
      <c r="AA553" s="17"/>
      <c r="AB553" s="17"/>
      <c r="AC553" s="17"/>
      <c r="AD553" s="17"/>
      <c r="AE553" s="17"/>
      <c r="AF553" s="17"/>
      <c r="AG553" s="17"/>
      <c r="AH553" s="17"/>
      <c r="AI553" s="17"/>
      <c r="AJ553" s="17"/>
      <c r="AK553" s="17"/>
      <c r="AL553" s="17"/>
      <c r="AM553" s="17"/>
      <c r="AN553" s="17"/>
      <c r="AO553" s="17"/>
      <c r="AP553" s="17"/>
      <c r="AQ553" s="17"/>
    </row>
    <row r="554" spans="1:43" x14ac:dyDescent="0.25">
      <c r="A554" s="518"/>
      <c r="B554" s="504"/>
      <c r="C554" s="110" t="str">
        <f>IF(ISNUMBER(B517), _5_6_0, "")</f>
        <v/>
      </c>
      <c r="D554" s="94" t="str">
        <f>IF(AND(C554&lt;&gt;"", 'Cost Inputs'!$G$165&lt;&gt;""), 'Cost Inputs'!$G$165, "")</f>
        <v/>
      </c>
      <c r="E554" s="94" t="str">
        <f>IF(AND(C554&lt;&gt;"", 'Cost Inputs'!$H$165&lt;&gt;""), 'Cost Inputs'!$H$165, "")</f>
        <v/>
      </c>
      <c r="F554" s="94" t="str">
        <f>IF(AND(C554&lt;&gt;"", 'Cost Inputs'!$I$165&lt;&gt;""), 'Cost Inputs'!$I$165, "")</f>
        <v/>
      </c>
      <c r="G554" s="102" t="str">
        <f t="shared" si="45"/>
        <v/>
      </c>
      <c r="H554" s="94" t="str">
        <f>IF(AND(C554&lt;&gt;"", 'Cost Inputs'!$J$165&lt;&gt;""), 'Cost Inputs'!$J$165, "")</f>
        <v/>
      </c>
      <c r="I554" s="102" t="str">
        <f>IF($C554&lt;&gt;"",IF(AND($E554&lt;&gt;"",H554&lt;&gt;""), H554/$E554, 0),"")</f>
        <v/>
      </c>
      <c r="J554" s="94" t="str">
        <f>IF(AND(C554&lt;&gt;"",('Cost Inputs'!$I$165+'Cost Inputs'!$J$165+'Cost Inputs'!$K$165)&gt;0), 'Cost Inputs'!$I$165+'Cost Inputs'!$J$165+'Cost Inputs'!$K$165, "")</f>
        <v/>
      </c>
      <c r="K554" s="102" t="str">
        <f>IF($C554&lt;&gt;"",IF(AND($E554&lt;&gt;"",J554&lt;&gt;""), J554/$E554, 0),"")</f>
        <v/>
      </c>
      <c r="L554" s="94"/>
      <c r="M554" s="103"/>
      <c r="O554" s="94" t="str">
        <f>IF(ISNUMBER('Model_ of_individuals'!O574), 'Model_ of_individuals'!O574*'Model_ of_individuals'!$K574,"")</f>
        <v/>
      </c>
      <c r="P554" s="94" t="str">
        <f>IF(ISNUMBER('Model_ of_individuals'!P574), 'Model_ of_individuals'!P574*'Model_ of_individuals'!$K574,"")</f>
        <v/>
      </c>
      <c r="Q554" s="94" t="str">
        <f>IF(ISNUMBER('Model_ of_individuals'!Q574), 'Model_ of_individuals'!Q574*'Model_ of_individuals'!$K574,"")</f>
        <v/>
      </c>
      <c r="R554" s="94" t="str">
        <f>IF(ISNUMBER('Model_ of_individuals'!R574), 'Model_ of_individuals'!R574*'Model_ of_individuals'!$K574,"")</f>
        <v/>
      </c>
      <c r="S554" s="94" t="str">
        <f>IF(ISNUMBER('Model_ of_individuals'!S574), 'Model_ of_individuals'!S574*'Model_ of_individuals'!$K574,"")</f>
        <v/>
      </c>
      <c r="T554" s="94" t="str">
        <f>IF(ISNUMBER('Model_ of_individuals'!T574), 'Model_ of_individuals'!T574*'Model_ of_individuals'!$K574,"")</f>
        <v/>
      </c>
      <c r="U554" s="94" t="str">
        <f>IF(ISNUMBER('Model_ of_individuals'!U574), 'Model_ of_individuals'!U574*'Model_ of_individuals'!$K574,"")</f>
        <v/>
      </c>
      <c r="V554" s="94" t="str">
        <f>IF(ISNUMBER('Model_ of_individuals'!V574), 'Model_ of_individuals'!V574*'Model_ of_individuals'!$K574,"")</f>
        <v/>
      </c>
      <c r="W554" s="94" t="str">
        <f>IF(ISNUMBER('Model_ of_individuals'!W574), 'Model_ of_individuals'!W574*'Model_ of_individuals'!$K574,"")</f>
        <v/>
      </c>
      <c r="X554" s="94" t="str">
        <f>IF(ISNUMBER('Model_ of_individuals'!X574), 'Model_ of_individuals'!X574*'Model_ of_individuals'!$K574,"")</f>
        <v/>
      </c>
      <c r="Y554" s="17"/>
      <c r="Z554" s="17"/>
      <c r="AA554" s="17"/>
      <c r="AB554" s="17"/>
      <c r="AC554" s="17"/>
      <c r="AD554" s="17"/>
      <c r="AE554" s="17"/>
      <c r="AF554" s="17"/>
      <c r="AG554" s="17"/>
      <c r="AH554" s="17"/>
      <c r="AI554" s="17"/>
      <c r="AJ554" s="17"/>
      <c r="AK554" s="17"/>
      <c r="AL554" s="17"/>
      <c r="AM554" s="17"/>
      <c r="AN554" s="17"/>
      <c r="AO554" s="17"/>
      <c r="AP554" s="17"/>
      <c r="AQ554" s="17"/>
    </row>
    <row r="555" spans="1:43" x14ac:dyDescent="0.25">
      <c r="A555" s="518"/>
      <c r="B555" s="504"/>
      <c r="C555" s="104" t="str">
        <f>IF(AND(ISNUMBER(B517), OR('Cost Inputs'!$H$166&lt;&gt;"", 'Cost Inputs'!$I$166&lt;&gt;"", 'Cost Inputs'!$J$166&lt;&gt;"")), _5_6_1, "")</f>
        <v/>
      </c>
      <c r="D555" s="17" t="str">
        <f>IF(AND(C555&lt;&gt;"", 'Cost Inputs'!$G$166&lt;&gt;""), 'Cost Inputs'!$G$166, "")</f>
        <v/>
      </c>
      <c r="E555" s="17" t="str">
        <f>IF(AND(C555&lt;&gt;"", 'Cost Inputs'!$H$166&lt;&gt;""), 'Cost Inputs'!$H$166, "")</f>
        <v/>
      </c>
      <c r="F555" s="17" t="str">
        <f>IF(AND(C555&lt;&gt;"", 'Cost Inputs'!$I$166&lt;&gt;""), 'Cost Inputs'!$I$166, "")</f>
        <v/>
      </c>
      <c r="G555" s="105" t="str">
        <f t="shared" si="45"/>
        <v/>
      </c>
      <c r="H555" s="17" t="str">
        <f>IF(AND(C555&lt;&gt;"", 'Cost Inputs'!$J$166&lt;&gt;""), 'Cost Inputs'!$J$166, "")</f>
        <v/>
      </c>
      <c r="I555" s="17" t="str">
        <f>IF($C555&lt;&gt;"", IF(AND($E555&lt;&gt;"", H555&lt;&gt;""), H555/$E555, 0),"")</f>
        <v/>
      </c>
      <c r="J555" s="17" t="str">
        <f>IF(AND(C555&lt;&gt;"",('Cost Inputs'!$I$166+'Cost Inputs'!$J$166+'Cost Inputs'!$K$166)&gt;0), 'Cost Inputs'!$I$166+'Cost Inputs'!$J$166+'Cost Inputs'!$K$166, "")</f>
        <v/>
      </c>
      <c r="K555" s="17" t="str">
        <f>IF($C555&lt;&gt;"", IF(AND($E555&lt;&gt;"", J555&lt;&gt;""), J555/$E555, 0),"")</f>
        <v/>
      </c>
      <c r="M555" s="106"/>
      <c r="O555" s="17" t="str">
        <f>IF(ISNUMBER('Model_ of_individuals'!O575), 'Model_ of_individuals'!O575*'Model_ of_individuals'!$K575,"")</f>
        <v/>
      </c>
      <c r="P555" s="17" t="str">
        <f>IF(ISNUMBER('Model_ of_individuals'!P575), 'Model_ of_individuals'!P575*'Model_ of_individuals'!$K575,"")</f>
        <v/>
      </c>
      <c r="Q555" s="17" t="str">
        <f>IF(ISNUMBER('Model_ of_individuals'!Q575), 'Model_ of_individuals'!Q575*'Model_ of_individuals'!$K575,"")</f>
        <v/>
      </c>
      <c r="R555" s="17" t="str">
        <f>IF(ISNUMBER('Model_ of_individuals'!R575), 'Model_ of_individuals'!R575*'Model_ of_individuals'!$K575,"")</f>
        <v/>
      </c>
      <c r="S555" s="17" t="str">
        <f>IF(ISNUMBER('Model_ of_individuals'!S575), 'Model_ of_individuals'!S575*'Model_ of_individuals'!$K575,"")</f>
        <v/>
      </c>
      <c r="T555" s="17" t="str">
        <f>IF(ISNUMBER('Model_ of_individuals'!T575), 'Model_ of_individuals'!T575*'Model_ of_individuals'!$K575,"")</f>
        <v/>
      </c>
      <c r="U555" s="17" t="str">
        <f>IF(ISNUMBER('Model_ of_individuals'!U575), 'Model_ of_individuals'!U575*'Model_ of_individuals'!$K575,"")</f>
        <v/>
      </c>
      <c r="V555" s="17" t="str">
        <f>IF(ISNUMBER('Model_ of_individuals'!V575), 'Model_ of_individuals'!V575*'Model_ of_individuals'!$K575,"")</f>
        <v/>
      </c>
      <c r="W555" s="17" t="str">
        <f>IF(ISNUMBER('Model_ of_individuals'!W575), 'Model_ of_individuals'!W575*'Model_ of_individuals'!$K575,"")</f>
        <v/>
      </c>
      <c r="X555" s="17" t="str">
        <f>IF(ISNUMBER('Model_ of_individuals'!X575), 'Model_ of_individuals'!X575*'Model_ of_individuals'!$K575,"")</f>
        <v/>
      </c>
      <c r="Y555" s="17"/>
      <c r="Z555" s="17"/>
      <c r="AA555" s="17"/>
      <c r="AB555" s="17"/>
      <c r="AC555" s="17"/>
      <c r="AD555" s="17"/>
      <c r="AE555" s="17"/>
      <c r="AF555" s="17"/>
      <c r="AG555" s="17"/>
      <c r="AH555" s="17"/>
      <c r="AI555" s="17"/>
      <c r="AJ555" s="17"/>
      <c r="AK555" s="17"/>
      <c r="AL555" s="17"/>
      <c r="AM555" s="17"/>
      <c r="AN555" s="17"/>
      <c r="AO555" s="17"/>
      <c r="AP555" s="17"/>
      <c r="AQ555" s="17"/>
    </row>
    <row r="556" spans="1:43" ht="15.75" thickBot="1" x14ac:dyDescent="0.3">
      <c r="A556" s="518"/>
      <c r="B556" s="505"/>
      <c r="C556" s="111" t="str">
        <f>IF(AND(ISNUMBER(B517), OR('Cost Inputs'!$H$167&lt;&gt;"", 'Cost Inputs'!$I$167&lt;&gt;"", 'Cost Inputs'!$J$167&lt;&gt;"")), _5_6_2, "")</f>
        <v/>
      </c>
      <c r="D556" s="95" t="str">
        <f>IF(AND(C556&lt;&gt;"", 'Cost Inputs'!$G$167&lt;&gt;""), 'Cost Inputs'!$G$167, "")</f>
        <v/>
      </c>
      <c r="E556" s="95" t="str">
        <f>IF(AND(C556&lt;&gt;"", 'Cost Inputs'!$H$167&lt;&gt;""), 'Cost Inputs'!$H$167, "")</f>
        <v/>
      </c>
      <c r="F556" s="95" t="str">
        <f>IF(AND(C556&lt;&gt;"", 'Cost Inputs'!$I$167&lt;&gt;""), 'Cost Inputs'!$I$167, "")</f>
        <v/>
      </c>
      <c r="G556" s="112" t="str">
        <f t="shared" si="45"/>
        <v/>
      </c>
      <c r="H556" s="95" t="str">
        <f>IF(AND(C556&lt;&gt;"", 'Cost Inputs'!$J$167&lt;&gt;""), 'Cost Inputs'!$J$167, "")</f>
        <v/>
      </c>
      <c r="I556" s="95" t="str">
        <f>IF($C556&lt;&gt;"", IF(AND($E556&lt;&gt;"", H556&lt;&gt;""), H556/$E556, 0),"")</f>
        <v/>
      </c>
      <c r="J556" s="95" t="str">
        <f>IF(AND(C556&lt;&gt;"",('Cost Inputs'!$I$167+'Cost Inputs'!$J$167+'Cost Inputs'!$K$167)&gt;0), 'Cost Inputs'!$I$167+'Cost Inputs'!$J$167+'Cost Inputs'!$K$167, "")</f>
        <v/>
      </c>
      <c r="K556" s="95" t="str">
        <f>IF($C556&lt;&gt;"", IF(AND($E556&lt;&gt;"", J556&lt;&gt;""), J556/$E556, 0),"")</f>
        <v/>
      </c>
      <c r="L556" s="95"/>
      <c r="M556" s="113"/>
      <c r="O556" s="95" t="str">
        <f>IF(ISNUMBER('Model_ of_individuals'!O576), 'Model_ of_individuals'!O576*'Model_ of_individuals'!$K576,"")</f>
        <v/>
      </c>
      <c r="P556" s="95" t="str">
        <f>IF(ISNUMBER('Model_ of_individuals'!P576), 'Model_ of_individuals'!P576*'Model_ of_individuals'!$K576,"")</f>
        <v/>
      </c>
      <c r="Q556" s="95" t="str">
        <f>IF(ISNUMBER('Model_ of_individuals'!Q576), 'Model_ of_individuals'!Q576*'Model_ of_individuals'!$K576,"")</f>
        <v/>
      </c>
      <c r="R556" s="95" t="str">
        <f>IF(ISNUMBER('Model_ of_individuals'!R576), 'Model_ of_individuals'!R576*'Model_ of_individuals'!$K576,"")</f>
        <v/>
      </c>
      <c r="S556" s="95" t="str">
        <f>IF(ISNUMBER('Model_ of_individuals'!S576), 'Model_ of_individuals'!S576*'Model_ of_individuals'!$K576,"")</f>
        <v/>
      </c>
      <c r="T556" s="95" t="str">
        <f>IF(ISNUMBER('Model_ of_individuals'!T576), 'Model_ of_individuals'!T576*'Model_ of_individuals'!$K576,"")</f>
        <v/>
      </c>
      <c r="U556" s="95" t="str">
        <f>IF(ISNUMBER('Model_ of_individuals'!U576), 'Model_ of_individuals'!U576*'Model_ of_individuals'!$K576,"")</f>
        <v/>
      </c>
      <c r="V556" s="95" t="str">
        <f>IF(ISNUMBER('Model_ of_individuals'!V576), 'Model_ of_individuals'!V576*'Model_ of_individuals'!$K576,"")</f>
        <v/>
      </c>
      <c r="W556" s="95" t="str">
        <f>IF(ISNUMBER('Model_ of_individuals'!W576), 'Model_ of_individuals'!W576*'Model_ of_individuals'!$K576,"")</f>
        <v/>
      </c>
      <c r="X556" s="95" t="str">
        <f>IF(ISNUMBER('Model_ of_individuals'!X576), 'Model_ of_individuals'!X576*'Model_ of_individuals'!$K576,"")</f>
        <v/>
      </c>
      <c r="Y556" s="17"/>
      <c r="Z556" s="17"/>
      <c r="AA556" s="17"/>
      <c r="AB556" s="17"/>
      <c r="AC556" s="17"/>
      <c r="AD556" s="17"/>
      <c r="AE556" s="17"/>
      <c r="AF556" s="17"/>
      <c r="AG556" s="17"/>
      <c r="AH556" s="17"/>
      <c r="AI556" s="17"/>
      <c r="AJ556" s="17"/>
      <c r="AK556" s="17"/>
      <c r="AL556" s="17"/>
      <c r="AM556" s="17"/>
      <c r="AN556" s="17"/>
      <c r="AO556" s="17"/>
      <c r="AP556" s="17"/>
      <c r="AQ556" s="17"/>
    </row>
    <row r="557" spans="1:43" x14ac:dyDescent="0.25">
      <c r="A557" s="518" t="str">
        <f>Fifth_Stage</f>
        <v>Stage 3 Clonal Replication with Increased Repetitions</v>
      </c>
      <c r="B557" s="503" t="str">
        <f>'Breeding Inputs'!B102</f>
        <v/>
      </c>
      <c r="C557" s="520" t="str">
        <f>IF(ISNUMBER(B557), _5_3_0, "")</f>
        <v/>
      </c>
      <c r="D557" s="92" t="str">
        <f>IF(AND(C557&lt;&gt;"", 'Cost Inputs'!$G$146&lt;&gt;""), 'Cost Inputs'!$G$146, "")</f>
        <v/>
      </c>
      <c r="E557" s="92" t="str">
        <f>IF(AND(C557&lt;&gt;"", 'Cost Inputs'!$H$146&lt;&gt;""), 'Cost Inputs'!$H$146, "")</f>
        <v/>
      </c>
      <c r="F557" s="522" t="str">
        <f>IF(AND(C557&lt;&gt;"", 'Cost Inputs'!$I$146&lt;&gt;""), 'Cost Inputs'!$I$146, "")</f>
        <v/>
      </c>
      <c r="G557" s="100" t="str">
        <f t="shared" si="45"/>
        <v/>
      </c>
      <c r="H557" s="522" t="str">
        <f>IF(AND(C557&lt;&gt;"", 'Cost Inputs'!$J$146&lt;&gt;""), 'Cost Inputs'!$J$146, "")</f>
        <v/>
      </c>
      <c r="I557" s="100" t="str">
        <f>IF($C557&lt;&gt;"",IF(AND($E557&lt;&gt;"",H557&lt;&gt;""), H557/$E557, 0),"")</f>
        <v/>
      </c>
      <c r="J557" s="522" t="str">
        <f>IF(AND(C557&lt;&gt;"",('Cost Inputs'!$I$146+'Cost Inputs'!$J$146+'Cost Inputs'!$K$146)&gt;0), 'Cost Inputs'!$I$146+'Cost Inputs'!$J$146+'Cost Inputs'!$K$146, "")</f>
        <v/>
      </c>
      <c r="K557" s="100" t="str">
        <f>IF($C557&lt;&gt;"",IF(AND($E557&lt;&gt;"",J557&lt;&gt;""), J557/$E557, 0),"")</f>
        <v/>
      </c>
      <c r="L557" s="92"/>
      <c r="M557" s="101"/>
      <c r="P557" s="492" t="str">
        <f>IF(ISNUMBER('Model_ of_individuals'!P577), 'Model_ of_individuals'!P577*'Model_ of_individuals'!$K577,"")</f>
        <v/>
      </c>
      <c r="Q557" s="492" t="str">
        <f>IF(ISNUMBER('Model_ of_individuals'!Q577), 'Model_ of_individuals'!Q577*'Model_ of_individuals'!$K577,"")</f>
        <v/>
      </c>
      <c r="R557" s="492" t="str">
        <f>IF(ISNUMBER('Model_ of_individuals'!R577), 'Model_ of_individuals'!R577*'Model_ of_individuals'!$K577,"")</f>
        <v/>
      </c>
      <c r="S557" s="492" t="str">
        <f>IF(ISNUMBER('Model_ of_individuals'!S577), 'Model_ of_individuals'!S577*'Model_ of_individuals'!$K577,"")</f>
        <v/>
      </c>
      <c r="T557" s="492" t="str">
        <f>IF(ISNUMBER('Model_ of_individuals'!T577), 'Model_ of_individuals'!T577*'Model_ of_individuals'!$K577,"")</f>
        <v/>
      </c>
      <c r="U557" s="492" t="str">
        <f>IF(ISNUMBER('Model_ of_individuals'!U577), 'Model_ of_individuals'!U577*'Model_ of_individuals'!$K577,"")</f>
        <v/>
      </c>
      <c r="V557" s="492" t="str">
        <f>IF(ISNUMBER('Model_ of_individuals'!V577), 'Model_ of_individuals'!V577*'Model_ of_individuals'!$K577,"")</f>
        <v/>
      </c>
      <c r="W557" s="492" t="str">
        <f>IF(ISNUMBER('Model_ of_individuals'!W577), 'Model_ of_individuals'!W577*'Model_ of_individuals'!$K577,"")</f>
        <v/>
      </c>
      <c r="X557" s="492" t="str">
        <f>IF(ISNUMBER('Model_ of_individuals'!X577), 'Model_ of_individuals'!X577*'Model_ of_individuals'!$K577,"")</f>
        <v/>
      </c>
      <c r="Y557" s="492" t="str">
        <f>IF(ISNUMBER('Model_ of_individuals'!Y577), 'Model_ of_individuals'!Y577*'Model_ of_individuals'!$K577,"")</f>
        <v/>
      </c>
    </row>
    <row r="558" spans="1:43" x14ac:dyDescent="0.25">
      <c r="A558" s="518"/>
      <c r="B558" s="504"/>
      <c r="C558" s="521"/>
      <c r="D558" s="94" t="str">
        <f>IF(AND(C557&lt;&gt;"", 'Cost Inputs'!$G$147&lt;&gt;""), 'Cost Inputs'!$G$147, "")</f>
        <v/>
      </c>
      <c r="E558" s="94" t="str">
        <f>IF(AND(C557&lt;&gt;"", 'Cost Inputs'!$H$147&lt;&gt;""), 'Cost Inputs'!$H$147, "")</f>
        <v/>
      </c>
      <c r="F558" s="492"/>
      <c r="G558" s="102" t="str">
        <f t="shared" si="45"/>
        <v/>
      </c>
      <c r="H558" s="492"/>
      <c r="I558" s="102" t="str">
        <f>IF($C557&lt;&gt;"", IF(AND($E558&lt;&gt;"", H557&lt;&gt;""), H557/($E557*$E558), 0), "")</f>
        <v/>
      </c>
      <c r="J558" s="492" t="str">
        <f>IF(AND(C558&lt;&gt;"",('Cost Inputs'!$I$86+'Cost Inputs'!$J$86+'Cost Inputs'!$K$86)&gt;0), 'Cost Inputs'!$I$86+'Cost Inputs'!$J$86+'Cost Inputs'!$K$86, "")</f>
        <v/>
      </c>
      <c r="K558" s="102" t="str">
        <f>IF($C557&lt;&gt;"", IF(AND($E558&lt;&gt;"", J557&lt;&gt;""), J557/($E557*$E558), 0), "")</f>
        <v/>
      </c>
      <c r="L558" s="94"/>
      <c r="M558" s="103"/>
      <c r="P558" s="492" t="str">
        <f>IF(ISNUMBER('Model_ of_individuals'!P578), 'Model_ of_individuals'!P578*'Model_ of_individuals'!$K578,"")</f>
        <v/>
      </c>
      <c r="Q558" s="492" t="str">
        <f>IF(ISNUMBER('Model_ of_individuals'!Q578), 'Model_ of_individuals'!Q578*'Model_ of_individuals'!$K578,"")</f>
        <v/>
      </c>
      <c r="R558" s="492" t="str">
        <f>IF(ISNUMBER('Model_ of_individuals'!R578), 'Model_ of_individuals'!R578*'Model_ of_individuals'!$K578,"")</f>
        <v/>
      </c>
      <c r="S558" s="492" t="str">
        <f>IF(ISNUMBER('Model_ of_individuals'!S578), 'Model_ of_individuals'!S578*'Model_ of_individuals'!$K578,"")</f>
        <v/>
      </c>
      <c r="T558" s="492" t="str">
        <f>IF(ISNUMBER('Model_ of_individuals'!T578), 'Model_ of_individuals'!T578*'Model_ of_individuals'!$K578,"")</f>
        <v/>
      </c>
      <c r="U558" s="492" t="str">
        <f>IF(ISNUMBER('Model_ of_individuals'!U578), 'Model_ of_individuals'!U578*'Model_ of_individuals'!$K578,"")</f>
        <v/>
      </c>
      <c r="V558" s="492" t="str">
        <f>IF(ISNUMBER('Model_ of_individuals'!V578), 'Model_ of_individuals'!V578*'Model_ of_individuals'!$K578,"")</f>
        <v/>
      </c>
      <c r="W558" s="492" t="str">
        <f>IF(ISNUMBER('Model_ of_individuals'!W578), 'Model_ of_individuals'!W578*'Model_ of_individuals'!$K578,"")</f>
        <v/>
      </c>
      <c r="X558" s="492" t="str">
        <f>IF(ISNUMBER('Model_ of_individuals'!X578), 'Model_ of_individuals'!X578*'Model_ of_individuals'!$K578,"")</f>
        <v/>
      </c>
      <c r="Y558" s="492" t="str">
        <f>IF(ISNUMBER('Model_ of_individuals'!Y578), 'Model_ of_individuals'!Y578*'Model_ of_individuals'!$K578,"")</f>
        <v/>
      </c>
    </row>
    <row r="559" spans="1:43" x14ac:dyDescent="0.25">
      <c r="A559" s="518"/>
      <c r="B559" s="504"/>
      <c r="C559" s="104" t="str">
        <f>IF(AND(ISNUMBER(B557), OR('Cost Inputs'!$H$148&lt;&gt;"", 'Cost Inputs'!$I$148&lt;&gt;"", 'Cost Inputs'!$J$148&lt;&gt;"")), _5_3_1, "")</f>
        <v/>
      </c>
      <c r="D559" s="17" t="str">
        <f>IF(AND(C559&lt;&gt;"", 'Cost Inputs'!$G$148&lt;&gt;""), 'Cost Inputs'!$G$148, "")</f>
        <v/>
      </c>
      <c r="E559" s="17" t="str">
        <f>IF(AND(C559&lt;&gt;"", 'Cost Inputs'!$H$148&lt;&gt;""), 'Cost Inputs'!$H$148, "")</f>
        <v/>
      </c>
      <c r="F559" s="17" t="str">
        <f>IF(AND(C559&lt;&gt;"", 'Cost Inputs'!$I$148&lt;&gt;""), 'Cost Inputs'!$I$148, "")</f>
        <v/>
      </c>
      <c r="G559" s="105" t="str">
        <f t="shared" si="45"/>
        <v/>
      </c>
      <c r="H559" s="17" t="str">
        <f>IF(AND(C559&lt;&gt;"", 'Cost Inputs'!$J$148&lt;&gt;""), 'Cost Inputs'!$J$148, "")</f>
        <v/>
      </c>
      <c r="I559" s="17" t="str">
        <f t="shared" ref="I559:I567" si="48">IF($C559&lt;&gt;"", IF(AND($E559&lt;&gt;"", H559&lt;&gt;""), H559/$E559, 0),"")</f>
        <v/>
      </c>
      <c r="J559" s="17" t="str">
        <f>IF(AND(C559&lt;&gt;"",('Cost Inputs'!$I$148+'Cost Inputs'!$J$148+'Cost Inputs'!$K$148)&gt;0), 'Cost Inputs'!$I$148+'Cost Inputs'!$J$148+'Cost Inputs'!$K$148, "")</f>
        <v/>
      </c>
      <c r="K559" s="17" t="str">
        <f t="shared" ref="K559:K567" si="49">IF($C559&lt;&gt;"", IF(AND($E559&lt;&gt;"", J559&lt;&gt;""), J559/$E559, 0),"")</f>
        <v/>
      </c>
      <c r="M559" s="106"/>
      <c r="P559" s="17" t="str">
        <f>IF(ISNUMBER('Model_ of_individuals'!P579), 'Model_ of_individuals'!P579*'Model_ of_individuals'!$K579,"")</f>
        <v/>
      </c>
      <c r="Q559" s="17" t="str">
        <f>IF(ISNUMBER('Model_ of_individuals'!Q579), 'Model_ of_individuals'!Q579*'Model_ of_individuals'!$K579,"")</f>
        <v/>
      </c>
      <c r="R559" s="17" t="str">
        <f>IF(ISNUMBER('Model_ of_individuals'!R579), 'Model_ of_individuals'!R579*'Model_ of_individuals'!$K579,"")</f>
        <v/>
      </c>
      <c r="S559" s="17" t="str">
        <f>IF(ISNUMBER('Model_ of_individuals'!S579), 'Model_ of_individuals'!S579*'Model_ of_individuals'!$K579,"")</f>
        <v/>
      </c>
      <c r="T559" s="17" t="str">
        <f>IF(ISNUMBER('Model_ of_individuals'!T579), 'Model_ of_individuals'!T579*'Model_ of_individuals'!$K579,"")</f>
        <v/>
      </c>
      <c r="U559" s="17" t="str">
        <f>IF(ISNUMBER('Model_ of_individuals'!U579), 'Model_ of_individuals'!U579*'Model_ of_individuals'!$K579,"")</f>
        <v/>
      </c>
      <c r="V559" s="17" t="str">
        <f>IF(ISNUMBER('Model_ of_individuals'!V579), 'Model_ of_individuals'!V579*'Model_ of_individuals'!$K579,"")</f>
        <v/>
      </c>
      <c r="W559" s="17" t="str">
        <f>IF(ISNUMBER('Model_ of_individuals'!W579), 'Model_ of_individuals'!W579*'Model_ of_individuals'!$K579,"")</f>
        <v/>
      </c>
      <c r="X559" s="17" t="str">
        <f>IF(ISNUMBER('Model_ of_individuals'!X579), 'Model_ of_individuals'!X579*'Model_ of_individuals'!$K579,"")</f>
        <v/>
      </c>
      <c r="Y559" s="17" t="str">
        <f>IF(ISNUMBER('Model_ of_individuals'!Y579), 'Model_ of_individuals'!Y579*'Model_ of_individuals'!$K579,"")</f>
        <v/>
      </c>
    </row>
    <row r="560" spans="1:43" x14ac:dyDescent="0.25">
      <c r="A560" s="518"/>
      <c r="B560" s="504"/>
      <c r="C560" s="107" t="str">
        <f>IF(AND(ISNUMBER(B557), OR('Cost Inputs'!$H$149&lt;&gt;"", 'Cost Inputs'!$I$149&lt;&gt;"", 'Cost Inputs'!$J$149&lt;&gt;"")), _5_3_2, "")</f>
        <v/>
      </c>
      <c r="D560" s="93" t="str">
        <f>IF(AND(C560&lt;&gt;"", 'Cost Inputs'!$G$149&lt;&gt;""), 'Cost Inputs'!$G$149, "")</f>
        <v/>
      </c>
      <c r="E560" s="93" t="str">
        <f>IF(AND(C560&lt;&gt;"", 'Cost Inputs'!$H$149&lt;&gt;""), 'Cost Inputs'!$H$149, "")</f>
        <v/>
      </c>
      <c r="F560" s="93" t="str">
        <f>IF(AND(C560&lt;&gt;"", 'Cost Inputs'!$I$149&lt;&gt;""), 'Cost Inputs'!$I$149, "")</f>
        <v/>
      </c>
      <c r="G560" s="108" t="str">
        <f t="shared" si="45"/>
        <v/>
      </c>
      <c r="H560" s="93" t="str">
        <f>IF(AND(C560&lt;&gt;"", 'Cost Inputs'!$J$149&lt;&gt;""), 'Cost Inputs'!$J$149, "")</f>
        <v/>
      </c>
      <c r="I560" s="93" t="str">
        <f t="shared" si="48"/>
        <v/>
      </c>
      <c r="J560" s="93" t="str">
        <f>IF(AND(C560&lt;&gt;"",('Cost Inputs'!$I$149+'Cost Inputs'!$J$149+'Cost Inputs'!$K$149)&gt;0), 'Cost Inputs'!$I$149+'Cost Inputs'!$J$149+'Cost Inputs'!$K$149, "")</f>
        <v/>
      </c>
      <c r="K560" s="93" t="str">
        <f t="shared" si="49"/>
        <v/>
      </c>
      <c r="L560" s="93"/>
      <c r="M560" s="109"/>
      <c r="P560" s="93" t="str">
        <f>IF(ISNUMBER('Model_ of_individuals'!P580), 'Model_ of_individuals'!P580*'Model_ of_individuals'!$K580,"")</f>
        <v/>
      </c>
      <c r="Q560" s="93" t="str">
        <f>IF(ISNUMBER('Model_ of_individuals'!Q580), 'Model_ of_individuals'!Q580*'Model_ of_individuals'!$K580,"")</f>
        <v/>
      </c>
      <c r="R560" s="93" t="str">
        <f>IF(ISNUMBER('Model_ of_individuals'!R580), 'Model_ of_individuals'!R580*'Model_ of_individuals'!$K580,"")</f>
        <v/>
      </c>
      <c r="S560" s="93" t="str">
        <f>IF(ISNUMBER('Model_ of_individuals'!S580), 'Model_ of_individuals'!S580*'Model_ of_individuals'!$K580,"")</f>
        <v/>
      </c>
      <c r="T560" s="93" t="str">
        <f>IF(ISNUMBER('Model_ of_individuals'!T580), 'Model_ of_individuals'!T580*'Model_ of_individuals'!$K580,"")</f>
        <v/>
      </c>
      <c r="U560" s="93" t="str">
        <f>IF(ISNUMBER('Model_ of_individuals'!U580), 'Model_ of_individuals'!U580*'Model_ of_individuals'!$K580,"")</f>
        <v/>
      </c>
      <c r="V560" s="93" t="str">
        <f>IF(ISNUMBER('Model_ of_individuals'!V580), 'Model_ of_individuals'!V580*'Model_ of_individuals'!$K580,"")</f>
        <v/>
      </c>
      <c r="W560" s="93" t="str">
        <f>IF(ISNUMBER('Model_ of_individuals'!W580), 'Model_ of_individuals'!W580*'Model_ of_individuals'!$K580,"")</f>
        <v/>
      </c>
      <c r="X560" s="93" t="str">
        <f>IF(ISNUMBER('Model_ of_individuals'!X580), 'Model_ of_individuals'!X580*'Model_ of_individuals'!$K580,"")</f>
        <v/>
      </c>
      <c r="Y560" s="93" t="str">
        <f>IF(ISNUMBER('Model_ of_individuals'!Y580), 'Model_ of_individuals'!Y580*'Model_ of_individuals'!$K580,"")</f>
        <v/>
      </c>
    </row>
    <row r="561" spans="1:25" x14ac:dyDescent="0.25">
      <c r="A561" s="518"/>
      <c r="B561" s="504"/>
      <c r="C561" s="110" t="str">
        <f>IF(ISNUMBER(B557), _5_4_0, "")</f>
        <v/>
      </c>
      <c r="D561" s="94" t="str">
        <f>IF(AND(C561&lt;&gt;"", 'Cost Inputs'!$G$150&lt;&gt;""), 'Cost Inputs'!$G$150, "")</f>
        <v/>
      </c>
      <c r="E561" s="94" t="str">
        <f>IF(AND(C561&lt;&gt;"", 'Cost Inputs'!$H$150&lt;&gt;""), 'Cost Inputs'!$H$150, "")</f>
        <v/>
      </c>
      <c r="F561" s="94" t="str">
        <f>IF(AND(C561&lt;&gt;"", 'Cost Inputs'!$I$150&lt;&gt;""), 'Cost Inputs'!$I$150, "")</f>
        <v/>
      </c>
      <c r="G561" s="102" t="str">
        <f t="shared" si="45"/>
        <v/>
      </c>
      <c r="H561" s="102" t="str">
        <f>IF(AND(C561&lt;&gt;"", 'Cost Inputs'!$J$150&lt;&gt;""), 'Cost Inputs'!$J$150, "")</f>
        <v/>
      </c>
      <c r="I561" s="102" t="str">
        <f t="shared" si="48"/>
        <v/>
      </c>
      <c r="J561" s="102" t="str">
        <f>IF(AND(C561&lt;&gt;"",('Cost Inputs'!$I$150+'Cost Inputs'!$J$150+'Cost Inputs'!$K$150)&gt;0), 'Cost Inputs'!$I$150+'Cost Inputs'!$J$150+'Cost Inputs'!$K$150, "")</f>
        <v/>
      </c>
      <c r="K561" s="102" t="str">
        <f t="shared" si="49"/>
        <v/>
      </c>
      <c r="L561" s="94"/>
      <c r="M561" s="103"/>
      <c r="P561" s="102" t="str">
        <f>IF(ISNUMBER('Model_ of_individuals'!P581), 'Model_ of_individuals'!P581*'Model_ of_individuals'!$K581,"")</f>
        <v/>
      </c>
      <c r="Q561" s="102" t="str">
        <f>IF(ISNUMBER('Model_ of_individuals'!Q581), 'Model_ of_individuals'!Q581*'Model_ of_individuals'!$K581,"")</f>
        <v/>
      </c>
      <c r="R561" s="102" t="str">
        <f>IF(ISNUMBER('Model_ of_individuals'!R581), 'Model_ of_individuals'!R581*'Model_ of_individuals'!$K581,"")</f>
        <v/>
      </c>
      <c r="S561" s="102" t="str">
        <f>IF(ISNUMBER('Model_ of_individuals'!S581), 'Model_ of_individuals'!S581*'Model_ of_individuals'!$K581,"")</f>
        <v/>
      </c>
      <c r="T561" s="102" t="str">
        <f>IF(ISNUMBER('Model_ of_individuals'!T581), 'Model_ of_individuals'!T581*'Model_ of_individuals'!$K581,"")</f>
        <v/>
      </c>
      <c r="U561" s="102" t="str">
        <f>IF(ISNUMBER('Model_ of_individuals'!U581), 'Model_ of_individuals'!U581*'Model_ of_individuals'!$K581,"")</f>
        <v/>
      </c>
      <c r="V561" s="102" t="str">
        <f>IF(ISNUMBER('Model_ of_individuals'!V581), 'Model_ of_individuals'!V581*'Model_ of_individuals'!$K581,"")</f>
        <v/>
      </c>
      <c r="W561" s="102" t="str">
        <f>IF(ISNUMBER('Model_ of_individuals'!W581), 'Model_ of_individuals'!W581*'Model_ of_individuals'!$K581,"")</f>
        <v/>
      </c>
      <c r="X561" s="102" t="str">
        <f>IF(ISNUMBER('Model_ of_individuals'!X581), 'Model_ of_individuals'!X581*'Model_ of_individuals'!$K581,"")</f>
        <v/>
      </c>
      <c r="Y561" s="102" t="str">
        <f>IF(ISNUMBER('Model_ of_individuals'!Y581), 'Model_ of_individuals'!Y581*'Model_ of_individuals'!$K581,"")</f>
        <v/>
      </c>
    </row>
    <row r="562" spans="1:25" x14ac:dyDescent="0.25">
      <c r="A562" s="518"/>
      <c r="B562" s="504"/>
      <c r="C562" s="104" t="str">
        <f>IF(AND(ISNUMBER(B557), OR('Cost Inputs'!$H$151&lt;&gt;"", 'Cost Inputs'!$I$151&lt;&gt;"", 'Cost Inputs'!$J$151&lt;&gt;"")), _5_4_1, "")</f>
        <v/>
      </c>
      <c r="D562" s="17" t="str">
        <f>IF(AND(C562&lt;&gt;"", 'Cost Inputs'!$G$151&lt;&gt;""), 'Cost Inputs'!$G$151, "")</f>
        <v/>
      </c>
      <c r="E562" s="17" t="str">
        <f>IF(AND(C562&lt;&gt;"", 'Cost Inputs'!$H$151&lt;&gt;""), 'Cost Inputs'!$H$151, "")</f>
        <v/>
      </c>
      <c r="F562" s="17" t="str">
        <f>IF(AND(C562&lt;&gt;"", 'Cost Inputs'!$I$151&lt;&gt;""), 'Cost Inputs'!$I$151, "")</f>
        <v/>
      </c>
      <c r="G562" s="105" t="str">
        <f t="shared" si="45"/>
        <v/>
      </c>
      <c r="H562" s="17" t="str">
        <f>IF(AND(C562&lt;&gt;"", 'Cost Inputs'!$J$151&lt;&gt;""), 'Cost Inputs'!$J$151, "")</f>
        <v/>
      </c>
      <c r="I562" s="17" t="str">
        <f t="shared" si="48"/>
        <v/>
      </c>
      <c r="J562" s="17" t="str">
        <f>IF(AND(C562&lt;&gt;"",('Cost Inputs'!$I$151+'Cost Inputs'!$J$151+'Cost Inputs'!$K$151)&gt;0), 'Cost Inputs'!$I$151+'Cost Inputs'!$J$151+'Cost Inputs'!$K$151, "")</f>
        <v/>
      </c>
      <c r="K562" s="17" t="str">
        <f t="shared" si="49"/>
        <v/>
      </c>
      <c r="M562" s="106"/>
      <c r="P562" s="17" t="str">
        <f>IF(ISNUMBER('Model_ of_individuals'!P582), 'Model_ of_individuals'!P582*'Model_ of_individuals'!$K582,"")</f>
        <v/>
      </c>
      <c r="Q562" s="17" t="str">
        <f>IF(ISNUMBER('Model_ of_individuals'!Q582), 'Model_ of_individuals'!Q582*'Model_ of_individuals'!$K582,"")</f>
        <v/>
      </c>
      <c r="R562" s="17" t="str">
        <f>IF(ISNUMBER('Model_ of_individuals'!R582), 'Model_ of_individuals'!R582*'Model_ of_individuals'!$K582,"")</f>
        <v/>
      </c>
      <c r="S562" s="17" t="str">
        <f>IF(ISNUMBER('Model_ of_individuals'!S582), 'Model_ of_individuals'!S582*'Model_ of_individuals'!$K582,"")</f>
        <v/>
      </c>
      <c r="T562" s="17" t="str">
        <f>IF(ISNUMBER('Model_ of_individuals'!T582), 'Model_ of_individuals'!T582*'Model_ of_individuals'!$K582,"")</f>
        <v/>
      </c>
      <c r="U562" s="17" t="str">
        <f>IF(ISNUMBER('Model_ of_individuals'!U582), 'Model_ of_individuals'!U582*'Model_ of_individuals'!$K582,"")</f>
        <v/>
      </c>
      <c r="V562" s="17" t="str">
        <f>IF(ISNUMBER('Model_ of_individuals'!V582), 'Model_ of_individuals'!V582*'Model_ of_individuals'!$K582,"")</f>
        <v/>
      </c>
      <c r="W562" s="17" t="str">
        <f>IF(ISNUMBER('Model_ of_individuals'!W582), 'Model_ of_individuals'!W582*'Model_ of_individuals'!$K582,"")</f>
        <v/>
      </c>
      <c r="X562" s="17" t="str">
        <f>IF(ISNUMBER('Model_ of_individuals'!X582), 'Model_ of_individuals'!X582*'Model_ of_individuals'!$K582,"")</f>
        <v/>
      </c>
      <c r="Y562" s="17" t="str">
        <f>IF(ISNUMBER('Model_ of_individuals'!Y582), 'Model_ of_individuals'!Y582*'Model_ of_individuals'!$K582,"")</f>
        <v/>
      </c>
    </row>
    <row r="563" spans="1:25" x14ac:dyDescent="0.25">
      <c r="A563" s="518"/>
      <c r="B563" s="504"/>
      <c r="C563" s="107" t="str">
        <f>IF(AND(ISNUMBER(B557), OR('Cost Inputs'!$H$152&lt;&gt;"", 'Cost Inputs'!$I$152&lt;&gt;"", 'Cost Inputs'!$J$152&lt;&gt;"")), _5_4_2, "")</f>
        <v/>
      </c>
      <c r="D563" s="93" t="str">
        <f>IF(AND(C563&lt;&gt;"", 'Cost Inputs'!$G$152&lt;&gt;""), 'Cost Inputs'!$G$152, "")</f>
        <v/>
      </c>
      <c r="E563" s="93" t="str">
        <f>IF(AND(C563&lt;&gt;"", 'Cost Inputs'!$H$152&lt;&gt;""), 'Cost Inputs'!$H$152, "")</f>
        <v/>
      </c>
      <c r="F563" s="93" t="str">
        <f>IF(AND(C563&lt;&gt;"", 'Cost Inputs'!$I$152&lt;&gt;""), 'Cost Inputs'!$I$152, "")</f>
        <v/>
      </c>
      <c r="G563" s="108" t="str">
        <f t="shared" si="45"/>
        <v/>
      </c>
      <c r="H563" s="93" t="str">
        <f>IF(AND(C563&lt;&gt;"", 'Cost Inputs'!$J$152&lt;&gt;""), 'Cost Inputs'!$J$152, "")</f>
        <v/>
      </c>
      <c r="I563" s="93" t="str">
        <f t="shared" si="48"/>
        <v/>
      </c>
      <c r="J563" s="93" t="str">
        <f>IF(AND(C563&lt;&gt;"",('Cost Inputs'!$I$152+'Cost Inputs'!$J$152+'Cost Inputs'!$K$152)&gt;0), 'Cost Inputs'!$I$152+'Cost Inputs'!$J$152+'Cost Inputs'!$K$152, "")</f>
        <v/>
      </c>
      <c r="K563" s="93" t="str">
        <f t="shared" si="49"/>
        <v/>
      </c>
      <c r="L563" s="93"/>
      <c r="M563" s="109"/>
      <c r="P563" s="93" t="str">
        <f>IF(ISNUMBER('Model_ of_individuals'!P583), 'Model_ of_individuals'!P583*'Model_ of_individuals'!$K583,"")</f>
        <v/>
      </c>
      <c r="Q563" s="93" t="str">
        <f>IF(ISNUMBER('Model_ of_individuals'!Q583), 'Model_ of_individuals'!Q583*'Model_ of_individuals'!$K583,"")</f>
        <v/>
      </c>
      <c r="R563" s="93" t="str">
        <f>IF(ISNUMBER('Model_ of_individuals'!R583), 'Model_ of_individuals'!R583*'Model_ of_individuals'!$K583,"")</f>
        <v/>
      </c>
      <c r="S563" s="93" t="str">
        <f>IF(ISNUMBER('Model_ of_individuals'!S583), 'Model_ of_individuals'!S583*'Model_ of_individuals'!$K583,"")</f>
        <v/>
      </c>
      <c r="T563" s="93" t="str">
        <f>IF(ISNUMBER('Model_ of_individuals'!T583), 'Model_ of_individuals'!T583*'Model_ of_individuals'!$K583,"")</f>
        <v/>
      </c>
      <c r="U563" s="93" t="str">
        <f>IF(ISNUMBER('Model_ of_individuals'!U583), 'Model_ of_individuals'!U583*'Model_ of_individuals'!$K583,"")</f>
        <v/>
      </c>
      <c r="V563" s="93" t="str">
        <f>IF(ISNUMBER('Model_ of_individuals'!V583), 'Model_ of_individuals'!V583*'Model_ of_individuals'!$K583,"")</f>
        <v/>
      </c>
      <c r="W563" s="93" t="str">
        <f>IF(ISNUMBER('Model_ of_individuals'!W583), 'Model_ of_individuals'!W583*'Model_ of_individuals'!$K583,"")</f>
        <v/>
      </c>
      <c r="X563" s="93" t="str">
        <f>IF(ISNUMBER('Model_ of_individuals'!X583), 'Model_ of_individuals'!X583*'Model_ of_individuals'!$K583,"")</f>
        <v/>
      </c>
      <c r="Y563" s="93" t="str">
        <f>IF(ISNUMBER('Model_ of_individuals'!Y583), 'Model_ of_individuals'!Y583*'Model_ of_individuals'!$K583,"")</f>
        <v/>
      </c>
    </row>
    <row r="564" spans="1:25" x14ac:dyDescent="0.25">
      <c r="A564" s="518"/>
      <c r="B564" s="504"/>
      <c r="C564" s="104" t="str">
        <f>IF(AND(ISNUMBER(B557), OR('Cost Inputs'!$H$153&lt;&gt;"", 'Cost Inputs'!$I$153&lt;&gt;"", 'Cost Inputs'!$J$153&lt;&gt;"")), _5_4_3, "")</f>
        <v/>
      </c>
      <c r="D564" s="17" t="str">
        <f>IF(AND(C564&lt;&gt;"", 'Cost Inputs'!$G$153&lt;&gt;""), 'Cost Inputs'!$G$153, "")</f>
        <v/>
      </c>
      <c r="E564" s="17" t="str">
        <f>IF(AND(C564&lt;&gt;"", 'Cost Inputs'!$H$153&lt;&gt;""), 'Cost Inputs'!$H$153, "")</f>
        <v/>
      </c>
      <c r="F564" s="17" t="str">
        <f>IF(AND(C564&lt;&gt;"", 'Cost Inputs'!$I$153&lt;&gt;""), 'Cost Inputs'!$I$153, "")</f>
        <v/>
      </c>
      <c r="G564" s="105" t="str">
        <f t="shared" si="45"/>
        <v/>
      </c>
      <c r="H564" s="17" t="str">
        <f>IF(AND(C564&lt;&gt;"", 'Cost Inputs'!$J$153&lt;&gt;""), 'Cost Inputs'!$J$153, "")</f>
        <v/>
      </c>
      <c r="I564" s="17" t="str">
        <f t="shared" si="48"/>
        <v/>
      </c>
      <c r="J564" s="17" t="str">
        <f>IF(AND(C564&lt;&gt;"",('Cost Inputs'!$I$153+'Cost Inputs'!$J$153+'Cost Inputs'!$K$153)&gt;0), 'Cost Inputs'!$I$153+'Cost Inputs'!$J$153+'Cost Inputs'!$K$153, "")</f>
        <v/>
      </c>
      <c r="K564" s="17" t="str">
        <f t="shared" si="49"/>
        <v/>
      </c>
      <c r="M564" s="106"/>
      <c r="P564" s="17" t="str">
        <f>IF(ISNUMBER('Model_ of_individuals'!P584), 'Model_ of_individuals'!P584*'Model_ of_individuals'!$K584,"")</f>
        <v/>
      </c>
      <c r="Q564" s="17" t="str">
        <f>IF(ISNUMBER('Model_ of_individuals'!Q584), 'Model_ of_individuals'!Q584*'Model_ of_individuals'!$K584,"")</f>
        <v/>
      </c>
      <c r="R564" s="17" t="str">
        <f>IF(ISNUMBER('Model_ of_individuals'!R584), 'Model_ of_individuals'!R584*'Model_ of_individuals'!$K584,"")</f>
        <v/>
      </c>
      <c r="S564" s="17" t="str">
        <f>IF(ISNUMBER('Model_ of_individuals'!S584), 'Model_ of_individuals'!S584*'Model_ of_individuals'!$K584,"")</f>
        <v/>
      </c>
      <c r="T564" s="17" t="str">
        <f>IF(ISNUMBER('Model_ of_individuals'!T584), 'Model_ of_individuals'!T584*'Model_ of_individuals'!$K584,"")</f>
        <v/>
      </c>
      <c r="U564" s="17" t="str">
        <f>IF(ISNUMBER('Model_ of_individuals'!U584), 'Model_ of_individuals'!U584*'Model_ of_individuals'!$K584,"")</f>
        <v/>
      </c>
      <c r="V564" s="17" t="str">
        <f>IF(ISNUMBER('Model_ of_individuals'!V584), 'Model_ of_individuals'!V584*'Model_ of_individuals'!$K584,"")</f>
        <v/>
      </c>
      <c r="W564" s="17" t="str">
        <f>IF(ISNUMBER('Model_ of_individuals'!W584), 'Model_ of_individuals'!W584*'Model_ of_individuals'!$K584,"")</f>
        <v/>
      </c>
      <c r="X564" s="17" t="str">
        <f>IF(ISNUMBER('Model_ of_individuals'!X584), 'Model_ of_individuals'!X584*'Model_ of_individuals'!$K584,"")</f>
        <v/>
      </c>
      <c r="Y564" s="17" t="str">
        <f>IF(ISNUMBER('Model_ of_individuals'!Y584), 'Model_ of_individuals'!Y584*'Model_ of_individuals'!$K584,"")</f>
        <v/>
      </c>
    </row>
    <row r="565" spans="1:25" x14ac:dyDescent="0.25">
      <c r="A565" s="518"/>
      <c r="B565" s="504"/>
      <c r="C565" s="107" t="str">
        <f>IF(AND(ISNUMBER(B557), OR('Cost Inputs'!$H$154&lt;&gt;"", 'Cost Inputs'!$I$154&lt;&gt;"", 'Cost Inputs'!$J$154&lt;&gt;"")), _5_4_4, "")</f>
        <v/>
      </c>
      <c r="D565" s="93" t="str">
        <f>IF(AND(C565&lt;&gt;"", 'Cost Inputs'!$G$154&lt;&gt;""), 'Cost Inputs'!$G$154, "")</f>
        <v/>
      </c>
      <c r="E565" s="93" t="str">
        <f>IF(AND(C565&lt;&gt;"", 'Cost Inputs'!$H$154&lt;&gt;""), 'Cost Inputs'!$H$154, "")</f>
        <v/>
      </c>
      <c r="F565" s="93" t="str">
        <f>IF(AND(C565&lt;&gt;"", 'Cost Inputs'!$I$154&lt;&gt;""), 'Cost Inputs'!$I$154, "")</f>
        <v/>
      </c>
      <c r="G565" s="108" t="str">
        <f t="shared" si="45"/>
        <v/>
      </c>
      <c r="H565" s="93" t="str">
        <f>IF(AND(C565&lt;&gt;"", 'Cost Inputs'!$J$154&lt;&gt;""), 'Cost Inputs'!$J$154, "")</f>
        <v/>
      </c>
      <c r="I565" s="93" t="str">
        <f t="shared" si="48"/>
        <v/>
      </c>
      <c r="J565" s="93" t="str">
        <f>IF(AND(C565&lt;&gt;"",('Cost Inputs'!$I$154+'Cost Inputs'!$J$154+'Cost Inputs'!$K$154)&gt;0), 'Cost Inputs'!$I$154+'Cost Inputs'!$J$154+'Cost Inputs'!$K$154, "")</f>
        <v/>
      </c>
      <c r="K565" s="93" t="str">
        <f t="shared" si="49"/>
        <v/>
      </c>
      <c r="L565" s="93"/>
      <c r="M565" s="109"/>
      <c r="P565" s="93" t="str">
        <f>IF(ISNUMBER('Model_ of_individuals'!P585), 'Model_ of_individuals'!P585*'Model_ of_individuals'!$K585,"")</f>
        <v/>
      </c>
      <c r="Q565" s="93" t="str">
        <f>IF(ISNUMBER('Model_ of_individuals'!Q585), 'Model_ of_individuals'!Q585*'Model_ of_individuals'!$K585,"")</f>
        <v/>
      </c>
      <c r="R565" s="93" t="str">
        <f>IF(ISNUMBER('Model_ of_individuals'!R585), 'Model_ of_individuals'!R585*'Model_ of_individuals'!$K585,"")</f>
        <v/>
      </c>
      <c r="S565" s="93" t="str">
        <f>IF(ISNUMBER('Model_ of_individuals'!S585), 'Model_ of_individuals'!S585*'Model_ of_individuals'!$K585,"")</f>
        <v/>
      </c>
      <c r="T565" s="93" t="str">
        <f>IF(ISNUMBER('Model_ of_individuals'!T585), 'Model_ of_individuals'!T585*'Model_ of_individuals'!$K585,"")</f>
        <v/>
      </c>
      <c r="U565" s="93" t="str">
        <f>IF(ISNUMBER('Model_ of_individuals'!U585), 'Model_ of_individuals'!U585*'Model_ of_individuals'!$K585,"")</f>
        <v/>
      </c>
      <c r="V565" s="93" t="str">
        <f>IF(ISNUMBER('Model_ of_individuals'!V585), 'Model_ of_individuals'!V585*'Model_ of_individuals'!$K585,"")</f>
        <v/>
      </c>
      <c r="W565" s="93" t="str">
        <f>IF(ISNUMBER('Model_ of_individuals'!W585), 'Model_ of_individuals'!W585*'Model_ of_individuals'!$K585,"")</f>
        <v/>
      </c>
      <c r="X565" s="93" t="str">
        <f>IF(ISNUMBER('Model_ of_individuals'!X585), 'Model_ of_individuals'!X585*'Model_ of_individuals'!$K585,"")</f>
        <v/>
      </c>
      <c r="Y565" s="93" t="str">
        <f>IF(ISNUMBER('Model_ of_individuals'!Y585), 'Model_ of_individuals'!Y585*'Model_ of_individuals'!$K585,"")</f>
        <v/>
      </c>
    </row>
    <row r="566" spans="1:25" x14ac:dyDescent="0.25">
      <c r="A566" s="518"/>
      <c r="B566" s="504"/>
      <c r="C566" s="104" t="str">
        <f>IF(AND(ISNUMBER(B557), OR('Cost Inputs'!$H$155&lt;&gt;"", 'Cost Inputs'!$I$155&lt;&gt;"", 'Cost Inputs'!$J$155&lt;&gt;"")), _5_4_5, "")</f>
        <v/>
      </c>
      <c r="D566" s="17" t="str">
        <f>IF(AND(C566&lt;&gt;"", 'Cost Inputs'!$G$155&lt;&gt;""), 'Cost Inputs'!$G$155, "")</f>
        <v/>
      </c>
      <c r="E566" s="17" t="str">
        <f>IF(AND(C566&lt;&gt;"", 'Cost Inputs'!$H$155&lt;&gt;""), 'Cost Inputs'!$H$155, "")</f>
        <v/>
      </c>
      <c r="F566" s="17" t="str">
        <f>IF(AND(C566&lt;&gt;"", 'Cost Inputs'!$I$155&lt;&gt;""), 'Cost Inputs'!$I$155, "")</f>
        <v/>
      </c>
      <c r="G566" s="105" t="str">
        <f t="shared" si="45"/>
        <v/>
      </c>
      <c r="H566" s="17" t="str">
        <f>IF(AND(C566&lt;&gt;"", 'Cost Inputs'!$J$155&lt;&gt;""), 'Cost Inputs'!$J$155, "")</f>
        <v/>
      </c>
      <c r="I566" s="17" t="str">
        <f t="shared" si="48"/>
        <v/>
      </c>
      <c r="J566" s="17" t="str">
        <f>IF(AND(C566&lt;&gt;"",('Cost Inputs'!$I$155+'Cost Inputs'!$J$155+'Cost Inputs'!$K$155)&gt;0), 'Cost Inputs'!$I$155+'Cost Inputs'!$J$155+'Cost Inputs'!$K$155, "")</f>
        <v/>
      </c>
      <c r="K566" s="17" t="str">
        <f t="shared" si="49"/>
        <v/>
      </c>
      <c r="M566" s="106"/>
      <c r="P566" s="17" t="str">
        <f>IF(ISNUMBER('Model_ of_individuals'!P586), 'Model_ of_individuals'!P586*'Model_ of_individuals'!$K586,"")</f>
        <v/>
      </c>
      <c r="Q566" s="17" t="str">
        <f>IF(ISNUMBER('Model_ of_individuals'!Q586), 'Model_ of_individuals'!Q586*'Model_ of_individuals'!$K586,"")</f>
        <v/>
      </c>
      <c r="R566" s="17" t="str">
        <f>IF(ISNUMBER('Model_ of_individuals'!R586), 'Model_ of_individuals'!R586*'Model_ of_individuals'!$K586,"")</f>
        <v/>
      </c>
      <c r="S566" s="17" t="str">
        <f>IF(ISNUMBER('Model_ of_individuals'!S586), 'Model_ of_individuals'!S586*'Model_ of_individuals'!$K586,"")</f>
        <v/>
      </c>
      <c r="T566" s="17" t="str">
        <f>IF(ISNUMBER('Model_ of_individuals'!T586), 'Model_ of_individuals'!T586*'Model_ of_individuals'!$K586,"")</f>
        <v/>
      </c>
      <c r="U566" s="17" t="str">
        <f>IF(ISNUMBER('Model_ of_individuals'!U586), 'Model_ of_individuals'!U586*'Model_ of_individuals'!$K586,"")</f>
        <v/>
      </c>
      <c r="V566" s="17" t="str">
        <f>IF(ISNUMBER('Model_ of_individuals'!V586), 'Model_ of_individuals'!V586*'Model_ of_individuals'!$K586,"")</f>
        <v/>
      </c>
      <c r="W566" s="17" t="str">
        <f>IF(ISNUMBER('Model_ of_individuals'!W586), 'Model_ of_individuals'!W586*'Model_ of_individuals'!$K586,"")</f>
        <v/>
      </c>
      <c r="X566" s="17" t="str">
        <f>IF(ISNUMBER('Model_ of_individuals'!X586), 'Model_ of_individuals'!X586*'Model_ of_individuals'!$K586,"")</f>
        <v/>
      </c>
      <c r="Y566" s="17" t="str">
        <f>IF(ISNUMBER('Model_ of_individuals'!Y586), 'Model_ of_individuals'!Y586*'Model_ of_individuals'!$K586,"")</f>
        <v/>
      </c>
    </row>
    <row r="567" spans="1:25" x14ac:dyDescent="0.25">
      <c r="A567" s="518"/>
      <c r="B567" s="504"/>
      <c r="C567" s="107" t="str">
        <f>IF(AND(ISNUMBER(B557), OR('Cost Inputs'!$H$156&lt;&gt;"", 'Cost Inputs'!$I$156&lt;&gt;"", 'Cost Inputs'!$J$156&lt;&gt;"")), _5_4_6, "")</f>
        <v/>
      </c>
      <c r="D567" s="93" t="str">
        <f>IF(AND(C567&lt;&gt;"", 'Cost Inputs'!$G$156&lt;&gt;""), 'Cost Inputs'!$G$156, "")</f>
        <v/>
      </c>
      <c r="E567" s="93" t="str">
        <f>IF(AND(C567&lt;&gt;"", 'Cost Inputs'!$H$156&lt;&gt;""), 'Cost Inputs'!$H$156, "")</f>
        <v/>
      </c>
      <c r="F567" s="93" t="str">
        <f>IF(AND(C567&lt;&gt;"", 'Cost Inputs'!$I$156&lt;&gt;""), 'Cost Inputs'!$I$156, "")</f>
        <v/>
      </c>
      <c r="G567" s="108" t="str">
        <f t="shared" si="45"/>
        <v/>
      </c>
      <c r="H567" s="93" t="str">
        <f>IF(AND(C567&lt;&gt;"", 'Cost Inputs'!$J$156&lt;&gt;""), 'Cost Inputs'!$J$16, "")</f>
        <v/>
      </c>
      <c r="I567" s="93" t="str">
        <f t="shared" si="48"/>
        <v/>
      </c>
      <c r="J567" s="93" t="str">
        <f>IF(AND(C567&lt;&gt;"",('Cost Inputs'!$I$156+'Cost Inputs'!$J$156+'Cost Inputs'!$K$156)&gt;0), 'Cost Inputs'!$I$156+'Cost Inputs'!$J$156+'Cost Inputs'!$K$156, "")</f>
        <v/>
      </c>
      <c r="K567" s="93" t="str">
        <f t="shared" si="49"/>
        <v/>
      </c>
      <c r="L567" s="93"/>
      <c r="M567" s="109"/>
      <c r="P567" s="93" t="str">
        <f>IF(ISNUMBER('Model_ of_individuals'!P587), 'Model_ of_individuals'!P587*'Model_ of_individuals'!$K587,"")</f>
        <v/>
      </c>
      <c r="Q567" s="93" t="str">
        <f>IF(ISNUMBER('Model_ of_individuals'!Q587), 'Model_ of_individuals'!Q587*'Model_ of_individuals'!$K587,"")</f>
        <v/>
      </c>
      <c r="R567" s="93" t="str">
        <f>IF(ISNUMBER('Model_ of_individuals'!R587), 'Model_ of_individuals'!R587*'Model_ of_individuals'!$K587,"")</f>
        <v/>
      </c>
      <c r="S567" s="93" t="str">
        <f>IF(ISNUMBER('Model_ of_individuals'!S587), 'Model_ of_individuals'!S587*'Model_ of_individuals'!$K587,"")</f>
        <v/>
      </c>
      <c r="T567" s="93" t="str">
        <f>IF(ISNUMBER('Model_ of_individuals'!T587), 'Model_ of_individuals'!T587*'Model_ of_individuals'!$K587,"")</f>
        <v/>
      </c>
      <c r="U567" s="93" t="str">
        <f>IF(ISNUMBER('Model_ of_individuals'!U587), 'Model_ of_individuals'!U587*'Model_ of_individuals'!$K587,"")</f>
        <v/>
      </c>
      <c r="V567" s="93" t="str">
        <f>IF(ISNUMBER('Model_ of_individuals'!V587), 'Model_ of_individuals'!V587*'Model_ of_individuals'!$K587,"")</f>
        <v/>
      </c>
      <c r="W567" s="93" t="str">
        <f>IF(ISNUMBER('Model_ of_individuals'!W587), 'Model_ of_individuals'!W587*'Model_ of_individuals'!$K587,"")</f>
        <v/>
      </c>
      <c r="X567" s="93" t="str">
        <f>IF(ISNUMBER('Model_ of_individuals'!X587), 'Model_ of_individuals'!X587*'Model_ of_individuals'!$K587,"")</f>
        <v/>
      </c>
      <c r="Y567" s="93" t="str">
        <f>IF(ISNUMBER('Model_ of_individuals'!Y587), 'Model_ of_individuals'!Y587*'Model_ of_individuals'!$K587,"")</f>
        <v/>
      </c>
    </row>
    <row r="568" spans="1:25" x14ac:dyDescent="0.25">
      <c r="A568" s="518"/>
      <c r="B568" s="504"/>
      <c r="C568" s="521" t="str">
        <f>IF(AND(B557&lt;&gt;"",ISNUMBER(B557),ISNUMBER(Stage3EvaluationBegins)),IF((INDEX(ProgramYearStage3,MATCH(Stage3EvaluationBegins,Years_in_Stage3,0)))=B557,_5_5_0,IF(AND(B557&lt;&gt;"",C546&lt;&gt;""),_5_5_0,IF(AND(B557&lt;&gt;"",ISNUMBER(B557),OR(Stage3EvaluationBegins=0,Stage3EvaluationBegins="")),"",""))),"")</f>
        <v/>
      </c>
      <c r="D568" s="94" t="str">
        <f>IF(AND(C568&lt;&gt;"", 'Cost Inputs'!$G$157&lt;&gt;""), 'Cost Inputs'!$G$157, "")</f>
        <v/>
      </c>
      <c r="E568" s="94" t="str">
        <f>IF(AND(C568&lt;&gt;"", 'Cost Inputs'!$H$157&lt;&gt;""), 'Cost Inputs'!$H$157, "")</f>
        <v/>
      </c>
      <c r="F568" s="492" t="str">
        <f>IF(AND(C568&lt;&gt;"", 'Cost Inputs'!$I$157&lt;&gt;""), 'Cost Inputs'!$I$157, "")</f>
        <v/>
      </c>
      <c r="G568" s="102" t="str">
        <f t="shared" si="45"/>
        <v/>
      </c>
      <c r="H568" s="492" t="str">
        <f>IF(AND(C568&lt;&gt;"", 'Cost Inputs'!$J$157&lt;&gt;""), 'Cost Inputs'!$J$157, "")</f>
        <v/>
      </c>
      <c r="I568" s="102" t="str">
        <f>IF($C568&lt;&gt;"",IF(AND($E568&lt;&gt;"",H568&lt;&gt;""), H568/$E568, 0),"")</f>
        <v/>
      </c>
      <c r="J568" s="492" t="str">
        <f>IF(AND(C568&lt;&gt;"",('Cost Inputs'!$I$157+'Cost Inputs'!$J$157+'Cost Inputs'!$K$157)&gt;0), 'Cost Inputs'!$I$157+'Cost Inputs'!$J$157+'Cost Inputs'!$K$157, "")</f>
        <v/>
      </c>
      <c r="K568" s="102" t="str">
        <f>IF($C568&lt;&gt;"",IF(AND($E568&lt;&gt;"",J568&lt;&gt;""), J568/$E568, 0),"")</f>
        <v/>
      </c>
      <c r="L568" s="94"/>
      <c r="M568" s="103"/>
      <c r="P568" s="492" t="str">
        <f>IF(ISNUMBER('Model_ of_individuals'!P588), 'Model_ of_individuals'!P588*'Model_ of_individuals'!$K588,"")</f>
        <v/>
      </c>
      <c r="Q568" s="492" t="str">
        <f>IF(ISNUMBER('Model_ of_individuals'!Q588), 'Model_ of_individuals'!Q588*'Model_ of_individuals'!$K588,"")</f>
        <v/>
      </c>
      <c r="R568" s="492" t="str">
        <f>IF(ISNUMBER('Model_ of_individuals'!R588), 'Model_ of_individuals'!R588*'Model_ of_individuals'!$K588,"")</f>
        <v/>
      </c>
      <c r="S568" s="492" t="str">
        <f>IF(ISNUMBER('Model_ of_individuals'!S588), 'Model_ of_individuals'!S588*'Model_ of_individuals'!$K588,"")</f>
        <v/>
      </c>
      <c r="T568" s="492" t="str">
        <f>IF(ISNUMBER('Model_ of_individuals'!T588), 'Model_ of_individuals'!T588*'Model_ of_individuals'!$K588,"")</f>
        <v/>
      </c>
      <c r="U568" s="492" t="str">
        <f>IF(ISNUMBER('Model_ of_individuals'!U588), 'Model_ of_individuals'!U588*'Model_ of_individuals'!$K588,"")</f>
        <v/>
      </c>
      <c r="V568" s="492" t="str">
        <f>IF(ISNUMBER('Model_ of_individuals'!V588), 'Model_ of_individuals'!V588*'Model_ of_individuals'!$K588,"")</f>
        <v/>
      </c>
      <c r="W568" s="492" t="str">
        <f>IF(ISNUMBER('Model_ of_individuals'!W588), 'Model_ of_individuals'!W588*'Model_ of_individuals'!$K588,"")</f>
        <v/>
      </c>
      <c r="X568" s="492" t="str">
        <f>IF(ISNUMBER('Model_ of_individuals'!X588), 'Model_ of_individuals'!X588*'Model_ of_individuals'!$K588,"")</f>
        <v/>
      </c>
      <c r="Y568" s="492" t="str">
        <f>IF(ISNUMBER('Model_ of_individuals'!Y588), 'Model_ of_individuals'!Y588*'Model_ of_individuals'!$K588,"")</f>
        <v/>
      </c>
    </row>
    <row r="569" spans="1:25" x14ac:dyDescent="0.25">
      <c r="A569" s="518"/>
      <c r="B569" s="504"/>
      <c r="C569" s="521"/>
      <c r="D569" s="94" t="str">
        <f>IF(AND(C568&lt;&gt;"", 'Cost Inputs'!$G$158&lt;&gt;""), 'Cost Inputs'!$G$158, "")</f>
        <v/>
      </c>
      <c r="E569" s="94" t="str">
        <f>IF(AND(C568&lt;&gt;"", 'Cost Inputs'!$H$158&lt;&gt;""), 'Cost Inputs'!$H$158, "")</f>
        <v/>
      </c>
      <c r="F569" s="492"/>
      <c r="G569" s="102" t="str">
        <f t="shared" si="45"/>
        <v/>
      </c>
      <c r="H569" s="492"/>
      <c r="I569" s="102" t="str">
        <f>IF($C568&lt;&gt;"", IF(AND($E569&lt;&gt;"", H568&lt;&gt;""), H568/($E568*$E569), 0), "")</f>
        <v/>
      </c>
      <c r="J569" s="492" t="str">
        <f>IF(AND(C569&lt;&gt;"",('Cost Inputs'!$I$86+'Cost Inputs'!$J$86+'Cost Inputs'!$K$86)&gt;0), 'Cost Inputs'!$I$86+'Cost Inputs'!$J$86+'Cost Inputs'!$K$86, "")</f>
        <v/>
      </c>
      <c r="K569" s="102" t="str">
        <f>IF($C568&lt;&gt;"", IF(AND($E569&lt;&gt;"", J568&lt;&gt;""), J568/($E568*$E569), 0), "")</f>
        <v/>
      </c>
      <c r="L569" s="94"/>
      <c r="M569" s="103"/>
      <c r="P569" s="492" t="str">
        <f>IF(ISNUMBER('Model_ of_individuals'!P589), 'Model_ of_individuals'!P589*'Model_ of_individuals'!$K589,"")</f>
        <v/>
      </c>
      <c r="Q569" s="492" t="str">
        <f>IF(ISNUMBER('Model_ of_individuals'!Q589), 'Model_ of_individuals'!Q589*'Model_ of_individuals'!$K589,"")</f>
        <v/>
      </c>
      <c r="R569" s="492" t="str">
        <f>IF(ISNUMBER('Model_ of_individuals'!R589), 'Model_ of_individuals'!R589*'Model_ of_individuals'!$K589,"")</f>
        <v/>
      </c>
      <c r="S569" s="492" t="str">
        <f>IF(ISNUMBER('Model_ of_individuals'!S589), 'Model_ of_individuals'!S589*'Model_ of_individuals'!$K589,"")</f>
        <v/>
      </c>
      <c r="T569" s="492" t="str">
        <f>IF(ISNUMBER('Model_ of_individuals'!T589), 'Model_ of_individuals'!T589*'Model_ of_individuals'!$K589,"")</f>
        <v/>
      </c>
      <c r="U569" s="492" t="str">
        <f>IF(ISNUMBER('Model_ of_individuals'!U589), 'Model_ of_individuals'!U589*'Model_ of_individuals'!$K589,"")</f>
        <v/>
      </c>
      <c r="V569" s="492" t="str">
        <f>IF(ISNUMBER('Model_ of_individuals'!V589), 'Model_ of_individuals'!V589*'Model_ of_individuals'!$K589,"")</f>
        <v/>
      </c>
      <c r="W569" s="492" t="str">
        <f>IF(ISNUMBER('Model_ of_individuals'!W589), 'Model_ of_individuals'!W589*'Model_ of_individuals'!$K589,"")</f>
        <v/>
      </c>
      <c r="X569" s="492" t="str">
        <f>IF(ISNUMBER('Model_ of_individuals'!X589), 'Model_ of_individuals'!X589*'Model_ of_individuals'!$K589,"")</f>
        <v/>
      </c>
      <c r="Y569" s="492" t="str">
        <f>IF(ISNUMBER('Model_ of_individuals'!Y589), 'Model_ of_individuals'!Y589*'Model_ of_individuals'!$K589,"")</f>
        <v/>
      </c>
    </row>
    <row r="570" spans="1:25" x14ac:dyDescent="0.25">
      <c r="A570" s="518"/>
      <c r="B570" s="504"/>
      <c r="C570" s="376" t="str">
        <f>IF(AND(ISNUMBER(B557), C568&lt;&gt;"", OR('Cost Inputs'!$H$159&lt;&gt;"", 'Cost Inputs'!$I$159&lt;&gt;"", 'Cost Inputs'!$J$159&lt;&gt;"")), _5_5_1, "")</f>
        <v/>
      </c>
      <c r="D570" s="17" t="str">
        <f>IF(AND(C570&lt;&gt;"", 'Cost Inputs'!$G$159&lt;&gt;""), 'Cost Inputs'!$G$159, "")</f>
        <v/>
      </c>
      <c r="E570" s="17" t="str">
        <f>IF(AND(C570&lt;&gt;"", 'Cost Inputs'!$H$159&lt;&gt;""), 'Cost Inputs'!$H$159, "")</f>
        <v/>
      </c>
      <c r="F570" s="493" t="str">
        <f>IF(AND(C570&lt;&gt;"", 'Cost Inputs'!$I$159&lt;&gt;""), 'Cost Inputs'!$I$159, "")</f>
        <v/>
      </c>
      <c r="G570" s="105" t="str">
        <f t="shared" si="45"/>
        <v/>
      </c>
      <c r="H570" s="493" t="str">
        <f>IF(AND(C570&lt;&gt;"", 'Cost Inputs'!$J$159&lt;&gt;""), 'Cost Inputs'!$J$159, "")</f>
        <v/>
      </c>
      <c r="I570" s="105" t="str">
        <f>IF($C570&lt;&gt;"",IF(AND($E570&lt;&gt;"",H570&lt;&gt;""), H570/$E570, 0),"")</f>
        <v/>
      </c>
      <c r="J570" s="493" t="str">
        <f>IF(AND(C570&lt;&gt;"",('Cost Inputs'!$I$159+'Cost Inputs'!$J$159+'Cost Inputs'!$K$159)&gt;0), 'Cost Inputs'!$I$159+'Cost Inputs'!$J$159+'Cost Inputs'!$K$159, "")</f>
        <v/>
      </c>
      <c r="K570" s="105" t="str">
        <f>IF($C570&lt;&gt;"",IF(AND($E570&lt;&gt;"",J570&lt;&gt;""), J570/$E570, 0),"")</f>
        <v/>
      </c>
      <c r="M570" s="106"/>
      <c r="P570" s="493" t="str">
        <f>IF(ISNUMBER('Model_ of_individuals'!P590), 'Model_ of_individuals'!P590*'Model_ of_individuals'!$K590,"")</f>
        <v/>
      </c>
      <c r="Q570" s="493" t="str">
        <f>IF(ISNUMBER('Model_ of_individuals'!Q590), 'Model_ of_individuals'!Q590*'Model_ of_individuals'!$K590,"")</f>
        <v/>
      </c>
      <c r="R570" s="493" t="str">
        <f>IF(ISNUMBER('Model_ of_individuals'!R590), 'Model_ of_individuals'!R590*'Model_ of_individuals'!$K590,"")</f>
        <v/>
      </c>
      <c r="S570" s="493" t="str">
        <f>IF(ISNUMBER('Model_ of_individuals'!S590), 'Model_ of_individuals'!S590*'Model_ of_individuals'!$K590,"")</f>
        <v/>
      </c>
      <c r="T570" s="493" t="str">
        <f>IF(ISNUMBER('Model_ of_individuals'!T590), 'Model_ of_individuals'!T590*'Model_ of_individuals'!$K590,"")</f>
        <v/>
      </c>
      <c r="U570" s="493" t="str">
        <f>IF(ISNUMBER('Model_ of_individuals'!U590), 'Model_ of_individuals'!U590*'Model_ of_individuals'!$K590,"")</f>
        <v/>
      </c>
      <c r="V570" s="493" t="str">
        <f>IF(ISNUMBER('Model_ of_individuals'!V590), 'Model_ of_individuals'!V590*'Model_ of_individuals'!$K590,"")</f>
        <v/>
      </c>
      <c r="W570" s="493" t="str">
        <f>IF(ISNUMBER('Model_ of_individuals'!W590), 'Model_ of_individuals'!W590*'Model_ of_individuals'!$K590,"")</f>
        <v/>
      </c>
      <c r="X570" s="493" t="str">
        <f>IF(ISNUMBER('Model_ of_individuals'!X590), 'Model_ of_individuals'!X590*'Model_ of_individuals'!$K590,"")</f>
        <v/>
      </c>
      <c r="Y570" s="493" t="str">
        <f>IF(ISNUMBER('Model_ of_individuals'!Y590), 'Model_ of_individuals'!Y590*'Model_ of_individuals'!$K590,"")</f>
        <v/>
      </c>
    </row>
    <row r="571" spans="1:25" x14ac:dyDescent="0.25">
      <c r="A571" s="518"/>
      <c r="B571" s="504"/>
      <c r="C571" s="376" t="str">
        <f>IF(AND(ISNUMBER(B553), OR('Cost Inputs'!$H$85&lt;&gt;"", 'Cost Inputs'!$I$85&lt;&gt;"", 'Cost Inputs'!$J$85&lt;&gt;"")), _3_5_1, "")</f>
        <v/>
      </c>
      <c r="D571" s="17" t="str">
        <f>IF(AND(C570&lt;&gt;"", 'Cost Inputs'!$G$160&lt;&gt;""), 'Cost Inputs'!$G$160, "")</f>
        <v/>
      </c>
      <c r="E571" s="17" t="str">
        <f>IF(AND(C570&lt;&gt;"", 'Cost Inputs'!$H$160&lt;&gt;""), 'Cost Inputs'!$H$160, "")</f>
        <v/>
      </c>
      <c r="F571" s="493"/>
      <c r="G571" s="105" t="str">
        <f t="shared" si="45"/>
        <v/>
      </c>
      <c r="H571" s="493"/>
      <c r="I571" s="105" t="str">
        <f>IF($C570&lt;&gt;"", IF(AND($E571&lt;&gt;"", H570&lt;&gt;""), H570/($E570*$E571), 0), "")</f>
        <v/>
      </c>
      <c r="J571" s="493" t="str">
        <f>IF(AND(C571&lt;&gt;"",('Cost Inputs'!$I$86+'Cost Inputs'!$J$86+'Cost Inputs'!$K$86)&gt;0), 'Cost Inputs'!$I$86+'Cost Inputs'!$J$86+'Cost Inputs'!$K$86, "")</f>
        <v/>
      </c>
      <c r="K571" s="105" t="str">
        <f>IF($C570&lt;&gt;"", IF(AND($E571&lt;&gt;"", J570&lt;&gt;""), J570/($E570*$E571), 0), "")</f>
        <v/>
      </c>
      <c r="M571" s="106"/>
      <c r="P571" s="493" t="str">
        <f>IF(ISNUMBER('Model_ of_individuals'!P591), 'Model_ of_individuals'!P591*'Model_ of_individuals'!$K591,"")</f>
        <v/>
      </c>
      <c r="Q571" s="493" t="str">
        <f>IF(ISNUMBER('Model_ of_individuals'!Q591), 'Model_ of_individuals'!Q591*'Model_ of_individuals'!$K591,"")</f>
        <v/>
      </c>
      <c r="R571" s="493" t="str">
        <f>IF(ISNUMBER('Model_ of_individuals'!R591), 'Model_ of_individuals'!R591*'Model_ of_individuals'!$K591,"")</f>
        <v/>
      </c>
      <c r="S571" s="493" t="str">
        <f>IF(ISNUMBER('Model_ of_individuals'!S591), 'Model_ of_individuals'!S591*'Model_ of_individuals'!$K591,"")</f>
        <v/>
      </c>
      <c r="T571" s="493" t="str">
        <f>IF(ISNUMBER('Model_ of_individuals'!T591), 'Model_ of_individuals'!T591*'Model_ of_individuals'!$K591,"")</f>
        <v/>
      </c>
      <c r="U571" s="493" t="str">
        <f>IF(ISNUMBER('Model_ of_individuals'!U591), 'Model_ of_individuals'!U591*'Model_ of_individuals'!$K591,"")</f>
        <v/>
      </c>
      <c r="V571" s="493" t="str">
        <f>IF(ISNUMBER('Model_ of_individuals'!V591), 'Model_ of_individuals'!V591*'Model_ of_individuals'!$K591,"")</f>
        <v/>
      </c>
      <c r="W571" s="493" t="str">
        <f>IF(ISNUMBER('Model_ of_individuals'!W591), 'Model_ of_individuals'!W591*'Model_ of_individuals'!$K591,"")</f>
        <v/>
      </c>
      <c r="X571" s="493" t="str">
        <f>IF(ISNUMBER('Model_ of_individuals'!X591), 'Model_ of_individuals'!X591*'Model_ of_individuals'!$K591,"")</f>
        <v/>
      </c>
      <c r="Y571" s="493" t="str">
        <f>IF(ISNUMBER('Model_ of_individuals'!Y591), 'Model_ of_individuals'!Y591*'Model_ of_individuals'!$K591,"")</f>
        <v/>
      </c>
    </row>
    <row r="572" spans="1:25" x14ac:dyDescent="0.25">
      <c r="A572" s="518"/>
      <c r="B572" s="504"/>
      <c r="C572" s="107" t="str">
        <f>IF(AND(ISNUMBER(B557), C568&lt;&gt;"", OR('Cost Inputs'!$H$161&lt;&gt;"", 'Cost Inputs'!$I$161&lt;&gt;"", 'Cost Inputs'!$J$161&lt;&gt;"")), _5_5_2, "")</f>
        <v/>
      </c>
      <c r="D572" s="93" t="str">
        <f>IF(AND(C572&lt;&gt;"", 'Cost Inputs'!$G$161&lt;&gt;""), 'Cost Inputs'!$G$161, "")</f>
        <v/>
      </c>
      <c r="E572" s="93" t="str">
        <f>IF(AND(C572&lt;&gt;"", 'Cost Inputs'!$H$161&lt;&gt;""), 'Cost Inputs'!$H$161, "")</f>
        <v/>
      </c>
      <c r="F572" s="93" t="str">
        <f>IF(AND(C572&lt;&gt;"", 'Cost Inputs'!$I$161&lt;&gt;""), 'Cost Inputs'!$I$161, "")</f>
        <v/>
      </c>
      <c r="G572" s="108" t="str">
        <f t="shared" si="45"/>
        <v/>
      </c>
      <c r="H572" s="93" t="str">
        <f>IF(AND(C572&lt;&gt;"", 'Cost Inputs'!$J$161&lt;&gt;""), 'Cost Inputs'!$J$161, "")</f>
        <v/>
      </c>
      <c r="I572" s="93" t="str">
        <f>IF($C572&lt;&gt;"", IF(AND($E572&lt;&gt;"", H572&lt;&gt;""), H572/$E572, 0),"")</f>
        <v/>
      </c>
      <c r="J572" s="93" t="str">
        <f>IF(AND(C572&lt;&gt;"",('Cost Inputs'!$I$161+'Cost Inputs'!$J$161+'Cost Inputs'!$K$161)&gt;0), 'Cost Inputs'!$I$161+'Cost Inputs'!$J$161+'Cost Inputs'!$K$161, "")</f>
        <v/>
      </c>
      <c r="K572" s="93" t="str">
        <f>IF($C572&lt;&gt;"", IF(AND($E572&lt;&gt;"", J572&lt;&gt;""), J572/$E572, 0),"")</f>
        <v/>
      </c>
      <c r="L572" s="93"/>
      <c r="M572" s="109"/>
      <c r="P572" s="93" t="str">
        <f>IF(ISNUMBER('Model_ of_individuals'!P592), 'Model_ of_individuals'!P592*'Model_ of_individuals'!$K592,"")</f>
        <v/>
      </c>
      <c r="Q572" s="93" t="str">
        <f>IF(ISNUMBER('Model_ of_individuals'!Q592), 'Model_ of_individuals'!Q592*'Model_ of_individuals'!$K592,"")</f>
        <v/>
      </c>
      <c r="R572" s="93" t="str">
        <f>IF(ISNUMBER('Model_ of_individuals'!R592), 'Model_ of_individuals'!R592*'Model_ of_individuals'!$K592,"")</f>
        <v/>
      </c>
      <c r="S572" s="93" t="str">
        <f>IF(ISNUMBER('Model_ of_individuals'!S592), 'Model_ of_individuals'!S592*'Model_ of_individuals'!$K592,"")</f>
        <v/>
      </c>
      <c r="T572" s="93" t="str">
        <f>IF(ISNUMBER('Model_ of_individuals'!T592), 'Model_ of_individuals'!T592*'Model_ of_individuals'!$K592,"")</f>
        <v/>
      </c>
      <c r="U572" s="93" t="str">
        <f>IF(ISNUMBER('Model_ of_individuals'!U592), 'Model_ of_individuals'!U592*'Model_ of_individuals'!$K592,"")</f>
        <v/>
      </c>
      <c r="V572" s="93" t="str">
        <f>IF(ISNUMBER('Model_ of_individuals'!V592), 'Model_ of_individuals'!V592*'Model_ of_individuals'!$K592,"")</f>
        <v/>
      </c>
      <c r="W572" s="93" t="str">
        <f>IF(ISNUMBER('Model_ of_individuals'!W592), 'Model_ of_individuals'!W592*'Model_ of_individuals'!$K592,"")</f>
        <v/>
      </c>
      <c r="X572" s="93" t="str">
        <f>IF(ISNUMBER('Model_ of_individuals'!X592), 'Model_ of_individuals'!X592*'Model_ of_individuals'!$K592,"")</f>
        <v/>
      </c>
      <c r="Y572" s="93" t="str">
        <f>IF(ISNUMBER('Model_ of_individuals'!Y592), 'Model_ of_individuals'!Y592*'Model_ of_individuals'!$K592,"")</f>
        <v/>
      </c>
    </row>
    <row r="573" spans="1:25" x14ac:dyDescent="0.25">
      <c r="A573" s="518"/>
      <c r="B573" s="504"/>
      <c r="C573" s="104" t="str">
        <f>IF(AND(ISNUMBER(B557), C568&lt;&gt;"", OR('Cost Inputs'!$H$162&lt;&gt;"", 'Cost Inputs'!$I$162&lt;&gt;"", 'Cost Inputs'!$J$162&lt;&gt;"")), _5_5_3, "")</f>
        <v/>
      </c>
      <c r="D573" s="17" t="str">
        <f>IF(AND(C573&lt;&gt;"", 'Cost Inputs'!$G$162&lt;&gt;""), 'Cost Inputs'!$G$162, "")</f>
        <v/>
      </c>
      <c r="E573" s="17" t="str">
        <f>IF(AND(C573&lt;&gt;"", 'Cost Inputs'!$H$162&lt;&gt;""), 'Cost Inputs'!$H$162, "")</f>
        <v/>
      </c>
      <c r="F573" s="17" t="str">
        <f>IF(AND(C573&lt;&gt;"", 'Cost Inputs'!$I$162&lt;&gt;""), 'Cost Inputs'!$I$162, "")</f>
        <v/>
      </c>
      <c r="G573" s="105" t="str">
        <f t="shared" si="45"/>
        <v/>
      </c>
      <c r="H573" s="17" t="str">
        <f>IF(AND(C573&lt;&gt;"", 'Cost Inputs'!$J$162&lt;&gt;""), 'Cost Inputs'!$J$162, "")</f>
        <v/>
      </c>
      <c r="I573" s="17" t="str">
        <f>IF($C573&lt;&gt;"", IF(AND($E573&lt;&gt;"", H573&lt;&gt;""), H573/$E573, 0),"")</f>
        <v/>
      </c>
      <c r="J573" s="17" t="str">
        <f>IF(AND(C573&lt;&gt;"",('Cost Inputs'!$I$162+'Cost Inputs'!$J$162+'Cost Inputs'!$K$162)&gt;0), 'Cost Inputs'!$I$162+'Cost Inputs'!$J$162+'Cost Inputs'!$K$162, "")</f>
        <v/>
      </c>
      <c r="K573" s="17" t="str">
        <f>IF($C573&lt;&gt;"", IF(AND($E573&lt;&gt;"", J573&lt;&gt;""), J573/$E573, 0),"")</f>
        <v/>
      </c>
      <c r="M573" s="106"/>
      <c r="P573" s="17" t="str">
        <f>IF(ISNUMBER('Model_ of_individuals'!P593), 'Model_ of_individuals'!P593*'Model_ of_individuals'!$K593,"")</f>
        <v/>
      </c>
      <c r="Q573" s="17" t="str">
        <f>IF(ISNUMBER('Model_ of_individuals'!Q593), 'Model_ of_individuals'!Q593*'Model_ of_individuals'!$K593,"")</f>
        <v/>
      </c>
      <c r="R573" s="17" t="str">
        <f>IF(ISNUMBER('Model_ of_individuals'!R593), 'Model_ of_individuals'!R593*'Model_ of_individuals'!$K593,"")</f>
        <v/>
      </c>
      <c r="S573" s="17" t="str">
        <f>IF(ISNUMBER('Model_ of_individuals'!S593), 'Model_ of_individuals'!S593*'Model_ of_individuals'!$K593,"")</f>
        <v/>
      </c>
      <c r="T573" s="17" t="str">
        <f>IF(ISNUMBER('Model_ of_individuals'!T593), 'Model_ of_individuals'!T593*'Model_ of_individuals'!$K593,"")</f>
        <v/>
      </c>
      <c r="U573" s="17" t="str">
        <f>IF(ISNUMBER('Model_ of_individuals'!U593), 'Model_ of_individuals'!U593*'Model_ of_individuals'!$K593,"")</f>
        <v/>
      </c>
      <c r="V573" s="17" t="str">
        <f>IF(ISNUMBER('Model_ of_individuals'!V593), 'Model_ of_individuals'!V593*'Model_ of_individuals'!$K593,"")</f>
        <v/>
      </c>
      <c r="W573" s="17" t="str">
        <f>IF(ISNUMBER('Model_ of_individuals'!W593), 'Model_ of_individuals'!W593*'Model_ of_individuals'!$K593,"")</f>
        <v/>
      </c>
      <c r="X573" s="17" t="str">
        <f>IF(ISNUMBER('Model_ of_individuals'!X593), 'Model_ of_individuals'!X593*'Model_ of_individuals'!$K593,"")</f>
        <v/>
      </c>
      <c r="Y573" s="17" t="str">
        <f>IF(ISNUMBER('Model_ of_individuals'!Y593), 'Model_ of_individuals'!Y593*'Model_ of_individuals'!$K593,"")</f>
        <v/>
      </c>
    </row>
    <row r="574" spans="1:25" x14ac:dyDescent="0.25">
      <c r="A574" s="518"/>
      <c r="B574" s="504"/>
      <c r="C574" s="107" t="str">
        <f>IF(AND(ISNUMBER(B557), C568&lt;&gt;"", OR('Cost Inputs'!$H$163&lt;&gt;"", 'Cost Inputs'!$I$163&lt;&gt;"", 'Cost Inputs'!$J$163&lt;&gt;"")), _5_5_4, "")</f>
        <v/>
      </c>
      <c r="D574" s="93" t="str">
        <f>IF(AND(C574&lt;&gt;"", 'Cost Inputs'!$G$163&lt;&gt;""), 'Cost Inputs'!$G$163, "")</f>
        <v/>
      </c>
      <c r="E574" s="93" t="str">
        <f>IF(AND(C574&lt;&gt;"", 'Cost Inputs'!$H$163&lt;&gt;""), 'Cost Inputs'!$H$163, "")</f>
        <v/>
      </c>
      <c r="F574" s="93" t="str">
        <f>IF(AND(C574&lt;&gt;"", 'Cost Inputs'!$I$163&lt;&gt;""), 'Cost Inputs'!$I$163, "")</f>
        <v/>
      </c>
      <c r="G574" s="108" t="str">
        <f t="shared" si="45"/>
        <v/>
      </c>
      <c r="H574" s="93" t="str">
        <f>IF(AND(C574&lt;&gt;"", 'Cost Inputs'!$J$163&lt;&gt;""), 'Cost Inputs'!$J$163, "")</f>
        <v/>
      </c>
      <c r="I574" s="93" t="str">
        <f>IF($C574&lt;&gt;"", IF(AND($E574&lt;&gt;"", H574&lt;&gt;""), H574/$E574, 0),"")</f>
        <v/>
      </c>
      <c r="J574" s="93" t="str">
        <f>IF(AND(C574&lt;&gt;"",('Cost Inputs'!$I$163+'Cost Inputs'!$J$163+'Cost Inputs'!$K$163)&gt;0), 'Cost Inputs'!$I$163+'Cost Inputs'!$J$163+'Cost Inputs'!$K$163, "")</f>
        <v/>
      </c>
      <c r="K574" s="93" t="str">
        <f>IF($C574&lt;&gt;"", IF(AND($E574&lt;&gt;"", J574&lt;&gt;""), J574/$E574, 0),"")</f>
        <v/>
      </c>
      <c r="L574" s="93"/>
      <c r="M574" s="109"/>
      <c r="P574" s="93" t="str">
        <f>IF(ISNUMBER('Model_ of_individuals'!P594), 'Model_ of_individuals'!P594*'Model_ of_individuals'!$K594,"")</f>
        <v/>
      </c>
      <c r="Q574" s="93" t="str">
        <f>IF(ISNUMBER('Model_ of_individuals'!Q594), 'Model_ of_individuals'!Q594*'Model_ of_individuals'!$K594,"")</f>
        <v/>
      </c>
      <c r="R574" s="93" t="str">
        <f>IF(ISNUMBER('Model_ of_individuals'!R594), 'Model_ of_individuals'!R594*'Model_ of_individuals'!$K594,"")</f>
        <v/>
      </c>
      <c r="S574" s="93" t="str">
        <f>IF(ISNUMBER('Model_ of_individuals'!S594), 'Model_ of_individuals'!S594*'Model_ of_individuals'!$K594,"")</f>
        <v/>
      </c>
      <c r="T574" s="93" t="str">
        <f>IF(ISNUMBER('Model_ of_individuals'!T594), 'Model_ of_individuals'!T594*'Model_ of_individuals'!$K594,"")</f>
        <v/>
      </c>
      <c r="U574" s="93" t="str">
        <f>IF(ISNUMBER('Model_ of_individuals'!U594), 'Model_ of_individuals'!U594*'Model_ of_individuals'!$K594,"")</f>
        <v/>
      </c>
      <c r="V574" s="93" t="str">
        <f>IF(ISNUMBER('Model_ of_individuals'!V594), 'Model_ of_individuals'!V594*'Model_ of_individuals'!$K594,"")</f>
        <v/>
      </c>
      <c r="W574" s="93" t="str">
        <f>IF(ISNUMBER('Model_ of_individuals'!W594), 'Model_ of_individuals'!W594*'Model_ of_individuals'!$K594,"")</f>
        <v/>
      </c>
      <c r="X574" s="93" t="str">
        <f>IF(ISNUMBER('Model_ of_individuals'!X594), 'Model_ of_individuals'!X594*'Model_ of_individuals'!$K594,"")</f>
        <v/>
      </c>
      <c r="Y574" s="93" t="str">
        <f>IF(ISNUMBER('Model_ of_individuals'!Y594), 'Model_ of_individuals'!Y594*'Model_ of_individuals'!$K594,"")</f>
        <v/>
      </c>
    </row>
    <row r="575" spans="1:25" x14ac:dyDescent="0.25">
      <c r="A575" s="518"/>
      <c r="B575" s="504"/>
      <c r="C575" s="104" t="str">
        <f>IF(AND(ISNUMBER(B557), C568&lt;&gt;"", OR('Cost Inputs'!$H$164&lt;&gt;"", 'Cost Inputs'!$I$164&lt;&gt;"", 'Cost Inputs'!$J$164&lt;&gt;"")), _5_5_5, "")</f>
        <v/>
      </c>
      <c r="D575" s="17" t="str">
        <f>IF(AND(C575&lt;&gt;"", 'Cost Inputs'!$G$164&lt;&gt;""), 'Cost Inputs'!$G$164, "")</f>
        <v/>
      </c>
      <c r="E575" s="17" t="str">
        <f>IF(AND(C575&lt;&gt;"", 'Cost Inputs'!$H$164&lt;&gt;""), 'Cost Inputs'!$H$164, "")</f>
        <v/>
      </c>
      <c r="F575" s="17" t="str">
        <f>IF(AND(C575&lt;&gt;"", 'Cost Inputs'!$I$164&lt;&gt;""), 'Cost Inputs'!$I$164, "")</f>
        <v/>
      </c>
      <c r="G575" s="105" t="str">
        <f t="shared" si="45"/>
        <v/>
      </c>
      <c r="H575" s="17" t="str">
        <f>IF(AND(C575&lt;&gt;"", 'Cost Inputs'!$J$164&lt;&gt;""), 'Cost Inputs'!$J$164, "")</f>
        <v/>
      </c>
      <c r="I575" s="17" t="str">
        <f>IF($C575&lt;&gt;"", IF(AND($E575&lt;&gt;"", H575&lt;&gt;""), H575/$E575, 0),"")</f>
        <v/>
      </c>
      <c r="J575" s="17" t="str">
        <f>IF(AND(C575&lt;&gt;"",('Cost Inputs'!$I$164+'Cost Inputs'!$J$164+'Cost Inputs'!$K$164)&gt;0), 'Cost Inputs'!$I$164+'Cost Inputs'!$J$164+'Cost Inputs'!$K$164, "")</f>
        <v/>
      </c>
      <c r="K575" s="17" t="str">
        <f>IF($C575&lt;&gt;"", IF(AND($E575&lt;&gt;"", J575&lt;&gt;""), J575/$E575, 0),"")</f>
        <v/>
      </c>
      <c r="M575" s="106"/>
      <c r="P575" s="17" t="str">
        <f>IF(ISNUMBER('Model_ of_individuals'!P595), 'Model_ of_individuals'!P595*'Model_ of_individuals'!$K595,"")</f>
        <v/>
      </c>
      <c r="Q575" s="17" t="str">
        <f>IF(ISNUMBER('Model_ of_individuals'!Q595), 'Model_ of_individuals'!Q595*'Model_ of_individuals'!$K595,"")</f>
        <v/>
      </c>
      <c r="R575" s="17" t="str">
        <f>IF(ISNUMBER('Model_ of_individuals'!R595), 'Model_ of_individuals'!R595*'Model_ of_individuals'!$K595,"")</f>
        <v/>
      </c>
      <c r="S575" s="17" t="str">
        <f>IF(ISNUMBER('Model_ of_individuals'!S595), 'Model_ of_individuals'!S595*'Model_ of_individuals'!$K595,"")</f>
        <v/>
      </c>
      <c r="T575" s="17" t="str">
        <f>IF(ISNUMBER('Model_ of_individuals'!T595), 'Model_ of_individuals'!T595*'Model_ of_individuals'!$K595,"")</f>
        <v/>
      </c>
      <c r="U575" s="17" t="str">
        <f>IF(ISNUMBER('Model_ of_individuals'!U595), 'Model_ of_individuals'!U595*'Model_ of_individuals'!$K595,"")</f>
        <v/>
      </c>
      <c r="V575" s="17" t="str">
        <f>IF(ISNUMBER('Model_ of_individuals'!V595), 'Model_ of_individuals'!V595*'Model_ of_individuals'!$K595,"")</f>
        <v/>
      </c>
      <c r="W575" s="17" t="str">
        <f>IF(ISNUMBER('Model_ of_individuals'!W595), 'Model_ of_individuals'!W595*'Model_ of_individuals'!$K595,"")</f>
        <v/>
      </c>
      <c r="X575" s="17" t="str">
        <f>IF(ISNUMBER('Model_ of_individuals'!X595), 'Model_ of_individuals'!X595*'Model_ of_individuals'!$K595,"")</f>
        <v/>
      </c>
      <c r="Y575" s="17" t="str">
        <f>IF(ISNUMBER('Model_ of_individuals'!Y595), 'Model_ of_individuals'!Y595*'Model_ of_individuals'!$K595,"")</f>
        <v/>
      </c>
    </row>
    <row r="576" spans="1:25" x14ac:dyDescent="0.25">
      <c r="A576" s="518"/>
      <c r="B576" s="504"/>
      <c r="C576" s="110" t="str">
        <f>IF(ISNUMBER(B557), _5_6_0, "")</f>
        <v/>
      </c>
      <c r="D576" s="94" t="str">
        <f>IF(AND(C576&lt;&gt;"", 'Cost Inputs'!$G$165&lt;&gt;""), 'Cost Inputs'!$G$165, "")</f>
        <v/>
      </c>
      <c r="E576" s="94" t="str">
        <f>IF(AND(C576&lt;&gt;"", 'Cost Inputs'!$H$165&lt;&gt;""), 'Cost Inputs'!$H$165, "")</f>
        <v/>
      </c>
      <c r="F576" s="94" t="str">
        <f>IF(AND(C576&lt;&gt;"", 'Cost Inputs'!$I$165&lt;&gt;""), 'Cost Inputs'!$I$165, "")</f>
        <v/>
      </c>
      <c r="G576" s="102" t="str">
        <f t="shared" si="45"/>
        <v/>
      </c>
      <c r="H576" s="94" t="str">
        <f>IF(AND(C576&lt;&gt;"", 'Cost Inputs'!$J$165&lt;&gt;""), 'Cost Inputs'!$J$165, "")</f>
        <v/>
      </c>
      <c r="I576" s="102" t="str">
        <f>IF($C576&lt;&gt;"",IF(AND($E576&lt;&gt;"",H576&lt;&gt;""), H576/$E576, 0),"")</f>
        <v/>
      </c>
      <c r="J576" s="94" t="str">
        <f>IF(AND(C576&lt;&gt;"",('Cost Inputs'!$I$165+'Cost Inputs'!$J$165+'Cost Inputs'!$K$165)&gt;0), 'Cost Inputs'!$I$165+'Cost Inputs'!$J$165+'Cost Inputs'!$K$165, "")</f>
        <v/>
      </c>
      <c r="K576" s="102" t="str">
        <f>IF($C576&lt;&gt;"",IF(AND($E576&lt;&gt;"",J576&lt;&gt;""), J576/$E576, 0),"")</f>
        <v/>
      </c>
      <c r="L576" s="94"/>
      <c r="M576" s="103"/>
      <c r="P576" s="94" t="str">
        <f>IF(ISNUMBER('Model_ of_individuals'!P596), 'Model_ of_individuals'!P596*'Model_ of_individuals'!$K596,"")</f>
        <v/>
      </c>
      <c r="Q576" s="94" t="str">
        <f>IF(ISNUMBER('Model_ of_individuals'!Q596), 'Model_ of_individuals'!Q596*'Model_ of_individuals'!$K596,"")</f>
        <v/>
      </c>
      <c r="R576" s="94" t="str">
        <f>IF(ISNUMBER('Model_ of_individuals'!R596), 'Model_ of_individuals'!R596*'Model_ of_individuals'!$K596,"")</f>
        <v/>
      </c>
      <c r="S576" s="94" t="str">
        <f>IF(ISNUMBER('Model_ of_individuals'!S596), 'Model_ of_individuals'!S596*'Model_ of_individuals'!$K596,"")</f>
        <v/>
      </c>
      <c r="T576" s="94" t="str">
        <f>IF(ISNUMBER('Model_ of_individuals'!T596), 'Model_ of_individuals'!T596*'Model_ of_individuals'!$K596,"")</f>
        <v/>
      </c>
      <c r="U576" s="94" t="str">
        <f>IF(ISNUMBER('Model_ of_individuals'!U596), 'Model_ of_individuals'!U596*'Model_ of_individuals'!$K596,"")</f>
        <v/>
      </c>
      <c r="V576" s="94" t="str">
        <f>IF(ISNUMBER('Model_ of_individuals'!V596), 'Model_ of_individuals'!V596*'Model_ of_individuals'!$K596,"")</f>
        <v/>
      </c>
      <c r="W576" s="94" t="str">
        <f>IF(ISNUMBER('Model_ of_individuals'!W596), 'Model_ of_individuals'!W596*'Model_ of_individuals'!$K596,"")</f>
        <v/>
      </c>
      <c r="X576" s="94" t="str">
        <f>IF(ISNUMBER('Model_ of_individuals'!X596), 'Model_ of_individuals'!X596*'Model_ of_individuals'!$K596,"")</f>
        <v/>
      </c>
      <c r="Y576" s="94" t="str">
        <f>IF(ISNUMBER('Model_ of_individuals'!Y596), 'Model_ of_individuals'!Y596*'Model_ of_individuals'!$K596,"")</f>
        <v/>
      </c>
    </row>
    <row r="577" spans="1:26" x14ac:dyDescent="0.25">
      <c r="A577" s="518"/>
      <c r="B577" s="504"/>
      <c r="C577" s="104" t="str">
        <f>IF(AND(ISNUMBER(B557), OR('Cost Inputs'!$H$166&lt;&gt;"", 'Cost Inputs'!$I$166&lt;&gt;"", 'Cost Inputs'!$J$166&lt;&gt;"")), _5_6_1, "")</f>
        <v/>
      </c>
      <c r="D577" s="17" t="str">
        <f>IF(AND(C577&lt;&gt;"", 'Cost Inputs'!$G$166&lt;&gt;""), 'Cost Inputs'!$G$166, "")</f>
        <v/>
      </c>
      <c r="E577" s="17" t="str">
        <f>IF(AND(C577&lt;&gt;"", 'Cost Inputs'!$H$166&lt;&gt;""), 'Cost Inputs'!$H$166, "")</f>
        <v/>
      </c>
      <c r="F577" s="17" t="str">
        <f>IF(AND(C577&lt;&gt;"", 'Cost Inputs'!$I$166&lt;&gt;""), 'Cost Inputs'!$I$166, "")</f>
        <v/>
      </c>
      <c r="G577" s="105" t="str">
        <f t="shared" si="45"/>
        <v/>
      </c>
      <c r="H577" s="17" t="str">
        <f>IF(AND(C577&lt;&gt;"", 'Cost Inputs'!$J$166&lt;&gt;""), 'Cost Inputs'!$J$166, "")</f>
        <v/>
      </c>
      <c r="I577" s="17" t="str">
        <f>IF($C577&lt;&gt;"", IF(AND($E577&lt;&gt;"", H577&lt;&gt;""), H577/$E577, 0),"")</f>
        <v/>
      </c>
      <c r="J577" s="17" t="str">
        <f>IF(AND(C577&lt;&gt;"",('Cost Inputs'!$I$166+'Cost Inputs'!$J$166+'Cost Inputs'!$K$166)&gt;0), 'Cost Inputs'!$I$166+'Cost Inputs'!$J$166+'Cost Inputs'!$K$166, "")</f>
        <v/>
      </c>
      <c r="K577" s="17" t="str">
        <f>IF($C577&lt;&gt;"", IF(AND($E577&lt;&gt;"", J577&lt;&gt;""), J577/$E577, 0),"")</f>
        <v/>
      </c>
      <c r="M577" s="106"/>
      <c r="P577" s="17" t="str">
        <f>IF(ISNUMBER('Model_ of_individuals'!P597), 'Model_ of_individuals'!P597*'Model_ of_individuals'!$K597,"")</f>
        <v/>
      </c>
      <c r="Q577" s="17" t="str">
        <f>IF(ISNUMBER('Model_ of_individuals'!Q597), 'Model_ of_individuals'!Q597*'Model_ of_individuals'!$K597,"")</f>
        <v/>
      </c>
      <c r="R577" s="17" t="str">
        <f>IF(ISNUMBER('Model_ of_individuals'!R597), 'Model_ of_individuals'!R597*'Model_ of_individuals'!$K597,"")</f>
        <v/>
      </c>
      <c r="S577" s="17" t="str">
        <f>IF(ISNUMBER('Model_ of_individuals'!S597), 'Model_ of_individuals'!S597*'Model_ of_individuals'!$K597,"")</f>
        <v/>
      </c>
      <c r="T577" s="17" t="str">
        <f>IF(ISNUMBER('Model_ of_individuals'!T597), 'Model_ of_individuals'!T597*'Model_ of_individuals'!$K597,"")</f>
        <v/>
      </c>
      <c r="U577" s="17" t="str">
        <f>IF(ISNUMBER('Model_ of_individuals'!U597), 'Model_ of_individuals'!U597*'Model_ of_individuals'!$K597,"")</f>
        <v/>
      </c>
      <c r="V577" s="17" t="str">
        <f>IF(ISNUMBER('Model_ of_individuals'!V597), 'Model_ of_individuals'!V597*'Model_ of_individuals'!$K597,"")</f>
        <v/>
      </c>
      <c r="W577" s="17" t="str">
        <f>IF(ISNUMBER('Model_ of_individuals'!W597), 'Model_ of_individuals'!W597*'Model_ of_individuals'!$K597,"")</f>
        <v/>
      </c>
      <c r="X577" s="17" t="str">
        <f>IF(ISNUMBER('Model_ of_individuals'!X597), 'Model_ of_individuals'!X597*'Model_ of_individuals'!$K597,"")</f>
        <v/>
      </c>
      <c r="Y577" s="17" t="str">
        <f>IF(ISNUMBER('Model_ of_individuals'!Y597), 'Model_ of_individuals'!Y597*'Model_ of_individuals'!$K597,"")</f>
        <v/>
      </c>
    </row>
    <row r="578" spans="1:26" ht="15.75" thickBot="1" x14ac:dyDescent="0.3">
      <c r="A578" s="518"/>
      <c r="B578" s="505"/>
      <c r="C578" s="111" t="str">
        <f>IF(AND(ISNUMBER(B557), OR('Cost Inputs'!$H$167&lt;&gt;"", 'Cost Inputs'!$I$167&lt;&gt;"", 'Cost Inputs'!$J$167&lt;&gt;"")), _5_6_2, "")</f>
        <v/>
      </c>
      <c r="D578" s="95" t="str">
        <f>IF(AND(C578&lt;&gt;"", 'Cost Inputs'!$G$167&lt;&gt;""), 'Cost Inputs'!$G$167, "")</f>
        <v/>
      </c>
      <c r="E578" s="95" t="str">
        <f>IF(AND(C578&lt;&gt;"", 'Cost Inputs'!$H$167&lt;&gt;""), 'Cost Inputs'!$H$167, "")</f>
        <v/>
      </c>
      <c r="F578" s="95" t="str">
        <f>IF(AND(C578&lt;&gt;"", 'Cost Inputs'!$I$167&lt;&gt;""), 'Cost Inputs'!$I$167, "")</f>
        <v/>
      </c>
      <c r="G578" s="112" t="str">
        <f t="shared" si="45"/>
        <v/>
      </c>
      <c r="H578" s="95" t="str">
        <f>IF(AND(C578&lt;&gt;"", 'Cost Inputs'!$J$167&lt;&gt;""), 'Cost Inputs'!$J$167, "")</f>
        <v/>
      </c>
      <c r="I578" s="95" t="str">
        <f>IF($C578&lt;&gt;"", IF(AND($E578&lt;&gt;"", H578&lt;&gt;""), H578/$E578, 0),"")</f>
        <v/>
      </c>
      <c r="J578" s="95" t="str">
        <f>IF(AND(C578&lt;&gt;"",('Cost Inputs'!$I$167+'Cost Inputs'!$J$167+'Cost Inputs'!$K$167)&gt;0), 'Cost Inputs'!$I$167+'Cost Inputs'!$J$167+'Cost Inputs'!$K$167, "")</f>
        <v/>
      </c>
      <c r="K578" s="95" t="str">
        <f>IF($C578&lt;&gt;"", IF(AND($E578&lt;&gt;"", J578&lt;&gt;""), J578/$E578, 0),"")</f>
        <v/>
      </c>
      <c r="L578" s="95"/>
      <c r="M578" s="113"/>
      <c r="P578" s="95" t="str">
        <f>IF(ISNUMBER('Model_ of_individuals'!P598), 'Model_ of_individuals'!P598*'Model_ of_individuals'!$K598,"")</f>
        <v/>
      </c>
      <c r="Q578" s="95" t="str">
        <f>IF(ISNUMBER('Model_ of_individuals'!Q598), 'Model_ of_individuals'!Q598*'Model_ of_individuals'!$K598,"")</f>
        <v/>
      </c>
      <c r="R578" s="95" t="str">
        <f>IF(ISNUMBER('Model_ of_individuals'!R598), 'Model_ of_individuals'!R598*'Model_ of_individuals'!$K598,"")</f>
        <v/>
      </c>
      <c r="S578" s="95" t="str">
        <f>IF(ISNUMBER('Model_ of_individuals'!S598), 'Model_ of_individuals'!S598*'Model_ of_individuals'!$K598,"")</f>
        <v/>
      </c>
      <c r="T578" s="95" t="str">
        <f>IF(ISNUMBER('Model_ of_individuals'!T598), 'Model_ of_individuals'!T598*'Model_ of_individuals'!$K598,"")</f>
        <v/>
      </c>
      <c r="U578" s="95" t="str">
        <f>IF(ISNUMBER('Model_ of_individuals'!U598), 'Model_ of_individuals'!U598*'Model_ of_individuals'!$K598,"")</f>
        <v/>
      </c>
      <c r="V578" s="95" t="str">
        <f>IF(ISNUMBER('Model_ of_individuals'!V598), 'Model_ of_individuals'!V598*'Model_ of_individuals'!$K598,"")</f>
        <v/>
      </c>
      <c r="W578" s="95" t="str">
        <f>IF(ISNUMBER('Model_ of_individuals'!W598), 'Model_ of_individuals'!W598*'Model_ of_individuals'!$K598,"")</f>
        <v/>
      </c>
      <c r="X578" s="95" t="str">
        <f>IF(ISNUMBER('Model_ of_individuals'!X598), 'Model_ of_individuals'!X598*'Model_ of_individuals'!$K598,"")</f>
        <v/>
      </c>
      <c r="Y578" s="95" t="str">
        <f>IF(ISNUMBER('Model_ of_individuals'!Y598), 'Model_ of_individuals'!Y598*'Model_ of_individuals'!$K598,"")</f>
        <v/>
      </c>
    </row>
    <row r="579" spans="1:26" x14ac:dyDescent="0.25">
      <c r="A579" s="518" t="str">
        <f>Fifth_Stage</f>
        <v>Stage 3 Clonal Replication with Increased Repetitions</v>
      </c>
      <c r="B579" s="503" t="str">
        <f>'Breeding Inputs'!B103</f>
        <v/>
      </c>
      <c r="C579" s="520" t="str">
        <f>IF(ISNUMBER(B579), _5_3_0, "")</f>
        <v/>
      </c>
      <c r="D579" s="92" t="str">
        <f>IF(AND(C579&lt;&gt;"", 'Cost Inputs'!$G$146&lt;&gt;""), 'Cost Inputs'!$G$146, "")</f>
        <v/>
      </c>
      <c r="E579" s="92" t="str">
        <f>IF(AND(C579&lt;&gt;"", 'Cost Inputs'!$H$146&lt;&gt;""), 'Cost Inputs'!$H$146, "")</f>
        <v/>
      </c>
      <c r="F579" s="522" t="str">
        <f>IF(AND(C579&lt;&gt;"", 'Cost Inputs'!$I$146&lt;&gt;""), 'Cost Inputs'!$I$146, "")</f>
        <v/>
      </c>
      <c r="G579" s="100" t="str">
        <f t="shared" si="45"/>
        <v/>
      </c>
      <c r="H579" s="522" t="str">
        <f>IF(AND(C579&lt;&gt;"", 'Cost Inputs'!$J$146&lt;&gt;""), 'Cost Inputs'!$J$146, "")</f>
        <v/>
      </c>
      <c r="I579" s="100" t="str">
        <f>IF($C579&lt;&gt;"",IF(AND($E579&lt;&gt;"",H579&lt;&gt;""), H579/$E579, 0),"")</f>
        <v/>
      </c>
      <c r="J579" s="522" t="str">
        <f>IF(AND(C579&lt;&gt;"",('Cost Inputs'!$I$146+'Cost Inputs'!$J$146+'Cost Inputs'!$K$146)&gt;0), 'Cost Inputs'!$I$146+'Cost Inputs'!$J$146+'Cost Inputs'!$K$146, "")</f>
        <v/>
      </c>
      <c r="K579" s="100" t="str">
        <f>IF($C579&lt;&gt;"",IF(AND($E579&lt;&gt;"",J579&lt;&gt;""), J579/$E579, 0),"")</f>
        <v/>
      </c>
      <c r="L579" s="92"/>
      <c r="M579" s="101"/>
      <c r="Q579" s="492" t="str">
        <f>IF(ISNUMBER('Model_ of_individuals'!Q599), 'Model_ of_individuals'!Q599*'Model_ of_individuals'!$K599,"")</f>
        <v/>
      </c>
      <c r="R579" s="492" t="str">
        <f>IF(ISNUMBER('Model_ of_individuals'!R599), 'Model_ of_individuals'!R599*'Model_ of_individuals'!$K599,"")</f>
        <v/>
      </c>
      <c r="S579" s="492" t="str">
        <f>IF(ISNUMBER('Model_ of_individuals'!S599), 'Model_ of_individuals'!S599*'Model_ of_individuals'!$K599,"")</f>
        <v/>
      </c>
      <c r="T579" s="492" t="str">
        <f>IF(ISNUMBER('Model_ of_individuals'!T599), 'Model_ of_individuals'!T599*'Model_ of_individuals'!$K599,"")</f>
        <v/>
      </c>
      <c r="U579" s="492" t="str">
        <f>IF(ISNUMBER('Model_ of_individuals'!U599), 'Model_ of_individuals'!U599*'Model_ of_individuals'!$K599,"")</f>
        <v/>
      </c>
      <c r="V579" s="492" t="str">
        <f>IF(ISNUMBER('Model_ of_individuals'!V599), 'Model_ of_individuals'!V599*'Model_ of_individuals'!$K599,"")</f>
        <v/>
      </c>
      <c r="W579" s="492" t="str">
        <f>IF(ISNUMBER('Model_ of_individuals'!W599), 'Model_ of_individuals'!W599*'Model_ of_individuals'!$K599,"")</f>
        <v/>
      </c>
      <c r="X579" s="492" t="str">
        <f>IF(ISNUMBER('Model_ of_individuals'!X599), 'Model_ of_individuals'!X599*'Model_ of_individuals'!$K599,"")</f>
        <v/>
      </c>
      <c r="Y579" s="492" t="str">
        <f>IF(ISNUMBER('Model_ of_individuals'!Y599), 'Model_ of_individuals'!Y599*'Model_ of_individuals'!$K599,"")</f>
        <v/>
      </c>
      <c r="Z579" s="492" t="str">
        <f>IF(ISNUMBER('Model_ of_individuals'!Z599), 'Model_ of_individuals'!Z599*'Model_ of_individuals'!$K599,"")</f>
        <v/>
      </c>
    </row>
    <row r="580" spans="1:26" x14ac:dyDescent="0.25">
      <c r="A580" s="518"/>
      <c r="B580" s="504"/>
      <c r="C580" s="521"/>
      <c r="D580" s="94" t="str">
        <f>IF(AND(C579&lt;&gt;"", 'Cost Inputs'!$G$147&lt;&gt;""), 'Cost Inputs'!$G$147, "")</f>
        <v/>
      </c>
      <c r="E580" s="94" t="str">
        <f>IF(AND(C579&lt;&gt;"", 'Cost Inputs'!$H$147&lt;&gt;""), 'Cost Inputs'!$H$147, "")</f>
        <v/>
      </c>
      <c r="F580" s="492"/>
      <c r="G580" s="102" t="str">
        <f t="shared" si="45"/>
        <v/>
      </c>
      <c r="H580" s="492"/>
      <c r="I580" s="102" t="str">
        <f>IF($C579&lt;&gt;"", IF(AND($E580&lt;&gt;"", H579&lt;&gt;""), H579/($E579*$E580), 0), "")</f>
        <v/>
      </c>
      <c r="J580" s="492" t="str">
        <f>IF(AND(C580&lt;&gt;"",('Cost Inputs'!$I$86+'Cost Inputs'!$J$86+'Cost Inputs'!$K$86)&gt;0), 'Cost Inputs'!$I$86+'Cost Inputs'!$J$86+'Cost Inputs'!$K$86, "")</f>
        <v/>
      </c>
      <c r="K580" s="102" t="str">
        <f>IF($C579&lt;&gt;"", IF(AND($E580&lt;&gt;"", J579&lt;&gt;""), J579/($E579*$E580), 0), "")</f>
        <v/>
      </c>
      <c r="L580" s="94"/>
      <c r="M580" s="103"/>
      <c r="Q580" s="492" t="str">
        <f>IF(ISNUMBER('Model_ of_individuals'!Q600), 'Model_ of_individuals'!Q600*'Model_ of_individuals'!$K600,"")</f>
        <v/>
      </c>
      <c r="R580" s="492" t="str">
        <f>IF(ISNUMBER('Model_ of_individuals'!R600), 'Model_ of_individuals'!R600*'Model_ of_individuals'!$K600,"")</f>
        <v/>
      </c>
      <c r="S580" s="492" t="str">
        <f>IF(ISNUMBER('Model_ of_individuals'!S600), 'Model_ of_individuals'!S600*'Model_ of_individuals'!$K600,"")</f>
        <v/>
      </c>
      <c r="T580" s="492" t="str">
        <f>IF(ISNUMBER('Model_ of_individuals'!T600), 'Model_ of_individuals'!T600*'Model_ of_individuals'!$K600,"")</f>
        <v/>
      </c>
      <c r="U580" s="492" t="str">
        <f>IF(ISNUMBER('Model_ of_individuals'!U600), 'Model_ of_individuals'!U600*'Model_ of_individuals'!$K600,"")</f>
        <v/>
      </c>
      <c r="V580" s="492" t="str">
        <f>IF(ISNUMBER('Model_ of_individuals'!V600), 'Model_ of_individuals'!V600*'Model_ of_individuals'!$K600,"")</f>
        <v/>
      </c>
      <c r="W580" s="492" t="str">
        <f>IF(ISNUMBER('Model_ of_individuals'!W600), 'Model_ of_individuals'!W600*'Model_ of_individuals'!$K600,"")</f>
        <v/>
      </c>
      <c r="X580" s="492" t="str">
        <f>IF(ISNUMBER('Model_ of_individuals'!X600), 'Model_ of_individuals'!X600*'Model_ of_individuals'!$K600,"")</f>
        <v/>
      </c>
      <c r="Y580" s="492" t="str">
        <f>IF(ISNUMBER('Model_ of_individuals'!Y600), 'Model_ of_individuals'!Y600*'Model_ of_individuals'!$K600,"")</f>
        <v/>
      </c>
      <c r="Z580" s="492" t="str">
        <f>IF(ISNUMBER('Model_ of_individuals'!Z600), 'Model_ of_individuals'!Z600*'Model_ of_individuals'!$K600,"")</f>
        <v/>
      </c>
    </row>
    <row r="581" spans="1:26" x14ac:dyDescent="0.25">
      <c r="A581" s="518"/>
      <c r="B581" s="504"/>
      <c r="C581" s="104" t="str">
        <f>IF(AND(ISNUMBER(B579), OR('Cost Inputs'!$H$148&lt;&gt;"", 'Cost Inputs'!$I$148&lt;&gt;"", 'Cost Inputs'!$J$148&lt;&gt;"")), _5_3_1, "")</f>
        <v/>
      </c>
      <c r="D581" s="17" t="str">
        <f>IF(AND(C581&lt;&gt;"", 'Cost Inputs'!$G$148&lt;&gt;""), 'Cost Inputs'!$G$148, "")</f>
        <v/>
      </c>
      <c r="E581" s="17" t="str">
        <f>IF(AND(C581&lt;&gt;"", 'Cost Inputs'!$H$148&lt;&gt;""), 'Cost Inputs'!$H$148, "")</f>
        <v/>
      </c>
      <c r="F581" s="17" t="str">
        <f>IF(AND(C581&lt;&gt;"", 'Cost Inputs'!$I$148&lt;&gt;""), 'Cost Inputs'!$I$148, "")</f>
        <v/>
      </c>
      <c r="G581" s="105" t="str">
        <f t="shared" si="45"/>
        <v/>
      </c>
      <c r="H581" s="17" t="str">
        <f>IF(AND(C581&lt;&gt;"", 'Cost Inputs'!$J$148&lt;&gt;""), 'Cost Inputs'!$J$148, "")</f>
        <v/>
      </c>
      <c r="I581" s="17" t="str">
        <f t="shared" ref="I581:I589" si="50">IF($C581&lt;&gt;"", IF(AND($E581&lt;&gt;"", H581&lt;&gt;""), H581/$E581, 0),"")</f>
        <v/>
      </c>
      <c r="J581" s="17" t="str">
        <f>IF(AND(C581&lt;&gt;"",('Cost Inputs'!$I$148+'Cost Inputs'!$J$148+'Cost Inputs'!$K$148)&gt;0), 'Cost Inputs'!$I$148+'Cost Inputs'!$J$148+'Cost Inputs'!$K$148, "")</f>
        <v/>
      </c>
      <c r="K581" s="17" t="str">
        <f t="shared" ref="K581:K589" si="51">IF($C581&lt;&gt;"", IF(AND($E581&lt;&gt;"", J581&lt;&gt;""), J581/$E581, 0),"")</f>
        <v/>
      </c>
      <c r="M581" s="106"/>
      <c r="Q581" s="17" t="str">
        <f>IF(ISNUMBER('Model_ of_individuals'!Q601), 'Model_ of_individuals'!Q601*'Model_ of_individuals'!$K601,"")</f>
        <v/>
      </c>
      <c r="R581" s="17" t="str">
        <f>IF(ISNUMBER('Model_ of_individuals'!R601), 'Model_ of_individuals'!R601*'Model_ of_individuals'!$K601,"")</f>
        <v/>
      </c>
      <c r="S581" s="17" t="str">
        <f>IF(ISNUMBER('Model_ of_individuals'!S601), 'Model_ of_individuals'!S601*'Model_ of_individuals'!$K601,"")</f>
        <v/>
      </c>
      <c r="T581" s="17" t="str">
        <f>IF(ISNUMBER('Model_ of_individuals'!T601), 'Model_ of_individuals'!T601*'Model_ of_individuals'!$K601,"")</f>
        <v/>
      </c>
      <c r="U581" s="17" t="str">
        <f>IF(ISNUMBER('Model_ of_individuals'!U601), 'Model_ of_individuals'!U601*'Model_ of_individuals'!$K601,"")</f>
        <v/>
      </c>
      <c r="V581" s="17" t="str">
        <f>IF(ISNUMBER('Model_ of_individuals'!V601), 'Model_ of_individuals'!V601*'Model_ of_individuals'!$K601,"")</f>
        <v/>
      </c>
      <c r="W581" s="17" t="str">
        <f>IF(ISNUMBER('Model_ of_individuals'!W601), 'Model_ of_individuals'!W601*'Model_ of_individuals'!$K601,"")</f>
        <v/>
      </c>
      <c r="X581" s="17" t="str">
        <f>IF(ISNUMBER('Model_ of_individuals'!X601), 'Model_ of_individuals'!X601*'Model_ of_individuals'!$K601,"")</f>
        <v/>
      </c>
      <c r="Y581" s="17" t="str">
        <f>IF(ISNUMBER('Model_ of_individuals'!Y601), 'Model_ of_individuals'!Y601*'Model_ of_individuals'!$K601,"")</f>
        <v/>
      </c>
      <c r="Z581" s="17" t="str">
        <f>IF(ISNUMBER('Model_ of_individuals'!Z601), 'Model_ of_individuals'!Z601*'Model_ of_individuals'!$K601,"")</f>
        <v/>
      </c>
    </row>
    <row r="582" spans="1:26" x14ac:dyDescent="0.25">
      <c r="A582" s="518"/>
      <c r="B582" s="504"/>
      <c r="C582" s="107" t="str">
        <f>IF(AND(ISNUMBER(B579), OR('Cost Inputs'!$H$149&lt;&gt;"", 'Cost Inputs'!$I$149&lt;&gt;"", 'Cost Inputs'!$J$149&lt;&gt;"")), _5_3_2, "")</f>
        <v/>
      </c>
      <c r="D582" s="93" t="str">
        <f>IF(AND(C582&lt;&gt;"", 'Cost Inputs'!$G$149&lt;&gt;""), 'Cost Inputs'!$G$149, "")</f>
        <v/>
      </c>
      <c r="E582" s="93" t="str">
        <f>IF(AND(C582&lt;&gt;"", 'Cost Inputs'!$H$149&lt;&gt;""), 'Cost Inputs'!$H$149, "")</f>
        <v/>
      </c>
      <c r="F582" s="93" t="str">
        <f>IF(AND(C582&lt;&gt;"", 'Cost Inputs'!$I$149&lt;&gt;""), 'Cost Inputs'!$I$149, "")</f>
        <v/>
      </c>
      <c r="G582" s="108" t="str">
        <f t="shared" si="45"/>
        <v/>
      </c>
      <c r="H582" s="93" t="str">
        <f>IF(AND(C582&lt;&gt;"", 'Cost Inputs'!$J$149&lt;&gt;""), 'Cost Inputs'!$J$149, "")</f>
        <v/>
      </c>
      <c r="I582" s="93" t="str">
        <f t="shared" si="50"/>
        <v/>
      </c>
      <c r="J582" s="93" t="str">
        <f>IF(AND(C582&lt;&gt;"",('Cost Inputs'!$I$149+'Cost Inputs'!$J$149+'Cost Inputs'!$K$149)&gt;0), 'Cost Inputs'!$I$149+'Cost Inputs'!$J$149+'Cost Inputs'!$K$149, "")</f>
        <v/>
      </c>
      <c r="K582" s="93" t="str">
        <f t="shared" si="51"/>
        <v/>
      </c>
      <c r="L582" s="93"/>
      <c r="M582" s="109"/>
      <c r="Q582" s="93" t="str">
        <f>IF(ISNUMBER('Model_ of_individuals'!Q602), 'Model_ of_individuals'!Q602*'Model_ of_individuals'!$K602,"")</f>
        <v/>
      </c>
      <c r="R582" s="93" t="str">
        <f>IF(ISNUMBER('Model_ of_individuals'!R602), 'Model_ of_individuals'!R602*'Model_ of_individuals'!$K602,"")</f>
        <v/>
      </c>
      <c r="S582" s="93" t="str">
        <f>IF(ISNUMBER('Model_ of_individuals'!S602), 'Model_ of_individuals'!S602*'Model_ of_individuals'!$K602,"")</f>
        <v/>
      </c>
      <c r="T582" s="93" t="str">
        <f>IF(ISNUMBER('Model_ of_individuals'!T602), 'Model_ of_individuals'!T602*'Model_ of_individuals'!$K602,"")</f>
        <v/>
      </c>
      <c r="U582" s="93" t="str">
        <f>IF(ISNUMBER('Model_ of_individuals'!U602), 'Model_ of_individuals'!U602*'Model_ of_individuals'!$K602,"")</f>
        <v/>
      </c>
      <c r="V582" s="93" t="str">
        <f>IF(ISNUMBER('Model_ of_individuals'!V602), 'Model_ of_individuals'!V602*'Model_ of_individuals'!$K602,"")</f>
        <v/>
      </c>
      <c r="W582" s="93" t="str">
        <f>IF(ISNUMBER('Model_ of_individuals'!W602), 'Model_ of_individuals'!W602*'Model_ of_individuals'!$K602,"")</f>
        <v/>
      </c>
      <c r="X582" s="93" t="str">
        <f>IF(ISNUMBER('Model_ of_individuals'!X602), 'Model_ of_individuals'!X602*'Model_ of_individuals'!$K602,"")</f>
        <v/>
      </c>
      <c r="Y582" s="93" t="str">
        <f>IF(ISNUMBER('Model_ of_individuals'!Y602), 'Model_ of_individuals'!Y602*'Model_ of_individuals'!$K602,"")</f>
        <v/>
      </c>
      <c r="Z582" s="93" t="str">
        <f>IF(ISNUMBER('Model_ of_individuals'!Z602), 'Model_ of_individuals'!Z602*'Model_ of_individuals'!$K602,"")</f>
        <v/>
      </c>
    </row>
    <row r="583" spans="1:26" x14ac:dyDescent="0.25">
      <c r="A583" s="518"/>
      <c r="B583" s="504"/>
      <c r="C583" s="110" t="str">
        <f>IF(ISNUMBER(B579), _5_4_0, "")</f>
        <v/>
      </c>
      <c r="D583" s="94" t="str">
        <f>IF(AND(C583&lt;&gt;"", 'Cost Inputs'!$G$150&lt;&gt;""), 'Cost Inputs'!$G$150, "")</f>
        <v/>
      </c>
      <c r="E583" s="94" t="str">
        <f>IF(AND(C583&lt;&gt;"", 'Cost Inputs'!$H$150&lt;&gt;""), 'Cost Inputs'!$H$150, "")</f>
        <v/>
      </c>
      <c r="F583" s="94" t="str">
        <f>IF(AND(C583&lt;&gt;"", 'Cost Inputs'!$I$150&lt;&gt;""), 'Cost Inputs'!$I$150, "")</f>
        <v/>
      </c>
      <c r="G583" s="102" t="str">
        <f t="shared" si="45"/>
        <v/>
      </c>
      <c r="H583" s="102" t="str">
        <f>IF(AND(C583&lt;&gt;"", 'Cost Inputs'!$J$150&lt;&gt;""), 'Cost Inputs'!$J$150, "")</f>
        <v/>
      </c>
      <c r="I583" s="102" t="str">
        <f t="shared" si="50"/>
        <v/>
      </c>
      <c r="J583" s="102" t="str">
        <f>IF(AND(C583&lt;&gt;"",('Cost Inputs'!$I$150+'Cost Inputs'!$J$150+'Cost Inputs'!$K$150)&gt;0), 'Cost Inputs'!$I$150+'Cost Inputs'!$J$150+'Cost Inputs'!$K$150, "")</f>
        <v/>
      </c>
      <c r="K583" s="102" t="str">
        <f t="shared" si="51"/>
        <v/>
      </c>
      <c r="L583" s="94"/>
      <c r="M583" s="103"/>
      <c r="Q583" s="102" t="str">
        <f>IF(ISNUMBER('Model_ of_individuals'!Q603), 'Model_ of_individuals'!Q603*'Model_ of_individuals'!$K603,"")</f>
        <v/>
      </c>
      <c r="R583" s="102" t="str">
        <f>IF(ISNUMBER('Model_ of_individuals'!R603), 'Model_ of_individuals'!R603*'Model_ of_individuals'!$K603,"")</f>
        <v/>
      </c>
      <c r="S583" s="102" t="str">
        <f>IF(ISNUMBER('Model_ of_individuals'!S603), 'Model_ of_individuals'!S603*'Model_ of_individuals'!$K603,"")</f>
        <v/>
      </c>
      <c r="T583" s="102" t="str">
        <f>IF(ISNUMBER('Model_ of_individuals'!T603), 'Model_ of_individuals'!T603*'Model_ of_individuals'!$K603,"")</f>
        <v/>
      </c>
      <c r="U583" s="102" t="str">
        <f>IF(ISNUMBER('Model_ of_individuals'!U603), 'Model_ of_individuals'!U603*'Model_ of_individuals'!$K603,"")</f>
        <v/>
      </c>
      <c r="V583" s="102" t="str">
        <f>IF(ISNUMBER('Model_ of_individuals'!V603), 'Model_ of_individuals'!V603*'Model_ of_individuals'!$K603,"")</f>
        <v/>
      </c>
      <c r="W583" s="102" t="str">
        <f>IF(ISNUMBER('Model_ of_individuals'!W603), 'Model_ of_individuals'!W603*'Model_ of_individuals'!$K603,"")</f>
        <v/>
      </c>
      <c r="X583" s="102" t="str">
        <f>IF(ISNUMBER('Model_ of_individuals'!X603), 'Model_ of_individuals'!X603*'Model_ of_individuals'!$K603,"")</f>
        <v/>
      </c>
      <c r="Y583" s="102" t="str">
        <f>IF(ISNUMBER('Model_ of_individuals'!Y603), 'Model_ of_individuals'!Y603*'Model_ of_individuals'!$K603,"")</f>
        <v/>
      </c>
      <c r="Z583" s="102" t="str">
        <f>IF(ISNUMBER('Model_ of_individuals'!Z603), 'Model_ of_individuals'!Z603*'Model_ of_individuals'!$K603,"")</f>
        <v/>
      </c>
    </row>
    <row r="584" spans="1:26" x14ac:dyDescent="0.25">
      <c r="A584" s="518"/>
      <c r="B584" s="504"/>
      <c r="C584" s="104" t="str">
        <f>IF(AND(ISNUMBER(B579), OR('Cost Inputs'!$H$151&lt;&gt;"", 'Cost Inputs'!$I$151&lt;&gt;"", 'Cost Inputs'!$J$151&lt;&gt;"")), _5_4_1, "")</f>
        <v/>
      </c>
      <c r="D584" s="17" t="str">
        <f>IF(AND(C584&lt;&gt;"", 'Cost Inputs'!$G$151&lt;&gt;""), 'Cost Inputs'!$G$151, "")</f>
        <v/>
      </c>
      <c r="E584" s="17" t="str">
        <f>IF(AND(C584&lt;&gt;"", 'Cost Inputs'!$H$151&lt;&gt;""), 'Cost Inputs'!$H$151, "")</f>
        <v/>
      </c>
      <c r="F584" s="17" t="str">
        <f>IF(AND(C584&lt;&gt;"", 'Cost Inputs'!$I$151&lt;&gt;""), 'Cost Inputs'!$I$151, "")</f>
        <v/>
      </c>
      <c r="G584" s="105" t="str">
        <f t="shared" si="45"/>
        <v/>
      </c>
      <c r="H584" s="17" t="str">
        <f>IF(AND(C584&lt;&gt;"", 'Cost Inputs'!$J$151&lt;&gt;""), 'Cost Inputs'!$J$151, "")</f>
        <v/>
      </c>
      <c r="I584" s="17" t="str">
        <f t="shared" si="50"/>
        <v/>
      </c>
      <c r="J584" s="17" t="str">
        <f>IF(AND(C584&lt;&gt;"",('Cost Inputs'!$I$151+'Cost Inputs'!$J$151+'Cost Inputs'!$K$151)&gt;0), 'Cost Inputs'!$I$151+'Cost Inputs'!$J$151+'Cost Inputs'!$K$151, "")</f>
        <v/>
      </c>
      <c r="K584" s="17" t="str">
        <f t="shared" si="51"/>
        <v/>
      </c>
      <c r="M584" s="106"/>
      <c r="Q584" s="17" t="str">
        <f>IF(ISNUMBER('Model_ of_individuals'!Q604), 'Model_ of_individuals'!Q604*'Model_ of_individuals'!$K604,"")</f>
        <v/>
      </c>
      <c r="R584" s="17" t="str">
        <f>IF(ISNUMBER('Model_ of_individuals'!R604), 'Model_ of_individuals'!R604*'Model_ of_individuals'!$K604,"")</f>
        <v/>
      </c>
      <c r="S584" s="17" t="str">
        <f>IF(ISNUMBER('Model_ of_individuals'!S604), 'Model_ of_individuals'!S604*'Model_ of_individuals'!$K604,"")</f>
        <v/>
      </c>
      <c r="T584" s="17" t="str">
        <f>IF(ISNUMBER('Model_ of_individuals'!T604), 'Model_ of_individuals'!T604*'Model_ of_individuals'!$K604,"")</f>
        <v/>
      </c>
      <c r="U584" s="17" t="str">
        <f>IF(ISNUMBER('Model_ of_individuals'!U604), 'Model_ of_individuals'!U604*'Model_ of_individuals'!$K604,"")</f>
        <v/>
      </c>
      <c r="V584" s="17" t="str">
        <f>IF(ISNUMBER('Model_ of_individuals'!V604), 'Model_ of_individuals'!V604*'Model_ of_individuals'!$K604,"")</f>
        <v/>
      </c>
      <c r="W584" s="17" t="str">
        <f>IF(ISNUMBER('Model_ of_individuals'!W604), 'Model_ of_individuals'!W604*'Model_ of_individuals'!$K604,"")</f>
        <v/>
      </c>
      <c r="X584" s="17" t="str">
        <f>IF(ISNUMBER('Model_ of_individuals'!X604), 'Model_ of_individuals'!X604*'Model_ of_individuals'!$K604,"")</f>
        <v/>
      </c>
      <c r="Y584" s="17" t="str">
        <f>IF(ISNUMBER('Model_ of_individuals'!Y604), 'Model_ of_individuals'!Y604*'Model_ of_individuals'!$K604,"")</f>
        <v/>
      </c>
      <c r="Z584" s="17" t="str">
        <f>IF(ISNUMBER('Model_ of_individuals'!Z604), 'Model_ of_individuals'!Z604*'Model_ of_individuals'!$K604,"")</f>
        <v/>
      </c>
    </row>
    <row r="585" spans="1:26" ht="14.45" customHeight="1" x14ac:dyDescent="0.25">
      <c r="A585" s="518"/>
      <c r="B585" s="504"/>
      <c r="C585" s="107" t="str">
        <f>IF(AND(ISNUMBER(B579), OR('Cost Inputs'!$H$152&lt;&gt;"", 'Cost Inputs'!$I$152&lt;&gt;"", 'Cost Inputs'!$J$152&lt;&gt;"")), _5_4_2, "")</f>
        <v/>
      </c>
      <c r="D585" s="93" t="str">
        <f>IF(AND(C585&lt;&gt;"", 'Cost Inputs'!$G$152&lt;&gt;""), 'Cost Inputs'!$G$152, "")</f>
        <v/>
      </c>
      <c r="E585" s="93" t="str">
        <f>IF(AND(C585&lt;&gt;"", 'Cost Inputs'!$H$152&lt;&gt;""), 'Cost Inputs'!$H$152, "")</f>
        <v/>
      </c>
      <c r="F585" s="93" t="str">
        <f>IF(AND(C585&lt;&gt;"", 'Cost Inputs'!$I$152&lt;&gt;""), 'Cost Inputs'!$I$152, "")</f>
        <v/>
      </c>
      <c r="G585" s="108" t="str">
        <f t="shared" si="45"/>
        <v/>
      </c>
      <c r="H585" s="93" t="str">
        <f>IF(AND(C585&lt;&gt;"", 'Cost Inputs'!$J$152&lt;&gt;""), 'Cost Inputs'!$J$152, "")</f>
        <v/>
      </c>
      <c r="I585" s="93" t="str">
        <f t="shared" si="50"/>
        <v/>
      </c>
      <c r="J585" s="93" t="str">
        <f>IF(AND(C585&lt;&gt;"",('Cost Inputs'!$I$152+'Cost Inputs'!$J$152+'Cost Inputs'!$K$152)&gt;0), 'Cost Inputs'!$I$152+'Cost Inputs'!$J$152+'Cost Inputs'!$K$152, "")</f>
        <v/>
      </c>
      <c r="K585" s="93" t="str">
        <f t="shared" si="51"/>
        <v/>
      </c>
      <c r="L585" s="93"/>
      <c r="M585" s="109"/>
      <c r="Q585" s="93" t="str">
        <f>IF(ISNUMBER('Model_ of_individuals'!Q605), 'Model_ of_individuals'!Q605*'Model_ of_individuals'!$K605,"")</f>
        <v/>
      </c>
      <c r="R585" s="93" t="str">
        <f>IF(ISNUMBER('Model_ of_individuals'!R605), 'Model_ of_individuals'!R605*'Model_ of_individuals'!$K605,"")</f>
        <v/>
      </c>
      <c r="S585" s="93" t="str">
        <f>IF(ISNUMBER('Model_ of_individuals'!S605), 'Model_ of_individuals'!S605*'Model_ of_individuals'!$K605,"")</f>
        <v/>
      </c>
      <c r="T585" s="93" t="str">
        <f>IF(ISNUMBER('Model_ of_individuals'!T605), 'Model_ of_individuals'!T605*'Model_ of_individuals'!$K605,"")</f>
        <v/>
      </c>
      <c r="U585" s="93" t="str">
        <f>IF(ISNUMBER('Model_ of_individuals'!U605), 'Model_ of_individuals'!U605*'Model_ of_individuals'!$K605,"")</f>
        <v/>
      </c>
      <c r="V585" s="93" t="str">
        <f>IF(ISNUMBER('Model_ of_individuals'!V605), 'Model_ of_individuals'!V605*'Model_ of_individuals'!$K605,"")</f>
        <v/>
      </c>
      <c r="W585" s="93" t="str">
        <f>IF(ISNUMBER('Model_ of_individuals'!W605), 'Model_ of_individuals'!W605*'Model_ of_individuals'!$K605,"")</f>
        <v/>
      </c>
      <c r="X585" s="93" t="str">
        <f>IF(ISNUMBER('Model_ of_individuals'!X605), 'Model_ of_individuals'!X605*'Model_ of_individuals'!$K605,"")</f>
        <v/>
      </c>
      <c r="Y585" s="93" t="str">
        <f>IF(ISNUMBER('Model_ of_individuals'!Y605), 'Model_ of_individuals'!Y605*'Model_ of_individuals'!$K605,"")</f>
        <v/>
      </c>
      <c r="Z585" s="93" t="str">
        <f>IF(ISNUMBER('Model_ of_individuals'!Z605), 'Model_ of_individuals'!Z605*'Model_ of_individuals'!$K605,"")</f>
        <v/>
      </c>
    </row>
    <row r="586" spans="1:26" x14ac:dyDescent="0.25">
      <c r="A586" s="518"/>
      <c r="B586" s="504"/>
      <c r="C586" s="104" t="str">
        <f>IF(AND(ISNUMBER(B579), OR('Cost Inputs'!$H$153&lt;&gt;"", 'Cost Inputs'!$I$153&lt;&gt;"", 'Cost Inputs'!$J$153&lt;&gt;"")), _5_4_3, "")</f>
        <v/>
      </c>
      <c r="D586" s="17" t="str">
        <f>IF(AND(C586&lt;&gt;"", 'Cost Inputs'!$G$153&lt;&gt;""), 'Cost Inputs'!$G$153, "")</f>
        <v/>
      </c>
      <c r="E586" s="17" t="str">
        <f>IF(AND(C586&lt;&gt;"", 'Cost Inputs'!$H$153&lt;&gt;""), 'Cost Inputs'!$H$153, "")</f>
        <v/>
      </c>
      <c r="F586" s="17" t="str">
        <f>IF(AND(C586&lt;&gt;"", 'Cost Inputs'!$I$153&lt;&gt;""), 'Cost Inputs'!$I$153, "")</f>
        <v/>
      </c>
      <c r="G586" s="105" t="str">
        <f t="shared" si="45"/>
        <v/>
      </c>
      <c r="H586" s="17" t="str">
        <f>IF(AND(C586&lt;&gt;"", 'Cost Inputs'!$J$153&lt;&gt;""), 'Cost Inputs'!$J$153, "")</f>
        <v/>
      </c>
      <c r="I586" s="17" t="str">
        <f t="shared" si="50"/>
        <v/>
      </c>
      <c r="J586" s="17" t="str">
        <f>IF(AND(C586&lt;&gt;"",('Cost Inputs'!$I$153+'Cost Inputs'!$J$153+'Cost Inputs'!$K$153)&gt;0), 'Cost Inputs'!$I$153+'Cost Inputs'!$J$153+'Cost Inputs'!$K$153, "")</f>
        <v/>
      </c>
      <c r="K586" s="17" t="str">
        <f t="shared" si="51"/>
        <v/>
      </c>
      <c r="M586" s="106"/>
      <c r="Q586" s="17" t="str">
        <f>IF(ISNUMBER('Model_ of_individuals'!Q606), 'Model_ of_individuals'!Q606*'Model_ of_individuals'!$K606,"")</f>
        <v/>
      </c>
      <c r="R586" s="17" t="str">
        <f>IF(ISNUMBER('Model_ of_individuals'!R606), 'Model_ of_individuals'!R606*'Model_ of_individuals'!$K606,"")</f>
        <v/>
      </c>
      <c r="S586" s="17" t="str">
        <f>IF(ISNUMBER('Model_ of_individuals'!S606), 'Model_ of_individuals'!S606*'Model_ of_individuals'!$K606,"")</f>
        <v/>
      </c>
      <c r="T586" s="17" t="str">
        <f>IF(ISNUMBER('Model_ of_individuals'!T606), 'Model_ of_individuals'!T606*'Model_ of_individuals'!$K606,"")</f>
        <v/>
      </c>
      <c r="U586" s="17" t="str">
        <f>IF(ISNUMBER('Model_ of_individuals'!U606), 'Model_ of_individuals'!U606*'Model_ of_individuals'!$K606,"")</f>
        <v/>
      </c>
      <c r="V586" s="17" t="str">
        <f>IF(ISNUMBER('Model_ of_individuals'!V606), 'Model_ of_individuals'!V606*'Model_ of_individuals'!$K606,"")</f>
        <v/>
      </c>
      <c r="W586" s="17" t="str">
        <f>IF(ISNUMBER('Model_ of_individuals'!W606), 'Model_ of_individuals'!W606*'Model_ of_individuals'!$K606,"")</f>
        <v/>
      </c>
      <c r="X586" s="17" t="str">
        <f>IF(ISNUMBER('Model_ of_individuals'!X606), 'Model_ of_individuals'!X606*'Model_ of_individuals'!$K606,"")</f>
        <v/>
      </c>
      <c r="Y586" s="17" t="str">
        <f>IF(ISNUMBER('Model_ of_individuals'!Y606), 'Model_ of_individuals'!Y606*'Model_ of_individuals'!$K606,"")</f>
        <v/>
      </c>
      <c r="Z586" s="17" t="str">
        <f>IF(ISNUMBER('Model_ of_individuals'!Z606), 'Model_ of_individuals'!Z606*'Model_ of_individuals'!$K606,"")</f>
        <v/>
      </c>
    </row>
    <row r="587" spans="1:26" x14ac:dyDescent="0.25">
      <c r="A587" s="518"/>
      <c r="B587" s="504"/>
      <c r="C587" s="107" t="str">
        <f>IF(AND(ISNUMBER(B579), OR('Cost Inputs'!$H$154&lt;&gt;"", 'Cost Inputs'!$I$154&lt;&gt;"", 'Cost Inputs'!$J$154&lt;&gt;"")), _5_4_4, "")</f>
        <v/>
      </c>
      <c r="D587" s="93" t="str">
        <f>IF(AND(C587&lt;&gt;"", 'Cost Inputs'!$G$154&lt;&gt;""), 'Cost Inputs'!$G$154, "")</f>
        <v/>
      </c>
      <c r="E587" s="93" t="str">
        <f>IF(AND(C587&lt;&gt;"", 'Cost Inputs'!$H$154&lt;&gt;""), 'Cost Inputs'!$H$154, "")</f>
        <v/>
      </c>
      <c r="F587" s="93" t="str">
        <f>IF(AND(C587&lt;&gt;"", 'Cost Inputs'!$I$154&lt;&gt;""), 'Cost Inputs'!$I$154, "")</f>
        <v/>
      </c>
      <c r="G587" s="108" t="str">
        <f t="shared" si="45"/>
        <v/>
      </c>
      <c r="H587" s="93" t="str">
        <f>IF(AND(C587&lt;&gt;"", 'Cost Inputs'!$J$154&lt;&gt;""), 'Cost Inputs'!$J$154, "")</f>
        <v/>
      </c>
      <c r="I587" s="93" t="str">
        <f t="shared" si="50"/>
        <v/>
      </c>
      <c r="J587" s="93" t="str">
        <f>IF(AND(C587&lt;&gt;"",('Cost Inputs'!$I$154+'Cost Inputs'!$J$154+'Cost Inputs'!$K$154)&gt;0), 'Cost Inputs'!$I$154+'Cost Inputs'!$J$154+'Cost Inputs'!$K$154, "")</f>
        <v/>
      </c>
      <c r="K587" s="93" t="str">
        <f t="shared" si="51"/>
        <v/>
      </c>
      <c r="L587" s="93"/>
      <c r="M587" s="109"/>
      <c r="Q587" s="93" t="str">
        <f>IF(ISNUMBER('Model_ of_individuals'!Q607), 'Model_ of_individuals'!Q607*'Model_ of_individuals'!$K607,"")</f>
        <v/>
      </c>
      <c r="R587" s="93" t="str">
        <f>IF(ISNUMBER('Model_ of_individuals'!R607), 'Model_ of_individuals'!R607*'Model_ of_individuals'!$K607,"")</f>
        <v/>
      </c>
      <c r="S587" s="93" t="str">
        <f>IF(ISNUMBER('Model_ of_individuals'!S607), 'Model_ of_individuals'!S607*'Model_ of_individuals'!$K607,"")</f>
        <v/>
      </c>
      <c r="T587" s="93" t="str">
        <f>IF(ISNUMBER('Model_ of_individuals'!T607), 'Model_ of_individuals'!T607*'Model_ of_individuals'!$K607,"")</f>
        <v/>
      </c>
      <c r="U587" s="93" t="str">
        <f>IF(ISNUMBER('Model_ of_individuals'!U607), 'Model_ of_individuals'!U607*'Model_ of_individuals'!$K607,"")</f>
        <v/>
      </c>
      <c r="V587" s="93" t="str">
        <f>IF(ISNUMBER('Model_ of_individuals'!V607), 'Model_ of_individuals'!V607*'Model_ of_individuals'!$K607,"")</f>
        <v/>
      </c>
      <c r="W587" s="93" t="str">
        <f>IF(ISNUMBER('Model_ of_individuals'!W607), 'Model_ of_individuals'!W607*'Model_ of_individuals'!$K607,"")</f>
        <v/>
      </c>
      <c r="X587" s="93" t="str">
        <f>IF(ISNUMBER('Model_ of_individuals'!X607), 'Model_ of_individuals'!X607*'Model_ of_individuals'!$K607,"")</f>
        <v/>
      </c>
      <c r="Y587" s="93" t="str">
        <f>IF(ISNUMBER('Model_ of_individuals'!Y607), 'Model_ of_individuals'!Y607*'Model_ of_individuals'!$K607,"")</f>
        <v/>
      </c>
      <c r="Z587" s="93" t="str">
        <f>IF(ISNUMBER('Model_ of_individuals'!Z607), 'Model_ of_individuals'!Z607*'Model_ of_individuals'!$K607,"")</f>
        <v/>
      </c>
    </row>
    <row r="588" spans="1:26" x14ac:dyDescent="0.25">
      <c r="A588" s="518"/>
      <c r="B588" s="504"/>
      <c r="C588" s="104" t="str">
        <f>IF(AND(ISNUMBER(B579), OR('Cost Inputs'!$H$155&lt;&gt;"", 'Cost Inputs'!$I$155&lt;&gt;"", 'Cost Inputs'!$J$155&lt;&gt;"")), _5_4_5, "")</f>
        <v/>
      </c>
      <c r="D588" s="17" t="str">
        <f>IF(AND(C588&lt;&gt;"", 'Cost Inputs'!$G$155&lt;&gt;""), 'Cost Inputs'!$G$155, "")</f>
        <v/>
      </c>
      <c r="E588" s="17" t="str">
        <f>IF(AND(C588&lt;&gt;"", 'Cost Inputs'!$H$155&lt;&gt;""), 'Cost Inputs'!$H$155, "")</f>
        <v/>
      </c>
      <c r="F588" s="17" t="str">
        <f>IF(AND(C588&lt;&gt;"", 'Cost Inputs'!$I$155&lt;&gt;""), 'Cost Inputs'!$I$155, "")</f>
        <v/>
      </c>
      <c r="G588" s="105" t="str">
        <f t="shared" si="45"/>
        <v/>
      </c>
      <c r="H588" s="17" t="str">
        <f>IF(AND(C588&lt;&gt;"", 'Cost Inputs'!$J$155&lt;&gt;""), 'Cost Inputs'!$J$155, "")</f>
        <v/>
      </c>
      <c r="I588" s="17" t="str">
        <f t="shared" si="50"/>
        <v/>
      </c>
      <c r="J588" s="17" t="str">
        <f>IF(AND(C588&lt;&gt;"",('Cost Inputs'!$I$155+'Cost Inputs'!$J$155+'Cost Inputs'!$K$155)&gt;0), 'Cost Inputs'!$I$155+'Cost Inputs'!$J$155+'Cost Inputs'!$K$155, "")</f>
        <v/>
      </c>
      <c r="K588" s="17" t="str">
        <f t="shared" si="51"/>
        <v/>
      </c>
      <c r="M588" s="106"/>
      <c r="Q588" s="17" t="str">
        <f>IF(ISNUMBER('Model_ of_individuals'!Q608), 'Model_ of_individuals'!Q608*'Model_ of_individuals'!$K608,"")</f>
        <v/>
      </c>
      <c r="R588" s="17" t="str">
        <f>IF(ISNUMBER('Model_ of_individuals'!R608), 'Model_ of_individuals'!R608*'Model_ of_individuals'!$K608,"")</f>
        <v/>
      </c>
      <c r="S588" s="17" t="str">
        <f>IF(ISNUMBER('Model_ of_individuals'!S608), 'Model_ of_individuals'!S608*'Model_ of_individuals'!$K608,"")</f>
        <v/>
      </c>
      <c r="T588" s="17" t="str">
        <f>IF(ISNUMBER('Model_ of_individuals'!T608), 'Model_ of_individuals'!T608*'Model_ of_individuals'!$K608,"")</f>
        <v/>
      </c>
      <c r="U588" s="17" t="str">
        <f>IF(ISNUMBER('Model_ of_individuals'!U608), 'Model_ of_individuals'!U608*'Model_ of_individuals'!$K608,"")</f>
        <v/>
      </c>
      <c r="V588" s="17" t="str">
        <f>IF(ISNUMBER('Model_ of_individuals'!V608), 'Model_ of_individuals'!V608*'Model_ of_individuals'!$K608,"")</f>
        <v/>
      </c>
      <c r="W588" s="17" t="str">
        <f>IF(ISNUMBER('Model_ of_individuals'!W608), 'Model_ of_individuals'!W608*'Model_ of_individuals'!$K608,"")</f>
        <v/>
      </c>
      <c r="X588" s="17" t="str">
        <f>IF(ISNUMBER('Model_ of_individuals'!X608), 'Model_ of_individuals'!X608*'Model_ of_individuals'!$K608,"")</f>
        <v/>
      </c>
      <c r="Y588" s="17" t="str">
        <f>IF(ISNUMBER('Model_ of_individuals'!Y608), 'Model_ of_individuals'!Y608*'Model_ of_individuals'!$K608,"")</f>
        <v/>
      </c>
      <c r="Z588" s="17" t="str">
        <f>IF(ISNUMBER('Model_ of_individuals'!Z608), 'Model_ of_individuals'!Z608*'Model_ of_individuals'!$K608,"")</f>
        <v/>
      </c>
    </row>
    <row r="589" spans="1:26" x14ac:dyDescent="0.25">
      <c r="A589" s="518"/>
      <c r="B589" s="504"/>
      <c r="C589" s="107" t="str">
        <f>IF(AND(ISNUMBER(B579), OR('Cost Inputs'!$H$156&lt;&gt;"", 'Cost Inputs'!$I$156&lt;&gt;"", 'Cost Inputs'!$J$156&lt;&gt;"")), _5_4_6, "")</f>
        <v/>
      </c>
      <c r="D589" s="93" t="str">
        <f>IF(AND(C589&lt;&gt;"", 'Cost Inputs'!$G$156&lt;&gt;""), 'Cost Inputs'!$G$156, "")</f>
        <v/>
      </c>
      <c r="E589" s="93" t="str">
        <f>IF(AND(C589&lt;&gt;"", 'Cost Inputs'!$H$156&lt;&gt;""), 'Cost Inputs'!$H$156, "")</f>
        <v/>
      </c>
      <c r="F589" s="93" t="str">
        <f>IF(AND(C589&lt;&gt;"", 'Cost Inputs'!$I$156&lt;&gt;""), 'Cost Inputs'!$I$156, "")</f>
        <v/>
      </c>
      <c r="G589" s="108" t="str">
        <f t="shared" si="45"/>
        <v/>
      </c>
      <c r="H589" s="93" t="str">
        <f>IF(AND(C589&lt;&gt;"", 'Cost Inputs'!$J$156&lt;&gt;""), 'Cost Inputs'!$J$16, "")</f>
        <v/>
      </c>
      <c r="I589" s="93" t="str">
        <f t="shared" si="50"/>
        <v/>
      </c>
      <c r="J589" s="93" t="str">
        <f>IF(AND(C589&lt;&gt;"",('Cost Inputs'!$I$156+'Cost Inputs'!$J$156+'Cost Inputs'!$K$156)&gt;0), 'Cost Inputs'!$I$156+'Cost Inputs'!$J$156+'Cost Inputs'!$K$156, "")</f>
        <v/>
      </c>
      <c r="K589" s="93" t="str">
        <f t="shared" si="51"/>
        <v/>
      </c>
      <c r="L589" s="93"/>
      <c r="M589" s="109"/>
      <c r="Q589" s="93" t="str">
        <f>IF(ISNUMBER('Model_ of_individuals'!Q609), 'Model_ of_individuals'!Q609*'Model_ of_individuals'!$K609,"")</f>
        <v/>
      </c>
      <c r="R589" s="93" t="str">
        <f>IF(ISNUMBER('Model_ of_individuals'!R609), 'Model_ of_individuals'!R609*'Model_ of_individuals'!$K609,"")</f>
        <v/>
      </c>
      <c r="S589" s="93" t="str">
        <f>IF(ISNUMBER('Model_ of_individuals'!S609), 'Model_ of_individuals'!S609*'Model_ of_individuals'!$K609,"")</f>
        <v/>
      </c>
      <c r="T589" s="93" t="str">
        <f>IF(ISNUMBER('Model_ of_individuals'!T609), 'Model_ of_individuals'!T609*'Model_ of_individuals'!$K609,"")</f>
        <v/>
      </c>
      <c r="U589" s="93" t="str">
        <f>IF(ISNUMBER('Model_ of_individuals'!U609), 'Model_ of_individuals'!U609*'Model_ of_individuals'!$K609,"")</f>
        <v/>
      </c>
      <c r="V589" s="93" t="str">
        <f>IF(ISNUMBER('Model_ of_individuals'!V609), 'Model_ of_individuals'!V609*'Model_ of_individuals'!$K609,"")</f>
        <v/>
      </c>
      <c r="W589" s="93" t="str">
        <f>IF(ISNUMBER('Model_ of_individuals'!W609), 'Model_ of_individuals'!W609*'Model_ of_individuals'!$K609,"")</f>
        <v/>
      </c>
      <c r="X589" s="93" t="str">
        <f>IF(ISNUMBER('Model_ of_individuals'!X609), 'Model_ of_individuals'!X609*'Model_ of_individuals'!$K609,"")</f>
        <v/>
      </c>
      <c r="Y589" s="93" t="str">
        <f>IF(ISNUMBER('Model_ of_individuals'!Y609), 'Model_ of_individuals'!Y609*'Model_ of_individuals'!$K609,"")</f>
        <v/>
      </c>
      <c r="Z589" s="93" t="str">
        <f>IF(ISNUMBER('Model_ of_individuals'!Z609), 'Model_ of_individuals'!Z609*'Model_ of_individuals'!$K609,"")</f>
        <v/>
      </c>
    </row>
    <row r="590" spans="1:26" x14ac:dyDescent="0.25">
      <c r="A590" s="518"/>
      <c r="B590" s="504"/>
      <c r="C590" s="521" t="str">
        <f>IF(AND(B579&lt;&gt;"",ISNUMBER(B579),ISNUMBER(Stage3EvaluationBegins)),IF((INDEX(ProgramYearStage3,MATCH(Stage3EvaluationBegins,Years_in_Stage3,0)))=B579,_5_5_0,IF(AND(B579&lt;&gt;"",C568&lt;&gt;""),_5_5_0,IF(AND(B579&lt;&gt;"",ISNUMBER(B579),OR(Stage3EvaluationBegins=0,Stage3EvaluationBegins="")),"",""))),"")</f>
        <v/>
      </c>
      <c r="D590" s="94" t="str">
        <f>IF(AND(C590&lt;&gt;"", 'Cost Inputs'!$G$157&lt;&gt;""), 'Cost Inputs'!$G$157, "")</f>
        <v/>
      </c>
      <c r="E590" s="94" t="str">
        <f>IF(AND(C590&lt;&gt;"", 'Cost Inputs'!$H$157&lt;&gt;""), 'Cost Inputs'!$H$157, "")</f>
        <v/>
      </c>
      <c r="F590" s="492" t="str">
        <f>IF(AND(C590&lt;&gt;"", 'Cost Inputs'!$I$157&lt;&gt;""), 'Cost Inputs'!$I$157, "")</f>
        <v/>
      </c>
      <c r="G590" s="102" t="str">
        <f t="shared" si="45"/>
        <v/>
      </c>
      <c r="H590" s="492" t="str">
        <f>IF(AND(C590&lt;&gt;"", 'Cost Inputs'!$J$157&lt;&gt;""), 'Cost Inputs'!$J$157, "")</f>
        <v/>
      </c>
      <c r="I590" s="102" t="str">
        <f>IF($C590&lt;&gt;"",IF(AND($E590&lt;&gt;"",H590&lt;&gt;""), H590/$E590, 0),"")</f>
        <v/>
      </c>
      <c r="J590" s="492" t="str">
        <f>IF(AND(C590&lt;&gt;"",('Cost Inputs'!$I$157+'Cost Inputs'!$J$157+'Cost Inputs'!$K$157)&gt;0), 'Cost Inputs'!$I$157+'Cost Inputs'!$J$157+'Cost Inputs'!$K$157, "")</f>
        <v/>
      </c>
      <c r="K590" s="102" t="str">
        <f>IF($C590&lt;&gt;"",IF(AND($E590&lt;&gt;"",J590&lt;&gt;""), J590/$E590, 0),"")</f>
        <v/>
      </c>
      <c r="L590" s="94"/>
      <c r="M590" s="103"/>
      <c r="Q590" s="492" t="str">
        <f>IF(ISNUMBER('Model_ of_individuals'!Q610), 'Model_ of_individuals'!Q610*'Model_ of_individuals'!$K610,"")</f>
        <v/>
      </c>
      <c r="R590" s="492" t="str">
        <f>IF(ISNUMBER('Model_ of_individuals'!R610), 'Model_ of_individuals'!R610*'Model_ of_individuals'!$K610,"")</f>
        <v/>
      </c>
      <c r="S590" s="492" t="str">
        <f>IF(ISNUMBER('Model_ of_individuals'!S610), 'Model_ of_individuals'!S610*'Model_ of_individuals'!$K610,"")</f>
        <v/>
      </c>
      <c r="T590" s="492" t="str">
        <f>IF(ISNUMBER('Model_ of_individuals'!T610), 'Model_ of_individuals'!T610*'Model_ of_individuals'!$K610,"")</f>
        <v/>
      </c>
      <c r="U590" s="492" t="str">
        <f>IF(ISNUMBER('Model_ of_individuals'!U610), 'Model_ of_individuals'!U610*'Model_ of_individuals'!$K610,"")</f>
        <v/>
      </c>
      <c r="V590" s="492" t="str">
        <f>IF(ISNUMBER('Model_ of_individuals'!V610), 'Model_ of_individuals'!V610*'Model_ of_individuals'!$K610,"")</f>
        <v/>
      </c>
      <c r="W590" s="492" t="str">
        <f>IF(ISNUMBER('Model_ of_individuals'!W610), 'Model_ of_individuals'!W610*'Model_ of_individuals'!$K610,"")</f>
        <v/>
      </c>
      <c r="X590" s="492" t="str">
        <f>IF(ISNUMBER('Model_ of_individuals'!X610), 'Model_ of_individuals'!X610*'Model_ of_individuals'!$K610,"")</f>
        <v/>
      </c>
      <c r="Y590" s="492" t="str">
        <f>IF(ISNUMBER('Model_ of_individuals'!Y610), 'Model_ of_individuals'!Y610*'Model_ of_individuals'!$K610,"")</f>
        <v/>
      </c>
      <c r="Z590" s="492" t="str">
        <f>IF(ISNUMBER('Model_ of_individuals'!Z610), 'Model_ of_individuals'!Z610*'Model_ of_individuals'!$K610,"")</f>
        <v/>
      </c>
    </row>
    <row r="591" spans="1:26" x14ac:dyDescent="0.25">
      <c r="A591" s="518"/>
      <c r="B591" s="504"/>
      <c r="C591" s="521"/>
      <c r="D591" s="94" t="str">
        <f>IF(AND(C590&lt;&gt;"", 'Cost Inputs'!$G$158&lt;&gt;""), 'Cost Inputs'!$G$158, "")</f>
        <v/>
      </c>
      <c r="E591" s="94" t="str">
        <f>IF(AND(C590&lt;&gt;"", 'Cost Inputs'!$H$158&lt;&gt;""), 'Cost Inputs'!$H$158, "")</f>
        <v/>
      </c>
      <c r="F591" s="492"/>
      <c r="G591" s="102" t="str">
        <f t="shared" ref="G591:G654" si="52">IF(AND($E591&lt;&gt;"", $E591&gt;0, F591&lt;&gt;""), F591/$E591, "")</f>
        <v/>
      </c>
      <c r="H591" s="492"/>
      <c r="I591" s="102" t="str">
        <f>IF($C590&lt;&gt;"", IF(AND($E591&lt;&gt;"", H590&lt;&gt;""), H590/($E590*$E591), 0), "")</f>
        <v/>
      </c>
      <c r="J591" s="492" t="str">
        <f>IF(AND(C591&lt;&gt;"",('Cost Inputs'!$I$86+'Cost Inputs'!$J$86+'Cost Inputs'!$K$86)&gt;0), 'Cost Inputs'!$I$86+'Cost Inputs'!$J$86+'Cost Inputs'!$K$86, "")</f>
        <v/>
      </c>
      <c r="K591" s="102" t="str">
        <f>IF($C590&lt;&gt;"", IF(AND($E591&lt;&gt;"", J590&lt;&gt;""), J590/($E590*$E591), 0), "")</f>
        <v/>
      </c>
      <c r="L591" s="94"/>
      <c r="M591" s="103"/>
      <c r="Q591" s="492" t="str">
        <f>IF(ISNUMBER('Model_ of_individuals'!Q611), 'Model_ of_individuals'!Q611*'Model_ of_individuals'!$K611,"")</f>
        <v/>
      </c>
      <c r="R591" s="492" t="str">
        <f>IF(ISNUMBER('Model_ of_individuals'!R611), 'Model_ of_individuals'!R611*'Model_ of_individuals'!$K611,"")</f>
        <v/>
      </c>
      <c r="S591" s="492" t="str">
        <f>IF(ISNUMBER('Model_ of_individuals'!S611), 'Model_ of_individuals'!S611*'Model_ of_individuals'!$K611,"")</f>
        <v/>
      </c>
      <c r="T591" s="492" t="str">
        <f>IF(ISNUMBER('Model_ of_individuals'!T611), 'Model_ of_individuals'!T611*'Model_ of_individuals'!$K611,"")</f>
        <v/>
      </c>
      <c r="U591" s="492" t="str">
        <f>IF(ISNUMBER('Model_ of_individuals'!U611), 'Model_ of_individuals'!U611*'Model_ of_individuals'!$K611,"")</f>
        <v/>
      </c>
      <c r="V591" s="492" t="str">
        <f>IF(ISNUMBER('Model_ of_individuals'!V611), 'Model_ of_individuals'!V611*'Model_ of_individuals'!$K611,"")</f>
        <v/>
      </c>
      <c r="W591" s="492" t="str">
        <f>IF(ISNUMBER('Model_ of_individuals'!W611), 'Model_ of_individuals'!W611*'Model_ of_individuals'!$K611,"")</f>
        <v/>
      </c>
      <c r="X591" s="492" t="str">
        <f>IF(ISNUMBER('Model_ of_individuals'!X611), 'Model_ of_individuals'!X611*'Model_ of_individuals'!$K611,"")</f>
        <v/>
      </c>
      <c r="Y591" s="492" t="str">
        <f>IF(ISNUMBER('Model_ of_individuals'!Y611), 'Model_ of_individuals'!Y611*'Model_ of_individuals'!$K611,"")</f>
        <v/>
      </c>
      <c r="Z591" s="492" t="str">
        <f>IF(ISNUMBER('Model_ of_individuals'!Z611), 'Model_ of_individuals'!Z611*'Model_ of_individuals'!$K611,"")</f>
        <v/>
      </c>
    </row>
    <row r="592" spans="1:26" x14ac:dyDescent="0.25">
      <c r="A592" s="518"/>
      <c r="B592" s="504"/>
      <c r="C592" s="376" t="str">
        <f>IF(AND(ISNUMBER(B579), C590&lt;&gt;"", OR('Cost Inputs'!$H$159&lt;&gt;"", 'Cost Inputs'!$I$159&lt;&gt;"", 'Cost Inputs'!$J$159&lt;&gt;"")), _5_5_1, "")</f>
        <v/>
      </c>
      <c r="D592" s="17" t="str">
        <f>IF(AND(C592&lt;&gt;"", 'Cost Inputs'!$G$159&lt;&gt;""), 'Cost Inputs'!$G$159, "")</f>
        <v/>
      </c>
      <c r="E592" s="17" t="str">
        <f>IF(AND(C592&lt;&gt;"", 'Cost Inputs'!$H$159&lt;&gt;""), 'Cost Inputs'!$H$159, "")</f>
        <v/>
      </c>
      <c r="F592" s="493" t="str">
        <f>IF(AND(C592&lt;&gt;"", 'Cost Inputs'!$I$159&lt;&gt;""), 'Cost Inputs'!$I$159, "")</f>
        <v/>
      </c>
      <c r="G592" s="105" t="str">
        <f t="shared" si="52"/>
        <v/>
      </c>
      <c r="H592" s="493" t="str">
        <f>IF(AND(C592&lt;&gt;"", 'Cost Inputs'!$J$159&lt;&gt;""), 'Cost Inputs'!$J$159, "")</f>
        <v/>
      </c>
      <c r="I592" s="105" t="str">
        <f>IF($C592&lt;&gt;"",IF(AND($E592&lt;&gt;"",H592&lt;&gt;""), H592/$E592, 0),"")</f>
        <v/>
      </c>
      <c r="J592" s="493" t="str">
        <f>IF(AND(C592&lt;&gt;"",('Cost Inputs'!$I$159+'Cost Inputs'!$J$159+'Cost Inputs'!$K$159)&gt;0), 'Cost Inputs'!$I$159+'Cost Inputs'!$J$159+'Cost Inputs'!$K$159, "")</f>
        <v/>
      </c>
      <c r="K592" s="105" t="str">
        <f>IF($C592&lt;&gt;"",IF(AND($E592&lt;&gt;"",J592&lt;&gt;""), J592/$E592, 0),"")</f>
        <v/>
      </c>
      <c r="M592" s="106"/>
      <c r="Q592" s="493" t="str">
        <f>IF(ISNUMBER('Model_ of_individuals'!Q612), 'Model_ of_individuals'!Q612*'Model_ of_individuals'!$K612,"")</f>
        <v/>
      </c>
      <c r="R592" s="493" t="str">
        <f>IF(ISNUMBER('Model_ of_individuals'!R612), 'Model_ of_individuals'!R612*'Model_ of_individuals'!$K612,"")</f>
        <v/>
      </c>
      <c r="S592" s="493" t="str">
        <f>IF(ISNUMBER('Model_ of_individuals'!S612), 'Model_ of_individuals'!S612*'Model_ of_individuals'!$K612,"")</f>
        <v/>
      </c>
      <c r="T592" s="493" t="str">
        <f>IF(ISNUMBER('Model_ of_individuals'!T612), 'Model_ of_individuals'!T612*'Model_ of_individuals'!$K612,"")</f>
        <v/>
      </c>
      <c r="U592" s="493" t="str">
        <f>IF(ISNUMBER('Model_ of_individuals'!U612), 'Model_ of_individuals'!U612*'Model_ of_individuals'!$K612,"")</f>
        <v/>
      </c>
      <c r="V592" s="493" t="str">
        <f>IF(ISNUMBER('Model_ of_individuals'!V612), 'Model_ of_individuals'!V612*'Model_ of_individuals'!$K612,"")</f>
        <v/>
      </c>
      <c r="W592" s="493" t="str">
        <f>IF(ISNUMBER('Model_ of_individuals'!W612), 'Model_ of_individuals'!W612*'Model_ of_individuals'!$K612,"")</f>
        <v/>
      </c>
      <c r="X592" s="493" t="str">
        <f>IF(ISNUMBER('Model_ of_individuals'!X612), 'Model_ of_individuals'!X612*'Model_ of_individuals'!$K612,"")</f>
        <v/>
      </c>
      <c r="Y592" s="493" t="str">
        <f>IF(ISNUMBER('Model_ of_individuals'!Y612), 'Model_ of_individuals'!Y612*'Model_ of_individuals'!$K612,"")</f>
        <v/>
      </c>
      <c r="Z592" s="493" t="str">
        <f>IF(ISNUMBER('Model_ of_individuals'!Z612), 'Model_ of_individuals'!Z612*'Model_ of_individuals'!$K612,"")</f>
        <v/>
      </c>
    </row>
    <row r="593" spans="1:27" x14ac:dyDescent="0.25">
      <c r="A593" s="518"/>
      <c r="B593" s="504"/>
      <c r="C593" s="376" t="str">
        <f>IF(AND(ISNUMBER(B575), OR('Cost Inputs'!$H$85&lt;&gt;"", 'Cost Inputs'!$I$85&lt;&gt;"", 'Cost Inputs'!$J$85&lt;&gt;"")), _3_5_1, "")</f>
        <v/>
      </c>
      <c r="D593" s="17" t="str">
        <f>IF(AND(C592&lt;&gt;"", 'Cost Inputs'!$G$160&lt;&gt;""), 'Cost Inputs'!$G$160, "")</f>
        <v/>
      </c>
      <c r="E593" s="17" t="str">
        <f>IF(AND(C592&lt;&gt;"", 'Cost Inputs'!$H$160&lt;&gt;""), 'Cost Inputs'!$H$160, "")</f>
        <v/>
      </c>
      <c r="F593" s="493"/>
      <c r="G593" s="105" t="str">
        <f t="shared" si="52"/>
        <v/>
      </c>
      <c r="H593" s="493"/>
      <c r="I593" s="105" t="str">
        <f>IF($C592&lt;&gt;"", IF(AND($E593&lt;&gt;"", H592&lt;&gt;""), H592/($E592*$E593), 0), "")</f>
        <v/>
      </c>
      <c r="J593" s="493" t="str">
        <f>IF(AND(C593&lt;&gt;"",('Cost Inputs'!$I$86+'Cost Inputs'!$J$86+'Cost Inputs'!$K$86)&gt;0), 'Cost Inputs'!$I$86+'Cost Inputs'!$J$86+'Cost Inputs'!$K$86, "")</f>
        <v/>
      </c>
      <c r="K593" s="105" t="str">
        <f>IF($C592&lt;&gt;"", IF(AND($E593&lt;&gt;"", J592&lt;&gt;""), J592/($E592*$E593), 0), "")</f>
        <v/>
      </c>
      <c r="M593" s="106"/>
      <c r="Q593" s="493" t="str">
        <f>IF(ISNUMBER('Model_ of_individuals'!Q613), 'Model_ of_individuals'!Q613*'Model_ of_individuals'!$K613,"")</f>
        <v/>
      </c>
      <c r="R593" s="493" t="str">
        <f>IF(ISNUMBER('Model_ of_individuals'!R613), 'Model_ of_individuals'!R613*'Model_ of_individuals'!$K613,"")</f>
        <v/>
      </c>
      <c r="S593" s="493" t="str">
        <f>IF(ISNUMBER('Model_ of_individuals'!S613), 'Model_ of_individuals'!S613*'Model_ of_individuals'!$K613,"")</f>
        <v/>
      </c>
      <c r="T593" s="493" t="str">
        <f>IF(ISNUMBER('Model_ of_individuals'!T613), 'Model_ of_individuals'!T613*'Model_ of_individuals'!$K613,"")</f>
        <v/>
      </c>
      <c r="U593" s="493" t="str">
        <f>IF(ISNUMBER('Model_ of_individuals'!U613), 'Model_ of_individuals'!U613*'Model_ of_individuals'!$K613,"")</f>
        <v/>
      </c>
      <c r="V593" s="493" t="str">
        <f>IF(ISNUMBER('Model_ of_individuals'!V613), 'Model_ of_individuals'!V613*'Model_ of_individuals'!$K613,"")</f>
        <v/>
      </c>
      <c r="W593" s="493" t="str">
        <f>IF(ISNUMBER('Model_ of_individuals'!W613), 'Model_ of_individuals'!W613*'Model_ of_individuals'!$K613,"")</f>
        <v/>
      </c>
      <c r="X593" s="493" t="str">
        <f>IF(ISNUMBER('Model_ of_individuals'!X613), 'Model_ of_individuals'!X613*'Model_ of_individuals'!$K613,"")</f>
        <v/>
      </c>
      <c r="Y593" s="493" t="str">
        <f>IF(ISNUMBER('Model_ of_individuals'!Y613), 'Model_ of_individuals'!Y613*'Model_ of_individuals'!$K613,"")</f>
        <v/>
      </c>
      <c r="Z593" s="493" t="str">
        <f>IF(ISNUMBER('Model_ of_individuals'!Z613), 'Model_ of_individuals'!Z613*'Model_ of_individuals'!$K613,"")</f>
        <v/>
      </c>
    </row>
    <row r="594" spans="1:27" x14ac:dyDescent="0.25">
      <c r="A594" s="518"/>
      <c r="B594" s="504"/>
      <c r="C594" s="107" t="str">
        <f>IF(AND(ISNUMBER(B579), C590&lt;&gt;"", OR('Cost Inputs'!$H$161&lt;&gt;"", 'Cost Inputs'!$I$161&lt;&gt;"", 'Cost Inputs'!$J$161&lt;&gt;"")), _5_5_2, "")</f>
        <v/>
      </c>
      <c r="D594" s="93" t="str">
        <f>IF(AND(C594&lt;&gt;"", 'Cost Inputs'!$G$161&lt;&gt;""), 'Cost Inputs'!$G$161, "")</f>
        <v/>
      </c>
      <c r="E594" s="93" t="str">
        <f>IF(AND(C594&lt;&gt;"", 'Cost Inputs'!$H$161&lt;&gt;""), 'Cost Inputs'!$H$161, "")</f>
        <v/>
      </c>
      <c r="F594" s="93" t="str">
        <f>IF(AND(C594&lt;&gt;"", 'Cost Inputs'!$I$161&lt;&gt;""), 'Cost Inputs'!$I$161, "")</f>
        <v/>
      </c>
      <c r="G594" s="108" t="str">
        <f t="shared" si="52"/>
        <v/>
      </c>
      <c r="H594" s="93" t="str">
        <f>IF(AND(C594&lt;&gt;"", 'Cost Inputs'!$J$161&lt;&gt;""), 'Cost Inputs'!$J$161, "")</f>
        <v/>
      </c>
      <c r="I594" s="93" t="str">
        <f>IF($C594&lt;&gt;"", IF(AND($E594&lt;&gt;"", H594&lt;&gt;""), H594/$E594, 0),"")</f>
        <v/>
      </c>
      <c r="J594" s="93" t="str">
        <f>IF(AND(C594&lt;&gt;"",('Cost Inputs'!$I$161+'Cost Inputs'!$J$161+'Cost Inputs'!$K$161)&gt;0), 'Cost Inputs'!$I$161+'Cost Inputs'!$J$161+'Cost Inputs'!$K$161, "")</f>
        <v/>
      </c>
      <c r="K594" s="93" t="str">
        <f>IF($C594&lt;&gt;"", IF(AND($E594&lt;&gt;"", J594&lt;&gt;""), J594/$E594, 0),"")</f>
        <v/>
      </c>
      <c r="L594" s="93"/>
      <c r="M594" s="109"/>
      <c r="Q594" s="93" t="str">
        <f>IF(ISNUMBER('Model_ of_individuals'!Q614), 'Model_ of_individuals'!Q614*'Model_ of_individuals'!$K614,"")</f>
        <v/>
      </c>
      <c r="R594" s="93" t="str">
        <f>IF(ISNUMBER('Model_ of_individuals'!R614), 'Model_ of_individuals'!R614*'Model_ of_individuals'!$K614,"")</f>
        <v/>
      </c>
      <c r="S594" s="93" t="str">
        <f>IF(ISNUMBER('Model_ of_individuals'!S614), 'Model_ of_individuals'!S614*'Model_ of_individuals'!$K614,"")</f>
        <v/>
      </c>
      <c r="T594" s="93" t="str">
        <f>IF(ISNUMBER('Model_ of_individuals'!T614), 'Model_ of_individuals'!T614*'Model_ of_individuals'!$K614,"")</f>
        <v/>
      </c>
      <c r="U594" s="93" t="str">
        <f>IF(ISNUMBER('Model_ of_individuals'!U614), 'Model_ of_individuals'!U614*'Model_ of_individuals'!$K614,"")</f>
        <v/>
      </c>
      <c r="V594" s="93" t="str">
        <f>IF(ISNUMBER('Model_ of_individuals'!V614), 'Model_ of_individuals'!V614*'Model_ of_individuals'!$K614,"")</f>
        <v/>
      </c>
      <c r="W594" s="93" t="str">
        <f>IF(ISNUMBER('Model_ of_individuals'!W614), 'Model_ of_individuals'!W614*'Model_ of_individuals'!$K614,"")</f>
        <v/>
      </c>
      <c r="X594" s="93" t="str">
        <f>IF(ISNUMBER('Model_ of_individuals'!X614), 'Model_ of_individuals'!X614*'Model_ of_individuals'!$K614,"")</f>
        <v/>
      </c>
      <c r="Y594" s="93" t="str">
        <f>IF(ISNUMBER('Model_ of_individuals'!Y614), 'Model_ of_individuals'!Y614*'Model_ of_individuals'!$K614,"")</f>
        <v/>
      </c>
      <c r="Z594" s="93" t="str">
        <f>IF(ISNUMBER('Model_ of_individuals'!Z614), 'Model_ of_individuals'!Z614*'Model_ of_individuals'!$K614,"")</f>
        <v/>
      </c>
    </row>
    <row r="595" spans="1:27" x14ac:dyDescent="0.25">
      <c r="A595" s="518"/>
      <c r="B595" s="504"/>
      <c r="C595" s="104" t="str">
        <f>IF(AND(ISNUMBER(B579), C590&lt;&gt;"", OR('Cost Inputs'!$H$162&lt;&gt;"", 'Cost Inputs'!$I$162&lt;&gt;"", 'Cost Inputs'!$J$162&lt;&gt;"")), _5_5_3, "")</f>
        <v/>
      </c>
      <c r="D595" s="17" t="str">
        <f>IF(AND(C595&lt;&gt;"", 'Cost Inputs'!$G$162&lt;&gt;""), 'Cost Inputs'!$G$162, "")</f>
        <v/>
      </c>
      <c r="E595" s="17" t="str">
        <f>IF(AND(C595&lt;&gt;"", 'Cost Inputs'!$H$162&lt;&gt;""), 'Cost Inputs'!$H$162, "")</f>
        <v/>
      </c>
      <c r="F595" s="17" t="str">
        <f>IF(AND(C595&lt;&gt;"", 'Cost Inputs'!$I$162&lt;&gt;""), 'Cost Inputs'!$I$162, "")</f>
        <v/>
      </c>
      <c r="G595" s="105" t="str">
        <f t="shared" si="52"/>
        <v/>
      </c>
      <c r="H595" s="17" t="str">
        <f>IF(AND(C595&lt;&gt;"", 'Cost Inputs'!$J$162&lt;&gt;""), 'Cost Inputs'!$J$162, "")</f>
        <v/>
      </c>
      <c r="I595" s="17" t="str">
        <f>IF($C595&lt;&gt;"", IF(AND($E595&lt;&gt;"", H595&lt;&gt;""), H595/$E595, 0),"")</f>
        <v/>
      </c>
      <c r="J595" s="17" t="str">
        <f>IF(AND(C595&lt;&gt;"",('Cost Inputs'!$I$162+'Cost Inputs'!$J$162+'Cost Inputs'!$K$162)&gt;0), 'Cost Inputs'!$I$162+'Cost Inputs'!$J$162+'Cost Inputs'!$K$162, "")</f>
        <v/>
      </c>
      <c r="K595" s="17" t="str">
        <f>IF($C595&lt;&gt;"", IF(AND($E595&lt;&gt;"", J595&lt;&gt;""), J595/$E595, 0),"")</f>
        <v/>
      </c>
      <c r="M595" s="106"/>
      <c r="Q595" s="17" t="str">
        <f>IF(ISNUMBER('Model_ of_individuals'!Q615), 'Model_ of_individuals'!Q615*'Model_ of_individuals'!$K615,"")</f>
        <v/>
      </c>
      <c r="R595" s="17" t="str">
        <f>IF(ISNUMBER('Model_ of_individuals'!R615), 'Model_ of_individuals'!R615*'Model_ of_individuals'!$K615,"")</f>
        <v/>
      </c>
      <c r="S595" s="17" t="str">
        <f>IF(ISNUMBER('Model_ of_individuals'!S615), 'Model_ of_individuals'!S615*'Model_ of_individuals'!$K615,"")</f>
        <v/>
      </c>
      <c r="T595" s="17" t="str">
        <f>IF(ISNUMBER('Model_ of_individuals'!T615), 'Model_ of_individuals'!T615*'Model_ of_individuals'!$K615,"")</f>
        <v/>
      </c>
      <c r="U595" s="17" t="str">
        <f>IF(ISNUMBER('Model_ of_individuals'!U615), 'Model_ of_individuals'!U615*'Model_ of_individuals'!$K615,"")</f>
        <v/>
      </c>
      <c r="V595" s="17" t="str">
        <f>IF(ISNUMBER('Model_ of_individuals'!V615), 'Model_ of_individuals'!V615*'Model_ of_individuals'!$K615,"")</f>
        <v/>
      </c>
      <c r="W595" s="17" t="str">
        <f>IF(ISNUMBER('Model_ of_individuals'!W615), 'Model_ of_individuals'!W615*'Model_ of_individuals'!$K615,"")</f>
        <v/>
      </c>
      <c r="X595" s="17" t="str">
        <f>IF(ISNUMBER('Model_ of_individuals'!X615), 'Model_ of_individuals'!X615*'Model_ of_individuals'!$K615,"")</f>
        <v/>
      </c>
      <c r="Y595" s="17" t="str">
        <f>IF(ISNUMBER('Model_ of_individuals'!Y615), 'Model_ of_individuals'!Y615*'Model_ of_individuals'!$K615,"")</f>
        <v/>
      </c>
      <c r="Z595" s="17" t="str">
        <f>IF(ISNUMBER('Model_ of_individuals'!Z615), 'Model_ of_individuals'!Z615*'Model_ of_individuals'!$K615,"")</f>
        <v/>
      </c>
    </row>
    <row r="596" spans="1:27" x14ac:dyDescent="0.25">
      <c r="A596" s="518"/>
      <c r="B596" s="504"/>
      <c r="C596" s="107" t="str">
        <f>IF(AND(ISNUMBER(B579), C590&lt;&gt;"", OR('Cost Inputs'!$H$163&lt;&gt;"", 'Cost Inputs'!$I$163&lt;&gt;"", 'Cost Inputs'!$J$163&lt;&gt;"")), _5_5_4, "")</f>
        <v/>
      </c>
      <c r="D596" s="93" t="str">
        <f>IF(AND(C596&lt;&gt;"", 'Cost Inputs'!$G$163&lt;&gt;""), 'Cost Inputs'!$G$163, "")</f>
        <v/>
      </c>
      <c r="E596" s="93" t="str">
        <f>IF(AND(C596&lt;&gt;"", 'Cost Inputs'!$H$163&lt;&gt;""), 'Cost Inputs'!$H$163, "")</f>
        <v/>
      </c>
      <c r="F596" s="93" t="str">
        <f>IF(AND(C596&lt;&gt;"", 'Cost Inputs'!$I$163&lt;&gt;""), 'Cost Inputs'!$I$163, "")</f>
        <v/>
      </c>
      <c r="G596" s="108" t="str">
        <f t="shared" si="52"/>
        <v/>
      </c>
      <c r="H596" s="93" t="str">
        <f>IF(AND(C596&lt;&gt;"", 'Cost Inputs'!$J$163&lt;&gt;""), 'Cost Inputs'!$J$163, "")</f>
        <v/>
      </c>
      <c r="I596" s="93" t="str">
        <f>IF($C596&lt;&gt;"", IF(AND($E596&lt;&gt;"", H596&lt;&gt;""), H596/$E596, 0),"")</f>
        <v/>
      </c>
      <c r="J596" s="93" t="str">
        <f>IF(AND(C596&lt;&gt;"",('Cost Inputs'!$I$163+'Cost Inputs'!$J$163+'Cost Inputs'!$K$163)&gt;0), 'Cost Inputs'!$I$163+'Cost Inputs'!$J$163+'Cost Inputs'!$K$163, "")</f>
        <v/>
      </c>
      <c r="K596" s="93" t="str">
        <f>IF($C596&lt;&gt;"", IF(AND($E596&lt;&gt;"", J596&lt;&gt;""), J596/$E596, 0),"")</f>
        <v/>
      </c>
      <c r="L596" s="93"/>
      <c r="M596" s="109"/>
      <c r="Q596" s="93" t="str">
        <f>IF(ISNUMBER('Model_ of_individuals'!Q616), 'Model_ of_individuals'!Q616*'Model_ of_individuals'!$K616,"")</f>
        <v/>
      </c>
      <c r="R596" s="93" t="str">
        <f>IF(ISNUMBER('Model_ of_individuals'!R616), 'Model_ of_individuals'!R616*'Model_ of_individuals'!$K616,"")</f>
        <v/>
      </c>
      <c r="S596" s="93" t="str">
        <f>IF(ISNUMBER('Model_ of_individuals'!S616), 'Model_ of_individuals'!S616*'Model_ of_individuals'!$K616,"")</f>
        <v/>
      </c>
      <c r="T596" s="93" t="str">
        <f>IF(ISNUMBER('Model_ of_individuals'!T616), 'Model_ of_individuals'!T616*'Model_ of_individuals'!$K616,"")</f>
        <v/>
      </c>
      <c r="U596" s="93" t="str">
        <f>IF(ISNUMBER('Model_ of_individuals'!U616), 'Model_ of_individuals'!U616*'Model_ of_individuals'!$K616,"")</f>
        <v/>
      </c>
      <c r="V596" s="93" t="str">
        <f>IF(ISNUMBER('Model_ of_individuals'!V616), 'Model_ of_individuals'!V616*'Model_ of_individuals'!$K616,"")</f>
        <v/>
      </c>
      <c r="W596" s="93" t="str">
        <f>IF(ISNUMBER('Model_ of_individuals'!W616), 'Model_ of_individuals'!W616*'Model_ of_individuals'!$K616,"")</f>
        <v/>
      </c>
      <c r="X596" s="93" t="str">
        <f>IF(ISNUMBER('Model_ of_individuals'!X616), 'Model_ of_individuals'!X616*'Model_ of_individuals'!$K616,"")</f>
        <v/>
      </c>
      <c r="Y596" s="93" t="str">
        <f>IF(ISNUMBER('Model_ of_individuals'!Y616), 'Model_ of_individuals'!Y616*'Model_ of_individuals'!$K616,"")</f>
        <v/>
      </c>
      <c r="Z596" s="93" t="str">
        <f>IF(ISNUMBER('Model_ of_individuals'!Z616), 'Model_ of_individuals'!Z616*'Model_ of_individuals'!$K616,"")</f>
        <v/>
      </c>
    </row>
    <row r="597" spans="1:27" x14ac:dyDescent="0.25">
      <c r="A597" s="518"/>
      <c r="B597" s="504"/>
      <c r="C597" s="104" t="str">
        <f>IF(AND(ISNUMBER(B579), C590&lt;&gt;"", OR('Cost Inputs'!$H$164&lt;&gt;"", 'Cost Inputs'!$I$164&lt;&gt;"", 'Cost Inputs'!$J$164&lt;&gt;"")), _5_5_5, "")</f>
        <v/>
      </c>
      <c r="D597" s="17" t="str">
        <f>IF(AND(C597&lt;&gt;"", 'Cost Inputs'!$G$164&lt;&gt;""), 'Cost Inputs'!$G$164, "")</f>
        <v/>
      </c>
      <c r="E597" s="17" t="str">
        <f>IF(AND(C597&lt;&gt;"", 'Cost Inputs'!$H$164&lt;&gt;""), 'Cost Inputs'!$H$164, "")</f>
        <v/>
      </c>
      <c r="F597" s="17" t="str">
        <f>IF(AND(C597&lt;&gt;"", 'Cost Inputs'!$I$164&lt;&gt;""), 'Cost Inputs'!$I$164, "")</f>
        <v/>
      </c>
      <c r="G597" s="105" t="str">
        <f t="shared" si="52"/>
        <v/>
      </c>
      <c r="H597" s="17" t="str">
        <f>IF(AND(C597&lt;&gt;"", 'Cost Inputs'!$J$164&lt;&gt;""), 'Cost Inputs'!$J$164, "")</f>
        <v/>
      </c>
      <c r="I597" s="17" t="str">
        <f>IF($C597&lt;&gt;"", IF(AND($E597&lt;&gt;"", H597&lt;&gt;""), H597/$E597, 0),"")</f>
        <v/>
      </c>
      <c r="J597" s="17" t="str">
        <f>IF(AND(C597&lt;&gt;"",('Cost Inputs'!$I$164+'Cost Inputs'!$J$164+'Cost Inputs'!$K$164)&gt;0), 'Cost Inputs'!$I$164+'Cost Inputs'!$J$164+'Cost Inputs'!$K$164, "")</f>
        <v/>
      </c>
      <c r="K597" s="17" t="str">
        <f>IF($C597&lt;&gt;"", IF(AND($E597&lt;&gt;"", J597&lt;&gt;""), J597/$E597, 0),"")</f>
        <v/>
      </c>
      <c r="M597" s="106"/>
      <c r="Q597" s="17" t="str">
        <f>IF(ISNUMBER('Model_ of_individuals'!Q617), 'Model_ of_individuals'!Q617*'Model_ of_individuals'!$K617,"")</f>
        <v/>
      </c>
      <c r="R597" s="17" t="str">
        <f>IF(ISNUMBER('Model_ of_individuals'!R617), 'Model_ of_individuals'!R617*'Model_ of_individuals'!$K617,"")</f>
        <v/>
      </c>
      <c r="S597" s="17" t="str">
        <f>IF(ISNUMBER('Model_ of_individuals'!S617), 'Model_ of_individuals'!S617*'Model_ of_individuals'!$K617,"")</f>
        <v/>
      </c>
      <c r="T597" s="17" t="str">
        <f>IF(ISNUMBER('Model_ of_individuals'!T617), 'Model_ of_individuals'!T617*'Model_ of_individuals'!$K617,"")</f>
        <v/>
      </c>
      <c r="U597" s="17" t="str">
        <f>IF(ISNUMBER('Model_ of_individuals'!U617), 'Model_ of_individuals'!U617*'Model_ of_individuals'!$K617,"")</f>
        <v/>
      </c>
      <c r="V597" s="17" t="str">
        <f>IF(ISNUMBER('Model_ of_individuals'!V617), 'Model_ of_individuals'!V617*'Model_ of_individuals'!$K617,"")</f>
        <v/>
      </c>
      <c r="W597" s="17" t="str">
        <f>IF(ISNUMBER('Model_ of_individuals'!W617), 'Model_ of_individuals'!W617*'Model_ of_individuals'!$K617,"")</f>
        <v/>
      </c>
      <c r="X597" s="17" t="str">
        <f>IF(ISNUMBER('Model_ of_individuals'!X617), 'Model_ of_individuals'!X617*'Model_ of_individuals'!$K617,"")</f>
        <v/>
      </c>
      <c r="Y597" s="17" t="str">
        <f>IF(ISNUMBER('Model_ of_individuals'!Y617), 'Model_ of_individuals'!Y617*'Model_ of_individuals'!$K617,"")</f>
        <v/>
      </c>
      <c r="Z597" s="17" t="str">
        <f>IF(ISNUMBER('Model_ of_individuals'!Z617), 'Model_ of_individuals'!Z617*'Model_ of_individuals'!$K617,"")</f>
        <v/>
      </c>
    </row>
    <row r="598" spans="1:27" x14ac:dyDescent="0.25">
      <c r="A598" s="518"/>
      <c r="B598" s="504"/>
      <c r="C598" s="110" t="str">
        <f>IF(ISNUMBER(B579), _5_6_0, "")</f>
        <v/>
      </c>
      <c r="D598" s="94" t="str">
        <f>IF(AND(C598&lt;&gt;"", 'Cost Inputs'!$G$165&lt;&gt;""), 'Cost Inputs'!$G$165, "")</f>
        <v/>
      </c>
      <c r="E598" s="94" t="str">
        <f>IF(AND(C598&lt;&gt;"", 'Cost Inputs'!$H$165&lt;&gt;""), 'Cost Inputs'!$H$165, "")</f>
        <v/>
      </c>
      <c r="F598" s="94" t="str">
        <f>IF(AND(C598&lt;&gt;"", 'Cost Inputs'!$I$165&lt;&gt;""), 'Cost Inputs'!$I$165, "")</f>
        <v/>
      </c>
      <c r="G598" s="102" t="str">
        <f t="shared" si="52"/>
        <v/>
      </c>
      <c r="H598" s="94" t="str">
        <f>IF(AND(C598&lt;&gt;"", 'Cost Inputs'!$J$165&lt;&gt;""), 'Cost Inputs'!$J$165, "")</f>
        <v/>
      </c>
      <c r="I598" s="102" t="str">
        <f>IF($C598&lt;&gt;"",IF(AND($E598&lt;&gt;"",H598&lt;&gt;""), H598/$E598, 0),"")</f>
        <v/>
      </c>
      <c r="J598" s="94" t="str">
        <f>IF(AND(C598&lt;&gt;"",('Cost Inputs'!$I$165+'Cost Inputs'!$J$165+'Cost Inputs'!$K$165)&gt;0), 'Cost Inputs'!$I$165+'Cost Inputs'!$J$165+'Cost Inputs'!$K$165, "")</f>
        <v/>
      </c>
      <c r="K598" s="102" t="str">
        <f>IF($C598&lt;&gt;"",IF(AND($E598&lt;&gt;"",J598&lt;&gt;""), J598/$E598, 0),"")</f>
        <v/>
      </c>
      <c r="L598" s="94"/>
      <c r="M598" s="103"/>
      <c r="Q598" s="94" t="str">
        <f>IF(ISNUMBER('Model_ of_individuals'!Q618), 'Model_ of_individuals'!Q618*'Model_ of_individuals'!$K618,"")</f>
        <v/>
      </c>
      <c r="R598" s="94" t="str">
        <f>IF(ISNUMBER('Model_ of_individuals'!R618), 'Model_ of_individuals'!R618*'Model_ of_individuals'!$K618,"")</f>
        <v/>
      </c>
      <c r="S598" s="94" t="str">
        <f>IF(ISNUMBER('Model_ of_individuals'!S618), 'Model_ of_individuals'!S618*'Model_ of_individuals'!$K618,"")</f>
        <v/>
      </c>
      <c r="T598" s="94" t="str">
        <f>IF(ISNUMBER('Model_ of_individuals'!T618), 'Model_ of_individuals'!T618*'Model_ of_individuals'!$K618,"")</f>
        <v/>
      </c>
      <c r="U598" s="94" t="str">
        <f>IF(ISNUMBER('Model_ of_individuals'!U618), 'Model_ of_individuals'!U618*'Model_ of_individuals'!$K618,"")</f>
        <v/>
      </c>
      <c r="V598" s="94" t="str">
        <f>IF(ISNUMBER('Model_ of_individuals'!V618), 'Model_ of_individuals'!V618*'Model_ of_individuals'!$K618,"")</f>
        <v/>
      </c>
      <c r="W598" s="94" t="str">
        <f>IF(ISNUMBER('Model_ of_individuals'!W618), 'Model_ of_individuals'!W618*'Model_ of_individuals'!$K618,"")</f>
        <v/>
      </c>
      <c r="X598" s="94" t="str">
        <f>IF(ISNUMBER('Model_ of_individuals'!X618), 'Model_ of_individuals'!X618*'Model_ of_individuals'!$K618,"")</f>
        <v/>
      </c>
      <c r="Y598" s="94" t="str">
        <f>IF(ISNUMBER('Model_ of_individuals'!Y618), 'Model_ of_individuals'!Y618*'Model_ of_individuals'!$K618,"")</f>
        <v/>
      </c>
      <c r="Z598" s="94" t="str">
        <f>IF(ISNUMBER('Model_ of_individuals'!Z618), 'Model_ of_individuals'!Z618*'Model_ of_individuals'!$K618,"")</f>
        <v/>
      </c>
    </row>
    <row r="599" spans="1:27" x14ac:dyDescent="0.25">
      <c r="A599" s="518"/>
      <c r="B599" s="504"/>
      <c r="C599" s="104" t="str">
        <f>IF(AND(ISNUMBER(B579), OR('Cost Inputs'!$H$166&lt;&gt;"", 'Cost Inputs'!$I$166&lt;&gt;"", 'Cost Inputs'!$J$166&lt;&gt;"")), _5_6_1, "")</f>
        <v/>
      </c>
      <c r="D599" s="17" t="str">
        <f>IF(AND(C599&lt;&gt;"", 'Cost Inputs'!$G$166&lt;&gt;""), 'Cost Inputs'!$G$166, "")</f>
        <v/>
      </c>
      <c r="E599" s="17" t="str">
        <f>IF(AND(C599&lt;&gt;"", 'Cost Inputs'!$H$166&lt;&gt;""), 'Cost Inputs'!$H$166, "")</f>
        <v/>
      </c>
      <c r="F599" s="17" t="str">
        <f>IF(AND(C599&lt;&gt;"", 'Cost Inputs'!$I$166&lt;&gt;""), 'Cost Inputs'!$I$166, "")</f>
        <v/>
      </c>
      <c r="G599" s="105" t="str">
        <f t="shared" si="52"/>
        <v/>
      </c>
      <c r="H599" s="17" t="str">
        <f>IF(AND(C599&lt;&gt;"", 'Cost Inputs'!$J$166&lt;&gt;""), 'Cost Inputs'!$J$166, "")</f>
        <v/>
      </c>
      <c r="I599" s="17" t="str">
        <f>IF($C599&lt;&gt;"", IF(AND($E599&lt;&gt;"", H599&lt;&gt;""), H599/$E599, 0),"")</f>
        <v/>
      </c>
      <c r="J599" s="17" t="str">
        <f>IF(AND(C599&lt;&gt;"",('Cost Inputs'!$I$166+'Cost Inputs'!$J$166+'Cost Inputs'!$K$166)&gt;0), 'Cost Inputs'!$I$166+'Cost Inputs'!$J$166+'Cost Inputs'!$K$166, "")</f>
        <v/>
      </c>
      <c r="K599" s="17" t="str">
        <f>IF($C599&lt;&gt;"", IF(AND($E599&lt;&gt;"", J599&lt;&gt;""), J599/$E599, 0),"")</f>
        <v/>
      </c>
      <c r="M599" s="106"/>
      <c r="Q599" s="17" t="str">
        <f>IF(ISNUMBER('Model_ of_individuals'!Q619), 'Model_ of_individuals'!Q619*'Model_ of_individuals'!$K619,"")</f>
        <v/>
      </c>
      <c r="R599" s="17" t="str">
        <f>IF(ISNUMBER('Model_ of_individuals'!R619), 'Model_ of_individuals'!R619*'Model_ of_individuals'!$K619,"")</f>
        <v/>
      </c>
      <c r="S599" s="17" t="str">
        <f>IF(ISNUMBER('Model_ of_individuals'!S619), 'Model_ of_individuals'!S619*'Model_ of_individuals'!$K619,"")</f>
        <v/>
      </c>
      <c r="T599" s="17" t="str">
        <f>IF(ISNUMBER('Model_ of_individuals'!T619), 'Model_ of_individuals'!T619*'Model_ of_individuals'!$K619,"")</f>
        <v/>
      </c>
      <c r="U599" s="17" t="str">
        <f>IF(ISNUMBER('Model_ of_individuals'!U619), 'Model_ of_individuals'!U619*'Model_ of_individuals'!$K619,"")</f>
        <v/>
      </c>
      <c r="V599" s="17" t="str">
        <f>IF(ISNUMBER('Model_ of_individuals'!V619), 'Model_ of_individuals'!V619*'Model_ of_individuals'!$K619,"")</f>
        <v/>
      </c>
      <c r="W599" s="17" t="str">
        <f>IF(ISNUMBER('Model_ of_individuals'!W619), 'Model_ of_individuals'!W619*'Model_ of_individuals'!$K619,"")</f>
        <v/>
      </c>
      <c r="X599" s="17" t="str">
        <f>IF(ISNUMBER('Model_ of_individuals'!X619), 'Model_ of_individuals'!X619*'Model_ of_individuals'!$K619,"")</f>
        <v/>
      </c>
      <c r="Y599" s="17" t="str">
        <f>IF(ISNUMBER('Model_ of_individuals'!Y619), 'Model_ of_individuals'!Y619*'Model_ of_individuals'!$K619,"")</f>
        <v/>
      </c>
      <c r="Z599" s="17" t="str">
        <f>IF(ISNUMBER('Model_ of_individuals'!Z619), 'Model_ of_individuals'!Z619*'Model_ of_individuals'!$K619,"")</f>
        <v/>
      </c>
    </row>
    <row r="600" spans="1:27" ht="15.75" thickBot="1" x14ac:dyDescent="0.3">
      <c r="A600" s="518"/>
      <c r="B600" s="505"/>
      <c r="C600" s="111" t="str">
        <f>IF(AND(ISNUMBER(B579), OR('Cost Inputs'!$H$167&lt;&gt;"", 'Cost Inputs'!$I$167&lt;&gt;"", 'Cost Inputs'!$J$167&lt;&gt;"")), _5_6_2, "")</f>
        <v/>
      </c>
      <c r="D600" s="95" t="str">
        <f>IF(AND(C600&lt;&gt;"", 'Cost Inputs'!$G$167&lt;&gt;""), 'Cost Inputs'!$G$167, "")</f>
        <v/>
      </c>
      <c r="E600" s="95" t="str">
        <f>IF(AND(C600&lt;&gt;"", 'Cost Inputs'!$H$167&lt;&gt;""), 'Cost Inputs'!$H$167, "")</f>
        <v/>
      </c>
      <c r="F600" s="95" t="str">
        <f>IF(AND(C600&lt;&gt;"", 'Cost Inputs'!$I$167&lt;&gt;""), 'Cost Inputs'!$I$167, "")</f>
        <v/>
      </c>
      <c r="G600" s="112" t="str">
        <f t="shared" si="52"/>
        <v/>
      </c>
      <c r="H600" s="95" t="str">
        <f>IF(AND(C600&lt;&gt;"", 'Cost Inputs'!$J$167&lt;&gt;""), 'Cost Inputs'!$J$167, "")</f>
        <v/>
      </c>
      <c r="I600" s="95" t="str">
        <f>IF($C600&lt;&gt;"", IF(AND($E600&lt;&gt;"", H600&lt;&gt;""), H600/$E600, 0),"")</f>
        <v/>
      </c>
      <c r="J600" s="95" t="str">
        <f>IF(AND(C600&lt;&gt;"",('Cost Inputs'!$I$167+'Cost Inputs'!$J$167+'Cost Inputs'!$K$167)&gt;0), 'Cost Inputs'!$I$167+'Cost Inputs'!$J$167+'Cost Inputs'!$K$167, "")</f>
        <v/>
      </c>
      <c r="K600" s="95" t="str">
        <f>IF($C600&lt;&gt;"", IF(AND($E600&lt;&gt;"", J600&lt;&gt;""), J600/$E600, 0),"")</f>
        <v/>
      </c>
      <c r="L600" s="95"/>
      <c r="M600" s="113"/>
      <c r="Q600" s="95" t="str">
        <f>IF(ISNUMBER('Model_ of_individuals'!Q620), 'Model_ of_individuals'!Q620*'Model_ of_individuals'!$K620,"")</f>
        <v/>
      </c>
      <c r="R600" s="95" t="str">
        <f>IF(ISNUMBER('Model_ of_individuals'!R620), 'Model_ of_individuals'!R620*'Model_ of_individuals'!$K620,"")</f>
        <v/>
      </c>
      <c r="S600" s="95" t="str">
        <f>IF(ISNUMBER('Model_ of_individuals'!S620), 'Model_ of_individuals'!S620*'Model_ of_individuals'!$K620,"")</f>
        <v/>
      </c>
      <c r="T600" s="95" t="str">
        <f>IF(ISNUMBER('Model_ of_individuals'!T620), 'Model_ of_individuals'!T620*'Model_ of_individuals'!$K620,"")</f>
        <v/>
      </c>
      <c r="U600" s="95" t="str">
        <f>IF(ISNUMBER('Model_ of_individuals'!U620), 'Model_ of_individuals'!U620*'Model_ of_individuals'!$K620,"")</f>
        <v/>
      </c>
      <c r="V600" s="95" t="str">
        <f>IF(ISNUMBER('Model_ of_individuals'!V620), 'Model_ of_individuals'!V620*'Model_ of_individuals'!$K620,"")</f>
        <v/>
      </c>
      <c r="W600" s="95" t="str">
        <f>IF(ISNUMBER('Model_ of_individuals'!W620), 'Model_ of_individuals'!W620*'Model_ of_individuals'!$K620,"")</f>
        <v/>
      </c>
      <c r="X600" s="95" t="str">
        <f>IF(ISNUMBER('Model_ of_individuals'!X620), 'Model_ of_individuals'!X620*'Model_ of_individuals'!$K620,"")</f>
        <v/>
      </c>
      <c r="Y600" s="95" t="str">
        <f>IF(ISNUMBER('Model_ of_individuals'!Y620), 'Model_ of_individuals'!Y620*'Model_ of_individuals'!$K620,"")</f>
        <v/>
      </c>
      <c r="Z600" s="95" t="str">
        <f>IF(ISNUMBER('Model_ of_individuals'!Z620), 'Model_ of_individuals'!Z620*'Model_ of_individuals'!$K620,"")</f>
        <v/>
      </c>
    </row>
    <row r="601" spans="1:27" x14ac:dyDescent="0.25">
      <c r="A601" s="518" t="str">
        <f>Fifth_Stage</f>
        <v>Stage 3 Clonal Replication with Increased Repetitions</v>
      </c>
      <c r="B601" s="503" t="str">
        <f>'Breeding Inputs'!B104</f>
        <v/>
      </c>
      <c r="C601" s="520" t="str">
        <f>IF(ISNUMBER(B601), _5_3_0, "")</f>
        <v/>
      </c>
      <c r="D601" s="92" t="str">
        <f>IF(AND(C601&lt;&gt;"", 'Cost Inputs'!$G$146&lt;&gt;""), 'Cost Inputs'!$G$146, "")</f>
        <v/>
      </c>
      <c r="E601" s="92" t="str">
        <f>IF(AND(C601&lt;&gt;"", 'Cost Inputs'!$H$146&lt;&gt;""), 'Cost Inputs'!$H$146, "")</f>
        <v/>
      </c>
      <c r="F601" s="522" t="str">
        <f>IF(AND(C601&lt;&gt;"", 'Cost Inputs'!$I$146&lt;&gt;""), 'Cost Inputs'!$I$146, "")</f>
        <v/>
      </c>
      <c r="G601" s="100" t="str">
        <f t="shared" si="52"/>
        <v/>
      </c>
      <c r="H601" s="522" t="str">
        <f>IF(AND(C601&lt;&gt;"", 'Cost Inputs'!$J$146&lt;&gt;""), 'Cost Inputs'!$J$146, "")</f>
        <v/>
      </c>
      <c r="I601" s="100" t="str">
        <f>IF($C601&lt;&gt;"",IF(AND($E601&lt;&gt;"",H601&lt;&gt;""), H601/$E601, 0),"")</f>
        <v/>
      </c>
      <c r="J601" s="522" t="str">
        <f>IF(AND(C601&lt;&gt;"",('Cost Inputs'!$I$146+'Cost Inputs'!$J$146+'Cost Inputs'!$K$146)&gt;0), 'Cost Inputs'!$I$146+'Cost Inputs'!$J$146+'Cost Inputs'!$K$146, "")</f>
        <v/>
      </c>
      <c r="K601" s="100" t="str">
        <f>IF($C601&lt;&gt;"",IF(AND($E601&lt;&gt;"",J601&lt;&gt;""), J601/$E601, 0),"")</f>
        <v/>
      </c>
      <c r="L601" s="92"/>
      <c r="M601" s="101"/>
      <c r="R601" s="492" t="str">
        <f>IF(ISNUMBER('Model_ of_individuals'!R621), 'Model_ of_individuals'!R621*'Model_ of_individuals'!$K621,"")</f>
        <v/>
      </c>
      <c r="S601" s="492" t="str">
        <f>IF(ISNUMBER('Model_ of_individuals'!S621), 'Model_ of_individuals'!S621*'Model_ of_individuals'!$K621,"")</f>
        <v/>
      </c>
      <c r="T601" s="492" t="str">
        <f>IF(ISNUMBER('Model_ of_individuals'!T621), 'Model_ of_individuals'!T621*'Model_ of_individuals'!$K621,"")</f>
        <v/>
      </c>
      <c r="U601" s="492" t="str">
        <f>IF(ISNUMBER('Model_ of_individuals'!U621), 'Model_ of_individuals'!U621*'Model_ of_individuals'!$K621,"")</f>
        <v/>
      </c>
      <c r="V601" s="492" t="str">
        <f>IF(ISNUMBER('Model_ of_individuals'!V621), 'Model_ of_individuals'!V621*'Model_ of_individuals'!$K621,"")</f>
        <v/>
      </c>
      <c r="W601" s="492" t="str">
        <f>IF(ISNUMBER('Model_ of_individuals'!W621), 'Model_ of_individuals'!W621*'Model_ of_individuals'!$K621,"")</f>
        <v/>
      </c>
      <c r="X601" s="492" t="str">
        <f>IF(ISNUMBER('Model_ of_individuals'!X621), 'Model_ of_individuals'!X621*'Model_ of_individuals'!$K621,"")</f>
        <v/>
      </c>
      <c r="Y601" s="492" t="str">
        <f>IF(ISNUMBER('Model_ of_individuals'!Y621), 'Model_ of_individuals'!Y621*'Model_ of_individuals'!$K621,"")</f>
        <v/>
      </c>
      <c r="Z601" s="492" t="str">
        <f>IF(ISNUMBER('Model_ of_individuals'!Z621), 'Model_ of_individuals'!Z621*'Model_ of_individuals'!$K621,"")</f>
        <v/>
      </c>
      <c r="AA601" s="492" t="str">
        <f>IF(ISNUMBER('Model_ of_individuals'!AA621), 'Model_ of_individuals'!AA621*'Model_ of_individuals'!$K621,"")</f>
        <v/>
      </c>
    </row>
    <row r="602" spans="1:27" x14ac:dyDescent="0.25">
      <c r="A602" s="518"/>
      <c r="B602" s="504"/>
      <c r="C602" s="521"/>
      <c r="D602" s="94" t="str">
        <f>IF(AND(C601&lt;&gt;"", 'Cost Inputs'!$G$147&lt;&gt;""), 'Cost Inputs'!$G$147, "")</f>
        <v/>
      </c>
      <c r="E602" s="94" t="str">
        <f>IF(AND(C601&lt;&gt;"", 'Cost Inputs'!$H$147&lt;&gt;""), 'Cost Inputs'!$H$147, "")</f>
        <v/>
      </c>
      <c r="F602" s="492"/>
      <c r="G602" s="102" t="str">
        <f t="shared" si="52"/>
        <v/>
      </c>
      <c r="H602" s="492"/>
      <c r="I602" s="102" t="str">
        <f>IF($C601&lt;&gt;"", IF(AND($E602&lt;&gt;"", H601&lt;&gt;""), H601/($E601*$E602), 0), "")</f>
        <v/>
      </c>
      <c r="J602" s="492" t="str">
        <f>IF(AND(C602&lt;&gt;"",('Cost Inputs'!$I$86+'Cost Inputs'!$J$86+'Cost Inputs'!$K$86)&gt;0), 'Cost Inputs'!$I$86+'Cost Inputs'!$J$86+'Cost Inputs'!$K$86, "")</f>
        <v/>
      </c>
      <c r="K602" s="102" t="str">
        <f>IF($C601&lt;&gt;"", IF(AND($E602&lt;&gt;"", J601&lt;&gt;""), J601/($E601*$E602), 0), "")</f>
        <v/>
      </c>
      <c r="L602" s="94"/>
      <c r="M602" s="103"/>
      <c r="R602" s="492" t="str">
        <f>IF(ISNUMBER('Model_ of_individuals'!R622), 'Model_ of_individuals'!R622*'Model_ of_individuals'!$K622,"")</f>
        <v/>
      </c>
      <c r="S602" s="492" t="str">
        <f>IF(ISNUMBER('Model_ of_individuals'!S622), 'Model_ of_individuals'!S622*'Model_ of_individuals'!$K622,"")</f>
        <v/>
      </c>
      <c r="T602" s="492" t="str">
        <f>IF(ISNUMBER('Model_ of_individuals'!T622), 'Model_ of_individuals'!T622*'Model_ of_individuals'!$K622,"")</f>
        <v/>
      </c>
      <c r="U602" s="492" t="str">
        <f>IF(ISNUMBER('Model_ of_individuals'!U622), 'Model_ of_individuals'!U622*'Model_ of_individuals'!$K622,"")</f>
        <v/>
      </c>
      <c r="V602" s="492" t="str">
        <f>IF(ISNUMBER('Model_ of_individuals'!V622), 'Model_ of_individuals'!V622*'Model_ of_individuals'!$K622,"")</f>
        <v/>
      </c>
      <c r="W602" s="492" t="str">
        <f>IF(ISNUMBER('Model_ of_individuals'!W622), 'Model_ of_individuals'!W622*'Model_ of_individuals'!$K622,"")</f>
        <v/>
      </c>
      <c r="X602" s="492" t="str">
        <f>IF(ISNUMBER('Model_ of_individuals'!X622), 'Model_ of_individuals'!X622*'Model_ of_individuals'!$K622,"")</f>
        <v/>
      </c>
      <c r="Y602" s="492" t="str">
        <f>IF(ISNUMBER('Model_ of_individuals'!Y622), 'Model_ of_individuals'!Y622*'Model_ of_individuals'!$K622,"")</f>
        <v/>
      </c>
      <c r="Z602" s="492" t="str">
        <f>IF(ISNUMBER('Model_ of_individuals'!Z622), 'Model_ of_individuals'!Z622*'Model_ of_individuals'!$K622,"")</f>
        <v/>
      </c>
      <c r="AA602" s="492" t="str">
        <f>IF(ISNUMBER('Model_ of_individuals'!AA622), 'Model_ of_individuals'!AA622*'Model_ of_individuals'!$K622,"")</f>
        <v/>
      </c>
    </row>
    <row r="603" spans="1:27" x14ac:dyDescent="0.25">
      <c r="A603" s="518"/>
      <c r="B603" s="504"/>
      <c r="C603" s="104" t="str">
        <f>IF(AND(ISNUMBER(B601), OR('Cost Inputs'!$H$148&lt;&gt;"", 'Cost Inputs'!$I$148&lt;&gt;"", 'Cost Inputs'!$J$148&lt;&gt;"")), _5_3_1, "")</f>
        <v/>
      </c>
      <c r="D603" s="17" t="str">
        <f>IF(AND(C603&lt;&gt;"", 'Cost Inputs'!$G$148&lt;&gt;""), 'Cost Inputs'!$G$148, "")</f>
        <v/>
      </c>
      <c r="E603" s="17" t="str">
        <f>IF(AND(C603&lt;&gt;"", 'Cost Inputs'!$H$148&lt;&gt;""), 'Cost Inputs'!$H$148, "")</f>
        <v/>
      </c>
      <c r="F603" s="17" t="str">
        <f>IF(AND(C603&lt;&gt;"", 'Cost Inputs'!$I$148&lt;&gt;""), 'Cost Inputs'!$I$148, "")</f>
        <v/>
      </c>
      <c r="G603" s="105" t="str">
        <f t="shared" si="52"/>
        <v/>
      </c>
      <c r="H603" s="17" t="str">
        <f>IF(AND(C603&lt;&gt;"", 'Cost Inputs'!$J$148&lt;&gt;""), 'Cost Inputs'!$J$148, "")</f>
        <v/>
      </c>
      <c r="I603" s="17" t="str">
        <f t="shared" ref="I603:I611" si="53">IF($C603&lt;&gt;"", IF(AND($E603&lt;&gt;"", H603&lt;&gt;""), H603/$E603, 0),"")</f>
        <v/>
      </c>
      <c r="J603" s="17" t="str">
        <f>IF(AND(C603&lt;&gt;"",('Cost Inputs'!$I$148+'Cost Inputs'!$J$148+'Cost Inputs'!$K$148)&gt;0), 'Cost Inputs'!$I$148+'Cost Inputs'!$J$148+'Cost Inputs'!$K$148, "")</f>
        <v/>
      </c>
      <c r="K603" s="17" t="str">
        <f t="shared" ref="K603:K611" si="54">IF($C603&lt;&gt;"", IF(AND($E603&lt;&gt;"", J603&lt;&gt;""), J603/$E603, 0),"")</f>
        <v/>
      </c>
      <c r="M603" s="106"/>
      <c r="R603" s="17" t="str">
        <f>IF(ISNUMBER('Model_ of_individuals'!R623), 'Model_ of_individuals'!R623*'Model_ of_individuals'!$K623,"")</f>
        <v/>
      </c>
      <c r="S603" s="17" t="str">
        <f>IF(ISNUMBER('Model_ of_individuals'!S623), 'Model_ of_individuals'!S623*'Model_ of_individuals'!$K623,"")</f>
        <v/>
      </c>
      <c r="T603" s="17" t="str">
        <f>IF(ISNUMBER('Model_ of_individuals'!T623), 'Model_ of_individuals'!T623*'Model_ of_individuals'!$K623,"")</f>
        <v/>
      </c>
      <c r="U603" s="17" t="str">
        <f>IF(ISNUMBER('Model_ of_individuals'!U623), 'Model_ of_individuals'!U623*'Model_ of_individuals'!$K623,"")</f>
        <v/>
      </c>
      <c r="V603" s="17" t="str">
        <f>IF(ISNUMBER('Model_ of_individuals'!V623), 'Model_ of_individuals'!V623*'Model_ of_individuals'!$K623,"")</f>
        <v/>
      </c>
      <c r="W603" s="17" t="str">
        <f>IF(ISNUMBER('Model_ of_individuals'!W623), 'Model_ of_individuals'!W623*'Model_ of_individuals'!$K623,"")</f>
        <v/>
      </c>
      <c r="X603" s="17" t="str">
        <f>IF(ISNUMBER('Model_ of_individuals'!X623), 'Model_ of_individuals'!X623*'Model_ of_individuals'!$K623,"")</f>
        <v/>
      </c>
      <c r="Y603" s="17" t="str">
        <f>IF(ISNUMBER('Model_ of_individuals'!Y623), 'Model_ of_individuals'!Y623*'Model_ of_individuals'!$K623,"")</f>
        <v/>
      </c>
      <c r="Z603" s="17" t="str">
        <f>IF(ISNUMBER('Model_ of_individuals'!Z623), 'Model_ of_individuals'!Z623*'Model_ of_individuals'!$K623,"")</f>
        <v/>
      </c>
      <c r="AA603" s="17" t="str">
        <f>IF(ISNUMBER('Model_ of_individuals'!AA623), 'Model_ of_individuals'!AA623*'Model_ of_individuals'!$K623,"")</f>
        <v/>
      </c>
    </row>
    <row r="604" spans="1:27" x14ac:dyDescent="0.25">
      <c r="A604" s="518"/>
      <c r="B604" s="504"/>
      <c r="C604" s="107" t="str">
        <f>IF(AND(ISNUMBER(B601), OR('Cost Inputs'!$H$149&lt;&gt;"", 'Cost Inputs'!$I$149&lt;&gt;"", 'Cost Inputs'!$J$149&lt;&gt;"")), _5_3_2, "")</f>
        <v/>
      </c>
      <c r="D604" s="93" t="str">
        <f>IF(AND(C604&lt;&gt;"", 'Cost Inputs'!$G$149&lt;&gt;""), 'Cost Inputs'!$G$149, "")</f>
        <v/>
      </c>
      <c r="E604" s="93" t="str">
        <f>IF(AND(C604&lt;&gt;"", 'Cost Inputs'!$H$149&lt;&gt;""), 'Cost Inputs'!$H$149, "")</f>
        <v/>
      </c>
      <c r="F604" s="93" t="str">
        <f>IF(AND(C604&lt;&gt;"", 'Cost Inputs'!$I$149&lt;&gt;""), 'Cost Inputs'!$I$149, "")</f>
        <v/>
      </c>
      <c r="G604" s="108" t="str">
        <f t="shared" si="52"/>
        <v/>
      </c>
      <c r="H604" s="93" t="str">
        <f>IF(AND(C604&lt;&gt;"", 'Cost Inputs'!$J$149&lt;&gt;""), 'Cost Inputs'!$J$149, "")</f>
        <v/>
      </c>
      <c r="I604" s="93" t="str">
        <f t="shared" si="53"/>
        <v/>
      </c>
      <c r="J604" s="93" t="str">
        <f>IF(AND(C604&lt;&gt;"",('Cost Inputs'!$I$149+'Cost Inputs'!$J$149+'Cost Inputs'!$K$149)&gt;0), 'Cost Inputs'!$I$149+'Cost Inputs'!$J$149+'Cost Inputs'!$K$149, "")</f>
        <v/>
      </c>
      <c r="K604" s="93" t="str">
        <f t="shared" si="54"/>
        <v/>
      </c>
      <c r="L604" s="93"/>
      <c r="M604" s="109"/>
      <c r="R604" s="93" t="str">
        <f>IF(ISNUMBER('Model_ of_individuals'!R624), 'Model_ of_individuals'!R624*'Model_ of_individuals'!$K624,"")</f>
        <v/>
      </c>
      <c r="S604" s="93" t="str">
        <f>IF(ISNUMBER('Model_ of_individuals'!S624), 'Model_ of_individuals'!S624*'Model_ of_individuals'!$K624,"")</f>
        <v/>
      </c>
      <c r="T604" s="93" t="str">
        <f>IF(ISNUMBER('Model_ of_individuals'!T624), 'Model_ of_individuals'!T624*'Model_ of_individuals'!$K624,"")</f>
        <v/>
      </c>
      <c r="U604" s="93" t="str">
        <f>IF(ISNUMBER('Model_ of_individuals'!U624), 'Model_ of_individuals'!U624*'Model_ of_individuals'!$K624,"")</f>
        <v/>
      </c>
      <c r="V604" s="93" t="str">
        <f>IF(ISNUMBER('Model_ of_individuals'!V624), 'Model_ of_individuals'!V624*'Model_ of_individuals'!$K624,"")</f>
        <v/>
      </c>
      <c r="W604" s="93" t="str">
        <f>IF(ISNUMBER('Model_ of_individuals'!W624), 'Model_ of_individuals'!W624*'Model_ of_individuals'!$K624,"")</f>
        <v/>
      </c>
      <c r="X604" s="93" t="str">
        <f>IF(ISNUMBER('Model_ of_individuals'!X624), 'Model_ of_individuals'!X624*'Model_ of_individuals'!$K624,"")</f>
        <v/>
      </c>
      <c r="Y604" s="93" t="str">
        <f>IF(ISNUMBER('Model_ of_individuals'!Y624), 'Model_ of_individuals'!Y624*'Model_ of_individuals'!$K624,"")</f>
        <v/>
      </c>
      <c r="Z604" s="93" t="str">
        <f>IF(ISNUMBER('Model_ of_individuals'!Z624), 'Model_ of_individuals'!Z624*'Model_ of_individuals'!$K624,"")</f>
        <v/>
      </c>
      <c r="AA604" s="93" t="str">
        <f>IF(ISNUMBER('Model_ of_individuals'!AA624), 'Model_ of_individuals'!AA624*'Model_ of_individuals'!$K624,"")</f>
        <v/>
      </c>
    </row>
    <row r="605" spans="1:27" x14ac:dyDescent="0.25">
      <c r="A605" s="518"/>
      <c r="B605" s="504"/>
      <c r="C605" s="110" t="str">
        <f>IF(ISNUMBER(B601), _5_4_0, "")</f>
        <v/>
      </c>
      <c r="D605" s="94" t="str">
        <f>IF(AND(C605&lt;&gt;"", 'Cost Inputs'!$G$150&lt;&gt;""), 'Cost Inputs'!$G$150, "")</f>
        <v/>
      </c>
      <c r="E605" s="94" t="str">
        <f>IF(AND(C605&lt;&gt;"", 'Cost Inputs'!$H$150&lt;&gt;""), 'Cost Inputs'!$H$150, "")</f>
        <v/>
      </c>
      <c r="F605" s="94" t="str">
        <f>IF(AND(C605&lt;&gt;"", 'Cost Inputs'!$I$150&lt;&gt;""), 'Cost Inputs'!$I$150, "")</f>
        <v/>
      </c>
      <c r="G605" s="102" t="str">
        <f t="shared" si="52"/>
        <v/>
      </c>
      <c r="H605" s="102" t="str">
        <f>IF(AND(C605&lt;&gt;"", 'Cost Inputs'!$J$150&lt;&gt;""), 'Cost Inputs'!$J$150, "")</f>
        <v/>
      </c>
      <c r="I605" s="102" t="str">
        <f t="shared" si="53"/>
        <v/>
      </c>
      <c r="J605" s="102" t="str">
        <f>IF(AND(C605&lt;&gt;"",('Cost Inputs'!$I$150+'Cost Inputs'!$J$150+'Cost Inputs'!$K$150)&gt;0), 'Cost Inputs'!$I$150+'Cost Inputs'!$J$150+'Cost Inputs'!$K$150, "")</f>
        <v/>
      </c>
      <c r="K605" s="102" t="str">
        <f t="shared" si="54"/>
        <v/>
      </c>
      <c r="L605" s="94"/>
      <c r="M605" s="103"/>
      <c r="R605" s="102" t="str">
        <f>IF(ISNUMBER('Model_ of_individuals'!R625), 'Model_ of_individuals'!R625*'Model_ of_individuals'!$K625,"")</f>
        <v/>
      </c>
      <c r="S605" s="102" t="str">
        <f>IF(ISNUMBER('Model_ of_individuals'!S625), 'Model_ of_individuals'!S625*'Model_ of_individuals'!$K625,"")</f>
        <v/>
      </c>
      <c r="T605" s="102" t="str">
        <f>IF(ISNUMBER('Model_ of_individuals'!T625), 'Model_ of_individuals'!T625*'Model_ of_individuals'!$K625,"")</f>
        <v/>
      </c>
      <c r="U605" s="102" t="str">
        <f>IF(ISNUMBER('Model_ of_individuals'!U625), 'Model_ of_individuals'!U625*'Model_ of_individuals'!$K625,"")</f>
        <v/>
      </c>
      <c r="V605" s="102" t="str">
        <f>IF(ISNUMBER('Model_ of_individuals'!V625), 'Model_ of_individuals'!V625*'Model_ of_individuals'!$K625,"")</f>
        <v/>
      </c>
      <c r="W605" s="102" t="str">
        <f>IF(ISNUMBER('Model_ of_individuals'!W625), 'Model_ of_individuals'!W625*'Model_ of_individuals'!$K625,"")</f>
        <v/>
      </c>
      <c r="X605" s="102" t="str">
        <f>IF(ISNUMBER('Model_ of_individuals'!X625), 'Model_ of_individuals'!X625*'Model_ of_individuals'!$K625,"")</f>
        <v/>
      </c>
      <c r="Y605" s="102" t="str">
        <f>IF(ISNUMBER('Model_ of_individuals'!Y625), 'Model_ of_individuals'!Y625*'Model_ of_individuals'!$K625,"")</f>
        <v/>
      </c>
      <c r="Z605" s="102" t="str">
        <f>IF(ISNUMBER('Model_ of_individuals'!Z625), 'Model_ of_individuals'!Z625*'Model_ of_individuals'!$K625,"")</f>
        <v/>
      </c>
      <c r="AA605" s="102" t="str">
        <f>IF(ISNUMBER('Model_ of_individuals'!AA625), 'Model_ of_individuals'!AA625*'Model_ of_individuals'!$K625,"")</f>
        <v/>
      </c>
    </row>
    <row r="606" spans="1:27" x14ac:dyDescent="0.25">
      <c r="A606" s="518"/>
      <c r="B606" s="504"/>
      <c r="C606" s="104" t="str">
        <f>IF(AND(ISNUMBER(B601), OR('Cost Inputs'!$H$151&lt;&gt;"", 'Cost Inputs'!$I$151&lt;&gt;"", 'Cost Inputs'!$J$151&lt;&gt;"")), _5_4_1, "")</f>
        <v/>
      </c>
      <c r="D606" s="17" t="str">
        <f>IF(AND(C606&lt;&gt;"", 'Cost Inputs'!$G$151&lt;&gt;""), 'Cost Inputs'!$G$151, "")</f>
        <v/>
      </c>
      <c r="E606" s="17" t="str">
        <f>IF(AND(C606&lt;&gt;"", 'Cost Inputs'!$H$151&lt;&gt;""), 'Cost Inputs'!$H$151, "")</f>
        <v/>
      </c>
      <c r="F606" s="17" t="str">
        <f>IF(AND(C606&lt;&gt;"", 'Cost Inputs'!$I$151&lt;&gt;""), 'Cost Inputs'!$I$151, "")</f>
        <v/>
      </c>
      <c r="G606" s="105" t="str">
        <f t="shared" si="52"/>
        <v/>
      </c>
      <c r="H606" s="17" t="str">
        <f>IF(AND(C606&lt;&gt;"", 'Cost Inputs'!$J$151&lt;&gt;""), 'Cost Inputs'!$J$151, "")</f>
        <v/>
      </c>
      <c r="I606" s="17" t="str">
        <f t="shared" si="53"/>
        <v/>
      </c>
      <c r="J606" s="17" t="str">
        <f>IF(AND(C606&lt;&gt;"",('Cost Inputs'!$I$151+'Cost Inputs'!$J$151+'Cost Inputs'!$K$151)&gt;0), 'Cost Inputs'!$I$151+'Cost Inputs'!$J$151+'Cost Inputs'!$K$151, "")</f>
        <v/>
      </c>
      <c r="K606" s="17" t="str">
        <f t="shared" si="54"/>
        <v/>
      </c>
      <c r="M606" s="106"/>
      <c r="R606" s="17" t="str">
        <f>IF(ISNUMBER('Model_ of_individuals'!R626), 'Model_ of_individuals'!R626*'Model_ of_individuals'!$K626,"")</f>
        <v/>
      </c>
      <c r="S606" s="17" t="str">
        <f>IF(ISNUMBER('Model_ of_individuals'!S626), 'Model_ of_individuals'!S626*'Model_ of_individuals'!$K626,"")</f>
        <v/>
      </c>
      <c r="T606" s="17" t="str">
        <f>IF(ISNUMBER('Model_ of_individuals'!T626), 'Model_ of_individuals'!T626*'Model_ of_individuals'!$K626,"")</f>
        <v/>
      </c>
      <c r="U606" s="17" t="str">
        <f>IF(ISNUMBER('Model_ of_individuals'!U626), 'Model_ of_individuals'!U626*'Model_ of_individuals'!$K626,"")</f>
        <v/>
      </c>
      <c r="V606" s="17" t="str">
        <f>IF(ISNUMBER('Model_ of_individuals'!V626), 'Model_ of_individuals'!V626*'Model_ of_individuals'!$K626,"")</f>
        <v/>
      </c>
      <c r="W606" s="17" t="str">
        <f>IF(ISNUMBER('Model_ of_individuals'!W626), 'Model_ of_individuals'!W626*'Model_ of_individuals'!$K626,"")</f>
        <v/>
      </c>
      <c r="X606" s="17" t="str">
        <f>IF(ISNUMBER('Model_ of_individuals'!X626), 'Model_ of_individuals'!X626*'Model_ of_individuals'!$K626,"")</f>
        <v/>
      </c>
      <c r="Y606" s="17" t="str">
        <f>IF(ISNUMBER('Model_ of_individuals'!Y626), 'Model_ of_individuals'!Y626*'Model_ of_individuals'!$K626,"")</f>
        <v/>
      </c>
      <c r="Z606" s="17" t="str">
        <f>IF(ISNUMBER('Model_ of_individuals'!Z626), 'Model_ of_individuals'!Z626*'Model_ of_individuals'!$K626,"")</f>
        <v/>
      </c>
      <c r="AA606" s="17" t="str">
        <f>IF(ISNUMBER('Model_ of_individuals'!AA626), 'Model_ of_individuals'!AA626*'Model_ of_individuals'!$K626,"")</f>
        <v/>
      </c>
    </row>
    <row r="607" spans="1:27" x14ac:dyDescent="0.25">
      <c r="A607" s="518"/>
      <c r="B607" s="504"/>
      <c r="C607" s="107" t="str">
        <f>IF(AND(ISNUMBER(B601), OR('Cost Inputs'!$H$152&lt;&gt;"", 'Cost Inputs'!$I$152&lt;&gt;"", 'Cost Inputs'!$J$152&lt;&gt;"")), _5_4_2, "")</f>
        <v/>
      </c>
      <c r="D607" s="93" t="str">
        <f>IF(AND(C607&lt;&gt;"", 'Cost Inputs'!$G$152&lt;&gt;""), 'Cost Inputs'!$G$152, "")</f>
        <v/>
      </c>
      <c r="E607" s="93" t="str">
        <f>IF(AND(C607&lt;&gt;"", 'Cost Inputs'!$H$152&lt;&gt;""), 'Cost Inputs'!$H$152, "")</f>
        <v/>
      </c>
      <c r="F607" s="93" t="str">
        <f>IF(AND(C607&lt;&gt;"", 'Cost Inputs'!$I$152&lt;&gt;""), 'Cost Inputs'!$I$152, "")</f>
        <v/>
      </c>
      <c r="G607" s="108" t="str">
        <f t="shared" si="52"/>
        <v/>
      </c>
      <c r="H607" s="93" t="str">
        <f>IF(AND(C607&lt;&gt;"", 'Cost Inputs'!$J$152&lt;&gt;""), 'Cost Inputs'!$J$152, "")</f>
        <v/>
      </c>
      <c r="I607" s="93" t="str">
        <f t="shared" si="53"/>
        <v/>
      </c>
      <c r="J607" s="93" t="str">
        <f>IF(AND(C607&lt;&gt;"",('Cost Inputs'!$I$152+'Cost Inputs'!$J$152+'Cost Inputs'!$K$152)&gt;0), 'Cost Inputs'!$I$152+'Cost Inputs'!$J$152+'Cost Inputs'!$K$152, "")</f>
        <v/>
      </c>
      <c r="K607" s="93" t="str">
        <f t="shared" si="54"/>
        <v/>
      </c>
      <c r="L607" s="93"/>
      <c r="M607" s="109"/>
      <c r="R607" s="93" t="str">
        <f>IF(ISNUMBER('Model_ of_individuals'!R627), 'Model_ of_individuals'!R627*'Model_ of_individuals'!$K627,"")</f>
        <v/>
      </c>
      <c r="S607" s="93" t="str">
        <f>IF(ISNUMBER('Model_ of_individuals'!S627), 'Model_ of_individuals'!S627*'Model_ of_individuals'!$K627,"")</f>
        <v/>
      </c>
      <c r="T607" s="93" t="str">
        <f>IF(ISNUMBER('Model_ of_individuals'!T627), 'Model_ of_individuals'!T627*'Model_ of_individuals'!$K627,"")</f>
        <v/>
      </c>
      <c r="U607" s="93" t="str">
        <f>IF(ISNUMBER('Model_ of_individuals'!U627), 'Model_ of_individuals'!U627*'Model_ of_individuals'!$K627,"")</f>
        <v/>
      </c>
      <c r="V607" s="93" t="str">
        <f>IF(ISNUMBER('Model_ of_individuals'!V627), 'Model_ of_individuals'!V627*'Model_ of_individuals'!$K627,"")</f>
        <v/>
      </c>
      <c r="W607" s="93" t="str">
        <f>IF(ISNUMBER('Model_ of_individuals'!W627), 'Model_ of_individuals'!W627*'Model_ of_individuals'!$K627,"")</f>
        <v/>
      </c>
      <c r="X607" s="93" t="str">
        <f>IF(ISNUMBER('Model_ of_individuals'!X627), 'Model_ of_individuals'!X627*'Model_ of_individuals'!$K627,"")</f>
        <v/>
      </c>
      <c r="Y607" s="93" t="str">
        <f>IF(ISNUMBER('Model_ of_individuals'!Y627), 'Model_ of_individuals'!Y627*'Model_ of_individuals'!$K627,"")</f>
        <v/>
      </c>
      <c r="Z607" s="93" t="str">
        <f>IF(ISNUMBER('Model_ of_individuals'!Z627), 'Model_ of_individuals'!Z627*'Model_ of_individuals'!$K627,"")</f>
        <v/>
      </c>
      <c r="AA607" s="93" t="str">
        <f>IF(ISNUMBER('Model_ of_individuals'!AA627), 'Model_ of_individuals'!AA627*'Model_ of_individuals'!$K627,"")</f>
        <v/>
      </c>
    </row>
    <row r="608" spans="1:27" x14ac:dyDescent="0.25">
      <c r="A608" s="518"/>
      <c r="B608" s="504"/>
      <c r="C608" s="104" t="str">
        <f>IF(AND(ISNUMBER(B601), OR('Cost Inputs'!$H$153&lt;&gt;"", 'Cost Inputs'!$I$153&lt;&gt;"", 'Cost Inputs'!$J$153&lt;&gt;"")), _5_4_3, "")</f>
        <v/>
      </c>
      <c r="D608" s="17" t="str">
        <f>IF(AND(C608&lt;&gt;"", 'Cost Inputs'!$G$153&lt;&gt;""), 'Cost Inputs'!$G$153, "")</f>
        <v/>
      </c>
      <c r="E608" s="17" t="str">
        <f>IF(AND(C608&lt;&gt;"", 'Cost Inputs'!$H$153&lt;&gt;""), 'Cost Inputs'!$H$153, "")</f>
        <v/>
      </c>
      <c r="F608" s="17" t="str">
        <f>IF(AND(C608&lt;&gt;"", 'Cost Inputs'!$I$153&lt;&gt;""), 'Cost Inputs'!$I$153, "")</f>
        <v/>
      </c>
      <c r="G608" s="105" t="str">
        <f t="shared" si="52"/>
        <v/>
      </c>
      <c r="H608" s="17" t="str">
        <f>IF(AND(C608&lt;&gt;"", 'Cost Inputs'!$J$153&lt;&gt;""), 'Cost Inputs'!$J$153, "")</f>
        <v/>
      </c>
      <c r="I608" s="17" t="str">
        <f t="shared" si="53"/>
        <v/>
      </c>
      <c r="J608" s="17" t="str">
        <f>IF(AND(C608&lt;&gt;"",('Cost Inputs'!$I$153+'Cost Inputs'!$J$153+'Cost Inputs'!$K$153)&gt;0), 'Cost Inputs'!$I$153+'Cost Inputs'!$J$153+'Cost Inputs'!$K$153, "")</f>
        <v/>
      </c>
      <c r="K608" s="17" t="str">
        <f t="shared" si="54"/>
        <v/>
      </c>
      <c r="M608" s="106"/>
      <c r="R608" s="17" t="str">
        <f>IF(ISNUMBER('Model_ of_individuals'!R628), 'Model_ of_individuals'!R628*'Model_ of_individuals'!$K628,"")</f>
        <v/>
      </c>
      <c r="S608" s="17" t="str">
        <f>IF(ISNUMBER('Model_ of_individuals'!S628), 'Model_ of_individuals'!S628*'Model_ of_individuals'!$K628,"")</f>
        <v/>
      </c>
      <c r="T608" s="17" t="str">
        <f>IF(ISNUMBER('Model_ of_individuals'!T628), 'Model_ of_individuals'!T628*'Model_ of_individuals'!$K628,"")</f>
        <v/>
      </c>
      <c r="U608" s="17" t="str">
        <f>IF(ISNUMBER('Model_ of_individuals'!U628), 'Model_ of_individuals'!U628*'Model_ of_individuals'!$K628,"")</f>
        <v/>
      </c>
      <c r="V608" s="17" t="str">
        <f>IF(ISNUMBER('Model_ of_individuals'!V628), 'Model_ of_individuals'!V628*'Model_ of_individuals'!$K628,"")</f>
        <v/>
      </c>
      <c r="W608" s="17" t="str">
        <f>IF(ISNUMBER('Model_ of_individuals'!W628), 'Model_ of_individuals'!W628*'Model_ of_individuals'!$K628,"")</f>
        <v/>
      </c>
      <c r="X608" s="17" t="str">
        <f>IF(ISNUMBER('Model_ of_individuals'!X628), 'Model_ of_individuals'!X628*'Model_ of_individuals'!$K628,"")</f>
        <v/>
      </c>
      <c r="Y608" s="17" t="str">
        <f>IF(ISNUMBER('Model_ of_individuals'!Y628), 'Model_ of_individuals'!Y628*'Model_ of_individuals'!$K628,"")</f>
        <v/>
      </c>
      <c r="Z608" s="17" t="str">
        <f>IF(ISNUMBER('Model_ of_individuals'!Z628), 'Model_ of_individuals'!Z628*'Model_ of_individuals'!$K628,"")</f>
        <v/>
      </c>
      <c r="AA608" s="17" t="str">
        <f>IF(ISNUMBER('Model_ of_individuals'!AA628), 'Model_ of_individuals'!AA628*'Model_ of_individuals'!$K628,"")</f>
        <v/>
      </c>
    </row>
    <row r="609" spans="1:28" x14ac:dyDescent="0.25">
      <c r="A609" s="518"/>
      <c r="B609" s="504"/>
      <c r="C609" s="107" t="str">
        <f>IF(AND(ISNUMBER(B601), OR('Cost Inputs'!$H$154&lt;&gt;"", 'Cost Inputs'!$I$154&lt;&gt;"", 'Cost Inputs'!$J$154&lt;&gt;"")), _5_4_4, "")</f>
        <v/>
      </c>
      <c r="D609" s="93" t="str">
        <f>IF(AND(C609&lt;&gt;"", 'Cost Inputs'!$G$154&lt;&gt;""), 'Cost Inputs'!$G$154, "")</f>
        <v/>
      </c>
      <c r="E609" s="93" t="str">
        <f>IF(AND(C609&lt;&gt;"", 'Cost Inputs'!$H$154&lt;&gt;""), 'Cost Inputs'!$H$154, "")</f>
        <v/>
      </c>
      <c r="F609" s="93" t="str">
        <f>IF(AND(C609&lt;&gt;"", 'Cost Inputs'!$I$154&lt;&gt;""), 'Cost Inputs'!$I$154, "")</f>
        <v/>
      </c>
      <c r="G609" s="108" t="str">
        <f t="shared" si="52"/>
        <v/>
      </c>
      <c r="H609" s="93" t="str">
        <f>IF(AND(C609&lt;&gt;"", 'Cost Inputs'!$J$154&lt;&gt;""), 'Cost Inputs'!$J$154, "")</f>
        <v/>
      </c>
      <c r="I609" s="93" t="str">
        <f t="shared" si="53"/>
        <v/>
      </c>
      <c r="J609" s="93" t="str">
        <f>IF(AND(C609&lt;&gt;"",('Cost Inputs'!$I$154+'Cost Inputs'!$J$154+'Cost Inputs'!$K$154)&gt;0), 'Cost Inputs'!$I$154+'Cost Inputs'!$J$154+'Cost Inputs'!$K$154, "")</f>
        <v/>
      </c>
      <c r="K609" s="93" t="str">
        <f t="shared" si="54"/>
        <v/>
      </c>
      <c r="L609" s="93"/>
      <c r="M609" s="109"/>
      <c r="R609" s="93" t="str">
        <f>IF(ISNUMBER('Model_ of_individuals'!R629), 'Model_ of_individuals'!R629*'Model_ of_individuals'!$K629,"")</f>
        <v/>
      </c>
      <c r="S609" s="93" t="str">
        <f>IF(ISNUMBER('Model_ of_individuals'!S629), 'Model_ of_individuals'!S629*'Model_ of_individuals'!$K629,"")</f>
        <v/>
      </c>
      <c r="T609" s="93" t="str">
        <f>IF(ISNUMBER('Model_ of_individuals'!T629), 'Model_ of_individuals'!T629*'Model_ of_individuals'!$K629,"")</f>
        <v/>
      </c>
      <c r="U609" s="93" t="str">
        <f>IF(ISNUMBER('Model_ of_individuals'!U629), 'Model_ of_individuals'!U629*'Model_ of_individuals'!$K629,"")</f>
        <v/>
      </c>
      <c r="V609" s="93" t="str">
        <f>IF(ISNUMBER('Model_ of_individuals'!V629), 'Model_ of_individuals'!V629*'Model_ of_individuals'!$K629,"")</f>
        <v/>
      </c>
      <c r="W609" s="93" t="str">
        <f>IF(ISNUMBER('Model_ of_individuals'!W629), 'Model_ of_individuals'!W629*'Model_ of_individuals'!$K629,"")</f>
        <v/>
      </c>
      <c r="X609" s="93" t="str">
        <f>IF(ISNUMBER('Model_ of_individuals'!X629), 'Model_ of_individuals'!X629*'Model_ of_individuals'!$K629,"")</f>
        <v/>
      </c>
      <c r="Y609" s="93" t="str">
        <f>IF(ISNUMBER('Model_ of_individuals'!Y629), 'Model_ of_individuals'!Y629*'Model_ of_individuals'!$K629,"")</f>
        <v/>
      </c>
      <c r="Z609" s="93" t="str">
        <f>IF(ISNUMBER('Model_ of_individuals'!Z629), 'Model_ of_individuals'!Z629*'Model_ of_individuals'!$K629,"")</f>
        <v/>
      </c>
      <c r="AA609" s="93" t="str">
        <f>IF(ISNUMBER('Model_ of_individuals'!AA629), 'Model_ of_individuals'!AA629*'Model_ of_individuals'!$K629,"")</f>
        <v/>
      </c>
    </row>
    <row r="610" spans="1:28" x14ac:dyDescent="0.25">
      <c r="A610" s="518"/>
      <c r="B610" s="504"/>
      <c r="C610" s="104" t="str">
        <f>IF(AND(ISNUMBER(B601), OR('Cost Inputs'!$H$155&lt;&gt;"", 'Cost Inputs'!$I$155&lt;&gt;"", 'Cost Inputs'!$J$155&lt;&gt;"")), _5_4_5, "")</f>
        <v/>
      </c>
      <c r="D610" s="17" t="str">
        <f>IF(AND(C610&lt;&gt;"", 'Cost Inputs'!$G$155&lt;&gt;""), 'Cost Inputs'!$G$155, "")</f>
        <v/>
      </c>
      <c r="E610" s="17" t="str">
        <f>IF(AND(C610&lt;&gt;"", 'Cost Inputs'!$H$155&lt;&gt;""), 'Cost Inputs'!$H$155, "")</f>
        <v/>
      </c>
      <c r="F610" s="17" t="str">
        <f>IF(AND(C610&lt;&gt;"", 'Cost Inputs'!$I$155&lt;&gt;""), 'Cost Inputs'!$I$155, "")</f>
        <v/>
      </c>
      <c r="G610" s="105" t="str">
        <f t="shared" si="52"/>
        <v/>
      </c>
      <c r="H610" s="17" t="str">
        <f>IF(AND(C610&lt;&gt;"", 'Cost Inputs'!$J$155&lt;&gt;""), 'Cost Inputs'!$J$155, "")</f>
        <v/>
      </c>
      <c r="I610" s="17" t="str">
        <f t="shared" si="53"/>
        <v/>
      </c>
      <c r="J610" s="17" t="str">
        <f>IF(AND(C610&lt;&gt;"",('Cost Inputs'!$I$155+'Cost Inputs'!$J$155+'Cost Inputs'!$K$155)&gt;0), 'Cost Inputs'!$I$155+'Cost Inputs'!$J$155+'Cost Inputs'!$K$155, "")</f>
        <v/>
      </c>
      <c r="K610" s="17" t="str">
        <f t="shared" si="54"/>
        <v/>
      </c>
      <c r="M610" s="106"/>
      <c r="R610" s="17" t="str">
        <f>IF(ISNUMBER('Model_ of_individuals'!R630), 'Model_ of_individuals'!R630*'Model_ of_individuals'!$K630,"")</f>
        <v/>
      </c>
      <c r="S610" s="17" t="str">
        <f>IF(ISNUMBER('Model_ of_individuals'!S630), 'Model_ of_individuals'!S630*'Model_ of_individuals'!$K630,"")</f>
        <v/>
      </c>
      <c r="T610" s="17" t="str">
        <f>IF(ISNUMBER('Model_ of_individuals'!T630), 'Model_ of_individuals'!T630*'Model_ of_individuals'!$K630,"")</f>
        <v/>
      </c>
      <c r="U610" s="17" t="str">
        <f>IF(ISNUMBER('Model_ of_individuals'!U630), 'Model_ of_individuals'!U630*'Model_ of_individuals'!$K630,"")</f>
        <v/>
      </c>
      <c r="V610" s="17" t="str">
        <f>IF(ISNUMBER('Model_ of_individuals'!V630), 'Model_ of_individuals'!V630*'Model_ of_individuals'!$K630,"")</f>
        <v/>
      </c>
      <c r="W610" s="17" t="str">
        <f>IF(ISNUMBER('Model_ of_individuals'!W630), 'Model_ of_individuals'!W630*'Model_ of_individuals'!$K630,"")</f>
        <v/>
      </c>
      <c r="X610" s="17" t="str">
        <f>IF(ISNUMBER('Model_ of_individuals'!X630), 'Model_ of_individuals'!X630*'Model_ of_individuals'!$K630,"")</f>
        <v/>
      </c>
      <c r="Y610" s="17" t="str">
        <f>IF(ISNUMBER('Model_ of_individuals'!Y630), 'Model_ of_individuals'!Y630*'Model_ of_individuals'!$K630,"")</f>
        <v/>
      </c>
      <c r="Z610" s="17" t="str">
        <f>IF(ISNUMBER('Model_ of_individuals'!Z630), 'Model_ of_individuals'!Z630*'Model_ of_individuals'!$K630,"")</f>
        <v/>
      </c>
      <c r="AA610" s="17" t="str">
        <f>IF(ISNUMBER('Model_ of_individuals'!AA630), 'Model_ of_individuals'!AA630*'Model_ of_individuals'!$K630,"")</f>
        <v/>
      </c>
    </row>
    <row r="611" spans="1:28" x14ac:dyDescent="0.25">
      <c r="A611" s="518"/>
      <c r="B611" s="504"/>
      <c r="C611" s="107" t="str">
        <f>IF(AND(ISNUMBER(B601), OR('Cost Inputs'!$H$156&lt;&gt;"", 'Cost Inputs'!$I$156&lt;&gt;"", 'Cost Inputs'!$J$156&lt;&gt;"")), _5_4_6, "")</f>
        <v/>
      </c>
      <c r="D611" s="93" t="str">
        <f>IF(AND(C611&lt;&gt;"", 'Cost Inputs'!$G$156&lt;&gt;""), 'Cost Inputs'!$G$156, "")</f>
        <v/>
      </c>
      <c r="E611" s="93" t="str">
        <f>IF(AND(C611&lt;&gt;"", 'Cost Inputs'!$H$156&lt;&gt;""), 'Cost Inputs'!$H$156, "")</f>
        <v/>
      </c>
      <c r="F611" s="93" t="str">
        <f>IF(AND(C611&lt;&gt;"", 'Cost Inputs'!$I$156&lt;&gt;""), 'Cost Inputs'!$I$156, "")</f>
        <v/>
      </c>
      <c r="G611" s="108" t="str">
        <f t="shared" si="52"/>
        <v/>
      </c>
      <c r="H611" s="93" t="str">
        <f>IF(AND(C611&lt;&gt;"", 'Cost Inputs'!$J$156&lt;&gt;""), 'Cost Inputs'!$J$16, "")</f>
        <v/>
      </c>
      <c r="I611" s="93" t="str">
        <f t="shared" si="53"/>
        <v/>
      </c>
      <c r="J611" s="93" t="str">
        <f>IF(AND(C611&lt;&gt;"",('Cost Inputs'!$I$156+'Cost Inputs'!$J$156+'Cost Inputs'!$K$156)&gt;0), 'Cost Inputs'!$I$156+'Cost Inputs'!$J$156+'Cost Inputs'!$K$156, "")</f>
        <v/>
      </c>
      <c r="K611" s="93" t="str">
        <f t="shared" si="54"/>
        <v/>
      </c>
      <c r="L611" s="93"/>
      <c r="M611" s="109"/>
      <c r="R611" s="93" t="str">
        <f>IF(ISNUMBER('Model_ of_individuals'!R631), 'Model_ of_individuals'!R631*'Model_ of_individuals'!$K631,"")</f>
        <v/>
      </c>
      <c r="S611" s="93" t="str">
        <f>IF(ISNUMBER('Model_ of_individuals'!S631), 'Model_ of_individuals'!S631*'Model_ of_individuals'!$K631,"")</f>
        <v/>
      </c>
      <c r="T611" s="93" t="str">
        <f>IF(ISNUMBER('Model_ of_individuals'!T631), 'Model_ of_individuals'!T631*'Model_ of_individuals'!$K631,"")</f>
        <v/>
      </c>
      <c r="U611" s="93" t="str">
        <f>IF(ISNUMBER('Model_ of_individuals'!U631), 'Model_ of_individuals'!U631*'Model_ of_individuals'!$K631,"")</f>
        <v/>
      </c>
      <c r="V611" s="93" t="str">
        <f>IF(ISNUMBER('Model_ of_individuals'!V631), 'Model_ of_individuals'!V631*'Model_ of_individuals'!$K631,"")</f>
        <v/>
      </c>
      <c r="W611" s="93" t="str">
        <f>IF(ISNUMBER('Model_ of_individuals'!W631), 'Model_ of_individuals'!W631*'Model_ of_individuals'!$K631,"")</f>
        <v/>
      </c>
      <c r="X611" s="93" t="str">
        <f>IF(ISNUMBER('Model_ of_individuals'!X631), 'Model_ of_individuals'!X631*'Model_ of_individuals'!$K631,"")</f>
        <v/>
      </c>
      <c r="Y611" s="93" t="str">
        <f>IF(ISNUMBER('Model_ of_individuals'!Y631), 'Model_ of_individuals'!Y631*'Model_ of_individuals'!$K631,"")</f>
        <v/>
      </c>
      <c r="Z611" s="93" t="str">
        <f>IF(ISNUMBER('Model_ of_individuals'!Z631), 'Model_ of_individuals'!Z631*'Model_ of_individuals'!$K631,"")</f>
        <v/>
      </c>
      <c r="AA611" s="93" t="str">
        <f>IF(ISNUMBER('Model_ of_individuals'!AA631), 'Model_ of_individuals'!AA631*'Model_ of_individuals'!$K631,"")</f>
        <v/>
      </c>
    </row>
    <row r="612" spans="1:28" x14ac:dyDescent="0.25">
      <c r="A612" s="518"/>
      <c r="B612" s="504"/>
      <c r="C612" s="521" t="str">
        <f>IF(AND(B601&lt;&gt;"",ISNUMBER(B601),ISNUMBER(Stage3EvaluationBegins)),IF((INDEX(ProgramYearStage3,MATCH(Stage3EvaluationBegins,Years_in_Stage3,0)))=B601,_5_5_0,IF(AND(B601&lt;&gt;"",C590&lt;&gt;""),_5_5_0,IF(AND(B601&lt;&gt;"",ISNUMBER(B601),OR(Stage3EvaluationBegins=0,Stage3EvaluationBegins="")),"",""))),"")</f>
        <v/>
      </c>
      <c r="D612" s="94" t="str">
        <f>IF(AND(C612&lt;&gt;"", 'Cost Inputs'!$G$157&lt;&gt;""), 'Cost Inputs'!$G$157, "")</f>
        <v/>
      </c>
      <c r="E612" s="94" t="str">
        <f>IF(AND(C612&lt;&gt;"", 'Cost Inputs'!$H$157&lt;&gt;""), 'Cost Inputs'!$H$157, "")</f>
        <v/>
      </c>
      <c r="F612" s="492" t="str">
        <f>IF(AND(C612&lt;&gt;"", 'Cost Inputs'!$I$157&lt;&gt;""), 'Cost Inputs'!$I$157, "")</f>
        <v/>
      </c>
      <c r="G612" s="102" t="str">
        <f t="shared" si="52"/>
        <v/>
      </c>
      <c r="H612" s="492" t="str">
        <f>IF(AND(C612&lt;&gt;"", 'Cost Inputs'!$J$157&lt;&gt;""), 'Cost Inputs'!$J$157, "")</f>
        <v/>
      </c>
      <c r="I612" s="102" t="str">
        <f>IF($C612&lt;&gt;"",IF(AND($E612&lt;&gt;"",H612&lt;&gt;""), H612/$E612, 0),"")</f>
        <v/>
      </c>
      <c r="J612" s="492" t="str">
        <f>IF(AND(C612&lt;&gt;"",('Cost Inputs'!$I$157+'Cost Inputs'!$J$157+'Cost Inputs'!$K$157)&gt;0), 'Cost Inputs'!$I$157+'Cost Inputs'!$J$157+'Cost Inputs'!$K$157, "")</f>
        <v/>
      </c>
      <c r="K612" s="102" t="str">
        <f>IF($C612&lt;&gt;"",IF(AND($E612&lt;&gt;"",J612&lt;&gt;""), J612/$E612, 0),"")</f>
        <v/>
      </c>
      <c r="L612" s="94"/>
      <c r="M612" s="103"/>
      <c r="R612" s="492" t="str">
        <f>IF(ISNUMBER('Model_ of_individuals'!R632), 'Model_ of_individuals'!R632*'Model_ of_individuals'!$K632,"")</f>
        <v/>
      </c>
      <c r="S612" s="492" t="str">
        <f>IF(ISNUMBER('Model_ of_individuals'!S632), 'Model_ of_individuals'!S632*'Model_ of_individuals'!$K632,"")</f>
        <v/>
      </c>
      <c r="T612" s="492" t="str">
        <f>IF(ISNUMBER('Model_ of_individuals'!T632), 'Model_ of_individuals'!T632*'Model_ of_individuals'!$K632,"")</f>
        <v/>
      </c>
      <c r="U612" s="492" t="str">
        <f>IF(ISNUMBER('Model_ of_individuals'!U632), 'Model_ of_individuals'!U632*'Model_ of_individuals'!$K632,"")</f>
        <v/>
      </c>
      <c r="V612" s="492" t="str">
        <f>IF(ISNUMBER('Model_ of_individuals'!V632), 'Model_ of_individuals'!V632*'Model_ of_individuals'!$K632,"")</f>
        <v/>
      </c>
      <c r="W612" s="492" t="str">
        <f>IF(ISNUMBER('Model_ of_individuals'!W632), 'Model_ of_individuals'!W632*'Model_ of_individuals'!$K632,"")</f>
        <v/>
      </c>
      <c r="X612" s="492" t="str">
        <f>IF(ISNUMBER('Model_ of_individuals'!X632), 'Model_ of_individuals'!X632*'Model_ of_individuals'!$K632,"")</f>
        <v/>
      </c>
      <c r="Y612" s="492" t="str">
        <f>IF(ISNUMBER('Model_ of_individuals'!Y632), 'Model_ of_individuals'!Y632*'Model_ of_individuals'!$K632,"")</f>
        <v/>
      </c>
      <c r="Z612" s="492" t="str">
        <f>IF(ISNUMBER('Model_ of_individuals'!Z632), 'Model_ of_individuals'!Z632*'Model_ of_individuals'!$K632,"")</f>
        <v/>
      </c>
      <c r="AA612" s="492" t="str">
        <f>IF(ISNUMBER('Model_ of_individuals'!AA632), 'Model_ of_individuals'!AA632*'Model_ of_individuals'!$K632,"")</f>
        <v/>
      </c>
    </row>
    <row r="613" spans="1:28" x14ac:dyDescent="0.25">
      <c r="A613" s="518"/>
      <c r="B613" s="504"/>
      <c r="C613" s="521"/>
      <c r="D613" s="94" t="str">
        <f>IF(AND(C612&lt;&gt;"", 'Cost Inputs'!$G$158&lt;&gt;""), 'Cost Inputs'!$G$158, "")</f>
        <v/>
      </c>
      <c r="E613" s="94" t="str">
        <f>IF(AND(C612&lt;&gt;"", 'Cost Inputs'!$H$158&lt;&gt;""), 'Cost Inputs'!$H$158, "")</f>
        <v/>
      </c>
      <c r="F613" s="492"/>
      <c r="G613" s="102" t="str">
        <f t="shared" si="52"/>
        <v/>
      </c>
      <c r="H613" s="492"/>
      <c r="I613" s="102" t="str">
        <f>IF($C612&lt;&gt;"", IF(AND($E613&lt;&gt;"", H612&lt;&gt;""), H612/($E612*$E613), 0), "")</f>
        <v/>
      </c>
      <c r="J613" s="492" t="str">
        <f>IF(AND(C613&lt;&gt;"",('Cost Inputs'!$I$86+'Cost Inputs'!$J$86+'Cost Inputs'!$K$86)&gt;0), 'Cost Inputs'!$I$86+'Cost Inputs'!$J$86+'Cost Inputs'!$K$86, "")</f>
        <v/>
      </c>
      <c r="K613" s="102" t="str">
        <f>IF($C612&lt;&gt;"", IF(AND($E613&lt;&gt;"", J612&lt;&gt;""), J612/($E612*$E613), 0), "")</f>
        <v/>
      </c>
      <c r="L613" s="94"/>
      <c r="M613" s="103"/>
      <c r="R613" s="492" t="str">
        <f>IF(ISNUMBER('Model_ of_individuals'!R633), 'Model_ of_individuals'!R633*'Model_ of_individuals'!$K633,"")</f>
        <v/>
      </c>
      <c r="S613" s="492" t="str">
        <f>IF(ISNUMBER('Model_ of_individuals'!S633), 'Model_ of_individuals'!S633*'Model_ of_individuals'!$K633,"")</f>
        <v/>
      </c>
      <c r="T613" s="492" t="str">
        <f>IF(ISNUMBER('Model_ of_individuals'!T633), 'Model_ of_individuals'!T633*'Model_ of_individuals'!$K633,"")</f>
        <v/>
      </c>
      <c r="U613" s="492" t="str">
        <f>IF(ISNUMBER('Model_ of_individuals'!U633), 'Model_ of_individuals'!U633*'Model_ of_individuals'!$K633,"")</f>
        <v/>
      </c>
      <c r="V613" s="492" t="str">
        <f>IF(ISNUMBER('Model_ of_individuals'!V633), 'Model_ of_individuals'!V633*'Model_ of_individuals'!$K633,"")</f>
        <v/>
      </c>
      <c r="W613" s="492" t="str">
        <f>IF(ISNUMBER('Model_ of_individuals'!W633), 'Model_ of_individuals'!W633*'Model_ of_individuals'!$K633,"")</f>
        <v/>
      </c>
      <c r="X613" s="492" t="str">
        <f>IF(ISNUMBER('Model_ of_individuals'!X633), 'Model_ of_individuals'!X633*'Model_ of_individuals'!$K633,"")</f>
        <v/>
      </c>
      <c r="Y613" s="492" t="str">
        <f>IF(ISNUMBER('Model_ of_individuals'!Y633), 'Model_ of_individuals'!Y633*'Model_ of_individuals'!$K633,"")</f>
        <v/>
      </c>
      <c r="Z613" s="492" t="str">
        <f>IF(ISNUMBER('Model_ of_individuals'!Z633), 'Model_ of_individuals'!Z633*'Model_ of_individuals'!$K633,"")</f>
        <v/>
      </c>
      <c r="AA613" s="492" t="str">
        <f>IF(ISNUMBER('Model_ of_individuals'!AA633), 'Model_ of_individuals'!AA633*'Model_ of_individuals'!$K633,"")</f>
        <v/>
      </c>
    </row>
    <row r="614" spans="1:28" x14ac:dyDescent="0.25">
      <c r="A614" s="518"/>
      <c r="B614" s="504"/>
      <c r="C614" s="376" t="str">
        <f>IF(AND(ISNUMBER(B601), C612&lt;&gt;"", OR('Cost Inputs'!$H$159&lt;&gt;"", 'Cost Inputs'!$I$159&lt;&gt;"", 'Cost Inputs'!$J$159&lt;&gt;"")), _5_5_1, "")</f>
        <v/>
      </c>
      <c r="D614" s="17" t="str">
        <f>IF(AND(C614&lt;&gt;"", 'Cost Inputs'!$G$159&lt;&gt;""), 'Cost Inputs'!$G$159, "")</f>
        <v/>
      </c>
      <c r="E614" s="17" t="str">
        <f>IF(AND(C614&lt;&gt;"", 'Cost Inputs'!$H$159&lt;&gt;""), 'Cost Inputs'!$H$159, "")</f>
        <v/>
      </c>
      <c r="F614" s="493" t="str">
        <f>IF(AND(C614&lt;&gt;"", 'Cost Inputs'!$I$159&lt;&gt;""), 'Cost Inputs'!$I$159, "")</f>
        <v/>
      </c>
      <c r="G614" s="105" t="str">
        <f t="shared" si="52"/>
        <v/>
      </c>
      <c r="H614" s="493" t="str">
        <f>IF(AND(C614&lt;&gt;"", 'Cost Inputs'!$J$159&lt;&gt;""), 'Cost Inputs'!$J$159, "")</f>
        <v/>
      </c>
      <c r="I614" s="105" t="str">
        <f>IF($C614&lt;&gt;"",IF(AND($E614&lt;&gt;"",H614&lt;&gt;""), H614/$E614, 0),"")</f>
        <v/>
      </c>
      <c r="J614" s="493" t="str">
        <f>IF(AND(C614&lt;&gt;"",('Cost Inputs'!$I$159+'Cost Inputs'!$J$159+'Cost Inputs'!$K$159)&gt;0), 'Cost Inputs'!$I$159+'Cost Inputs'!$J$159+'Cost Inputs'!$K$159, "")</f>
        <v/>
      </c>
      <c r="K614" s="105" t="str">
        <f>IF($C614&lt;&gt;"",IF(AND($E614&lt;&gt;"",J614&lt;&gt;""), J614/$E614, 0),"")</f>
        <v/>
      </c>
      <c r="M614" s="106"/>
      <c r="R614" s="493" t="str">
        <f>IF(ISNUMBER('Model_ of_individuals'!R634), 'Model_ of_individuals'!R634*'Model_ of_individuals'!$K634,"")</f>
        <v/>
      </c>
      <c r="S614" s="493" t="str">
        <f>IF(ISNUMBER('Model_ of_individuals'!S634), 'Model_ of_individuals'!S634*'Model_ of_individuals'!$K634,"")</f>
        <v/>
      </c>
      <c r="T614" s="493" t="str">
        <f>IF(ISNUMBER('Model_ of_individuals'!T634), 'Model_ of_individuals'!T634*'Model_ of_individuals'!$K634,"")</f>
        <v/>
      </c>
      <c r="U614" s="493" t="str">
        <f>IF(ISNUMBER('Model_ of_individuals'!U634), 'Model_ of_individuals'!U634*'Model_ of_individuals'!$K634,"")</f>
        <v/>
      </c>
      <c r="V614" s="493" t="str">
        <f>IF(ISNUMBER('Model_ of_individuals'!V634), 'Model_ of_individuals'!V634*'Model_ of_individuals'!$K634,"")</f>
        <v/>
      </c>
      <c r="W614" s="493" t="str">
        <f>IF(ISNUMBER('Model_ of_individuals'!W634), 'Model_ of_individuals'!W634*'Model_ of_individuals'!$K634,"")</f>
        <v/>
      </c>
      <c r="X614" s="493" t="str">
        <f>IF(ISNUMBER('Model_ of_individuals'!X634), 'Model_ of_individuals'!X634*'Model_ of_individuals'!$K634,"")</f>
        <v/>
      </c>
      <c r="Y614" s="493" t="str">
        <f>IF(ISNUMBER('Model_ of_individuals'!Y634), 'Model_ of_individuals'!Y634*'Model_ of_individuals'!$K634,"")</f>
        <v/>
      </c>
      <c r="Z614" s="493" t="str">
        <f>IF(ISNUMBER('Model_ of_individuals'!Z634), 'Model_ of_individuals'!Z634*'Model_ of_individuals'!$K634,"")</f>
        <v/>
      </c>
      <c r="AA614" s="493" t="str">
        <f>IF(ISNUMBER('Model_ of_individuals'!AA634), 'Model_ of_individuals'!AA634*'Model_ of_individuals'!$K634,"")</f>
        <v/>
      </c>
    </row>
    <row r="615" spans="1:28" x14ac:dyDescent="0.25">
      <c r="A615" s="518"/>
      <c r="B615" s="504"/>
      <c r="C615" s="376" t="str">
        <f>IF(AND(ISNUMBER(B597), OR('Cost Inputs'!$H$85&lt;&gt;"", 'Cost Inputs'!$I$85&lt;&gt;"", 'Cost Inputs'!$J$85&lt;&gt;"")), _3_5_1, "")</f>
        <v/>
      </c>
      <c r="D615" s="17" t="str">
        <f>IF(AND(C614&lt;&gt;"", 'Cost Inputs'!$G$160&lt;&gt;""), 'Cost Inputs'!$G$160, "")</f>
        <v/>
      </c>
      <c r="E615" s="17" t="str">
        <f>IF(AND(C614&lt;&gt;"", 'Cost Inputs'!$H$160&lt;&gt;""), 'Cost Inputs'!$H$160, "")</f>
        <v/>
      </c>
      <c r="F615" s="493"/>
      <c r="G615" s="105" t="str">
        <f t="shared" si="52"/>
        <v/>
      </c>
      <c r="H615" s="493"/>
      <c r="I615" s="105" t="str">
        <f>IF($C614&lt;&gt;"", IF(AND($E615&lt;&gt;"", H614&lt;&gt;""), H614/($E614*$E615), 0), "")</f>
        <v/>
      </c>
      <c r="J615" s="493" t="str">
        <f>IF(AND(C615&lt;&gt;"",('Cost Inputs'!$I$86+'Cost Inputs'!$J$86+'Cost Inputs'!$K$86)&gt;0), 'Cost Inputs'!$I$86+'Cost Inputs'!$J$86+'Cost Inputs'!$K$86, "")</f>
        <v/>
      </c>
      <c r="K615" s="105" t="str">
        <f>IF($C614&lt;&gt;"", IF(AND($E615&lt;&gt;"", J614&lt;&gt;""), J614/($E614*$E615), 0), "")</f>
        <v/>
      </c>
      <c r="M615" s="106"/>
      <c r="R615" s="493" t="str">
        <f>IF(ISNUMBER('Model_ of_individuals'!R635), 'Model_ of_individuals'!R635*'Model_ of_individuals'!$K635,"")</f>
        <v/>
      </c>
      <c r="S615" s="493" t="str">
        <f>IF(ISNUMBER('Model_ of_individuals'!S635), 'Model_ of_individuals'!S635*'Model_ of_individuals'!$K635,"")</f>
        <v/>
      </c>
      <c r="T615" s="493" t="str">
        <f>IF(ISNUMBER('Model_ of_individuals'!T635), 'Model_ of_individuals'!T635*'Model_ of_individuals'!$K635,"")</f>
        <v/>
      </c>
      <c r="U615" s="493" t="str">
        <f>IF(ISNUMBER('Model_ of_individuals'!U635), 'Model_ of_individuals'!U635*'Model_ of_individuals'!$K635,"")</f>
        <v/>
      </c>
      <c r="V615" s="493" t="str">
        <f>IF(ISNUMBER('Model_ of_individuals'!V635), 'Model_ of_individuals'!V635*'Model_ of_individuals'!$K635,"")</f>
        <v/>
      </c>
      <c r="W615" s="493" t="str">
        <f>IF(ISNUMBER('Model_ of_individuals'!W635), 'Model_ of_individuals'!W635*'Model_ of_individuals'!$K635,"")</f>
        <v/>
      </c>
      <c r="X615" s="493" t="str">
        <f>IF(ISNUMBER('Model_ of_individuals'!X635), 'Model_ of_individuals'!X635*'Model_ of_individuals'!$K635,"")</f>
        <v/>
      </c>
      <c r="Y615" s="493" t="str">
        <f>IF(ISNUMBER('Model_ of_individuals'!Y635), 'Model_ of_individuals'!Y635*'Model_ of_individuals'!$K635,"")</f>
        <v/>
      </c>
      <c r="Z615" s="493" t="str">
        <f>IF(ISNUMBER('Model_ of_individuals'!Z635), 'Model_ of_individuals'!Z635*'Model_ of_individuals'!$K635,"")</f>
        <v/>
      </c>
      <c r="AA615" s="493" t="str">
        <f>IF(ISNUMBER('Model_ of_individuals'!AA635), 'Model_ of_individuals'!AA635*'Model_ of_individuals'!$K635,"")</f>
        <v/>
      </c>
    </row>
    <row r="616" spans="1:28" x14ac:dyDescent="0.25">
      <c r="A616" s="518"/>
      <c r="B616" s="504"/>
      <c r="C616" s="107" t="str">
        <f>IF(AND(ISNUMBER(B601), C612&lt;&gt;"", OR('Cost Inputs'!$H$161&lt;&gt;"", 'Cost Inputs'!$I$161&lt;&gt;"", 'Cost Inputs'!$J$161&lt;&gt;"")), _5_5_2, "")</f>
        <v/>
      </c>
      <c r="D616" s="93" t="str">
        <f>IF(AND(C616&lt;&gt;"", 'Cost Inputs'!$G$161&lt;&gt;""), 'Cost Inputs'!$G$161, "")</f>
        <v/>
      </c>
      <c r="E616" s="93" t="str">
        <f>IF(AND(C616&lt;&gt;"", 'Cost Inputs'!$H$161&lt;&gt;""), 'Cost Inputs'!$H$161, "")</f>
        <v/>
      </c>
      <c r="F616" s="93" t="str">
        <f>IF(AND(C616&lt;&gt;"", 'Cost Inputs'!$I$161&lt;&gt;""), 'Cost Inputs'!$I$161, "")</f>
        <v/>
      </c>
      <c r="G616" s="108" t="str">
        <f t="shared" si="52"/>
        <v/>
      </c>
      <c r="H616" s="93" t="str">
        <f>IF(AND(C616&lt;&gt;"", 'Cost Inputs'!$J$161&lt;&gt;""), 'Cost Inputs'!$J$161, "")</f>
        <v/>
      </c>
      <c r="I616" s="93" t="str">
        <f>IF($C616&lt;&gt;"", IF(AND($E616&lt;&gt;"", H616&lt;&gt;""), H616/$E616, 0),"")</f>
        <v/>
      </c>
      <c r="J616" s="93" t="str">
        <f>IF(AND(C616&lt;&gt;"",('Cost Inputs'!$I$161+'Cost Inputs'!$J$161+'Cost Inputs'!$K$161)&gt;0), 'Cost Inputs'!$I$161+'Cost Inputs'!$J$161+'Cost Inputs'!$K$161, "")</f>
        <v/>
      </c>
      <c r="K616" s="93" t="str">
        <f>IF($C616&lt;&gt;"", IF(AND($E616&lt;&gt;"", J616&lt;&gt;""), J616/$E616, 0),"")</f>
        <v/>
      </c>
      <c r="L616" s="93"/>
      <c r="M616" s="109"/>
      <c r="R616" s="93" t="str">
        <f>IF(ISNUMBER('Model_ of_individuals'!R636), 'Model_ of_individuals'!R636*'Model_ of_individuals'!$K636,"")</f>
        <v/>
      </c>
      <c r="S616" s="93" t="str">
        <f>IF(ISNUMBER('Model_ of_individuals'!S636), 'Model_ of_individuals'!S636*'Model_ of_individuals'!$K636,"")</f>
        <v/>
      </c>
      <c r="T616" s="93" t="str">
        <f>IF(ISNUMBER('Model_ of_individuals'!T636), 'Model_ of_individuals'!T636*'Model_ of_individuals'!$K636,"")</f>
        <v/>
      </c>
      <c r="U616" s="93" t="str">
        <f>IF(ISNUMBER('Model_ of_individuals'!U636), 'Model_ of_individuals'!U636*'Model_ of_individuals'!$K636,"")</f>
        <v/>
      </c>
      <c r="V616" s="93" t="str">
        <f>IF(ISNUMBER('Model_ of_individuals'!V636), 'Model_ of_individuals'!V636*'Model_ of_individuals'!$K636,"")</f>
        <v/>
      </c>
      <c r="W616" s="93" t="str">
        <f>IF(ISNUMBER('Model_ of_individuals'!W636), 'Model_ of_individuals'!W636*'Model_ of_individuals'!$K636,"")</f>
        <v/>
      </c>
      <c r="X616" s="93" t="str">
        <f>IF(ISNUMBER('Model_ of_individuals'!X636), 'Model_ of_individuals'!X636*'Model_ of_individuals'!$K636,"")</f>
        <v/>
      </c>
      <c r="Y616" s="93" t="str">
        <f>IF(ISNUMBER('Model_ of_individuals'!Y636), 'Model_ of_individuals'!Y636*'Model_ of_individuals'!$K636,"")</f>
        <v/>
      </c>
      <c r="Z616" s="93" t="str">
        <f>IF(ISNUMBER('Model_ of_individuals'!Z636), 'Model_ of_individuals'!Z636*'Model_ of_individuals'!$K636,"")</f>
        <v/>
      </c>
      <c r="AA616" s="93" t="str">
        <f>IF(ISNUMBER('Model_ of_individuals'!AA636), 'Model_ of_individuals'!AA636*'Model_ of_individuals'!$K636,"")</f>
        <v/>
      </c>
    </row>
    <row r="617" spans="1:28" x14ac:dyDescent="0.25">
      <c r="A617" s="518"/>
      <c r="B617" s="504"/>
      <c r="C617" s="104" t="str">
        <f>IF(AND(ISNUMBER(B601), C612&lt;&gt;"", OR('Cost Inputs'!$H$162&lt;&gt;"", 'Cost Inputs'!$I$162&lt;&gt;"", 'Cost Inputs'!$J$162&lt;&gt;"")), _5_5_3, "")</f>
        <v/>
      </c>
      <c r="D617" s="17" t="str">
        <f>IF(AND(C617&lt;&gt;"", 'Cost Inputs'!$G$162&lt;&gt;""), 'Cost Inputs'!$G$162, "")</f>
        <v/>
      </c>
      <c r="E617" s="17" t="str">
        <f>IF(AND(C617&lt;&gt;"", 'Cost Inputs'!$H$162&lt;&gt;""), 'Cost Inputs'!$H$162, "")</f>
        <v/>
      </c>
      <c r="F617" s="17" t="str">
        <f>IF(AND(C617&lt;&gt;"", 'Cost Inputs'!$I$162&lt;&gt;""), 'Cost Inputs'!$I$162, "")</f>
        <v/>
      </c>
      <c r="G617" s="105" t="str">
        <f t="shared" si="52"/>
        <v/>
      </c>
      <c r="H617" s="17" t="str">
        <f>IF(AND(C617&lt;&gt;"", 'Cost Inputs'!$J$162&lt;&gt;""), 'Cost Inputs'!$J$162, "")</f>
        <v/>
      </c>
      <c r="I617" s="17" t="str">
        <f>IF($C617&lt;&gt;"", IF(AND($E617&lt;&gt;"", H617&lt;&gt;""), H617/$E617, 0),"")</f>
        <v/>
      </c>
      <c r="J617" s="17" t="str">
        <f>IF(AND(C617&lt;&gt;"",('Cost Inputs'!$I$162+'Cost Inputs'!$J$162+'Cost Inputs'!$K$162)&gt;0), 'Cost Inputs'!$I$162+'Cost Inputs'!$J$162+'Cost Inputs'!$K$162, "")</f>
        <v/>
      </c>
      <c r="K617" s="17" t="str">
        <f>IF($C617&lt;&gt;"", IF(AND($E617&lt;&gt;"", J617&lt;&gt;""), J617/$E617, 0),"")</f>
        <v/>
      </c>
      <c r="M617" s="106"/>
      <c r="R617" s="17" t="str">
        <f>IF(ISNUMBER('Model_ of_individuals'!R637), 'Model_ of_individuals'!R637*'Model_ of_individuals'!$K637,"")</f>
        <v/>
      </c>
      <c r="S617" s="17" t="str">
        <f>IF(ISNUMBER('Model_ of_individuals'!S637), 'Model_ of_individuals'!S637*'Model_ of_individuals'!$K637,"")</f>
        <v/>
      </c>
      <c r="T617" s="17" t="str">
        <f>IF(ISNUMBER('Model_ of_individuals'!T637), 'Model_ of_individuals'!T637*'Model_ of_individuals'!$K637,"")</f>
        <v/>
      </c>
      <c r="U617" s="17" t="str">
        <f>IF(ISNUMBER('Model_ of_individuals'!U637), 'Model_ of_individuals'!U637*'Model_ of_individuals'!$K637,"")</f>
        <v/>
      </c>
      <c r="V617" s="17" t="str">
        <f>IF(ISNUMBER('Model_ of_individuals'!V637), 'Model_ of_individuals'!V637*'Model_ of_individuals'!$K637,"")</f>
        <v/>
      </c>
      <c r="W617" s="17" t="str">
        <f>IF(ISNUMBER('Model_ of_individuals'!W637), 'Model_ of_individuals'!W637*'Model_ of_individuals'!$K637,"")</f>
        <v/>
      </c>
      <c r="X617" s="17" t="str">
        <f>IF(ISNUMBER('Model_ of_individuals'!X637), 'Model_ of_individuals'!X637*'Model_ of_individuals'!$K637,"")</f>
        <v/>
      </c>
      <c r="Y617" s="17" t="str">
        <f>IF(ISNUMBER('Model_ of_individuals'!Y637), 'Model_ of_individuals'!Y637*'Model_ of_individuals'!$K637,"")</f>
        <v/>
      </c>
      <c r="Z617" s="17" t="str">
        <f>IF(ISNUMBER('Model_ of_individuals'!Z637), 'Model_ of_individuals'!Z637*'Model_ of_individuals'!$K637,"")</f>
        <v/>
      </c>
      <c r="AA617" s="17" t="str">
        <f>IF(ISNUMBER('Model_ of_individuals'!AA637), 'Model_ of_individuals'!AA637*'Model_ of_individuals'!$K637,"")</f>
        <v/>
      </c>
    </row>
    <row r="618" spans="1:28" x14ac:dyDescent="0.25">
      <c r="A618" s="518"/>
      <c r="B618" s="504"/>
      <c r="C618" s="107" t="str">
        <f>IF(AND(ISNUMBER(B601), C612&lt;&gt;"", OR('Cost Inputs'!$H$163&lt;&gt;"", 'Cost Inputs'!$I$163&lt;&gt;"", 'Cost Inputs'!$J$163&lt;&gt;"")), _5_5_4, "")</f>
        <v/>
      </c>
      <c r="D618" s="93" t="str">
        <f>IF(AND(C618&lt;&gt;"", 'Cost Inputs'!$G$163&lt;&gt;""), 'Cost Inputs'!$G$163, "")</f>
        <v/>
      </c>
      <c r="E618" s="93" t="str">
        <f>IF(AND(C618&lt;&gt;"", 'Cost Inputs'!$H$163&lt;&gt;""), 'Cost Inputs'!$H$163, "")</f>
        <v/>
      </c>
      <c r="F618" s="93" t="str">
        <f>IF(AND(C618&lt;&gt;"", 'Cost Inputs'!$I$163&lt;&gt;""), 'Cost Inputs'!$I$163, "")</f>
        <v/>
      </c>
      <c r="G618" s="108" t="str">
        <f t="shared" si="52"/>
        <v/>
      </c>
      <c r="H618" s="93" t="str">
        <f>IF(AND(C618&lt;&gt;"", 'Cost Inputs'!$J$163&lt;&gt;""), 'Cost Inputs'!$J$163, "")</f>
        <v/>
      </c>
      <c r="I618" s="93" t="str">
        <f>IF($C618&lt;&gt;"", IF(AND($E618&lt;&gt;"", H618&lt;&gt;""), H618/$E618, 0),"")</f>
        <v/>
      </c>
      <c r="J618" s="93" t="str">
        <f>IF(AND(C618&lt;&gt;"",('Cost Inputs'!$I$163+'Cost Inputs'!$J$163+'Cost Inputs'!$K$163)&gt;0), 'Cost Inputs'!$I$163+'Cost Inputs'!$J$163+'Cost Inputs'!$K$163, "")</f>
        <v/>
      </c>
      <c r="K618" s="93" t="str">
        <f>IF($C618&lt;&gt;"", IF(AND($E618&lt;&gt;"", J618&lt;&gt;""), J618/$E618, 0),"")</f>
        <v/>
      </c>
      <c r="L618" s="93"/>
      <c r="M618" s="109"/>
      <c r="R618" s="93" t="str">
        <f>IF(ISNUMBER('Model_ of_individuals'!R638), 'Model_ of_individuals'!R638*'Model_ of_individuals'!$K638,"")</f>
        <v/>
      </c>
      <c r="S618" s="93" t="str">
        <f>IF(ISNUMBER('Model_ of_individuals'!S638), 'Model_ of_individuals'!S638*'Model_ of_individuals'!$K638,"")</f>
        <v/>
      </c>
      <c r="T618" s="93" t="str">
        <f>IF(ISNUMBER('Model_ of_individuals'!T638), 'Model_ of_individuals'!T638*'Model_ of_individuals'!$K638,"")</f>
        <v/>
      </c>
      <c r="U618" s="93" t="str">
        <f>IF(ISNUMBER('Model_ of_individuals'!U638), 'Model_ of_individuals'!U638*'Model_ of_individuals'!$K638,"")</f>
        <v/>
      </c>
      <c r="V618" s="93" t="str">
        <f>IF(ISNUMBER('Model_ of_individuals'!V638), 'Model_ of_individuals'!V638*'Model_ of_individuals'!$K638,"")</f>
        <v/>
      </c>
      <c r="W618" s="93" t="str">
        <f>IF(ISNUMBER('Model_ of_individuals'!W638), 'Model_ of_individuals'!W638*'Model_ of_individuals'!$K638,"")</f>
        <v/>
      </c>
      <c r="X618" s="93" t="str">
        <f>IF(ISNUMBER('Model_ of_individuals'!X638), 'Model_ of_individuals'!X638*'Model_ of_individuals'!$K638,"")</f>
        <v/>
      </c>
      <c r="Y618" s="93" t="str">
        <f>IF(ISNUMBER('Model_ of_individuals'!Y638), 'Model_ of_individuals'!Y638*'Model_ of_individuals'!$K638,"")</f>
        <v/>
      </c>
      <c r="Z618" s="93" t="str">
        <f>IF(ISNUMBER('Model_ of_individuals'!Z638), 'Model_ of_individuals'!Z638*'Model_ of_individuals'!$K638,"")</f>
        <v/>
      </c>
      <c r="AA618" s="93" t="str">
        <f>IF(ISNUMBER('Model_ of_individuals'!AA638), 'Model_ of_individuals'!AA638*'Model_ of_individuals'!$K638,"")</f>
        <v/>
      </c>
    </row>
    <row r="619" spans="1:28" x14ac:dyDescent="0.25">
      <c r="A619" s="518"/>
      <c r="B619" s="504"/>
      <c r="C619" s="104" t="str">
        <f>IF(AND(ISNUMBER(B601), C612&lt;&gt;"", OR('Cost Inputs'!$H$164&lt;&gt;"", 'Cost Inputs'!$I$164&lt;&gt;"", 'Cost Inputs'!$J$164&lt;&gt;"")), _5_5_5, "")</f>
        <v/>
      </c>
      <c r="D619" s="17" t="str">
        <f>IF(AND(C619&lt;&gt;"", 'Cost Inputs'!$G$164&lt;&gt;""), 'Cost Inputs'!$G$164, "")</f>
        <v/>
      </c>
      <c r="E619" s="17" t="str">
        <f>IF(AND(C619&lt;&gt;"", 'Cost Inputs'!$H$164&lt;&gt;""), 'Cost Inputs'!$H$164, "")</f>
        <v/>
      </c>
      <c r="F619" s="17" t="str">
        <f>IF(AND(C619&lt;&gt;"", 'Cost Inputs'!$I$164&lt;&gt;""), 'Cost Inputs'!$I$164, "")</f>
        <v/>
      </c>
      <c r="G619" s="105" t="str">
        <f t="shared" si="52"/>
        <v/>
      </c>
      <c r="H619" s="17" t="str">
        <f>IF(AND(C619&lt;&gt;"", 'Cost Inputs'!$J$164&lt;&gt;""), 'Cost Inputs'!$J$164, "")</f>
        <v/>
      </c>
      <c r="I619" s="17" t="str">
        <f>IF($C619&lt;&gt;"", IF(AND($E619&lt;&gt;"", H619&lt;&gt;""), H619/$E619, 0),"")</f>
        <v/>
      </c>
      <c r="J619" s="17" t="str">
        <f>IF(AND(C619&lt;&gt;"",('Cost Inputs'!$I$164+'Cost Inputs'!$J$164+'Cost Inputs'!$K$164)&gt;0), 'Cost Inputs'!$I$164+'Cost Inputs'!$J$164+'Cost Inputs'!$K$164, "")</f>
        <v/>
      </c>
      <c r="K619" s="17" t="str">
        <f>IF($C619&lt;&gt;"", IF(AND($E619&lt;&gt;"", J619&lt;&gt;""), J619/$E619, 0),"")</f>
        <v/>
      </c>
      <c r="M619" s="106"/>
      <c r="R619" s="17" t="str">
        <f>IF(ISNUMBER('Model_ of_individuals'!R639), 'Model_ of_individuals'!R639*'Model_ of_individuals'!$K639,"")</f>
        <v/>
      </c>
      <c r="S619" s="17" t="str">
        <f>IF(ISNUMBER('Model_ of_individuals'!S639), 'Model_ of_individuals'!S639*'Model_ of_individuals'!$K639,"")</f>
        <v/>
      </c>
      <c r="T619" s="17" t="str">
        <f>IF(ISNUMBER('Model_ of_individuals'!T639), 'Model_ of_individuals'!T639*'Model_ of_individuals'!$K639,"")</f>
        <v/>
      </c>
      <c r="U619" s="17" t="str">
        <f>IF(ISNUMBER('Model_ of_individuals'!U639), 'Model_ of_individuals'!U639*'Model_ of_individuals'!$K639,"")</f>
        <v/>
      </c>
      <c r="V619" s="17" t="str">
        <f>IF(ISNUMBER('Model_ of_individuals'!V639), 'Model_ of_individuals'!V639*'Model_ of_individuals'!$K639,"")</f>
        <v/>
      </c>
      <c r="W619" s="17" t="str">
        <f>IF(ISNUMBER('Model_ of_individuals'!W639), 'Model_ of_individuals'!W639*'Model_ of_individuals'!$K639,"")</f>
        <v/>
      </c>
      <c r="X619" s="17" t="str">
        <f>IF(ISNUMBER('Model_ of_individuals'!X639), 'Model_ of_individuals'!X639*'Model_ of_individuals'!$K639,"")</f>
        <v/>
      </c>
      <c r="Y619" s="17" t="str">
        <f>IF(ISNUMBER('Model_ of_individuals'!Y639), 'Model_ of_individuals'!Y639*'Model_ of_individuals'!$K639,"")</f>
        <v/>
      </c>
      <c r="Z619" s="17" t="str">
        <f>IF(ISNUMBER('Model_ of_individuals'!Z639), 'Model_ of_individuals'!Z639*'Model_ of_individuals'!$K639,"")</f>
        <v/>
      </c>
      <c r="AA619" s="17" t="str">
        <f>IF(ISNUMBER('Model_ of_individuals'!AA639), 'Model_ of_individuals'!AA639*'Model_ of_individuals'!$K639,"")</f>
        <v/>
      </c>
    </row>
    <row r="620" spans="1:28" x14ac:dyDescent="0.25">
      <c r="A620" s="518"/>
      <c r="B620" s="504"/>
      <c r="C620" s="110" t="str">
        <f>IF(ISNUMBER(B601), _5_6_0, "")</f>
        <v/>
      </c>
      <c r="D620" s="94" t="str">
        <f>IF(AND(C620&lt;&gt;"", 'Cost Inputs'!$G$165&lt;&gt;""), 'Cost Inputs'!$G$165, "")</f>
        <v/>
      </c>
      <c r="E620" s="94" t="str">
        <f>IF(AND(C620&lt;&gt;"", 'Cost Inputs'!$H$165&lt;&gt;""), 'Cost Inputs'!$H$165, "")</f>
        <v/>
      </c>
      <c r="F620" s="94" t="str">
        <f>IF(AND(C620&lt;&gt;"", 'Cost Inputs'!$I$165&lt;&gt;""), 'Cost Inputs'!$I$165, "")</f>
        <v/>
      </c>
      <c r="G620" s="102" t="str">
        <f t="shared" si="52"/>
        <v/>
      </c>
      <c r="H620" s="94" t="str">
        <f>IF(AND(C620&lt;&gt;"", 'Cost Inputs'!$J$165&lt;&gt;""), 'Cost Inputs'!$J$165, "")</f>
        <v/>
      </c>
      <c r="I620" s="102" t="str">
        <f>IF($C620&lt;&gt;"",IF(AND($E620&lt;&gt;"",H620&lt;&gt;""), H620/$E620, 0),"")</f>
        <v/>
      </c>
      <c r="J620" s="94" t="str">
        <f>IF(AND(C620&lt;&gt;"",('Cost Inputs'!$I$165+'Cost Inputs'!$J$165+'Cost Inputs'!$K$165)&gt;0), 'Cost Inputs'!$I$165+'Cost Inputs'!$J$165+'Cost Inputs'!$K$165, "")</f>
        <v/>
      </c>
      <c r="K620" s="102" t="str">
        <f>IF($C620&lt;&gt;"",IF(AND($E620&lt;&gt;"",J620&lt;&gt;""), J620/$E620, 0),"")</f>
        <v/>
      </c>
      <c r="L620" s="94"/>
      <c r="M620" s="103"/>
      <c r="R620" s="94" t="str">
        <f>IF(ISNUMBER('Model_ of_individuals'!R640), 'Model_ of_individuals'!R640*'Model_ of_individuals'!$K640,"")</f>
        <v/>
      </c>
      <c r="S620" s="94" t="str">
        <f>IF(ISNUMBER('Model_ of_individuals'!S640), 'Model_ of_individuals'!S640*'Model_ of_individuals'!$K640,"")</f>
        <v/>
      </c>
      <c r="T620" s="94" t="str">
        <f>IF(ISNUMBER('Model_ of_individuals'!T640), 'Model_ of_individuals'!T640*'Model_ of_individuals'!$K640,"")</f>
        <v/>
      </c>
      <c r="U620" s="94" t="str">
        <f>IF(ISNUMBER('Model_ of_individuals'!U640), 'Model_ of_individuals'!U640*'Model_ of_individuals'!$K640,"")</f>
        <v/>
      </c>
      <c r="V620" s="94" t="str">
        <f>IF(ISNUMBER('Model_ of_individuals'!V640), 'Model_ of_individuals'!V640*'Model_ of_individuals'!$K640,"")</f>
        <v/>
      </c>
      <c r="W620" s="94" t="str">
        <f>IF(ISNUMBER('Model_ of_individuals'!W640), 'Model_ of_individuals'!W640*'Model_ of_individuals'!$K640,"")</f>
        <v/>
      </c>
      <c r="X620" s="94" t="str">
        <f>IF(ISNUMBER('Model_ of_individuals'!X640), 'Model_ of_individuals'!X640*'Model_ of_individuals'!$K640,"")</f>
        <v/>
      </c>
      <c r="Y620" s="94" t="str">
        <f>IF(ISNUMBER('Model_ of_individuals'!Y640), 'Model_ of_individuals'!Y640*'Model_ of_individuals'!$K640,"")</f>
        <v/>
      </c>
      <c r="Z620" s="94" t="str">
        <f>IF(ISNUMBER('Model_ of_individuals'!Z640), 'Model_ of_individuals'!Z640*'Model_ of_individuals'!$K640,"")</f>
        <v/>
      </c>
      <c r="AA620" s="94" t="str">
        <f>IF(ISNUMBER('Model_ of_individuals'!AA640), 'Model_ of_individuals'!AA640*'Model_ of_individuals'!$K640,"")</f>
        <v/>
      </c>
    </row>
    <row r="621" spans="1:28" x14ac:dyDescent="0.25">
      <c r="A621" s="518"/>
      <c r="B621" s="504"/>
      <c r="C621" s="104" t="str">
        <f>IF(AND(ISNUMBER(B601), OR('Cost Inputs'!$H$166&lt;&gt;"", 'Cost Inputs'!$I$166&lt;&gt;"", 'Cost Inputs'!$J$166&lt;&gt;"")), _5_6_1, "")</f>
        <v/>
      </c>
      <c r="D621" s="17" t="str">
        <f>IF(AND(C621&lt;&gt;"", 'Cost Inputs'!$G$166&lt;&gt;""), 'Cost Inputs'!$G$166, "")</f>
        <v/>
      </c>
      <c r="E621" s="17" t="str">
        <f>IF(AND(C621&lt;&gt;"", 'Cost Inputs'!$H$166&lt;&gt;""), 'Cost Inputs'!$H$166, "")</f>
        <v/>
      </c>
      <c r="F621" s="17" t="str">
        <f>IF(AND(C621&lt;&gt;"", 'Cost Inputs'!$I$166&lt;&gt;""), 'Cost Inputs'!$I$166, "")</f>
        <v/>
      </c>
      <c r="G621" s="105" t="str">
        <f t="shared" si="52"/>
        <v/>
      </c>
      <c r="H621" s="17" t="str">
        <f>IF(AND(C621&lt;&gt;"", 'Cost Inputs'!$J$166&lt;&gt;""), 'Cost Inputs'!$J$166, "")</f>
        <v/>
      </c>
      <c r="I621" s="17" t="str">
        <f>IF($C621&lt;&gt;"", IF(AND($E621&lt;&gt;"", H621&lt;&gt;""), H621/$E621, 0),"")</f>
        <v/>
      </c>
      <c r="J621" s="17" t="str">
        <f>IF(AND(C621&lt;&gt;"",('Cost Inputs'!$I$166+'Cost Inputs'!$J$166+'Cost Inputs'!$K$166)&gt;0), 'Cost Inputs'!$I$166+'Cost Inputs'!$J$166+'Cost Inputs'!$K$166, "")</f>
        <v/>
      </c>
      <c r="K621" s="17" t="str">
        <f>IF($C621&lt;&gt;"", IF(AND($E621&lt;&gt;"", J621&lt;&gt;""), J621/$E621, 0),"")</f>
        <v/>
      </c>
      <c r="M621" s="106"/>
      <c r="R621" s="17" t="str">
        <f>IF(ISNUMBER('Model_ of_individuals'!R641), 'Model_ of_individuals'!R641*'Model_ of_individuals'!$K641,"")</f>
        <v/>
      </c>
      <c r="S621" s="17" t="str">
        <f>IF(ISNUMBER('Model_ of_individuals'!S641), 'Model_ of_individuals'!S641*'Model_ of_individuals'!$K641,"")</f>
        <v/>
      </c>
      <c r="T621" s="17" t="str">
        <f>IF(ISNUMBER('Model_ of_individuals'!T641), 'Model_ of_individuals'!T641*'Model_ of_individuals'!$K641,"")</f>
        <v/>
      </c>
      <c r="U621" s="17" t="str">
        <f>IF(ISNUMBER('Model_ of_individuals'!U641), 'Model_ of_individuals'!U641*'Model_ of_individuals'!$K641,"")</f>
        <v/>
      </c>
      <c r="V621" s="17" t="str">
        <f>IF(ISNUMBER('Model_ of_individuals'!V641), 'Model_ of_individuals'!V641*'Model_ of_individuals'!$K641,"")</f>
        <v/>
      </c>
      <c r="W621" s="17" t="str">
        <f>IF(ISNUMBER('Model_ of_individuals'!W641), 'Model_ of_individuals'!W641*'Model_ of_individuals'!$K641,"")</f>
        <v/>
      </c>
      <c r="X621" s="17" t="str">
        <f>IF(ISNUMBER('Model_ of_individuals'!X641), 'Model_ of_individuals'!X641*'Model_ of_individuals'!$K641,"")</f>
        <v/>
      </c>
      <c r="Y621" s="17" t="str">
        <f>IF(ISNUMBER('Model_ of_individuals'!Y641), 'Model_ of_individuals'!Y641*'Model_ of_individuals'!$K641,"")</f>
        <v/>
      </c>
      <c r="Z621" s="17" t="str">
        <f>IF(ISNUMBER('Model_ of_individuals'!Z641), 'Model_ of_individuals'!Z641*'Model_ of_individuals'!$K641,"")</f>
        <v/>
      </c>
      <c r="AA621" s="17" t="str">
        <f>IF(ISNUMBER('Model_ of_individuals'!AA641), 'Model_ of_individuals'!AA641*'Model_ of_individuals'!$K641,"")</f>
        <v/>
      </c>
    </row>
    <row r="622" spans="1:28" ht="15.75" thickBot="1" x14ac:dyDescent="0.3">
      <c r="A622" s="518"/>
      <c r="B622" s="505"/>
      <c r="C622" s="111" t="str">
        <f>IF(AND(ISNUMBER(B601), OR('Cost Inputs'!$H$167&lt;&gt;"", 'Cost Inputs'!$I$167&lt;&gt;"", 'Cost Inputs'!$J$167&lt;&gt;"")), _5_6_2, "")</f>
        <v/>
      </c>
      <c r="D622" s="95" t="str">
        <f>IF(AND(C622&lt;&gt;"", 'Cost Inputs'!$G$167&lt;&gt;""), 'Cost Inputs'!$G$167, "")</f>
        <v/>
      </c>
      <c r="E622" s="95" t="str">
        <f>IF(AND(C622&lt;&gt;"", 'Cost Inputs'!$H$167&lt;&gt;""), 'Cost Inputs'!$H$167, "")</f>
        <v/>
      </c>
      <c r="F622" s="95" t="str">
        <f>IF(AND(C622&lt;&gt;"", 'Cost Inputs'!$I$167&lt;&gt;""), 'Cost Inputs'!$I$167, "")</f>
        <v/>
      </c>
      <c r="G622" s="112" t="str">
        <f t="shared" si="52"/>
        <v/>
      </c>
      <c r="H622" s="95" t="str">
        <f>IF(AND(C622&lt;&gt;"", 'Cost Inputs'!$J$167&lt;&gt;""), 'Cost Inputs'!$J$167, "")</f>
        <v/>
      </c>
      <c r="I622" s="95" t="str">
        <f>IF($C622&lt;&gt;"", IF(AND($E622&lt;&gt;"", H622&lt;&gt;""), H622/$E622, 0),"")</f>
        <v/>
      </c>
      <c r="J622" s="95" t="str">
        <f>IF(AND(C622&lt;&gt;"",('Cost Inputs'!$I$167+'Cost Inputs'!$J$167+'Cost Inputs'!$K$167)&gt;0), 'Cost Inputs'!$I$167+'Cost Inputs'!$J$167+'Cost Inputs'!$K$167, "")</f>
        <v/>
      </c>
      <c r="K622" s="95" t="str">
        <f>IF($C622&lt;&gt;"", IF(AND($E622&lt;&gt;"", J622&lt;&gt;""), J622/$E622, 0),"")</f>
        <v/>
      </c>
      <c r="L622" s="95"/>
      <c r="M622" s="113"/>
      <c r="R622" s="95" t="str">
        <f>IF(ISNUMBER('Model_ of_individuals'!R642), 'Model_ of_individuals'!R642*'Model_ of_individuals'!$K642,"")</f>
        <v/>
      </c>
      <c r="S622" s="95" t="str">
        <f>IF(ISNUMBER('Model_ of_individuals'!S642), 'Model_ of_individuals'!S642*'Model_ of_individuals'!$K642,"")</f>
        <v/>
      </c>
      <c r="T622" s="95" t="str">
        <f>IF(ISNUMBER('Model_ of_individuals'!T642), 'Model_ of_individuals'!T642*'Model_ of_individuals'!$K642,"")</f>
        <v/>
      </c>
      <c r="U622" s="95" t="str">
        <f>IF(ISNUMBER('Model_ of_individuals'!U642), 'Model_ of_individuals'!U642*'Model_ of_individuals'!$K642,"")</f>
        <v/>
      </c>
      <c r="V622" s="95" t="str">
        <f>IF(ISNUMBER('Model_ of_individuals'!V642), 'Model_ of_individuals'!V642*'Model_ of_individuals'!$K642,"")</f>
        <v/>
      </c>
      <c r="W622" s="95" t="str">
        <f>IF(ISNUMBER('Model_ of_individuals'!W642), 'Model_ of_individuals'!W642*'Model_ of_individuals'!$K642,"")</f>
        <v/>
      </c>
      <c r="X622" s="95" t="str">
        <f>IF(ISNUMBER('Model_ of_individuals'!X642), 'Model_ of_individuals'!X642*'Model_ of_individuals'!$K642,"")</f>
        <v/>
      </c>
      <c r="Y622" s="95" t="str">
        <f>IF(ISNUMBER('Model_ of_individuals'!Y642), 'Model_ of_individuals'!Y642*'Model_ of_individuals'!$K642,"")</f>
        <v/>
      </c>
      <c r="Z622" s="95" t="str">
        <f>IF(ISNUMBER('Model_ of_individuals'!Z642), 'Model_ of_individuals'!Z642*'Model_ of_individuals'!$K642,"")</f>
        <v/>
      </c>
      <c r="AA622" s="95" t="str">
        <f>IF(ISNUMBER('Model_ of_individuals'!AA642), 'Model_ of_individuals'!AA642*'Model_ of_individuals'!$K642,"")</f>
        <v/>
      </c>
    </row>
    <row r="623" spans="1:28" x14ac:dyDescent="0.25">
      <c r="A623" s="518" t="str">
        <f>Fifth_Stage</f>
        <v>Stage 3 Clonal Replication with Increased Repetitions</v>
      </c>
      <c r="B623" s="503" t="str">
        <f>'Breeding Inputs'!B105</f>
        <v/>
      </c>
      <c r="C623" s="520" t="str">
        <f>IF(ISNUMBER(B623), _5_3_0, "")</f>
        <v/>
      </c>
      <c r="D623" s="92" t="str">
        <f>IF(AND(C623&lt;&gt;"", 'Cost Inputs'!$G$146&lt;&gt;""), 'Cost Inputs'!$G$146, "")</f>
        <v/>
      </c>
      <c r="E623" s="92" t="str">
        <f>IF(AND(C623&lt;&gt;"", 'Cost Inputs'!$H$146&lt;&gt;""), 'Cost Inputs'!$H$146, "")</f>
        <v/>
      </c>
      <c r="F623" s="522" t="str">
        <f>IF(AND(C623&lt;&gt;"", 'Cost Inputs'!$I$146&lt;&gt;""), 'Cost Inputs'!$I$146, "")</f>
        <v/>
      </c>
      <c r="G623" s="100" t="str">
        <f t="shared" si="52"/>
        <v/>
      </c>
      <c r="H623" s="522" t="str">
        <f>IF(AND(C623&lt;&gt;"", 'Cost Inputs'!$J$146&lt;&gt;""), 'Cost Inputs'!$J$146, "")</f>
        <v/>
      </c>
      <c r="I623" s="100" t="str">
        <f>IF($C623&lt;&gt;"",IF(AND($E623&lt;&gt;"",H623&lt;&gt;""), H623/$E623, 0),"")</f>
        <v/>
      </c>
      <c r="J623" s="522" t="str">
        <f>IF(AND(C623&lt;&gt;"",('Cost Inputs'!$I$146+'Cost Inputs'!$J$146+'Cost Inputs'!$K$146)&gt;0), 'Cost Inputs'!$I$146+'Cost Inputs'!$J$146+'Cost Inputs'!$K$146, "")</f>
        <v/>
      </c>
      <c r="K623" s="100" t="str">
        <f>IF($C623&lt;&gt;"",IF(AND($E623&lt;&gt;"",J623&lt;&gt;""), J623/$E623, 0),"")</f>
        <v/>
      </c>
      <c r="L623" s="92"/>
      <c r="M623" s="101"/>
      <c r="S623" s="492" t="str">
        <f>IF(ISNUMBER('Model_ of_individuals'!S643), 'Model_ of_individuals'!S643*'Model_ of_individuals'!$K643,"")</f>
        <v/>
      </c>
      <c r="T623" s="492" t="str">
        <f>IF(ISNUMBER('Model_ of_individuals'!T643), 'Model_ of_individuals'!T643*'Model_ of_individuals'!$K643,"")</f>
        <v/>
      </c>
      <c r="U623" s="492" t="str">
        <f>IF(ISNUMBER('Model_ of_individuals'!U643), 'Model_ of_individuals'!U643*'Model_ of_individuals'!$K643,"")</f>
        <v/>
      </c>
      <c r="V623" s="492" t="str">
        <f>IF(ISNUMBER('Model_ of_individuals'!V643), 'Model_ of_individuals'!V643*'Model_ of_individuals'!$K643,"")</f>
        <v/>
      </c>
      <c r="W623" s="492" t="str">
        <f>IF(ISNUMBER('Model_ of_individuals'!W643), 'Model_ of_individuals'!W643*'Model_ of_individuals'!$K643,"")</f>
        <v/>
      </c>
      <c r="X623" s="492" t="str">
        <f>IF(ISNUMBER('Model_ of_individuals'!X643), 'Model_ of_individuals'!X643*'Model_ of_individuals'!$K643,"")</f>
        <v/>
      </c>
      <c r="Y623" s="492" t="str">
        <f>IF(ISNUMBER('Model_ of_individuals'!Y643), 'Model_ of_individuals'!Y643*'Model_ of_individuals'!$K643,"")</f>
        <v/>
      </c>
      <c r="Z623" s="492" t="str">
        <f>IF(ISNUMBER('Model_ of_individuals'!Z643), 'Model_ of_individuals'!Z643*'Model_ of_individuals'!$K643,"")</f>
        <v/>
      </c>
      <c r="AA623" s="492" t="str">
        <f>IF(ISNUMBER('Model_ of_individuals'!AA643), 'Model_ of_individuals'!AA643*'Model_ of_individuals'!$K643,"")</f>
        <v/>
      </c>
      <c r="AB623" s="492" t="str">
        <f>IF(ISNUMBER('Model_ of_individuals'!AB643), 'Model_ of_individuals'!AB643*'Model_ of_individuals'!$K643,"")</f>
        <v/>
      </c>
    </row>
    <row r="624" spans="1:28" x14ac:dyDescent="0.25">
      <c r="A624" s="518"/>
      <c r="B624" s="504"/>
      <c r="C624" s="521"/>
      <c r="D624" s="94" t="str">
        <f>IF(AND(C623&lt;&gt;"", 'Cost Inputs'!$G$147&lt;&gt;""), 'Cost Inputs'!$G$147, "")</f>
        <v/>
      </c>
      <c r="E624" s="94" t="str">
        <f>IF(AND(C623&lt;&gt;"", 'Cost Inputs'!$H$147&lt;&gt;""), 'Cost Inputs'!$H$147, "")</f>
        <v/>
      </c>
      <c r="F624" s="492"/>
      <c r="G624" s="102" t="str">
        <f t="shared" si="52"/>
        <v/>
      </c>
      <c r="H624" s="492"/>
      <c r="I624" s="102" t="str">
        <f>IF($C623&lt;&gt;"", IF(AND($E624&lt;&gt;"", H623&lt;&gt;""), H623/($E623*$E624), 0), "")</f>
        <v/>
      </c>
      <c r="J624" s="492" t="str">
        <f>IF(AND(C624&lt;&gt;"",('Cost Inputs'!$I$86+'Cost Inputs'!$J$86+'Cost Inputs'!$K$86)&gt;0), 'Cost Inputs'!$I$86+'Cost Inputs'!$J$86+'Cost Inputs'!$K$86, "")</f>
        <v/>
      </c>
      <c r="K624" s="102" t="str">
        <f>IF($C623&lt;&gt;"", IF(AND($E624&lt;&gt;"", J623&lt;&gt;""), J623/($E623*$E624), 0), "")</f>
        <v/>
      </c>
      <c r="L624" s="94"/>
      <c r="M624" s="103"/>
      <c r="S624" s="492" t="str">
        <f>IF(ISNUMBER('Model_ of_individuals'!S644), 'Model_ of_individuals'!S644*'Model_ of_individuals'!$K644,"")</f>
        <v/>
      </c>
      <c r="T624" s="492" t="str">
        <f>IF(ISNUMBER('Model_ of_individuals'!T644), 'Model_ of_individuals'!T644*'Model_ of_individuals'!$K644,"")</f>
        <v/>
      </c>
      <c r="U624" s="492" t="str">
        <f>IF(ISNUMBER('Model_ of_individuals'!U644), 'Model_ of_individuals'!U644*'Model_ of_individuals'!$K644,"")</f>
        <v/>
      </c>
      <c r="V624" s="492" t="str">
        <f>IF(ISNUMBER('Model_ of_individuals'!V644), 'Model_ of_individuals'!V644*'Model_ of_individuals'!$K644,"")</f>
        <v/>
      </c>
      <c r="W624" s="492" t="str">
        <f>IF(ISNUMBER('Model_ of_individuals'!W644), 'Model_ of_individuals'!W644*'Model_ of_individuals'!$K644,"")</f>
        <v/>
      </c>
      <c r="X624" s="492" t="str">
        <f>IF(ISNUMBER('Model_ of_individuals'!X644), 'Model_ of_individuals'!X644*'Model_ of_individuals'!$K644,"")</f>
        <v/>
      </c>
      <c r="Y624" s="492" t="str">
        <f>IF(ISNUMBER('Model_ of_individuals'!Y644), 'Model_ of_individuals'!Y644*'Model_ of_individuals'!$K644,"")</f>
        <v/>
      </c>
      <c r="Z624" s="492" t="str">
        <f>IF(ISNUMBER('Model_ of_individuals'!Z644), 'Model_ of_individuals'!Z644*'Model_ of_individuals'!$K644,"")</f>
        <v/>
      </c>
      <c r="AA624" s="492" t="str">
        <f>IF(ISNUMBER('Model_ of_individuals'!AA644), 'Model_ of_individuals'!AA644*'Model_ of_individuals'!$K644,"")</f>
        <v/>
      </c>
      <c r="AB624" s="492" t="str">
        <f>IF(ISNUMBER('Model_ of_individuals'!AB644), 'Model_ of_individuals'!AB644*'Model_ of_individuals'!$K644,"")</f>
        <v/>
      </c>
    </row>
    <row r="625" spans="1:28" x14ac:dyDescent="0.25">
      <c r="A625" s="518"/>
      <c r="B625" s="504"/>
      <c r="C625" s="104" t="str">
        <f>IF(AND(ISNUMBER(B623), OR('Cost Inputs'!$H$148&lt;&gt;"", 'Cost Inputs'!$I$148&lt;&gt;"", 'Cost Inputs'!$J$148&lt;&gt;"")), _5_3_1, "")</f>
        <v/>
      </c>
      <c r="D625" s="17" t="str">
        <f>IF(AND(C625&lt;&gt;"", 'Cost Inputs'!$G$148&lt;&gt;""), 'Cost Inputs'!$G$148, "")</f>
        <v/>
      </c>
      <c r="E625" s="17" t="str">
        <f>IF(AND(C625&lt;&gt;"", 'Cost Inputs'!$H$148&lt;&gt;""), 'Cost Inputs'!$H$148, "")</f>
        <v/>
      </c>
      <c r="F625" s="17" t="str">
        <f>IF(AND(C625&lt;&gt;"", 'Cost Inputs'!$I$148&lt;&gt;""), 'Cost Inputs'!$I$148, "")</f>
        <v/>
      </c>
      <c r="G625" s="105" t="str">
        <f t="shared" si="52"/>
        <v/>
      </c>
      <c r="H625" s="17" t="str">
        <f>IF(AND(C625&lt;&gt;"", 'Cost Inputs'!$J$148&lt;&gt;""), 'Cost Inputs'!$J$148, "")</f>
        <v/>
      </c>
      <c r="I625" s="17" t="str">
        <f t="shared" ref="I625:I633" si="55">IF($C625&lt;&gt;"", IF(AND($E625&lt;&gt;"", H625&lt;&gt;""), H625/$E625, 0),"")</f>
        <v/>
      </c>
      <c r="J625" s="17" t="str">
        <f>IF(AND(C625&lt;&gt;"",('Cost Inputs'!$I$148+'Cost Inputs'!$J$148+'Cost Inputs'!$K$148)&gt;0), 'Cost Inputs'!$I$148+'Cost Inputs'!$J$148+'Cost Inputs'!$K$148, "")</f>
        <v/>
      </c>
      <c r="K625" s="17" t="str">
        <f t="shared" ref="K625:K633" si="56">IF($C625&lt;&gt;"", IF(AND($E625&lt;&gt;"", J625&lt;&gt;""), J625/$E625, 0),"")</f>
        <v/>
      </c>
      <c r="M625" s="106"/>
      <c r="S625" s="17" t="str">
        <f>IF(ISNUMBER('Model_ of_individuals'!S645), 'Model_ of_individuals'!S645*'Model_ of_individuals'!$K645,"")</f>
        <v/>
      </c>
      <c r="T625" s="17" t="str">
        <f>IF(ISNUMBER('Model_ of_individuals'!T645), 'Model_ of_individuals'!T645*'Model_ of_individuals'!$K645,"")</f>
        <v/>
      </c>
      <c r="U625" s="17" t="str">
        <f>IF(ISNUMBER('Model_ of_individuals'!U645), 'Model_ of_individuals'!U645*'Model_ of_individuals'!$K645,"")</f>
        <v/>
      </c>
      <c r="V625" s="17" t="str">
        <f>IF(ISNUMBER('Model_ of_individuals'!V645), 'Model_ of_individuals'!V645*'Model_ of_individuals'!$K645,"")</f>
        <v/>
      </c>
      <c r="W625" s="17" t="str">
        <f>IF(ISNUMBER('Model_ of_individuals'!W645), 'Model_ of_individuals'!W645*'Model_ of_individuals'!$K645,"")</f>
        <v/>
      </c>
      <c r="X625" s="17" t="str">
        <f>IF(ISNUMBER('Model_ of_individuals'!X645), 'Model_ of_individuals'!X645*'Model_ of_individuals'!$K645,"")</f>
        <v/>
      </c>
      <c r="Y625" s="17" t="str">
        <f>IF(ISNUMBER('Model_ of_individuals'!Y645), 'Model_ of_individuals'!Y645*'Model_ of_individuals'!$K645,"")</f>
        <v/>
      </c>
      <c r="Z625" s="17" t="str">
        <f>IF(ISNUMBER('Model_ of_individuals'!Z645), 'Model_ of_individuals'!Z645*'Model_ of_individuals'!$K645,"")</f>
        <v/>
      </c>
      <c r="AA625" s="17" t="str">
        <f>IF(ISNUMBER('Model_ of_individuals'!AA645), 'Model_ of_individuals'!AA645*'Model_ of_individuals'!$K645,"")</f>
        <v/>
      </c>
      <c r="AB625" s="17" t="str">
        <f>IF(ISNUMBER('Model_ of_individuals'!AB645), 'Model_ of_individuals'!AB645*'Model_ of_individuals'!$K645,"")</f>
        <v/>
      </c>
    </row>
    <row r="626" spans="1:28" x14ac:dyDescent="0.25">
      <c r="A626" s="518"/>
      <c r="B626" s="504"/>
      <c r="C626" s="107" t="str">
        <f>IF(AND(ISNUMBER(B623), OR('Cost Inputs'!$H$149&lt;&gt;"", 'Cost Inputs'!$I$149&lt;&gt;"", 'Cost Inputs'!$J$149&lt;&gt;"")), _5_3_2, "")</f>
        <v/>
      </c>
      <c r="D626" s="93" t="str">
        <f>IF(AND(C626&lt;&gt;"", 'Cost Inputs'!$G$149&lt;&gt;""), 'Cost Inputs'!$G$149, "")</f>
        <v/>
      </c>
      <c r="E626" s="93" t="str">
        <f>IF(AND(C626&lt;&gt;"", 'Cost Inputs'!$H$149&lt;&gt;""), 'Cost Inputs'!$H$149, "")</f>
        <v/>
      </c>
      <c r="F626" s="93" t="str">
        <f>IF(AND(C626&lt;&gt;"", 'Cost Inputs'!$I$149&lt;&gt;""), 'Cost Inputs'!$I$149, "")</f>
        <v/>
      </c>
      <c r="G626" s="108" t="str">
        <f t="shared" si="52"/>
        <v/>
      </c>
      <c r="H626" s="93" t="str">
        <f>IF(AND(C626&lt;&gt;"", 'Cost Inputs'!$J$149&lt;&gt;""), 'Cost Inputs'!$J$149, "")</f>
        <v/>
      </c>
      <c r="I626" s="93" t="str">
        <f t="shared" si="55"/>
        <v/>
      </c>
      <c r="J626" s="93" t="str">
        <f>IF(AND(C626&lt;&gt;"",('Cost Inputs'!$I$149+'Cost Inputs'!$J$149+'Cost Inputs'!$K$149)&gt;0), 'Cost Inputs'!$I$149+'Cost Inputs'!$J$149+'Cost Inputs'!$K$149, "")</f>
        <v/>
      </c>
      <c r="K626" s="93" t="str">
        <f t="shared" si="56"/>
        <v/>
      </c>
      <c r="L626" s="93"/>
      <c r="M626" s="109"/>
      <c r="S626" s="93" t="str">
        <f>IF(ISNUMBER('Model_ of_individuals'!S646), 'Model_ of_individuals'!S646*'Model_ of_individuals'!$K646,"")</f>
        <v/>
      </c>
      <c r="T626" s="93" t="str">
        <f>IF(ISNUMBER('Model_ of_individuals'!T646), 'Model_ of_individuals'!T646*'Model_ of_individuals'!$K646,"")</f>
        <v/>
      </c>
      <c r="U626" s="93" t="str">
        <f>IF(ISNUMBER('Model_ of_individuals'!U646), 'Model_ of_individuals'!U646*'Model_ of_individuals'!$K646,"")</f>
        <v/>
      </c>
      <c r="V626" s="93" t="str">
        <f>IF(ISNUMBER('Model_ of_individuals'!V646), 'Model_ of_individuals'!V646*'Model_ of_individuals'!$K646,"")</f>
        <v/>
      </c>
      <c r="W626" s="93" t="str">
        <f>IF(ISNUMBER('Model_ of_individuals'!W646), 'Model_ of_individuals'!W646*'Model_ of_individuals'!$K646,"")</f>
        <v/>
      </c>
      <c r="X626" s="93" t="str">
        <f>IF(ISNUMBER('Model_ of_individuals'!X646), 'Model_ of_individuals'!X646*'Model_ of_individuals'!$K646,"")</f>
        <v/>
      </c>
      <c r="Y626" s="93" t="str">
        <f>IF(ISNUMBER('Model_ of_individuals'!Y646), 'Model_ of_individuals'!Y646*'Model_ of_individuals'!$K646,"")</f>
        <v/>
      </c>
      <c r="Z626" s="93" t="str">
        <f>IF(ISNUMBER('Model_ of_individuals'!Z646), 'Model_ of_individuals'!Z646*'Model_ of_individuals'!$K646,"")</f>
        <v/>
      </c>
      <c r="AA626" s="93" t="str">
        <f>IF(ISNUMBER('Model_ of_individuals'!AA646), 'Model_ of_individuals'!AA646*'Model_ of_individuals'!$K646,"")</f>
        <v/>
      </c>
      <c r="AB626" s="93" t="str">
        <f>IF(ISNUMBER('Model_ of_individuals'!AB646), 'Model_ of_individuals'!AB646*'Model_ of_individuals'!$K646,"")</f>
        <v/>
      </c>
    </row>
    <row r="627" spans="1:28" x14ac:dyDescent="0.25">
      <c r="A627" s="518"/>
      <c r="B627" s="504"/>
      <c r="C627" s="110" t="str">
        <f>IF(ISNUMBER(B623), _5_4_0, "")</f>
        <v/>
      </c>
      <c r="D627" s="94" t="str">
        <f>IF(AND(C627&lt;&gt;"", 'Cost Inputs'!$G$150&lt;&gt;""), 'Cost Inputs'!$G$150, "")</f>
        <v/>
      </c>
      <c r="E627" s="94" t="str">
        <f>IF(AND(C627&lt;&gt;"", 'Cost Inputs'!$H$150&lt;&gt;""), 'Cost Inputs'!$H$150, "")</f>
        <v/>
      </c>
      <c r="F627" s="94" t="str">
        <f>IF(AND(C627&lt;&gt;"", 'Cost Inputs'!$I$150&lt;&gt;""), 'Cost Inputs'!$I$150, "")</f>
        <v/>
      </c>
      <c r="G627" s="102" t="str">
        <f t="shared" si="52"/>
        <v/>
      </c>
      <c r="H627" s="102" t="str">
        <f>IF(AND(C627&lt;&gt;"", 'Cost Inputs'!$J$150&lt;&gt;""), 'Cost Inputs'!$J$150, "")</f>
        <v/>
      </c>
      <c r="I627" s="102" t="str">
        <f t="shared" si="55"/>
        <v/>
      </c>
      <c r="J627" s="102" t="str">
        <f>IF(AND(C627&lt;&gt;"",('Cost Inputs'!$I$150+'Cost Inputs'!$J$150+'Cost Inputs'!$K$150)&gt;0), 'Cost Inputs'!$I$150+'Cost Inputs'!$J$150+'Cost Inputs'!$K$150, "")</f>
        <v/>
      </c>
      <c r="K627" s="102" t="str">
        <f t="shared" si="56"/>
        <v/>
      </c>
      <c r="L627" s="94"/>
      <c r="M627" s="103"/>
      <c r="S627" s="102" t="str">
        <f>IF(ISNUMBER('Model_ of_individuals'!S647), 'Model_ of_individuals'!S647*'Model_ of_individuals'!$K647,"")</f>
        <v/>
      </c>
      <c r="T627" s="102" t="str">
        <f>IF(ISNUMBER('Model_ of_individuals'!T647), 'Model_ of_individuals'!T647*'Model_ of_individuals'!$K647,"")</f>
        <v/>
      </c>
      <c r="U627" s="102" t="str">
        <f>IF(ISNUMBER('Model_ of_individuals'!U647), 'Model_ of_individuals'!U647*'Model_ of_individuals'!$K647,"")</f>
        <v/>
      </c>
      <c r="V627" s="102" t="str">
        <f>IF(ISNUMBER('Model_ of_individuals'!V647), 'Model_ of_individuals'!V647*'Model_ of_individuals'!$K647,"")</f>
        <v/>
      </c>
      <c r="W627" s="102" t="str">
        <f>IF(ISNUMBER('Model_ of_individuals'!W647), 'Model_ of_individuals'!W647*'Model_ of_individuals'!$K647,"")</f>
        <v/>
      </c>
      <c r="X627" s="102" t="str">
        <f>IF(ISNUMBER('Model_ of_individuals'!X647), 'Model_ of_individuals'!X647*'Model_ of_individuals'!$K647,"")</f>
        <v/>
      </c>
      <c r="Y627" s="102" t="str">
        <f>IF(ISNUMBER('Model_ of_individuals'!Y647), 'Model_ of_individuals'!Y647*'Model_ of_individuals'!$K647,"")</f>
        <v/>
      </c>
      <c r="Z627" s="102" t="str">
        <f>IF(ISNUMBER('Model_ of_individuals'!Z647), 'Model_ of_individuals'!Z647*'Model_ of_individuals'!$K647,"")</f>
        <v/>
      </c>
      <c r="AA627" s="102" t="str">
        <f>IF(ISNUMBER('Model_ of_individuals'!AA647), 'Model_ of_individuals'!AA647*'Model_ of_individuals'!$K647,"")</f>
        <v/>
      </c>
      <c r="AB627" s="102" t="str">
        <f>IF(ISNUMBER('Model_ of_individuals'!AB647), 'Model_ of_individuals'!AB647*'Model_ of_individuals'!$K647,"")</f>
        <v/>
      </c>
    </row>
    <row r="628" spans="1:28" x14ac:dyDescent="0.25">
      <c r="A628" s="518"/>
      <c r="B628" s="504"/>
      <c r="C628" s="104" t="str">
        <f>IF(AND(ISNUMBER(B623), OR('Cost Inputs'!$H$151&lt;&gt;"", 'Cost Inputs'!$I$151&lt;&gt;"", 'Cost Inputs'!$J$151&lt;&gt;"")), _5_4_1, "")</f>
        <v/>
      </c>
      <c r="D628" s="17" t="str">
        <f>IF(AND(C628&lt;&gt;"", 'Cost Inputs'!$G$151&lt;&gt;""), 'Cost Inputs'!$G$151, "")</f>
        <v/>
      </c>
      <c r="E628" s="17" t="str">
        <f>IF(AND(C628&lt;&gt;"", 'Cost Inputs'!$H$151&lt;&gt;""), 'Cost Inputs'!$H$151, "")</f>
        <v/>
      </c>
      <c r="F628" s="17" t="str">
        <f>IF(AND(C628&lt;&gt;"", 'Cost Inputs'!$I$151&lt;&gt;""), 'Cost Inputs'!$I$151, "")</f>
        <v/>
      </c>
      <c r="G628" s="105" t="str">
        <f t="shared" si="52"/>
        <v/>
      </c>
      <c r="H628" s="17" t="str">
        <f>IF(AND(C628&lt;&gt;"", 'Cost Inputs'!$J$151&lt;&gt;""), 'Cost Inputs'!$J$151, "")</f>
        <v/>
      </c>
      <c r="I628" s="17" t="str">
        <f t="shared" si="55"/>
        <v/>
      </c>
      <c r="J628" s="17" t="str">
        <f>IF(AND(C628&lt;&gt;"",('Cost Inputs'!$I$151+'Cost Inputs'!$J$151+'Cost Inputs'!$K$151)&gt;0), 'Cost Inputs'!$I$151+'Cost Inputs'!$J$151+'Cost Inputs'!$K$151, "")</f>
        <v/>
      </c>
      <c r="K628" s="17" t="str">
        <f t="shared" si="56"/>
        <v/>
      </c>
      <c r="M628" s="106"/>
      <c r="S628" s="17" t="str">
        <f>IF(ISNUMBER('Model_ of_individuals'!S648), 'Model_ of_individuals'!S648*'Model_ of_individuals'!$K648,"")</f>
        <v/>
      </c>
      <c r="T628" s="17" t="str">
        <f>IF(ISNUMBER('Model_ of_individuals'!T648), 'Model_ of_individuals'!T648*'Model_ of_individuals'!$K648,"")</f>
        <v/>
      </c>
      <c r="U628" s="17" t="str">
        <f>IF(ISNUMBER('Model_ of_individuals'!U648), 'Model_ of_individuals'!U648*'Model_ of_individuals'!$K648,"")</f>
        <v/>
      </c>
      <c r="V628" s="17" t="str">
        <f>IF(ISNUMBER('Model_ of_individuals'!V648), 'Model_ of_individuals'!V648*'Model_ of_individuals'!$K648,"")</f>
        <v/>
      </c>
      <c r="W628" s="17" t="str">
        <f>IF(ISNUMBER('Model_ of_individuals'!W648), 'Model_ of_individuals'!W648*'Model_ of_individuals'!$K648,"")</f>
        <v/>
      </c>
      <c r="X628" s="17" t="str">
        <f>IF(ISNUMBER('Model_ of_individuals'!X648), 'Model_ of_individuals'!X648*'Model_ of_individuals'!$K648,"")</f>
        <v/>
      </c>
      <c r="Y628" s="17" t="str">
        <f>IF(ISNUMBER('Model_ of_individuals'!Y648), 'Model_ of_individuals'!Y648*'Model_ of_individuals'!$K648,"")</f>
        <v/>
      </c>
      <c r="Z628" s="17" t="str">
        <f>IF(ISNUMBER('Model_ of_individuals'!Z648), 'Model_ of_individuals'!Z648*'Model_ of_individuals'!$K648,"")</f>
        <v/>
      </c>
      <c r="AA628" s="17" t="str">
        <f>IF(ISNUMBER('Model_ of_individuals'!AA648), 'Model_ of_individuals'!AA648*'Model_ of_individuals'!$K648,"")</f>
        <v/>
      </c>
      <c r="AB628" s="17" t="str">
        <f>IF(ISNUMBER('Model_ of_individuals'!AB648), 'Model_ of_individuals'!AB648*'Model_ of_individuals'!$K648,"")</f>
        <v/>
      </c>
    </row>
    <row r="629" spans="1:28" x14ac:dyDescent="0.25">
      <c r="A629" s="518"/>
      <c r="B629" s="504"/>
      <c r="C629" s="107" t="str">
        <f>IF(AND(ISNUMBER(B623), OR('Cost Inputs'!$H$152&lt;&gt;"", 'Cost Inputs'!$I$152&lt;&gt;"", 'Cost Inputs'!$J$152&lt;&gt;"")), _5_4_2, "")</f>
        <v/>
      </c>
      <c r="D629" s="93" t="str">
        <f>IF(AND(C629&lt;&gt;"", 'Cost Inputs'!$G$152&lt;&gt;""), 'Cost Inputs'!$G$152, "")</f>
        <v/>
      </c>
      <c r="E629" s="93" t="str">
        <f>IF(AND(C629&lt;&gt;"", 'Cost Inputs'!$H$152&lt;&gt;""), 'Cost Inputs'!$H$152, "")</f>
        <v/>
      </c>
      <c r="F629" s="93" t="str">
        <f>IF(AND(C629&lt;&gt;"", 'Cost Inputs'!$I$152&lt;&gt;""), 'Cost Inputs'!$I$152, "")</f>
        <v/>
      </c>
      <c r="G629" s="108" t="str">
        <f t="shared" si="52"/>
        <v/>
      </c>
      <c r="H629" s="93" t="str">
        <f>IF(AND(C629&lt;&gt;"", 'Cost Inputs'!$J$152&lt;&gt;""), 'Cost Inputs'!$J$152, "")</f>
        <v/>
      </c>
      <c r="I629" s="93" t="str">
        <f t="shared" si="55"/>
        <v/>
      </c>
      <c r="J629" s="93" t="str">
        <f>IF(AND(C629&lt;&gt;"",('Cost Inputs'!$I$152+'Cost Inputs'!$J$152+'Cost Inputs'!$K$152)&gt;0), 'Cost Inputs'!$I$152+'Cost Inputs'!$J$152+'Cost Inputs'!$K$152, "")</f>
        <v/>
      </c>
      <c r="K629" s="93" t="str">
        <f t="shared" si="56"/>
        <v/>
      </c>
      <c r="L629" s="93"/>
      <c r="M629" s="109"/>
      <c r="S629" s="93" t="str">
        <f>IF(ISNUMBER('Model_ of_individuals'!S649), 'Model_ of_individuals'!S649*'Model_ of_individuals'!$K649,"")</f>
        <v/>
      </c>
      <c r="T629" s="93" t="str">
        <f>IF(ISNUMBER('Model_ of_individuals'!T649), 'Model_ of_individuals'!T649*'Model_ of_individuals'!$K649,"")</f>
        <v/>
      </c>
      <c r="U629" s="93" t="str">
        <f>IF(ISNUMBER('Model_ of_individuals'!U649), 'Model_ of_individuals'!U649*'Model_ of_individuals'!$K649,"")</f>
        <v/>
      </c>
      <c r="V629" s="93" t="str">
        <f>IF(ISNUMBER('Model_ of_individuals'!V649), 'Model_ of_individuals'!V649*'Model_ of_individuals'!$K649,"")</f>
        <v/>
      </c>
      <c r="W629" s="93" t="str">
        <f>IF(ISNUMBER('Model_ of_individuals'!W649), 'Model_ of_individuals'!W649*'Model_ of_individuals'!$K649,"")</f>
        <v/>
      </c>
      <c r="X629" s="93" t="str">
        <f>IF(ISNUMBER('Model_ of_individuals'!X649), 'Model_ of_individuals'!X649*'Model_ of_individuals'!$K649,"")</f>
        <v/>
      </c>
      <c r="Y629" s="93" t="str">
        <f>IF(ISNUMBER('Model_ of_individuals'!Y649), 'Model_ of_individuals'!Y649*'Model_ of_individuals'!$K649,"")</f>
        <v/>
      </c>
      <c r="Z629" s="93" t="str">
        <f>IF(ISNUMBER('Model_ of_individuals'!Z649), 'Model_ of_individuals'!Z649*'Model_ of_individuals'!$K649,"")</f>
        <v/>
      </c>
      <c r="AA629" s="93" t="str">
        <f>IF(ISNUMBER('Model_ of_individuals'!AA649), 'Model_ of_individuals'!AA649*'Model_ of_individuals'!$K649,"")</f>
        <v/>
      </c>
      <c r="AB629" s="93" t="str">
        <f>IF(ISNUMBER('Model_ of_individuals'!AB649), 'Model_ of_individuals'!AB649*'Model_ of_individuals'!$K649,"")</f>
        <v/>
      </c>
    </row>
    <row r="630" spans="1:28" x14ac:dyDescent="0.25">
      <c r="A630" s="518"/>
      <c r="B630" s="504"/>
      <c r="C630" s="104" t="str">
        <f>IF(AND(ISNUMBER(B623), OR('Cost Inputs'!$H$153&lt;&gt;"", 'Cost Inputs'!$I$153&lt;&gt;"", 'Cost Inputs'!$J$153&lt;&gt;"")), _5_4_3, "")</f>
        <v/>
      </c>
      <c r="D630" s="17" t="str">
        <f>IF(AND(C630&lt;&gt;"", 'Cost Inputs'!$G$153&lt;&gt;""), 'Cost Inputs'!$G$153, "")</f>
        <v/>
      </c>
      <c r="E630" s="17" t="str">
        <f>IF(AND(C630&lt;&gt;"", 'Cost Inputs'!$H$153&lt;&gt;""), 'Cost Inputs'!$H$153, "")</f>
        <v/>
      </c>
      <c r="F630" s="17" t="str">
        <f>IF(AND(C630&lt;&gt;"", 'Cost Inputs'!$I$153&lt;&gt;""), 'Cost Inputs'!$I$153, "")</f>
        <v/>
      </c>
      <c r="G630" s="105" t="str">
        <f t="shared" si="52"/>
        <v/>
      </c>
      <c r="H630" s="17" t="str">
        <f>IF(AND(C630&lt;&gt;"", 'Cost Inputs'!$J$153&lt;&gt;""), 'Cost Inputs'!$J$153, "")</f>
        <v/>
      </c>
      <c r="I630" s="17" t="str">
        <f t="shared" si="55"/>
        <v/>
      </c>
      <c r="J630" s="17" t="str">
        <f>IF(AND(C630&lt;&gt;"",('Cost Inputs'!$I$153+'Cost Inputs'!$J$153+'Cost Inputs'!$K$153)&gt;0), 'Cost Inputs'!$I$153+'Cost Inputs'!$J$153+'Cost Inputs'!$K$153, "")</f>
        <v/>
      </c>
      <c r="K630" s="17" t="str">
        <f t="shared" si="56"/>
        <v/>
      </c>
      <c r="M630" s="106"/>
      <c r="S630" s="17" t="str">
        <f>IF(ISNUMBER('Model_ of_individuals'!S650), 'Model_ of_individuals'!S650*'Model_ of_individuals'!$K650,"")</f>
        <v/>
      </c>
      <c r="T630" s="17" t="str">
        <f>IF(ISNUMBER('Model_ of_individuals'!T650), 'Model_ of_individuals'!T650*'Model_ of_individuals'!$K650,"")</f>
        <v/>
      </c>
      <c r="U630" s="17" t="str">
        <f>IF(ISNUMBER('Model_ of_individuals'!U650), 'Model_ of_individuals'!U650*'Model_ of_individuals'!$K650,"")</f>
        <v/>
      </c>
      <c r="V630" s="17" t="str">
        <f>IF(ISNUMBER('Model_ of_individuals'!V650), 'Model_ of_individuals'!V650*'Model_ of_individuals'!$K650,"")</f>
        <v/>
      </c>
      <c r="W630" s="17" t="str">
        <f>IF(ISNUMBER('Model_ of_individuals'!W650), 'Model_ of_individuals'!W650*'Model_ of_individuals'!$K650,"")</f>
        <v/>
      </c>
      <c r="X630" s="17" t="str">
        <f>IF(ISNUMBER('Model_ of_individuals'!X650), 'Model_ of_individuals'!X650*'Model_ of_individuals'!$K650,"")</f>
        <v/>
      </c>
      <c r="Y630" s="17" t="str">
        <f>IF(ISNUMBER('Model_ of_individuals'!Y650), 'Model_ of_individuals'!Y650*'Model_ of_individuals'!$K650,"")</f>
        <v/>
      </c>
      <c r="Z630" s="17" t="str">
        <f>IF(ISNUMBER('Model_ of_individuals'!Z650), 'Model_ of_individuals'!Z650*'Model_ of_individuals'!$K650,"")</f>
        <v/>
      </c>
      <c r="AA630" s="17" t="str">
        <f>IF(ISNUMBER('Model_ of_individuals'!AA650), 'Model_ of_individuals'!AA650*'Model_ of_individuals'!$K650,"")</f>
        <v/>
      </c>
      <c r="AB630" s="17" t="str">
        <f>IF(ISNUMBER('Model_ of_individuals'!AB650), 'Model_ of_individuals'!AB650*'Model_ of_individuals'!$K650,"")</f>
        <v/>
      </c>
    </row>
    <row r="631" spans="1:28" x14ac:dyDescent="0.25">
      <c r="A631" s="518"/>
      <c r="B631" s="504"/>
      <c r="C631" s="107" t="str">
        <f>IF(AND(ISNUMBER(B623), OR('Cost Inputs'!$H$154&lt;&gt;"", 'Cost Inputs'!$I$154&lt;&gt;"", 'Cost Inputs'!$J$154&lt;&gt;"")), _5_4_4, "")</f>
        <v/>
      </c>
      <c r="D631" s="93" t="str">
        <f>IF(AND(C631&lt;&gt;"", 'Cost Inputs'!$G$154&lt;&gt;""), 'Cost Inputs'!$G$154, "")</f>
        <v/>
      </c>
      <c r="E631" s="93" t="str">
        <f>IF(AND(C631&lt;&gt;"", 'Cost Inputs'!$H$154&lt;&gt;""), 'Cost Inputs'!$H$154, "")</f>
        <v/>
      </c>
      <c r="F631" s="93" t="str">
        <f>IF(AND(C631&lt;&gt;"", 'Cost Inputs'!$I$154&lt;&gt;""), 'Cost Inputs'!$I$154, "")</f>
        <v/>
      </c>
      <c r="G631" s="108" t="str">
        <f t="shared" si="52"/>
        <v/>
      </c>
      <c r="H631" s="93" t="str">
        <f>IF(AND(C631&lt;&gt;"", 'Cost Inputs'!$J$154&lt;&gt;""), 'Cost Inputs'!$J$154, "")</f>
        <v/>
      </c>
      <c r="I631" s="93" t="str">
        <f t="shared" si="55"/>
        <v/>
      </c>
      <c r="J631" s="93" t="str">
        <f>IF(AND(C631&lt;&gt;"",('Cost Inputs'!$I$154+'Cost Inputs'!$J$154+'Cost Inputs'!$K$154)&gt;0), 'Cost Inputs'!$I$154+'Cost Inputs'!$J$154+'Cost Inputs'!$K$154, "")</f>
        <v/>
      </c>
      <c r="K631" s="93" t="str">
        <f t="shared" si="56"/>
        <v/>
      </c>
      <c r="L631" s="93"/>
      <c r="M631" s="109"/>
      <c r="S631" s="93" t="str">
        <f>IF(ISNUMBER('Model_ of_individuals'!S651), 'Model_ of_individuals'!S651*'Model_ of_individuals'!$K651,"")</f>
        <v/>
      </c>
      <c r="T631" s="93" t="str">
        <f>IF(ISNUMBER('Model_ of_individuals'!T651), 'Model_ of_individuals'!T651*'Model_ of_individuals'!$K651,"")</f>
        <v/>
      </c>
      <c r="U631" s="93" t="str">
        <f>IF(ISNUMBER('Model_ of_individuals'!U651), 'Model_ of_individuals'!U651*'Model_ of_individuals'!$K651,"")</f>
        <v/>
      </c>
      <c r="V631" s="93" t="str">
        <f>IF(ISNUMBER('Model_ of_individuals'!V651), 'Model_ of_individuals'!V651*'Model_ of_individuals'!$K651,"")</f>
        <v/>
      </c>
      <c r="W631" s="93" t="str">
        <f>IF(ISNUMBER('Model_ of_individuals'!W651), 'Model_ of_individuals'!W651*'Model_ of_individuals'!$K651,"")</f>
        <v/>
      </c>
      <c r="X631" s="93" t="str">
        <f>IF(ISNUMBER('Model_ of_individuals'!X651), 'Model_ of_individuals'!X651*'Model_ of_individuals'!$K651,"")</f>
        <v/>
      </c>
      <c r="Y631" s="93" t="str">
        <f>IF(ISNUMBER('Model_ of_individuals'!Y651), 'Model_ of_individuals'!Y651*'Model_ of_individuals'!$K651,"")</f>
        <v/>
      </c>
      <c r="Z631" s="93" t="str">
        <f>IF(ISNUMBER('Model_ of_individuals'!Z651), 'Model_ of_individuals'!Z651*'Model_ of_individuals'!$K651,"")</f>
        <v/>
      </c>
      <c r="AA631" s="93" t="str">
        <f>IF(ISNUMBER('Model_ of_individuals'!AA651), 'Model_ of_individuals'!AA651*'Model_ of_individuals'!$K651,"")</f>
        <v/>
      </c>
      <c r="AB631" s="93" t="str">
        <f>IF(ISNUMBER('Model_ of_individuals'!AB651), 'Model_ of_individuals'!AB651*'Model_ of_individuals'!$K651,"")</f>
        <v/>
      </c>
    </row>
    <row r="632" spans="1:28" x14ac:dyDescent="0.25">
      <c r="A632" s="518"/>
      <c r="B632" s="504"/>
      <c r="C632" s="104" t="str">
        <f>IF(AND(ISNUMBER(B623), OR('Cost Inputs'!$H$155&lt;&gt;"", 'Cost Inputs'!$I$155&lt;&gt;"", 'Cost Inputs'!$J$155&lt;&gt;"")), _5_4_5, "")</f>
        <v/>
      </c>
      <c r="D632" s="17" t="str">
        <f>IF(AND(C632&lt;&gt;"", 'Cost Inputs'!$G$155&lt;&gt;""), 'Cost Inputs'!$G$155, "")</f>
        <v/>
      </c>
      <c r="E632" s="17" t="str">
        <f>IF(AND(C632&lt;&gt;"", 'Cost Inputs'!$H$155&lt;&gt;""), 'Cost Inputs'!$H$155, "")</f>
        <v/>
      </c>
      <c r="F632" s="17" t="str">
        <f>IF(AND(C632&lt;&gt;"", 'Cost Inputs'!$I$155&lt;&gt;""), 'Cost Inputs'!$I$155, "")</f>
        <v/>
      </c>
      <c r="G632" s="105" t="str">
        <f t="shared" si="52"/>
        <v/>
      </c>
      <c r="H632" s="17" t="str">
        <f>IF(AND(C632&lt;&gt;"", 'Cost Inputs'!$J$155&lt;&gt;""), 'Cost Inputs'!$J$155, "")</f>
        <v/>
      </c>
      <c r="I632" s="17" t="str">
        <f t="shared" si="55"/>
        <v/>
      </c>
      <c r="J632" s="17" t="str">
        <f>IF(AND(C632&lt;&gt;"",('Cost Inputs'!$I$155+'Cost Inputs'!$J$155+'Cost Inputs'!$K$155)&gt;0), 'Cost Inputs'!$I$155+'Cost Inputs'!$J$155+'Cost Inputs'!$K$155, "")</f>
        <v/>
      </c>
      <c r="K632" s="17" t="str">
        <f t="shared" si="56"/>
        <v/>
      </c>
      <c r="M632" s="106"/>
      <c r="S632" s="17" t="str">
        <f>IF(ISNUMBER('Model_ of_individuals'!S652), 'Model_ of_individuals'!S652*'Model_ of_individuals'!$K652,"")</f>
        <v/>
      </c>
      <c r="T632" s="17" t="str">
        <f>IF(ISNUMBER('Model_ of_individuals'!T652), 'Model_ of_individuals'!T652*'Model_ of_individuals'!$K652,"")</f>
        <v/>
      </c>
      <c r="U632" s="17" t="str">
        <f>IF(ISNUMBER('Model_ of_individuals'!U652), 'Model_ of_individuals'!U652*'Model_ of_individuals'!$K652,"")</f>
        <v/>
      </c>
      <c r="V632" s="17" t="str">
        <f>IF(ISNUMBER('Model_ of_individuals'!V652), 'Model_ of_individuals'!V652*'Model_ of_individuals'!$K652,"")</f>
        <v/>
      </c>
      <c r="W632" s="17" t="str">
        <f>IF(ISNUMBER('Model_ of_individuals'!W652), 'Model_ of_individuals'!W652*'Model_ of_individuals'!$K652,"")</f>
        <v/>
      </c>
      <c r="X632" s="17" t="str">
        <f>IF(ISNUMBER('Model_ of_individuals'!X652), 'Model_ of_individuals'!X652*'Model_ of_individuals'!$K652,"")</f>
        <v/>
      </c>
      <c r="Y632" s="17" t="str">
        <f>IF(ISNUMBER('Model_ of_individuals'!Y652), 'Model_ of_individuals'!Y652*'Model_ of_individuals'!$K652,"")</f>
        <v/>
      </c>
      <c r="Z632" s="17" t="str">
        <f>IF(ISNUMBER('Model_ of_individuals'!Z652), 'Model_ of_individuals'!Z652*'Model_ of_individuals'!$K652,"")</f>
        <v/>
      </c>
      <c r="AA632" s="17" t="str">
        <f>IF(ISNUMBER('Model_ of_individuals'!AA652), 'Model_ of_individuals'!AA652*'Model_ of_individuals'!$K652,"")</f>
        <v/>
      </c>
      <c r="AB632" s="17" t="str">
        <f>IF(ISNUMBER('Model_ of_individuals'!AB652), 'Model_ of_individuals'!AB652*'Model_ of_individuals'!$K652,"")</f>
        <v/>
      </c>
    </row>
    <row r="633" spans="1:28" x14ac:dyDescent="0.25">
      <c r="A633" s="518"/>
      <c r="B633" s="504"/>
      <c r="C633" s="107" t="str">
        <f>IF(AND(ISNUMBER(B623), OR('Cost Inputs'!$H$156&lt;&gt;"", 'Cost Inputs'!$I$156&lt;&gt;"", 'Cost Inputs'!$J$156&lt;&gt;"")), _5_4_6, "")</f>
        <v/>
      </c>
      <c r="D633" s="93" t="str">
        <f>IF(AND(C633&lt;&gt;"", 'Cost Inputs'!$G$156&lt;&gt;""), 'Cost Inputs'!$G$156, "")</f>
        <v/>
      </c>
      <c r="E633" s="93" t="str">
        <f>IF(AND(C633&lt;&gt;"", 'Cost Inputs'!$H$156&lt;&gt;""), 'Cost Inputs'!$H$156, "")</f>
        <v/>
      </c>
      <c r="F633" s="93" t="str">
        <f>IF(AND(C633&lt;&gt;"", 'Cost Inputs'!$I$156&lt;&gt;""), 'Cost Inputs'!$I$156, "")</f>
        <v/>
      </c>
      <c r="G633" s="108" t="str">
        <f t="shared" si="52"/>
        <v/>
      </c>
      <c r="H633" s="93" t="str">
        <f>IF(AND(C633&lt;&gt;"", 'Cost Inputs'!$J$156&lt;&gt;""), 'Cost Inputs'!$J$16, "")</f>
        <v/>
      </c>
      <c r="I633" s="93" t="str">
        <f t="shared" si="55"/>
        <v/>
      </c>
      <c r="J633" s="93" t="str">
        <f>IF(AND(C633&lt;&gt;"",('Cost Inputs'!$I$156+'Cost Inputs'!$J$156+'Cost Inputs'!$K$156)&gt;0), 'Cost Inputs'!$I$156+'Cost Inputs'!$J$156+'Cost Inputs'!$K$156, "")</f>
        <v/>
      </c>
      <c r="K633" s="93" t="str">
        <f t="shared" si="56"/>
        <v/>
      </c>
      <c r="L633" s="93"/>
      <c r="M633" s="109"/>
      <c r="S633" s="93" t="str">
        <f>IF(ISNUMBER('Model_ of_individuals'!S653), 'Model_ of_individuals'!S653*'Model_ of_individuals'!$K653,"")</f>
        <v/>
      </c>
      <c r="T633" s="93" t="str">
        <f>IF(ISNUMBER('Model_ of_individuals'!T653), 'Model_ of_individuals'!T653*'Model_ of_individuals'!$K653,"")</f>
        <v/>
      </c>
      <c r="U633" s="93" t="str">
        <f>IF(ISNUMBER('Model_ of_individuals'!U653), 'Model_ of_individuals'!U653*'Model_ of_individuals'!$K653,"")</f>
        <v/>
      </c>
      <c r="V633" s="93" t="str">
        <f>IF(ISNUMBER('Model_ of_individuals'!V653), 'Model_ of_individuals'!V653*'Model_ of_individuals'!$K653,"")</f>
        <v/>
      </c>
      <c r="W633" s="93" t="str">
        <f>IF(ISNUMBER('Model_ of_individuals'!W653), 'Model_ of_individuals'!W653*'Model_ of_individuals'!$K653,"")</f>
        <v/>
      </c>
      <c r="X633" s="93" t="str">
        <f>IF(ISNUMBER('Model_ of_individuals'!X653), 'Model_ of_individuals'!X653*'Model_ of_individuals'!$K653,"")</f>
        <v/>
      </c>
      <c r="Y633" s="93" t="str">
        <f>IF(ISNUMBER('Model_ of_individuals'!Y653), 'Model_ of_individuals'!Y653*'Model_ of_individuals'!$K653,"")</f>
        <v/>
      </c>
      <c r="Z633" s="93" t="str">
        <f>IF(ISNUMBER('Model_ of_individuals'!Z653), 'Model_ of_individuals'!Z653*'Model_ of_individuals'!$K653,"")</f>
        <v/>
      </c>
      <c r="AA633" s="93" t="str">
        <f>IF(ISNUMBER('Model_ of_individuals'!AA653), 'Model_ of_individuals'!AA653*'Model_ of_individuals'!$K653,"")</f>
        <v/>
      </c>
      <c r="AB633" s="93" t="str">
        <f>IF(ISNUMBER('Model_ of_individuals'!AB653), 'Model_ of_individuals'!AB653*'Model_ of_individuals'!$K653,"")</f>
        <v/>
      </c>
    </row>
    <row r="634" spans="1:28" x14ac:dyDescent="0.25">
      <c r="A634" s="518"/>
      <c r="B634" s="504"/>
      <c r="C634" s="521" t="str">
        <f>IF(AND(B623&lt;&gt;"",ISNUMBER(B623),ISNUMBER(Stage3EvaluationBegins)),IF((INDEX(ProgramYearStage3,MATCH(Stage3EvaluationBegins,Years_in_Stage3,0)))=B623,_5_5_0,IF(AND(B623&lt;&gt;"",C612&lt;&gt;""),_5_5_0,IF(AND(B623&lt;&gt;"",ISNUMBER(B623),OR(Stage3EvaluationBegins=0,Stage3EvaluationBegins="")),"",""))),"")</f>
        <v/>
      </c>
      <c r="D634" s="94" t="str">
        <f>IF(AND(C634&lt;&gt;"", 'Cost Inputs'!$G$157&lt;&gt;""), 'Cost Inputs'!$G$157, "")</f>
        <v/>
      </c>
      <c r="E634" s="94" t="str">
        <f>IF(AND(C634&lt;&gt;"", 'Cost Inputs'!$H$157&lt;&gt;""), 'Cost Inputs'!$H$157, "")</f>
        <v/>
      </c>
      <c r="F634" s="492" t="str">
        <f>IF(AND(C634&lt;&gt;"", 'Cost Inputs'!$I$157&lt;&gt;""), 'Cost Inputs'!$I$157, "")</f>
        <v/>
      </c>
      <c r="G634" s="102" t="str">
        <f t="shared" si="52"/>
        <v/>
      </c>
      <c r="H634" s="492" t="str">
        <f>IF(AND(C634&lt;&gt;"", 'Cost Inputs'!$J$157&lt;&gt;""), 'Cost Inputs'!$J$157, "")</f>
        <v/>
      </c>
      <c r="I634" s="102" t="str">
        <f>IF($C634&lt;&gt;"",IF(AND($E634&lt;&gt;"",H634&lt;&gt;""), H634/$E634, 0),"")</f>
        <v/>
      </c>
      <c r="J634" s="492" t="str">
        <f>IF(AND(C634&lt;&gt;"",('Cost Inputs'!$I$157+'Cost Inputs'!$J$157+'Cost Inputs'!$K$157)&gt;0), 'Cost Inputs'!$I$157+'Cost Inputs'!$J$157+'Cost Inputs'!$K$157, "")</f>
        <v/>
      </c>
      <c r="K634" s="102" t="str">
        <f>IF($C634&lt;&gt;"",IF(AND($E634&lt;&gt;"",J634&lt;&gt;""), J634/$E634, 0),"")</f>
        <v/>
      </c>
      <c r="L634" s="94"/>
      <c r="M634" s="103"/>
      <c r="S634" s="492" t="str">
        <f>IF(ISNUMBER('Model_ of_individuals'!S654), 'Model_ of_individuals'!S654*'Model_ of_individuals'!$K654,"")</f>
        <v/>
      </c>
      <c r="T634" s="492" t="str">
        <f>IF(ISNUMBER('Model_ of_individuals'!T654), 'Model_ of_individuals'!T654*'Model_ of_individuals'!$K654,"")</f>
        <v/>
      </c>
      <c r="U634" s="492" t="str">
        <f>IF(ISNUMBER('Model_ of_individuals'!U654), 'Model_ of_individuals'!U654*'Model_ of_individuals'!$K654,"")</f>
        <v/>
      </c>
      <c r="V634" s="492" t="str">
        <f>IF(ISNUMBER('Model_ of_individuals'!V654), 'Model_ of_individuals'!V654*'Model_ of_individuals'!$K654,"")</f>
        <v/>
      </c>
      <c r="W634" s="492" t="str">
        <f>IF(ISNUMBER('Model_ of_individuals'!W654), 'Model_ of_individuals'!W654*'Model_ of_individuals'!$K654,"")</f>
        <v/>
      </c>
      <c r="X634" s="492" t="str">
        <f>IF(ISNUMBER('Model_ of_individuals'!X654), 'Model_ of_individuals'!X654*'Model_ of_individuals'!$K654,"")</f>
        <v/>
      </c>
      <c r="Y634" s="492" t="str">
        <f>IF(ISNUMBER('Model_ of_individuals'!Y654), 'Model_ of_individuals'!Y654*'Model_ of_individuals'!$K654,"")</f>
        <v/>
      </c>
      <c r="Z634" s="492" t="str">
        <f>IF(ISNUMBER('Model_ of_individuals'!Z654), 'Model_ of_individuals'!Z654*'Model_ of_individuals'!$K654,"")</f>
        <v/>
      </c>
      <c r="AA634" s="492" t="str">
        <f>IF(ISNUMBER('Model_ of_individuals'!AA654), 'Model_ of_individuals'!AA654*'Model_ of_individuals'!$K654,"")</f>
        <v/>
      </c>
      <c r="AB634" s="492" t="str">
        <f>IF(ISNUMBER('Model_ of_individuals'!AB654), 'Model_ of_individuals'!AB654*'Model_ of_individuals'!$K654,"")</f>
        <v/>
      </c>
    </row>
    <row r="635" spans="1:28" x14ac:dyDescent="0.25">
      <c r="A635" s="518"/>
      <c r="B635" s="504"/>
      <c r="C635" s="521"/>
      <c r="D635" s="94" t="str">
        <f>IF(AND(C634&lt;&gt;"", 'Cost Inputs'!$G$158&lt;&gt;""), 'Cost Inputs'!$G$158, "")</f>
        <v/>
      </c>
      <c r="E635" s="94" t="str">
        <f>IF(AND(C634&lt;&gt;"", 'Cost Inputs'!$H$158&lt;&gt;""), 'Cost Inputs'!$H$158, "")</f>
        <v/>
      </c>
      <c r="F635" s="492"/>
      <c r="G635" s="102" t="str">
        <f t="shared" si="52"/>
        <v/>
      </c>
      <c r="H635" s="492"/>
      <c r="I635" s="102" t="str">
        <f>IF($C634&lt;&gt;"", IF(AND($E635&lt;&gt;"", H634&lt;&gt;""), H634/($E634*$E635), 0), "")</f>
        <v/>
      </c>
      <c r="J635" s="492" t="str">
        <f>IF(AND(C635&lt;&gt;"",('Cost Inputs'!$I$86+'Cost Inputs'!$J$86+'Cost Inputs'!$K$86)&gt;0), 'Cost Inputs'!$I$86+'Cost Inputs'!$J$86+'Cost Inputs'!$K$86, "")</f>
        <v/>
      </c>
      <c r="K635" s="102" t="str">
        <f>IF($C634&lt;&gt;"", IF(AND($E635&lt;&gt;"", J634&lt;&gt;""), J634/($E634*$E635), 0), "")</f>
        <v/>
      </c>
      <c r="L635" s="94"/>
      <c r="M635" s="103"/>
      <c r="S635" s="492" t="str">
        <f>IF(ISNUMBER('Model_ of_individuals'!S655), 'Model_ of_individuals'!S655*'Model_ of_individuals'!$K655,"")</f>
        <v/>
      </c>
      <c r="T635" s="492" t="str">
        <f>IF(ISNUMBER('Model_ of_individuals'!T655), 'Model_ of_individuals'!T655*'Model_ of_individuals'!$K655,"")</f>
        <v/>
      </c>
      <c r="U635" s="492" t="str">
        <f>IF(ISNUMBER('Model_ of_individuals'!U655), 'Model_ of_individuals'!U655*'Model_ of_individuals'!$K655,"")</f>
        <v/>
      </c>
      <c r="V635" s="492" t="str">
        <f>IF(ISNUMBER('Model_ of_individuals'!V655), 'Model_ of_individuals'!V655*'Model_ of_individuals'!$K655,"")</f>
        <v/>
      </c>
      <c r="W635" s="492" t="str">
        <f>IF(ISNUMBER('Model_ of_individuals'!W655), 'Model_ of_individuals'!W655*'Model_ of_individuals'!$K655,"")</f>
        <v/>
      </c>
      <c r="X635" s="492" t="str">
        <f>IF(ISNUMBER('Model_ of_individuals'!X655), 'Model_ of_individuals'!X655*'Model_ of_individuals'!$K655,"")</f>
        <v/>
      </c>
      <c r="Y635" s="492" t="str">
        <f>IF(ISNUMBER('Model_ of_individuals'!Y655), 'Model_ of_individuals'!Y655*'Model_ of_individuals'!$K655,"")</f>
        <v/>
      </c>
      <c r="Z635" s="492" t="str">
        <f>IF(ISNUMBER('Model_ of_individuals'!Z655), 'Model_ of_individuals'!Z655*'Model_ of_individuals'!$K655,"")</f>
        <v/>
      </c>
      <c r="AA635" s="492" t="str">
        <f>IF(ISNUMBER('Model_ of_individuals'!AA655), 'Model_ of_individuals'!AA655*'Model_ of_individuals'!$K655,"")</f>
        <v/>
      </c>
      <c r="AB635" s="492" t="str">
        <f>IF(ISNUMBER('Model_ of_individuals'!AB655), 'Model_ of_individuals'!AB655*'Model_ of_individuals'!$K655,"")</f>
        <v/>
      </c>
    </row>
    <row r="636" spans="1:28" x14ac:dyDescent="0.25">
      <c r="A636" s="518"/>
      <c r="B636" s="504"/>
      <c r="C636" s="376" t="str">
        <f>IF(AND(ISNUMBER(B623), C634&lt;&gt;"", OR('Cost Inputs'!$H$159&lt;&gt;"", 'Cost Inputs'!$I$159&lt;&gt;"", 'Cost Inputs'!$J$159&lt;&gt;"")), _5_5_1, "")</f>
        <v/>
      </c>
      <c r="D636" s="17" t="str">
        <f>IF(AND(C636&lt;&gt;"", 'Cost Inputs'!$G$159&lt;&gt;""), 'Cost Inputs'!$G$159, "")</f>
        <v/>
      </c>
      <c r="E636" s="17" t="str">
        <f>IF(AND(C636&lt;&gt;"", 'Cost Inputs'!$H$159&lt;&gt;""), 'Cost Inputs'!$H$159, "")</f>
        <v/>
      </c>
      <c r="F636" s="493" t="str">
        <f>IF(AND(C636&lt;&gt;"", 'Cost Inputs'!$I$159&lt;&gt;""), 'Cost Inputs'!$I$159, "")</f>
        <v/>
      </c>
      <c r="G636" s="105" t="str">
        <f t="shared" si="52"/>
        <v/>
      </c>
      <c r="H636" s="493" t="str">
        <f>IF(AND(C636&lt;&gt;"", 'Cost Inputs'!$J$159&lt;&gt;""), 'Cost Inputs'!$J$159, "")</f>
        <v/>
      </c>
      <c r="I636" s="105" t="str">
        <f>IF($C636&lt;&gt;"",IF(AND($E636&lt;&gt;"",H636&lt;&gt;""), H636/$E636, 0),"")</f>
        <v/>
      </c>
      <c r="J636" s="493" t="str">
        <f>IF(AND(C636&lt;&gt;"",('Cost Inputs'!$I$159+'Cost Inputs'!$J$159+'Cost Inputs'!$K$159)&gt;0), 'Cost Inputs'!$I$159+'Cost Inputs'!$J$159+'Cost Inputs'!$K$159, "")</f>
        <v/>
      </c>
      <c r="K636" s="105" t="str">
        <f>IF($C636&lt;&gt;"",IF(AND($E636&lt;&gt;"",J636&lt;&gt;""), J636/$E636, 0),"")</f>
        <v/>
      </c>
      <c r="M636" s="106"/>
      <c r="S636" s="493" t="str">
        <f>IF(ISNUMBER('Model_ of_individuals'!S656), 'Model_ of_individuals'!S656*'Model_ of_individuals'!$K656,"")</f>
        <v/>
      </c>
      <c r="T636" s="493" t="str">
        <f>IF(ISNUMBER('Model_ of_individuals'!T656), 'Model_ of_individuals'!T656*'Model_ of_individuals'!$K656,"")</f>
        <v/>
      </c>
      <c r="U636" s="493" t="str">
        <f>IF(ISNUMBER('Model_ of_individuals'!U656), 'Model_ of_individuals'!U656*'Model_ of_individuals'!$K656,"")</f>
        <v/>
      </c>
      <c r="V636" s="493" t="str">
        <f>IF(ISNUMBER('Model_ of_individuals'!V656), 'Model_ of_individuals'!V656*'Model_ of_individuals'!$K656,"")</f>
        <v/>
      </c>
      <c r="W636" s="493" t="str">
        <f>IF(ISNUMBER('Model_ of_individuals'!W656), 'Model_ of_individuals'!W656*'Model_ of_individuals'!$K656,"")</f>
        <v/>
      </c>
      <c r="X636" s="493" t="str">
        <f>IF(ISNUMBER('Model_ of_individuals'!X656), 'Model_ of_individuals'!X656*'Model_ of_individuals'!$K656,"")</f>
        <v/>
      </c>
      <c r="Y636" s="493" t="str">
        <f>IF(ISNUMBER('Model_ of_individuals'!Y656), 'Model_ of_individuals'!Y656*'Model_ of_individuals'!$K656,"")</f>
        <v/>
      </c>
      <c r="Z636" s="493" t="str">
        <f>IF(ISNUMBER('Model_ of_individuals'!Z656), 'Model_ of_individuals'!Z656*'Model_ of_individuals'!$K656,"")</f>
        <v/>
      </c>
      <c r="AA636" s="493" t="str">
        <f>IF(ISNUMBER('Model_ of_individuals'!AA656), 'Model_ of_individuals'!AA656*'Model_ of_individuals'!$K656,"")</f>
        <v/>
      </c>
      <c r="AB636" s="493" t="str">
        <f>IF(ISNUMBER('Model_ of_individuals'!AB656), 'Model_ of_individuals'!AB656*'Model_ of_individuals'!$K656,"")</f>
        <v/>
      </c>
    </row>
    <row r="637" spans="1:28" x14ac:dyDescent="0.25">
      <c r="A637" s="518"/>
      <c r="B637" s="504"/>
      <c r="C637" s="376" t="str">
        <f>IF(AND(ISNUMBER(B619), OR('Cost Inputs'!$H$85&lt;&gt;"", 'Cost Inputs'!$I$85&lt;&gt;"", 'Cost Inputs'!$J$85&lt;&gt;"")), _3_5_1, "")</f>
        <v/>
      </c>
      <c r="D637" s="17" t="str">
        <f>IF(AND(C636&lt;&gt;"", 'Cost Inputs'!$G$160&lt;&gt;""), 'Cost Inputs'!$G$160, "")</f>
        <v/>
      </c>
      <c r="E637" s="17" t="str">
        <f>IF(AND(C636&lt;&gt;"", 'Cost Inputs'!$H$160&lt;&gt;""), 'Cost Inputs'!$H$160, "")</f>
        <v/>
      </c>
      <c r="F637" s="493"/>
      <c r="G637" s="105" t="str">
        <f t="shared" si="52"/>
        <v/>
      </c>
      <c r="H637" s="493"/>
      <c r="I637" s="105" t="str">
        <f>IF($C636&lt;&gt;"", IF(AND($E637&lt;&gt;"", H636&lt;&gt;""), H636/($E636*$E637), 0), "")</f>
        <v/>
      </c>
      <c r="J637" s="493" t="str">
        <f>IF(AND(C637&lt;&gt;"",('Cost Inputs'!$I$86+'Cost Inputs'!$J$86+'Cost Inputs'!$K$86)&gt;0), 'Cost Inputs'!$I$86+'Cost Inputs'!$J$86+'Cost Inputs'!$K$86, "")</f>
        <v/>
      </c>
      <c r="K637" s="105" t="str">
        <f>IF($C636&lt;&gt;"", IF(AND($E637&lt;&gt;"", J636&lt;&gt;""), J636/($E636*$E637), 0), "")</f>
        <v/>
      </c>
      <c r="M637" s="106"/>
      <c r="S637" s="493" t="str">
        <f>IF(ISNUMBER('Model_ of_individuals'!S657), 'Model_ of_individuals'!S657*'Model_ of_individuals'!$K657,"")</f>
        <v/>
      </c>
      <c r="T637" s="493" t="str">
        <f>IF(ISNUMBER('Model_ of_individuals'!T657), 'Model_ of_individuals'!T657*'Model_ of_individuals'!$K657,"")</f>
        <v/>
      </c>
      <c r="U637" s="493" t="str">
        <f>IF(ISNUMBER('Model_ of_individuals'!U657), 'Model_ of_individuals'!U657*'Model_ of_individuals'!$K657,"")</f>
        <v/>
      </c>
      <c r="V637" s="493" t="str">
        <f>IF(ISNUMBER('Model_ of_individuals'!V657), 'Model_ of_individuals'!V657*'Model_ of_individuals'!$K657,"")</f>
        <v/>
      </c>
      <c r="W637" s="493" t="str">
        <f>IF(ISNUMBER('Model_ of_individuals'!W657), 'Model_ of_individuals'!W657*'Model_ of_individuals'!$K657,"")</f>
        <v/>
      </c>
      <c r="X637" s="493" t="str">
        <f>IF(ISNUMBER('Model_ of_individuals'!X657), 'Model_ of_individuals'!X657*'Model_ of_individuals'!$K657,"")</f>
        <v/>
      </c>
      <c r="Y637" s="493" t="str">
        <f>IF(ISNUMBER('Model_ of_individuals'!Y657), 'Model_ of_individuals'!Y657*'Model_ of_individuals'!$K657,"")</f>
        <v/>
      </c>
      <c r="Z637" s="493" t="str">
        <f>IF(ISNUMBER('Model_ of_individuals'!Z657), 'Model_ of_individuals'!Z657*'Model_ of_individuals'!$K657,"")</f>
        <v/>
      </c>
      <c r="AA637" s="493" t="str">
        <f>IF(ISNUMBER('Model_ of_individuals'!AA657), 'Model_ of_individuals'!AA657*'Model_ of_individuals'!$K657,"")</f>
        <v/>
      </c>
      <c r="AB637" s="493" t="str">
        <f>IF(ISNUMBER('Model_ of_individuals'!AB657), 'Model_ of_individuals'!AB657*'Model_ of_individuals'!$K657,"")</f>
        <v/>
      </c>
    </row>
    <row r="638" spans="1:28" x14ac:dyDescent="0.25">
      <c r="A638" s="518"/>
      <c r="B638" s="504"/>
      <c r="C638" s="107" t="str">
        <f>IF(AND(ISNUMBER(B623), C634&lt;&gt;"", OR('Cost Inputs'!$H$161&lt;&gt;"", 'Cost Inputs'!$I$161&lt;&gt;"", 'Cost Inputs'!$J$161&lt;&gt;"")), _5_5_2, "")</f>
        <v/>
      </c>
      <c r="D638" s="93" t="str">
        <f>IF(AND(C638&lt;&gt;"", 'Cost Inputs'!$G$161&lt;&gt;""), 'Cost Inputs'!$G$161, "")</f>
        <v/>
      </c>
      <c r="E638" s="93" t="str">
        <f>IF(AND(C638&lt;&gt;"", 'Cost Inputs'!$H$161&lt;&gt;""), 'Cost Inputs'!$H$161, "")</f>
        <v/>
      </c>
      <c r="F638" s="93" t="str">
        <f>IF(AND(C638&lt;&gt;"", 'Cost Inputs'!$I$161&lt;&gt;""), 'Cost Inputs'!$I$161, "")</f>
        <v/>
      </c>
      <c r="G638" s="108" t="str">
        <f t="shared" si="52"/>
        <v/>
      </c>
      <c r="H638" s="93" t="str">
        <f>IF(AND(C638&lt;&gt;"", 'Cost Inputs'!$J$161&lt;&gt;""), 'Cost Inputs'!$J$161, "")</f>
        <v/>
      </c>
      <c r="I638" s="93" t="str">
        <f>IF($C638&lt;&gt;"", IF(AND($E638&lt;&gt;"", H638&lt;&gt;""), H638/$E638, 0),"")</f>
        <v/>
      </c>
      <c r="J638" s="93" t="str">
        <f>IF(AND(C638&lt;&gt;"",('Cost Inputs'!$I$161+'Cost Inputs'!$J$161+'Cost Inputs'!$K$161)&gt;0), 'Cost Inputs'!$I$161+'Cost Inputs'!$J$161+'Cost Inputs'!$K$161, "")</f>
        <v/>
      </c>
      <c r="K638" s="93" t="str">
        <f>IF($C638&lt;&gt;"", IF(AND($E638&lt;&gt;"", J638&lt;&gt;""), J638/$E638, 0),"")</f>
        <v/>
      </c>
      <c r="L638" s="93"/>
      <c r="M638" s="109"/>
      <c r="S638" s="93" t="str">
        <f>IF(ISNUMBER('Model_ of_individuals'!S658), 'Model_ of_individuals'!S658*'Model_ of_individuals'!$K658,"")</f>
        <v/>
      </c>
      <c r="T638" s="93" t="str">
        <f>IF(ISNUMBER('Model_ of_individuals'!T658), 'Model_ of_individuals'!T658*'Model_ of_individuals'!$K658,"")</f>
        <v/>
      </c>
      <c r="U638" s="93" t="str">
        <f>IF(ISNUMBER('Model_ of_individuals'!U658), 'Model_ of_individuals'!U658*'Model_ of_individuals'!$K658,"")</f>
        <v/>
      </c>
      <c r="V638" s="93" t="str">
        <f>IF(ISNUMBER('Model_ of_individuals'!V658), 'Model_ of_individuals'!V658*'Model_ of_individuals'!$K658,"")</f>
        <v/>
      </c>
      <c r="W638" s="93" t="str">
        <f>IF(ISNUMBER('Model_ of_individuals'!W658), 'Model_ of_individuals'!W658*'Model_ of_individuals'!$K658,"")</f>
        <v/>
      </c>
      <c r="X638" s="93" t="str">
        <f>IF(ISNUMBER('Model_ of_individuals'!X658), 'Model_ of_individuals'!X658*'Model_ of_individuals'!$K658,"")</f>
        <v/>
      </c>
      <c r="Y638" s="93" t="str">
        <f>IF(ISNUMBER('Model_ of_individuals'!Y658), 'Model_ of_individuals'!Y658*'Model_ of_individuals'!$K658,"")</f>
        <v/>
      </c>
      <c r="Z638" s="93" t="str">
        <f>IF(ISNUMBER('Model_ of_individuals'!Z658), 'Model_ of_individuals'!Z658*'Model_ of_individuals'!$K658,"")</f>
        <v/>
      </c>
      <c r="AA638" s="93" t="str">
        <f>IF(ISNUMBER('Model_ of_individuals'!AA658), 'Model_ of_individuals'!AA658*'Model_ of_individuals'!$K658,"")</f>
        <v/>
      </c>
      <c r="AB638" s="93" t="str">
        <f>IF(ISNUMBER('Model_ of_individuals'!AB658), 'Model_ of_individuals'!AB658*'Model_ of_individuals'!$K658,"")</f>
        <v/>
      </c>
    </row>
    <row r="639" spans="1:28" x14ac:dyDescent="0.25">
      <c r="A639" s="518"/>
      <c r="B639" s="504"/>
      <c r="C639" s="104" t="str">
        <f>IF(AND(ISNUMBER(B623), C634&lt;&gt;"", OR('Cost Inputs'!$H$162&lt;&gt;"", 'Cost Inputs'!$I$162&lt;&gt;"", 'Cost Inputs'!$J$162&lt;&gt;"")), _5_5_3, "")</f>
        <v/>
      </c>
      <c r="D639" s="17" t="str">
        <f>IF(AND(C639&lt;&gt;"", 'Cost Inputs'!$G$162&lt;&gt;""), 'Cost Inputs'!$G$162, "")</f>
        <v/>
      </c>
      <c r="E639" s="17" t="str">
        <f>IF(AND(C639&lt;&gt;"", 'Cost Inputs'!$H$162&lt;&gt;""), 'Cost Inputs'!$H$162, "")</f>
        <v/>
      </c>
      <c r="F639" s="17" t="str">
        <f>IF(AND(C639&lt;&gt;"", 'Cost Inputs'!$I$162&lt;&gt;""), 'Cost Inputs'!$I$162, "")</f>
        <v/>
      </c>
      <c r="G639" s="105" t="str">
        <f t="shared" si="52"/>
        <v/>
      </c>
      <c r="H639" s="17" t="str">
        <f>IF(AND(C639&lt;&gt;"", 'Cost Inputs'!$J$162&lt;&gt;""), 'Cost Inputs'!$J$162, "")</f>
        <v/>
      </c>
      <c r="I639" s="17" t="str">
        <f>IF($C639&lt;&gt;"", IF(AND($E639&lt;&gt;"", H639&lt;&gt;""), H639/$E639, 0),"")</f>
        <v/>
      </c>
      <c r="J639" s="17" t="str">
        <f>IF(AND(C639&lt;&gt;"",('Cost Inputs'!$I$162+'Cost Inputs'!$J$162+'Cost Inputs'!$K$162)&gt;0), 'Cost Inputs'!$I$162+'Cost Inputs'!$J$162+'Cost Inputs'!$K$162, "")</f>
        <v/>
      </c>
      <c r="K639" s="17" t="str">
        <f>IF($C639&lt;&gt;"", IF(AND($E639&lt;&gt;"", J639&lt;&gt;""), J639/$E639, 0),"")</f>
        <v/>
      </c>
      <c r="M639" s="106"/>
      <c r="S639" s="17" t="str">
        <f>IF(ISNUMBER('Model_ of_individuals'!S659), 'Model_ of_individuals'!S659*'Model_ of_individuals'!$K659,"")</f>
        <v/>
      </c>
      <c r="T639" s="17" t="str">
        <f>IF(ISNUMBER('Model_ of_individuals'!T659), 'Model_ of_individuals'!T659*'Model_ of_individuals'!$K659,"")</f>
        <v/>
      </c>
      <c r="U639" s="17" t="str">
        <f>IF(ISNUMBER('Model_ of_individuals'!U659), 'Model_ of_individuals'!U659*'Model_ of_individuals'!$K659,"")</f>
        <v/>
      </c>
      <c r="V639" s="17" t="str">
        <f>IF(ISNUMBER('Model_ of_individuals'!V659), 'Model_ of_individuals'!V659*'Model_ of_individuals'!$K659,"")</f>
        <v/>
      </c>
      <c r="W639" s="17" t="str">
        <f>IF(ISNUMBER('Model_ of_individuals'!W659), 'Model_ of_individuals'!W659*'Model_ of_individuals'!$K659,"")</f>
        <v/>
      </c>
      <c r="X639" s="17" t="str">
        <f>IF(ISNUMBER('Model_ of_individuals'!X659), 'Model_ of_individuals'!X659*'Model_ of_individuals'!$K659,"")</f>
        <v/>
      </c>
      <c r="Y639" s="17" t="str">
        <f>IF(ISNUMBER('Model_ of_individuals'!Y659), 'Model_ of_individuals'!Y659*'Model_ of_individuals'!$K659,"")</f>
        <v/>
      </c>
      <c r="Z639" s="17" t="str">
        <f>IF(ISNUMBER('Model_ of_individuals'!Z659), 'Model_ of_individuals'!Z659*'Model_ of_individuals'!$K659,"")</f>
        <v/>
      </c>
      <c r="AA639" s="17" t="str">
        <f>IF(ISNUMBER('Model_ of_individuals'!AA659), 'Model_ of_individuals'!AA659*'Model_ of_individuals'!$K659,"")</f>
        <v/>
      </c>
      <c r="AB639" s="17" t="str">
        <f>IF(ISNUMBER('Model_ of_individuals'!AB659), 'Model_ of_individuals'!AB659*'Model_ of_individuals'!$K659,"")</f>
        <v/>
      </c>
    </row>
    <row r="640" spans="1:28" x14ac:dyDescent="0.25">
      <c r="A640" s="518"/>
      <c r="B640" s="504"/>
      <c r="C640" s="107" t="str">
        <f>IF(AND(ISNUMBER(B623), C634&lt;&gt;"", OR('Cost Inputs'!$H$163&lt;&gt;"", 'Cost Inputs'!$I$163&lt;&gt;"", 'Cost Inputs'!$J$163&lt;&gt;"")), _5_5_4, "")</f>
        <v/>
      </c>
      <c r="D640" s="93" t="str">
        <f>IF(AND(C640&lt;&gt;"", 'Cost Inputs'!$G$163&lt;&gt;""), 'Cost Inputs'!$G$163, "")</f>
        <v/>
      </c>
      <c r="E640" s="93" t="str">
        <f>IF(AND(C640&lt;&gt;"", 'Cost Inputs'!$H$163&lt;&gt;""), 'Cost Inputs'!$H$163, "")</f>
        <v/>
      </c>
      <c r="F640" s="93" t="str">
        <f>IF(AND(C640&lt;&gt;"", 'Cost Inputs'!$I$163&lt;&gt;""), 'Cost Inputs'!$I$163, "")</f>
        <v/>
      </c>
      <c r="G640" s="108" t="str">
        <f t="shared" si="52"/>
        <v/>
      </c>
      <c r="H640" s="93" t="str">
        <f>IF(AND(C640&lt;&gt;"", 'Cost Inputs'!$J$163&lt;&gt;""), 'Cost Inputs'!$J$163, "")</f>
        <v/>
      </c>
      <c r="I640" s="93" t="str">
        <f>IF($C640&lt;&gt;"", IF(AND($E640&lt;&gt;"", H640&lt;&gt;""), H640/$E640, 0),"")</f>
        <v/>
      </c>
      <c r="J640" s="93" t="str">
        <f>IF(AND(C640&lt;&gt;"",('Cost Inputs'!$I$163+'Cost Inputs'!$J$163+'Cost Inputs'!$K$163)&gt;0), 'Cost Inputs'!$I$163+'Cost Inputs'!$J$163+'Cost Inputs'!$K$163, "")</f>
        <v/>
      </c>
      <c r="K640" s="93" t="str">
        <f>IF($C640&lt;&gt;"", IF(AND($E640&lt;&gt;"", J640&lt;&gt;""), J640/$E640, 0),"")</f>
        <v/>
      </c>
      <c r="L640" s="93"/>
      <c r="M640" s="109"/>
      <c r="S640" s="93" t="str">
        <f>IF(ISNUMBER('Model_ of_individuals'!S660), 'Model_ of_individuals'!S660*'Model_ of_individuals'!$K660,"")</f>
        <v/>
      </c>
      <c r="T640" s="93" t="str">
        <f>IF(ISNUMBER('Model_ of_individuals'!T660), 'Model_ of_individuals'!T660*'Model_ of_individuals'!$K660,"")</f>
        <v/>
      </c>
      <c r="U640" s="93" t="str">
        <f>IF(ISNUMBER('Model_ of_individuals'!U660), 'Model_ of_individuals'!U660*'Model_ of_individuals'!$K660,"")</f>
        <v/>
      </c>
      <c r="V640" s="93" t="str">
        <f>IF(ISNUMBER('Model_ of_individuals'!V660), 'Model_ of_individuals'!V660*'Model_ of_individuals'!$K660,"")</f>
        <v/>
      </c>
      <c r="W640" s="93" t="str">
        <f>IF(ISNUMBER('Model_ of_individuals'!W660), 'Model_ of_individuals'!W660*'Model_ of_individuals'!$K660,"")</f>
        <v/>
      </c>
      <c r="X640" s="93" t="str">
        <f>IF(ISNUMBER('Model_ of_individuals'!X660), 'Model_ of_individuals'!X660*'Model_ of_individuals'!$K660,"")</f>
        <v/>
      </c>
      <c r="Y640" s="93" t="str">
        <f>IF(ISNUMBER('Model_ of_individuals'!Y660), 'Model_ of_individuals'!Y660*'Model_ of_individuals'!$K660,"")</f>
        <v/>
      </c>
      <c r="Z640" s="93" t="str">
        <f>IF(ISNUMBER('Model_ of_individuals'!Z660), 'Model_ of_individuals'!Z660*'Model_ of_individuals'!$K660,"")</f>
        <v/>
      </c>
      <c r="AA640" s="93" t="str">
        <f>IF(ISNUMBER('Model_ of_individuals'!AA660), 'Model_ of_individuals'!AA660*'Model_ of_individuals'!$K660,"")</f>
        <v/>
      </c>
      <c r="AB640" s="93" t="str">
        <f>IF(ISNUMBER('Model_ of_individuals'!AB660), 'Model_ of_individuals'!AB660*'Model_ of_individuals'!$K660,"")</f>
        <v/>
      </c>
    </row>
    <row r="641" spans="1:29" x14ac:dyDescent="0.25">
      <c r="A641" s="518"/>
      <c r="B641" s="504"/>
      <c r="C641" s="104" t="str">
        <f>IF(AND(ISNUMBER(B623), C634&lt;&gt;"", OR('Cost Inputs'!$H$164&lt;&gt;"", 'Cost Inputs'!$I$164&lt;&gt;"", 'Cost Inputs'!$J$164&lt;&gt;"")), _5_5_5, "")</f>
        <v/>
      </c>
      <c r="D641" s="17" t="str">
        <f>IF(AND(C641&lt;&gt;"", 'Cost Inputs'!$G$164&lt;&gt;""), 'Cost Inputs'!$G$164, "")</f>
        <v/>
      </c>
      <c r="E641" s="17" t="str">
        <f>IF(AND(C641&lt;&gt;"", 'Cost Inputs'!$H$164&lt;&gt;""), 'Cost Inputs'!$H$164, "")</f>
        <v/>
      </c>
      <c r="F641" s="17" t="str">
        <f>IF(AND(C641&lt;&gt;"", 'Cost Inputs'!$I$164&lt;&gt;""), 'Cost Inputs'!$I$164, "")</f>
        <v/>
      </c>
      <c r="G641" s="105" t="str">
        <f t="shared" si="52"/>
        <v/>
      </c>
      <c r="H641" s="17" t="str">
        <f>IF(AND(C641&lt;&gt;"", 'Cost Inputs'!$J$164&lt;&gt;""), 'Cost Inputs'!$J$164, "")</f>
        <v/>
      </c>
      <c r="I641" s="17" t="str">
        <f>IF($C641&lt;&gt;"", IF(AND($E641&lt;&gt;"", H641&lt;&gt;""), H641/$E641, 0),"")</f>
        <v/>
      </c>
      <c r="J641" s="17" t="str">
        <f>IF(AND(C641&lt;&gt;"",('Cost Inputs'!$I$164+'Cost Inputs'!$J$164+'Cost Inputs'!$K$164)&gt;0), 'Cost Inputs'!$I$164+'Cost Inputs'!$J$164+'Cost Inputs'!$K$164, "")</f>
        <v/>
      </c>
      <c r="K641" s="17" t="str">
        <f>IF($C641&lt;&gt;"", IF(AND($E641&lt;&gt;"", J641&lt;&gt;""), J641/$E641, 0),"")</f>
        <v/>
      </c>
      <c r="M641" s="106"/>
      <c r="S641" s="17" t="str">
        <f>IF(ISNUMBER('Model_ of_individuals'!S661), 'Model_ of_individuals'!S661*'Model_ of_individuals'!$K661,"")</f>
        <v/>
      </c>
      <c r="T641" s="17" t="str">
        <f>IF(ISNUMBER('Model_ of_individuals'!T661), 'Model_ of_individuals'!T661*'Model_ of_individuals'!$K661,"")</f>
        <v/>
      </c>
      <c r="U641" s="17" t="str">
        <f>IF(ISNUMBER('Model_ of_individuals'!U661), 'Model_ of_individuals'!U661*'Model_ of_individuals'!$K661,"")</f>
        <v/>
      </c>
      <c r="V641" s="17" t="str">
        <f>IF(ISNUMBER('Model_ of_individuals'!V661), 'Model_ of_individuals'!V661*'Model_ of_individuals'!$K661,"")</f>
        <v/>
      </c>
      <c r="W641" s="17" t="str">
        <f>IF(ISNUMBER('Model_ of_individuals'!W661), 'Model_ of_individuals'!W661*'Model_ of_individuals'!$K661,"")</f>
        <v/>
      </c>
      <c r="X641" s="17" t="str">
        <f>IF(ISNUMBER('Model_ of_individuals'!X661), 'Model_ of_individuals'!X661*'Model_ of_individuals'!$K661,"")</f>
        <v/>
      </c>
      <c r="Y641" s="17" t="str">
        <f>IF(ISNUMBER('Model_ of_individuals'!Y661), 'Model_ of_individuals'!Y661*'Model_ of_individuals'!$K661,"")</f>
        <v/>
      </c>
      <c r="Z641" s="17" t="str">
        <f>IF(ISNUMBER('Model_ of_individuals'!Z661), 'Model_ of_individuals'!Z661*'Model_ of_individuals'!$K661,"")</f>
        <v/>
      </c>
      <c r="AA641" s="17" t="str">
        <f>IF(ISNUMBER('Model_ of_individuals'!AA661), 'Model_ of_individuals'!AA661*'Model_ of_individuals'!$K661,"")</f>
        <v/>
      </c>
      <c r="AB641" s="17" t="str">
        <f>IF(ISNUMBER('Model_ of_individuals'!AB661), 'Model_ of_individuals'!AB661*'Model_ of_individuals'!$K661,"")</f>
        <v/>
      </c>
    </row>
    <row r="642" spans="1:29" x14ac:dyDescent="0.25">
      <c r="A642" s="518"/>
      <c r="B642" s="504"/>
      <c r="C642" s="110" t="str">
        <f>IF(ISNUMBER(B623), _5_6_0, "")</f>
        <v/>
      </c>
      <c r="D642" s="94" t="str">
        <f>IF(AND(C642&lt;&gt;"", 'Cost Inputs'!$G$165&lt;&gt;""), 'Cost Inputs'!$G$165, "")</f>
        <v/>
      </c>
      <c r="E642" s="94" t="str">
        <f>IF(AND(C642&lt;&gt;"", 'Cost Inputs'!$H$165&lt;&gt;""), 'Cost Inputs'!$H$165, "")</f>
        <v/>
      </c>
      <c r="F642" s="94" t="str">
        <f>IF(AND(C642&lt;&gt;"", 'Cost Inputs'!$I$165&lt;&gt;""), 'Cost Inputs'!$I$165, "")</f>
        <v/>
      </c>
      <c r="G642" s="102" t="str">
        <f t="shared" si="52"/>
        <v/>
      </c>
      <c r="H642" s="94" t="str">
        <f>IF(AND(C642&lt;&gt;"", 'Cost Inputs'!$J$165&lt;&gt;""), 'Cost Inputs'!$J$165, "")</f>
        <v/>
      </c>
      <c r="I642" s="102" t="str">
        <f>IF($C642&lt;&gt;"",IF(AND($E642&lt;&gt;"",H642&lt;&gt;""), H642/$E642, 0),"")</f>
        <v/>
      </c>
      <c r="J642" s="94" t="str">
        <f>IF(AND(C642&lt;&gt;"",('Cost Inputs'!$I$165+'Cost Inputs'!$J$165+'Cost Inputs'!$K$165)&gt;0), 'Cost Inputs'!$I$165+'Cost Inputs'!$J$165+'Cost Inputs'!$K$165, "")</f>
        <v/>
      </c>
      <c r="K642" s="102" t="str">
        <f>IF($C642&lt;&gt;"",IF(AND($E642&lt;&gt;"",J642&lt;&gt;""), J642/$E642, 0),"")</f>
        <v/>
      </c>
      <c r="L642" s="94"/>
      <c r="M642" s="103"/>
      <c r="S642" s="94" t="str">
        <f>IF(ISNUMBER('Model_ of_individuals'!S662), 'Model_ of_individuals'!S662*'Model_ of_individuals'!$K662,"")</f>
        <v/>
      </c>
      <c r="T642" s="94" t="str">
        <f>IF(ISNUMBER('Model_ of_individuals'!T662), 'Model_ of_individuals'!T662*'Model_ of_individuals'!$K662,"")</f>
        <v/>
      </c>
      <c r="U642" s="94" t="str">
        <f>IF(ISNUMBER('Model_ of_individuals'!U662), 'Model_ of_individuals'!U662*'Model_ of_individuals'!$K662,"")</f>
        <v/>
      </c>
      <c r="V642" s="94" t="str">
        <f>IF(ISNUMBER('Model_ of_individuals'!V662), 'Model_ of_individuals'!V662*'Model_ of_individuals'!$K662,"")</f>
        <v/>
      </c>
      <c r="W642" s="94" t="str">
        <f>IF(ISNUMBER('Model_ of_individuals'!W662), 'Model_ of_individuals'!W662*'Model_ of_individuals'!$K662,"")</f>
        <v/>
      </c>
      <c r="X642" s="94" t="str">
        <f>IF(ISNUMBER('Model_ of_individuals'!X662), 'Model_ of_individuals'!X662*'Model_ of_individuals'!$K662,"")</f>
        <v/>
      </c>
      <c r="Y642" s="94" t="str">
        <f>IF(ISNUMBER('Model_ of_individuals'!Y662), 'Model_ of_individuals'!Y662*'Model_ of_individuals'!$K662,"")</f>
        <v/>
      </c>
      <c r="Z642" s="94" t="str">
        <f>IF(ISNUMBER('Model_ of_individuals'!Z662), 'Model_ of_individuals'!Z662*'Model_ of_individuals'!$K662,"")</f>
        <v/>
      </c>
      <c r="AA642" s="94" t="str">
        <f>IF(ISNUMBER('Model_ of_individuals'!AA662), 'Model_ of_individuals'!AA662*'Model_ of_individuals'!$K662,"")</f>
        <v/>
      </c>
      <c r="AB642" s="94" t="str">
        <f>IF(ISNUMBER('Model_ of_individuals'!AB662), 'Model_ of_individuals'!AB662*'Model_ of_individuals'!$K662,"")</f>
        <v/>
      </c>
    </row>
    <row r="643" spans="1:29" x14ac:dyDescent="0.25">
      <c r="A643" s="518"/>
      <c r="B643" s="504"/>
      <c r="C643" s="104" t="str">
        <f>IF(AND(ISNUMBER(B623), OR('Cost Inputs'!$H$166&lt;&gt;"", 'Cost Inputs'!$I$166&lt;&gt;"", 'Cost Inputs'!$J$166&lt;&gt;"")), _5_6_1, "")</f>
        <v/>
      </c>
      <c r="D643" s="17" t="str">
        <f>IF(AND(C643&lt;&gt;"", 'Cost Inputs'!$G$166&lt;&gt;""), 'Cost Inputs'!$G$166, "")</f>
        <v/>
      </c>
      <c r="E643" s="17" t="str">
        <f>IF(AND(C643&lt;&gt;"", 'Cost Inputs'!$H$166&lt;&gt;""), 'Cost Inputs'!$H$166, "")</f>
        <v/>
      </c>
      <c r="F643" s="17" t="str">
        <f>IF(AND(C643&lt;&gt;"", 'Cost Inputs'!$I$166&lt;&gt;""), 'Cost Inputs'!$I$166, "")</f>
        <v/>
      </c>
      <c r="G643" s="105" t="str">
        <f t="shared" si="52"/>
        <v/>
      </c>
      <c r="H643" s="17" t="str">
        <f>IF(AND(C643&lt;&gt;"", 'Cost Inputs'!$J$166&lt;&gt;""), 'Cost Inputs'!$J$166, "")</f>
        <v/>
      </c>
      <c r="I643" s="17" t="str">
        <f>IF($C643&lt;&gt;"", IF(AND($E643&lt;&gt;"", H643&lt;&gt;""), H643/$E643, 0),"")</f>
        <v/>
      </c>
      <c r="J643" s="17" t="str">
        <f>IF(AND(C643&lt;&gt;"",('Cost Inputs'!$I$166+'Cost Inputs'!$J$166+'Cost Inputs'!$K$166)&gt;0), 'Cost Inputs'!$I$166+'Cost Inputs'!$J$166+'Cost Inputs'!$K$166, "")</f>
        <v/>
      </c>
      <c r="K643" s="17" t="str">
        <f>IF($C643&lt;&gt;"", IF(AND($E643&lt;&gt;"", J643&lt;&gt;""), J643/$E643, 0),"")</f>
        <v/>
      </c>
      <c r="M643" s="106"/>
      <c r="S643" s="17" t="str">
        <f>IF(ISNUMBER('Model_ of_individuals'!S663), 'Model_ of_individuals'!S663*'Model_ of_individuals'!$K663,"")</f>
        <v/>
      </c>
      <c r="T643" s="17" t="str">
        <f>IF(ISNUMBER('Model_ of_individuals'!T663), 'Model_ of_individuals'!T663*'Model_ of_individuals'!$K663,"")</f>
        <v/>
      </c>
      <c r="U643" s="17" t="str">
        <f>IF(ISNUMBER('Model_ of_individuals'!U663), 'Model_ of_individuals'!U663*'Model_ of_individuals'!$K663,"")</f>
        <v/>
      </c>
      <c r="V643" s="17" t="str">
        <f>IF(ISNUMBER('Model_ of_individuals'!V663), 'Model_ of_individuals'!V663*'Model_ of_individuals'!$K663,"")</f>
        <v/>
      </c>
      <c r="W643" s="17" t="str">
        <f>IF(ISNUMBER('Model_ of_individuals'!W663), 'Model_ of_individuals'!W663*'Model_ of_individuals'!$K663,"")</f>
        <v/>
      </c>
      <c r="X643" s="17" t="str">
        <f>IF(ISNUMBER('Model_ of_individuals'!X663), 'Model_ of_individuals'!X663*'Model_ of_individuals'!$K663,"")</f>
        <v/>
      </c>
      <c r="Y643" s="17" t="str">
        <f>IF(ISNUMBER('Model_ of_individuals'!Y663), 'Model_ of_individuals'!Y663*'Model_ of_individuals'!$K663,"")</f>
        <v/>
      </c>
      <c r="Z643" s="17" t="str">
        <f>IF(ISNUMBER('Model_ of_individuals'!Z663), 'Model_ of_individuals'!Z663*'Model_ of_individuals'!$K663,"")</f>
        <v/>
      </c>
      <c r="AA643" s="17" t="str">
        <f>IF(ISNUMBER('Model_ of_individuals'!AA663), 'Model_ of_individuals'!AA663*'Model_ of_individuals'!$K663,"")</f>
        <v/>
      </c>
      <c r="AB643" s="17" t="str">
        <f>IF(ISNUMBER('Model_ of_individuals'!AB663), 'Model_ of_individuals'!AB663*'Model_ of_individuals'!$K663,"")</f>
        <v/>
      </c>
    </row>
    <row r="644" spans="1:29" ht="15.75" thickBot="1" x14ac:dyDescent="0.3">
      <c r="A644" s="518"/>
      <c r="B644" s="505"/>
      <c r="C644" s="111" t="str">
        <f>IF(AND(ISNUMBER(B623), OR('Cost Inputs'!$H$167&lt;&gt;"", 'Cost Inputs'!$I$167&lt;&gt;"", 'Cost Inputs'!$J$167&lt;&gt;"")), _5_6_2, "")</f>
        <v/>
      </c>
      <c r="D644" s="95" t="str">
        <f>IF(AND(C644&lt;&gt;"", 'Cost Inputs'!$G$167&lt;&gt;""), 'Cost Inputs'!$G$167, "")</f>
        <v/>
      </c>
      <c r="E644" s="95" t="str">
        <f>IF(AND(C644&lt;&gt;"", 'Cost Inputs'!$H$167&lt;&gt;""), 'Cost Inputs'!$H$167, "")</f>
        <v/>
      </c>
      <c r="F644" s="95" t="str">
        <f>IF(AND(C644&lt;&gt;"", 'Cost Inputs'!$I$167&lt;&gt;""), 'Cost Inputs'!$I$167, "")</f>
        <v/>
      </c>
      <c r="G644" s="112" t="str">
        <f t="shared" si="52"/>
        <v/>
      </c>
      <c r="H644" s="95" t="str">
        <f>IF(AND(C644&lt;&gt;"", 'Cost Inputs'!$J$167&lt;&gt;""), 'Cost Inputs'!$J$167, "")</f>
        <v/>
      </c>
      <c r="I644" s="95" t="str">
        <f>IF($C644&lt;&gt;"", IF(AND($E644&lt;&gt;"", H644&lt;&gt;""), H644/$E644, 0),"")</f>
        <v/>
      </c>
      <c r="J644" s="95" t="str">
        <f>IF(AND(C644&lt;&gt;"",('Cost Inputs'!$I$167+'Cost Inputs'!$J$167+'Cost Inputs'!$K$167)&gt;0), 'Cost Inputs'!$I$167+'Cost Inputs'!$J$167+'Cost Inputs'!$K$167, "")</f>
        <v/>
      </c>
      <c r="K644" s="95" t="str">
        <f>IF($C644&lt;&gt;"", IF(AND($E644&lt;&gt;"", J644&lt;&gt;""), J644/$E644, 0),"")</f>
        <v/>
      </c>
      <c r="L644" s="95"/>
      <c r="M644" s="113"/>
      <c r="S644" s="95" t="str">
        <f>IF(ISNUMBER('Model_ of_individuals'!S664), 'Model_ of_individuals'!S664*'Model_ of_individuals'!$K664,"")</f>
        <v/>
      </c>
      <c r="T644" s="95" t="str">
        <f>IF(ISNUMBER('Model_ of_individuals'!T664), 'Model_ of_individuals'!T664*'Model_ of_individuals'!$K664,"")</f>
        <v/>
      </c>
      <c r="U644" s="95" t="str">
        <f>IF(ISNUMBER('Model_ of_individuals'!U664), 'Model_ of_individuals'!U664*'Model_ of_individuals'!$K664,"")</f>
        <v/>
      </c>
      <c r="V644" s="95" t="str">
        <f>IF(ISNUMBER('Model_ of_individuals'!V664), 'Model_ of_individuals'!V664*'Model_ of_individuals'!$K664,"")</f>
        <v/>
      </c>
      <c r="W644" s="95" t="str">
        <f>IF(ISNUMBER('Model_ of_individuals'!W664), 'Model_ of_individuals'!W664*'Model_ of_individuals'!$K664,"")</f>
        <v/>
      </c>
      <c r="X644" s="95" t="str">
        <f>IF(ISNUMBER('Model_ of_individuals'!X664), 'Model_ of_individuals'!X664*'Model_ of_individuals'!$K664,"")</f>
        <v/>
      </c>
      <c r="Y644" s="95" t="str">
        <f>IF(ISNUMBER('Model_ of_individuals'!Y664), 'Model_ of_individuals'!Y664*'Model_ of_individuals'!$K664,"")</f>
        <v/>
      </c>
      <c r="Z644" s="95" t="str">
        <f>IF(ISNUMBER('Model_ of_individuals'!Z664), 'Model_ of_individuals'!Z664*'Model_ of_individuals'!$K664,"")</f>
        <v/>
      </c>
      <c r="AA644" s="95" t="str">
        <f>IF(ISNUMBER('Model_ of_individuals'!AA664), 'Model_ of_individuals'!AA664*'Model_ of_individuals'!$K664,"")</f>
        <v/>
      </c>
      <c r="AB644" s="95" t="str">
        <f>IF(ISNUMBER('Model_ of_individuals'!AB664), 'Model_ of_individuals'!AB664*'Model_ of_individuals'!$K664,"")</f>
        <v/>
      </c>
    </row>
    <row r="645" spans="1:29" x14ac:dyDescent="0.25">
      <c r="A645" s="518" t="str">
        <f>Fifth_Stage</f>
        <v>Stage 3 Clonal Replication with Increased Repetitions</v>
      </c>
      <c r="B645" s="503" t="str">
        <f>'Breeding Inputs'!B106</f>
        <v/>
      </c>
      <c r="C645" s="520" t="str">
        <f>IF(ISNUMBER(B645), _5_3_0, "")</f>
        <v/>
      </c>
      <c r="D645" s="92" t="str">
        <f>IF(AND(C645&lt;&gt;"", 'Cost Inputs'!$G$146&lt;&gt;""), 'Cost Inputs'!$G$146, "")</f>
        <v/>
      </c>
      <c r="E645" s="92" t="str">
        <f>IF(AND(C645&lt;&gt;"", 'Cost Inputs'!$H$146&lt;&gt;""), 'Cost Inputs'!$H$146, "")</f>
        <v/>
      </c>
      <c r="F645" s="522" t="str">
        <f>IF(AND(C645&lt;&gt;"", 'Cost Inputs'!$I$146&lt;&gt;""), 'Cost Inputs'!$I$146, "")</f>
        <v/>
      </c>
      <c r="G645" s="100" t="str">
        <f t="shared" si="52"/>
        <v/>
      </c>
      <c r="H645" s="522" t="str">
        <f>IF(AND(C645&lt;&gt;"", 'Cost Inputs'!$J$146&lt;&gt;""), 'Cost Inputs'!$J$146, "")</f>
        <v/>
      </c>
      <c r="I645" s="100" t="str">
        <f>IF($C645&lt;&gt;"",IF(AND($E645&lt;&gt;"",H645&lt;&gt;""), H645/$E645, 0),"")</f>
        <v/>
      </c>
      <c r="J645" s="522" t="str">
        <f>IF(AND(C645&lt;&gt;"",('Cost Inputs'!$I$146+'Cost Inputs'!$J$146+'Cost Inputs'!$K$146)&gt;0), 'Cost Inputs'!$I$146+'Cost Inputs'!$J$146+'Cost Inputs'!$K$146, "")</f>
        <v/>
      </c>
      <c r="K645" s="100" t="str">
        <f>IF($C645&lt;&gt;"",IF(AND($E645&lt;&gt;"",J645&lt;&gt;""), J645/$E645, 0),"")</f>
        <v/>
      </c>
      <c r="L645" s="92"/>
      <c r="M645" s="101"/>
      <c r="T645" s="492" t="str">
        <f>IF(ISNUMBER('Model_ of_individuals'!T665), 'Model_ of_individuals'!T665*'Model_ of_individuals'!$K665,"")</f>
        <v/>
      </c>
      <c r="U645" s="492" t="str">
        <f>IF(ISNUMBER('Model_ of_individuals'!U665), 'Model_ of_individuals'!U665*'Model_ of_individuals'!$K665,"")</f>
        <v/>
      </c>
      <c r="V645" s="492" t="str">
        <f>IF(ISNUMBER('Model_ of_individuals'!V665), 'Model_ of_individuals'!V665*'Model_ of_individuals'!$K665,"")</f>
        <v/>
      </c>
      <c r="W645" s="492" t="str">
        <f>IF(ISNUMBER('Model_ of_individuals'!W665), 'Model_ of_individuals'!W665*'Model_ of_individuals'!$K665,"")</f>
        <v/>
      </c>
      <c r="X645" s="492" t="str">
        <f>IF(ISNUMBER('Model_ of_individuals'!X665), 'Model_ of_individuals'!X665*'Model_ of_individuals'!$K665,"")</f>
        <v/>
      </c>
      <c r="Y645" s="492" t="str">
        <f>IF(ISNUMBER('Model_ of_individuals'!Y665), 'Model_ of_individuals'!Y665*'Model_ of_individuals'!$K665,"")</f>
        <v/>
      </c>
      <c r="Z645" s="492" t="str">
        <f>IF(ISNUMBER('Model_ of_individuals'!Z665), 'Model_ of_individuals'!Z665*'Model_ of_individuals'!$K665,"")</f>
        <v/>
      </c>
      <c r="AA645" s="492" t="str">
        <f>IF(ISNUMBER('Model_ of_individuals'!AA665), 'Model_ of_individuals'!AA665*'Model_ of_individuals'!$K665,"")</f>
        <v/>
      </c>
      <c r="AB645" s="492" t="str">
        <f>IF(ISNUMBER('Model_ of_individuals'!AB665), 'Model_ of_individuals'!AB665*'Model_ of_individuals'!$K665,"")</f>
        <v/>
      </c>
      <c r="AC645" s="492" t="str">
        <f>IF(ISNUMBER('Model_ of_individuals'!AC665), 'Model_ of_individuals'!AC665*'Model_ of_individuals'!$K665,"")</f>
        <v/>
      </c>
    </row>
    <row r="646" spans="1:29" x14ac:dyDescent="0.25">
      <c r="A646" s="518"/>
      <c r="B646" s="504"/>
      <c r="C646" s="521"/>
      <c r="D646" s="94" t="str">
        <f>IF(AND(C645&lt;&gt;"", 'Cost Inputs'!$G$147&lt;&gt;""), 'Cost Inputs'!$G$147, "")</f>
        <v/>
      </c>
      <c r="E646" s="94" t="str">
        <f>IF(AND(C645&lt;&gt;"", 'Cost Inputs'!$H$147&lt;&gt;""), 'Cost Inputs'!$H$147, "")</f>
        <v/>
      </c>
      <c r="F646" s="492"/>
      <c r="G646" s="102" t="str">
        <f t="shared" si="52"/>
        <v/>
      </c>
      <c r="H646" s="492"/>
      <c r="I646" s="102" t="str">
        <f>IF($C645&lt;&gt;"", IF(AND($E646&lt;&gt;"", H645&lt;&gt;""), H645/($E645*$E646), 0), "")</f>
        <v/>
      </c>
      <c r="J646" s="492" t="str">
        <f>IF(AND(C646&lt;&gt;"",('Cost Inputs'!$I$86+'Cost Inputs'!$J$86+'Cost Inputs'!$K$86)&gt;0), 'Cost Inputs'!$I$86+'Cost Inputs'!$J$86+'Cost Inputs'!$K$86, "")</f>
        <v/>
      </c>
      <c r="K646" s="102" t="str">
        <f>IF($C645&lt;&gt;"", IF(AND($E646&lt;&gt;"", J645&lt;&gt;""), J645/($E645*$E646), 0), "")</f>
        <v/>
      </c>
      <c r="L646" s="94"/>
      <c r="M646" s="103"/>
      <c r="T646" s="492" t="str">
        <f>IF(ISNUMBER('Model_ of_individuals'!T666), 'Model_ of_individuals'!T666*'Model_ of_individuals'!$K666,"")</f>
        <v/>
      </c>
      <c r="U646" s="492" t="str">
        <f>IF(ISNUMBER('Model_ of_individuals'!U666), 'Model_ of_individuals'!U666*'Model_ of_individuals'!$K666,"")</f>
        <v/>
      </c>
      <c r="V646" s="492" t="str">
        <f>IF(ISNUMBER('Model_ of_individuals'!V666), 'Model_ of_individuals'!V666*'Model_ of_individuals'!$K666,"")</f>
        <v/>
      </c>
      <c r="W646" s="492" t="str">
        <f>IF(ISNUMBER('Model_ of_individuals'!W666), 'Model_ of_individuals'!W666*'Model_ of_individuals'!$K666,"")</f>
        <v/>
      </c>
      <c r="X646" s="492" t="str">
        <f>IF(ISNUMBER('Model_ of_individuals'!X666), 'Model_ of_individuals'!X666*'Model_ of_individuals'!$K666,"")</f>
        <v/>
      </c>
      <c r="Y646" s="492" t="str">
        <f>IF(ISNUMBER('Model_ of_individuals'!Y666), 'Model_ of_individuals'!Y666*'Model_ of_individuals'!$K666,"")</f>
        <v/>
      </c>
      <c r="Z646" s="492" t="str">
        <f>IF(ISNUMBER('Model_ of_individuals'!Z666), 'Model_ of_individuals'!Z666*'Model_ of_individuals'!$K666,"")</f>
        <v/>
      </c>
      <c r="AA646" s="492" t="str">
        <f>IF(ISNUMBER('Model_ of_individuals'!AA666), 'Model_ of_individuals'!AA666*'Model_ of_individuals'!$K666,"")</f>
        <v/>
      </c>
      <c r="AB646" s="492" t="str">
        <f>IF(ISNUMBER('Model_ of_individuals'!AB666), 'Model_ of_individuals'!AB666*'Model_ of_individuals'!$K666,"")</f>
        <v/>
      </c>
      <c r="AC646" s="492" t="str">
        <f>IF(ISNUMBER('Model_ of_individuals'!AC666), 'Model_ of_individuals'!AC666*'Model_ of_individuals'!$K666,"")</f>
        <v/>
      </c>
    </row>
    <row r="647" spans="1:29" x14ac:dyDescent="0.25">
      <c r="A647" s="518"/>
      <c r="B647" s="504"/>
      <c r="C647" s="104" t="str">
        <f>IF(AND(ISNUMBER(B645), OR('Cost Inputs'!$H$148&lt;&gt;"", 'Cost Inputs'!$I$148&lt;&gt;"", 'Cost Inputs'!$J$148&lt;&gt;"")), _5_3_1, "")</f>
        <v/>
      </c>
      <c r="D647" s="17" t="str">
        <f>IF(AND(C647&lt;&gt;"", 'Cost Inputs'!$G$148&lt;&gt;""), 'Cost Inputs'!$G$148, "")</f>
        <v/>
      </c>
      <c r="E647" s="17" t="str">
        <f>IF(AND(C647&lt;&gt;"", 'Cost Inputs'!$H$148&lt;&gt;""), 'Cost Inputs'!$H$148, "")</f>
        <v/>
      </c>
      <c r="F647" s="17" t="str">
        <f>IF(AND(C647&lt;&gt;"", 'Cost Inputs'!$I$148&lt;&gt;""), 'Cost Inputs'!$I$148, "")</f>
        <v/>
      </c>
      <c r="G647" s="105" t="str">
        <f t="shared" si="52"/>
        <v/>
      </c>
      <c r="H647" s="17" t="str">
        <f>IF(AND(C647&lt;&gt;"", 'Cost Inputs'!$J$148&lt;&gt;""), 'Cost Inputs'!$J$148, "")</f>
        <v/>
      </c>
      <c r="I647" s="17" t="str">
        <f t="shared" ref="I647:I655" si="57">IF($C647&lt;&gt;"", IF(AND($E647&lt;&gt;"", H647&lt;&gt;""), H647/$E647, 0),"")</f>
        <v/>
      </c>
      <c r="J647" s="17" t="str">
        <f>IF(AND(C647&lt;&gt;"",('Cost Inputs'!$I$148+'Cost Inputs'!$J$148+'Cost Inputs'!$K$148)&gt;0), 'Cost Inputs'!$I$148+'Cost Inputs'!$J$148+'Cost Inputs'!$K$148, "")</f>
        <v/>
      </c>
      <c r="K647" s="17" t="str">
        <f t="shared" ref="K647:K655" si="58">IF($C647&lt;&gt;"", IF(AND($E647&lt;&gt;"", J647&lt;&gt;""), J647/$E647, 0),"")</f>
        <v/>
      </c>
      <c r="M647" s="106"/>
      <c r="T647" s="17" t="str">
        <f>IF(ISNUMBER('Model_ of_individuals'!T667), 'Model_ of_individuals'!T667*'Model_ of_individuals'!$K667,"")</f>
        <v/>
      </c>
      <c r="U647" s="17" t="str">
        <f>IF(ISNUMBER('Model_ of_individuals'!U667), 'Model_ of_individuals'!U667*'Model_ of_individuals'!$K667,"")</f>
        <v/>
      </c>
      <c r="V647" s="17" t="str">
        <f>IF(ISNUMBER('Model_ of_individuals'!V667), 'Model_ of_individuals'!V667*'Model_ of_individuals'!$K667,"")</f>
        <v/>
      </c>
      <c r="W647" s="17" t="str">
        <f>IF(ISNUMBER('Model_ of_individuals'!W667), 'Model_ of_individuals'!W667*'Model_ of_individuals'!$K667,"")</f>
        <v/>
      </c>
      <c r="X647" s="17" t="str">
        <f>IF(ISNUMBER('Model_ of_individuals'!X667), 'Model_ of_individuals'!X667*'Model_ of_individuals'!$K667,"")</f>
        <v/>
      </c>
      <c r="Y647" s="17" t="str">
        <f>IF(ISNUMBER('Model_ of_individuals'!Y667), 'Model_ of_individuals'!Y667*'Model_ of_individuals'!$K667,"")</f>
        <v/>
      </c>
      <c r="Z647" s="17" t="str">
        <f>IF(ISNUMBER('Model_ of_individuals'!Z667), 'Model_ of_individuals'!Z667*'Model_ of_individuals'!$K667,"")</f>
        <v/>
      </c>
      <c r="AA647" s="17" t="str">
        <f>IF(ISNUMBER('Model_ of_individuals'!AA667), 'Model_ of_individuals'!AA667*'Model_ of_individuals'!$K667,"")</f>
        <v/>
      </c>
      <c r="AB647" s="17" t="str">
        <f>IF(ISNUMBER('Model_ of_individuals'!AB667), 'Model_ of_individuals'!AB667*'Model_ of_individuals'!$K667,"")</f>
        <v/>
      </c>
      <c r="AC647" s="17" t="str">
        <f>IF(ISNUMBER('Model_ of_individuals'!AC667), 'Model_ of_individuals'!AC667*'Model_ of_individuals'!$K667,"")</f>
        <v/>
      </c>
    </row>
    <row r="648" spans="1:29" x14ac:dyDescent="0.25">
      <c r="A648" s="518"/>
      <c r="B648" s="504"/>
      <c r="C648" s="107" t="str">
        <f>IF(AND(ISNUMBER(B645), OR('Cost Inputs'!$H$149&lt;&gt;"", 'Cost Inputs'!$I$149&lt;&gt;"", 'Cost Inputs'!$J$149&lt;&gt;"")), _5_3_2, "")</f>
        <v/>
      </c>
      <c r="D648" s="93" t="str">
        <f>IF(AND(C648&lt;&gt;"", 'Cost Inputs'!$G$149&lt;&gt;""), 'Cost Inputs'!$G$149, "")</f>
        <v/>
      </c>
      <c r="E648" s="93" t="str">
        <f>IF(AND(C648&lt;&gt;"", 'Cost Inputs'!$H$149&lt;&gt;""), 'Cost Inputs'!$H$149, "")</f>
        <v/>
      </c>
      <c r="F648" s="93" t="str">
        <f>IF(AND(C648&lt;&gt;"", 'Cost Inputs'!$I$149&lt;&gt;""), 'Cost Inputs'!$I$149, "")</f>
        <v/>
      </c>
      <c r="G648" s="108" t="str">
        <f t="shared" si="52"/>
        <v/>
      </c>
      <c r="H648" s="93" t="str">
        <f>IF(AND(C648&lt;&gt;"", 'Cost Inputs'!$J$149&lt;&gt;""), 'Cost Inputs'!$J$149, "")</f>
        <v/>
      </c>
      <c r="I648" s="93" t="str">
        <f t="shared" si="57"/>
        <v/>
      </c>
      <c r="J648" s="93" t="str">
        <f>IF(AND(C648&lt;&gt;"",('Cost Inputs'!$I$149+'Cost Inputs'!$J$149+'Cost Inputs'!$K$149)&gt;0), 'Cost Inputs'!$I$149+'Cost Inputs'!$J$149+'Cost Inputs'!$K$149, "")</f>
        <v/>
      </c>
      <c r="K648" s="93" t="str">
        <f t="shared" si="58"/>
        <v/>
      </c>
      <c r="L648" s="93"/>
      <c r="M648" s="109"/>
      <c r="T648" s="93" t="str">
        <f>IF(ISNUMBER('Model_ of_individuals'!T668), 'Model_ of_individuals'!T668*'Model_ of_individuals'!$K668,"")</f>
        <v/>
      </c>
      <c r="U648" s="93" t="str">
        <f>IF(ISNUMBER('Model_ of_individuals'!U668), 'Model_ of_individuals'!U668*'Model_ of_individuals'!$K668,"")</f>
        <v/>
      </c>
      <c r="V648" s="93" t="str">
        <f>IF(ISNUMBER('Model_ of_individuals'!V668), 'Model_ of_individuals'!V668*'Model_ of_individuals'!$K668,"")</f>
        <v/>
      </c>
      <c r="W648" s="93" t="str">
        <f>IF(ISNUMBER('Model_ of_individuals'!W668), 'Model_ of_individuals'!W668*'Model_ of_individuals'!$K668,"")</f>
        <v/>
      </c>
      <c r="X648" s="93" t="str">
        <f>IF(ISNUMBER('Model_ of_individuals'!X668), 'Model_ of_individuals'!X668*'Model_ of_individuals'!$K668,"")</f>
        <v/>
      </c>
      <c r="Y648" s="93" t="str">
        <f>IF(ISNUMBER('Model_ of_individuals'!Y668), 'Model_ of_individuals'!Y668*'Model_ of_individuals'!$K668,"")</f>
        <v/>
      </c>
      <c r="Z648" s="93" t="str">
        <f>IF(ISNUMBER('Model_ of_individuals'!Z668), 'Model_ of_individuals'!Z668*'Model_ of_individuals'!$K668,"")</f>
        <v/>
      </c>
      <c r="AA648" s="93" t="str">
        <f>IF(ISNUMBER('Model_ of_individuals'!AA668), 'Model_ of_individuals'!AA668*'Model_ of_individuals'!$K668,"")</f>
        <v/>
      </c>
      <c r="AB648" s="93" t="str">
        <f>IF(ISNUMBER('Model_ of_individuals'!AB668), 'Model_ of_individuals'!AB668*'Model_ of_individuals'!$K668,"")</f>
        <v/>
      </c>
      <c r="AC648" s="93" t="str">
        <f>IF(ISNUMBER('Model_ of_individuals'!AC668), 'Model_ of_individuals'!AC668*'Model_ of_individuals'!$K668,"")</f>
        <v/>
      </c>
    </row>
    <row r="649" spans="1:29" x14ac:dyDescent="0.25">
      <c r="A649" s="518"/>
      <c r="B649" s="504"/>
      <c r="C649" s="110" t="str">
        <f>IF(ISNUMBER(B645), _5_4_0, "")</f>
        <v/>
      </c>
      <c r="D649" s="94" t="str">
        <f>IF(AND(C649&lt;&gt;"", 'Cost Inputs'!$G$150&lt;&gt;""), 'Cost Inputs'!$G$150, "")</f>
        <v/>
      </c>
      <c r="E649" s="94" t="str">
        <f>IF(AND(C649&lt;&gt;"", 'Cost Inputs'!$H$150&lt;&gt;""), 'Cost Inputs'!$H$150, "")</f>
        <v/>
      </c>
      <c r="F649" s="94" t="str">
        <f>IF(AND(C649&lt;&gt;"", 'Cost Inputs'!$I$150&lt;&gt;""), 'Cost Inputs'!$I$150, "")</f>
        <v/>
      </c>
      <c r="G649" s="102" t="str">
        <f t="shared" si="52"/>
        <v/>
      </c>
      <c r="H649" s="102" t="str">
        <f>IF(AND(C649&lt;&gt;"", 'Cost Inputs'!$J$150&lt;&gt;""), 'Cost Inputs'!$J$150, "")</f>
        <v/>
      </c>
      <c r="I649" s="102" t="str">
        <f t="shared" si="57"/>
        <v/>
      </c>
      <c r="J649" s="102" t="str">
        <f>IF(AND(C649&lt;&gt;"",('Cost Inputs'!$I$150+'Cost Inputs'!$J$150+'Cost Inputs'!$K$150)&gt;0), 'Cost Inputs'!$I$150+'Cost Inputs'!$J$150+'Cost Inputs'!$K$150, "")</f>
        <v/>
      </c>
      <c r="K649" s="102" t="str">
        <f t="shared" si="58"/>
        <v/>
      </c>
      <c r="L649" s="94"/>
      <c r="M649" s="103"/>
      <c r="T649" s="102" t="str">
        <f>IF(ISNUMBER('Model_ of_individuals'!T669), 'Model_ of_individuals'!T669*'Model_ of_individuals'!$K669,"")</f>
        <v/>
      </c>
      <c r="U649" s="102" t="str">
        <f>IF(ISNUMBER('Model_ of_individuals'!U669), 'Model_ of_individuals'!U669*'Model_ of_individuals'!$K669,"")</f>
        <v/>
      </c>
      <c r="V649" s="102" t="str">
        <f>IF(ISNUMBER('Model_ of_individuals'!V669), 'Model_ of_individuals'!V669*'Model_ of_individuals'!$K669,"")</f>
        <v/>
      </c>
      <c r="W649" s="102" t="str">
        <f>IF(ISNUMBER('Model_ of_individuals'!W669), 'Model_ of_individuals'!W669*'Model_ of_individuals'!$K669,"")</f>
        <v/>
      </c>
      <c r="X649" s="102" t="str">
        <f>IF(ISNUMBER('Model_ of_individuals'!X669), 'Model_ of_individuals'!X669*'Model_ of_individuals'!$K669,"")</f>
        <v/>
      </c>
      <c r="Y649" s="102" t="str">
        <f>IF(ISNUMBER('Model_ of_individuals'!Y669), 'Model_ of_individuals'!Y669*'Model_ of_individuals'!$K669,"")</f>
        <v/>
      </c>
      <c r="Z649" s="102" t="str">
        <f>IF(ISNUMBER('Model_ of_individuals'!Z669), 'Model_ of_individuals'!Z669*'Model_ of_individuals'!$K669,"")</f>
        <v/>
      </c>
      <c r="AA649" s="102" t="str">
        <f>IF(ISNUMBER('Model_ of_individuals'!AA669), 'Model_ of_individuals'!AA669*'Model_ of_individuals'!$K669,"")</f>
        <v/>
      </c>
      <c r="AB649" s="102" t="str">
        <f>IF(ISNUMBER('Model_ of_individuals'!AB669), 'Model_ of_individuals'!AB669*'Model_ of_individuals'!$K669,"")</f>
        <v/>
      </c>
      <c r="AC649" s="102" t="str">
        <f>IF(ISNUMBER('Model_ of_individuals'!AC669), 'Model_ of_individuals'!AC669*'Model_ of_individuals'!$K669,"")</f>
        <v/>
      </c>
    </row>
    <row r="650" spans="1:29" x14ac:dyDescent="0.25">
      <c r="A650" s="518"/>
      <c r="B650" s="504"/>
      <c r="C650" s="104" t="str">
        <f>IF(AND(ISNUMBER(B645), OR('Cost Inputs'!$H$151&lt;&gt;"", 'Cost Inputs'!$I$151&lt;&gt;"", 'Cost Inputs'!$J$151&lt;&gt;"")), _5_4_1, "")</f>
        <v/>
      </c>
      <c r="D650" s="17" t="str">
        <f>IF(AND(C650&lt;&gt;"", 'Cost Inputs'!$G$151&lt;&gt;""), 'Cost Inputs'!$G$151, "")</f>
        <v/>
      </c>
      <c r="E650" s="17" t="str">
        <f>IF(AND(C650&lt;&gt;"", 'Cost Inputs'!$H$151&lt;&gt;""), 'Cost Inputs'!$H$151, "")</f>
        <v/>
      </c>
      <c r="F650" s="17" t="str">
        <f>IF(AND(C650&lt;&gt;"", 'Cost Inputs'!$I$151&lt;&gt;""), 'Cost Inputs'!$I$151, "")</f>
        <v/>
      </c>
      <c r="G650" s="105" t="str">
        <f t="shared" si="52"/>
        <v/>
      </c>
      <c r="H650" s="17" t="str">
        <f>IF(AND(C650&lt;&gt;"", 'Cost Inputs'!$J$151&lt;&gt;""), 'Cost Inputs'!$J$151, "")</f>
        <v/>
      </c>
      <c r="I650" s="17" t="str">
        <f t="shared" si="57"/>
        <v/>
      </c>
      <c r="J650" s="17" t="str">
        <f>IF(AND(C650&lt;&gt;"",('Cost Inputs'!$I$151+'Cost Inputs'!$J$151+'Cost Inputs'!$K$151)&gt;0), 'Cost Inputs'!$I$151+'Cost Inputs'!$J$151+'Cost Inputs'!$K$151, "")</f>
        <v/>
      </c>
      <c r="K650" s="17" t="str">
        <f t="shared" si="58"/>
        <v/>
      </c>
      <c r="M650" s="106"/>
      <c r="T650" s="17" t="str">
        <f>IF(ISNUMBER('Model_ of_individuals'!T670), 'Model_ of_individuals'!T670*'Model_ of_individuals'!$K670,"")</f>
        <v/>
      </c>
      <c r="U650" s="17" t="str">
        <f>IF(ISNUMBER('Model_ of_individuals'!U670), 'Model_ of_individuals'!U670*'Model_ of_individuals'!$K670,"")</f>
        <v/>
      </c>
      <c r="V650" s="17" t="str">
        <f>IF(ISNUMBER('Model_ of_individuals'!V670), 'Model_ of_individuals'!V670*'Model_ of_individuals'!$K670,"")</f>
        <v/>
      </c>
      <c r="W650" s="17" t="str">
        <f>IF(ISNUMBER('Model_ of_individuals'!W670), 'Model_ of_individuals'!W670*'Model_ of_individuals'!$K670,"")</f>
        <v/>
      </c>
      <c r="X650" s="17" t="str">
        <f>IF(ISNUMBER('Model_ of_individuals'!X670), 'Model_ of_individuals'!X670*'Model_ of_individuals'!$K670,"")</f>
        <v/>
      </c>
      <c r="Y650" s="17" t="str">
        <f>IF(ISNUMBER('Model_ of_individuals'!Y670), 'Model_ of_individuals'!Y670*'Model_ of_individuals'!$K670,"")</f>
        <v/>
      </c>
      <c r="Z650" s="17" t="str">
        <f>IF(ISNUMBER('Model_ of_individuals'!Z670), 'Model_ of_individuals'!Z670*'Model_ of_individuals'!$K670,"")</f>
        <v/>
      </c>
      <c r="AA650" s="17" t="str">
        <f>IF(ISNUMBER('Model_ of_individuals'!AA670), 'Model_ of_individuals'!AA670*'Model_ of_individuals'!$K670,"")</f>
        <v/>
      </c>
      <c r="AB650" s="17" t="str">
        <f>IF(ISNUMBER('Model_ of_individuals'!AB670), 'Model_ of_individuals'!AB670*'Model_ of_individuals'!$K670,"")</f>
        <v/>
      </c>
      <c r="AC650" s="17" t="str">
        <f>IF(ISNUMBER('Model_ of_individuals'!AC670), 'Model_ of_individuals'!AC670*'Model_ of_individuals'!$K670,"")</f>
        <v/>
      </c>
    </row>
    <row r="651" spans="1:29" x14ac:dyDescent="0.25">
      <c r="A651" s="518"/>
      <c r="B651" s="504"/>
      <c r="C651" s="107" t="str">
        <f>IF(AND(ISNUMBER(B645), OR('Cost Inputs'!$H$152&lt;&gt;"", 'Cost Inputs'!$I$152&lt;&gt;"", 'Cost Inputs'!$J$152&lt;&gt;"")), _5_4_2, "")</f>
        <v/>
      </c>
      <c r="D651" s="93" t="str">
        <f>IF(AND(C651&lt;&gt;"", 'Cost Inputs'!$G$152&lt;&gt;""), 'Cost Inputs'!$G$152, "")</f>
        <v/>
      </c>
      <c r="E651" s="93" t="str">
        <f>IF(AND(C651&lt;&gt;"", 'Cost Inputs'!$H$152&lt;&gt;""), 'Cost Inputs'!$H$152, "")</f>
        <v/>
      </c>
      <c r="F651" s="93" t="str">
        <f>IF(AND(C651&lt;&gt;"", 'Cost Inputs'!$I$152&lt;&gt;""), 'Cost Inputs'!$I$152, "")</f>
        <v/>
      </c>
      <c r="G651" s="108" t="str">
        <f t="shared" si="52"/>
        <v/>
      </c>
      <c r="H651" s="93" t="str">
        <f>IF(AND(C651&lt;&gt;"", 'Cost Inputs'!$J$152&lt;&gt;""), 'Cost Inputs'!$J$152, "")</f>
        <v/>
      </c>
      <c r="I651" s="93" t="str">
        <f t="shared" si="57"/>
        <v/>
      </c>
      <c r="J651" s="93" t="str">
        <f>IF(AND(C651&lt;&gt;"",('Cost Inputs'!$I$152+'Cost Inputs'!$J$152+'Cost Inputs'!$K$152)&gt;0), 'Cost Inputs'!$I$152+'Cost Inputs'!$J$152+'Cost Inputs'!$K$152, "")</f>
        <v/>
      </c>
      <c r="K651" s="93" t="str">
        <f t="shared" si="58"/>
        <v/>
      </c>
      <c r="L651" s="93"/>
      <c r="M651" s="109"/>
      <c r="T651" s="93" t="str">
        <f>IF(ISNUMBER('Model_ of_individuals'!T671), 'Model_ of_individuals'!T671*'Model_ of_individuals'!$K671,"")</f>
        <v/>
      </c>
      <c r="U651" s="93" t="str">
        <f>IF(ISNUMBER('Model_ of_individuals'!U671), 'Model_ of_individuals'!U671*'Model_ of_individuals'!$K671,"")</f>
        <v/>
      </c>
      <c r="V651" s="93" t="str">
        <f>IF(ISNUMBER('Model_ of_individuals'!V671), 'Model_ of_individuals'!V671*'Model_ of_individuals'!$K671,"")</f>
        <v/>
      </c>
      <c r="W651" s="93" t="str">
        <f>IF(ISNUMBER('Model_ of_individuals'!W671), 'Model_ of_individuals'!W671*'Model_ of_individuals'!$K671,"")</f>
        <v/>
      </c>
      <c r="X651" s="93" t="str">
        <f>IF(ISNUMBER('Model_ of_individuals'!X671), 'Model_ of_individuals'!X671*'Model_ of_individuals'!$K671,"")</f>
        <v/>
      </c>
      <c r="Y651" s="93" t="str">
        <f>IF(ISNUMBER('Model_ of_individuals'!Y671), 'Model_ of_individuals'!Y671*'Model_ of_individuals'!$K671,"")</f>
        <v/>
      </c>
      <c r="Z651" s="93" t="str">
        <f>IF(ISNUMBER('Model_ of_individuals'!Z671), 'Model_ of_individuals'!Z671*'Model_ of_individuals'!$K671,"")</f>
        <v/>
      </c>
      <c r="AA651" s="93" t="str">
        <f>IF(ISNUMBER('Model_ of_individuals'!AA671), 'Model_ of_individuals'!AA671*'Model_ of_individuals'!$K671,"")</f>
        <v/>
      </c>
      <c r="AB651" s="93" t="str">
        <f>IF(ISNUMBER('Model_ of_individuals'!AB671), 'Model_ of_individuals'!AB671*'Model_ of_individuals'!$K671,"")</f>
        <v/>
      </c>
      <c r="AC651" s="93" t="str">
        <f>IF(ISNUMBER('Model_ of_individuals'!AC671), 'Model_ of_individuals'!AC671*'Model_ of_individuals'!$K671,"")</f>
        <v/>
      </c>
    </row>
    <row r="652" spans="1:29" x14ac:dyDescent="0.25">
      <c r="A652" s="518"/>
      <c r="B652" s="504"/>
      <c r="C652" s="104" t="str">
        <f>IF(AND(ISNUMBER(B645), OR('Cost Inputs'!$H$153&lt;&gt;"", 'Cost Inputs'!$I$153&lt;&gt;"", 'Cost Inputs'!$J$153&lt;&gt;"")), _5_4_3, "")</f>
        <v/>
      </c>
      <c r="D652" s="17" t="str">
        <f>IF(AND(C652&lt;&gt;"", 'Cost Inputs'!$G$153&lt;&gt;""), 'Cost Inputs'!$G$153, "")</f>
        <v/>
      </c>
      <c r="E652" s="17" t="str">
        <f>IF(AND(C652&lt;&gt;"", 'Cost Inputs'!$H$153&lt;&gt;""), 'Cost Inputs'!$H$153, "")</f>
        <v/>
      </c>
      <c r="F652" s="17" t="str">
        <f>IF(AND(C652&lt;&gt;"", 'Cost Inputs'!$I$153&lt;&gt;""), 'Cost Inputs'!$I$153, "")</f>
        <v/>
      </c>
      <c r="G652" s="105" t="str">
        <f t="shared" si="52"/>
        <v/>
      </c>
      <c r="H652" s="17" t="str">
        <f>IF(AND(C652&lt;&gt;"", 'Cost Inputs'!$J$153&lt;&gt;""), 'Cost Inputs'!$J$153, "")</f>
        <v/>
      </c>
      <c r="I652" s="17" t="str">
        <f t="shared" si="57"/>
        <v/>
      </c>
      <c r="J652" s="17" t="str">
        <f>IF(AND(C652&lt;&gt;"",('Cost Inputs'!$I$153+'Cost Inputs'!$J$153+'Cost Inputs'!$K$153)&gt;0), 'Cost Inputs'!$I$153+'Cost Inputs'!$J$153+'Cost Inputs'!$K$153, "")</f>
        <v/>
      </c>
      <c r="K652" s="17" t="str">
        <f t="shared" si="58"/>
        <v/>
      </c>
      <c r="M652" s="106"/>
      <c r="T652" s="17" t="str">
        <f>IF(ISNUMBER('Model_ of_individuals'!T672), 'Model_ of_individuals'!T672*'Model_ of_individuals'!$K672,"")</f>
        <v/>
      </c>
      <c r="U652" s="17" t="str">
        <f>IF(ISNUMBER('Model_ of_individuals'!U672), 'Model_ of_individuals'!U672*'Model_ of_individuals'!$K672,"")</f>
        <v/>
      </c>
      <c r="V652" s="17" t="str">
        <f>IF(ISNUMBER('Model_ of_individuals'!V672), 'Model_ of_individuals'!V672*'Model_ of_individuals'!$K672,"")</f>
        <v/>
      </c>
      <c r="W652" s="17" t="str">
        <f>IF(ISNUMBER('Model_ of_individuals'!W672), 'Model_ of_individuals'!W672*'Model_ of_individuals'!$K672,"")</f>
        <v/>
      </c>
      <c r="X652" s="17" t="str">
        <f>IF(ISNUMBER('Model_ of_individuals'!X672), 'Model_ of_individuals'!X672*'Model_ of_individuals'!$K672,"")</f>
        <v/>
      </c>
      <c r="Y652" s="17" t="str">
        <f>IF(ISNUMBER('Model_ of_individuals'!Y672), 'Model_ of_individuals'!Y672*'Model_ of_individuals'!$K672,"")</f>
        <v/>
      </c>
      <c r="Z652" s="17" t="str">
        <f>IF(ISNUMBER('Model_ of_individuals'!Z672), 'Model_ of_individuals'!Z672*'Model_ of_individuals'!$K672,"")</f>
        <v/>
      </c>
      <c r="AA652" s="17" t="str">
        <f>IF(ISNUMBER('Model_ of_individuals'!AA672), 'Model_ of_individuals'!AA672*'Model_ of_individuals'!$K672,"")</f>
        <v/>
      </c>
      <c r="AB652" s="17" t="str">
        <f>IF(ISNUMBER('Model_ of_individuals'!AB672), 'Model_ of_individuals'!AB672*'Model_ of_individuals'!$K672,"")</f>
        <v/>
      </c>
      <c r="AC652" s="17" t="str">
        <f>IF(ISNUMBER('Model_ of_individuals'!AC672), 'Model_ of_individuals'!AC672*'Model_ of_individuals'!$K672,"")</f>
        <v/>
      </c>
    </row>
    <row r="653" spans="1:29" x14ac:dyDescent="0.25">
      <c r="A653" s="518"/>
      <c r="B653" s="504"/>
      <c r="C653" s="107" t="str">
        <f>IF(AND(ISNUMBER(B645), OR('Cost Inputs'!$H$154&lt;&gt;"", 'Cost Inputs'!$I$154&lt;&gt;"", 'Cost Inputs'!$J$154&lt;&gt;"")), _5_4_4, "")</f>
        <v/>
      </c>
      <c r="D653" s="93" t="str">
        <f>IF(AND(C653&lt;&gt;"", 'Cost Inputs'!$G$154&lt;&gt;""), 'Cost Inputs'!$G$154, "")</f>
        <v/>
      </c>
      <c r="E653" s="93" t="str">
        <f>IF(AND(C653&lt;&gt;"", 'Cost Inputs'!$H$154&lt;&gt;""), 'Cost Inputs'!$H$154, "")</f>
        <v/>
      </c>
      <c r="F653" s="93" t="str">
        <f>IF(AND(C653&lt;&gt;"", 'Cost Inputs'!$I$154&lt;&gt;""), 'Cost Inputs'!$I$154, "")</f>
        <v/>
      </c>
      <c r="G653" s="108" t="str">
        <f t="shared" si="52"/>
        <v/>
      </c>
      <c r="H653" s="93" t="str">
        <f>IF(AND(C653&lt;&gt;"", 'Cost Inputs'!$J$154&lt;&gt;""), 'Cost Inputs'!$J$154, "")</f>
        <v/>
      </c>
      <c r="I653" s="93" t="str">
        <f t="shared" si="57"/>
        <v/>
      </c>
      <c r="J653" s="93" t="str">
        <f>IF(AND(C653&lt;&gt;"",('Cost Inputs'!$I$154+'Cost Inputs'!$J$154+'Cost Inputs'!$K$154)&gt;0), 'Cost Inputs'!$I$154+'Cost Inputs'!$J$154+'Cost Inputs'!$K$154, "")</f>
        <v/>
      </c>
      <c r="K653" s="93" t="str">
        <f t="shared" si="58"/>
        <v/>
      </c>
      <c r="L653" s="93"/>
      <c r="M653" s="109"/>
      <c r="T653" s="93" t="str">
        <f>IF(ISNUMBER('Model_ of_individuals'!T673), 'Model_ of_individuals'!T673*'Model_ of_individuals'!$K673,"")</f>
        <v/>
      </c>
      <c r="U653" s="93" t="str">
        <f>IF(ISNUMBER('Model_ of_individuals'!U673), 'Model_ of_individuals'!U673*'Model_ of_individuals'!$K673,"")</f>
        <v/>
      </c>
      <c r="V653" s="93" t="str">
        <f>IF(ISNUMBER('Model_ of_individuals'!V673), 'Model_ of_individuals'!V673*'Model_ of_individuals'!$K673,"")</f>
        <v/>
      </c>
      <c r="W653" s="93" t="str">
        <f>IF(ISNUMBER('Model_ of_individuals'!W673), 'Model_ of_individuals'!W673*'Model_ of_individuals'!$K673,"")</f>
        <v/>
      </c>
      <c r="X653" s="93" t="str">
        <f>IF(ISNUMBER('Model_ of_individuals'!X673), 'Model_ of_individuals'!X673*'Model_ of_individuals'!$K673,"")</f>
        <v/>
      </c>
      <c r="Y653" s="93" t="str">
        <f>IF(ISNUMBER('Model_ of_individuals'!Y673), 'Model_ of_individuals'!Y673*'Model_ of_individuals'!$K673,"")</f>
        <v/>
      </c>
      <c r="Z653" s="93" t="str">
        <f>IF(ISNUMBER('Model_ of_individuals'!Z673), 'Model_ of_individuals'!Z673*'Model_ of_individuals'!$K673,"")</f>
        <v/>
      </c>
      <c r="AA653" s="93" t="str">
        <f>IF(ISNUMBER('Model_ of_individuals'!AA673), 'Model_ of_individuals'!AA673*'Model_ of_individuals'!$K673,"")</f>
        <v/>
      </c>
      <c r="AB653" s="93" t="str">
        <f>IF(ISNUMBER('Model_ of_individuals'!AB673), 'Model_ of_individuals'!AB673*'Model_ of_individuals'!$K673,"")</f>
        <v/>
      </c>
      <c r="AC653" s="93" t="str">
        <f>IF(ISNUMBER('Model_ of_individuals'!AC673), 'Model_ of_individuals'!AC673*'Model_ of_individuals'!$K673,"")</f>
        <v/>
      </c>
    </row>
    <row r="654" spans="1:29" x14ac:dyDescent="0.25">
      <c r="A654" s="518"/>
      <c r="B654" s="504"/>
      <c r="C654" s="104" t="str">
        <f>IF(AND(ISNUMBER(B645), OR('Cost Inputs'!$H$155&lt;&gt;"", 'Cost Inputs'!$I$155&lt;&gt;"", 'Cost Inputs'!$J$155&lt;&gt;"")), _5_4_5, "")</f>
        <v/>
      </c>
      <c r="D654" s="17" t="str">
        <f>IF(AND(C654&lt;&gt;"", 'Cost Inputs'!$G$155&lt;&gt;""), 'Cost Inputs'!$G$155, "")</f>
        <v/>
      </c>
      <c r="E654" s="17" t="str">
        <f>IF(AND(C654&lt;&gt;"", 'Cost Inputs'!$H$155&lt;&gt;""), 'Cost Inputs'!$H$155, "")</f>
        <v/>
      </c>
      <c r="F654" s="17" t="str">
        <f>IF(AND(C654&lt;&gt;"", 'Cost Inputs'!$I$155&lt;&gt;""), 'Cost Inputs'!$I$155, "")</f>
        <v/>
      </c>
      <c r="G654" s="105" t="str">
        <f t="shared" si="52"/>
        <v/>
      </c>
      <c r="H654" s="17" t="str">
        <f>IF(AND(C654&lt;&gt;"", 'Cost Inputs'!$J$155&lt;&gt;""), 'Cost Inputs'!$J$155, "")</f>
        <v/>
      </c>
      <c r="I654" s="17" t="str">
        <f t="shared" si="57"/>
        <v/>
      </c>
      <c r="J654" s="17" t="str">
        <f>IF(AND(C654&lt;&gt;"",('Cost Inputs'!$I$155+'Cost Inputs'!$J$155+'Cost Inputs'!$K$155)&gt;0), 'Cost Inputs'!$I$155+'Cost Inputs'!$J$155+'Cost Inputs'!$K$155, "")</f>
        <v/>
      </c>
      <c r="K654" s="17" t="str">
        <f t="shared" si="58"/>
        <v/>
      </c>
      <c r="M654" s="106"/>
      <c r="T654" s="17" t="str">
        <f>IF(ISNUMBER('Model_ of_individuals'!T674), 'Model_ of_individuals'!T674*'Model_ of_individuals'!$K674,"")</f>
        <v/>
      </c>
      <c r="U654" s="17" t="str">
        <f>IF(ISNUMBER('Model_ of_individuals'!U674), 'Model_ of_individuals'!U674*'Model_ of_individuals'!$K674,"")</f>
        <v/>
      </c>
      <c r="V654" s="17" t="str">
        <f>IF(ISNUMBER('Model_ of_individuals'!V674), 'Model_ of_individuals'!V674*'Model_ of_individuals'!$K674,"")</f>
        <v/>
      </c>
      <c r="W654" s="17" t="str">
        <f>IF(ISNUMBER('Model_ of_individuals'!W674), 'Model_ of_individuals'!W674*'Model_ of_individuals'!$K674,"")</f>
        <v/>
      </c>
      <c r="X654" s="17" t="str">
        <f>IF(ISNUMBER('Model_ of_individuals'!X674), 'Model_ of_individuals'!X674*'Model_ of_individuals'!$K674,"")</f>
        <v/>
      </c>
      <c r="Y654" s="17" t="str">
        <f>IF(ISNUMBER('Model_ of_individuals'!Y674), 'Model_ of_individuals'!Y674*'Model_ of_individuals'!$K674,"")</f>
        <v/>
      </c>
      <c r="Z654" s="17" t="str">
        <f>IF(ISNUMBER('Model_ of_individuals'!Z674), 'Model_ of_individuals'!Z674*'Model_ of_individuals'!$K674,"")</f>
        <v/>
      </c>
      <c r="AA654" s="17" t="str">
        <f>IF(ISNUMBER('Model_ of_individuals'!AA674), 'Model_ of_individuals'!AA674*'Model_ of_individuals'!$K674,"")</f>
        <v/>
      </c>
      <c r="AB654" s="17" t="str">
        <f>IF(ISNUMBER('Model_ of_individuals'!AB674), 'Model_ of_individuals'!AB674*'Model_ of_individuals'!$K674,"")</f>
        <v/>
      </c>
      <c r="AC654" s="17" t="str">
        <f>IF(ISNUMBER('Model_ of_individuals'!AC674), 'Model_ of_individuals'!AC674*'Model_ of_individuals'!$K674,"")</f>
        <v/>
      </c>
    </row>
    <row r="655" spans="1:29" x14ac:dyDescent="0.25">
      <c r="A655" s="518"/>
      <c r="B655" s="504"/>
      <c r="C655" s="107" t="str">
        <f>IF(AND(ISNUMBER(B645), OR('Cost Inputs'!$H$156&lt;&gt;"", 'Cost Inputs'!$I$156&lt;&gt;"", 'Cost Inputs'!$J$156&lt;&gt;"")), _5_4_6, "")</f>
        <v/>
      </c>
      <c r="D655" s="93" t="str">
        <f>IF(AND(C655&lt;&gt;"", 'Cost Inputs'!$G$156&lt;&gt;""), 'Cost Inputs'!$G$156, "")</f>
        <v/>
      </c>
      <c r="E655" s="93" t="str">
        <f>IF(AND(C655&lt;&gt;"", 'Cost Inputs'!$H$156&lt;&gt;""), 'Cost Inputs'!$H$156, "")</f>
        <v/>
      </c>
      <c r="F655" s="93" t="str">
        <f>IF(AND(C655&lt;&gt;"", 'Cost Inputs'!$I$156&lt;&gt;""), 'Cost Inputs'!$I$156, "")</f>
        <v/>
      </c>
      <c r="G655" s="108" t="str">
        <f t="shared" ref="G655:G718" si="59">IF(AND($E655&lt;&gt;"", $E655&gt;0, F655&lt;&gt;""), F655/$E655, "")</f>
        <v/>
      </c>
      <c r="H655" s="93" t="str">
        <f>IF(AND(C655&lt;&gt;"", 'Cost Inputs'!$J$156&lt;&gt;""), 'Cost Inputs'!$J$16, "")</f>
        <v/>
      </c>
      <c r="I655" s="93" t="str">
        <f t="shared" si="57"/>
        <v/>
      </c>
      <c r="J655" s="93" t="str">
        <f>IF(AND(C655&lt;&gt;"",('Cost Inputs'!$I$156+'Cost Inputs'!$J$156+'Cost Inputs'!$K$156)&gt;0), 'Cost Inputs'!$I$156+'Cost Inputs'!$J$156+'Cost Inputs'!$K$156, "")</f>
        <v/>
      </c>
      <c r="K655" s="93" t="str">
        <f t="shared" si="58"/>
        <v/>
      </c>
      <c r="L655" s="93"/>
      <c r="M655" s="109"/>
      <c r="T655" s="93" t="str">
        <f>IF(ISNUMBER('Model_ of_individuals'!T675), 'Model_ of_individuals'!T675*'Model_ of_individuals'!$K675,"")</f>
        <v/>
      </c>
      <c r="U655" s="93" t="str">
        <f>IF(ISNUMBER('Model_ of_individuals'!U675), 'Model_ of_individuals'!U675*'Model_ of_individuals'!$K675,"")</f>
        <v/>
      </c>
      <c r="V655" s="93" t="str">
        <f>IF(ISNUMBER('Model_ of_individuals'!V675), 'Model_ of_individuals'!V675*'Model_ of_individuals'!$K675,"")</f>
        <v/>
      </c>
      <c r="W655" s="93" t="str">
        <f>IF(ISNUMBER('Model_ of_individuals'!W675), 'Model_ of_individuals'!W675*'Model_ of_individuals'!$K675,"")</f>
        <v/>
      </c>
      <c r="X655" s="93" t="str">
        <f>IF(ISNUMBER('Model_ of_individuals'!X675), 'Model_ of_individuals'!X675*'Model_ of_individuals'!$K675,"")</f>
        <v/>
      </c>
      <c r="Y655" s="93" t="str">
        <f>IF(ISNUMBER('Model_ of_individuals'!Y675), 'Model_ of_individuals'!Y675*'Model_ of_individuals'!$K675,"")</f>
        <v/>
      </c>
      <c r="Z655" s="93" t="str">
        <f>IF(ISNUMBER('Model_ of_individuals'!Z675), 'Model_ of_individuals'!Z675*'Model_ of_individuals'!$K675,"")</f>
        <v/>
      </c>
      <c r="AA655" s="93" t="str">
        <f>IF(ISNUMBER('Model_ of_individuals'!AA675), 'Model_ of_individuals'!AA675*'Model_ of_individuals'!$K675,"")</f>
        <v/>
      </c>
      <c r="AB655" s="93" t="str">
        <f>IF(ISNUMBER('Model_ of_individuals'!AB675), 'Model_ of_individuals'!AB675*'Model_ of_individuals'!$K675,"")</f>
        <v/>
      </c>
      <c r="AC655" s="93" t="str">
        <f>IF(ISNUMBER('Model_ of_individuals'!AC675), 'Model_ of_individuals'!AC675*'Model_ of_individuals'!$K675,"")</f>
        <v/>
      </c>
    </row>
    <row r="656" spans="1:29" x14ac:dyDescent="0.25">
      <c r="A656" s="518"/>
      <c r="B656" s="504"/>
      <c r="C656" s="521" t="str">
        <f>IF(AND(B645&lt;&gt;"",ISNUMBER(B645),ISNUMBER(Stage3EvaluationBegins)),IF((INDEX(ProgramYearStage3,MATCH(Stage3EvaluationBegins,Years_in_Stage3,0)))=B645,_5_5_0,IF(AND(B645&lt;&gt;"",C634&lt;&gt;""),_5_5_0,IF(AND(B645&lt;&gt;"",ISNUMBER(B645),OR(Stage3EvaluationBegins=0,Stage3EvaluationBegins="")),"",""))),"")</f>
        <v/>
      </c>
      <c r="D656" s="94" t="str">
        <f>IF(AND(C656&lt;&gt;"", 'Cost Inputs'!$G$157&lt;&gt;""), 'Cost Inputs'!$G$157, "")</f>
        <v/>
      </c>
      <c r="E656" s="94" t="str">
        <f>IF(AND(C656&lt;&gt;"", 'Cost Inputs'!$H$157&lt;&gt;""), 'Cost Inputs'!$H$157, "")</f>
        <v/>
      </c>
      <c r="F656" s="492" t="str">
        <f>IF(AND(C656&lt;&gt;"", 'Cost Inputs'!$I$157&lt;&gt;""), 'Cost Inputs'!$I$157, "")</f>
        <v/>
      </c>
      <c r="G656" s="102" t="str">
        <f t="shared" si="59"/>
        <v/>
      </c>
      <c r="H656" s="492" t="str">
        <f>IF(AND(C656&lt;&gt;"", 'Cost Inputs'!$J$157&lt;&gt;""), 'Cost Inputs'!$J$157, "")</f>
        <v/>
      </c>
      <c r="I656" s="102" t="str">
        <f>IF($C656&lt;&gt;"",IF(AND($E656&lt;&gt;"",H656&lt;&gt;""), H656/$E656, 0),"")</f>
        <v/>
      </c>
      <c r="J656" s="492" t="str">
        <f>IF(AND(C656&lt;&gt;"",('Cost Inputs'!$I$157+'Cost Inputs'!$J$157+'Cost Inputs'!$K$157)&gt;0), 'Cost Inputs'!$I$157+'Cost Inputs'!$J$157+'Cost Inputs'!$K$157, "")</f>
        <v/>
      </c>
      <c r="K656" s="102" t="str">
        <f>IF($C656&lt;&gt;"",IF(AND($E656&lt;&gt;"",J656&lt;&gt;""), J656/$E656, 0),"")</f>
        <v/>
      </c>
      <c r="L656" s="94"/>
      <c r="M656" s="103"/>
      <c r="T656" s="492" t="str">
        <f>IF(ISNUMBER('Model_ of_individuals'!T676), 'Model_ of_individuals'!T676*'Model_ of_individuals'!$K676,"")</f>
        <v/>
      </c>
      <c r="U656" s="492" t="str">
        <f>IF(ISNUMBER('Model_ of_individuals'!U676), 'Model_ of_individuals'!U676*'Model_ of_individuals'!$K676,"")</f>
        <v/>
      </c>
      <c r="V656" s="492" t="str">
        <f>IF(ISNUMBER('Model_ of_individuals'!V676), 'Model_ of_individuals'!V676*'Model_ of_individuals'!$K676,"")</f>
        <v/>
      </c>
      <c r="W656" s="492" t="str">
        <f>IF(ISNUMBER('Model_ of_individuals'!W676), 'Model_ of_individuals'!W676*'Model_ of_individuals'!$K676,"")</f>
        <v/>
      </c>
      <c r="X656" s="492" t="str">
        <f>IF(ISNUMBER('Model_ of_individuals'!X676), 'Model_ of_individuals'!X676*'Model_ of_individuals'!$K676,"")</f>
        <v/>
      </c>
      <c r="Y656" s="492" t="str">
        <f>IF(ISNUMBER('Model_ of_individuals'!Y676), 'Model_ of_individuals'!Y676*'Model_ of_individuals'!$K676,"")</f>
        <v/>
      </c>
      <c r="Z656" s="492" t="str">
        <f>IF(ISNUMBER('Model_ of_individuals'!Z676), 'Model_ of_individuals'!Z676*'Model_ of_individuals'!$K676,"")</f>
        <v/>
      </c>
      <c r="AA656" s="492" t="str">
        <f>IF(ISNUMBER('Model_ of_individuals'!AA676), 'Model_ of_individuals'!AA676*'Model_ of_individuals'!$K676,"")</f>
        <v/>
      </c>
      <c r="AB656" s="492" t="str">
        <f>IF(ISNUMBER('Model_ of_individuals'!AB676), 'Model_ of_individuals'!AB676*'Model_ of_individuals'!$K676,"")</f>
        <v/>
      </c>
      <c r="AC656" s="492" t="str">
        <f>IF(ISNUMBER('Model_ of_individuals'!AC676), 'Model_ of_individuals'!AC676*'Model_ of_individuals'!$K676,"")</f>
        <v/>
      </c>
    </row>
    <row r="657" spans="1:30" x14ac:dyDescent="0.25">
      <c r="A657" s="518"/>
      <c r="B657" s="504"/>
      <c r="C657" s="521"/>
      <c r="D657" s="94" t="str">
        <f>IF(AND(C656&lt;&gt;"", 'Cost Inputs'!$G$158&lt;&gt;""), 'Cost Inputs'!$G$158, "")</f>
        <v/>
      </c>
      <c r="E657" s="94" t="str">
        <f>IF(AND(C656&lt;&gt;"", 'Cost Inputs'!$H$158&lt;&gt;""), 'Cost Inputs'!$H$158, "")</f>
        <v/>
      </c>
      <c r="F657" s="492"/>
      <c r="G657" s="102" t="str">
        <f t="shared" si="59"/>
        <v/>
      </c>
      <c r="H657" s="492"/>
      <c r="I657" s="102" t="str">
        <f>IF($C656&lt;&gt;"", IF(AND($E657&lt;&gt;"", H656&lt;&gt;""), H656/($E656*$E657), 0), "")</f>
        <v/>
      </c>
      <c r="J657" s="492" t="str">
        <f>IF(AND(C657&lt;&gt;"",('Cost Inputs'!$I$86+'Cost Inputs'!$J$86+'Cost Inputs'!$K$86)&gt;0), 'Cost Inputs'!$I$86+'Cost Inputs'!$J$86+'Cost Inputs'!$K$86, "")</f>
        <v/>
      </c>
      <c r="K657" s="102" t="str">
        <f>IF($C656&lt;&gt;"", IF(AND($E657&lt;&gt;"", J656&lt;&gt;""), J656/($E656*$E657), 0), "")</f>
        <v/>
      </c>
      <c r="L657" s="94"/>
      <c r="M657" s="103"/>
      <c r="T657" s="492" t="str">
        <f>IF(ISNUMBER('Model_ of_individuals'!T677), 'Model_ of_individuals'!T677*'Model_ of_individuals'!$K677,"")</f>
        <v/>
      </c>
      <c r="U657" s="492" t="str">
        <f>IF(ISNUMBER('Model_ of_individuals'!U677), 'Model_ of_individuals'!U677*'Model_ of_individuals'!$K677,"")</f>
        <v/>
      </c>
      <c r="V657" s="492" t="str">
        <f>IF(ISNUMBER('Model_ of_individuals'!V677), 'Model_ of_individuals'!V677*'Model_ of_individuals'!$K677,"")</f>
        <v/>
      </c>
      <c r="W657" s="492" t="str">
        <f>IF(ISNUMBER('Model_ of_individuals'!W677), 'Model_ of_individuals'!W677*'Model_ of_individuals'!$K677,"")</f>
        <v/>
      </c>
      <c r="X657" s="492" t="str">
        <f>IF(ISNUMBER('Model_ of_individuals'!X677), 'Model_ of_individuals'!X677*'Model_ of_individuals'!$K677,"")</f>
        <v/>
      </c>
      <c r="Y657" s="492" t="str">
        <f>IF(ISNUMBER('Model_ of_individuals'!Y677), 'Model_ of_individuals'!Y677*'Model_ of_individuals'!$K677,"")</f>
        <v/>
      </c>
      <c r="Z657" s="492" t="str">
        <f>IF(ISNUMBER('Model_ of_individuals'!Z677), 'Model_ of_individuals'!Z677*'Model_ of_individuals'!$K677,"")</f>
        <v/>
      </c>
      <c r="AA657" s="492" t="str">
        <f>IF(ISNUMBER('Model_ of_individuals'!AA677), 'Model_ of_individuals'!AA677*'Model_ of_individuals'!$K677,"")</f>
        <v/>
      </c>
      <c r="AB657" s="492" t="str">
        <f>IF(ISNUMBER('Model_ of_individuals'!AB677), 'Model_ of_individuals'!AB677*'Model_ of_individuals'!$K677,"")</f>
        <v/>
      </c>
      <c r="AC657" s="492" t="str">
        <f>IF(ISNUMBER('Model_ of_individuals'!AC677), 'Model_ of_individuals'!AC677*'Model_ of_individuals'!$K677,"")</f>
        <v/>
      </c>
    </row>
    <row r="658" spans="1:30" x14ac:dyDescent="0.25">
      <c r="A658" s="518"/>
      <c r="B658" s="504"/>
      <c r="C658" s="376" t="str">
        <f>IF(AND(ISNUMBER(B645), C656&lt;&gt;"", OR('Cost Inputs'!$H$159&lt;&gt;"", 'Cost Inputs'!$I$159&lt;&gt;"", 'Cost Inputs'!$J$159&lt;&gt;"")), _5_5_1, "")</f>
        <v/>
      </c>
      <c r="D658" s="17" t="str">
        <f>IF(AND(C658&lt;&gt;"", 'Cost Inputs'!$G$159&lt;&gt;""), 'Cost Inputs'!$G$159, "")</f>
        <v/>
      </c>
      <c r="E658" s="17" t="str">
        <f>IF(AND(C658&lt;&gt;"", 'Cost Inputs'!$H$159&lt;&gt;""), 'Cost Inputs'!$H$159, "")</f>
        <v/>
      </c>
      <c r="F658" s="493" t="str">
        <f>IF(AND(C658&lt;&gt;"", 'Cost Inputs'!$I$159&lt;&gt;""), 'Cost Inputs'!$I$159, "")</f>
        <v/>
      </c>
      <c r="G658" s="105" t="str">
        <f t="shared" si="59"/>
        <v/>
      </c>
      <c r="H658" s="493" t="str">
        <f>IF(AND(C658&lt;&gt;"", 'Cost Inputs'!$J$159&lt;&gt;""), 'Cost Inputs'!$J$159, "")</f>
        <v/>
      </c>
      <c r="I658" s="105" t="str">
        <f>IF($C658&lt;&gt;"",IF(AND($E658&lt;&gt;"",H658&lt;&gt;""), H658/$E658, 0),"")</f>
        <v/>
      </c>
      <c r="J658" s="493" t="str">
        <f>IF(AND(C658&lt;&gt;"",('Cost Inputs'!$I$159+'Cost Inputs'!$J$159+'Cost Inputs'!$K$159)&gt;0), 'Cost Inputs'!$I$159+'Cost Inputs'!$J$159+'Cost Inputs'!$K$159, "")</f>
        <v/>
      </c>
      <c r="K658" s="105" t="str">
        <f>IF($C658&lt;&gt;"",IF(AND($E658&lt;&gt;"",J658&lt;&gt;""), J658/$E658, 0),"")</f>
        <v/>
      </c>
      <c r="M658" s="106"/>
      <c r="T658" s="493" t="str">
        <f>IF(ISNUMBER('Model_ of_individuals'!T678), 'Model_ of_individuals'!T678*'Model_ of_individuals'!$K678,"")</f>
        <v/>
      </c>
      <c r="U658" s="493" t="str">
        <f>IF(ISNUMBER('Model_ of_individuals'!U678), 'Model_ of_individuals'!U678*'Model_ of_individuals'!$K678,"")</f>
        <v/>
      </c>
      <c r="V658" s="493" t="str">
        <f>IF(ISNUMBER('Model_ of_individuals'!V678), 'Model_ of_individuals'!V678*'Model_ of_individuals'!$K678,"")</f>
        <v/>
      </c>
      <c r="W658" s="493" t="str">
        <f>IF(ISNUMBER('Model_ of_individuals'!W678), 'Model_ of_individuals'!W678*'Model_ of_individuals'!$K678,"")</f>
        <v/>
      </c>
      <c r="X658" s="493" t="str">
        <f>IF(ISNUMBER('Model_ of_individuals'!X678), 'Model_ of_individuals'!X678*'Model_ of_individuals'!$K678,"")</f>
        <v/>
      </c>
      <c r="Y658" s="493" t="str">
        <f>IF(ISNUMBER('Model_ of_individuals'!Y678), 'Model_ of_individuals'!Y678*'Model_ of_individuals'!$K678,"")</f>
        <v/>
      </c>
      <c r="Z658" s="493" t="str">
        <f>IF(ISNUMBER('Model_ of_individuals'!Z678), 'Model_ of_individuals'!Z678*'Model_ of_individuals'!$K678,"")</f>
        <v/>
      </c>
      <c r="AA658" s="493" t="str">
        <f>IF(ISNUMBER('Model_ of_individuals'!AA678), 'Model_ of_individuals'!AA678*'Model_ of_individuals'!$K678,"")</f>
        <v/>
      </c>
      <c r="AB658" s="493" t="str">
        <f>IF(ISNUMBER('Model_ of_individuals'!AB678), 'Model_ of_individuals'!AB678*'Model_ of_individuals'!$K678,"")</f>
        <v/>
      </c>
      <c r="AC658" s="493" t="str">
        <f>IF(ISNUMBER('Model_ of_individuals'!AC678), 'Model_ of_individuals'!AC678*'Model_ of_individuals'!$K678,"")</f>
        <v/>
      </c>
    </row>
    <row r="659" spans="1:30" x14ac:dyDescent="0.25">
      <c r="A659" s="518"/>
      <c r="B659" s="504"/>
      <c r="C659" s="376" t="str">
        <f>IF(AND(ISNUMBER(B641), OR('Cost Inputs'!$H$85&lt;&gt;"", 'Cost Inputs'!$I$85&lt;&gt;"", 'Cost Inputs'!$J$85&lt;&gt;"")), _3_5_1, "")</f>
        <v/>
      </c>
      <c r="D659" s="17" t="str">
        <f>IF(AND(C658&lt;&gt;"", 'Cost Inputs'!$G$160&lt;&gt;""), 'Cost Inputs'!$G$160, "")</f>
        <v/>
      </c>
      <c r="E659" s="17" t="str">
        <f>IF(AND(C658&lt;&gt;"", 'Cost Inputs'!$H$160&lt;&gt;""), 'Cost Inputs'!$H$160, "")</f>
        <v/>
      </c>
      <c r="F659" s="493"/>
      <c r="G659" s="105" t="str">
        <f t="shared" si="59"/>
        <v/>
      </c>
      <c r="H659" s="493"/>
      <c r="I659" s="105" t="str">
        <f>IF($C658&lt;&gt;"", IF(AND($E659&lt;&gt;"", H658&lt;&gt;""), H658/($E658*$E659), 0), "")</f>
        <v/>
      </c>
      <c r="J659" s="493" t="str">
        <f>IF(AND(C659&lt;&gt;"",('Cost Inputs'!$I$86+'Cost Inputs'!$J$86+'Cost Inputs'!$K$86)&gt;0), 'Cost Inputs'!$I$86+'Cost Inputs'!$J$86+'Cost Inputs'!$K$86, "")</f>
        <v/>
      </c>
      <c r="K659" s="105" t="str">
        <f>IF($C658&lt;&gt;"", IF(AND($E659&lt;&gt;"", J658&lt;&gt;""), J658/($E658*$E659), 0), "")</f>
        <v/>
      </c>
      <c r="M659" s="106"/>
      <c r="T659" s="493" t="str">
        <f>IF(ISNUMBER('Model_ of_individuals'!T679), 'Model_ of_individuals'!T679*'Model_ of_individuals'!$K679,"")</f>
        <v/>
      </c>
      <c r="U659" s="493" t="str">
        <f>IF(ISNUMBER('Model_ of_individuals'!U679), 'Model_ of_individuals'!U679*'Model_ of_individuals'!$K679,"")</f>
        <v/>
      </c>
      <c r="V659" s="493" t="str">
        <f>IF(ISNUMBER('Model_ of_individuals'!V679), 'Model_ of_individuals'!V679*'Model_ of_individuals'!$K679,"")</f>
        <v/>
      </c>
      <c r="W659" s="493" t="str">
        <f>IF(ISNUMBER('Model_ of_individuals'!W679), 'Model_ of_individuals'!W679*'Model_ of_individuals'!$K679,"")</f>
        <v/>
      </c>
      <c r="X659" s="493" t="str">
        <f>IF(ISNUMBER('Model_ of_individuals'!X679), 'Model_ of_individuals'!X679*'Model_ of_individuals'!$K679,"")</f>
        <v/>
      </c>
      <c r="Y659" s="493" t="str">
        <f>IF(ISNUMBER('Model_ of_individuals'!Y679), 'Model_ of_individuals'!Y679*'Model_ of_individuals'!$K679,"")</f>
        <v/>
      </c>
      <c r="Z659" s="493" t="str">
        <f>IF(ISNUMBER('Model_ of_individuals'!Z679), 'Model_ of_individuals'!Z679*'Model_ of_individuals'!$K679,"")</f>
        <v/>
      </c>
      <c r="AA659" s="493" t="str">
        <f>IF(ISNUMBER('Model_ of_individuals'!AA679), 'Model_ of_individuals'!AA679*'Model_ of_individuals'!$K679,"")</f>
        <v/>
      </c>
      <c r="AB659" s="493" t="str">
        <f>IF(ISNUMBER('Model_ of_individuals'!AB679), 'Model_ of_individuals'!AB679*'Model_ of_individuals'!$K679,"")</f>
        <v/>
      </c>
      <c r="AC659" s="493" t="str">
        <f>IF(ISNUMBER('Model_ of_individuals'!AC679), 'Model_ of_individuals'!AC679*'Model_ of_individuals'!$K679,"")</f>
        <v/>
      </c>
    </row>
    <row r="660" spans="1:30" x14ac:dyDescent="0.25">
      <c r="A660" s="518"/>
      <c r="B660" s="504"/>
      <c r="C660" s="107" t="str">
        <f>IF(AND(ISNUMBER(B645), C656&lt;&gt;"", OR('Cost Inputs'!$H$161&lt;&gt;"", 'Cost Inputs'!$I$161&lt;&gt;"", 'Cost Inputs'!$J$161&lt;&gt;"")), _5_5_2, "")</f>
        <v/>
      </c>
      <c r="D660" s="93" t="str">
        <f>IF(AND(C660&lt;&gt;"", 'Cost Inputs'!$G$161&lt;&gt;""), 'Cost Inputs'!$G$161, "")</f>
        <v/>
      </c>
      <c r="E660" s="93" t="str">
        <f>IF(AND(C660&lt;&gt;"", 'Cost Inputs'!$H$161&lt;&gt;""), 'Cost Inputs'!$H$161, "")</f>
        <v/>
      </c>
      <c r="F660" s="93" t="str">
        <f>IF(AND(C660&lt;&gt;"", 'Cost Inputs'!$I$161&lt;&gt;""), 'Cost Inputs'!$I$161, "")</f>
        <v/>
      </c>
      <c r="G660" s="108" t="str">
        <f t="shared" si="59"/>
        <v/>
      </c>
      <c r="H660" s="93" t="str">
        <f>IF(AND(C660&lt;&gt;"", 'Cost Inputs'!$J$161&lt;&gt;""), 'Cost Inputs'!$J$161, "")</f>
        <v/>
      </c>
      <c r="I660" s="93" t="str">
        <f>IF($C660&lt;&gt;"", IF(AND($E660&lt;&gt;"", H660&lt;&gt;""), H660/$E660, 0),"")</f>
        <v/>
      </c>
      <c r="J660" s="93" t="str">
        <f>IF(AND(C660&lt;&gt;"",('Cost Inputs'!$I$161+'Cost Inputs'!$J$161+'Cost Inputs'!$K$161)&gt;0), 'Cost Inputs'!$I$161+'Cost Inputs'!$J$161+'Cost Inputs'!$K$161, "")</f>
        <v/>
      </c>
      <c r="K660" s="93" t="str">
        <f>IF($C660&lt;&gt;"", IF(AND($E660&lt;&gt;"", J660&lt;&gt;""), J660/$E660, 0),"")</f>
        <v/>
      </c>
      <c r="L660" s="93"/>
      <c r="M660" s="109"/>
      <c r="T660" s="93" t="str">
        <f>IF(ISNUMBER('Model_ of_individuals'!T680), 'Model_ of_individuals'!T680*'Model_ of_individuals'!$K680,"")</f>
        <v/>
      </c>
      <c r="U660" s="93" t="str">
        <f>IF(ISNUMBER('Model_ of_individuals'!U680), 'Model_ of_individuals'!U680*'Model_ of_individuals'!$K680,"")</f>
        <v/>
      </c>
      <c r="V660" s="93" t="str">
        <f>IF(ISNUMBER('Model_ of_individuals'!V680), 'Model_ of_individuals'!V680*'Model_ of_individuals'!$K680,"")</f>
        <v/>
      </c>
      <c r="W660" s="93" t="str">
        <f>IF(ISNUMBER('Model_ of_individuals'!W680), 'Model_ of_individuals'!W680*'Model_ of_individuals'!$K680,"")</f>
        <v/>
      </c>
      <c r="X660" s="93" t="str">
        <f>IF(ISNUMBER('Model_ of_individuals'!X680), 'Model_ of_individuals'!X680*'Model_ of_individuals'!$K680,"")</f>
        <v/>
      </c>
      <c r="Y660" s="93" t="str">
        <f>IF(ISNUMBER('Model_ of_individuals'!Y680), 'Model_ of_individuals'!Y680*'Model_ of_individuals'!$K680,"")</f>
        <v/>
      </c>
      <c r="Z660" s="93" t="str">
        <f>IF(ISNUMBER('Model_ of_individuals'!Z680), 'Model_ of_individuals'!Z680*'Model_ of_individuals'!$K680,"")</f>
        <v/>
      </c>
      <c r="AA660" s="93" t="str">
        <f>IF(ISNUMBER('Model_ of_individuals'!AA680), 'Model_ of_individuals'!AA680*'Model_ of_individuals'!$K680,"")</f>
        <v/>
      </c>
      <c r="AB660" s="93" t="str">
        <f>IF(ISNUMBER('Model_ of_individuals'!AB680), 'Model_ of_individuals'!AB680*'Model_ of_individuals'!$K680,"")</f>
        <v/>
      </c>
      <c r="AC660" s="93" t="str">
        <f>IF(ISNUMBER('Model_ of_individuals'!AC680), 'Model_ of_individuals'!AC680*'Model_ of_individuals'!$K680,"")</f>
        <v/>
      </c>
    </row>
    <row r="661" spans="1:30" x14ac:dyDescent="0.25">
      <c r="A661" s="518"/>
      <c r="B661" s="504"/>
      <c r="C661" s="104" t="str">
        <f>IF(AND(ISNUMBER(B645), C656&lt;&gt;"", OR('Cost Inputs'!$H$162&lt;&gt;"", 'Cost Inputs'!$I$162&lt;&gt;"", 'Cost Inputs'!$J$162&lt;&gt;"")), _5_5_3, "")</f>
        <v/>
      </c>
      <c r="D661" s="17" t="str">
        <f>IF(AND(C661&lt;&gt;"", 'Cost Inputs'!$G$162&lt;&gt;""), 'Cost Inputs'!$G$162, "")</f>
        <v/>
      </c>
      <c r="E661" s="17" t="str">
        <f>IF(AND(C661&lt;&gt;"", 'Cost Inputs'!$H$162&lt;&gt;""), 'Cost Inputs'!$H$162, "")</f>
        <v/>
      </c>
      <c r="F661" s="17" t="str">
        <f>IF(AND(C661&lt;&gt;"", 'Cost Inputs'!$I$162&lt;&gt;""), 'Cost Inputs'!$I$162, "")</f>
        <v/>
      </c>
      <c r="G661" s="105" t="str">
        <f t="shared" si="59"/>
        <v/>
      </c>
      <c r="H661" s="17" t="str">
        <f>IF(AND(C661&lt;&gt;"", 'Cost Inputs'!$J$162&lt;&gt;""), 'Cost Inputs'!$J$162, "")</f>
        <v/>
      </c>
      <c r="I661" s="17" t="str">
        <f>IF($C661&lt;&gt;"", IF(AND($E661&lt;&gt;"", H661&lt;&gt;""), H661/$E661, 0),"")</f>
        <v/>
      </c>
      <c r="J661" s="17" t="str">
        <f>IF(AND(C661&lt;&gt;"",('Cost Inputs'!$I$162+'Cost Inputs'!$J$162+'Cost Inputs'!$K$162)&gt;0), 'Cost Inputs'!$I$162+'Cost Inputs'!$J$162+'Cost Inputs'!$K$162, "")</f>
        <v/>
      </c>
      <c r="K661" s="17" t="str">
        <f>IF($C661&lt;&gt;"", IF(AND($E661&lt;&gt;"", J661&lt;&gt;""), J661/$E661, 0),"")</f>
        <v/>
      </c>
      <c r="M661" s="106"/>
      <c r="T661" s="17" t="str">
        <f>IF(ISNUMBER('Model_ of_individuals'!T681), 'Model_ of_individuals'!T681*'Model_ of_individuals'!$K681,"")</f>
        <v/>
      </c>
      <c r="U661" s="17" t="str">
        <f>IF(ISNUMBER('Model_ of_individuals'!U681), 'Model_ of_individuals'!U681*'Model_ of_individuals'!$K681,"")</f>
        <v/>
      </c>
      <c r="V661" s="17" t="str">
        <f>IF(ISNUMBER('Model_ of_individuals'!V681), 'Model_ of_individuals'!V681*'Model_ of_individuals'!$K681,"")</f>
        <v/>
      </c>
      <c r="W661" s="17" t="str">
        <f>IF(ISNUMBER('Model_ of_individuals'!W681), 'Model_ of_individuals'!W681*'Model_ of_individuals'!$K681,"")</f>
        <v/>
      </c>
      <c r="X661" s="17" t="str">
        <f>IF(ISNUMBER('Model_ of_individuals'!X681), 'Model_ of_individuals'!X681*'Model_ of_individuals'!$K681,"")</f>
        <v/>
      </c>
      <c r="Y661" s="17" t="str">
        <f>IF(ISNUMBER('Model_ of_individuals'!Y681), 'Model_ of_individuals'!Y681*'Model_ of_individuals'!$K681,"")</f>
        <v/>
      </c>
      <c r="Z661" s="17" t="str">
        <f>IF(ISNUMBER('Model_ of_individuals'!Z681), 'Model_ of_individuals'!Z681*'Model_ of_individuals'!$K681,"")</f>
        <v/>
      </c>
      <c r="AA661" s="17" t="str">
        <f>IF(ISNUMBER('Model_ of_individuals'!AA681), 'Model_ of_individuals'!AA681*'Model_ of_individuals'!$K681,"")</f>
        <v/>
      </c>
      <c r="AB661" s="17" t="str">
        <f>IF(ISNUMBER('Model_ of_individuals'!AB681), 'Model_ of_individuals'!AB681*'Model_ of_individuals'!$K681,"")</f>
        <v/>
      </c>
      <c r="AC661" s="17" t="str">
        <f>IF(ISNUMBER('Model_ of_individuals'!AC681), 'Model_ of_individuals'!AC681*'Model_ of_individuals'!$K681,"")</f>
        <v/>
      </c>
    </row>
    <row r="662" spans="1:30" x14ac:dyDescent="0.25">
      <c r="A662" s="518"/>
      <c r="B662" s="504"/>
      <c r="C662" s="107" t="str">
        <f>IF(AND(ISNUMBER(B645), C656&lt;&gt;"", OR('Cost Inputs'!$H$163&lt;&gt;"", 'Cost Inputs'!$I$163&lt;&gt;"", 'Cost Inputs'!$J$163&lt;&gt;"")), _5_5_4, "")</f>
        <v/>
      </c>
      <c r="D662" s="93" t="str">
        <f>IF(AND(C662&lt;&gt;"", 'Cost Inputs'!$G$163&lt;&gt;""), 'Cost Inputs'!$G$163, "")</f>
        <v/>
      </c>
      <c r="E662" s="93" t="str">
        <f>IF(AND(C662&lt;&gt;"", 'Cost Inputs'!$H$163&lt;&gt;""), 'Cost Inputs'!$H$163, "")</f>
        <v/>
      </c>
      <c r="F662" s="93" t="str">
        <f>IF(AND(C662&lt;&gt;"", 'Cost Inputs'!$I$163&lt;&gt;""), 'Cost Inputs'!$I$163, "")</f>
        <v/>
      </c>
      <c r="G662" s="108" t="str">
        <f t="shared" si="59"/>
        <v/>
      </c>
      <c r="H662" s="93" t="str">
        <f>IF(AND(C662&lt;&gt;"", 'Cost Inputs'!$J$163&lt;&gt;""), 'Cost Inputs'!$J$163, "")</f>
        <v/>
      </c>
      <c r="I662" s="93" t="str">
        <f>IF($C662&lt;&gt;"", IF(AND($E662&lt;&gt;"", H662&lt;&gt;""), H662/$E662, 0),"")</f>
        <v/>
      </c>
      <c r="J662" s="93" t="str">
        <f>IF(AND(C662&lt;&gt;"",('Cost Inputs'!$I$163+'Cost Inputs'!$J$163+'Cost Inputs'!$K$163)&gt;0), 'Cost Inputs'!$I$163+'Cost Inputs'!$J$163+'Cost Inputs'!$K$163, "")</f>
        <v/>
      </c>
      <c r="K662" s="93" t="str">
        <f>IF($C662&lt;&gt;"", IF(AND($E662&lt;&gt;"", J662&lt;&gt;""), J662/$E662, 0),"")</f>
        <v/>
      </c>
      <c r="L662" s="93"/>
      <c r="M662" s="109"/>
      <c r="T662" s="93" t="str">
        <f>IF(ISNUMBER('Model_ of_individuals'!T682), 'Model_ of_individuals'!T682*'Model_ of_individuals'!$K682,"")</f>
        <v/>
      </c>
      <c r="U662" s="93" t="str">
        <f>IF(ISNUMBER('Model_ of_individuals'!U682), 'Model_ of_individuals'!U682*'Model_ of_individuals'!$K682,"")</f>
        <v/>
      </c>
      <c r="V662" s="93" t="str">
        <f>IF(ISNUMBER('Model_ of_individuals'!V682), 'Model_ of_individuals'!V682*'Model_ of_individuals'!$K682,"")</f>
        <v/>
      </c>
      <c r="W662" s="93" t="str">
        <f>IF(ISNUMBER('Model_ of_individuals'!W682), 'Model_ of_individuals'!W682*'Model_ of_individuals'!$K682,"")</f>
        <v/>
      </c>
      <c r="X662" s="93" t="str">
        <f>IF(ISNUMBER('Model_ of_individuals'!X682), 'Model_ of_individuals'!X682*'Model_ of_individuals'!$K682,"")</f>
        <v/>
      </c>
      <c r="Y662" s="93" t="str">
        <f>IF(ISNUMBER('Model_ of_individuals'!Y682), 'Model_ of_individuals'!Y682*'Model_ of_individuals'!$K682,"")</f>
        <v/>
      </c>
      <c r="Z662" s="93" t="str">
        <f>IF(ISNUMBER('Model_ of_individuals'!Z682), 'Model_ of_individuals'!Z682*'Model_ of_individuals'!$K682,"")</f>
        <v/>
      </c>
      <c r="AA662" s="93" t="str">
        <f>IF(ISNUMBER('Model_ of_individuals'!AA682), 'Model_ of_individuals'!AA682*'Model_ of_individuals'!$K682,"")</f>
        <v/>
      </c>
      <c r="AB662" s="93" t="str">
        <f>IF(ISNUMBER('Model_ of_individuals'!AB682), 'Model_ of_individuals'!AB682*'Model_ of_individuals'!$K682,"")</f>
        <v/>
      </c>
      <c r="AC662" s="93" t="str">
        <f>IF(ISNUMBER('Model_ of_individuals'!AC682), 'Model_ of_individuals'!AC682*'Model_ of_individuals'!$K682,"")</f>
        <v/>
      </c>
    </row>
    <row r="663" spans="1:30" x14ac:dyDescent="0.25">
      <c r="A663" s="518"/>
      <c r="B663" s="504"/>
      <c r="C663" s="104" t="str">
        <f>IF(AND(ISNUMBER(B645), C656&lt;&gt;"", OR('Cost Inputs'!$H$164&lt;&gt;"", 'Cost Inputs'!$I$164&lt;&gt;"", 'Cost Inputs'!$J$164&lt;&gt;"")), _5_5_5, "")</f>
        <v/>
      </c>
      <c r="D663" s="17" t="str">
        <f>IF(AND(C663&lt;&gt;"", 'Cost Inputs'!$G$164&lt;&gt;""), 'Cost Inputs'!$G$164, "")</f>
        <v/>
      </c>
      <c r="E663" s="17" t="str">
        <f>IF(AND(C663&lt;&gt;"", 'Cost Inputs'!$H$164&lt;&gt;""), 'Cost Inputs'!$H$164, "")</f>
        <v/>
      </c>
      <c r="F663" s="17" t="str">
        <f>IF(AND(C663&lt;&gt;"", 'Cost Inputs'!$I$164&lt;&gt;""), 'Cost Inputs'!$I$164, "")</f>
        <v/>
      </c>
      <c r="G663" s="105" t="str">
        <f t="shared" si="59"/>
        <v/>
      </c>
      <c r="H663" s="17" t="str">
        <f>IF(AND(C663&lt;&gt;"", 'Cost Inputs'!$J$164&lt;&gt;""), 'Cost Inputs'!$J$164, "")</f>
        <v/>
      </c>
      <c r="I663" s="17" t="str">
        <f>IF($C663&lt;&gt;"", IF(AND($E663&lt;&gt;"", H663&lt;&gt;""), H663/$E663, 0),"")</f>
        <v/>
      </c>
      <c r="J663" s="17" t="str">
        <f>IF(AND(C663&lt;&gt;"",('Cost Inputs'!$I$164+'Cost Inputs'!$J$164+'Cost Inputs'!$K$164)&gt;0), 'Cost Inputs'!$I$164+'Cost Inputs'!$J$164+'Cost Inputs'!$K$164, "")</f>
        <v/>
      </c>
      <c r="K663" s="17" t="str">
        <f>IF($C663&lt;&gt;"", IF(AND($E663&lt;&gt;"", J663&lt;&gt;""), J663/$E663, 0),"")</f>
        <v/>
      </c>
      <c r="M663" s="106"/>
      <c r="T663" s="17" t="str">
        <f>IF(ISNUMBER('Model_ of_individuals'!T683), 'Model_ of_individuals'!T683*'Model_ of_individuals'!$K683,"")</f>
        <v/>
      </c>
      <c r="U663" s="17" t="str">
        <f>IF(ISNUMBER('Model_ of_individuals'!U683), 'Model_ of_individuals'!U683*'Model_ of_individuals'!$K683,"")</f>
        <v/>
      </c>
      <c r="V663" s="17" t="str">
        <f>IF(ISNUMBER('Model_ of_individuals'!V683), 'Model_ of_individuals'!V683*'Model_ of_individuals'!$K683,"")</f>
        <v/>
      </c>
      <c r="W663" s="17" t="str">
        <f>IF(ISNUMBER('Model_ of_individuals'!W683), 'Model_ of_individuals'!W683*'Model_ of_individuals'!$K683,"")</f>
        <v/>
      </c>
      <c r="X663" s="17" t="str">
        <f>IF(ISNUMBER('Model_ of_individuals'!X683), 'Model_ of_individuals'!X683*'Model_ of_individuals'!$K683,"")</f>
        <v/>
      </c>
      <c r="Y663" s="17" t="str">
        <f>IF(ISNUMBER('Model_ of_individuals'!Y683), 'Model_ of_individuals'!Y683*'Model_ of_individuals'!$K683,"")</f>
        <v/>
      </c>
      <c r="Z663" s="17" t="str">
        <f>IF(ISNUMBER('Model_ of_individuals'!Z683), 'Model_ of_individuals'!Z683*'Model_ of_individuals'!$K683,"")</f>
        <v/>
      </c>
      <c r="AA663" s="17" t="str">
        <f>IF(ISNUMBER('Model_ of_individuals'!AA683), 'Model_ of_individuals'!AA683*'Model_ of_individuals'!$K683,"")</f>
        <v/>
      </c>
      <c r="AB663" s="17" t="str">
        <f>IF(ISNUMBER('Model_ of_individuals'!AB683), 'Model_ of_individuals'!AB683*'Model_ of_individuals'!$K683,"")</f>
        <v/>
      </c>
      <c r="AC663" s="17" t="str">
        <f>IF(ISNUMBER('Model_ of_individuals'!AC683), 'Model_ of_individuals'!AC683*'Model_ of_individuals'!$K683,"")</f>
        <v/>
      </c>
    </row>
    <row r="664" spans="1:30" x14ac:dyDescent="0.25">
      <c r="A664" s="518"/>
      <c r="B664" s="504"/>
      <c r="C664" s="110" t="str">
        <f>IF(ISNUMBER(B645), _5_6_0, "")</f>
        <v/>
      </c>
      <c r="D664" s="94" t="str">
        <f>IF(AND(C664&lt;&gt;"", 'Cost Inputs'!$G$165&lt;&gt;""), 'Cost Inputs'!$G$165, "")</f>
        <v/>
      </c>
      <c r="E664" s="94" t="str">
        <f>IF(AND(C664&lt;&gt;"", 'Cost Inputs'!$H$165&lt;&gt;""), 'Cost Inputs'!$H$165, "")</f>
        <v/>
      </c>
      <c r="F664" s="94" t="str">
        <f>IF(AND(C664&lt;&gt;"", 'Cost Inputs'!$I$165&lt;&gt;""), 'Cost Inputs'!$I$165, "")</f>
        <v/>
      </c>
      <c r="G664" s="102" t="str">
        <f t="shared" si="59"/>
        <v/>
      </c>
      <c r="H664" s="94" t="str">
        <f>IF(AND(C664&lt;&gt;"", 'Cost Inputs'!$J$165&lt;&gt;""), 'Cost Inputs'!$J$165, "")</f>
        <v/>
      </c>
      <c r="I664" s="102" t="str">
        <f>IF($C664&lt;&gt;"",IF(AND($E664&lt;&gt;"",H664&lt;&gt;""), H664/$E664, 0),"")</f>
        <v/>
      </c>
      <c r="J664" s="94" t="str">
        <f>IF(AND(C664&lt;&gt;"",('Cost Inputs'!$I$165+'Cost Inputs'!$J$165+'Cost Inputs'!$K$165)&gt;0), 'Cost Inputs'!$I$165+'Cost Inputs'!$J$165+'Cost Inputs'!$K$165, "")</f>
        <v/>
      </c>
      <c r="K664" s="102" t="str">
        <f>IF($C664&lt;&gt;"",IF(AND($E664&lt;&gt;"",J664&lt;&gt;""), J664/$E664, 0),"")</f>
        <v/>
      </c>
      <c r="L664" s="94"/>
      <c r="M664" s="103"/>
      <c r="T664" s="94" t="str">
        <f>IF(ISNUMBER('Model_ of_individuals'!T684), 'Model_ of_individuals'!T684*'Model_ of_individuals'!$K684,"")</f>
        <v/>
      </c>
      <c r="U664" s="94" t="str">
        <f>IF(ISNUMBER('Model_ of_individuals'!U684), 'Model_ of_individuals'!U684*'Model_ of_individuals'!$K684,"")</f>
        <v/>
      </c>
      <c r="V664" s="94" t="str">
        <f>IF(ISNUMBER('Model_ of_individuals'!V684), 'Model_ of_individuals'!V684*'Model_ of_individuals'!$K684,"")</f>
        <v/>
      </c>
      <c r="W664" s="94" t="str">
        <f>IF(ISNUMBER('Model_ of_individuals'!W684), 'Model_ of_individuals'!W684*'Model_ of_individuals'!$K684,"")</f>
        <v/>
      </c>
      <c r="X664" s="94" t="str">
        <f>IF(ISNUMBER('Model_ of_individuals'!X684), 'Model_ of_individuals'!X684*'Model_ of_individuals'!$K684,"")</f>
        <v/>
      </c>
      <c r="Y664" s="94" t="str">
        <f>IF(ISNUMBER('Model_ of_individuals'!Y684), 'Model_ of_individuals'!Y684*'Model_ of_individuals'!$K684,"")</f>
        <v/>
      </c>
      <c r="Z664" s="94" t="str">
        <f>IF(ISNUMBER('Model_ of_individuals'!Z684), 'Model_ of_individuals'!Z684*'Model_ of_individuals'!$K684,"")</f>
        <v/>
      </c>
      <c r="AA664" s="94" t="str">
        <f>IF(ISNUMBER('Model_ of_individuals'!AA684), 'Model_ of_individuals'!AA684*'Model_ of_individuals'!$K684,"")</f>
        <v/>
      </c>
      <c r="AB664" s="94" t="str">
        <f>IF(ISNUMBER('Model_ of_individuals'!AB684), 'Model_ of_individuals'!AB684*'Model_ of_individuals'!$K684,"")</f>
        <v/>
      </c>
      <c r="AC664" s="94" t="str">
        <f>IF(ISNUMBER('Model_ of_individuals'!AC684), 'Model_ of_individuals'!AC684*'Model_ of_individuals'!$K684,"")</f>
        <v/>
      </c>
    </row>
    <row r="665" spans="1:30" x14ac:dyDescent="0.25">
      <c r="A665" s="518"/>
      <c r="B665" s="504"/>
      <c r="C665" s="104" t="str">
        <f>IF(AND(ISNUMBER(B645), OR('Cost Inputs'!$H$166&lt;&gt;"", 'Cost Inputs'!$I$166&lt;&gt;"", 'Cost Inputs'!$J$166&lt;&gt;"")), _5_6_1, "")</f>
        <v/>
      </c>
      <c r="D665" s="17" t="str">
        <f>IF(AND(C665&lt;&gt;"", 'Cost Inputs'!$G$166&lt;&gt;""), 'Cost Inputs'!$G$166, "")</f>
        <v/>
      </c>
      <c r="E665" s="17" t="str">
        <f>IF(AND(C665&lt;&gt;"", 'Cost Inputs'!$H$166&lt;&gt;""), 'Cost Inputs'!$H$166, "")</f>
        <v/>
      </c>
      <c r="F665" s="17" t="str">
        <f>IF(AND(C665&lt;&gt;"", 'Cost Inputs'!$I$166&lt;&gt;""), 'Cost Inputs'!$I$166, "")</f>
        <v/>
      </c>
      <c r="G665" s="105" t="str">
        <f t="shared" si="59"/>
        <v/>
      </c>
      <c r="H665" s="17" t="str">
        <f>IF(AND(C665&lt;&gt;"", 'Cost Inputs'!$J$166&lt;&gt;""), 'Cost Inputs'!$J$166, "")</f>
        <v/>
      </c>
      <c r="I665" s="17" t="str">
        <f>IF($C665&lt;&gt;"", IF(AND($E665&lt;&gt;"", H665&lt;&gt;""), H665/$E665, 0),"")</f>
        <v/>
      </c>
      <c r="J665" s="17" t="str">
        <f>IF(AND(C665&lt;&gt;"",('Cost Inputs'!$I$166+'Cost Inputs'!$J$166+'Cost Inputs'!$K$166)&gt;0), 'Cost Inputs'!$I$166+'Cost Inputs'!$J$166+'Cost Inputs'!$K$166, "")</f>
        <v/>
      </c>
      <c r="K665" s="17" t="str">
        <f>IF($C665&lt;&gt;"", IF(AND($E665&lt;&gt;"", J665&lt;&gt;""), J665/$E665, 0),"")</f>
        <v/>
      </c>
      <c r="M665" s="106"/>
      <c r="T665" s="17" t="str">
        <f>IF(ISNUMBER('Model_ of_individuals'!T685), 'Model_ of_individuals'!T685*'Model_ of_individuals'!$K685,"")</f>
        <v/>
      </c>
      <c r="U665" s="17" t="str">
        <f>IF(ISNUMBER('Model_ of_individuals'!U685), 'Model_ of_individuals'!U685*'Model_ of_individuals'!$K685,"")</f>
        <v/>
      </c>
      <c r="V665" s="17" t="str">
        <f>IF(ISNUMBER('Model_ of_individuals'!V685), 'Model_ of_individuals'!V685*'Model_ of_individuals'!$K685,"")</f>
        <v/>
      </c>
      <c r="W665" s="17" t="str">
        <f>IF(ISNUMBER('Model_ of_individuals'!W685), 'Model_ of_individuals'!W685*'Model_ of_individuals'!$K685,"")</f>
        <v/>
      </c>
      <c r="X665" s="17" t="str">
        <f>IF(ISNUMBER('Model_ of_individuals'!X685), 'Model_ of_individuals'!X685*'Model_ of_individuals'!$K685,"")</f>
        <v/>
      </c>
      <c r="Y665" s="17" t="str">
        <f>IF(ISNUMBER('Model_ of_individuals'!Y685), 'Model_ of_individuals'!Y685*'Model_ of_individuals'!$K685,"")</f>
        <v/>
      </c>
      <c r="Z665" s="17" t="str">
        <f>IF(ISNUMBER('Model_ of_individuals'!Z685), 'Model_ of_individuals'!Z685*'Model_ of_individuals'!$K685,"")</f>
        <v/>
      </c>
      <c r="AA665" s="17" t="str">
        <f>IF(ISNUMBER('Model_ of_individuals'!AA685), 'Model_ of_individuals'!AA685*'Model_ of_individuals'!$K685,"")</f>
        <v/>
      </c>
      <c r="AB665" s="17" t="str">
        <f>IF(ISNUMBER('Model_ of_individuals'!AB685), 'Model_ of_individuals'!AB685*'Model_ of_individuals'!$K685,"")</f>
        <v/>
      </c>
      <c r="AC665" s="17" t="str">
        <f>IF(ISNUMBER('Model_ of_individuals'!AC685), 'Model_ of_individuals'!AC685*'Model_ of_individuals'!$K685,"")</f>
        <v/>
      </c>
    </row>
    <row r="666" spans="1:30" ht="15.75" thickBot="1" x14ac:dyDescent="0.3">
      <c r="A666" s="518"/>
      <c r="B666" s="505"/>
      <c r="C666" s="111" t="str">
        <f>IF(AND(ISNUMBER(B645), OR('Cost Inputs'!$H$167&lt;&gt;"", 'Cost Inputs'!$I$167&lt;&gt;"", 'Cost Inputs'!$J$167&lt;&gt;"")), _5_6_2, "")</f>
        <v/>
      </c>
      <c r="D666" s="95" t="str">
        <f>IF(AND(C666&lt;&gt;"", 'Cost Inputs'!$G$167&lt;&gt;""), 'Cost Inputs'!$G$167, "")</f>
        <v/>
      </c>
      <c r="E666" s="95" t="str">
        <f>IF(AND(C666&lt;&gt;"", 'Cost Inputs'!$H$167&lt;&gt;""), 'Cost Inputs'!$H$167, "")</f>
        <v/>
      </c>
      <c r="F666" s="95" t="str">
        <f>IF(AND(C666&lt;&gt;"", 'Cost Inputs'!$I$167&lt;&gt;""), 'Cost Inputs'!$I$167, "")</f>
        <v/>
      </c>
      <c r="G666" s="112" t="str">
        <f t="shared" si="59"/>
        <v/>
      </c>
      <c r="H666" s="95" t="str">
        <f>IF(AND(C666&lt;&gt;"", 'Cost Inputs'!$J$167&lt;&gt;""), 'Cost Inputs'!$J$167, "")</f>
        <v/>
      </c>
      <c r="I666" s="95" t="str">
        <f>IF($C666&lt;&gt;"", IF(AND($E666&lt;&gt;"", H666&lt;&gt;""), H666/$E666, 0),"")</f>
        <v/>
      </c>
      <c r="J666" s="95" t="str">
        <f>IF(AND(C666&lt;&gt;"",('Cost Inputs'!$I$167+'Cost Inputs'!$J$167+'Cost Inputs'!$K$167)&gt;0), 'Cost Inputs'!$I$167+'Cost Inputs'!$J$167+'Cost Inputs'!$K$167, "")</f>
        <v/>
      </c>
      <c r="K666" s="95" t="str">
        <f>IF($C666&lt;&gt;"", IF(AND($E666&lt;&gt;"", J666&lt;&gt;""), J666/$E666, 0),"")</f>
        <v/>
      </c>
      <c r="L666" s="95"/>
      <c r="M666" s="113"/>
      <c r="T666" s="95" t="str">
        <f>IF(ISNUMBER('Model_ of_individuals'!T686), 'Model_ of_individuals'!T686*'Model_ of_individuals'!$K686,"")</f>
        <v/>
      </c>
      <c r="U666" s="95" t="str">
        <f>IF(ISNUMBER('Model_ of_individuals'!U686), 'Model_ of_individuals'!U686*'Model_ of_individuals'!$K686,"")</f>
        <v/>
      </c>
      <c r="V666" s="95" t="str">
        <f>IF(ISNUMBER('Model_ of_individuals'!V686), 'Model_ of_individuals'!V686*'Model_ of_individuals'!$K686,"")</f>
        <v/>
      </c>
      <c r="W666" s="95" t="str">
        <f>IF(ISNUMBER('Model_ of_individuals'!W686), 'Model_ of_individuals'!W686*'Model_ of_individuals'!$K686,"")</f>
        <v/>
      </c>
      <c r="X666" s="95" t="str">
        <f>IF(ISNUMBER('Model_ of_individuals'!X686), 'Model_ of_individuals'!X686*'Model_ of_individuals'!$K686,"")</f>
        <v/>
      </c>
      <c r="Y666" s="95" t="str">
        <f>IF(ISNUMBER('Model_ of_individuals'!Y686), 'Model_ of_individuals'!Y686*'Model_ of_individuals'!$K686,"")</f>
        <v/>
      </c>
      <c r="Z666" s="95" t="str">
        <f>IF(ISNUMBER('Model_ of_individuals'!Z686), 'Model_ of_individuals'!Z686*'Model_ of_individuals'!$K686,"")</f>
        <v/>
      </c>
      <c r="AA666" s="95" t="str">
        <f>IF(ISNUMBER('Model_ of_individuals'!AA686), 'Model_ of_individuals'!AA686*'Model_ of_individuals'!$K686,"")</f>
        <v/>
      </c>
      <c r="AB666" s="95" t="str">
        <f>IF(ISNUMBER('Model_ of_individuals'!AB686), 'Model_ of_individuals'!AB686*'Model_ of_individuals'!$K686,"")</f>
        <v/>
      </c>
      <c r="AC666" s="95" t="str">
        <f>IF(ISNUMBER('Model_ of_individuals'!AC686), 'Model_ of_individuals'!AC686*'Model_ of_individuals'!$K686,"")</f>
        <v/>
      </c>
    </row>
    <row r="667" spans="1:30" x14ac:dyDescent="0.25">
      <c r="A667" s="518" t="str">
        <f>Fifth_Stage</f>
        <v>Stage 3 Clonal Replication with Increased Repetitions</v>
      </c>
      <c r="B667" s="503" t="str">
        <f>'Breeding Inputs'!B107</f>
        <v/>
      </c>
      <c r="C667" s="520" t="str">
        <f>IF(ISNUMBER(B667), _5_3_0, "")</f>
        <v/>
      </c>
      <c r="D667" s="92" t="str">
        <f>IF(AND(C667&lt;&gt;"", 'Cost Inputs'!$G$146&lt;&gt;""), 'Cost Inputs'!$G$146, "")</f>
        <v/>
      </c>
      <c r="E667" s="92" t="str">
        <f>IF(AND(C667&lt;&gt;"", 'Cost Inputs'!$H$146&lt;&gt;""), 'Cost Inputs'!$H$146, "")</f>
        <v/>
      </c>
      <c r="F667" s="522" t="str">
        <f>IF(AND(C667&lt;&gt;"", 'Cost Inputs'!$I$146&lt;&gt;""), 'Cost Inputs'!$I$146, "")</f>
        <v/>
      </c>
      <c r="G667" s="100" t="str">
        <f t="shared" si="59"/>
        <v/>
      </c>
      <c r="H667" s="522" t="str">
        <f>IF(AND(C667&lt;&gt;"", 'Cost Inputs'!$J$146&lt;&gt;""), 'Cost Inputs'!$J$146, "")</f>
        <v/>
      </c>
      <c r="I667" s="100" t="str">
        <f>IF($C667&lt;&gt;"",IF(AND($E667&lt;&gt;"",H667&lt;&gt;""), H667/$E667, 0),"")</f>
        <v/>
      </c>
      <c r="J667" s="522" t="str">
        <f>IF(AND(C667&lt;&gt;"",('Cost Inputs'!$I$146+'Cost Inputs'!$J$146+'Cost Inputs'!$K$146)&gt;0), 'Cost Inputs'!$I$146+'Cost Inputs'!$J$146+'Cost Inputs'!$K$146, "")</f>
        <v/>
      </c>
      <c r="K667" s="100" t="str">
        <f>IF($C667&lt;&gt;"",IF(AND($E667&lt;&gt;"",J667&lt;&gt;""), J667/$E667, 0),"")</f>
        <v/>
      </c>
      <c r="L667" s="92"/>
      <c r="M667" s="101"/>
      <c r="U667" s="492" t="str">
        <f>IF(ISNUMBER('Model_ of_individuals'!U687), 'Model_ of_individuals'!U687*'Model_ of_individuals'!$K687,"")</f>
        <v/>
      </c>
      <c r="V667" s="492" t="str">
        <f>IF(ISNUMBER('Model_ of_individuals'!V687), 'Model_ of_individuals'!V687*'Model_ of_individuals'!$K687,"")</f>
        <v/>
      </c>
      <c r="W667" s="492" t="str">
        <f>IF(ISNUMBER('Model_ of_individuals'!W687), 'Model_ of_individuals'!W687*'Model_ of_individuals'!$K687,"")</f>
        <v/>
      </c>
      <c r="X667" s="492" t="str">
        <f>IF(ISNUMBER('Model_ of_individuals'!X687), 'Model_ of_individuals'!X687*'Model_ of_individuals'!$K687,"")</f>
        <v/>
      </c>
      <c r="Y667" s="492" t="str">
        <f>IF(ISNUMBER('Model_ of_individuals'!Y687), 'Model_ of_individuals'!Y687*'Model_ of_individuals'!$K687,"")</f>
        <v/>
      </c>
      <c r="Z667" s="492" t="str">
        <f>IF(ISNUMBER('Model_ of_individuals'!Z687), 'Model_ of_individuals'!Z687*'Model_ of_individuals'!$K687,"")</f>
        <v/>
      </c>
      <c r="AA667" s="492" t="str">
        <f>IF(ISNUMBER('Model_ of_individuals'!AA687), 'Model_ of_individuals'!AA687*'Model_ of_individuals'!$K687,"")</f>
        <v/>
      </c>
      <c r="AB667" s="492" t="str">
        <f>IF(ISNUMBER('Model_ of_individuals'!AB687), 'Model_ of_individuals'!AB687*'Model_ of_individuals'!$K687,"")</f>
        <v/>
      </c>
      <c r="AC667" s="492" t="str">
        <f>IF(ISNUMBER('Model_ of_individuals'!AC687), 'Model_ of_individuals'!AC687*'Model_ of_individuals'!$K687,"")</f>
        <v/>
      </c>
      <c r="AD667" s="492" t="str">
        <f>IF(ISNUMBER('Model_ of_individuals'!AD687), 'Model_ of_individuals'!AD687*'Model_ of_individuals'!$K687,"")</f>
        <v/>
      </c>
    </row>
    <row r="668" spans="1:30" x14ac:dyDescent="0.25">
      <c r="A668" s="518"/>
      <c r="B668" s="504"/>
      <c r="C668" s="521"/>
      <c r="D668" s="94" t="str">
        <f>IF(AND(C667&lt;&gt;"", 'Cost Inputs'!$G$147&lt;&gt;""), 'Cost Inputs'!$G$147, "")</f>
        <v/>
      </c>
      <c r="E668" s="94" t="str">
        <f>IF(AND(C667&lt;&gt;"", 'Cost Inputs'!$H$147&lt;&gt;""), 'Cost Inputs'!$H$147, "")</f>
        <v/>
      </c>
      <c r="F668" s="492"/>
      <c r="G668" s="102" t="str">
        <f t="shared" si="59"/>
        <v/>
      </c>
      <c r="H668" s="492"/>
      <c r="I668" s="102" t="str">
        <f>IF($C667&lt;&gt;"", IF(AND($E668&lt;&gt;"", H667&lt;&gt;""), H667/($E667*$E668), 0), "")</f>
        <v/>
      </c>
      <c r="J668" s="492" t="str">
        <f>IF(AND(C668&lt;&gt;"",('Cost Inputs'!$I$86+'Cost Inputs'!$J$86+'Cost Inputs'!$K$86)&gt;0), 'Cost Inputs'!$I$86+'Cost Inputs'!$J$86+'Cost Inputs'!$K$86, "")</f>
        <v/>
      </c>
      <c r="K668" s="102" t="str">
        <f>IF($C667&lt;&gt;"", IF(AND($E668&lt;&gt;"", J667&lt;&gt;""), J667/($E667*$E668), 0), "")</f>
        <v/>
      </c>
      <c r="L668" s="94"/>
      <c r="M668" s="103"/>
      <c r="U668" s="492" t="str">
        <f>IF(ISNUMBER('Model_ of_individuals'!U688), 'Model_ of_individuals'!U688*'Model_ of_individuals'!$K688,"")</f>
        <v/>
      </c>
      <c r="V668" s="492" t="str">
        <f>IF(ISNUMBER('Model_ of_individuals'!V688), 'Model_ of_individuals'!V688*'Model_ of_individuals'!$K688,"")</f>
        <v/>
      </c>
      <c r="W668" s="492" t="str">
        <f>IF(ISNUMBER('Model_ of_individuals'!W688), 'Model_ of_individuals'!W688*'Model_ of_individuals'!$K688,"")</f>
        <v/>
      </c>
      <c r="X668" s="492" t="str">
        <f>IF(ISNUMBER('Model_ of_individuals'!X688), 'Model_ of_individuals'!X688*'Model_ of_individuals'!$K688,"")</f>
        <v/>
      </c>
      <c r="Y668" s="492" t="str">
        <f>IF(ISNUMBER('Model_ of_individuals'!Y688), 'Model_ of_individuals'!Y688*'Model_ of_individuals'!$K688,"")</f>
        <v/>
      </c>
      <c r="Z668" s="492" t="str">
        <f>IF(ISNUMBER('Model_ of_individuals'!Z688), 'Model_ of_individuals'!Z688*'Model_ of_individuals'!$K688,"")</f>
        <v/>
      </c>
      <c r="AA668" s="492" t="str">
        <f>IF(ISNUMBER('Model_ of_individuals'!AA688), 'Model_ of_individuals'!AA688*'Model_ of_individuals'!$K688,"")</f>
        <v/>
      </c>
      <c r="AB668" s="492" t="str">
        <f>IF(ISNUMBER('Model_ of_individuals'!AB688), 'Model_ of_individuals'!AB688*'Model_ of_individuals'!$K688,"")</f>
        <v/>
      </c>
      <c r="AC668" s="492" t="str">
        <f>IF(ISNUMBER('Model_ of_individuals'!AC688), 'Model_ of_individuals'!AC688*'Model_ of_individuals'!$K688,"")</f>
        <v/>
      </c>
      <c r="AD668" s="492" t="str">
        <f>IF(ISNUMBER('Model_ of_individuals'!AD688), 'Model_ of_individuals'!AD688*'Model_ of_individuals'!$K688,"")</f>
        <v/>
      </c>
    </row>
    <row r="669" spans="1:30" x14ac:dyDescent="0.25">
      <c r="A669" s="518"/>
      <c r="B669" s="504"/>
      <c r="C669" s="104" t="str">
        <f>IF(AND(ISNUMBER(B667), OR('Cost Inputs'!$H$148&lt;&gt;"", 'Cost Inputs'!$I$148&lt;&gt;"", 'Cost Inputs'!$J$148&lt;&gt;"")), _5_3_1, "")</f>
        <v/>
      </c>
      <c r="D669" s="17" t="str">
        <f>IF(AND(C669&lt;&gt;"", 'Cost Inputs'!$G$148&lt;&gt;""), 'Cost Inputs'!$G$148, "")</f>
        <v/>
      </c>
      <c r="E669" s="17" t="str">
        <f>IF(AND(C669&lt;&gt;"", 'Cost Inputs'!$H$148&lt;&gt;""), 'Cost Inputs'!$H$148, "")</f>
        <v/>
      </c>
      <c r="F669" s="17" t="str">
        <f>IF(AND(C669&lt;&gt;"", 'Cost Inputs'!$I$148&lt;&gt;""), 'Cost Inputs'!$I$148, "")</f>
        <v/>
      </c>
      <c r="G669" s="105" t="str">
        <f t="shared" si="59"/>
        <v/>
      </c>
      <c r="H669" s="17" t="str">
        <f>IF(AND(C669&lt;&gt;"", 'Cost Inputs'!$J$148&lt;&gt;""), 'Cost Inputs'!$J$148, "")</f>
        <v/>
      </c>
      <c r="I669" s="17" t="str">
        <f t="shared" ref="I669:I677" si="60">IF($C669&lt;&gt;"", IF(AND($E669&lt;&gt;"", H669&lt;&gt;""), H669/$E669, 0),"")</f>
        <v/>
      </c>
      <c r="J669" s="17" t="str">
        <f>IF(AND(C669&lt;&gt;"",('Cost Inputs'!$I$148+'Cost Inputs'!$J$148+'Cost Inputs'!$K$148)&gt;0), 'Cost Inputs'!$I$148+'Cost Inputs'!$J$148+'Cost Inputs'!$K$148, "")</f>
        <v/>
      </c>
      <c r="K669" s="17" t="str">
        <f t="shared" ref="K669:K677" si="61">IF($C669&lt;&gt;"", IF(AND($E669&lt;&gt;"", J669&lt;&gt;""), J669/$E669, 0),"")</f>
        <v/>
      </c>
      <c r="M669" s="106"/>
      <c r="U669" s="17" t="str">
        <f>IF(ISNUMBER('Model_ of_individuals'!U689), 'Model_ of_individuals'!U689*'Model_ of_individuals'!$K689,"")</f>
        <v/>
      </c>
      <c r="V669" s="17" t="str">
        <f>IF(ISNUMBER('Model_ of_individuals'!V689), 'Model_ of_individuals'!V689*'Model_ of_individuals'!$K689,"")</f>
        <v/>
      </c>
      <c r="W669" s="17" t="str">
        <f>IF(ISNUMBER('Model_ of_individuals'!W689), 'Model_ of_individuals'!W689*'Model_ of_individuals'!$K689,"")</f>
        <v/>
      </c>
      <c r="X669" s="17" t="str">
        <f>IF(ISNUMBER('Model_ of_individuals'!X689), 'Model_ of_individuals'!X689*'Model_ of_individuals'!$K689,"")</f>
        <v/>
      </c>
      <c r="Y669" s="17" t="str">
        <f>IF(ISNUMBER('Model_ of_individuals'!Y689), 'Model_ of_individuals'!Y689*'Model_ of_individuals'!$K689,"")</f>
        <v/>
      </c>
      <c r="Z669" s="17" t="str">
        <f>IF(ISNUMBER('Model_ of_individuals'!Z689), 'Model_ of_individuals'!Z689*'Model_ of_individuals'!$K689,"")</f>
        <v/>
      </c>
      <c r="AA669" s="17" t="str">
        <f>IF(ISNUMBER('Model_ of_individuals'!AA689), 'Model_ of_individuals'!AA689*'Model_ of_individuals'!$K689,"")</f>
        <v/>
      </c>
      <c r="AB669" s="17" t="str">
        <f>IF(ISNUMBER('Model_ of_individuals'!AB689), 'Model_ of_individuals'!AB689*'Model_ of_individuals'!$K689,"")</f>
        <v/>
      </c>
      <c r="AC669" s="17" t="str">
        <f>IF(ISNUMBER('Model_ of_individuals'!AC689), 'Model_ of_individuals'!AC689*'Model_ of_individuals'!$K689,"")</f>
        <v/>
      </c>
      <c r="AD669" s="17" t="str">
        <f>IF(ISNUMBER('Model_ of_individuals'!AD689), 'Model_ of_individuals'!AD689*'Model_ of_individuals'!$K689,"")</f>
        <v/>
      </c>
    </row>
    <row r="670" spans="1:30" x14ac:dyDescent="0.25">
      <c r="A670" s="518"/>
      <c r="B670" s="504"/>
      <c r="C670" s="107" t="str">
        <f>IF(AND(ISNUMBER(B667), OR('Cost Inputs'!$H$149&lt;&gt;"", 'Cost Inputs'!$I$149&lt;&gt;"", 'Cost Inputs'!$J$149&lt;&gt;"")), _5_3_2, "")</f>
        <v/>
      </c>
      <c r="D670" s="93" t="str">
        <f>IF(AND(C670&lt;&gt;"", 'Cost Inputs'!$G$149&lt;&gt;""), 'Cost Inputs'!$G$149, "")</f>
        <v/>
      </c>
      <c r="E670" s="93" t="str">
        <f>IF(AND(C670&lt;&gt;"", 'Cost Inputs'!$H$149&lt;&gt;""), 'Cost Inputs'!$H$149, "")</f>
        <v/>
      </c>
      <c r="F670" s="93" t="str">
        <f>IF(AND(C670&lt;&gt;"", 'Cost Inputs'!$I$149&lt;&gt;""), 'Cost Inputs'!$I$149, "")</f>
        <v/>
      </c>
      <c r="G670" s="108" t="str">
        <f t="shared" si="59"/>
        <v/>
      </c>
      <c r="H670" s="93" t="str">
        <f>IF(AND(C670&lt;&gt;"", 'Cost Inputs'!$J$149&lt;&gt;""), 'Cost Inputs'!$J$149, "")</f>
        <v/>
      </c>
      <c r="I670" s="93" t="str">
        <f t="shared" si="60"/>
        <v/>
      </c>
      <c r="J670" s="93" t="str">
        <f>IF(AND(C670&lt;&gt;"",('Cost Inputs'!$I$149+'Cost Inputs'!$J$149+'Cost Inputs'!$K$149)&gt;0), 'Cost Inputs'!$I$149+'Cost Inputs'!$J$149+'Cost Inputs'!$K$149, "")</f>
        <v/>
      </c>
      <c r="K670" s="93" t="str">
        <f t="shared" si="61"/>
        <v/>
      </c>
      <c r="L670" s="93"/>
      <c r="M670" s="109"/>
      <c r="U670" s="93" t="str">
        <f>IF(ISNUMBER('Model_ of_individuals'!U690), 'Model_ of_individuals'!U690*'Model_ of_individuals'!$K690,"")</f>
        <v/>
      </c>
      <c r="V670" s="93" t="str">
        <f>IF(ISNUMBER('Model_ of_individuals'!V690), 'Model_ of_individuals'!V690*'Model_ of_individuals'!$K690,"")</f>
        <v/>
      </c>
      <c r="W670" s="93" t="str">
        <f>IF(ISNUMBER('Model_ of_individuals'!W690), 'Model_ of_individuals'!W690*'Model_ of_individuals'!$K690,"")</f>
        <v/>
      </c>
      <c r="X670" s="93" t="str">
        <f>IF(ISNUMBER('Model_ of_individuals'!X690), 'Model_ of_individuals'!X690*'Model_ of_individuals'!$K690,"")</f>
        <v/>
      </c>
      <c r="Y670" s="93" t="str">
        <f>IF(ISNUMBER('Model_ of_individuals'!Y690), 'Model_ of_individuals'!Y690*'Model_ of_individuals'!$K690,"")</f>
        <v/>
      </c>
      <c r="Z670" s="93" t="str">
        <f>IF(ISNUMBER('Model_ of_individuals'!Z690), 'Model_ of_individuals'!Z690*'Model_ of_individuals'!$K690,"")</f>
        <v/>
      </c>
      <c r="AA670" s="93" t="str">
        <f>IF(ISNUMBER('Model_ of_individuals'!AA690), 'Model_ of_individuals'!AA690*'Model_ of_individuals'!$K690,"")</f>
        <v/>
      </c>
      <c r="AB670" s="93" t="str">
        <f>IF(ISNUMBER('Model_ of_individuals'!AB690), 'Model_ of_individuals'!AB690*'Model_ of_individuals'!$K690,"")</f>
        <v/>
      </c>
      <c r="AC670" s="93" t="str">
        <f>IF(ISNUMBER('Model_ of_individuals'!AC690), 'Model_ of_individuals'!AC690*'Model_ of_individuals'!$K690,"")</f>
        <v/>
      </c>
      <c r="AD670" s="93" t="str">
        <f>IF(ISNUMBER('Model_ of_individuals'!AD690), 'Model_ of_individuals'!AD690*'Model_ of_individuals'!$K690,"")</f>
        <v/>
      </c>
    </row>
    <row r="671" spans="1:30" x14ac:dyDescent="0.25">
      <c r="A671" s="518"/>
      <c r="B671" s="504"/>
      <c r="C671" s="110" t="str">
        <f>IF(ISNUMBER(B667), _5_4_0, "")</f>
        <v/>
      </c>
      <c r="D671" s="94" t="str">
        <f>IF(AND(C671&lt;&gt;"", 'Cost Inputs'!$G$150&lt;&gt;""), 'Cost Inputs'!$G$150, "")</f>
        <v/>
      </c>
      <c r="E671" s="94" t="str">
        <f>IF(AND(C671&lt;&gt;"", 'Cost Inputs'!$H$150&lt;&gt;""), 'Cost Inputs'!$H$150, "")</f>
        <v/>
      </c>
      <c r="F671" s="94" t="str">
        <f>IF(AND(C671&lt;&gt;"", 'Cost Inputs'!$I$150&lt;&gt;""), 'Cost Inputs'!$I$150, "")</f>
        <v/>
      </c>
      <c r="G671" s="102" t="str">
        <f t="shared" si="59"/>
        <v/>
      </c>
      <c r="H671" s="102" t="str">
        <f>IF(AND(C671&lt;&gt;"", 'Cost Inputs'!$J$150&lt;&gt;""), 'Cost Inputs'!$J$150, "")</f>
        <v/>
      </c>
      <c r="I671" s="102" t="str">
        <f t="shared" si="60"/>
        <v/>
      </c>
      <c r="J671" s="102" t="str">
        <f>IF(AND(C671&lt;&gt;"",('Cost Inputs'!$I$150+'Cost Inputs'!$J$150+'Cost Inputs'!$K$150)&gt;0), 'Cost Inputs'!$I$150+'Cost Inputs'!$J$150+'Cost Inputs'!$K$150, "")</f>
        <v/>
      </c>
      <c r="K671" s="102" t="str">
        <f t="shared" si="61"/>
        <v/>
      </c>
      <c r="L671" s="94"/>
      <c r="M671" s="103"/>
      <c r="U671" s="102" t="str">
        <f>IF(ISNUMBER('Model_ of_individuals'!U691), 'Model_ of_individuals'!U691*'Model_ of_individuals'!$K691,"")</f>
        <v/>
      </c>
      <c r="V671" s="102" t="str">
        <f>IF(ISNUMBER('Model_ of_individuals'!V691), 'Model_ of_individuals'!V691*'Model_ of_individuals'!$K691,"")</f>
        <v/>
      </c>
      <c r="W671" s="102" t="str">
        <f>IF(ISNUMBER('Model_ of_individuals'!W691), 'Model_ of_individuals'!W691*'Model_ of_individuals'!$K691,"")</f>
        <v/>
      </c>
      <c r="X671" s="102" t="str">
        <f>IF(ISNUMBER('Model_ of_individuals'!X691), 'Model_ of_individuals'!X691*'Model_ of_individuals'!$K691,"")</f>
        <v/>
      </c>
      <c r="Y671" s="102" t="str">
        <f>IF(ISNUMBER('Model_ of_individuals'!Y691), 'Model_ of_individuals'!Y691*'Model_ of_individuals'!$K691,"")</f>
        <v/>
      </c>
      <c r="Z671" s="102" t="str">
        <f>IF(ISNUMBER('Model_ of_individuals'!Z691), 'Model_ of_individuals'!Z691*'Model_ of_individuals'!$K691,"")</f>
        <v/>
      </c>
      <c r="AA671" s="102" t="str">
        <f>IF(ISNUMBER('Model_ of_individuals'!AA691), 'Model_ of_individuals'!AA691*'Model_ of_individuals'!$K691,"")</f>
        <v/>
      </c>
      <c r="AB671" s="102" t="str">
        <f>IF(ISNUMBER('Model_ of_individuals'!AB691), 'Model_ of_individuals'!AB691*'Model_ of_individuals'!$K691,"")</f>
        <v/>
      </c>
      <c r="AC671" s="102" t="str">
        <f>IF(ISNUMBER('Model_ of_individuals'!AC691), 'Model_ of_individuals'!AC691*'Model_ of_individuals'!$K691,"")</f>
        <v/>
      </c>
      <c r="AD671" s="102" t="str">
        <f>IF(ISNUMBER('Model_ of_individuals'!AD691), 'Model_ of_individuals'!AD691*'Model_ of_individuals'!$K691,"")</f>
        <v/>
      </c>
    </row>
    <row r="672" spans="1:30" x14ac:dyDescent="0.25">
      <c r="A672" s="518"/>
      <c r="B672" s="504"/>
      <c r="C672" s="104" t="str">
        <f>IF(AND(ISNUMBER(B667), OR('Cost Inputs'!$H$151&lt;&gt;"", 'Cost Inputs'!$I$151&lt;&gt;"", 'Cost Inputs'!$J$151&lt;&gt;"")), _5_4_1, "")</f>
        <v/>
      </c>
      <c r="D672" s="17" t="str">
        <f>IF(AND(C672&lt;&gt;"", 'Cost Inputs'!$G$151&lt;&gt;""), 'Cost Inputs'!$G$151, "")</f>
        <v/>
      </c>
      <c r="E672" s="17" t="str">
        <f>IF(AND(C672&lt;&gt;"", 'Cost Inputs'!$H$151&lt;&gt;""), 'Cost Inputs'!$H$151, "")</f>
        <v/>
      </c>
      <c r="F672" s="17" t="str">
        <f>IF(AND(C672&lt;&gt;"", 'Cost Inputs'!$I$151&lt;&gt;""), 'Cost Inputs'!$I$151, "")</f>
        <v/>
      </c>
      <c r="G672" s="105" t="str">
        <f t="shared" si="59"/>
        <v/>
      </c>
      <c r="H672" s="17" t="str">
        <f>IF(AND(C672&lt;&gt;"", 'Cost Inputs'!$J$151&lt;&gt;""), 'Cost Inputs'!$J$151, "")</f>
        <v/>
      </c>
      <c r="I672" s="17" t="str">
        <f t="shared" si="60"/>
        <v/>
      </c>
      <c r="J672" s="17" t="str">
        <f>IF(AND(C672&lt;&gt;"",('Cost Inputs'!$I$151+'Cost Inputs'!$J$151+'Cost Inputs'!$K$151)&gt;0), 'Cost Inputs'!$I$151+'Cost Inputs'!$J$151+'Cost Inputs'!$K$151, "")</f>
        <v/>
      </c>
      <c r="K672" s="17" t="str">
        <f t="shared" si="61"/>
        <v/>
      </c>
      <c r="M672" s="106"/>
      <c r="U672" s="17" t="str">
        <f>IF(ISNUMBER('Model_ of_individuals'!U692), 'Model_ of_individuals'!U692*'Model_ of_individuals'!$K692,"")</f>
        <v/>
      </c>
      <c r="V672" s="17" t="str">
        <f>IF(ISNUMBER('Model_ of_individuals'!V692), 'Model_ of_individuals'!V692*'Model_ of_individuals'!$K692,"")</f>
        <v/>
      </c>
      <c r="W672" s="17" t="str">
        <f>IF(ISNUMBER('Model_ of_individuals'!W692), 'Model_ of_individuals'!W692*'Model_ of_individuals'!$K692,"")</f>
        <v/>
      </c>
      <c r="X672" s="17" t="str">
        <f>IF(ISNUMBER('Model_ of_individuals'!X692), 'Model_ of_individuals'!X692*'Model_ of_individuals'!$K692,"")</f>
        <v/>
      </c>
      <c r="Y672" s="17" t="str">
        <f>IF(ISNUMBER('Model_ of_individuals'!Y692), 'Model_ of_individuals'!Y692*'Model_ of_individuals'!$K692,"")</f>
        <v/>
      </c>
      <c r="Z672" s="17" t="str">
        <f>IF(ISNUMBER('Model_ of_individuals'!Z692), 'Model_ of_individuals'!Z692*'Model_ of_individuals'!$K692,"")</f>
        <v/>
      </c>
      <c r="AA672" s="17" t="str">
        <f>IF(ISNUMBER('Model_ of_individuals'!AA692), 'Model_ of_individuals'!AA692*'Model_ of_individuals'!$K692,"")</f>
        <v/>
      </c>
      <c r="AB672" s="17" t="str">
        <f>IF(ISNUMBER('Model_ of_individuals'!AB692), 'Model_ of_individuals'!AB692*'Model_ of_individuals'!$K692,"")</f>
        <v/>
      </c>
      <c r="AC672" s="17" t="str">
        <f>IF(ISNUMBER('Model_ of_individuals'!AC692), 'Model_ of_individuals'!AC692*'Model_ of_individuals'!$K692,"")</f>
        <v/>
      </c>
      <c r="AD672" s="17" t="str">
        <f>IF(ISNUMBER('Model_ of_individuals'!AD692), 'Model_ of_individuals'!AD692*'Model_ of_individuals'!$K692,"")</f>
        <v/>
      </c>
    </row>
    <row r="673" spans="1:30" x14ac:dyDescent="0.25">
      <c r="A673" s="518"/>
      <c r="B673" s="504"/>
      <c r="C673" s="107" t="str">
        <f>IF(AND(ISNUMBER(B667), OR('Cost Inputs'!$H$152&lt;&gt;"", 'Cost Inputs'!$I$152&lt;&gt;"", 'Cost Inputs'!$J$152&lt;&gt;"")), _5_4_2, "")</f>
        <v/>
      </c>
      <c r="D673" s="93" t="str">
        <f>IF(AND(C673&lt;&gt;"", 'Cost Inputs'!$G$152&lt;&gt;""), 'Cost Inputs'!$G$152, "")</f>
        <v/>
      </c>
      <c r="E673" s="93" t="str">
        <f>IF(AND(C673&lt;&gt;"", 'Cost Inputs'!$H$152&lt;&gt;""), 'Cost Inputs'!$H$152, "")</f>
        <v/>
      </c>
      <c r="F673" s="93" t="str">
        <f>IF(AND(C673&lt;&gt;"", 'Cost Inputs'!$I$152&lt;&gt;""), 'Cost Inputs'!$I$152, "")</f>
        <v/>
      </c>
      <c r="G673" s="108" t="str">
        <f t="shared" si="59"/>
        <v/>
      </c>
      <c r="H673" s="93" t="str">
        <f>IF(AND(C673&lt;&gt;"", 'Cost Inputs'!$J$152&lt;&gt;""), 'Cost Inputs'!$J$152, "")</f>
        <v/>
      </c>
      <c r="I673" s="93" t="str">
        <f t="shared" si="60"/>
        <v/>
      </c>
      <c r="J673" s="93" t="str">
        <f>IF(AND(C673&lt;&gt;"",('Cost Inputs'!$I$152+'Cost Inputs'!$J$152+'Cost Inputs'!$K$152)&gt;0), 'Cost Inputs'!$I$152+'Cost Inputs'!$J$152+'Cost Inputs'!$K$152, "")</f>
        <v/>
      </c>
      <c r="K673" s="93" t="str">
        <f t="shared" si="61"/>
        <v/>
      </c>
      <c r="L673" s="93"/>
      <c r="M673" s="109"/>
      <c r="U673" s="93" t="str">
        <f>IF(ISNUMBER('Model_ of_individuals'!U693), 'Model_ of_individuals'!U693*'Model_ of_individuals'!$K693,"")</f>
        <v/>
      </c>
      <c r="V673" s="93" t="str">
        <f>IF(ISNUMBER('Model_ of_individuals'!V693), 'Model_ of_individuals'!V693*'Model_ of_individuals'!$K693,"")</f>
        <v/>
      </c>
      <c r="W673" s="93" t="str">
        <f>IF(ISNUMBER('Model_ of_individuals'!W693), 'Model_ of_individuals'!W693*'Model_ of_individuals'!$K693,"")</f>
        <v/>
      </c>
      <c r="X673" s="93" t="str">
        <f>IF(ISNUMBER('Model_ of_individuals'!X693), 'Model_ of_individuals'!X693*'Model_ of_individuals'!$K693,"")</f>
        <v/>
      </c>
      <c r="Y673" s="93" t="str">
        <f>IF(ISNUMBER('Model_ of_individuals'!Y693), 'Model_ of_individuals'!Y693*'Model_ of_individuals'!$K693,"")</f>
        <v/>
      </c>
      <c r="Z673" s="93" t="str">
        <f>IF(ISNUMBER('Model_ of_individuals'!Z693), 'Model_ of_individuals'!Z693*'Model_ of_individuals'!$K693,"")</f>
        <v/>
      </c>
      <c r="AA673" s="93" t="str">
        <f>IF(ISNUMBER('Model_ of_individuals'!AA693), 'Model_ of_individuals'!AA693*'Model_ of_individuals'!$K693,"")</f>
        <v/>
      </c>
      <c r="AB673" s="93" t="str">
        <f>IF(ISNUMBER('Model_ of_individuals'!AB693), 'Model_ of_individuals'!AB693*'Model_ of_individuals'!$K693,"")</f>
        <v/>
      </c>
      <c r="AC673" s="93" t="str">
        <f>IF(ISNUMBER('Model_ of_individuals'!AC693), 'Model_ of_individuals'!AC693*'Model_ of_individuals'!$K693,"")</f>
        <v/>
      </c>
      <c r="AD673" s="93" t="str">
        <f>IF(ISNUMBER('Model_ of_individuals'!AD693), 'Model_ of_individuals'!AD693*'Model_ of_individuals'!$K693,"")</f>
        <v/>
      </c>
    </row>
    <row r="674" spans="1:30" x14ac:dyDescent="0.25">
      <c r="A674" s="518"/>
      <c r="B674" s="504"/>
      <c r="C674" s="104" t="str">
        <f>IF(AND(ISNUMBER(B667), OR('Cost Inputs'!$H$153&lt;&gt;"", 'Cost Inputs'!$I$153&lt;&gt;"", 'Cost Inputs'!$J$153&lt;&gt;"")), _5_4_3, "")</f>
        <v/>
      </c>
      <c r="D674" s="17" t="str">
        <f>IF(AND(C674&lt;&gt;"", 'Cost Inputs'!$G$153&lt;&gt;""), 'Cost Inputs'!$G$153, "")</f>
        <v/>
      </c>
      <c r="E674" s="17" t="str">
        <f>IF(AND(C674&lt;&gt;"", 'Cost Inputs'!$H$153&lt;&gt;""), 'Cost Inputs'!$H$153, "")</f>
        <v/>
      </c>
      <c r="F674" s="17" t="str">
        <f>IF(AND(C674&lt;&gt;"", 'Cost Inputs'!$I$153&lt;&gt;""), 'Cost Inputs'!$I$153, "")</f>
        <v/>
      </c>
      <c r="G674" s="105" t="str">
        <f t="shared" si="59"/>
        <v/>
      </c>
      <c r="H674" s="17" t="str">
        <f>IF(AND(C674&lt;&gt;"", 'Cost Inputs'!$J$153&lt;&gt;""), 'Cost Inputs'!$J$153, "")</f>
        <v/>
      </c>
      <c r="I674" s="17" t="str">
        <f t="shared" si="60"/>
        <v/>
      </c>
      <c r="J674" s="17" t="str">
        <f>IF(AND(C674&lt;&gt;"",('Cost Inputs'!$I$153+'Cost Inputs'!$J$153+'Cost Inputs'!$K$153)&gt;0), 'Cost Inputs'!$I$153+'Cost Inputs'!$J$153+'Cost Inputs'!$K$153, "")</f>
        <v/>
      </c>
      <c r="K674" s="17" t="str">
        <f t="shared" si="61"/>
        <v/>
      </c>
      <c r="M674" s="106"/>
      <c r="U674" s="17" t="str">
        <f>IF(ISNUMBER('Model_ of_individuals'!U694), 'Model_ of_individuals'!U694*'Model_ of_individuals'!$K694,"")</f>
        <v/>
      </c>
      <c r="V674" s="17" t="str">
        <f>IF(ISNUMBER('Model_ of_individuals'!V694), 'Model_ of_individuals'!V694*'Model_ of_individuals'!$K694,"")</f>
        <v/>
      </c>
      <c r="W674" s="17" t="str">
        <f>IF(ISNUMBER('Model_ of_individuals'!W694), 'Model_ of_individuals'!W694*'Model_ of_individuals'!$K694,"")</f>
        <v/>
      </c>
      <c r="X674" s="17" t="str">
        <f>IF(ISNUMBER('Model_ of_individuals'!X694), 'Model_ of_individuals'!X694*'Model_ of_individuals'!$K694,"")</f>
        <v/>
      </c>
      <c r="Y674" s="17" t="str">
        <f>IF(ISNUMBER('Model_ of_individuals'!Y694), 'Model_ of_individuals'!Y694*'Model_ of_individuals'!$K694,"")</f>
        <v/>
      </c>
      <c r="Z674" s="17" t="str">
        <f>IF(ISNUMBER('Model_ of_individuals'!Z694), 'Model_ of_individuals'!Z694*'Model_ of_individuals'!$K694,"")</f>
        <v/>
      </c>
      <c r="AA674" s="17" t="str">
        <f>IF(ISNUMBER('Model_ of_individuals'!AA694), 'Model_ of_individuals'!AA694*'Model_ of_individuals'!$K694,"")</f>
        <v/>
      </c>
      <c r="AB674" s="17" t="str">
        <f>IF(ISNUMBER('Model_ of_individuals'!AB694), 'Model_ of_individuals'!AB694*'Model_ of_individuals'!$K694,"")</f>
        <v/>
      </c>
      <c r="AC674" s="17" t="str">
        <f>IF(ISNUMBER('Model_ of_individuals'!AC694), 'Model_ of_individuals'!AC694*'Model_ of_individuals'!$K694,"")</f>
        <v/>
      </c>
      <c r="AD674" s="17" t="str">
        <f>IF(ISNUMBER('Model_ of_individuals'!AD694), 'Model_ of_individuals'!AD694*'Model_ of_individuals'!$K694,"")</f>
        <v/>
      </c>
    </row>
    <row r="675" spans="1:30" x14ac:dyDescent="0.25">
      <c r="A675" s="518"/>
      <c r="B675" s="504"/>
      <c r="C675" s="107" t="str">
        <f>IF(AND(ISNUMBER(B667), OR('Cost Inputs'!$H$154&lt;&gt;"", 'Cost Inputs'!$I$154&lt;&gt;"", 'Cost Inputs'!$J$154&lt;&gt;"")), _5_4_4, "")</f>
        <v/>
      </c>
      <c r="D675" s="93" t="str">
        <f>IF(AND(C675&lt;&gt;"", 'Cost Inputs'!$G$154&lt;&gt;""), 'Cost Inputs'!$G$154, "")</f>
        <v/>
      </c>
      <c r="E675" s="93" t="str">
        <f>IF(AND(C675&lt;&gt;"", 'Cost Inputs'!$H$154&lt;&gt;""), 'Cost Inputs'!$H$154, "")</f>
        <v/>
      </c>
      <c r="F675" s="93" t="str">
        <f>IF(AND(C675&lt;&gt;"", 'Cost Inputs'!$I$154&lt;&gt;""), 'Cost Inputs'!$I$154, "")</f>
        <v/>
      </c>
      <c r="G675" s="108" t="str">
        <f t="shared" si="59"/>
        <v/>
      </c>
      <c r="H675" s="93" t="str">
        <f>IF(AND(C675&lt;&gt;"", 'Cost Inputs'!$J$154&lt;&gt;""), 'Cost Inputs'!$J$154, "")</f>
        <v/>
      </c>
      <c r="I675" s="93" t="str">
        <f t="shared" si="60"/>
        <v/>
      </c>
      <c r="J675" s="93" t="str">
        <f>IF(AND(C675&lt;&gt;"",('Cost Inputs'!$I$154+'Cost Inputs'!$J$154+'Cost Inputs'!$K$154)&gt;0), 'Cost Inputs'!$I$154+'Cost Inputs'!$J$154+'Cost Inputs'!$K$154, "")</f>
        <v/>
      </c>
      <c r="K675" s="93" t="str">
        <f t="shared" si="61"/>
        <v/>
      </c>
      <c r="L675" s="93"/>
      <c r="M675" s="109"/>
      <c r="U675" s="93" t="str">
        <f>IF(ISNUMBER('Model_ of_individuals'!U695), 'Model_ of_individuals'!U695*'Model_ of_individuals'!$K695,"")</f>
        <v/>
      </c>
      <c r="V675" s="93" t="str">
        <f>IF(ISNUMBER('Model_ of_individuals'!V695), 'Model_ of_individuals'!V695*'Model_ of_individuals'!$K695,"")</f>
        <v/>
      </c>
      <c r="W675" s="93" t="str">
        <f>IF(ISNUMBER('Model_ of_individuals'!W695), 'Model_ of_individuals'!W695*'Model_ of_individuals'!$K695,"")</f>
        <v/>
      </c>
      <c r="X675" s="93" t="str">
        <f>IF(ISNUMBER('Model_ of_individuals'!X695), 'Model_ of_individuals'!X695*'Model_ of_individuals'!$K695,"")</f>
        <v/>
      </c>
      <c r="Y675" s="93" t="str">
        <f>IF(ISNUMBER('Model_ of_individuals'!Y695), 'Model_ of_individuals'!Y695*'Model_ of_individuals'!$K695,"")</f>
        <v/>
      </c>
      <c r="Z675" s="93" t="str">
        <f>IF(ISNUMBER('Model_ of_individuals'!Z695), 'Model_ of_individuals'!Z695*'Model_ of_individuals'!$K695,"")</f>
        <v/>
      </c>
      <c r="AA675" s="93" t="str">
        <f>IF(ISNUMBER('Model_ of_individuals'!AA695), 'Model_ of_individuals'!AA695*'Model_ of_individuals'!$K695,"")</f>
        <v/>
      </c>
      <c r="AB675" s="93" t="str">
        <f>IF(ISNUMBER('Model_ of_individuals'!AB695), 'Model_ of_individuals'!AB695*'Model_ of_individuals'!$K695,"")</f>
        <v/>
      </c>
      <c r="AC675" s="93" t="str">
        <f>IF(ISNUMBER('Model_ of_individuals'!AC695), 'Model_ of_individuals'!AC695*'Model_ of_individuals'!$K695,"")</f>
        <v/>
      </c>
      <c r="AD675" s="93" t="str">
        <f>IF(ISNUMBER('Model_ of_individuals'!AD695), 'Model_ of_individuals'!AD695*'Model_ of_individuals'!$K695,"")</f>
        <v/>
      </c>
    </row>
    <row r="676" spans="1:30" x14ac:dyDescent="0.25">
      <c r="A676" s="518"/>
      <c r="B676" s="504"/>
      <c r="C676" s="104" t="str">
        <f>IF(AND(ISNUMBER(B667), OR('Cost Inputs'!$H$155&lt;&gt;"", 'Cost Inputs'!$I$155&lt;&gt;"", 'Cost Inputs'!$J$155&lt;&gt;"")), _5_4_5, "")</f>
        <v/>
      </c>
      <c r="D676" s="17" t="str">
        <f>IF(AND(C676&lt;&gt;"", 'Cost Inputs'!$G$155&lt;&gt;""), 'Cost Inputs'!$G$155, "")</f>
        <v/>
      </c>
      <c r="E676" s="17" t="str">
        <f>IF(AND(C676&lt;&gt;"", 'Cost Inputs'!$H$155&lt;&gt;""), 'Cost Inputs'!$H$155, "")</f>
        <v/>
      </c>
      <c r="F676" s="17" t="str">
        <f>IF(AND(C676&lt;&gt;"", 'Cost Inputs'!$I$155&lt;&gt;""), 'Cost Inputs'!$I$155, "")</f>
        <v/>
      </c>
      <c r="G676" s="105" t="str">
        <f t="shared" si="59"/>
        <v/>
      </c>
      <c r="H676" s="17" t="str">
        <f>IF(AND(C676&lt;&gt;"", 'Cost Inputs'!$J$155&lt;&gt;""), 'Cost Inputs'!$J$155, "")</f>
        <v/>
      </c>
      <c r="I676" s="17" t="str">
        <f t="shared" si="60"/>
        <v/>
      </c>
      <c r="J676" s="17" t="str">
        <f>IF(AND(C676&lt;&gt;"",('Cost Inputs'!$I$155+'Cost Inputs'!$J$155+'Cost Inputs'!$K$155)&gt;0), 'Cost Inputs'!$I$155+'Cost Inputs'!$J$155+'Cost Inputs'!$K$155, "")</f>
        <v/>
      </c>
      <c r="K676" s="17" t="str">
        <f t="shared" si="61"/>
        <v/>
      </c>
      <c r="M676" s="106"/>
      <c r="U676" s="17" t="str">
        <f>IF(ISNUMBER('Model_ of_individuals'!U696), 'Model_ of_individuals'!U696*'Model_ of_individuals'!$K696,"")</f>
        <v/>
      </c>
      <c r="V676" s="17" t="str">
        <f>IF(ISNUMBER('Model_ of_individuals'!V696), 'Model_ of_individuals'!V696*'Model_ of_individuals'!$K696,"")</f>
        <v/>
      </c>
      <c r="W676" s="17" t="str">
        <f>IF(ISNUMBER('Model_ of_individuals'!W696), 'Model_ of_individuals'!W696*'Model_ of_individuals'!$K696,"")</f>
        <v/>
      </c>
      <c r="X676" s="17" t="str">
        <f>IF(ISNUMBER('Model_ of_individuals'!X696), 'Model_ of_individuals'!X696*'Model_ of_individuals'!$K696,"")</f>
        <v/>
      </c>
      <c r="Y676" s="17" t="str">
        <f>IF(ISNUMBER('Model_ of_individuals'!Y696), 'Model_ of_individuals'!Y696*'Model_ of_individuals'!$K696,"")</f>
        <v/>
      </c>
      <c r="Z676" s="17" t="str">
        <f>IF(ISNUMBER('Model_ of_individuals'!Z696), 'Model_ of_individuals'!Z696*'Model_ of_individuals'!$K696,"")</f>
        <v/>
      </c>
      <c r="AA676" s="17" t="str">
        <f>IF(ISNUMBER('Model_ of_individuals'!AA696), 'Model_ of_individuals'!AA696*'Model_ of_individuals'!$K696,"")</f>
        <v/>
      </c>
      <c r="AB676" s="17" t="str">
        <f>IF(ISNUMBER('Model_ of_individuals'!AB696), 'Model_ of_individuals'!AB696*'Model_ of_individuals'!$K696,"")</f>
        <v/>
      </c>
      <c r="AC676" s="17" t="str">
        <f>IF(ISNUMBER('Model_ of_individuals'!AC696), 'Model_ of_individuals'!AC696*'Model_ of_individuals'!$K696,"")</f>
        <v/>
      </c>
      <c r="AD676" s="17" t="str">
        <f>IF(ISNUMBER('Model_ of_individuals'!AD696), 'Model_ of_individuals'!AD696*'Model_ of_individuals'!$K696,"")</f>
        <v/>
      </c>
    </row>
    <row r="677" spans="1:30" x14ac:dyDescent="0.25">
      <c r="A677" s="518"/>
      <c r="B677" s="504"/>
      <c r="C677" s="107" t="str">
        <f>IF(AND(ISNUMBER(B667), OR('Cost Inputs'!$H$156&lt;&gt;"", 'Cost Inputs'!$I$156&lt;&gt;"", 'Cost Inputs'!$J$156&lt;&gt;"")), _5_4_6, "")</f>
        <v/>
      </c>
      <c r="D677" s="93" t="str">
        <f>IF(AND(C677&lt;&gt;"", 'Cost Inputs'!$G$156&lt;&gt;""), 'Cost Inputs'!$G$156, "")</f>
        <v/>
      </c>
      <c r="E677" s="93" t="str">
        <f>IF(AND(C677&lt;&gt;"", 'Cost Inputs'!$H$156&lt;&gt;""), 'Cost Inputs'!$H$156, "")</f>
        <v/>
      </c>
      <c r="F677" s="93" t="str">
        <f>IF(AND(C677&lt;&gt;"", 'Cost Inputs'!$I$156&lt;&gt;""), 'Cost Inputs'!$I$156, "")</f>
        <v/>
      </c>
      <c r="G677" s="108" t="str">
        <f t="shared" si="59"/>
        <v/>
      </c>
      <c r="H677" s="93" t="str">
        <f>IF(AND(C677&lt;&gt;"", 'Cost Inputs'!$J$156&lt;&gt;""), 'Cost Inputs'!$J$16, "")</f>
        <v/>
      </c>
      <c r="I677" s="93" t="str">
        <f t="shared" si="60"/>
        <v/>
      </c>
      <c r="J677" s="93" t="str">
        <f>IF(AND(C677&lt;&gt;"",('Cost Inputs'!$I$156+'Cost Inputs'!$J$156+'Cost Inputs'!$K$156)&gt;0), 'Cost Inputs'!$I$156+'Cost Inputs'!$J$156+'Cost Inputs'!$K$156, "")</f>
        <v/>
      </c>
      <c r="K677" s="93" t="str">
        <f t="shared" si="61"/>
        <v/>
      </c>
      <c r="L677" s="93"/>
      <c r="M677" s="109"/>
      <c r="U677" s="93" t="str">
        <f>IF(ISNUMBER('Model_ of_individuals'!U697), 'Model_ of_individuals'!U697*'Model_ of_individuals'!$K697,"")</f>
        <v/>
      </c>
      <c r="V677" s="93" t="str">
        <f>IF(ISNUMBER('Model_ of_individuals'!V697), 'Model_ of_individuals'!V697*'Model_ of_individuals'!$K697,"")</f>
        <v/>
      </c>
      <c r="W677" s="93" t="str">
        <f>IF(ISNUMBER('Model_ of_individuals'!W697), 'Model_ of_individuals'!W697*'Model_ of_individuals'!$K697,"")</f>
        <v/>
      </c>
      <c r="X677" s="93" t="str">
        <f>IF(ISNUMBER('Model_ of_individuals'!X697), 'Model_ of_individuals'!X697*'Model_ of_individuals'!$K697,"")</f>
        <v/>
      </c>
      <c r="Y677" s="93" t="str">
        <f>IF(ISNUMBER('Model_ of_individuals'!Y697), 'Model_ of_individuals'!Y697*'Model_ of_individuals'!$K697,"")</f>
        <v/>
      </c>
      <c r="Z677" s="93" t="str">
        <f>IF(ISNUMBER('Model_ of_individuals'!Z697), 'Model_ of_individuals'!Z697*'Model_ of_individuals'!$K697,"")</f>
        <v/>
      </c>
      <c r="AA677" s="93" t="str">
        <f>IF(ISNUMBER('Model_ of_individuals'!AA697), 'Model_ of_individuals'!AA697*'Model_ of_individuals'!$K697,"")</f>
        <v/>
      </c>
      <c r="AB677" s="93" t="str">
        <f>IF(ISNUMBER('Model_ of_individuals'!AB697), 'Model_ of_individuals'!AB697*'Model_ of_individuals'!$K697,"")</f>
        <v/>
      </c>
      <c r="AC677" s="93" t="str">
        <f>IF(ISNUMBER('Model_ of_individuals'!AC697), 'Model_ of_individuals'!AC697*'Model_ of_individuals'!$K697,"")</f>
        <v/>
      </c>
      <c r="AD677" s="93" t="str">
        <f>IF(ISNUMBER('Model_ of_individuals'!AD697), 'Model_ of_individuals'!AD697*'Model_ of_individuals'!$K697,"")</f>
        <v/>
      </c>
    </row>
    <row r="678" spans="1:30" x14ac:dyDescent="0.25">
      <c r="A678" s="518"/>
      <c r="B678" s="504"/>
      <c r="C678" s="521" t="str">
        <f>IF(AND(B667&lt;&gt;"",ISNUMBER(B667),ISNUMBER(Stage3EvaluationBegins)),IF((INDEX(ProgramYearStage3,MATCH(Stage3EvaluationBegins,Years_in_Stage3,0)))=B667,_5_5_0,IF(AND(B667&lt;&gt;"",C656&lt;&gt;""),_5_5_0,IF(AND(B667&lt;&gt;"",ISNUMBER(B667),OR(Stage3EvaluationBegins=0,Stage3EvaluationBegins="")),"",""))),"")</f>
        <v/>
      </c>
      <c r="D678" s="94" t="str">
        <f>IF(AND(C678&lt;&gt;"", 'Cost Inputs'!$G$157&lt;&gt;""), 'Cost Inputs'!$G$157, "")</f>
        <v/>
      </c>
      <c r="E678" s="94" t="str">
        <f>IF(AND(C678&lt;&gt;"", 'Cost Inputs'!$H$157&lt;&gt;""), 'Cost Inputs'!$H$157, "")</f>
        <v/>
      </c>
      <c r="F678" s="492" t="str">
        <f>IF(AND(C678&lt;&gt;"", 'Cost Inputs'!$I$157&lt;&gt;""), 'Cost Inputs'!$I$157, "")</f>
        <v/>
      </c>
      <c r="G678" s="102" t="str">
        <f t="shared" si="59"/>
        <v/>
      </c>
      <c r="H678" s="492" t="str">
        <f>IF(AND(C678&lt;&gt;"", 'Cost Inputs'!$J$157&lt;&gt;""), 'Cost Inputs'!$J$157, "")</f>
        <v/>
      </c>
      <c r="I678" s="102" t="str">
        <f>IF($C678&lt;&gt;"",IF(AND($E678&lt;&gt;"",H678&lt;&gt;""), H678/$E678, 0),"")</f>
        <v/>
      </c>
      <c r="J678" s="492" t="str">
        <f>IF(AND(C678&lt;&gt;"",('Cost Inputs'!$I$157+'Cost Inputs'!$J$157+'Cost Inputs'!$K$157)&gt;0), 'Cost Inputs'!$I$157+'Cost Inputs'!$J$157+'Cost Inputs'!$K$157, "")</f>
        <v/>
      </c>
      <c r="K678" s="102" t="str">
        <f>IF($C678&lt;&gt;"",IF(AND($E678&lt;&gt;"",J678&lt;&gt;""), J678/$E678, 0),"")</f>
        <v/>
      </c>
      <c r="L678" s="94"/>
      <c r="M678" s="103"/>
      <c r="U678" s="492" t="str">
        <f>IF(ISNUMBER('Model_ of_individuals'!U698), 'Model_ of_individuals'!U698*'Model_ of_individuals'!$K698,"")</f>
        <v/>
      </c>
      <c r="V678" s="492" t="str">
        <f>IF(ISNUMBER('Model_ of_individuals'!V698), 'Model_ of_individuals'!V698*'Model_ of_individuals'!$K698,"")</f>
        <v/>
      </c>
      <c r="W678" s="492" t="str">
        <f>IF(ISNUMBER('Model_ of_individuals'!W698), 'Model_ of_individuals'!W698*'Model_ of_individuals'!$K698,"")</f>
        <v/>
      </c>
      <c r="X678" s="492" t="str">
        <f>IF(ISNUMBER('Model_ of_individuals'!X698), 'Model_ of_individuals'!X698*'Model_ of_individuals'!$K698,"")</f>
        <v/>
      </c>
      <c r="Y678" s="492" t="str">
        <f>IF(ISNUMBER('Model_ of_individuals'!Y698), 'Model_ of_individuals'!Y698*'Model_ of_individuals'!$K698,"")</f>
        <v/>
      </c>
      <c r="Z678" s="492" t="str">
        <f>IF(ISNUMBER('Model_ of_individuals'!Z698), 'Model_ of_individuals'!Z698*'Model_ of_individuals'!$K698,"")</f>
        <v/>
      </c>
      <c r="AA678" s="492" t="str">
        <f>IF(ISNUMBER('Model_ of_individuals'!AA698), 'Model_ of_individuals'!AA698*'Model_ of_individuals'!$K698,"")</f>
        <v/>
      </c>
      <c r="AB678" s="492" t="str">
        <f>IF(ISNUMBER('Model_ of_individuals'!AB698), 'Model_ of_individuals'!AB698*'Model_ of_individuals'!$K698,"")</f>
        <v/>
      </c>
      <c r="AC678" s="492" t="str">
        <f>IF(ISNUMBER('Model_ of_individuals'!AC698), 'Model_ of_individuals'!AC698*'Model_ of_individuals'!$K698,"")</f>
        <v/>
      </c>
      <c r="AD678" s="492" t="str">
        <f>IF(ISNUMBER('Model_ of_individuals'!AD698), 'Model_ of_individuals'!AD698*'Model_ of_individuals'!$K698,"")</f>
        <v/>
      </c>
    </row>
    <row r="679" spans="1:30" x14ac:dyDescent="0.25">
      <c r="A679" s="518"/>
      <c r="B679" s="504"/>
      <c r="C679" s="521"/>
      <c r="D679" s="94" t="str">
        <f>IF(AND(C678&lt;&gt;"", 'Cost Inputs'!$G$158&lt;&gt;""), 'Cost Inputs'!$G$158, "")</f>
        <v/>
      </c>
      <c r="E679" s="94" t="str">
        <f>IF(AND(C678&lt;&gt;"", 'Cost Inputs'!$H$158&lt;&gt;""), 'Cost Inputs'!$H$158, "")</f>
        <v/>
      </c>
      <c r="F679" s="492"/>
      <c r="G679" s="102" t="str">
        <f t="shared" si="59"/>
        <v/>
      </c>
      <c r="H679" s="492"/>
      <c r="I679" s="102" t="str">
        <f>IF($C678&lt;&gt;"", IF(AND($E679&lt;&gt;"", H678&lt;&gt;""), H678/($E678*$E679), 0), "")</f>
        <v/>
      </c>
      <c r="J679" s="492" t="str">
        <f>IF(AND(C679&lt;&gt;"",('Cost Inputs'!$I$86+'Cost Inputs'!$J$86+'Cost Inputs'!$K$86)&gt;0), 'Cost Inputs'!$I$86+'Cost Inputs'!$J$86+'Cost Inputs'!$K$86, "")</f>
        <v/>
      </c>
      <c r="K679" s="102" t="str">
        <f>IF($C678&lt;&gt;"", IF(AND($E679&lt;&gt;"", J678&lt;&gt;""), J678/($E678*$E679), 0), "")</f>
        <v/>
      </c>
      <c r="L679" s="94"/>
      <c r="M679" s="103"/>
      <c r="U679" s="492" t="str">
        <f>IF(ISNUMBER('Model_ of_individuals'!U699), 'Model_ of_individuals'!U699*'Model_ of_individuals'!$K699,"")</f>
        <v/>
      </c>
      <c r="V679" s="492" t="str">
        <f>IF(ISNUMBER('Model_ of_individuals'!V699), 'Model_ of_individuals'!V699*'Model_ of_individuals'!$K699,"")</f>
        <v/>
      </c>
      <c r="W679" s="492" t="str">
        <f>IF(ISNUMBER('Model_ of_individuals'!W699), 'Model_ of_individuals'!W699*'Model_ of_individuals'!$K699,"")</f>
        <v/>
      </c>
      <c r="X679" s="492" t="str">
        <f>IF(ISNUMBER('Model_ of_individuals'!X699), 'Model_ of_individuals'!X699*'Model_ of_individuals'!$K699,"")</f>
        <v/>
      </c>
      <c r="Y679" s="492" t="str">
        <f>IF(ISNUMBER('Model_ of_individuals'!Y699), 'Model_ of_individuals'!Y699*'Model_ of_individuals'!$K699,"")</f>
        <v/>
      </c>
      <c r="Z679" s="492" t="str">
        <f>IF(ISNUMBER('Model_ of_individuals'!Z699), 'Model_ of_individuals'!Z699*'Model_ of_individuals'!$K699,"")</f>
        <v/>
      </c>
      <c r="AA679" s="492" t="str">
        <f>IF(ISNUMBER('Model_ of_individuals'!AA699), 'Model_ of_individuals'!AA699*'Model_ of_individuals'!$K699,"")</f>
        <v/>
      </c>
      <c r="AB679" s="492" t="str">
        <f>IF(ISNUMBER('Model_ of_individuals'!AB699), 'Model_ of_individuals'!AB699*'Model_ of_individuals'!$K699,"")</f>
        <v/>
      </c>
      <c r="AC679" s="492" t="str">
        <f>IF(ISNUMBER('Model_ of_individuals'!AC699), 'Model_ of_individuals'!AC699*'Model_ of_individuals'!$K699,"")</f>
        <v/>
      </c>
      <c r="AD679" s="492" t="str">
        <f>IF(ISNUMBER('Model_ of_individuals'!AD699), 'Model_ of_individuals'!AD699*'Model_ of_individuals'!$K699,"")</f>
        <v/>
      </c>
    </row>
    <row r="680" spans="1:30" x14ac:dyDescent="0.25">
      <c r="A680" s="518"/>
      <c r="B680" s="504"/>
      <c r="C680" s="376" t="str">
        <f>IF(AND(ISNUMBER(B667), C678&lt;&gt;"", OR('Cost Inputs'!$H$159&lt;&gt;"", 'Cost Inputs'!$I$159&lt;&gt;"", 'Cost Inputs'!$J$159&lt;&gt;"")), _5_5_1, "")</f>
        <v/>
      </c>
      <c r="D680" s="17" t="str">
        <f>IF(AND(C680&lt;&gt;"", 'Cost Inputs'!$G$159&lt;&gt;""), 'Cost Inputs'!$G$159, "")</f>
        <v/>
      </c>
      <c r="E680" s="17" t="str">
        <f>IF(AND(C680&lt;&gt;"", 'Cost Inputs'!$H$159&lt;&gt;""), 'Cost Inputs'!$H$159, "")</f>
        <v/>
      </c>
      <c r="F680" s="493" t="str">
        <f>IF(AND(C680&lt;&gt;"", 'Cost Inputs'!$I$159&lt;&gt;""), 'Cost Inputs'!$I$159, "")</f>
        <v/>
      </c>
      <c r="G680" s="105" t="str">
        <f t="shared" si="59"/>
        <v/>
      </c>
      <c r="H680" s="493" t="str">
        <f>IF(AND(C680&lt;&gt;"", 'Cost Inputs'!$J$159&lt;&gt;""), 'Cost Inputs'!$J$159, "")</f>
        <v/>
      </c>
      <c r="I680" s="105" t="str">
        <f>IF($C680&lt;&gt;"",IF(AND($E680&lt;&gt;"",H680&lt;&gt;""), H680/$E680, 0),"")</f>
        <v/>
      </c>
      <c r="J680" s="493" t="str">
        <f>IF(AND(C680&lt;&gt;"",('Cost Inputs'!$I$159+'Cost Inputs'!$J$159+'Cost Inputs'!$K$159)&gt;0), 'Cost Inputs'!$I$159+'Cost Inputs'!$J$159+'Cost Inputs'!$K$159, "")</f>
        <v/>
      </c>
      <c r="K680" s="105" t="str">
        <f>IF($C680&lt;&gt;"",IF(AND($E680&lt;&gt;"",J680&lt;&gt;""), J680/$E680, 0),"")</f>
        <v/>
      </c>
      <c r="M680" s="106"/>
      <c r="U680" s="493" t="str">
        <f>IF(ISNUMBER('Model_ of_individuals'!U700), 'Model_ of_individuals'!U700*'Model_ of_individuals'!$K700,"")</f>
        <v/>
      </c>
      <c r="V680" s="493" t="str">
        <f>IF(ISNUMBER('Model_ of_individuals'!V700), 'Model_ of_individuals'!V700*'Model_ of_individuals'!$K700,"")</f>
        <v/>
      </c>
      <c r="W680" s="493" t="str">
        <f>IF(ISNUMBER('Model_ of_individuals'!W700), 'Model_ of_individuals'!W700*'Model_ of_individuals'!$K700,"")</f>
        <v/>
      </c>
      <c r="X680" s="493" t="str">
        <f>IF(ISNUMBER('Model_ of_individuals'!X700), 'Model_ of_individuals'!X700*'Model_ of_individuals'!$K700,"")</f>
        <v/>
      </c>
      <c r="Y680" s="493" t="str">
        <f>IF(ISNUMBER('Model_ of_individuals'!Y700), 'Model_ of_individuals'!Y700*'Model_ of_individuals'!$K700,"")</f>
        <v/>
      </c>
      <c r="Z680" s="493" t="str">
        <f>IF(ISNUMBER('Model_ of_individuals'!Z700), 'Model_ of_individuals'!Z700*'Model_ of_individuals'!$K700,"")</f>
        <v/>
      </c>
      <c r="AA680" s="493" t="str">
        <f>IF(ISNUMBER('Model_ of_individuals'!AA700), 'Model_ of_individuals'!AA700*'Model_ of_individuals'!$K700,"")</f>
        <v/>
      </c>
      <c r="AB680" s="493" t="str">
        <f>IF(ISNUMBER('Model_ of_individuals'!AB700), 'Model_ of_individuals'!AB700*'Model_ of_individuals'!$K700,"")</f>
        <v/>
      </c>
      <c r="AC680" s="493" t="str">
        <f>IF(ISNUMBER('Model_ of_individuals'!AC700), 'Model_ of_individuals'!AC700*'Model_ of_individuals'!$K700,"")</f>
        <v/>
      </c>
      <c r="AD680" s="493" t="str">
        <f>IF(ISNUMBER('Model_ of_individuals'!AD700), 'Model_ of_individuals'!AD700*'Model_ of_individuals'!$K700,"")</f>
        <v/>
      </c>
    </row>
    <row r="681" spans="1:30" x14ac:dyDescent="0.25">
      <c r="A681" s="518"/>
      <c r="B681" s="504"/>
      <c r="C681" s="376" t="str">
        <f>IF(AND(ISNUMBER(B663), OR('Cost Inputs'!$H$85&lt;&gt;"", 'Cost Inputs'!$I$85&lt;&gt;"", 'Cost Inputs'!$J$85&lt;&gt;"")), _3_5_1, "")</f>
        <v/>
      </c>
      <c r="D681" s="17" t="str">
        <f>IF(AND(C680&lt;&gt;"", 'Cost Inputs'!$G$160&lt;&gt;""), 'Cost Inputs'!$G$160, "")</f>
        <v/>
      </c>
      <c r="E681" s="17" t="str">
        <f>IF(AND(C680&lt;&gt;"", 'Cost Inputs'!$H$160&lt;&gt;""), 'Cost Inputs'!$H$160, "")</f>
        <v/>
      </c>
      <c r="F681" s="493"/>
      <c r="G681" s="105" t="str">
        <f t="shared" si="59"/>
        <v/>
      </c>
      <c r="H681" s="493"/>
      <c r="I681" s="105" t="str">
        <f>IF($C680&lt;&gt;"", IF(AND($E681&lt;&gt;"", H680&lt;&gt;""), H680/($E680*$E681), 0), "")</f>
        <v/>
      </c>
      <c r="J681" s="493" t="str">
        <f>IF(AND(C681&lt;&gt;"",('Cost Inputs'!$I$86+'Cost Inputs'!$J$86+'Cost Inputs'!$K$86)&gt;0), 'Cost Inputs'!$I$86+'Cost Inputs'!$J$86+'Cost Inputs'!$K$86, "")</f>
        <v/>
      </c>
      <c r="K681" s="105" t="str">
        <f>IF($C680&lt;&gt;"", IF(AND($E681&lt;&gt;"", J680&lt;&gt;""), J680/($E680*$E681), 0), "")</f>
        <v/>
      </c>
      <c r="M681" s="106"/>
      <c r="U681" s="493" t="str">
        <f>IF(ISNUMBER('Model_ of_individuals'!U701), 'Model_ of_individuals'!U701*'Model_ of_individuals'!$K701,"")</f>
        <v/>
      </c>
      <c r="V681" s="493" t="str">
        <f>IF(ISNUMBER('Model_ of_individuals'!V701), 'Model_ of_individuals'!V701*'Model_ of_individuals'!$K701,"")</f>
        <v/>
      </c>
      <c r="W681" s="493" t="str">
        <f>IF(ISNUMBER('Model_ of_individuals'!W701), 'Model_ of_individuals'!W701*'Model_ of_individuals'!$K701,"")</f>
        <v/>
      </c>
      <c r="X681" s="493" t="str">
        <f>IF(ISNUMBER('Model_ of_individuals'!X701), 'Model_ of_individuals'!X701*'Model_ of_individuals'!$K701,"")</f>
        <v/>
      </c>
      <c r="Y681" s="493" t="str">
        <f>IF(ISNUMBER('Model_ of_individuals'!Y701), 'Model_ of_individuals'!Y701*'Model_ of_individuals'!$K701,"")</f>
        <v/>
      </c>
      <c r="Z681" s="493" t="str">
        <f>IF(ISNUMBER('Model_ of_individuals'!Z701), 'Model_ of_individuals'!Z701*'Model_ of_individuals'!$K701,"")</f>
        <v/>
      </c>
      <c r="AA681" s="493" t="str">
        <f>IF(ISNUMBER('Model_ of_individuals'!AA701), 'Model_ of_individuals'!AA701*'Model_ of_individuals'!$K701,"")</f>
        <v/>
      </c>
      <c r="AB681" s="493" t="str">
        <f>IF(ISNUMBER('Model_ of_individuals'!AB701), 'Model_ of_individuals'!AB701*'Model_ of_individuals'!$K701,"")</f>
        <v/>
      </c>
      <c r="AC681" s="493" t="str">
        <f>IF(ISNUMBER('Model_ of_individuals'!AC701), 'Model_ of_individuals'!AC701*'Model_ of_individuals'!$K701,"")</f>
        <v/>
      </c>
      <c r="AD681" s="493" t="str">
        <f>IF(ISNUMBER('Model_ of_individuals'!AD701), 'Model_ of_individuals'!AD701*'Model_ of_individuals'!$K701,"")</f>
        <v/>
      </c>
    </row>
    <row r="682" spans="1:30" x14ac:dyDescent="0.25">
      <c r="A682" s="518"/>
      <c r="B682" s="504"/>
      <c r="C682" s="107" t="str">
        <f>IF(AND(ISNUMBER(B667), C678&lt;&gt;"", OR('Cost Inputs'!$H$161&lt;&gt;"", 'Cost Inputs'!$I$161&lt;&gt;"", 'Cost Inputs'!$J$161&lt;&gt;"")), _5_5_2, "")</f>
        <v/>
      </c>
      <c r="D682" s="93" t="str">
        <f>IF(AND(C682&lt;&gt;"", 'Cost Inputs'!$G$161&lt;&gt;""), 'Cost Inputs'!$G$161, "")</f>
        <v/>
      </c>
      <c r="E682" s="93" t="str">
        <f>IF(AND(C682&lt;&gt;"", 'Cost Inputs'!$H$161&lt;&gt;""), 'Cost Inputs'!$H$161, "")</f>
        <v/>
      </c>
      <c r="F682" s="93" t="str">
        <f>IF(AND(C682&lt;&gt;"", 'Cost Inputs'!$I$161&lt;&gt;""), 'Cost Inputs'!$I$161, "")</f>
        <v/>
      </c>
      <c r="G682" s="108" t="str">
        <f t="shared" si="59"/>
        <v/>
      </c>
      <c r="H682" s="93" t="str">
        <f>IF(AND(C682&lt;&gt;"", 'Cost Inputs'!$J$161&lt;&gt;""), 'Cost Inputs'!$J$161, "")</f>
        <v/>
      </c>
      <c r="I682" s="93" t="str">
        <f>IF($C682&lt;&gt;"", IF(AND($E682&lt;&gt;"", H682&lt;&gt;""), H682/$E682, 0),"")</f>
        <v/>
      </c>
      <c r="J682" s="93" t="str">
        <f>IF(AND(C682&lt;&gt;"",('Cost Inputs'!$I$161+'Cost Inputs'!$J$161+'Cost Inputs'!$K$161)&gt;0), 'Cost Inputs'!$I$161+'Cost Inputs'!$J$161+'Cost Inputs'!$K$161, "")</f>
        <v/>
      </c>
      <c r="K682" s="93" t="str">
        <f>IF($C682&lt;&gt;"", IF(AND($E682&lt;&gt;"", J682&lt;&gt;""), J682/$E682, 0),"")</f>
        <v/>
      </c>
      <c r="L682" s="93"/>
      <c r="M682" s="109"/>
      <c r="U682" s="93" t="str">
        <f>IF(ISNUMBER('Model_ of_individuals'!U702), 'Model_ of_individuals'!U702*'Model_ of_individuals'!$K702,"")</f>
        <v/>
      </c>
      <c r="V682" s="93" t="str">
        <f>IF(ISNUMBER('Model_ of_individuals'!V702), 'Model_ of_individuals'!V702*'Model_ of_individuals'!$K702,"")</f>
        <v/>
      </c>
      <c r="W682" s="93" t="str">
        <f>IF(ISNUMBER('Model_ of_individuals'!W702), 'Model_ of_individuals'!W702*'Model_ of_individuals'!$K702,"")</f>
        <v/>
      </c>
      <c r="X682" s="93" t="str">
        <f>IF(ISNUMBER('Model_ of_individuals'!X702), 'Model_ of_individuals'!X702*'Model_ of_individuals'!$K702,"")</f>
        <v/>
      </c>
      <c r="Y682" s="93" t="str">
        <f>IF(ISNUMBER('Model_ of_individuals'!Y702), 'Model_ of_individuals'!Y702*'Model_ of_individuals'!$K702,"")</f>
        <v/>
      </c>
      <c r="Z682" s="93" t="str">
        <f>IF(ISNUMBER('Model_ of_individuals'!Z702), 'Model_ of_individuals'!Z702*'Model_ of_individuals'!$K702,"")</f>
        <v/>
      </c>
      <c r="AA682" s="93" t="str">
        <f>IF(ISNUMBER('Model_ of_individuals'!AA702), 'Model_ of_individuals'!AA702*'Model_ of_individuals'!$K702,"")</f>
        <v/>
      </c>
      <c r="AB682" s="93" t="str">
        <f>IF(ISNUMBER('Model_ of_individuals'!AB702), 'Model_ of_individuals'!AB702*'Model_ of_individuals'!$K702,"")</f>
        <v/>
      </c>
      <c r="AC682" s="93" t="str">
        <f>IF(ISNUMBER('Model_ of_individuals'!AC702), 'Model_ of_individuals'!AC702*'Model_ of_individuals'!$K702,"")</f>
        <v/>
      </c>
      <c r="AD682" s="93" t="str">
        <f>IF(ISNUMBER('Model_ of_individuals'!AD702), 'Model_ of_individuals'!AD702*'Model_ of_individuals'!$K702,"")</f>
        <v/>
      </c>
    </row>
    <row r="683" spans="1:30" x14ac:dyDescent="0.25">
      <c r="A683" s="518"/>
      <c r="B683" s="504"/>
      <c r="C683" s="104" t="str">
        <f>IF(AND(ISNUMBER(B667), C678&lt;&gt;"", OR('Cost Inputs'!$H$162&lt;&gt;"", 'Cost Inputs'!$I$162&lt;&gt;"", 'Cost Inputs'!$J$162&lt;&gt;"")), _5_5_3, "")</f>
        <v/>
      </c>
      <c r="D683" s="17" t="str">
        <f>IF(AND(C683&lt;&gt;"", 'Cost Inputs'!$G$162&lt;&gt;""), 'Cost Inputs'!$G$162, "")</f>
        <v/>
      </c>
      <c r="E683" s="17" t="str">
        <f>IF(AND(C683&lt;&gt;"", 'Cost Inputs'!$H$162&lt;&gt;""), 'Cost Inputs'!$H$162, "")</f>
        <v/>
      </c>
      <c r="F683" s="17" t="str">
        <f>IF(AND(C683&lt;&gt;"", 'Cost Inputs'!$I$162&lt;&gt;""), 'Cost Inputs'!$I$162, "")</f>
        <v/>
      </c>
      <c r="G683" s="105" t="str">
        <f t="shared" si="59"/>
        <v/>
      </c>
      <c r="H683" s="17" t="str">
        <f>IF(AND(C683&lt;&gt;"", 'Cost Inputs'!$J$162&lt;&gt;""), 'Cost Inputs'!$J$162, "")</f>
        <v/>
      </c>
      <c r="I683" s="17" t="str">
        <f>IF($C683&lt;&gt;"", IF(AND($E683&lt;&gt;"", H683&lt;&gt;""), H683/$E683, 0),"")</f>
        <v/>
      </c>
      <c r="J683" s="17" t="str">
        <f>IF(AND(C683&lt;&gt;"",('Cost Inputs'!$I$162+'Cost Inputs'!$J$162+'Cost Inputs'!$K$162)&gt;0), 'Cost Inputs'!$I$162+'Cost Inputs'!$J$162+'Cost Inputs'!$K$162, "")</f>
        <v/>
      </c>
      <c r="K683" s="17" t="str">
        <f>IF($C683&lt;&gt;"", IF(AND($E683&lt;&gt;"", J683&lt;&gt;""), J683/$E683, 0),"")</f>
        <v/>
      </c>
      <c r="M683" s="106"/>
      <c r="U683" s="17" t="str">
        <f>IF(ISNUMBER('Model_ of_individuals'!U703), 'Model_ of_individuals'!U703*'Model_ of_individuals'!$K703,"")</f>
        <v/>
      </c>
      <c r="V683" s="17" t="str">
        <f>IF(ISNUMBER('Model_ of_individuals'!V703), 'Model_ of_individuals'!V703*'Model_ of_individuals'!$K703,"")</f>
        <v/>
      </c>
      <c r="W683" s="17" t="str">
        <f>IF(ISNUMBER('Model_ of_individuals'!W703), 'Model_ of_individuals'!W703*'Model_ of_individuals'!$K703,"")</f>
        <v/>
      </c>
      <c r="X683" s="17" t="str">
        <f>IF(ISNUMBER('Model_ of_individuals'!X703), 'Model_ of_individuals'!X703*'Model_ of_individuals'!$K703,"")</f>
        <v/>
      </c>
      <c r="Y683" s="17" t="str">
        <f>IF(ISNUMBER('Model_ of_individuals'!Y703), 'Model_ of_individuals'!Y703*'Model_ of_individuals'!$K703,"")</f>
        <v/>
      </c>
      <c r="Z683" s="17" t="str">
        <f>IF(ISNUMBER('Model_ of_individuals'!Z703), 'Model_ of_individuals'!Z703*'Model_ of_individuals'!$K703,"")</f>
        <v/>
      </c>
      <c r="AA683" s="17" t="str">
        <f>IF(ISNUMBER('Model_ of_individuals'!AA703), 'Model_ of_individuals'!AA703*'Model_ of_individuals'!$K703,"")</f>
        <v/>
      </c>
      <c r="AB683" s="17" t="str">
        <f>IF(ISNUMBER('Model_ of_individuals'!AB703), 'Model_ of_individuals'!AB703*'Model_ of_individuals'!$K703,"")</f>
        <v/>
      </c>
      <c r="AC683" s="17" t="str">
        <f>IF(ISNUMBER('Model_ of_individuals'!AC703), 'Model_ of_individuals'!AC703*'Model_ of_individuals'!$K703,"")</f>
        <v/>
      </c>
      <c r="AD683" s="17" t="str">
        <f>IF(ISNUMBER('Model_ of_individuals'!AD703), 'Model_ of_individuals'!AD703*'Model_ of_individuals'!$K703,"")</f>
        <v/>
      </c>
    </row>
    <row r="684" spans="1:30" x14ac:dyDescent="0.25">
      <c r="A684" s="518"/>
      <c r="B684" s="504"/>
      <c r="C684" s="107" t="str">
        <f>IF(AND(ISNUMBER(B667), C678&lt;&gt;"", OR('Cost Inputs'!$H$163&lt;&gt;"", 'Cost Inputs'!$I$163&lt;&gt;"", 'Cost Inputs'!$J$163&lt;&gt;"")), _5_5_4, "")</f>
        <v/>
      </c>
      <c r="D684" s="93" t="str">
        <f>IF(AND(C684&lt;&gt;"", 'Cost Inputs'!$G$163&lt;&gt;""), 'Cost Inputs'!$G$163, "")</f>
        <v/>
      </c>
      <c r="E684" s="93" t="str">
        <f>IF(AND(C684&lt;&gt;"", 'Cost Inputs'!$H$163&lt;&gt;""), 'Cost Inputs'!$H$163, "")</f>
        <v/>
      </c>
      <c r="F684" s="93" t="str">
        <f>IF(AND(C684&lt;&gt;"", 'Cost Inputs'!$I$163&lt;&gt;""), 'Cost Inputs'!$I$163, "")</f>
        <v/>
      </c>
      <c r="G684" s="108" t="str">
        <f t="shared" si="59"/>
        <v/>
      </c>
      <c r="H684" s="93" t="str">
        <f>IF(AND(C684&lt;&gt;"", 'Cost Inputs'!$J$163&lt;&gt;""), 'Cost Inputs'!$J$163, "")</f>
        <v/>
      </c>
      <c r="I684" s="93" t="str">
        <f>IF($C684&lt;&gt;"", IF(AND($E684&lt;&gt;"", H684&lt;&gt;""), H684/$E684, 0),"")</f>
        <v/>
      </c>
      <c r="J684" s="93" t="str">
        <f>IF(AND(C684&lt;&gt;"",('Cost Inputs'!$I$163+'Cost Inputs'!$J$163+'Cost Inputs'!$K$163)&gt;0), 'Cost Inputs'!$I$163+'Cost Inputs'!$J$163+'Cost Inputs'!$K$163, "")</f>
        <v/>
      </c>
      <c r="K684" s="93" t="str">
        <f>IF($C684&lt;&gt;"", IF(AND($E684&lt;&gt;"", J684&lt;&gt;""), J684/$E684, 0),"")</f>
        <v/>
      </c>
      <c r="L684" s="93"/>
      <c r="M684" s="109"/>
      <c r="U684" s="93" t="str">
        <f>IF(ISNUMBER('Model_ of_individuals'!U704), 'Model_ of_individuals'!U704*'Model_ of_individuals'!$K704,"")</f>
        <v/>
      </c>
      <c r="V684" s="93" t="str">
        <f>IF(ISNUMBER('Model_ of_individuals'!V704), 'Model_ of_individuals'!V704*'Model_ of_individuals'!$K704,"")</f>
        <v/>
      </c>
      <c r="W684" s="93" t="str">
        <f>IF(ISNUMBER('Model_ of_individuals'!W704), 'Model_ of_individuals'!W704*'Model_ of_individuals'!$K704,"")</f>
        <v/>
      </c>
      <c r="X684" s="93" t="str">
        <f>IF(ISNUMBER('Model_ of_individuals'!X704), 'Model_ of_individuals'!X704*'Model_ of_individuals'!$K704,"")</f>
        <v/>
      </c>
      <c r="Y684" s="93" t="str">
        <f>IF(ISNUMBER('Model_ of_individuals'!Y704), 'Model_ of_individuals'!Y704*'Model_ of_individuals'!$K704,"")</f>
        <v/>
      </c>
      <c r="Z684" s="93" t="str">
        <f>IF(ISNUMBER('Model_ of_individuals'!Z704), 'Model_ of_individuals'!Z704*'Model_ of_individuals'!$K704,"")</f>
        <v/>
      </c>
      <c r="AA684" s="93" t="str">
        <f>IF(ISNUMBER('Model_ of_individuals'!AA704), 'Model_ of_individuals'!AA704*'Model_ of_individuals'!$K704,"")</f>
        <v/>
      </c>
      <c r="AB684" s="93" t="str">
        <f>IF(ISNUMBER('Model_ of_individuals'!AB704), 'Model_ of_individuals'!AB704*'Model_ of_individuals'!$K704,"")</f>
        <v/>
      </c>
      <c r="AC684" s="93" t="str">
        <f>IF(ISNUMBER('Model_ of_individuals'!AC704), 'Model_ of_individuals'!AC704*'Model_ of_individuals'!$K704,"")</f>
        <v/>
      </c>
      <c r="AD684" s="93" t="str">
        <f>IF(ISNUMBER('Model_ of_individuals'!AD704), 'Model_ of_individuals'!AD704*'Model_ of_individuals'!$K704,"")</f>
        <v/>
      </c>
    </row>
    <row r="685" spans="1:30" x14ac:dyDescent="0.25">
      <c r="A685" s="518"/>
      <c r="B685" s="504"/>
      <c r="C685" s="104" t="str">
        <f>IF(AND(ISNUMBER(B667), C678&lt;&gt;"", OR('Cost Inputs'!$H$164&lt;&gt;"", 'Cost Inputs'!$I$164&lt;&gt;"", 'Cost Inputs'!$J$164&lt;&gt;"")), _5_5_5, "")</f>
        <v/>
      </c>
      <c r="D685" s="17" t="str">
        <f>IF(AND(C685&lt;&gt;"", 'Cost Inputs'!$G$164&lt;&gt;""), 'Cost Inputs'!$G$164, "")</f>
        <v/>
      </c>
      <c r="E685" s="17" t="str">
        <f>IF(AND(C685&lt;&gt;"", 'Cost Inputs'!$H$164&lt;&gt;""), 'Cost Inputs'!$H$164, "")</f>
        <v/>
      </c>
      <c r="F685" s="17" t="str">
        <f>IF(AND(C685&lt;&gt;"", 'Cost Inputs'!$I$164&lt;&gt;""), 'Cost Inputs'!$I$164, "")</f>
        <v/>
      </c>
      <c r="G685" s="105" t="str">
        <f t="shared" si="59"/>
        <v/>
      </c>
      <c r="H685" s="17" t="str">
        <f>IF(AND(C685&lt;&gt;"", 'Cost Inputs'!$J$164&lt;&gt;""), 'Cost Inputs'!$J$164, "")</f>
        <v/>
      </c>
      <c r="I685" s="17" t="str">
        <f>IF($C685&lt;&gt;"", IF(AND($E685&lt;&gt;"", H685&lt;&gt;""), H685/$E685, 0),"")</f>
        <v/>
      </c>
      <c r="J685" s="17" t="str">
        <f>IF(AND(C685&lt;&gt;"",('Cost Inputs'!$I$164+'Cost Inputs'!$J$164+'Cost Inputs'!$K$164)&gt;0), 'Cost Inputs'!$I$164+'Cost Inputs'!$J$164+'Cost Inputs'!$K$164, "")</f>
        <v/>
      </c>
      <c r="K685" s="17" t="str">
        <f>IF($C685&lt;&gt;"", IF(AND($E685&lt;&gt;"", J685&lt;&gt;""), J685/$E685, 0),"")</f>
        <v/>
      </c>
      <c r="M685" s="106"/>
      <c r="U685" s="17" t="str">
        <f>IF(ISNUMBER('Model_ of_individuals'!U705), 'Model_ of_individuals'!U705*'Model_ of_individuals'!$K705,"")</f>
        <v/>
      </c>
      <c r="V685" s="17" t="str">
        <f>IF(ISNUMBER('Model_ of_individuals'!V705), 'Model_ of_individuals'!V705*'Model_ of_individuals'!$K705,"")</f>
        <v/>
      </c>
      <c r="W685" s="17" t="str">
        <f>IF(ISNUMBER('Model_ of_individuals'!W705), 'Model_ of_individuals'!W705*'Model_ of_individuals'!$K705,"")</f>
        <v/>
      </c>
      <c r="X685" s="17" t="str">
        <f>IF(ISNUMBER('Model_ of_individuals'!X705), 'Model_ of_individuals'!X705*'Model_ of_individuals'!$K705,"")</f>
        <v/>
      </c>
      <c r="Y685" s="17" t="str">
        <f>IF(ISNUMBER('Model_ of_individuals'!Y705), 'Model_ of_individuals'!Y705*'Model_ of_individuals'!$K705,"")</f>
        <v/>
      </c>
      <c r="Z685" s="17" t="str">
        <f>IF(ISNUMBER('Model_ of_individuals'!Z705), 'Model_ of_individuals'!Z705*'Model_ of_individuals'!$K705,"")</f>
        <v/>
      </c>
      <c r="AA685" s="17" t="str">
        <f>IF(ISNUMBER('Model_ of_individuals'!AA705), 'Model_ of_individuals'!AA705*'Model_ of_individuals'!$K705,"")</f>
        <v/>
      </c>
      <c r="AB685" s="17" t="str">
        <f>IF(ISNUMBER('Model_ of_individuals'!AB705), 'Model_ of_individuals'!AB705*'Model_ of_individuals'!$K705,"")</f>
        <v/>
      </c>
      <c r="AC685" s="17" t="str">
        <f>IF(ISNUMBER('Model_ of_individuals'!AC705), 'Model_ of_individuals'!AC705*'Model_ of_individuals'!$K705,"")</f>
        <v/>
      </c>
      <c r="AD685" s="17" t="str">
        <f>IF(ISNUMBER('Model_ of_individuals'!AD705), 'Model_ of_individuals'!AD705*'Model_ of_individuals'!$K705,"")</f>
        <v/>
      </c>
    </row>
    <row r="686" spans="1:30" x14ac:dyDescent="0.25">
      <c r="A686" s="518"/>
      <c r="B686" s="504"/>
      <c r="C686" s="110" t="str">
        <f>IF(ISNUMBER(B667), _5_6_0, "")</f>
        <v/>
      </c>
      <c r="D686" s="94" t="str">
        <f>IF(AND(C686&lt;&gt;"", 'Cost Inputs'!$G$165&lt;&gt;""), 'Cost Inputs'!$G$165, "")</f>
        <v/>
      </c>
      <c r="E686" s="94" t="str">
        <f>IF(AND(C686&lt;&gt;"", 'Cost Inputs'!$H$165&lt;&gt;""), 'Cost Inputs'!$H$165, "")</f>
        <v/>
      </c>
      <c r="F686" s="94" t="str">
        <f>IF(AND(C686&lt;&gt;"", 'Cost Inputs'!$I$165&lt;&gt;""), 'Cost Inputs'!$I$165, "")</f>
        <v/>
      </c>
      <c r="G686" s="102" t="str">
        <f t="shared" si="59"/>
        <v/>
      </c>
      <c r="H686" s="94" t="str">
        <f>IF(AND(C686&lt;&gt;"", 'Cost Inputs'!$J$165&lt;&gt;""), 'Cost Inputs'!$J$165, "")</f>
        <v/>
      </c>
      <c r="I686" s="102" t="str">
        <f>IF($C686&lt;&gt;"",IF(AND($E686&lt;&gt;"",H686&lt;&gt;""), H686/$E686, 0),"")</f>
        <v/>
      </c>
      <c r="J686" s="94" t="str">
        <f>IF(AND(C686&lt;&gt;"",('Cost Inputs'!$I$165+'Cost Inputs'!$J$165+'Cost Inputs'!$K$165)&gt;0), 'Cost Inputs'!$I$165+'Cost Inputs'!$J$165+'Cost Inputs'!$K$165, "")</f>
        <v/>
      </c>
      <c r="K686" s="102" t="str">
        <f>IF($C686&lt;&gt;"",IF(AND($E686&lt;&gt;"",J686&lt;&gt;""), J686/$E686, 0),"")</f>
        <v/>
      </c>
      <c r="L686" s="94"/>
      <c r="M686" s="103"/>
      <c r="U686" s="94" t="str">
        <f>IF(ISNUMBER('Model_ of_individuals'!U706), 'Model_ of_individuals'!U706*'Model_ of_individuals'!$K706,"")</f>
        <v/>
      </c>
      <c r="V686" s="94" t="str">
        <f>IF(ISNUMBER('Model_ of_individuals'!V706), 'Model_ of_individuals'!V706*'Model_ of_individuals'!$K706,"")</f>
        <v/>
      </c>
      <c r="W686" s="94" t="str">
        <f>IF(ISNUMBER('Model_ of_individuals'!W706), 'Model_ of_individuals'!W706*'Model_ of_individuals'!$K706,"")</f>
        <v/>
      </c>
      <c r="X686" s="94" t="str">
        <f>IF(ISNUMBER('Model_ of_individuals'!X706), 'Model_ of_individuals'!X706*'Model_ of_individuals'!$K706,"")</f>
        <v/>
      </c>
      <c r="Y686" s="94" t="str">
        <f>IF(ISNUMBER('Model_ of_individuals'!Y706), 'Model_ of_individuals'!Y706*'Model_ of_individuals'!$K706,"")</f>
        <v/>
      </c>
      <c r="Z686" s="94" t="str">
        <f>IF(ISNUMBER('Model_ of_individuals'!Z706), 'Model_ of_individuals'!Z706*'Model_ of_individuals'!$K706,"")</f>
        <v/>
      </c>
      <c r="AA686" s="94" t="str">
        <f>IF(ISNUMBER('Model_ of_individuals'!AA706), 'Model_ of_individuals'!AA706*'Model_ of_individuals'!$K706,"")</f>
        <v/>
      </c>
      <c r="AB686" s="94" t="str">
        <f>IF(ISNUMBER('Model_ of_individuals'!AB706), 'Model_ of_individuals'!AB706*'Model_ of_individuals'!$K706,"")</f>
        <v/>
      </c>
      <c r="AC686" s="94" t="str">
        <f>IF(ISNUMBER('Model_ of_individuals'!AC706), 'Model_ of_individuals'!AC706*'Model_ of_individuals'!$K706,"")</f>
        <v/>
      </c>
      <c r="AD686" s="94" t="str">
        <f>IF(ISNUMBER('Model_ of_individuals'!AD706), 'Model_ of_individuals'!AD706*'Model_ of_individuals'!$K706,"")</f>
        <v/>
      </c>
    </row>
    <row r="687" spans="1:30" x14ac:dyDescent="0.25">
      <c r="A687" s="518"/>
      <c r="B687" s="504"/>
      <c r="C687" s="104" t="str">
        <f>IF(AND(ISNUMBER(B667), OR('Cost Inputs'!$H$166&lt;&gt;"", 'Cost Inputs'!$I$166&lt;&gt;"", 'Cost Inputs'!$J$166&lt;&gt;"")), _5_6_1, "")</f>
        <v/>
      </c>
      <c r="D687" s="17" t="str">
        <f>IF(AND(C687&lt;&gt;"", 'Cost Inputs'!$G$166&lt;&gt;""), 'Cost Inputs'!$G$166, "")</f>
        <v/>
      </c>
      <c r="E687" s="17" t="str">
        <f>IF(AND(C687&lt;&gt;"", 'Cost Inputs'!$H$166&lt;&gt;""), 'Cost Inputs'!$H$166, "")</f>
        <v/>
      </c>
      <c r="F687" s="17" t="str">
        <f>IF(AND(C687&lt;&gt;"", 'Cost Inputs'!$I$166&lt;&gt;""), 'Cost Inputs'!$I$166, "")</f>
        <v/>
      </c>
      <c r="G687" s="105" t="str">
        <f t="shared" si="59"/>
        <v/>
      </c>
      <c r="H687" s="17" t="str">
        <f>IF(AND(C687&lt;&gt;"", 'Cost Inputs'!$J$166&lt;&gt;""), 'Cost Inputs'!$J$166, "")</f>
        <v/>
      </c>
      <c r="I687" s="17" t="str">
        <f>IF($C687&lt;&gt;"", IF(AND($E687&lt;&gt;"", H687&lt;&gt;""), H687/$E687, 0),"")</f>
        <v/>
      </c>
      <c r="J687" s="17" t="str">
        <f>IF(AND(C687&lt;&gt;"",('Cost Inputs'!$I$166+'Cost Inputs'!$J$166+'Cost Inputs'!$K$166)&gt;0), 'Cost Inputs'!$I$166+'Cost Inputs'!$J$166+'Cost Inputs'!$K$166, "")</f>
        <v/>
      </c>
      <c r="K687" s="17" t="str">
        <f>IF($C687&lt;&gt;"", IF(AND($E687&lt;&gt;"", J687&lt;&gt;""), J687/$E687, 0),"")</f>
        <v/>
      </c>
      <c r="M687" s="106"/>
      <c r="U687" s="17" t="str">
        <f>IF(ISNUMBER('Model_ of_individuals'!U707), 'Model_ of_individuals'!U707*'Model_ of_individuals'!$K707,"")</f>
        <v/>
      </c>
      <c r="V687" s="17" t="str">
        <f>IF(ISNUMBER('Model_ of_individuals'!V707), 'Model_ of_individuals'!V707*'Model_ of_individuals'!$K707,"")</f>
        <v/>
      </c>
      <c r="W687" s="17" t="str">
        <f>IF(ISNUMBER('Model_ of_individuals'!W707), 'Model_ of_individuals'!W707*'Model_ of_individuals'!$K707,"")</f>
        <v/>
      </c>
      <c r="X687" s="17" t="str">
        <f>IF(ISNUMBER('Model_ of_individuals'!X707), 'Model_ of_individuals'!X707*'Model_ of_individuals'!$K707,"")</f>
        <v/>
      </c>
      <c r="Y687" s="17" t="str">
        <f>IF(ISNUMBER('Model_ of_individuals'!Y707), 'Model_ of_individuals'!Y707*'Model_ of_individuals'!$K707,"")</f>
        <v/>
      </c>
      <c r="Z687" s="17" t="str">
        <f>IF(ISNUMBER('Model_ of_individuals'!Z707), 'Model_ of_individuals'!Z707*'Model_ of_individuals'!$K707,"")</f>
        <v/>
      </c>
      <c r="AA687" s="17" t="str">
        <f>IF(ISNUMBER('Model_ of_individuals'!AA707), 'Model_ of_individuals'!AA707*'Model_ of_individuals'!$K707,"")</f>
        <v/>
      </c>
      <c r="AB687" s="17" t="str">
        <f>IF(ISNUMBER('Model_ of_individuals'!AB707), 'Model_ of_individuals'!AB707*'Model_ of_individuals'!$K707,"")</f>
        <v/>
      </c>
      <c r="AC687" s="17" t="str">
        <f>IF(ISNUMBER('Model_ of_individuals'!AC707), 'Model_ of_individuals'!AC707*'Model_ of_individuals'!$K707,"")</f>
        <v/>
      </c>
      <c r="AD687" s="17" t="str">
        <f>IF(ISNUMBER('Model_ of_individuals'!AD707), 'Model_ of_individuals'!AD707*'Model_ of_individuals'!$K707,"")</f>
        <v/>
      </c>
    </row>
    <row r="688" spans="1:30" ht="15.75" thickBot="1" x14ac:dyDescent="0.3">
      <c r="A688" s="518"/>
      <c r="B688" s="505"/>
      <c r="C688" s="111" t="str">
        <f>IF(AND(ISNUMBER(B667), OR('Cost Inputs'!$H$167&lt;&gt;"", 'Cost Inputs'!$I$167&lt;&gt;"", 'Cost Inputs'!$J$167&lt;&gt;"")), _5_6_2, "")</f>
        <v/>
      </c>
      <c r="D688" s="95" t="str">
        <f>IF(AND(C688&lt;&gt;"", 'Cost Inputs'!$G$167&lt;&gt;""), 'Cost Inputs'!$G$167, "")</f>
        <v/>
      </c>
      <c r="E688" s="95" t="str">
        <f>IF(AND(C688&lt;&gt;"", 'Cost Inputs'!$H$167&lt;&gt;""), 'Cost Inputs'!$H$167, "")</f>
        <v/>
      </c>
      <c r="F688" s="95" t="str">
        <f>IF(AND(C688&lt;&gt;"", 'Cost Inputs'!$I$167&lt;&gt;""), 'Cost Inputs'!$I$167, "")</f>
        <v/>
      </c>
      <c r="G688" s="112" t="str">
        <f t="shared" si="59"/>
        <v/>
      </c>
      <c r="H688" s="95" t="str">
        <f>IF(AND(C688&lt;&gt;"", 'Cost Inputs'!$J$167&lt;&gt;""), 'Cost Inputs'!$J$167, "")</f>
        <v/>
      </c>
      <c r="I688" s="95" t="str">
        <f>IF($C688&lt;&gt;"", IF(AND($E688&lt;&gt;"", H688&lt;&gt;""), H688/$E688, 0),"")</f>
        <v/>
      </c>
      <c r="J688" s="95" t="str">
        <f>IF(AND(C688&lt;&gt;"",('Cost Inputs'!$I$167+'Cost Inputs'!$J$167+'Cost Inputs'!$K$167)&gt;0), 'Cost Inputs'!$I$167+'Cost Inputs'!$J$167+'Cost Inputs'!$K$167, "")</f>
        <v/>
      </c>
      <c r="K688" s="95" t="str">
        <f>IF($C688&lt;&gt;"", IF(AND($E688&lt;&gt;"", J688&lt;&gt;""), J688/$E688, 0),"")</f>
        <v/>
      </c>
      <c r="L688" s="95"/>
      <c r="M688" s="113"/>
      <c r="U688" s="95" t="str">
        <f>IF(ISNUMBER('Model_ of_individuals'!U708), 'Model_ of_individuals'!U708*'Model_ of_individuals'!$K708,"")</f>
        <v/>
      </c>
      <c r="V688" s="95" t="str">
        <f>IF(ISNUMBER('Model_ of_individuals'!V708), 'Model_ of_individuals'!V708*'Model_ of_individuals'!$K708,"")</f>
        <v/>
      </c>
      <c r="W688" s="95" t="str">
        <f>IF(ISNUMBER('Model_ of_individuals'!W708), 'Model_ of_individuals'!W708*'Model_ of_individuals'!$K708,"")</f>
        <v/>
      </c>
      <c r="X688" s="95" t="str">
        <f>IF(ISNUMBER('Model_ of_individuals'!X708), 'Model_ of_individuals'!X708*'Model_ of_individuals'!$K708,"")</f>
        <v/>
      </c>
      <c r="Y688" s="95" t="str">
        <f>IF(ISNUMBER('Model_ of_individuals'!Y708), 'Model_ of_individuals'!Y708*'Model_ of_individuals'!$K708,"")</f>
        <v/>
      </c>
      <c r="Z688" s="95" t="str">
        <f>IF(ISNUMBER('Model_ of_individuals'!Z708), 'Model_ of_individuals'!Z708*'Model_ of_individuals'!$K708,"")</f>
        <v/>
      </c>
      <c r="AA688" s="95" t="str">
        <f>IF(ISNUMBER('Model_ of_individuals'!AA708), 'Model_ of_individuals'!AA708*'Model_ of_individuals'!$K708,"")</f>
        <v/>
      </c>
      <c r="AB688" s="95" t="str">
        <f>IF(ISNUMBER('Model_ of_individuals'!AB708), 'Model_ of_individuals'!AB708*'Model_ of_individuals'!$K708,"")</f>
        <v/>
      </c>
      <c r="AC688" s="95" t="str">
        <f>IF(ISNUMBER('Model_ of_individuals'!AC708), 'Model_ of_individuals'!AC708*'Model_ of_individuals'!$K708,"")</f>
        <v/>
      </c>
      <c r="AD688" s="95" t="str">
        <f>IF(ISNUMBER('Model_ of_individuals'!AD708), 'Model_ of_individuals'!AD708*'Model_ of_individuals'!$K708,"")</f>
        <v/>
      </c>
    </row>
    <row r="689" spans="1:31" x14ac:dyDescent="0.25">
      <c r="A689" s="518" t="str">
        <f>Fifth_Stage</f>
        <v>Stage 3 Clonal Replication with Increased Repetitions</v>
      </c>
      <c r="B689" s="503" t="str">
        <f>'Breeding Inputs'!B108</f>
        <v/>
      </c>
      <c r="C689" s="520" t="str">
        <f>IF(ISNUMBER(B689), _5_3_0, "")</f>
        <v/>
      </c>
      <c r="D689" s="92" t="str">
        <f>IF(AND(C689&lt;&gt;"", 'Cost Inputs'!$G$146&lt;&gt;""), 'Cost Inputs'!$G$146, "")</f>
        <v/>
      </c>
      <c r="E689" s="92" t="str">
        <f>IF(AND(C689&lt;&gt;"", 'Cost Inputs'!$H$146&lt;&gt;""), 'Cost Inputs'!$H$146, "")</f>
        <v/>
      </c>
      <c r="F689" s="522" t="str">
        <f>IF(AND(C689&lt;&gt;"", 'Cost Inputs'!$I$146&lt;&gt;""), 'Cost Inputs'!$I$146, "")</f>
        <v/>
      </c>
      <c r="G689" s="100" t="str">
        <f t="shared" si="59"/>
        <v/>
      </c>
      <c r="H689" s="522" t="str">
        <f>IF(AND(C689&lt;&gt;"", 'Cost Inputs'!$J$146&lt;&gt;""), 'Cost Inputs'!$J$146, "")</f>
        <v/>
      </c>
      <c r="I689" s="100" t="str">
        <f>IF($C689&lt;&gt;"",IF(AND($E689&lt;&gt;"",H689&lt;&gt;""), H689/$E689, 0),"")</f>
        <v/>
      </c>
      <c r="J689" s="522" t="str">
        <f>IF(AND(C689&lt;&gt;"",('Cost Inputs'!$I$146+'Cost Inputs'!$J$146+'Cost Inputs'!$K$146)&gt;0), 'Cost Inputs'!$I$146+'Cost Inputs'!$J$146+'Cost Inputs'!$K$146, "")</f>
        <v/>
      </c>
      <c r="K689" s="100" t="str">
        <f>IF($C689&lt;&gt;"",IF(AND($E689&lt;&gt;"",J689&lt;&gt;""), J689/$E689, 0),"")</f>
        <v/>
      </c>
      <c r="L689" s="92"/>
      <c r="M689" s="101"/>
      <c r="V689" s="492" t="str">
        <f>IF(ISNUMBER('Model_ of_individuals'!V709), 'Model_ of_individuals'!V709*'Model_ of_individuals'!$K709,"")</f>
        <v/>
      </c>
      <c r="W689" s="492" t="str">
        <f>IF(ISNUMBER('Model_ of_individuals'!W709), 'Model_ of_individuals'!W709*'Model_ of_individuals'!$K709,"")</f>
        <v/>
      </c>
      <c r="X689" s="492" t="str">
        <f>IF(ISNUMBER('Model_ of_individuals'!X709), 'Model_ of_individuals'!X709*'Model_ of_individuals'!$K709,"")</f>
        <v/>
      </c>
      <c r="Y689" s="492" t="str">
        <f>IF(ISNUMBER('Model_ of_individuals'!Y709), 'Model_ of_individuals'!Y709*'Model_ of_individuals'!$K709,"")</f>
        <v/>
      </c>
      <c r="Z689" s="492" t="str">
        <f>IF(ISNUMBER('Model_ of_individuals'!Z709), 'Model_ of_individuals'!Z709*'Model_ of_individuals'!$K709,"")</f>
        <v/>
      </c>
      <c r="AA689" s="492" t="str">
        <f>IF(ISNUMBER('Model_ of_individuals'!AA709), 'Model_ of_individuals'!AA709*'Model_ of_individuals'!$K709,"")</f>
        <v/>
      </c>
      <c r="AB689" s="492" t="str">
        <f>IF(ISNUMBER('Model_ of_individuals'!AB709), 'Model_ of_individuals'!AB709*'Model_ of_individuals'!$K709,"")</f>
        <v/>
      </c>
      <c r="AC689" s="492" t="str">
        <f>IF(ISNUMBER('Model_ of_individuals'!AC709), 'Model_ of_individuals'!AC709*'Model_ of_individuals'!$K709,"")</f>
        <v/>
      </c>
      <c r="AD689" s="492" t="str">
        <f>IF(ISNUMBER('Model_ of_individuals'!AD709), 'Model_ of_individuals'!AD709*'Model_ of_individuals'!$K709,"")</f>
        <v/>
      </c>
      <c r="AE689" s="492" t="str">
        <f>IF(ISNUMBER('Model_ of_individuals'!AE709), 'Model_ of_individuals'!AE709*'Model_ of_individuals'!$K709,"")</f>
        <v/>
      </c>
    </row>
    <row r="690" spans="1:31" x14ac:dyDescent="0.25">
      <c r="A690" s="518"/>
      <c r="B690" s="504"/>
      <c r="C690" s="521"/>
      <c r="D690" s="94" t="str">
        <f>IF(AND(C689&lt;&gt;"", 'Cost Inputs'!$G$147&lt;&gt;""), 'Cost Inputs'!$G$147, "")</f>
        <v/>
      </c>
      <c r="E690" s="94" t="str">
        <f>IF(AND(C689&lt;&gt;"", 'Cost Inputs'!$H$147&lt;&gt;""), 'Cost Inputs'!$H$147, "")</f>
        <v/>
      </c>
      <c r="F690" s="492"/>
      <c r="G690" s="102" t="str">
        <f t="shared" si="59"/>
        <v/>
      </c>
      <c r="H690" s="492"/>
      <c r="I690" s="102" t="str">
        <f>IF($C689&lt;&gt;"", IF(AND($E690&lt;&gt;"", H689&lt;&gt;""), H689/($E689*$E690), 0), "")</f>
        <v/>
      </c>
      <c r="J690" s="492" t="str">
        <f>IF(AND(C690&lt;&gt;"",('Cost Inputs'!$I$86+'Cost Inputs'!$J$86+'Cost Inputs'!$K$86)&gt;0), 'Cost Inputs'!$I$86+'Cost Inputs'!$J$86+'Cost Inputs'!$K$86, "")</f>
        <v/>
      </c>
      <c r="K690" s="102" t="str">
        <f>IF($C689&lt;&gt;"", IF(AND($E690&lt;&gt;"", J689&lt;&gt;""), J689/($E689*$E690), 0), "")</f>
        <v/>
      </c>
      <c r="L690" s="94"/>
      <c r="M690" s="103"/>
      <c r="V690" s="492" t="str">
        <f>IF(ISNUMBER('Model_ of_individuals'!V710), 'Model_ of_individuals'!V710*'Model_ of_individuals'!$K710,"")</f>
        <v/>
      </c>
      <c r="W690" s="492" t="str">
        <f>IF(ISNUMBER('Model_ of_individuals'!W710), 'Model_ of_individuals'!W710*'Model_ of_individuals'!$K710,"")</f>
        <v/>
      </c>
      <c r="X690" s="492" t="str">
        <f>IF(ISNUMBER('Model_ of_individuals'!X710), 'Model_ of_individuals'!X710*'Model_ of_individuals'!$K710,"")</f>
        <v/>
      </c>
      <c r="Y690" s="492" t="str">
        <f>IF(ISNUMBER('Model_ of_individuals'!Y710), 'Model_ of_individuals'!Y710*'Model_ of_individuals'!$K710,"")</f>
        <v/>
      </c>
      <c r="Z690" s="492" t="str">
        <f>IF(ISNUMBER('Model_ of_individuals'!Z710), 'Model_ of_individuals'!Z710*'Model_ of_individuals'!$K710,"")</f>
        <v/>
      </c>
      <c r="AA690" s="492" t="str">
        <f>IF(ISNUMBER('Model_ of_individuals'!AA710), 'Model_ of_individuals'!AA710*'Model_ of_individuals'!$K710,"")</f>
        <v/>
      </c>
      <c r="AB690" s="492" t="str">
        <f>IF(ISNUMBER('Model_ of_individuals'!AB710), 'Model_ of_individuals'!AB710*'Model_ of_individuals'!$K710,"")</f>
        <v/>
      </c>
      <c r="AC690" s="492" t="str">
        <f>IF(ISNUMBER('Model_ of_individuals'!AC710), 'Model_ of_individuals'!AC710*'Model_ of_individuals'!$K710,"")</f>
        <v/>
      </c>
      <c r="AD690" s="492" t="str">
        <f>IF(ISNUMBER('Model_ of_individuals'!AD710), 'Model_ of_individuals'!AD710*'Model_ of_individuals'!$K710,"")</f>
        <v/>
      </c>
      <c r="AE690" s="492" t="str">
        <f>IF(ISNUMBER('Model_ of_individuals'!AE710), 'Model_ of_individuals'!AE710*'Model_ of_individuals'!$K710,"")</f>
        <v/>
      </c>
    </row>
    <row r="691" spans="1:31" x14ac:dyDescent="0.25">
      <c r="A691" s="518"/>
      <c r="B691" s="504"/>
      <c r="C691" s="104" t="str">
        <f>IF(AND(ISNUMBER(B689), OR('Cost Inputs'!$H$148&lt;&gt;"", 'Cost Inputs'!$I$148&lt;&gt;"", 'Cost Inputs'!$J$148&lt;&gt;"")), _5_3_1, "")</f>
        <v/>
      </c>
      <c r="D691" s="17" t="str">
        <f>IF(AND(C691&lt;&gt;"", 'Cost Inputs'!$G$148&lt;&gt;""), 'Cost Inputs'!$G$148, "")</f>
        <v/>
      </c>
      <c r="E691" s="17" t="str">
        <f>IF(AND(C691&lt;&gt;"", 'Cost Inputs'!$H$148&lt;&gt;""), 'Cost Inputs'!$H$148, "")</f>
        <v/>
      </c>
      <c r="F691" s="17" t="str">
        <f>IF(AND(C691&lt;&gt;"", 'Cost Inputs'!$I$148&lt;&gt;""), 'Cost Inputs'!$I$148, "")</f>
        <v/>
      </c>
      <c r="G691" s="105" t="str">
        <f t="shared" si="59"/>
        <v/>
      </c>
      <c r="H691" s="17" t="str">
        <f>IF(AND(C691&lt;&gt;"", 'Cost Inputs'!$J$148&lt;&gt;""), 'Cost Inputs'!$J$148, "")</f>
        <v/>
      </c>
      <c r="I691" s="17" t="str">
        <f t="shared" ref="I691:I699" si="62">IF($C691&lt;&gt;"", IF(AND($E691&lt;&gt;"", H691&lt;&gt;""), H691/$E691, 0),"")</f>
        <v/>
      </c>
      <c r="J691" s="17" t="str">
        <f>IF(AND(C691&lt;&gt;"",('Cost Inputs'!$I$148+'Cost Inputs'!$J$148+'Cost Inputs'!$K$148)&gt;0), 'Cost Inputs'!$I$148+'Cost Inputs'!$J$148+'Cost Inputs'!$K$148, "")</f>
        <v/>
      </c>
      <c r="K691" s="17" t="str">
        <f t="shared" ref="K691:K699" si="63">IF($C691&lt;&gt;"", IF(AND($E691&lt;&gt;"", J691&lt;&gt;""), J691/$E691, 0),"")</f>
        <v/>
      </c>
      <c r="M691" s="106"/>
      <c r="V691" s="17" t="str">
        <f>IF(ISNUMBER('Model_ of_individuals'!V711), 'Model_ of_individuals'!V711*'Model_ of_individuals'!$K711,"")</f>
        <v/>
      </c>
      <c r="W691" s="17" t="str">
        <f>IF(ISNUMBER('Model_ of_individuals'!W711), 'Model_ of_individuals'!W711*'Model_ of_individuals'!$K711,"")</f>
        <v/>
      </c>
      <c r="X691" s="17" t="str">
        <f>IF(ISNUMBER('Model_ of_individuals'!X711), 'Model_ of_individuals'!X711*'Model_ of_individuals'!$K711,"")</f>
        <v/>
      </c>
      <c r="Y691" s="17" t="str">
        <f>IF(ISNUMBER('Model_ of_individuals'!Y711), 'Model_ of_individuals'!Y711*'Model_ of_individuals'!$K711,"")</f>
        <v/>
      </c>
      <c r="Z691" s="17" t="str">
        <f>IF(ISNUMBER('Model_ of_individuals'!Z711), 'Model_ of_individuals'!Z711*'Model_ of_individuals'!$K711,"")</f>
        <v/>
      </c>
      <c r="AA691" s="17" t="str">
        <f>IF(ISNUMBER('Model_ of_individuals'!AA711), 'Model_ of_individuals'!AA711*'Model_ of_individuals'!$K711,"")</f>
        <v/>
      </c>
      <c r="AB691" s="17" t="str">
        <f>IF(ISNUMBER('Model_ of_individuals'!AB711), 'Model_ of_individuals'!AB711*'Model_ of_individuals'!$K711,"")</f>
        <v/>
      </c>
      <c r="AC691" s="17" t="str">
        <f>IF(ISNUMBER('Model_ of_individuals'!AC711), 'Model_ of_individuals'!AC711*'Model_ of_individuals'!$K711,"")</f>
        <v/>
      </c>
      <c r="AD691" s="17" t="str">
        <f>IF(ISNUMBER('Model_ of_individuals'!AD711), 'Model_ of_individuals'!AD711*'Model_ of_individuals'!$K711,"")</f>
        <v/>
      </c>
      <c r="AE691" s="17" t="str">
        <f>IF(ISNUMBER('Model_ of_individuals'!AE711), 'Model_ of_individuals'!AE711*'Model_ of_individuals'!$K711,"")</f>
        <v/>
      </c>
    </row>
    <row r="692" spans="1:31" x14ac:dyDescent="0.25">
      <c r="A692" s="518"/>
      <c r="B692" s="504"/>
      <c r="C692" s="107" t="str">
        <f>IF(AND(ISNUMBER(B689), OR('Cost Inputs'!$H$149&lt;&gt;"", 'Cost Inputs'!$I$149&lt;&gt;"", 'Cost Inputs'!$J$149&lt;&gt;"")), _5_3_2, "")</f>
        <v/>
      </c>
      <c r="D692" s="93" t="str">
        <f>IF(AND(C692&lt;&gt;"", 'Cost Inputs'!$G$149&lt;&gt;""), 'Cost Inputs'!$G$149, "")</f>
        <v/>
      </c>
      <c r="E692" s="93" t="str">
        <f>IF(AND(C692&lt;&gt;"", 'Cost Inputs'!$H$149&lt;&gt;""), 'Cost Inputs'!$H$149, "")</f>
        <v/>
      </c>
      <c r="F692" s="93" t="str">
        <f>IF(AND(C692&lt;&gt;"", 'Cost Inputs'!$I$149&lt;&gt;""), 'Cost Inputs'!$I$149, "")</f>
        <v/>
      </c>
      <c r="G692" s="108" t="str">
        <f t="shared" si="59"/>
        <v/>
      </c>
      <c r="H692" s="93" t="str">
        <f>IF(AND(C692&lt;&gt;"", 'Cost Inputs'!$J$149&lt;&gt;""), 'Cost Inputs'!$J$149, "")</f>
        <v/>
      </c>
      <c r="I692" s="93" t="str">
        <f t="shared" si="62"/>
        <v/>
      </c>
      <c r="J692" s="93" t="str">
        <f>IF(AND(C692&lt;&gt;"",('Cost Inputs'!$I$149+'Cost Inputs'!$J$149+'Cost Inputs'!$K$149)&gt;0), 'Cost Inputs'!$I$149+'Cost Inputs'!$J$149+'Cost Inputs'!$K$149, "")</f>
        <v/>
      </c>
      <c r="K692" s="93" t="str">
        <f t="shared" si="63"/>
        <v/>
      </c>
      <c r="L692" s="93"/>
      <c r="M692" s="109"/>
      <c r="V692" s="93" t="str">
        <f>IF(ISNUMBER('Model_ of_individuals'!V712), 'Model_ of_individuals'!V712*'Model_ of_individuals'!$K712,"")</f>
        <v/>
      </c>
      <c r="W692" s="93" t="str">
        <f>IF(ISNUMBER('Model_ of_individuals'!W712), 'Model_ of_individuals'!W712*'Model_ of_individuals'!$K712,"")</f>
        <v/>
      </c>
      <c r="X692" s="93" t="str">
        <f>IF(ISNUMBER('Model_ of_individuals'!X712), 'Model_ of_individuals'!X712*'Model_ of_individuals'!$K712,"")</f>
        <v/>
      </c>
      <c r="Y692" s="93" t="str">
        <f>IF(ISNUMBER('Model_ of_individuals'!Y712), 'Model_ of_individuals'!Y712*'Model_ of_individuals'!$K712,"")</f>
        <v/>
      </c>
      <c r="Z692" s="93" t="str">
        <f>IF(ISNUMBER('Model_ of_individuals'!Z712), 'Model_ of_individuals'!Z712*'Model_ of_individuals'!$K712,"")</f>
        <v/>
      </c>
      <c r="AA692" s="93" t="str">
        <f>IF(ISNUMBER('Model_ of_individuals'!AA712), 'Model_ of_individuals'!AA712*'Model_ of_individuals'!$K712,"")</f>
        <v/>
      </c>
      <c r="AB692" s="93" t="str">
        <f>IF(ISNUMBER('Model_ of_individuals'!AB712), 'Model_ of_individuals'!AB712*'Model_ of_individuals'!$K712,"")</f>
        <v/>
      </c>
      <c r="AC692" s="93" t="str">
        <f>IF(ISNUMBER('Model_ of_individuals'!AC712), 'Model_ of_individuals'!AC712*'Model_ of_individuals'!$K712,"")</f>
        <v/>
      </c>
      <c r="AD692" s="93" t="str">
        <f>IF(ISNUMBER('Model_ of_individuals'!AD712), 'Model_ of_individuals'!AD712*'Model_ of_individuals'!$K712,"")</f>
        <v/>
      </c>
      <c r="AE692" s="93" t="str">
        <f>IF(ISNUMBER('Model_ of_individuals'!AE712), 'Model_ of_individuals'!AE712*'Model_ of_individuals'!$K712,"")</f>
        <v/>
      </c>
    </row>
    <row r="693" spans="1:31" x14ac:dyDescent="0.25">
      <c r="A693" s="518"/>
      <c r="B693" s="504"/>
      <c r="C693" s="110" t="str">
        <f>IF(ISNUMBER(B689), _5_4_0, "")</f>
        <v/>
      </c>
      <c r="D693" s="94" t="str">
        <f>IF(AND(C693&lt;&gt;"", 'Cost Inputs'!$G$150&lt;&gt;""), 'Cost Inputs'!$G$150, "")</f>
        <v/>
      </c>
      <c r="E693" s="94" t="str">
        <f>IF(AND(C693&lt;&gt;"", 'Cost Inputs'!$H$150&lt;&gt;""), 'Cost Inputs'!$H$150, "")</f>
        <v/>
      </c>
      <c r="F693" s="94" t="str">
        <f>IF(AND(C693&lt;&gt;"", 'Cost Inputs'!$I$150&lt;&gt;""), 'Cost Inputs'!$I$150, "")</f>
        <v/>
      </c>
      <c r="G693" s="102" t="str">
        <f t="shared" si="59"/>
        <v/>
      </c>
      <c r="H693" s="102" t="str">
        <f>IF(AND(C693&lt;&gt;"", 'Cost Inputs'!$J$150&lt;&gt;""), 'Cost Inputs'!$J$150, "")</f>
        <v/>
      </c>
      <c r="I693" s="102" t="str">
        <f t="shared" si="62"/>
        <v/>
      </c>
      <c r="J693" s="102" t="str">
        <f>IF(AND(C693&lt;&gt;"",('Cost Inputs'!$I$150+'Cost Inputs'!$J$150+'Cost Inputs'!$K$150)&gt;0), 'Cost Inputs'!$I$150+'Cost Inputs'!$J$150+'Cost Inputs'!$K$150, "")</f>
        <v/>
      </c>
      <c r="K693" s="102" t="str">
        <f t="shared" si="63"/>
        <v/>
      </c>
      <c r="L693" s="94"/>
      <c r="M693" s="103"/>
      <c r="V693" s="102" t="str">
        <f>IF(ISNUMBER('Model_ of_individuals'!V713), 'Model_ of_individuals'!V713*'Model_ of_individuals'!$K713,"")</f>
        <v/>
      </c>
      <c r="W693" s="102" t="str">
        <f>IF(ISNUMBER('Model_ of_individuals'!W713), 'Model_ of_individuals'!W713*'Model_ of_individuals'!$K713,"")</f>
        <v/>
      </c>
      <c r="X693" s="102" t="str">
        <f>IF(ISNUMBER('Model_ of_individuals'!X713), 'Model_ of_individuals'!X713*'Model_ of_individuals'!$K713,"")</f>
        <v/>
      </c>
      <c r="Y693" s="102" t="str">
        <f>IF(ISNUMBER('Model_ of_individuals'!Y713), 'Model_ of_individuals'!Y713*'Model_ of_individuals'!$K713,"")</f>
        <v/>
      </c>
      <c r="Z693" s="102" t="str">
        <f>IF(ISNUMBER('Model_ of_individuals'!Z713), 'Model_ of_individuals'!Z713*'Model_ of_individuals'!$K713,"")</f>
        <v/>
      </c>
      <c r="AA693" s="102" t="str">
        <f>IF(ISNUMBER('Model_ of_individuals'!AA713), 'Model_ of_individuals'!AA713*'Model_ of_individuals'!$K713,"")</f>
        <v/>
      </c>
      <c r="AB693" s="102" t="str">
        <f>IF(ISNUMBER('Model_ of_individuals'!AB713), 'Model_ of_individuals'!AB713*'Model_ of_individuals'!$K713,"")</f>
        <v/>
      </c>
      <c r="AC693" s="102" t="str">
        <f>IF(ISNUMBER('Model_ of_individuals'!AC713), 'Model_ of_individuals'!AC713*'Model_ of_individuals'!$K713,"")</f>
        <v/>
      </c>
      <c r="AD693" s="102" t="str">
        <f>IF(ISNUMBER('Model_ of_individuals'!AD713), 'Model_ of_individuals'!AD713*'Model_ of_individuals'!$K713,"")</f>
        <v/>
      </c>
      <c r="AE693" s="102" t="str">
        <f>IF(ISNUMBER('Model_ of_individuals'!AE713), 'Model_ of_individuals'!AE713*'Model_ of_individuals'!$K713,"")</f>
        <v/>
      </c>
    </row>
    <row r="694" spans="1:31" x14ac:dyDescent="0.25">
      <c r="A694" s="518"/>
      <c r="B694" s="504"/>
      <c r="C694" s="104" t="str">
        <f>IF(AND(ISNUMBER(B689), OR('Cost Inputs'!$H$151&lt;&gt;"", 'Cost Inputs'!$I$151&lt;&gt;"", 'Cost Inputs'!$J$151&lt;&gt;"")), _5_4_1, "")</f>
        <v/>
      </c>
      <c r="D694" s="17" t="str">
        <f>IF(AND(C694&lt;&gt;"", 'Cost Inputs'!$G$151&lt;&gt;""), 'Cost Inputs'!$G$151, "")</f>
        <v/>
      </c>
      <c r="E694" s="17" t="str">
        <f>IF(AND(C694&lt;&gt;"", 'Cost Inputs'!$H$151&lt;&gt;""), 'Cost Inputs'!$H$151, "")</f>
        <v/>
      </c>
      <c r="F694" s="17" t="str">
        <f>IF(AND(C694&lt;&gt;"", 'Cost Inputs'!$I$151&lt;&gt;""), 'Cost Inputs'!$I$151, "")</f>
        <v/>
      </c>
      <c r="G694" s="105" t="str">
        <f t="shared" si="59"/>
        <v/>
      </c>
      <c r="H694" s="17" t="str">
        <f>IF(AND(C694&lt;&gt;"", 'Cost Inputs'!$J$151&lt;&gt;""), 'Cost Inputs'!$J$151, "")</f>
        <v/>
      </c>
      <c r="I694" s="17" t="str">
        <f t="shared" si="62"/>
        <v/>
      </c>
      <c r="J694" s="17" t="str">
        <f>IF(AND(C694&lt;&gt;"",('Cost Inputs'!$I$151+'Cost Inputs'!$J$151+'Cost Inputs'!$K$151)&gt;0), 'Cost Inputs'!$I$151+'Cost Inputs'!$J$151+'Cost Inputs'!$K$151, "")</f>
        <v/>
      </c>
      <c r="K694" s="17" t="str">
        <f t="shared" si="63"/>
        <v/>
      </c>
      <c r="M694" s="106"/>
      <c r="V694" s="17" t="str">
        <f>IF(ISNUMBER('Model_ of_individuals'!V714), 'Model_ of_individuals'!V714*'Model_ of_individuals'!$K714,"")</f>
        <v/>
      </c>
      <c r="W694" s="17" t="str">
        <f>IF(ISNUMBER('Model_ of_individuals'!W714), 'Model_ of_individuals'!W714*'Model_ of_individuals'!$K714,"")</f>
        <v/>
      </c>
      <c r="X694" s="17" t="str">
        <f>IF(ISNUMBER('Model_ of_individuals'!X714), 'Model_ of_individuals'!X714*'Model_ of_individuals'!$K714,"")</f>
        <v/>
      </c>
      <c r="Y694" s="17" t="str">
        <f>IF(ISNUMBER('Model_ of_individuals'!Y714), 'Model_ of_individuals'!Y714*'Model_ of_individuals'!$K714,"")</f>
        <v/>
      </c>
      <c r="Z694" s="17" t="str">
        <f>IF(ISNUMBER('Model_ of_individuals'!Z714), 'Model_ of_individuals'!Z714*'Model_ of_individuals'!$K714,"")</f>
        <v/>
      </c>
      <c r="AA694" s="17" t="str">
        <f>IF(ISNUMBER('Model_ of_individuals'!AA714), 'Model_ of_individuals'!AA714*'Model_ of_individuals'!$K714,"")</f>
        <v/>
      </c>
      <c r="AB694" s="17" t="str">
        <f>IF(ISNUMBER('Model_ of_individuals'!AB714), 'Model_ of_individuals'!AB714*'Model_ of_individuals'!$K714,"")</f>
        <v/>
      </c>
      <c r="AC694" s="17" t="str">
        <f>IF(ISNUMBER('Model_ of_individuals'!AC714), 'Model_ of_individuals'!AC714*'Model_ of_individuals'!$K714,"")</f>
        <v/>
      </c>
      <c r="AD694" s="17" t="str">
        <f>IF(ISNUMBER('Model_ of_individuals'!AD714), 'Model_ of_individuals'!AD714*'Model_ of_individuals'!$K714,"")</f>
        <v/>
      </c>
      <c r="AE694" s="17" t="str">
        <f>IF(ISNUMBER('Model_ of_individuals'!AE714), 'Model_ of_individuals'!AE714*'Model_ of_individuals'!$K714,"")</f>
        <v/>
      </c>
    </row>
    <row r="695" spans="1:31" x14ac:dyDescent="0.25">
      <c r="A695" s="518"/>
      <c r="B695" s="504"/>
      <c r="C695" s="107" t="str">
        <f>IF(AND(ISNUMBER(B689), OR('Cost Inputs'!$H$152&lt;&gt;"", 'Cost Inputs'!$I$152&lt;&gt;"", 'Cost Inputs'!$J$152&lt;&gt;"")), _5_4_2, "")</f>
        <v/>
      </c>
      <c r="D695" s="93" t="str">
        <f>IF(AND(C695&lt;&gt;"", 'Cost Inputs'!$G$152&lt;&gt;""), 'Cost Inputs'!$G$152, "")</f>
        <v/>
      </c>
      <c r="E695" s="93" t="str">
        <f>IF(AND(C695&lt;&gt;"", 'Cost Inputs'!$H$152&lt;&gt;""), 'Cost Inputs'!$H$152, "")</f>
        <v/>
      </c>
      <c r="F695" s="93" t="str">
        <f>IF(AND(C695&lt;&gt;"", 'Cost Inputs'!$I$152&lt;&gt;""), 'Cost Inputs'!$I$152, "")</f>
        <v/>
      </c>
      <c r="G695" s="108" t="str">
        <f t="shared" si="59"/>
        <v/>
      </c>
      <c r="H695" s="93" t="str">
        <f>IF(AND(C695&lt;&gt;"", 'Cost Inputs'!$J$152&lt;&gt;""), 'Cost Inputs'!$J$152, "")</f>
        <v/>
      </c>
      <c r="I695" s="93" t="str">
        <f t="shared" si="62"/>
        <v/>
      </c>
      <c r="J695" s="93" t="str">
        <f>IF(AND(C695&lt;&gt;"",('Cost Inputs'!$I$152+'Cost Inputs'!$J$152+'Cost Inputs'!$K$152)&gt;0), 'Cost Inputs'!$I$152+'Cost Inputs'!$J$152+'Cost Inputs'!$K$152, "")</f>
        <v/>
      </c>
      <c r="K695" s="93" t="str">
        <f t="shared" si="63"/>
        <v/>
      </c>
      <c r="L695" s="93"/>
      <c r="M695" s="109"/>
      <c r="V695" s="93" t="str">
        <f>IF(ISNUMBER('Model_ of_individuals'!V715), 'Model_ of_individuals'!V715*'Model_ of_individuals'!$K715,"")</f>
        <v/>
      </c>
      <c r="W695" s="93" t="str">
        <f>IF(ISNUMBER('Model_ of_individuals'!W715), 'Model_ of_individuals'!W715*'Model_ of_individuals'!$K715,"")</f>
        <v/>
      </c>
      <c r="X695" s="93" t="str">
        <f>IF(ISNUMBER('Model_ of_individuals'!X715), 'Model_ of_individuals'!X715*'Model_ of_individuals'!$K715,"")</f>
        <v/>
      </c>
      <c r="Y695" s="93" t="str">
        <f>IF(ISNUMBER('Model_ of_individuals'!Y715), 'Model_ of_individuals'!Y715*'Model_ of_individuals'!$K715,"")</f>
        <v/>
      </c>
      <c r="Z695" s="93" t="str">
        <f>IF(ISNUMBER('Model_ of_individuals'!Z715), 'Model_ of_individuals'!Z715*'Model_ of_individuals'!$K715,"")</f>
        <v/>
      </c>
      <c r="AA695" s="93" t="str">
        <f>IF(ISNUMBER('Model_ of_individuals'!AA715), 'Model_ of_individuals'!AA715*'Model_ of_individuals'!$K715,"")</f>
        <v/>
      </c>
      <c r="AB695" s="93" t="str">
        <f>IF(ISNUMBER('Model_ of_individuals'!AB715), 'Model_ of_individuals'!AB715*'Model_ of_individuals'!$K715,"")</f>
        <v/>
      </c>
      <c r="AC695" s="93" t="str">
        <f>IF(ISNUMBER('Model_ of_individuals'!AC715), 'Model_ of_individuals'!AC715*'Model_ of_individuals'!$K715,"")</f>
        <v/>
      </c>
      <c r="AD695" s="93" t="str">
        <f>IF(ISNUMBER('Model_ of_individuals'!AD715), 'Model_ of_individuals'!AD715*'Model_ of_individuals'!$K715,"")</f>
        <v/>
      </c>
      <c r="AE695" s="93" t="str">
        <f>IF(ISNUMBER('Model_ of_individuals'!AE715), 'Model_ of_individuals'!AE715*'Model_ of_individuals'!$K715,"")</f>
        <v/>
      </c>
    </row>
    <row r="696" spans="1:31" x14ac:dyDescent="0.25">
      <c r="A696" s="518"/>
      <c r="B696" s="504"/>
      <c r="C696" s="104" t="str">
        <f>IF(AND(ISNUMBER(B689), OR('Cost Inputs'!$H$153&lt;&gt;"", 'Cost Inputs'!$I$153&lt;&gt;"", 'Cost Inputs'!$J$153&lt;&gt;"")), _5_4_3, "")</f>
        <v/>
      </c>
      <c r="D696" s="17" t="str">
        <f>IF(AND(C696&lt;&gt;"", 'Cost Inputs'!$G$153&lt;&gt;""), 'Cost Inputs'!$G$153, "")</f>
        <v/>
      </c>
      <c r="E696" s="17" t="str">
        <f>IF(AND(C696&lt;&gt;"", 'Cost Inputs'!$H$153&lt;&gt;""), 'Cost Inputs'!$H$153, "")</f>
        <v/>
      </c>
      <c r="F696" s="17" t="str">
        <f>IF(AND(C696&lt;&gt;"", 'Cost Inputs'!$I$153&lt;&gt;""), 'Cost Inputs'!$I$153, "")</f>
        <v/>
      </c>
      <c r="G696" s="105" t="str">
        <f t="shared" si="59"/>
        <v/>
      </c>
      <c r="H696" s="17" t="str">
        <f>IF(AND(C696&lt;&gt;"", 'Cost Inputs'!$J$153&lt;&gt;""), 'Cost Inputs'!$J$153, "")</f>
        <v/>
      </c>
      <c r="I696" s="17" t="str">
        <f t="shared" si="62"/>
        <v/>
      </c>
      <c r="J696" s="17" t="str">
        <f>IF(AND(C696&lt;&gt;"",('Cost Inputs'!$I$153+'Cost Inputs'!$J$153+'Cost Inputs'!$K$153)&gt;0), 'Cost Inputs'!$I$153+'Cost Inputs'!$J$153+'Cost Inputs'!$K$153, "")</f>
        <v/>
      </c>
      <c r="K696" s="17" t="str">
        <f t="shared" si="63"/>
        <v/>
      </c>
      <c r="M696" s="106"/>
      <c r="V696" s="17" t="str">
        <f>IF(ISNUMBER('Model_ of_individuals'!V716), 'Model_ of_individuals'!V716*'Model_ of_individuals'!$K716,"")</f>
        <v/>
      </c>
      <c r="W696" s="17" t="str">
        <f>IF(ISNUMBER('Model_ of_individuals'!W716), 'Model_ of_individuals'!W716*'Model_ of_individuals'!$K716,"")</f>
        <v/>
      </c>
      <c r="X696" s="17" t="str">
        <f>IF(ISNUMBER('Model_ of_individuals'!X716), 'Model_ of_individuals'!X716*'Model_ of_individuals'!$K716,"")</f>
        <v/>
      </c>
      <c r="Y696" s="17" t="str">
        <f>IF(ISNUMBER('Model_ of_individuals'!Y716), 'Model_ of_individuals'!Y716*'Model_ of_individuals'!$K716,"")</f>
        <v/>
      </c>
      <c r="Z696" s="17" t="str">
        <f>IF(ISNUMBER('Model_ of_individuals'!Z716), 'Model_ of_individuals'!Z716*'Model_ of_individuals'!$K716,"")</f>
        <v/>
      </c>
      <c r="AA696" s="17" t="str">
        <f>IF(ISNUMBER('Model_ of_individuals'!AA716), 'Model_ of_individuals'!AA716*'Model_ of_individuals'!$K716,"")</f>
        <v/>
      </c>
      <c r="AB696" s="17" t="str">
        <f>IF(ISNUMBER('Model_ of_individuals'!AB716), 'Model_ of_individuals'!AB716*'Model_ of_individuals'!$K716,"")</f>
        <v/>
      </c>
      <c r="AC696" s="17" t="str">
        <f>IF(ISNUMBER('Model_ of_individuals'!AC716), 'Model_ of_individuals'!AC716*'Model_ of_individuals'!$K716,"")</f>
        <v/>
      </c>
      <c r="AD696" s="17" t="str">
        <f>IF(ISNUMBER('Model_ of_individuals'!AD716), 'Model_ of_individuals'!AD716*'Model_ of_individuals'!$K716,"")</f>
        <v/>
      </c>
      <c r="AE696" s="17" t="str">
        <f>IF(ISNUMBER('Model_ of_individuals'!AE716), 'Model_ of_individuals'!AE716*'Model_ of_individuals'!$K716,"")</f>
        <v/>
      </c>
    </row>
    <row r="697" spans="1:31" x14ac:dyDescent="0.25">
      <c r="A697" s="518"/>
      <c r="B697" s="504"/>
      <c r="C697" s="107" t="str">
        <f>IF(AND(ISNUMBER(B689), OR('Cost Inputs'!$H$154&lt;&gt;"", 'Cost Inputs'!$I$154&lt;&gt;"", 'Cost Inputs'!$J$154&lt;&gt;"")), _5_4_4, "")</f>
        <v/>
      </c>
      <c r="D697" s="93" t="str">
        <f>IF(AND(C697&lt;&gt;"", 'Cost Inputs'!$G$154&lt;&gt;""), 'Cost Inputs'!$G$154, "")</f>
        <v/>
      </c>
      <c r="E697" s="93" t="str">
        <f>IF(AND(C697&lt;&gt;"", 'Cost Inputs'!$H$154&lt;&gt;""), 'Cost Inputs'!$H$154, "")</f>
        <v/>
      </c>
      <c r="F697" s="93" t="str">
        <f>IF(AND(C697&lt;&gt;"", 'Cost Inputs'!$I$154&lt;&gt;""), 'Cost Inputs'!$I$154, "")</f>
        <v/>
      </c>
      <c r="G697" s="108" t="str">
        <f t="shared" si="59"/>
        <v/>
      </c>
      <c r="H697" s="93" t="str">
        <f>IF(AND(C697&lt;&gt;"", 'Cost Inputs'!$J$154&lt;&gt;""), 'Cost Inputs'!$J$154, "")</f>
        <v/>
      </c>
      <c r="I697" s="93" t="str">
        <f t="shared" si="62"/>
        <v/>
      </c>
      <c r="J697" s="93" t="str">
        <f>IF(AND(C697&lt;&gt;"",('Cost Inputs'!$I$154+'Cost Inputs'!$J$154+'Cost Inputs'!$K$154)&gt;0), 'Cost Inputs'!$I$154+'Cost Inputs'!$J$154+'Cost Inputs'!$K$154, "")</f>
        <v/>
      </c>
      <c r="K697" s="93" t="str">
        <f t="shared" si="63"/>
        <v/>
      </c>
      <c r="L697" s="93"/>
      <c r="M697" s="109"/>
      <c r="V697" s="93" t="str">
        <f>IF(ISNUMBER('Model_ of_individuals'!V717), 'Model_ of_individuals'!V717*'Model_ of_individuals'!$K717,"")</f>
        <v/>
      </c>
      <c r="W697" s="93" t="str">
        <f>IF(ISNUMBER('Model_ of_individuals'!W717), 'Model_ of_individuals'!W717*'Model_ of_individuals'!$K717,"")</f>
        <v/>
      </c>
      <c r="X697" s="93" t="str">
        <f>IF(ISNUMBER('Model_ of_individuals'!X717), 'Model_ of_individuals'!X717*'Model_ of_individuals'!$K717,"")</f>
        <v/>
      </c>
      <c r="Y697" s="93" t="str">
        <f>IF(ISNUMBER('Model_ of_individuals'!Y717), 'Model_ of_individuals'!Y717*'Model_ of_individuals'!$K717,"")</f>
        <v/>
      </c>
      <c r="Z697" s="93" t="str">
        <f>IF(ISNUMBER('Model_ of_individuals'!Z717), 'Model_ of_individuals'!Z717*'Model_ of_individuals'!$K717,"")</f>
        <v/>
      </c>
      <c r="AA697" s="93" t="str">
        <f>IF(ISNUMBER('Model_ of_individuals'!AA717), 'Model_ of_individuals'!AA717*'Model_ of_individuals'!$K717,"")</f>
        <v/>
      </c>
      <c r="AB697" s="93" t="str">
        <f>IF(ISNUMBER('Model_ of_individuals'!AB717), 'Model_ of_individuals'!AB717*'Model_ of_individuals'!$K717,"")</f>
        <v/>
      </c>
      <c r="AC697" s="93" t="str">
        <f>IF(ISNUMBER('Model_ of_individuals'!AC717), 'Model_ of_individuals'!AC717*'Model_ of_individuals'!$K717,"")</f>
        <v/>
      </c>
      <c r="AD697" s="93" t="str">
        <f>IF(ISNUMBER('Model_ of_individuals'!AD717), 'Model_ of_individuals'!AD717*'Model_ of_individuals'!$K717,"")</f>
        <v/>
      </c>
      <c r="AE697" s="93" t="str">
        <f>IF(ISNUMBER('Model_ of_individuals'!AE717), 'Model_ of_individuals'!AE717*'Model_ of_individuals'!$K717,"")</f>
        <v/>
      </c>
    </row>
    <row r="698" spans="1:31" x14ac:dyDescent="0.25">
      <c r="A698" s="518"/>
      <c r="B698" s="504"/>
      <c r="C698" s="104" t="str">
        <f>IF(AND(ISNUMBER(B689), OR('Cost Inputs'!$H$155&lt;&gt;"", 'Cost Inputs'!$I$155&lt;&gt;"", 'Cost Inputs'!$J$155&lt;&gt;"")), _5_4_5, "")</f>
        <v/>
      </c>
      <c r="D698" s="17" t="str">
        <f>IF(AND(C698&lt;&gt;"", 'Cost Inputs'!$G$155&lt;&gt;""), 'Cost Inputs'!$G$155, "")</f>
        <v/>
      </c>
      <c r="E698" s="17" t="str">
        <f>IF(AND(C698&lt;&gt;"", 'Cost Inputs'!$H$155&lt;&gt;""), 'Cost Inputs'!$H$155, "")</f>
        <v/>
      </c>
      <c r="F698" s="17" t="str">
        <f>IF(AND(C698&lt;&gt;"", 'Cost Inputs'!$I$155&lt;&gt;""), 'Cost Inputs'!$I$155, "")</f>
        <v/>
      </c>
      <c r="G698" s="105" t="str">
        <f t="shared" si="59"/>
        <v/>
      </c>
      <c r="H698" s="17" t="str">
        <f>IF(AND(C698&lt;&gt;"", 'Cost Inputs'!$J$155&lt;&gt;""), 'Cost Inputs'!$J$155, "")</f>
        <v/>
      </c>
      <c r="I698" s="17" t="str">
        <f t="shared" si="62"/>
        <v/>
      </c>
      <c r="J698" s="17" t="str">
        <f>IF(AND(C698&lt;&gt;"",('Cost Inputs'!$I$155+'Cost Inputs'!$J$155+'Cost Inputs'!$K$155)&gt;0), 'Cost Inputs'!$I$155+'Cost Inputs'!$J$155+'Cost Inputs'!$K$155, "")</f>
        <v/>
      </c>
      <c r="K698" s="17" t="str">
        <f t="shared" si="63"/>
        <v/>
      </c>
      <c r="M698" s="106"/>
      <c r="V698" s="17" t="str">
        <f>IF(ISNUMBER('Model_ of_individuals'!V718), 'Model_ of_individuals'!V718*'Model_ of_individuals'!$K718,"")</f>
        <v/>
      </c>
      <c r="W698" s="17" t="str">
        <f>IF(ISNUMBER('Model_ of_individuals'!W718), 'Model_ of_individuals'!W718*'Model_ of_individuals'!$K718,"")</f>
        <v/>
      </c>
      <c r="X698" s="17" t="str">
        <f>IF(ISNUMBER('Model_ of_individuals'!X718), 'Model_ of_individuals'!X718*'Model_ of_individuals'!$K718,"")</f>
        <v/>
      </c>
      <c r="Y698" s="17" t="str">
        <f>IF(ISNUMBER('Model_ of_individuals'!Y718), 'Model_ of_individuals'!Y718*'Model_ of_individuals'!$K718,"")</f>
        <v/>
      </c>
      <c r="Z698" s="17" t="str">
        <f>IF(ISNUMBER('Model_ of_individuals'!Z718), 'Model_ of_individuals'!Z718*'Model_ of_individuals'!$K718,"")</f>
        <v/>
      </c>
      <c r="AA698" s="17" t="str">
        <f>IF(ISNUMBER('Model_ of_individuals'!AA718), 'Model_ of_individuals'!AA718*'Model_ of_individuals'!$K718,"")</f>
        <v/>
      </c>
      <c r="AB698" s="17" t="str">
        <f>IF(ISNUMBER('Model_ of_individuals'!AB718), 'Model_ of_individuals'!AB718*'Model_ of_individuals'!$K718,"")</f>
        <v/>
      </c>
      <c r="AC698" s="17" t="str">
        <f>IF(ISNUMBER('Model_ of_individuals'!AC718), 'Model_ of_individuals'!AC718*'Model_ of_individuals'!$K718,"")</f>
        <v/>
      </c>
      <c r="AD698" s="17" t="str">
        <f>IF(ISNUMBER('Model_ of_individuals'!AD718), 'Model_ of_individuals'!AD718*'Model_ of_individuals'!$K718,"")</f>
        <v/>
      </c>
      <c r="AE698" s="17" t="str">
        <f>IF(ISNUMBER('Model_ of_individuals'!AE718), 'Model_ of_individuals'!AE718*'Model_ of_individuals'!$K718,"")</f>
        <v/>
      </c>
    </row>
    <row r="699" spans="1:31" x14ac:dyDescent="0.25">
      <c r="A699" s="518"/>
      <c r="B699" s="504"/>
      <c r="C699" s="107" t="str">
        <f>IF(AND(ISNUMBER(B689), OR('Cost Inputs'!$H$156&lt;&gt;"", 'Cost Inputs'!$I$156&lt;&gt;"", 'Cost Inputs'!$J$156&lt;&gt;"")), _5_4_6, "")</f>
        <v/>
      </c>
      <c r="D699" s="93" t="str">
        <f>IF(AND(C699&lt;&gt;"", 'Cost Inputs'!$G$156&lt;&gt;""), 'Cost Inputs'!$G$156, "")</f>
        <v/>
      </c>
      <c r="E699" s="93" t="str">
        <f>IF(AND(C699&lt;&gt;"", 'Cost Inputs'!$H$156&lt;&gt;""), 'Cost Inputs'!$H$156, "")</f>
        <v/>
      </c>
      <c r="F699" s="93" t="str">
        <f>IF(AND(C699&lt;&gt;"", 'Cost Inputs'!$I$156&lt;&gt;""), 'Cost Inputs'!$I$156, "")</f>
        <v/>
      </c>
      <c r="G699" s="108" t="str">
        <f t="shared" si="59"/>
        <v/>
      </c>
      <c r="H699" s="93" t="str">
        <f>IF(AND(C699&lt;&gt;"", 'Cost Inputs'!$J$156&lt;&gt;""), 'Cost Inputs'!$J$16, "")</f>
        <v/>
      </c>
      <c r="I699" s="93" t="str">
        <f t="shared" si="62"/>
        <v/>
      </c>
      <c r="J699" s="93" t="str">
        <f>IF(AND(C699&lt;&gt;"",('Cost Inputs'!$I$156+'Cost Inputs'!$J$156+'Cost Inputs'!$K$156)&gt;0), 'Cost Inputs'!$I$156+'Cost Inputs'!$J$156+'Cost Inputs'!$K$156, "")</f>
        <v/>
      </c>
      <c r="K699" s="93" t="str">
        <f t="shared" si="63"/>
        <v/>
      </c>
      <c r="L699" s="93"/>
      <c r="M699" s="109"/>
      <c r="V699" s="93" t="str">
        <f>IF(ISNUMBER('Model_ of_individuals'!V719), 'Model_ of_individuals'!V719*'Model_ of_individuals'!$K719,"")</f>
        <v/>
      </c>
      <c r="W699" s="93" t="str">
        <f>IF(ISNUMBER('Model_ of_individuals'!W719), 'Model_ of_individuals'!W719*'Model_ of_individuals'!$K719,"")</f>
        <v/>
      </c>
      <c r="X699" s="93" t="str">
        <f>IF(ISNUMBER('Model_ of_individuals'!X719), 'Model_ of_individuals'!X719*'Model_ of_individuals'!$K719,"")</f>
        <v/>
      </c>
      <c r="Y699" s="93" t="str">
        <f>IF(ISNUMBER('Model_ of_individuals'!Y719), 'Model_ of_individuals'!Y719*'Model_ of_individuals'!$K719,"")</f>
        <v/>
      </c>
      <c r="Z699" s="93" t="str">
        <f>IF(ISNUMBER('Model_ of_individuals'!Z719), 'Model_ of_individuals'!Z719*'Model_ of_individuals'!$K719,"")</f>
        <v/>
      </c>
      <c r="AA699" s="93" t="str">
        <f>IF(ISNUMBER('Model_ of_individuals'!AA719), 'Model_ of_individuals'!AA719*'Model_ of_individuals'!$K719,"")</f>
        <v/>
      </c>
      <c r="AB699" s="93" t="str">
        <f>IF(ISNUMBER('Model_ of_individuals'!AB719), 'Model_ of_individuals'!AB719*'Model_ of_individuals'!$K719,"")</f>
        <v/>
      </c>
      <c r="AC699" s="93" t="str">
        <f>IF(ISNUMBER('Model_ of_individuals'!AC719), 'Model_ of_individuals'!AC719*'Model_ of_individuals'!$K719,"")</f>
        <v/>
      </c>
      <c r="AD699" s="93" t="str">
        <f>IF(ISNUMBER('Model_ of_individuals'!AD719), 'Model_ of_individuals'!AD719*'Model_ of_individuals'!$K719,"")</f>
        <v/>
      </c>
      <c r="AE699" s="93" t="str">
        <f>IF(ISNUMBER('Model_ of_individuals'!AE719), 'Model_ of_individuals'!AE719*'Model_ of_individuals'!$K719,"")</f>
        <v/>
      </c>
    </row>
    <row r="700" spans="1:31" x14ac:dyDescent="0.25">
      <c r="A700" s="518"/>
      <c r="B700" s="504"/>
      <c r="C700" s="521" t="str">
        <f>IF(AND(B689&lt;&gt;"",ISNUMBER(B689),ISNUMBER(Stage3EvaluationBegins)),IF((INDEX(ProgramYearStage3,MATCH(Stage3EvaluationBegins,Years_in_Stage3,0)))=B689,_5_5_0,IF(AND(B689&lt;&gt;"",C678&lt;&gt;""),_5_5_0,IF(AND(B689&lt;&gt;"",ISNUMBER(B689),OR(Stage3EvaluationBegins=0,Stage3EvaluationBegins="")),"",""))),"")</f>
        <v/>
      </c>
      <c r="D700" s="94" t="str">
        <f>IF(AND(C700&lt;&gt;"", 'Cost Inputs'!$G$157&lt;&gt;""), 'Cost Inputs'!$G$157, "")</f>
        <v/>
      </c>
      <c r="E700" s="94" t="str">
        <f>IF(AND(C700&lt;&gt;"", 'Cost Inputs'!$H$157&lt;&gt;""), 'Cost Inputs'!$H$157, "")</f>
        <v/>
      </c>
      <c r="F700" s="492" t="str">
        <f>IF(AND(C700&lt;&gt;"", 'Cost Inputs'!$I$157&lt;&gt;""), 'Cost Inputs'!$I$157, "")</f>
        <v/>
      </c>
      <c r="G700" s="102" t="str">
        <f t="shared" si="59"/>
        <v/>
      </c>
      <c r="H700" s="492" t="str">
        <f>IF(AND(C700&lt;&gt;"", 'Cost Inputs'!$J$157&lt;&gt;""), 'Cost Inputs'!$J$157, "")</f>
        <v/>
      </c>
      <c r="I700" s="102" t="str">
        <f>IF($C700&lt;&gt;"",IF(AND($E700&lt;&gt;"",H700&lt;&gt;""), H700/$E700, 0),"")</f>
        <v/>
      </c>
      <c r="J700" s="492" t="str">
        <f>IF(AND(C700&lt;&gt;"",('Cost Inputs'!$I$157+'Cost Inputs'!$J$157+'Cost Inputs'!$K$157)&gt;0), 'Cost Inputs'!$I$157+'Cost Inputs'!$J$157+'Cost Inputs'!$K$157, "")</f>
        <v/>
      </c>
      <c r="K700" s="102" t="str">
        <f>IF($C700&lt;&gt;"",IF(AND($E700&lt;&gt;"",J700&lt;&gt;""), J700/$E700, 0),"")</f>
        <v/>
      </c>
      <c r="L700" s="94"/>
      <c r="M700" s="103"/>
      <c r="V700" s="492" t="str">
        <f>IF(ISNUMBER('Model_ of_individuals'!V720), 'Model_ of_individuals'!V720*'Model_ of_individuals'!$K720,"")</f>
        <v/>
      </c>
      <c r="W700" s="492" t="str">
        <f>IF(ISNUMBER('Model_ of_individuals'!W720), 'Model_ of_individuals'!W720*'Model_ of_individuals'!$K720,"")</f>
        <v/>
      </c>
      <c r="X700" s="492" t="str">
        <f>IF(ISNUMBER('Model_ of_individuals'!X720), 'Model_ of_individuals'!X720*'Model_ of_individuals'!$K720,"")</f>
        <v/>
      </c>
      <c r="Y700" s="492" t="str">
        <f>IF(ISNUMBER('Model_ of_individuals'!Y720), 'Model_ of_individuals'!Y720*'Model_ of_individuals'!$K720,"")</f>
        <v/>
      </c>
      <c r="Z700" s="492" t="str">
        <f>IF(ISNUMBER('Model_ of_individuals'!Z720), 'Model_ of_individuals'!Z720*'Model_ of_individuals'!$K720,"")</f>
        <v/>
      </c>
      <c r="AA700" s="492" t="str">
        <f>IF(ISNUMBER('Model_ of_individuals'!AA720), 'Model_ of_individuals'!AA720*'Model_ of_individuals'!$K720,"")</f>
        <v/>
      </c>
      <c r="AB700" s="492" t="str">
        <f>IF(ISNUMBER('Model_ of_individuals'!AB720), 'Model_ of_individuals'!AB720*'Model_ of_individuals'!$K720,"")</f>
        <v/>
      </c>
      <c r="AC700" s="492" t="str">
        <f>IF(ISNUMBER('Model_ of_individuals'!AC720), 'Model_ of_individuals'!AC720*'Model_ of_individuals'!$K720,"")</f>
        <v/>
      </c>
      <c r="AD700" s="492" t="str">
        <f>IF(ISNUMBER('Model_ of_individuals'!AD720), 'Model_ of_individuals'!AD720*'Model_ of_individuals'!$K720,"")</f>
        <v/>
      </c>
      <c r="AE700" s="492" t="str">
        <f>IF(ISNUMBER('Model_ of_individuals'!AE720), 'Model_ of_individuals'!AE720*'Model_ of_individuals'!$K720,"")</f>
        <v/>
      </c>
    </row>
    <row r="701" spans="1:31" x14ac:dyDescent="0.25">
      <c r="A701" s="518"/>
      <c r="B701" s="504"/>
      <c r="C701" s="521"/>
      <c r="D701" s="94" t="str">
        <f>IF(AND(C700&lt;&gt;"", 'Cost Inputs'!$G$158&lt;&gt;""), 'Cost Inputs'!$G$158, "")</f>
        <v/>
      </c>
      <c r="E701" s="94" t="str">
        <f>IF(AND(C700&lt;&gt;"", 'Cost Inputs'!$H$158&lt;&gt;""), 'Cost Inputs'!$H$158, "")</f>
        <v/>
      </c>
      <c r="F701" s="492"/>
      <c r="G701" s="102" t="str">
        <f t="shared" si="59"/>
        <v/>
      </c>
      <c r="H701" s="492"/>
      <c r="I701" s="102" t="str">
        <f>IF($C700&lt;&gt;"", IF(AND($E701&lt;&gt;"", H700&lt;&gt;""), H700/($E700*$E701), 0), "")</f>
        <v/>
      </c>
      <c r="J701" s="492" t="str">
        <f>IF(AND(C701&lt;&gt;"",('Cost Inputs'!$I$86+'Cost Inputs'!$J$86+'Cost Inputs'!$K$86)&gt;0), 'Cost Inputs'!$I$86+'Cost Inputs'!$J$86+'Cost Inputs'!$K$86, "")</f>
        <v/>
      </c>
      <c r="K701" s="102" t="str">
        <f>IF($C700&lt;&gt;"", IF(AND($E701&lt;&gt;"", J700&lt;&gt;""), J700/($E700*$E701), 0), "")</f>
        <v/>
      </c>
      <c r="L701" s="94"/>
      <c r="M701" s="103"/>
      <c r="V701" s="492" t="str">
        <f>IF(ISNUMBER('Model_ of_individuals'!V721), 'Model_ of_individuals'!V721*'Model_ of_individuals'!$K721,"")</f>
        <v/>
      </c>
      <c r="W701" s="492" t="str">
        <f>IF(ISNUMBER('Model_ of_individuals'!W721), 'Model_ of_individuals'!W721*'Model_ of_individuals'!$K721,"")</f>
        <v/>
      </c>
      <c r="X701" s="492" t="str">
        <f>IF(ISNUMBER('Model_ of_individuals'!X721), 'Model_ of_individuals'!X721*'Model_ of_individuals'!$K721,"")</f>
        <v/>
      </c>
      <c r="Y701" s="492" t="str">
        <f>IF(ISNUMBER('Model_ of_individuals'!Y721), 'Model_ of_individuals'!Y721*'Model_ of_individuals'!$K721,"")</f>
        <v/>
      </c>
      <c r="Z701" s="492" t="str">
        <f>IF(ISNUMBER('Model_ of_individuals'!Z721), 'Model_ of_individuals'!Z721*'Model_ of_individuals'!$K721,"")</f>
        <v/>
      </c>
      <c r="AA701" s="492" t="str">
        <f>IF(ISNUMBER('Model_ of_individuals'!AA721), 'Model_ of_individuals'!AA721*'Model_ of_individuals'!$K721,"")</f>
        <v/>
      </c>
      <c r="AB701" s="492" t="str">
        <f>IF(ISNUMBER('Model_ of_individuals'!AB721), 'Model_ of_individuals'!AB721*'Model_ of_individuals'!$K721,"")</f>
        <v/>
      </c>
      <c r="AC701" s="492" t="str">
        <f>IF(ISNUMBER('Model_ of_individuals'!AC721), 'Model_ of_individuals'!AC721*'Model_ of_individuals'!$K721,"")</f>
        <v/>
      </c>
      <c r="AD701" s="492" t="str">
        <f>IF(ISNUMBER('Model_ of_individuals'!AD721), 'Model_ of_individuals'!AD721*'Model_ of_individuals'!$K721,"")</f>
        <v/>
      </c>
      <c r="AE701" s="492" t="str">
        <f>IF(ISNUMBER('Model_ of_individuals'!AE721), 'Model_ of_individuals'!AE721*'Model_ of_individuals'!$K721,"")</f>
        <v/>
      </c>
    </row>
    <row r="702" spans="1:31" x14ac:dyDescent="0.25">
      <c r="A702" s="518"/>
      <c r="B702" s="504"/>
      <c r="C702" s="376" t="str">
        <f>IF(AND(ISNUMBER(B689), C700&lt;&gt;"", OR('Cost Inputs'!$H$159&lt;&gt;"", 'Cost Inputs'!$I$159&lt;&gt;"", 'Cost Inputs'!$J$159&lt;&gt;"")), _5_5_1, "")</f>
        <v/>
      </c>
      <c r="D702" s="17" t="str">
        <f>IF(AND(C702&lt;&gt;"", 'Cost Inputs'!$G$159&lt;&gt;""), 'Cost Inputs'!$G$159, "")</f>
        <v/>
      </c>
      <c r="E702" s="17" t="str">
        <f>IF(AND(C702&lt;&gt;"", 'Cost Inputs'!$H$159&lt;&gt;""), 'Cost Inputs'!$H$159, "")</f>
        <v/>
      </c>
      <c r="F702" s="493" t="str">
        <f>IF(AND(C702&lt;&gt;"", 'Cost Inputs'!$I$159&lt;&gt;""), 'Cost Inputs'!$I$159, "")</f>
        <v/>
      </c>
      <c r="G702" s="105" t="str">
        <f t="shared" si="59"/>
        <v/>
      </c>
      <c r="H702" s="493" t="str">
        <f>IF(AND(C702&lt;&gt;"", 'Cost Inputs'!$J$159&lt;&gt;""), 'Cost Inputs'!$J$159, "")</f>
        <v/>
      </c>
      <c r="I702" s="105" t="str">
        <f>IF($C702&lt;&gt;"",IF(AND($E702&lt;&gt;"",H702&lt;&gt;""), H702/$E702, 0),"")</f>
        <v/>
      </c>
      <c r="J702" s="493" t="str">
        <f>IF(AND(C702&lt;&gt;"",('Cost Inputs'!$I$159+'Cost Inputs'!$J$159+'Cost Inputs'!$K$159)&gt;0), 'Cost Inputs'!$I$159+'Cost Inputs'!$J$159+'Cost Inputs'!$K$159, "")</f>
        <v/>
      </c>
      <c r="K702" s="105" t="str">
        <f>IF($C702&lt;&gt;"",IF(AND($E702&lt;&gt;"",J702&lt;&gt;""), J702/$E702, 0),"")</f>
        <v/>
      </c>
      <c r="M702" s="106"/>
      <c r="V702" s="493" t="str">
        <f>IF(ISNUMBER('Model_ of_individuals'!V722), 'Model_ of_individuals'!V722*'Model_ of_individuals'!$K722,"")</f>
        <v/>
      </c>
      <c r="W702" s="493" t="str">
        <f>IF(ISNUMBER('Model_ of_individuals'!W722), 'Model_ of_individuals'!W722*'Model_ of_individuals'!$K722,"")</f>
        <v/>
      </c>
      <c r="X702" s="493" t="str">
        <f>IF(ISNUMBER('Model_ of_individuals'!X722), 'Model_ of_individuals'!X722*'Model_ of_individuals'!$K722,"")</f>
        <v/>
      </c>
      <c r="Y702" s="493" t="str">
        <f>IF(ISNUMBER('Model_ of_individuals'!Y722), 'Model_ of_individuals'!Y722*'Model_ of_individuals'!$K722,"")</f>
        <v/>
      </c>
      <c r="Z702" s="493" t="str">
        <f>IF(ISNUMBER('Model_ of_individuals'!Z722), 'Model_ of_individuals'!Z722*'Model_ of_individuals'!$K722,"")</f>
        <v/>
      </c>
      <c r="AA702" s="493" t="str">
        <f>IF(ISNUMBER('Model_ of_individuals'!AA722), 'Model_ of_individuals'!AA722*'Model_ of_individuals'!$K722,"")</f>
        <v/>
      </c>
      <c r="AB702" s="493" t="str">
        <f>IF(ISNUMBER('Model_ of_individuals'!AB722), 'Model_ of_individuals'!AB722*'Model_ of_individuals'!$K722,"")</f>
        <v/>
      </c>
      <c r="AC702" s="493" t="str">
        <f>IF(ISNUMBER('Model_ of_individuals'!AC722), 'Model_ of_individuals'!AC722*'Model_ of_individuals'!$K722,"")</f>
        <v/>
      </c>
      <c r="AD702" s="493" t="str">
        <f>IF(ISNUMBER('Model_ of_individuals'!AD722), 'Model_ of_individuals'!AD722*'Model_ of_individuals'!$K722,"")</f>
        <v/>
      </c>
      <c r="AE702" s="493" t="str">
        <f>IF(ISNUMBER('Model_ of_individuals'!AE722), 'Model_ of_individuals'!AE722*'Model_ of_individuals'!$K722,"")</f>
        <v/>
      </c>
    </row>
    <row r="703" spans="1:31" x14ac:dyDescent="0.25">
      <c r="A703" s="518"/>
      <c r="B703" s="504"/>
      <c r="C703" s="376" t="str">
        <f>IF(AND(ISNUMBER(B685), OR('Cost Inputs'!$H$85&lt;&gt;"", 'Cost Inputs'!$I$85&lt;&gt;"", 'Cost Inputs'!$J$85&lt;&gt;"")), _3_5_1, "")</f>
        <v/>
      </c>
      <c r="D703" s="17" t="str">
        <f>IF(AND(C702&lt;&gt;"", 'Cost Inputs'!$G$160&lt;&gt;""), 'Cost Inputs'!$G$160, "")</f>
        <v/>
      </c>
      <c r="E703" s="17" t="str">
        <f>IF(AND(C702&lt;&gt;"", 'Cost Inputs'!$H$160&lt;&gt;""), 'Cost Inputs'!$H$160, "")</f>
        <v/>
      </c>
      <c r="F703" s="493"/>
      <c r="G703" s="105" t="str">
        <f t="shared" si="59"/>
        <v/>
      </c>
      <c r="H703" s="493"/>
      <c r="I703" s="105" t="str">
        <f>IF($C702&lt;&gt;"", IF(AND($E703&lt;&gt;"", H702&lt;&gt;""), H702/($E702*$E703), 0), "")</f>
        <v/>
      </c>
      <c r="J703" s="493" t="str">
        <f>IF(AND(C703&lt;&gt;"",('Cost Inputs'!$I$86+'Cost Inputs'!$J$86+'Cost Inputs'!$K$86)&gt;0), 'Cost Inputs'!$I$86+'Cost Inputs'!$J$86+'Cost Inputs'!$K$86, "")</f>
        <v/>
      </c>
      <c r="K703" s="105" t="str">
        <f>IF($C702&lt;&gt;"", IF(AND($E703&lt;&gt;"", J702&lt;&gt;""), J702/($E702*$E703), 0), "")</f>
        <v/>
      </c>
      <c r="M703" s="106"/>
      <c r="V703" s="493" t="str">
        <f>IF(ISNUMBER('Model_ of_individuals'!V723), 'Model_ of_individuals'!V723*'Model_ of_individuals'!$K723,"")</f>
        <v/>
      </c>
      <c r="W703" s="493" t="str">
        <f>IF(ISNUMBER('Model_ of_individuals'!W723), 'Model_ of_individuals'!W723*'Model_ of_individuals'!$K723,"")</f>
        <v/>
      </c>
      <c r="X703" s="493" t="str">
        <f>IF(ISNUMBER('Model_ of_individuals'!X723), 'Model_ of_individuals'!X723*'Model_ of_individuals'!$K723,"")</f>
        <v/>
      </c>
      <c r="Y703" s="493" t="str">
        <f>IF(ISNUMBER('Model_ of_individuals'!Y723), 'Model_ of_individuals'!Y723*'Model_ of_individuals'!$K723,"")</f>
        <v/>
      </c>
      <c r="Z703" s="493" t="str">
        <f>IF(ISNUMBER('Model_ of_individuals'!Z723), 'Model_ of_individuals'!Z723*'Model_ of_individuals'!$K723,"")</f>
        <v/>
      </c>
      <c r="AA703" s="493" t="str">
        <f>IF(ISNUMBER('Model_ of_individuals'!AA723), 'Model_ of_individuals'!AA723*'Model_ of_individuals'!$K723,"")</f>
        <v/>
      </c>
      <c r="AB703" s="493" t="str">
        <f>IF(ISNUMBER('Model_ of_individuals'!AB723), 'Model_ of_individuals'!AB723*'Model_ of_individuals'!$K723,"")</f>
        <v/>
      </c>
      <c r="AC703" s="493" t="str">
        <f>IF(ISNUMBER('Model_ of_individuals'!AC723), 'Model_ of_individuals'!AC723*'Model_ of_individuals'!$K723,"")</f>
        <v/>
      </c>
      <c r="AD703" s="493" t="str">
        <f>IF(ISNUMBER('Model_ of_individuals'!AD723), 'Model_ of_individuals'!AD723*'Model_ of_individuals'!$K723,"")</f>
        <v/>
      </c>
      <c r="AE703" s="493" t="str">
        <f>IF(ISNUMBER('Model_ of_individuals'!AE723), 'Model_ of_individuals'!AE723*'Model_ of_individuals'!$K723,"")</f>
        <v/>
      </c>
    </row>
    <row r="704" spans="1:31" x14ac:dyDescent="0.25">
      <c r="A704" s="518"/>
      <c r="B704" s="504"/>
      <c r="C704" s="107" t="str">
        <f>IF(AND(ISNUMBER(B689), C700&lt;&gt;"", OR('Cost Inputs'!$H$161&lt;&gt;"", 'Cost Inputs'!$I$161&lt;&gt;"", 'Cost Inputs'!$J$161&lt;&gt;"")), _5_5_2, "")</f>
        <v/>
      </c>
      <c r="D704" s="93" t="str">
        <f>IF(AND(C704&lt;&gt;"", 'Cost Inputs'!$G$161&lt;&gt;""), 'Cost Inputs'!$G$161, "")</f>
        <v/>
      </c>
      <c r="E704" s="93" t="str">
        <f>IF(AND(C704&lt;&gt;"", 'Cost Inputs'!$H$161&lt;&gt;""), 'Cost Inputs'!$H$161, "")</f>
        <v/>
      </c>
      <c r="F704" s="93" t="str">
        <f>IF(AND(C704&lt;&gt;"", 'Cost Inputs'!$I$161&lt;&gt;""), 'Cost Inputs'!$I$161, "")</f>
        <v/>
      </c>
      <c r="G704" s="108" t="str">
        <f t="shared" si="59"/>
        <v/>
      </c>
      <c r="H704" s="93" t="str">
        <f>IF(AND(C704&lt;&gt;"", 'Cost Inputs'!$J$161&lt;&gt;""), 'Cost Inputs'!$J$161, "")</f>
        <v/>
      </c>
      <c r="I704" s="93" t="str">
        <f>IF($C704&lt;&gt;"", IF(AND($E704&lt;&gt;"", H704&lt;&gt;""), H704/$E704, 0),"")</f>
        <v/>
      </c>
      <c r="J704" s="93" t="str">
        <f>IF(AND(C704&lt;&gt;"",('Cost Inputs'!$I$161+'Cost Inputs'!$J$161+'Cost Inputs'!$K$161)&gt;0), 'Cost Inputs'!$I$161+'Cost Inputs'!$J$161+'Cost Inputs'!$K$161, "")</f>
        <v/>
      </c>
      <c r="K704" s="93" t="str">
        <f>IF($C704&lt;&gt;"", IF(AND($E704&lt;&gt;"", J704&lt;&gt;""), J704/$E704, 0),"")</f>
        <v/>
      </c>
      <c r="L704" s="93"/>
      <c r="M704" s="109"/>
      <c r="V704" s="93" t="str">
        <f>IF(ISNUMBER('Model_ of_individuals'!V724), 'Model_ of_individuals'!V724*'Model_ of_individuals'!$K724,"")</f>
        <v/>
      </c>
      <c r="W704" s="93" t="str">
        <f>IF(ISNUMBER('Model_ of_individuals'!W724), 'Model_ of_individuals'!W724*'Model_ of_individuals'!$K724,"")</f>
        <v/>
      </c>
      <c r="X704" s="93" t="str">
        <f>IF(ISNUMBER('Model_ of_individuals'!X724), 'Model_ of_individuals'!X724*'Model_ of_individuals'!$K724,"")</f>
        <v/>
      </c>
      <c r="Y704" s="93" t="str">
        <f>IF(ISNUMBER('Model_ of_individuals'!Y724), 'Model_ of_individuals'!Y724*'Model_ of_individuals'!$K724,"")</f>
        <v/>
      </c>
      <c r="Z704" s="93" t="str">
        <f>IF(ISNUMBER('Model_ of_individuals'!Z724), 'Model_ of_individuals'!Z724*'Model_ of_individuals'!$K724,"")</f>
        <v/>
      </c>
      <c r="AA704" s="93" t="str">
        <f>IF(ISNUMBER('Model_ of_individuals'!AA724), 'Model_ of_individuals'!AA724*'Model_ of_individuals'!$K724,"")</f>
        <v/>
      </c>
      <c r="AB704" s="93" t="str">
        <f>IF(ISNUMBER('Model_ of_individuals'!AB724), 'Model_ of_individuals'!AB724*'Model_ of_individuals'!$K724,"")</f>
        <v/>
      </c>
      <c r="AC704" s="93" t="str">
        <f>IF(ISNUMBER('Model_ of_individuals'!AC724), 'Model_ of_individuals'!AC724*'Model_ of_individuals'!$K724,"")</f>
        <v/>
      </c>
      <c r="AD704" s="93" t="str">
        <f>IF(ISNUMBER('Model_ of_individuals'!AD724), 'Model_ of_individuals'!AD724*'Model_ of_individuals'!$K724,"")</f>
        <v/>
      </c>
      <c r="AE704" s="93" t="str">
        <f>IF(ISNUMBER('Model_ of_individuals'!AE724), 'Model_ of_individuals'!AE724*'Model_ of_individuals'!$K724,"")</f>
        <v/>
      </c>
    </row>
    <row r="705" spans="1:32" x14ac:dyDescent="0.25">
      <c r="A705" s="518"/>
      <c r="B705" s="504"/>
      <c r="C705" s="104" t="str">
        <f>IF(AND(ISNUMBER(B689), C700&lt;&gt;"", OR('Cost Inputs'!$H$162&lt;&gt;"", 'Cost Inputs'!$I$162&lt;&gt;"", 'Cost Inputs'!$J$162&lt;&gt;"")), _5_5_3, "")</f>
        <v/>
      </c>
      <c r="D705" s="17" t="str">
        <f>IF(AND(C705&lt;&gt;"", 'Cost Inputs'!$G$162&lt;&gt;""), 'Cost Inputs'!$G$162, "")</f>
        <v/>
      </c>
      <c r="E705" s="17" t="str">
        <f>IF(AND(C705&lt;&gt;"", 'Cost Inputs'!$H$162&lt;&gt;""), 'Cost Inputs'!$H$162, "")</f>
        <v/>
      </c>
      <c r="F705" s="17" t="str">
        <f>IF(AND(C705&lt;&gt;"", 'Cost Inputs'!$I$162&lt;&gt;""), 'Cost Inputs'!$I$162, "")</f>
        <v/>
      </c>
      <c r="G705" s="105" t="str">
        <f t="shared" si="59"/>
        <v/>
      </c>
      <c r="H705" s="17" t="str">
        <f>IF(AND(C705&lt;&gt;"", 'Cost Inputs'!$J$162&lt;&gt;""), 'Cost Inputs'!$J$162, "")</f>
        <v/>
      </c>
      <c r="I705" s="17" t="str">
        <f>IF($C705&lt;&gt;"", IF(AND($E705&lt;&gt;"", H705&lt;&gt;""), H705/$E705, 0),"")</f>
        <v/>
      </c>
      <c r="J705" s="17" t="str">
        <f>IF(AND(C705&lt;&gt;"",('Cost Inputs'!$I$162+'Cost Inputs'!$J$162+'Cost Inputs'!$K$162)&gt;0), 'Cost Inputs'!$I$162+'Cost Inputs'!$J$162+'Cost Inputs'!$K$162, "")</f>
        <v/>
      </c>
      <c r="K705" s="17" t="str">
        <f>IF($C705&lt;&gt;"", IF(AND($E705&lt;&gt;"", J705&lt;&gt;""), J705/$E705, 0),"")</f>
        <v/>
      </c>
      <c r="M705" s="106"/>
      <c r="V705" s="17" t="str">
        <f>IF(ISNUMBER('Model_ of_individuals'!V725), 'Model_ of_individuals'!V725*'Model_ of_individuals'!$K725,"")</f>
        <v/>
      </c>
      <c r="W705" s="17" t="str">
        <f>IF(ISNUMBER('Model_ of_individuals'!W725), 'Model_ of_individuals'!W725*'Model_ of_individuals'!$K725,"")</f>
        <v/>
      </c>
      <c r="X705" s="17" t="str">
        <f>IF(ISNUMBER('Model_ of_individuals'!X725), 'Model_ of_individuals'!X725*'Model_ of_individuals'!$K725,"")</f>
        <v/>
      </c>
      <c r="Y705" s="17" t="str">
        <f>IF(ISNUMBER('Model_ of_individuals'!Y725), 'Model_ of_individuals'!Y725*'Model_ of_individuals'!$K725,"")</f>
        <v/>
      </c>
      <c r="Z705" s="17" t="str">
        <f>IF(ISNUMBER('Model_ of_individuals'!Z725), 'Model_ of_individuals'!Z725*'Model_ of_individuals'!$K725,"")</f>
        <v/>
      </c>
      <c r="AA705" s="17" t="str">
        <f>IF(ISNUMBER('Model_ of_individuals'!AA725), 'Model_ of_individuals'!AA725*'Model_ of_individuals'!$K725,"")</f>
        <v/>
      </c>
      <c r="AB705" s="17" t="str">
        <f>IF(ISNUMBER('Model_ of_individuals'!AB725), 'Model_ of_individuals'!AB725*'Model_ of_individuals'!$K725,"")</f>
        <v/>
      </c>
      <c r="AC705" s="17" t="str">
        <f>IF(ISNUMBER('Model_ of_individuals'!AC725), 'Model_ of_individuals'!AC725*'Model_ of_individuals'!$K725,"")</f>
        <v/>
      </c>
      <c r="AD705" s="17" t="str">
        <f>IF(ISNUMBER('Model_ of_individuals'!AD725), 'Model_ of_individuals'!AD725*'Model_ of_individuals'!$K725,"")</f>
        <v/>
      </c>
      <c r="AE705" s="17" t="str">
        <f>IF(ISNUMBER('Model_ of_individuals'!AE725), 'Model_ of_individuals'!AE725*'Model_ of_individuals'!$K725,"")</f>
        <v/>
      </c>
    </row>
    <row r="706" spans="1:32" x14ac:dyDescent="0.25">
      <c r="A706" s="518"/>
      <c r="B706" s="504"/>
      <c r="C706" s="107" t="str">
        <f>IF(AND(ISNUMBER(B689), C700&lt;&gt;"", OR('Cost Inputs'!$H$163&lt;&gt;"", 'Cost Inputs'!$I$163&lt;&gt;"", 'Cost Inputs'!$J$163&lt;&gt;"")), _5_5_4, "")</f>
        <v/>
      </c>
      <c r="D706" s="93" t="str">
        <f>IF(AND(C706&lt;&gt;"", 'Cost Inputs'!$G$163&lt;&gt;""), 'Cost Inputs'!$G$163, "")</f>
        <v/>
      </c>
      <c r="E706" s="93" t="str">
        <f>IF(AND(C706&lt;&gt;"", 'Cost Inputs'!$H$163&lt;&gt;""), 'Cost Inputs'!$H$163, "")</f>
        <v/>
      </c>
      <c r="F706" s="93" t="str">
        <f>IF(AND(C706&lt;&gt;"", 'Cost Inputs'!$I$163&lt;&gt;""), 'Cost Inputs'!$I$163, "")</f>
        <v/>
      </c>
      <c r="G706" s="108" t="str">
        <f t="shared" si="59"/>
        <v/>
      </c>
      <c r="H706" s="93" t="str">
        <f>IF(AND(C706&lt;&gt;"", 'Cost Inputs'!$J$163&lt;&gt;""), 'Cost Inputs'!$J$163, "")</f>
        <v/>
      </c>
      <c r="I706" s="93" t="str">
        <f>IF($C706&lt;&gt;"", IF(AND($E706&lt;&gt;"", H706&lt;&gt;""), H706/$E706, 0),"")</f>
        <v/>
      </c>
      <c r="J706" s="93" t="str">
        <f>IF(AND(C706&lt;&gt;"",('Cost Inputs'!$I$163+'Cost Inputs'!$J$163+'Cost Inputs'!$K$163)&gt;0), 'Cost Inputs'!$I$163+'Cost Inputs'!$J$163+'Cost Inputs'!$K$163, "")</f>
        <v/>
      </c>
      <c r="K706" s="93" t="str">
        <f>IF($C706&lt;&gt;"", IF(AND($E706&lt;&gt;"", J706&lt;&gt;""), J706/$E706, 0),"")</f>
        <v/>
      </c>
      <c r="L706" s="93"/>
      <c r="M706" s="109"/>
      <c r="V706" s="93" t="str">
        <f>IF(ISNUMBER('Model_ of_individuals'!V726), 'Model_ of_individuals'!V726*'Model_ of_individuals'!$K726,"")</f>
        <v/>
      </c>
      <c r="W706" s="93" t="str">
        <f>IF(ISNUMBER('Model_ of_individuals'!W726), 'Model_ of_individuals'!W726*'Model_ of_individuals'!$K726,"")</f>
        <v/>
      </c>
      <c r="X706" s="93" t="str">
        <f>IF(ISNUMBER('Model_ of_individuals'!X726), 'Model_ of_individuals'!X726*'Model_ of_individuals'!$K726,"")</f>
        <v/>
      </c>
      <c r="Y706" s="93" t="str">
        <f>IF(ISNUMBER('Model_ of_individuals'!Y726), 'Model_ of_individuals'!Y726*'Model_ of_individuals'!$K726,"")</f>
        <v/>
      </c>
      <c r="Z706" s="93" t="str">
        <f>IF(ISNUMBER('Model_ of_individuals'!Z726), 'Model_ of_individuals'!Z726*'Model_ of_individuals'!$K726,"")</f>
        <v/>
      </c>
      <c r="AA706" s="93" t="str">
        <f>IF(ISNUMBER('Model_ of_individuals'!AA726), 'Model_ of_individuals'!AA726*'Model_ of_individuals'!$K726,"")</f>
        <v/>
      </c>
      <c r="AB706" s="93" t="str">
        <f>IF(ISNUMBER('Model_ of_individuals'!AB726), 'Model_ of_individuals'!AB726*'Model_ of_individuals'!$K726,"")</f>
        <v/>
      </c>
      <c r="AC706" s="93" t="str">
        <f>IF(ISNUMBER('Model_ of_individuals'!AC726), 'Model_ of_individuals'!AC726*'Model_ of_individuals'!$K726,"")</f>
        <v/>
      </c>
      <c r="AD706" s="93" t="str">
        <f>IF(ISNUMBER('Model_ of_individuals'!AD726), 'Model_ of_individuals'!AD726*'Model_ of_individuals'!$K726,"")</f>
        <v/>
      </c>
      <c r="AE706" s="93" t="str">
        <f>IF(ISNUMBER('Model_ of_individuals'!AE726), 'Model_ of_individuals'!AE726*'Model_ of_individuals'!$K726,"")</f>
        <v/>
      </c>
    </row>
    <row r="707" spans="1:32" x14ac:dyDescent="0.25">
      <c r="A707" s="518"/>
      <c r="B707" s="504"/>
      <c r="C707" s="104" t="str">
        <f>IF(AND(ISNUMBER(B689), C700&lt;&gt;"", OR('Cost Inputs'!$H$164&lt;&gt;"", 'Cost Inputs'!$I$164&lt;&gt;"", 'Cost Inputs'!$J$164&lt;&gt;"")), _5_5_5, "")</f>
        <v/>
      </c>
      <c r="D707" s="17" t="str">
        <f>IF(AND(C707&lt;&gt;"", 'Cost Inputs'!$G$164&lt;&gt;""), 'Cost Inputs'!$G$164, "")</f>
        <v/>
      </c>
      <c r="E707" s="17" t="str">
        <f>IF(AND(C707&lt;&gt;"", 'Cost Inputs'!$H$164&lt;&gt;""), 'Cost Inputs'!$H$164, "")</f>
        <v/>
      </c>
      <c r="F707" s="17" t="str">
        <f>IF(AND(C707&lt;&gt;"", 'Cost Inputs'!$I$164&lt;&gt;""), 'Cost Inputs'!$I$164, "")</f>
        <v/>
      </c>
      <c r="G707" s="105" t="str">
        <f t="shared" si="59"/>
        <v/>
      </c>
      <c r="H707" s="17" t="str">
        <f>IF(AND(C707&lt;&gt;"", 'Cost Inputs'!$J$164&lt;&gt;""), 'Cost Inputs'!$J$164, "")</f>
        <v/>
      </c>
      <c r="I707" s="17" t="str">
        <f>IF($C707&lt;&gt;"", IF(AND($E707&lt;&gt;"", H707&lt;&gt;""), H707/$E707, 0),"")</f>
        <v/>
      </c>
      <c r="J707" s="17" t="str">
        <f>IF(AND(C707&lt;&gt;"",('Cost Inputs'!$I$164+'Cost Inputs'!$J$164+'Cost Inputs'!$K$164)&gt;0), 'Cost Inputs'!$I$164+'Cost Inputs'!$J$164+'Cost Inputs'!$K$164, "")</f>
        <v/>
      </c>
      <c r="K707" s="17" t="str">
        <f>IF($C707&lt;&gt;"", IF(AND($E707&lt;&gt;"", J707&lt;&gt;""), J707/$E707, 0),"")</f>
        <v/>
      </c>
      <c r="M707" s="106"/>
      <c r="V707" s="17" t="str">
        <f>IF(ISNUMBER('Model_ of_individuals'!V727), 'Model_ of_individuals'!V727*'Model_ of_individuals'!$K727,"")</f>
        <v/>
      </c>
      <c r="W707" s="17" t="str">
        <f>IF(ISNUMBER('Model_ of_individuals'!W727), 'Model_ of_individuals'!W727*'Model_ of_individuals'!$K727,"")</f>
        <v/>
      </c>
      <c r="X707" s="17" t="str">
        <f>IF(ISNUMBER('Model_ of_individuals'!X727), 'Model_ of_individuals'!X727*'Model_ of_individuals'!$K727,"")</f>
        <v/>
      </c>
      <c r="Y707" s="17" t="str">
        <f>IF(ISNUMBER('Model_ of_individuals'!Y727), 'Model_ of_individuals'!Y727*'Model_ of_individuals'!$K727,"")</f>
        <v/>
      </c>
      <c r="Z707" s="17" t="str">
        <f>IF(ISNUMBER('Model_ of_individuals'!Z727), 'Model_ of_individuals'!Z727*'Model_ of_individuals'!$K727,"")</f>
        <v/>
      </c>
      <c r="AA707" s="17" t="str">
        <f>IF(ISNUMBER('Model_ of_individuals'!AA727), 'Model_ of_individuals'!AA727*'Model_ of_individuals'!$K727,"")</f>
        <v/>
      </c>
      <c r="AB707" s="17" t="str">
        <f>IF(ISNUMBER('Model_ of_individuals'!AB727), 'Model_ of_individuals'!AB727*'Model_ of_individuals'!$K727,"")</f>
        <v/>
      </c>
      <c r="AC707" s="17" t="str">
        <f>IF(ISNUMBER('Model_ of_individuals'!AC727), 'Model_ of_individuals'!AC727*'Model_ of_individuals'!$K727,"")</f>
        <v/>
      </c>
      <c r="AD707" s="17" t="str">
        <f>IF(ISNUMBER('Model_ of_individuals'!AD727), 'Model_ of_individuals'!AD727*'Model_ of_individuals'!$K727,"")</f>
        <v/>
      </c>
      <c r="AE707" s="17" t="str">
        <f>IF(ISNUMBER('Model_ of_individuals'!AE727), 'Model_ of_individuals'!AE727*'Model_ of_individuals'!$K727,"")</f>
        <v/>
      </c>
    </row>
    <row r="708" spans="1:32" x14ac:dyDescent="0.25">
      <c r="A708" s="518"/>
      <c r="B708" s="504"/>
      <c r="C708" s="110" t="str">
        <f>IF(ISNUMBER(B689), _5_6_0, "")</f>
        <v/>
      </c>
      <c r="D708" s="94" t="str">
        <f>IF(AND(C708&lt;&gt;"", 'Cost Inputs'!$G$165&lt;&gt;""), 'Cost Inputs'!$G$165, "")</f>
        <v/>
      </c>
      <c r="E708" s="94" t="str">
        <f>IF(AND(C708&lt;&gt;"", 'Cost Inputs'!$H$165&lt;&gt;""), 'Cost Inputs'!$H$165, "")</f>
        <v/>
      </c>
      <c r="F708" s="94" t="str">
        <f>IF(AND(C708&lt;&gt;"", 'Cost Inputs'!$I$165&lt;&gt;""), 'Cost Inputs'!$I$165, "")</f>
        <v/>
      </c>
      <c r="G708" s="102" t="str">
        <f t="shared" si="59"/>
        <v/>
      </c>
      <c r="H708" s="94" t="str">
        <f>IF(AND(C708&lt;&gt;"", 'Cost Inputs'!$J$165&lt;&gt;""), 'Cost Inputs'!$J$165, "")</f>
        <v/>
      </c>
      <c r="I708" s="102" t="str">
        <f>IF($C708&lt;&gt;"",IF(AND($E708&lt;&gt;"",H708&lt;&gt;""), H708/$E708, 0),"")</f>
        <v/>
      </c>
      <c r="J708" s="94" t="str">
        <f>IF(AND(C708&lt;&gt;"",('Cost Inputs'!$I$165+'Cost Inputs'!$J$165+'Cost Inputs'!$K$165)&gt;0), 'Cost Inputs'!$I$165+'Cost Inputs'!$J$165+'Cost Inputs'!$K$165, "")</f>
        <v/>
      </c>
      <c r="K708" s="102" t="str">
        <f>IF($C708&lt;&gt;"",IF(AND($E708&lt;&gt;"",J708&lt;&gt;""), J708/$E708, 0),"")</f>
        <v/>
      </c>
      <c r="L708" s="94"/>
      <c r="M708" s="103"/>
      <c r="V708" s="94" t="str">
        <f>IF(ISNUMBER('Model_ of_individuals'!V728), 'Model_ of_individuals'!V728*'Model_ of_individuals'!$K728,"")</f>
        <v/>
      </c>
      <c r="W708" s="94" t="str">
        <f>IF(ISNUMBER('Model_ of_individuals'!W728), 'Model_ of_individuals'!W728*'Model_ of_individuals'!$K728,"")</f>
        <v/>
      </c>
      <c r="X708" s="94" t="str">
        <f>IF(ISNUMBER('Model_ of_individuals'!X728), 'Model_ of_individuals'!X728*'Model_ of_individuals'!$K728,"")</f>
        <v/>
      </c>
      <c r="Y708" s="94" t="str">
        <f>IF(ISNUMBER('Model_ of_individuals'!Y728), 'Model_ of_individuals'!Y728*'Model_ of_individuals'!$K728,"")</f>
        <v/>
      </c>
      <c r="Z708" s="94" t="str">
        <f>IF(ISNUMBER('Model_ of_individuals'!Z728), 'Model_ of_individuals'!Z728*'Model_ of_individuals'!$K728,"")</f>
        <v/>
      </c>
      <c r="AA708" s="94" t="str">
        <f>IF(ISNUMBER('Model_ of_individuals'!AA728), 'Model_ of_individuals'!AA728*'Model_ of_individuals'!$K728,"")</f>
        <v/>
      </c>
      <c r="AB708" s="94" t="str">
        <f>IF(ISNUMBER('Model_ of_individuals'!AB728), 'Model_ of_individuals'!AB728*'Model_ of_individuals'!$K728,"")</f>
        <v/>
      </c>
      <c r="AC708" s="94" t="str">
        <f>IF(ISNUMBER('Model_ of_individuals'!AC728), 'Model_ of_individuals'!AC728*'Model_ of_individuals'!$K728,"")</f>
        <v/>
      </c>
      <c r="AD708" s="94" t="str">
        <f>IF(ISNUMBER('Model_ of_individuals'!AD728), 'Model_ of_individuals'!AD728*'Model_ of_individuals'!$K728,"")</f>
        <v/>
      </c>
      <c r="AE708" s="94" t="str">
        <f>IF(ISNUMBER('Model_ of_individuals'!AE728), 'Model_ of_individuals'!AE728*'Model_ of_individuals'!$K728,"")</f>
        <v/>
      </c>
    </row>
    <row r="709" spans="1:32" x14ac:dyDescent="0.25">
      <c r="A709" s="518"/>
      <c r="B709" s="504"/>
      <c r="C709" s="104" t="str">
        <f>IF(AND(ISNUMBER(B689), OR('Cost Inputs'!$H$166&lt;&gt;"", 'Cost Inputs'!$I$166&lt;&gt;"", 'Cost Inputs'!$J$166&lt;&gt;"")), _5_6_1, "")</f>
        <v/>
      </c>
      <c r="D709" s="17" t="str">
        <f>IF(AND(C709&lt;&gt;"", 'Cost Inputs'!$G$166&lt;&gt;""), 'Cost Inputs'!$G$166, "")</f>
        <v/>
      </c>
      <c r="E709" s="17" t="str">
        <f>IF(AND(C709&lt;&gt;"", 'Cost Inputs'!$H$166&lt;&gt;""), 'Cost Inputs'!$H$166, "")</f>
        <v/>
      </c>
      <c r="F709" s="17" t="str">
        <f>IF(AND(C709&lt;&gt;"", 'Cost Inputs'!$I$166&lt;&gt;""), 'Cost Inputs'!$I$166, "")</f>
        <v/>
      </c>
      <c r="G709" s="105" t="str">
        <f t="shared" si="59"/>
        <v/>
      </c>
      <c r="H709" s="17" t="str">
        <f>IF(AND(C709&lt;&gt;"", 'Cost Inputs'!$J$166&lt;&gt;""), 'Cost Inputs'!$J$166, "")</f>
        <v/>
      </c>
      <c r="I709" s="17" t="str">
        <f>IF($C709&lt;&gt;"", IF(AND($E709&lt;&gt;"", H709&lt;&gt;""), H709/$E709, 0),"")</f>
        <v/>
      </c>
      <c r="J709" s="17" t="str">
        <f>IF(AND(C709&lt;&gt;"",('Cost Inputs'!$I$166+'Cost Inputs'!$J$166+'Cost Inputs'!$K$166)&gt;0), 'Cost Inputs'!$I$166+'Cost Inputs'!$J$166+'Cost Inputs'!$K$166, "")</f>
        <v/>
      </c>
      <c r="K709" s="17" t="str">
        <f>IF($C709&lt;&gt;"", IF(AND($E709&lt;&gt;"", J709&lt;&gt;""), J709/$E709, 0),"")</f>
        <v/>
      </c>
      <c r="M709" s="106"/>
      <c r="V709" s="17" t="str">
        <f>IF(ISNUMBER('Model_ of_individuals'!V729), 'Model_ of_individuals'!V729*'Model_ of_individuals'!$K729,"")</f>
        <v/>
      </c>
      <c r="W709" s="17" t="str">
        <f>IF(ISNUMBER('Model_ of_individuals'!W729), 'Model_ of_individuals'!W729*'Model_ of_individuals'!$K729,"")</f>
        <v/>
      </c>
      <c r="X709" s="17" t="str">
        <f>IF(ISNUMBER('Model_ of_individuals'!X729), 'Model_ of_individuals'!X729*'Model_ of_individuals'!$K729,"")</f>
        <v/>
      </c>
      <c r="Y709" s="17" t="str">
        <f>IF(ISNUMBER('Model_ of_individuals'!Y729), 'Model_ of_individuals'!Y729*'Model_ of_individuals'!$K729,"")</f>
        <v/>
      </c>
      <c r="Z709" s="17" t="str">
        <f>IF(ISNUMBER('Model_ of_individuals'!Z729), 'Model_ of_individuals'!Z729*'Model_ of_individuals'!$K729,"")</f>
        <v/>
      </c>
      <c r="AA709" s="17" t="str">
        <f>IF(ISNUMBER('Model_ of_individuals'!AA729), 'Model_ of_individuals'!AA729*'Model_ of_individuals'!$K729,"")</f>
        <v/>
      </c>
      <c r="AB709" s="17" t="str">
        <f>IF(ISNUMBER('Model_ of_individuals'!AB729), 'Model_ of_individuals'!AB729*'Model_ of_individuals'!$K729,"")</f>
        <v/>
      </c>
      <c r="AC709" s="17" t="str">
        <f>IF(ISNUMBER('Model_ of_individuals'!AC729), 'Model_ of_individuals'!AC729*'Model_ of_individuals'!$K729,"")</f>
        <v/>
      </c>
      <c r="AD709" s="17" t="str">
        <f>IF(ISNUMBER('Model_ of_individuals'!AD729), 'Model_ of_individuals'!AD729*'Model_ of_individuals'!$K729,"")</f>
        <v/>
      </c>
      <c r="AE709" s="17" t="str">
        <f>IF(ISNUMBER('Model_ of_individuals'!AE729), 'Model_ of_individuals'!AE729*'Model_ of_individuals'!$K729,"")</f>
        <v/>
      </c>
    </row>
    <row r="710" spans="1:32" ht="15.75" thickBot="1" x14ac:dyDescent="0.3">
      <c r="A710" s="518"/>
      <c r="B710" s="505"/>
      <c r="C710" s="111" t="str">
        <f>IF(AND(ISNUMBER(B689), OR('Cost Inputs'!$H$167&lt;&gt;"", 'Cost Inputs'!$I$167&lt;&gt;"", 'Cost Inputs'!$J$167&lt;&gt;"")), _5_6_2, "")</f>
        <v/>
      </c>
      <c r="D710" s="95" t="str">
        <f>IF(AND(C710&lt;&gt;"", 'Cost Inputs'!$G$167&lt;&gt;""), 'Cost Inputs'!$G$167, "")</f>
        <v/>
      </c>
      <c r="E710" s="95" t="str">
        <f>IF(AND(C710&lt;&gt;"", 'Cost Inputs'!$H$167&lt;&gt;""), 'Cost Inputs'!$H$167, "")</f>
        <v/>
      </c>
      <c r="F710" s="95" t="str">
        <f>IF(AND(C710&lt;&gt;"", 'Cost Inputs'!$I$167&lt;&gt;""), 'Cost Inputs'!$I$167, "")</f>
        <v/>
      </c>
      <c r="G710" s="112" t="str">
        <f t="shared" si="59"/>
        <v/>
      </c>
      <c r="H710" s="95" t="str">
        <f>IF(AND(C710&lt;&gt;"", 'Cost Inputs'!$J$167&lt;&gt;""), 'Cost Inputs'!$J$167, "")</f>
        <v/>
      </c>
      <c r="I710" s="95" t="str">
        <f>IF($C710&lt;&gt;"", IF(AND($E710&lt;&gt;"", H710&lt;&gt;""), H710/$E710, 0),"")</f>
        <v/>
      </c>
      <c r="J710" s="95" t="str">
        <f>IF(AND(C710&lt;&gt;"",('Cost Inputs'!$I$167+'Cost Inputs'!$J$167+'Cost Inputs'!$K$167)&gt;0), 'Cost Inputs'!$I$167+'Cost Inputs'!$J$167+'Cost Inputs'!$K$167, "")</f>
        <v/>
      </c>
      <c r="K710" s="95" t="str">
        <f>IF($C710&lt;&gt;"", IF(AND($E710&lt;&gt;"", J710&lt;&gt;""), J710/$E710, 0),"")</f>
        <v/>
      </c>
      <c r="L710" s="95"/>
      <c r="M710" s="113"/>
      <c r="V710" s="95" t="str">
        <f>IF(ISNUMBER('Model_ of_individuals'!V730), 'Model_ of_individuals'!V730*'Model_ of_individuals'!$K730,"")</f>
        <v/>
      </c>
      <c r="W710" s="95" t="str">
        <f>IF(ISNUMBER('Model_ of_individuals'!W730), 'Model_ of_individuals'!W730*'Model_ of_individuals'!$K730,"")</f>
        <v/>
      </c>
      <c r="X710" s="95" t="str">
        <f>IF(ISNUMBER('Model_ of_individuals'!X730), 'Model_ of_individuals'!X730*'Model_ of_individuals'!$K730,"")</f>
        <v/>
      </c>
      <c r="Y710" s="95" t="str">
        <f>IF(ISNUMBER('Model_ of_individuals'!Y730), 'Model_ of_individuals'!Y730*'Model_ of_individuals'!$K730,"")</f>
        <v/>
      </c>
      <c r="Z710" s="95" t="str">
        <f>IF(ISNUMBER('Model_ of_individuals'!Z730), 'Model_ of_individuals'!Z730*'Model_ of_individuals'!$K730,"")</f>
        <v/>
      </c>
      <c r="AA710" s="95" t="str">
        <f>IF(ISNUMBER('Model_ of_individuals'!AA730), 'Model_ of_individuals'!AA730*'Model_ of_individuals'!$K730,"")</f>
        <v/>
      </c>
      <c r="AB710" s="95" t="str">
        <f>IF(ISNUMBER('Model_ of_individuals'!AB730), 'Model_ of_individuals'!AB730*'Model_ of_individuals'!$K730,"")</f>
        <v/>
      </c>
      <c r="AC710" s="95" t="str">
        <f>IF(ISNUMBER('Model_ of_individuals'!AC730), 'Model_ of_individuals'!AC730*'Model_ of_individuals'!$K730,"")</f>
        <v/>
      </c>
      <c r="AD710" s="95" t="str">
        <f>IF(ISNUMBER('Model_ of_individuals'!AD730), 'Model_ of_individuals'!AD730*'Model_ of_individuals'!$K730,"")</f>
        <v/>
      </c>
      <c r="AE710" s="95" t="str">
        <f>IF(ISNUMBER('Model_ of_individuals'!AE730), 'Model_ of_individuals'!AE730*'Model_ of_individuals'!$K730,"")</f>
        <v/>
      </c>
    </row>
    <row r="711" spans="1:32" x14ac:dyDescent="0.25">
      <c r="A711" s="518" t="str">
        <f>Fifth_Stage</f>
        <v>Stage 3 Clonal Replication with Increased Repetitions</v>
      </c>
      <c r="B711" s="503" t="str">
        <f>'Breeding Inputs'!B109</f>
        <v/>
      </c>
      <c r="C711" s="520" t="str">
        <f>IF(ISNUMBER(B711), _5_3_0, "")</f>
        <v/>
      </c>
      <c r="D711" s="92" t="str">
        <f>IF(AND(C711&lt;&gt;"", 'Cost Inputs'!$G$146&lt;&gt;""), 'Cost Inputs'!$G$146, "")</f>
        <v/>
      </c>
      <c r="E711" s="92" t="str">
        <f>IF(AND(C711&lt;&gt;"", 'Cost Inputs'!$H$146&lt;&gt;""), 'Cost Inputs'!$H$146, "")</f>
        <v/>
      </c>
      <c r="F711" s="522" t="str">
        <f>IF(AND(C711&lt;&gt;"", 'Cost Inputs'!$I$146&lt;&gt;""), 'Cost Inputs'!$I$146, "")</f>
        <v/>
      </c>
      <c r="G711" s="100" t="str">
        <f t="shared" si="59"/>
        <v/>
      </c>
      <c r="H711" s="522" t="str">
        <f>IF(AND(C711&lt;&gt;"", 'Cost Inputs'!$J$146&lt;&gt;""), 'Cost Inputs'!$J$146, "")</f>
        <v/>
      </c>
      <c r="I711" s="100" t="str">
        <f>IF($C711&lt;&gt;"",IF(AND($E711&lt;&gt;"",H711&lt;&gt;""), H711/$E711, 0),"")</f>
        <v/>
      </c>
      <c r="J711" s="522" t="str">
        <f>IF(AND(C711&lt;&gt;"",('Cost Inputs'!$I$146+'Cost Inputs'!$J$146+'Cost Inputs'!$K$146)&gt;0), 'Cost Inputs'!$I$146+'Cost Inputs'!$J$146+'Cost Inputs'!$K$146, "")</f>
        <v/>
      </c>
      <c r="K711" s="100" t="str">
        <f>IF($C711&lt;&gt;"",IF(AND($E711&lt;&gt;"",J711&lt;&gt;""), J711/$E711, 0),"")</f>
        <v/>
      </c>
      <c r="L711" s="92"/>
      <c r="M711" s="101"/>
      <c r="W711" s="492" t="str">
        <f>IF(ISNUMBER('Model_ of_individuals'!W731), 'Model_ of_individuals'!W731*'Model_ of_individuals'!$K731,"")</f>
        <v/>
      </c>
      <c r="X711" s="492" t="str">
        <f>IF(ISNUMBER('Model_ of_individuals'!X731), 'Model_ of_individuals'!X731*'Model_ of_individuals'!$K731,"")</f>
        <v/>
      </c>
      <c r="Y711" s="492" t="str">
        <f>IF(ISNUMBER('Model_ of_individuals'!Y731), 'Model_ of_individuals'!Y731*'Model_ of_individuals'!$K731,"")</f>
        <v/>
      </c>
      <c r="Z711" s="492" t="str">
        <f>IF(ISNUMBER('Model_ of_individuals'!Z731), 'Model_ of_individuals'!Z731*'Model_ of_individuals'!$K731,"")</f>
        <v/>
      </c>
      <c r="AA711" s="492" t="str">
        <f>IF(ISNUMBER('Model_ of_individuals'!AA731), 'Model_ of_individuals'!AA731*'Model_ of_individuals'!$K731,"")</f>
        <v/>
      </c>
      <c r="AB711" s="492" t="str">
        <f>IF(ISNUMBER('Model_ of_individuals'!AB731), 'Model_ of_individuals'!AB731*'Model_ of_individuals'!$K731,"")</f>
        <v/>
      </c>
      <c r="AC711" s="492" t="str">
        <f>IF(ISNUMBER('Model_ of_individuals'!AC731), 'Model_ of_individuals'!AC731*'Model_ of_individuals'!$K731,"")</f>
        <v/>
      </c>
      <c r="AD711" s="492" t="str">
        <f>IF(ISNUMBER('Model_ of_individuals'!AD731), 'Model_ of_individuals'!AD731*'Model_ of_individuals'!$K731,"")</f>
        <v/>
      </c>
      <c r="AE711" s="492" t="str">
        <f>IF(ISNUMBER('Model_ of_individuals'!AE731), 'Model_ of_individuals'!AE731*'Model_ of_individuals'!$K731,"")</f>
        <v/>
      </c>
      <c r="AF711" s="492" t="str">
        <f>IF(ISNUMBER('Model_ of_individuals'!AF731), 'Model_ of_individuals'!AF731*'Model_ of_individuals'!$K731,"")</f>
        <v/>
      </c>
    </row>
    <row r="712" spans="1:32" x14ac:dyDescent="0.25">
      <c r="A712" s="518"/>
      <c r="B712" s="504"/>
      <c r="C712" s="521"/>
      <c r="D712" s="94" t="str">
        <f>IF(AND(C711&lt;&gt;"", 'Cost Inputs'!$G$147&lt;&gt;""), 'Cost Inputs'!$G$147, "")</f>
        <v/>
      </c>
      <c r="E712" s="94" t="str">
        <f>IF(AND(C711&lt;&gt;"", 'Cost Inputs'!$H$147&lt;&gt;""), 'Cost Inputs'!$H$147, "")</f>
        <v/>
      </c>
      <c r="F712" s="492"/>
      <c r="G712" s="102" t="str">
        <f t="shared" si="59"/>
        <v/>
      </c>
      <c r="H712" s="492"/>
      <c r="I712" s="102" t="str">
        <f>IF($C711&lt;&gt;"", IF(AND($E712&lt;&gt;"", H711&lt;&gt;""), H711/($E711*$E712), 0), "")</f>
        <v/>
      </c>
      <c r="J712" s="492" t="str">
        <f>IF(AND(C712&lt;&gt;"",('Cost Inputs'!$I$86+'Cost Inputs'!$J$86+'Cost Inputs'!$K$86)&gt;0), 'Cost Inputs'!$I$86+'Cost Inputs'!$J$86+'Cost Inputs'!$K$86, "")</f>
        <v/>
      </c>
      <c r="K712" s="102" t="str">
        <f>IF($C711&lt;&gt;"", IF(AND($E712&lt;&gt;"", J711&lt;&gt;""), J711/($E711*$E712), 0), "")</f>
        <v/>
      </c>
      <c r="L712" s="94"/>
      <c r="M712" s="103"/>
      <c r="W712" s="492" t="str">
        <f>IF(ISNUMBER('Model_ of_individuals'!W732), 'Model_ of_individuals'!W732*'Model_ of_individuals'!$K732,"")</f>
        <v/>
      </c>
      <c r="X712" s="492" t="str">
        <f>IF(ISNUMBER('Model_ of_individuals'!X732), 'Model_ of_individuals'!X732*'Model_ of_individuals'!$K732,"")</f>
        <v/>
      </c>
      <c r="Y712" s="492" t="str">
        <f>IF(ISNUMBER('Model_ of_individuals'!Y732), 'Model_ of_individuals'!Y732*'Model_ of_individuals'!$K732,"")</f>
        <v/>
      </c>
      <c r="Z712" s="492" t="str">
        <f>IF(ISNUMBER('Model_ of_individuals'!Z732), 'Model_ of_individuals'!Z732*'Model_ of_individuals'!$K732,"")</f>
        <v/>
      </c>
      <c r="AA712" s="492" t="str">
        <f>IF(ISNUMBER('Model_ of_individuals'!AA732), 'Model_ of_individuals'!AA732*'Model_ of_individuals'!$K732,"")</f>
        <v/>
      </c>
      <c r="AB712" s="492" t="str">
        <f>IF(ISNUMBER('Model_ of_individuals'!AB732), 'Model_ of_individuals'!AB732*'Model_ of_individuals'!$K732,"")</f>
        <v/>
      </c>
      <c r="AC712" s="492" t="str">
        <f>IF(ISNUMBER('Model_ of_individuals'!AC732), 'Model_ of_individuals'!AC732*'Model_ of_individuals'!$K732,"")</f>
        <v/>
      </c>
      <c r="AD712" s="492" t="str">
        <f>IF(ISNUMBER('Model_ of_individuals'!AD732), 'Model_ of_individuals'!AD732*'Model_ of_individuals'!$K732,"")</f>
        <v/>
      </c>
      <c r="AE712" s="492" t="str">
        <f>IF(ISNUMBER('Model_ of_individuals'!AE732), 'Model_ of_individuals'!AE732*'Model_ of_individuals'!$K732,"")</f>
        <v/>
      </c>
      <c r="AF712" s="492" t="str">
        <f>IF(ISNUMBER('Model_ of_individuals'!AF732), 'Model_ of_individuals'!AF732*'Model_ of_individuals'!$K732,"")</f>
        <v/>
      </c>
    </row>
    <row r="713" spans="1:32" x14ac:dyDescent="0.25">
      <c r="A713" s="518"/>
      <c r="B713" s="504"/>
      <c r="C713" s="104" t="str">
        <f>IF(AND(ISNUMBER(B711), OR('Cost Inputs'!$H$148&lt;&gt;"", 'Cost Inputs'!$I$148&lt;&gt;"", 'Cost Inputs'!$J$148&lt;&gt;"")), _5_3_1, "")</f>
        <v/>
      </c>
      <c r="D713" s="17" t="str">
        <f>IF(AND(C713&lt;&gt;"", 'Cost Inputs'!$G$148&lt;&gt;""), 'Cost Inputs'!$G$148, "")</f>
        <v/>
      </c>
      <c r="E713" s="17" t="str">
        <f>IF(AND(C713&lt;&gt;"", 'Cost Inputs'!$H$148&lt;&gt;""), 'Cost Inputs'!$H$148, "")</f>
        <v/>
      </c>
      <c r="F713" s="17" t="str">
        <f>IF(AND(C713&lt;&gt;"", 'Cost Inputs'!$I$148&lt;&gt;""), 'Cost Inputs'!$I$148, "")</f>
        <v/>
      </c>
      <c r="G713" s="105" t="str">
        <f t="shared" si="59"/>
        <v/>
      </c>
      <c r="H713" s="17" t="str">
        <f>IF(AND(C713&lt;&gt;"", 'Cost Inputs'!$J$148&lt;&gt;""), 'Cost Inputs'!$J$148, "")</f>
        <v/>
      </c>
      <c r="I713" s="17" t="str">
        <f t="shared" ref="I713:I721" si="64">IF($C713&lt;&gt;"", IF(AND($E713&lt;&gt;"", H713&lt;&gt;""), H713/$E713, 0),"")</f>
        <v/>
      </c>
      <c r="J713" s="17" t="str">
        <f>IF(AND(C713&lt;&gt;"",('Cost Inputs'!$I$148+'Cost Inputs'!$J$148+'Cost Inputs'!$K$148)&gt;0), 'Cost Inputs'!$I$148+'Cost Inputs'!$J$148+'Cost Inputs'!$K$148, "")</f>
        <v/>
      </c>
      <c r="K713" s="17" t="str">
        <f t="shared" ref="K713:K721" si="65">IF($C713&lt;&gt;"", IF(AND($E713&lt;&gt;"", J713&lt;&gt;""), J713/$E713, 0),"")</f>
        <v/>
      </c>
      <c r="M713" s="106"/>
      <c r="W713" s="17" t="str">
        <f>IF(ISNUMBER('Model_ of_individuals'!W733), 'Model_ of_individuals'!W733*'Model_ of_individuals'!$K733,"")</f>
        <v/>
      </c>
      <c r="X713" s="17" t="str">
        <f>IF(ISNUMBER('Model_ of_individuals'!X733), 'Model_ of_individuals'!X733*'Model_ of_individuals'!$K733,"")</f>
        <v/>
      </c>
      <c r="Y713" s="17" t="str">
        <f>IF(ISNUMBER('Model_ of_individuals'!Y733), 'Model_ of_individuals'!Y733*'Model_ of_individuals'!$K733,"")</f>
        <v/>
      </c>
      <c r="Z713" s="17" t="str">
        <f>IF(ISNUMBER('Model_ of_individuals'!Z733), 'Model_ of_individuals'!Z733*'Model_ of_individuals'!$K733,"")</f>
        <v/>
      </c>
      <c r="AA713" s="17" t="str">
        <f>IF(ISNUMBER('Model_ of_individuals'!AA733), 'Model_ of_individuals'!AA733*'Model_ of_individuals'!$K733,"")</f>
        <v/>
      </c>
      <c r="AB713" s="17" t="str">
        <f>IF(ISNUMBER('Model_ of_individuals'!AB733), 'Model_ of_individuals'!AB733*'Model_ of_individuals'!$K733,"")</f>
        <v/>
      </c>
      <c r="AC713" s="17" t="str">
        <f>IF(ISNUMBER('Model_ of_individuals'!AC733), 'Model_ of_individuals'!AC733*'Model_ of_individuals'!$K733,"")</f>
        <v/>
      </c>
      <c r="AD713" s="17" t="str">
        <f>IF(ISNUMBER('Model_ of_individuals'!AD733), 'Model_ of_individuals'!AD733*'Model_ of_individuals'!$K733,"")</f>
        <v/>
      </c>
      <c r="AE713" s="17" t="str">
        <f>IF(ISNUMBER('Model_ of_individuals'!AE733), 'Model_ of_individuals'!AE733*'Model_ of_individuals'!$K733,"")</f>
        <v/>
      </c>
      <c r="AF713" s="17" t="str">
        <f>IF(ISNUMBER('Model_ of_individuals'!AF733), 'Model_ of_individuals'!AF733*'Model_ of_individuals'!$K733,"")</f>
        <v/>
      </c>
    </row>
    <row r="714" spans="1:32" x14ac:dyDescent="0.25">
      <c r="A714" s="518"/>
      <c r="B714" s="504"/>
      <c r="C714" s="107" t="str">
        <f>IF(AND(ISNUMBER(B711), OR('Cost Inputs'!$H$149&lt;&gt;"", 'Cost Inputs'!$I$149&lt;&gt;"", 'Cost Inputs'!$J$149&lt;&gt;"")), _5_3_2, "")</f>
        <v/>
      </c>
      <c r="D714" s="93" t="str">
        <f>IF(AND(C714&lt;&gt;"", 'Cost Inputs'!$G$149&lt;&gt;""), 'Cost Inputs'!$G$149, "")</f>
        <v/>
      </c>
      <c r="E714" s="93" t="str">
        <f>IF(AND(C714&lt;&gt;"", 'Cost Inputs'!$H$149&lt;&gt;""), 'Cost Inputs'!$H$149, "")</f>
        <v/>
      </c>
      <c r="F714" s="93" t="str">
        <f>IF(AND(C714&lt;&gt;"", 'Cost Inputs'!$I$149&lt;&gt;""), 'Cost Inputs'!$I$149, "")</f>
        <v/>
      </c>
      <c r="G714" s="108" t="str">
        <f t="shared" si="59"/>
        <v/>
      </c>
      <c r="H714" s="93" t="str">
        <f>IF(AND(C714&lt;&gt;"", 'Cost Inputs'!$J$149&lt;&gt;""), 'Cost Inputs'!$J$149, "")</f>
        <v/>
      </c>
      <c r="I714" s="93" t="str">
        <f t="shared" si="64"/>
        <v/>
      </c>
      <c r="J714" s="93" t="str">
        <f>IF(AND(C714&lt;&gt;"",('Cost Inputs'!$I$149+'Cost Inputs'!$J$149+'Cost Inputs'!$K$149)&gt;0), 'Cost Inputs'!$I$149+'Cost Inputs'!$J$149+'Cost Inputs'!$K$149, "")</f>
        <v/>
      </c>
      <c r="K714" s="93" t="str">
        <f t="shared" si="65"/>
        <v/>
      </c>
      <c r="L714" s="93"/>
      <c r="M714" s="109"/>
      <c r="W714" s="93" t="str">
        <f>IF(ISNUMBER('Model_ of_individuals'!W734), 'Model_ of_individuals'!W734*'Model_ of_individuals'!$K734,"")</f>
        <v/>
      </c>
      <c r="X714" s="93" t="str">
        <f>IF(ISNUMBER('Model_ of_individuals'!X734), 'Model_ of_individuals'!X734*'Model_ of_individuals'!$K734,"")</f>
        <v/>
      </c>
      <c r="Y714" s="93" t="str">
        <f>IF(ISNUMBER('Model_ of_individuals'!Y734), 'Model_ of_individuals'!Y734*'Model_ of_individuals'!$K734,"")</f>
        <v/>
      </c>
      <c r="Z714" s="93" t="str">
        <f>IF(ISNUMBER('Model_ of_individuals'!Z734), 'Model_ of_individuals'!Z734*'Model_ of_individuals'!$K734,"")</f>
        <v/>
      </c>
      <c r="AA714" s="93" t="str">
        <f>IF(ISNUMBER('Model_ of_individuals'!AA734), 'Model_ of_individuals'!AA734*'Model_ of_individuals'!$K734,"")</f>
        <v/>
      </c>
      <c r="AB714" s="93" t="str">
        <f>IF(ISNUMBER('Model_ of_individuals'!AB734), 'Model_ of_individuals'!AB734*'Model_ of_individuals'!$K734,"")</f>
        <v/>
      </c>
      <c r="AC714" s="93" t="str">
        <f>IF(ISNUMBER('Model_ of_individuals'!AC734), 'Model_ of_individuals'!AC734*'Model_ of_individuals'!$K734,"")</f>
        <v/>
      </c>
      <c r="AD714" s="93" t="str">
        <f>IF(ISNUMBER('Model_ of_individuals'!AD734), 'Model_ of_individuals'!AD734*'Model_ of_individuals'!$K734,"")</f>
        <v/>
      </c>
      <c r="AE714" s="93" t="str">
        <f>IF(ISNUMBER('Model_ of_individuals'!AE734), 'Model_ of_individuals'!AE734*'Model_ of_individuals'!$K734,"")</f>
        <v/>
      </c>
      <c r="AF714" s="93" t="str">
        <f>IF(ISNUMBER('Model_ of_individuals'!AF734), 'Model_ of_individuals'!AF734*'Model_ of_individuals'!$K734,"")</f>
        <v/>
      </c>
    </row>
    <row r="715" spans="1:32" x14ac:dyDescent="0.25">
      <c r="A715" s="518"/>
      <c r="B715" s="504"/>
      <c r="C715" s="110" t="str">
        <f>IF(ISNUMBER(B711), _5_4_0, "")</f>
        <v/>
      </c>
      <c r="D715" s="94" t="str">
        <f>IF(AND(C715&lt;&gt;"", 'Cost Inputs'!$G$150&lt;&gt;""), 'Cost Inputs'!$G$150, "")</f>
        <v/>
      </c>
      <c r="E715" s="94" t="str">
        <f>IF(AND(C715&lt;&gt;"", 'Cost Inputs'!$H$150&lt;&gt;""), 'Cost Inputs'!$H$150, "")</f>
        <v/>
      </c>
      <c r="F715" s="94" t="str">
        <f>IF(AND(C715&lt;&gt;"", 'Cost Inputs'!$I$150&lt;&gt;""), 'Cost Inputs'!$I$150, "")</f>
        <v/>
      </c>
      <c r="G715" s="102" t="str">
        <f t="shared" si="59"/>
        <v/>
      </c>
      <c r="H715" s="102" t="str">
        <f>IF(AND(C715&lt;&gt;"", 'Cost Inputs'!$J$150&lt;&gt;""), 'Cost Inputs'!$J$150, "")</f>
        <v/>
      </c>
      <c r="I715" s="102" t="str">
        <f t="shared" si="64"/>
        <v/>
      </c>
      <c r="J715" s="102" t="str">
        <f>IF(AND(C715&lt;&gt;"",('Cost Inputs'!$I$150+'Cost Inputs'!$J$150+'Cost Inputs'!$K$150)&gt;0), 'Cost Inputs'!$I$150+'Cost Inputs'!$J$150+'Cost Inputs'!$K$150, "")</f>
        <v/>
      </c>
      <c r="K715" s="102" t="str">
        <f t="shared" si="65"/>
        <v/>
      </c>
      <c r="L715" s="94"/>
      <c r="M715" s="103"/>
      <c r="W715" s="102" t="str">
        <f>IF(ISNUMBER('Model_ of_individuals'!W735), 'Model_ of_individuals'!W735*'Model_ of_individuals'!$K735,"")</f>
        <v/>
      </c>
      <c r="X715" s="102" t="str">
        <f>IF(ISNUMBER('Model_ of_individuals'!X735), 'Model_ of_individuals'!X735*'Model_ of_individuals'!$K735,"")</f>
        <v/>
      </c>
      <c r="Y715" s="102" t="str">
        <f>IF(ISNUMBER('Model_ of_individuals'!Y735), 'Model_ of_individuals'!Y735*'Model_ of_individuals'!$K735,"")</f>
        <v/>
      </c>
      <c r="Z715" s="102" t="str">
        <f>IF(ISNUMBER('Model_ of_individuals'!Z735), 'Model_ of_individuals'!Z735*'Model_ of_individuals'!$K735,"")</f>
        <v/>
      </c>
      <c r="AA715" s="102" t="str">
        <f>IF(ISNUMBER('Model_ of_individuals'!AA735), 'Model_ of_individuals'!AA735*'Model_ of_individuals'!$K735,"")</f>
        <v/>
      </c>
      <c r="AB715" s="102" t="str">
        <f>IF(ISNUMBER('Model_ of_individuals'!AB735), 'Model_ of_individuals'!AB735*'Model_ of_individuals'!$K735,"")</f>
        <v/>
      </c>
      <c r="AC715" s="102" t="str">
        <f>IF(ISNUMBER('Model_ of_individuals'!AC735), 'Model_ of_individuals'!AC735*'Model_ of_individuals'!$K735,"")</f>
        <v/>
      </c>
      <c r="AD715" s="102" t="str">
        <f>IF(ISNUMBER('Model_ of_individuals'!AD735), 'Model_ of_individuals'!AD735*'Model_ of_individuals'!$K735,"")</f>
        <v/>
      </c>
      <c r="AE715" s="102" t="str">
        <f>IF(ISNUMBER('Model_ of_individuals'!AE735), 'Model_ of_individuals'!AE735*'Model_ of_individuals'!$K735,"")</f>
        <v/>
      </c>
      <c r="AF715" s="102" t="str">
        <f>IF(ISNUMBER('Model_ of_individuals'!AF735), 'Model_ of_individuals'!AF735*'Model_ of_individuals'!$K735,"")</f>
        <v/>
      </c>
    </row>
    <row r="716" spans="1:32" x14ac:dyDescent="0.25">
      <c r="A716" s="518"/>
      <c r="B716" s="504"/>
      <c r="C716" s="104" t="str">
        <f>IF(AND(ISNUMBER(B711), OR('Cost Inputs'!$H$151&lt;&gt;"", 'Cost Inputs'!$I$151&lt;&gt;"", 'Cost Inputs'!$J$151&lt;&gt;"")), _5_4_1, "")</f>
        <v/>
      </c>
      <c r="D716" s="17" t="str">
        <f>IF(AND(C716&lt;&gt;"", 'Cost Inputs'!$G$151&lt;&gt;""), 'Cost Inputs'!$G$151, "")</f>
        <v/>
      </c>
      <c r="E716" s="17" t="str">
        <f>IF(AND(C716&lt;&gt;"", 'Cost Inputs'!$H$151&lt;&gt;""), 'Cost Inputs'!$H$151, "")</f>
        <v/>
      </c>
      <c r="F716" s="17" t="str">
        <f>IF(AND(C716&lt;&gt;"", 'Cost Inputs'!$I$151&lt;&gt;""), 'Cost Inputs'!$I$151, "")</f>
        <v/>
      </c>
      <c r="G716" s="105" t="str">
        <f t="shared" si="59"/>
        <v/>
      </c>
      <c r="H716" s="17" t="str">
        <f>IF(AND(C716&lt;&gt;"", 'Cost Inputs'!$J$151&lt;&gt;""), 'Cost Inputs'!$J$151, "")</f>
        <v/>
      </c>
      <c r="I716" s="17" t="str">
        <f t="shared" si="64"/>
        <v/>
      </c>
      <c r="J716" s="17" t="str">
        <f>IF(AND(C716&lt;&gt;"",('Cost Inputs'!$I$151+'Cost Inputs'!$J$151+'Cost Inputs'!$K$151)&gt;0), 'Cost Inputs'!$I$151+'Cost Inputs'!$J$151+'Cost Inputs'!$K$151, "")</f>
        <v/>
      </c>
      <c r="K716" s="17" t="str">
        <f t="shared" si="65"/>
        <v/>
      </c>
      <c r="M716" s="106"/>
      <c r="W716" s="17" t="str">
        <f>IF(ISNUMBER('Model_ of_individuals'!W736), 'Model_ of_individuals'!W736*'Model_ of_individuals'!$K736,"")</f>
        <v/>
      </c>
      <c r="X716" s="17" t="str">
        <f>IF(ISNUMBER('Model_ of_individuals'!X736), 'Model_ of_individuals'!X736*'Model_ of_individuals'!$K736,"")</f>
        <v/>
      </c>
      <c r="Y716" s="17" t="str">
        <f>IF(ISNUMBER('Model_ of_individuals'!Y736), 'Model_ of_individuals'!Y736*'Model_ of_individuals'!$K736,"")</f>
        <v/>
      </c>
      <c r="Z716" s="17" t="str">
        <f>IF(ISNUMBER('Model_ of_individuals'!Z736), 'Model_ of_individuals'!Z736*'Model_ of_individuals'!$K736,"")</f>
        <v/>
      </c>
      <c r="AA716" s="17" t="str">
        <f>IF(ISNUMBER('Model_ of_individuals'!AA736), 'Model_ of_individuals'!AA736*'Model_ of_individuals'!$K736,"")</f>
        <v/>
      </c>
      <c r="AB716" s="17" t="str">
        <f>IF(ISNUMBER('Model_ of_individuals'!AB736), 'Model_ of_individuals'!AB736*'Model_ of_individuals'!$K736,"")</f>
        <v/>
      </c>
      <c r="AC716" s="17" t="str">
        <f>IF(ISNUMBER('Model_ of_individuals'!AC736), 'Model_ of_individuals'!AC736*'Model_ of_individuals'!$K736,"")</f>
        <v/>
      </c>
      <c r="AD716" s="17" t="str">
        <f>IF(ISNUMBER('Model_ of_individuals'!AD736), 'Model_ of_individuals'!AD736*'Model_ of_individuals'!$K736,"")</f>
        <v/>
      </c>
      <c r="AE716" s="17" t="str">
        <f>IF(ISNUMBER('Model_ of_individuals'!AE736), 'Model_ of_individuals'!AE736*'Model_ of_individuals'!$K736,"")</f>
        <v/>
      </c>
      <c r="AF716" s="17" t="str">
        <f>IF(ISNUMBER('Model_ of_individuals'!AF736), 'Model_ of_individuals'!AF736*'Model_ of_individuals'!$K736,"")</f>
        <v/>
      </c>
    </row>
    <row r="717" spans="1:32" x14ac:dyDescent="0.25">
      <c r="A717" s="518"/>
      <c r="B717" s="504"/>
      <c r="C717" s="107" t="str">
        <f>IF(AND(ISNUMBER(B711), OR('Cost Inputs'!$H$152&lt;&gt;"", 'Cost Inputs'!$I$152&lt;&gt;"", 'Cost Inputs'!$J$152&lt;&gt;"")), _5_4_2, "")</f>
        <v/>
      </c>
      <c r="D717" s="93" t="str">
        <f>IF(AND(C717&lt;&gt;"", 'Cost Inputs'!$G$152&lt;&gt;""), 'Cost Inputs'!$G$152, "")</f>
        <v/>
      </c>
      <c r="E717" s="93" t="str">
        <f>IF(AND(C717&lt;&gt;"", 'Cost Inputs'!$H$152&lt;&gt;""), 'Cost Inputs'!$H$152, "")</f>
        <v/>
      </c>
      <c r="F717" s="93" t="str">
        <f>IF(AND(C717&lt;&gt;"", 'Cost Inputs'!$I$152&lt;&gt;""), 'Cost Inputs'!$I$152, "")</f>
        <v/>
      </c>
      <c r="G717" s="108" t="str">
        <f t="shared" si="59"/>
        <v/>
      </c>
      <c r="H717" s="93" t="str">
        <f>IF(AND(C717&lt;&gt;"", 'Cost Inputs'!$J$152&lt;&gt;""), 'Cost Inputs'!$J$152, "")</f>
        <v/>
      </c>
      <c r="I717" s="93" t="str">
        <f t="shared" si="64"/>
        <v/>
      </c>
      <c r="J717" s="93" t="str">
        <f>IF(AND(C717&lt;&gt;"",('Cost Inputs'!$I$152+'Cost Inputs'!$J$152+'Cost Inputs'!$K$152)&gt;0), 'Cost Inputs'!$I$152+'Cost Inputs'!$J$152+'Cost Inputs'!$K$152, "")</f>
        <v/>
      </c>
      <c r="K717" s="93" t="str">
        <f t="shared" si="65"/>
        <v/>
      </c>
      <c r="L717" s="93"/>
      <c r="M717" s="109"/>
      <c r="W717" s="93" t="str">
        <f>IF(ISNUMBER('Model_ of_individuals'!W737), 'Model_ of_individuals'!W737*'Model_ of_individuals'!$K737,"")</f>
        <v/>
      </c>
      <c r="X717" s="93" t="str">
        <f>IF(ISNUMBER('Model_ of_individuals'!X737), 'Model_ of_individuals'!X737*'Model_ of_individuals'!$K737,"")</f>
        <v/>
      </c>
      <c r="Y717" s="93" t="str">
        <f>IF(ISNUMBER('Model_ of_individuals'!Y737), 'Model_ of_individuals'!Y737*'Model_ of_individuals'!$K737,"")</f>
        <v/>
      </c>
      <c r="Z717" s="93" t="str">
        <f>IF(ISNUMBER('Model_ of_individuals'!Z737), 'Model_ of_individuals'!Z737*'Model_ of_individuals'!$K737,"")</f>
        <v/>
      </c>
      <c r="AA717" s="93" t="str">
        <f>IF(ISNUMBER('Model_ of_individuals'!AA737), 'Model_ of_individuals'!AA737*'Model_ of_individuals'!$K737,"")</f>
        <v/>
      </c>
      <c r="AB717" s="93" t="str">
        <f>IF(ISNUMBER('Model_ of_individuals'!AB737), 'Model_ of_individuals'!AB737*'Model_ of_individuals'!$K737,"")</f>
        <v/>
      </c>
      <c r="AC717" s="93" t="str">
        <f>IF(ISNUMBER('Model_ of_individuals'!AC737), 'Model_ of_individuals'!AC737*'Model_ of_individuals'!$K737,"")</f>
        <v/>
      </c>
      <c r="AD717" s="93" t="str">
        <f>IF(ISNUMBER('Model_ of_individuals'!AD737), 'Model_ of_individuals'!AD737*'Model_ of_individuals'!$K737,"")</f>
        <v/>
      </c>
      <c r="AE717" s="93" t="str">
        <f>IF(ISNUMBER('Model_ of_individuals'!AE737), 'Model_ of_individuals'!AE737*'Model_ of_individuals'!$K737,"")</f>
        <v/>
      </c>
      <c r="AF717" s="93" t="str">
        <f>IF(ISNUMBER('Model_ of_individuals'!AF737), 'Model_ of_individuals'!AF737*'Model_ of_individuals'!$K737,"")</f>
        <v/>
      </c>
    </row>
    <row r="718" spans="1:32" x14ac:dyDescent="0.25">
      <c r="A718" s="518"/>
      <c r="B718" s="504"/>
      <c r="C718" s="104" t="str">
        <f>IF(AND(ISNUMBER(B711), OR('Cost Inputs'!$H$153&lt;&gt;"", 'Cost Inputs'!$I$153&lt;&gt;"", 'Cost Inputs'!$J$153&lt;&gt;"")), _5_4_3, "")</f>
        <v/>
      </c>
      <c r="D718" s="17" t="str">
        <f>IF(AND(C718&lt;&gt;"", 'Cost Inputs'!$G$153&lt;&gt;""), 'Cost Inputs'!$G$153, "")</f>
        <v/>
      </c>
      <c r="E718" s="17" t="str">
        <f>IF(AND(C718&lt;&gt;"", 'Cost Inputs'!$H$153&lt;&gt;""), 'Cost Inputs'!$H$153, "")</f>
        <v/>
      </c>
      <c r="F718" s="17" t="str">
        <f>IF(AND(C718&lt;&gt;"", 'Cost Inputs'!$I$153&lt;&gt;""), 'Cost Inputs'!$I$153, "")</f>
        <v/>
      </c>
      <c r="G718" s="105" t="str">
        <f t="shared" si="59"/>
        <v/>
      </c>
      <c r="H718" s="17" t="str">
        <f>IF(AND(C718&lt;&gt;"", 'Cost Inputs'!$J$153&lt;&gt;""), 'Cost Inputs'!$J$153, "")</f>
        <v/>
      </c>
      <c r="I718" s="17" t="str">
        <f t="shared" si="64"/>
        <v/>
      </c>
      <c r="J718" s="17" t="str">
        <f>IF(AND(C718&lt;&gt;"",('Cost Inputs'!$I$153+'Cost Inputs'!$J$153+'Cost Inputs'!$K$153)&gt;0), 'Cost Inputs'!$I$153+'Cost Inputs'!$J$153+'Cost Inputs'!$K$153, "")</f>
        <v/>
      </c>
      <c r="K718" s="17" t="str">
        <f t="shared" si="65"/>
        <v/>
      </c>
      <c r="M718" s="106"/>
      <c r="W718" s="17" t="str">
        <f>IF(ISNUMBER('Model_ of_individuals'!W738), 'Model_ of_individuals'!W738*'Model_ of_individuals'!$K738,"")</f>
        <v/>
      </c>
      <c r="X718" s="17" t="str">
        <f>IF(ISNUMBER('Model_ of_individuals'!X738), 'Model_ of_individuals'!X738*'Model_ of_individuals'!$K738,"")</f>
        <v/>
      </c>
      <c r="Y718" s="17" t="str">
        <f>IF(ISNUMBER('Model_ of_individuals'!Y738), 'Model_ of_individuals'!Y738*'Model_ of_individuals'!$K738,"")</f>
        <v/>
      </c>
      <c r="Z718" s="17" t="str">
        <f>IF(ISNUMBER('Model_ of_individuals'!Z738), 'Model_ of_individuals'!Z738*'Model_ of_individuals'!$K738,"")</f>
        <v/>
      </c>
      <c r="AA718" s="17" t="str">
        <f>IF(ISNUMBER('Model_ of_individuals'!AA738), 'Model_ of_individuals'!AA738*'Model_ of_individuals'!$K738,"")</f>
        <v/>
      </c>
      <c r="AB718" s="17" t="str">
        <f>IF(ISNUMBER('Model_ of_individuals'!AB738), 'Model_ of_individuals'!AB738*'Model_ of_individuals'!$K738,"")</f>
        <v/>
      </c>
      <c r="AC718" s="17" t="str">
        <f>IF(ISNUMBER('Model_ of_individuals'!AC738), 'Model_ of_individuals'!AC738*'Model_ of_individuals'!$K738,"")</f>
        <v/>
      </c>
      <c r="AD718" s="17" t="str">
        <f>IF(ISNUMBER('Model_ of_individuals'!AD738), 'Model_ of_individuals'!AD738*'Model_ of_individuals'!$K738,"")</f>
        <v/>
      </c>
      <c r="AE718" s="17" t="str">
        <f>IF(ISNUMBER('Model_ of_individuals'!AE738), 'Model_ of_individuals'!AE738*'Model_ of_individuals'!$K738,"")</f>
        <v/>
      </c>
      <c r="AF718" s="17" t="str">
        <f>IF(ISNUMBER('Model_ of_individuals'!AF738), 'Model_ of_individuals'!AF738*'Model_ of_individuals'!$K738,"")</f>
        <v/>
      </c>
    </row>
    <row r="719" spans="1:32" x14ac:dyDescent="0.25">
      <c r="A719" s="518"/>
      <c r="B719" s="504"/>
      <c r="C719" s="107" t="str">
        <f>IF(AND(ISNUMBER(B711), OR('Cost Inputs'!$H$154&lt;&gt;"", 'Cost Inputs'!$I$154&lt;&gt;"", 'Cost Inputs'!$J$154&lt;&gt;"")), _5_4_4, "")</f>
        <v/>
      </c>
      <c r="D719" s="93" t="str">
        <f>IF(AND(C719&lt;&gt;"", 'Cost Inputs'!$G$154&lt;&gt;""), 'Cost Inputs'!$G$154, "")</f>
        <v/>
      </c>
      <c r="E719" s="93" t="str">
        <f>IF(AND(C719&lt;&gt;"", 'Cost Inputs'!$H$154&lt;&gt;""), 'Cost Inputs'!$H$154, "")</f>
        <v/>
      </c>
      <c r="F719" s="93" t="str">
        <f>IF(AND(C719&lt;&gt;"", 'Cost Inputs'!$I$154&lt;&gt;""), 'Cost Inputs'!$I$154, "")</f>
        <v/>
      </c>
      <c r="G719" s="108" t="str">
        <f t="shared" ref="G719:G782" si="66">IF(AND($E719&lt;&gt;"", $E719&gt;0, F719&lt;&gt;""), F719/$E719, "")</f>
        <v/>
      </c>
      <c r="H719" s="93" t="str">
        <f>IF(AND(C719&lt;&gt;"", 'Cost Inputs'!$J$154&lt;&gt;""), 'Cost Inputs'!$J$154, "")</f>
        <v/>
      </c>
      <c r="I719" s="93" t="str">
        <f t="shared" si="64"/>
        <v/>
      </c>
      <c r="J719" s="93" t="str">
        <f>IF(AND(C719&lt;&gt;"",('Cost Inputs'!$I$154+'Cost Inputs'!$J$154+'Cost Inputs'!$K$154)&gt;0), 'Cost Inputs'!$I$154+'Cost Inputs'!$J$154+'Cost Inputs'!$K$154, "")</f>
        <v/>
      </c>
      <c r="K719" s="93" t="str">
        <f t="shared" si="65"/>
        <v/>
      </c>
      <c r="L719" s="93"/>
      <c r="M719" s="109"/>
      <c r="W719" s="93" t="str">
        <f>IF(ISNUMBER('Model_ of_individuals'!W739), 'Model_ of_individuals'!W739*'Model_ of_individuals'!$K739,"")</f>
        <v/>
      </c>
      <c r="X719" s="93" t="str">
        <f>IF(ISNUMBER('Model_ of_individuals'!X739), 'Model_ of_individuals'!X739*'Model_ of_individuals'!$K739,"")</f>
        <v/>
      </c>
      <c r="Y719" s="93" t="str">
        <f>IF(ISNUMBER('Model_ of_individuals'!Y739), 'Model_ of_individuals'!Y739*'Model_ of_individuals'!$K739,"")</f>
        <v/>
      </c>
      <c r="Z719" s="93" t="str">
        <f>IF(ISNUMBER('Model_ of_individuals'!Z739), 'Model_ of_individuals'!Z739*'Model_ of_individuals'!$K739,"")</f>
        <v/>
      </c>
      <c r="AA719" s="93" t="str">
        <f>IF(ISNUMBER('Model_ of_individuals'!AA739), 'Model_ of_individuals'!AA739*'Model_ of_individuals'!$K739,"")</f>
        <v/>
      </c>
      <c r="AB719" s="93" t="str">
        <f>IF(ISNUMBER('Model_ of_individuals'!AB739), 'Model_ of_individuals'!AB739*'Model_ of_individuals'!$K739,"")</f>
        <v/>
      </c>
      <c r="AC719" s="93" t="str">
        <f>IF(ISNUMBER('Model_ of_individuals'!AC739), 'Model_ of_individuals'!AC739*'Model_ of_individuals'!$K739,"")</f>
        <v/>
      </c>
      <c r="AD719" s="93" t="str">
        <f>IF(ISNUMBER('Model_ of_individuals'!AD739), 'Model_ of_individuals'!AD739*'Model_ of_individuals'!$K739,"")</f>
        <v/>
      </c>
      <c r="AE719" s="93" t="str">
        <f>IF(ISNUMBER('Model_ of_individuals'!AE739), 'Model_ of_individuals'!AE739*'Model_ of_individuals'!$K739,"")</f>
        <v/>
      </c>
      <c r="AF719" s="93" t="str">
        <f>IF(ISNUMBER('Model_ of_individuals'!AF739), 'Model_ of_individuals'!AF739*'Model_ of_individuals'!$K739,"")</f>
        <v/>
      </c>
    </row>
    <row r="720" spans="1:32" x14ac:dyDescent="0.25">
      <c r="A720" s="518"/>
      <c r="B720" s="504"/>
      <c r="C720" s="104" t="str">
        <f>IF(AND(ISNUMBER(B711), OR('Cost Inputs'!$H$155&lt;&gt;"", 'Cost Inputs'!$I$155&lt;&gt;"", 'Cost Inputs'!$J$155&lt;&gt;"")), _5_4_5, "")</f>
        <v/>
      </c>
      <c r="D720" s="17" t="str">
        <f>IF(AND(C720&lt;&gt;"", 'Cost Inputs'!$G$155&lt;&gt;""), 'Cost Inputs'!$G$155, "")</f>
        <v/>
      </c>
      <c r="E720" s="17" t="str">
        <f>IF(AND(C720&lt;&gt;"", 'Cost Inputs'!$H$155&lt;&gt;""), 'Cost Inputs'!$H$155, "")</f>
        <v/>
      </c>
      <c r="F720" s="17" t="str">
        <f>IF(AND(C720&lt;&gt;"", 'Cost Inputs'!$I$155&lt;&gt;""), 'Cost Inputs'!$I$155, "")</f>
        <v/>
      </c>
      <c r="G720" s="105" t="str">
        <f t="shared" si="66"/>
        <v/>
      </c>
      <c r="H720" s="17" t="str">
        <f>IF(AND(C720&lt;&gt;"", 'Cost Inputs'!$J$155&lt;&gt;""), 'Cost Inputs'!$J$155, "")</f>
        <v/>
      </c>
      <c r="I720" s="17" t="str">
        <f t="shared" si="64"/>
        <v/>
      </c>
      <c r="J720" s="17" t="str">
        <f>IF(AND(C720&lt;&gt;"",('Cost Inputs'!$I$155+'Cost Inputs'!$J$155+'Cost Inputs'!$K$155)&gt;0), 'Cost Inputs'!$I$155+'Cost Inputs'!$J$155+'Cost Inputs'!$K$155, "")</f>
        <v/>
      </c>
      <c r="K720" s="17" t="str">
        <f t="shared" si="65"/>
        <v/>
      </c>
      <c r="M720" s="106"/>
      <c r="W720" s="17" t="str">
        <f>IF(ISNUMBER('Model_ of_individuals'!W740), 'Model_ of_individuals'!W740*'Model_ of_individuals'!$K740,"")</f>
        <v/>
      </c>
      <c r="X720" s="17" t="str">
        <f>IF(ISNUMBER('Model_ of_individuals'!X740), 'Model_ of_individuals'!X740*'Model_ of_individuals'!$K740,"")</f>
        <v/>
      </c>
      <c r="Y720" s="17" t="str">
        <f>IF(ISNUMBER('Model_ of_individuals'!Y740), 'Model_ of_individuals'!Y740*'Model_ of_individuals'!$K740,"")</f>
        <v/>
      </c>
      <c r="Z720" s="17" t="str">
        <f>IF(ISNUMBER('Model_ of_individuals'!Z740), 'Model_ of_individuals'!Z740*'Model_ of_individuals'!$K740,"")</f>
        <v/>
      </c>
      <c r="AA720" s="17" t="str">
        <f>IF(ISNUMBER('Model_ of_individuals'!AA740), 'Model_ of_individuals'!AA740*'Model_ of_individuals'!$K740,"")</f>
        <v/>
      </c>
      <c r="AB720" s="17" t="str">
        <f>IF(ISNUMBER('Model_ of_individuals'!AB740), 'Model_ of_individuals'!AB740*'Model_ of_individuals'!$K740,"")</f>
        <v/>
      </c>
      <c r="AC720" s="17" t="str">
        <f>IF(ISNUMBER('Model_ of_individuals'!AC740), 'Model_ of_individuals'!AC740*'Model_ of_individuals'!$K740,"")</f>
        <v/>
      </c>
      <c r="AD720" s="17" t="str">
        <f>IF(ISNUMBER('Model_ of_individuals'!AD740), 'Model_ of_individuals'!AD740*'Model_ of_individuals'!$K740,"")</f>
        <v/>
      </c>
      <c r="AE720" s="17" t="str">
        <f>IF(ISNUMBER('Model_ of_individuals'!AE740), 'Model_ of_individuals'!AE740*'Model_ of_individuals'!$K740,"")</f>
        <v/>
      </c>
      <c r="AF720" s="17" t="str">
        <f>IF(ISNUMBER('Model_ of_individuals'!AF740), 'Model_ of_individuals'!AF740*'Model_ of_individuals'!$K740,"")</f>
        <v/>
      </c>
    </row>
    <row r="721" spans="1:33" x14ac:dyDescent="0.25">
      <c r="A721" s="518"/>
      <c r="B721" s="504"/>
      <c r="C721" s="107" t="str">
        <f>IF(AND(ISNUMBER(B711), OR('Cost Inputs'!$H$156&lt;&gt;"", 'Cost Inputs'!$I$156&lt;&gt;"", 'Cost Inputs'!$J$156&lt;&gt;"")), _5_4_6, "")</f>
        <v/>
      </c>
      <c r="D721" s="93" t="str">
        <f>IF(AND(C721&lt;&gt;"", 'Cost Inputs'!$G$156&lt;&gt;""), 'Cost Inputs'!$G$156, "")</f>
        <v/>
      </c>
      <c r="E721" s="93" t="str">
        <f>IF(AND(C721&lt;&gt;"", 'Cost Inputs'!$H$156&lt;&gt;""), 'Cost Inputs'!$H$156, "")</f>
        <v/>
      </c>
      <c r="F721" s="93" t="str">
        <f>IF(AND(C721&lt;&gt;"", 'Cost Inputs'!$I$156&lt;&gt;""), 'Cost Inputs'!$I$156, "")</f>
        <v/>
      </c>
      <c r="G721" s="108" t="str">
        <f t="shared" si="66"/>
        <v/>
      </c>
      <c r="H721" s="93" t="str">
        <f>IF(AND(C721&lt;&gt;"", 'Cost Inputs'!$J$156&lt;&gt;""), 'Cost Inputs'!$J$16, "")</f>
        <v/>
      </c>
      <c r="I721" s="93" t="str">
        <f t="shared" si="64"/>
        <v/>
      </c>
      <c r="J721" s="93" t="str">
        <f>IF(AND(C721&lt;&gt;"",('Cost Inputs'!$I$156+'Cost Inputs'!$J$156+'Cost Inputs'!$K$156)&gt;0), 'Cost Inputs'!$I$156+'Cost Inputs'!$J$156+'Cost Inputs'!$K$156, "")</f>
        <v/>
      </c>
      <c r="K721" s="93" t="str">
        <f t="shared" si="65"/>
        <v/>
      </c>
      <c r="L721" s="93"/>
      <c r="M721" s="109"/>
      <c r="W721" s="93" t="str">
        <f>IF(ISNUMBER('Model_ of_individuals'!W741), 'Model_ of_individuals'!W741*'Model_ of_individuals'!$K741,"")</f>
        <v/>
      </c>
      <c r="X721" s="93" t="str">
        <f>IF(ISNUMBER('Model_ of_individuals'!X741), 'Model_ of_individuals'!X741*'Model_ of_individuals'!$K741,"")</f>
        <v/>
      </c>
      <c r="Y721" s="93" t="str">
        <f>IF(ISNUMBER('Model_ of_individuals'!Y741), 'Model_ of_individuals'!Y741*'Model_ of_individuals'!$K741,"")</f>
        <v/>
      </c>
      <c r="Z721" s="93" t="str">
        <f>IF(ISNUMBER('Model_ of_individuals'!Z741), 'Model_ of_individuals'!Z741*'Model_ of_individuals'!$K741,"")</f>
        <v/>
      </c>
      <c r="AA721" s="93" t="str">
        <f>IF(ISNUMBER('Model_ of_individuals'!AA741), 'Model_ of_individuals'!AA741*'Model_ of_individuals'!$K741,"")</f>
        <v/>
      </c>
      <c r="AB721" s="93" t="str">
        <f>IF(ISNUMBER('Model_ of_individuals'!AB741), 'Model_ of_individuals'!AB741*'Model_ of_individuals'!$K741,"")</f>
        <v/>
      </c>
      <c r="AC721" s="93" t="str">
        <f>IF(ISNUMBER('Model_ of_individuals'!AC741), 'Model_ of_individuals'!AC741*'Model_ of_individuals'!$K741,"")</f>
        <v/>
      </c>
      <c r="AD721" s="93" t="str">
        <f>IF(ISNUMBER('Model_ of_individuals'!AD741), 'Model_ of_individuals'!AD741*'Model_ of_individuals'!$K741,"")</f>
        <v/>
      </c>
      <c r="AE721" s="93" t="str">
        <f>IF(ISNUMBER('Model_ of_individuals'!AE741), 'Model_ of_individuals'!AE741*'Model_ of_individuals'!$K741,"")</f>
        <v/>
      </c>
      <c r="AF721" s="93" t="str">
        <f>IF(ISNUMBER('Model_ of_individuals'!AF741), 'Model_ of_individuals'!AF741*'Model_ of_individuals'!$K741,"")</f>
        <v/>
      </c>
    </row>
    <row r="722" spans="1:33" x14ac:dyDescent="0.25">
      <c r="A722" s="518"/>
      <c r="B722" s="504"/>
      <c r="C722" s="521" t="str">
        <f>IF(AND(B711&lt;&gt;"",ISNUMBER(B711),ISNUMBER(Stage3EvaluationBegins)),IF((INDEX(ProgramYearStage3,MATCH(Stage3EvaluationBegins,Years_in_Stage3,0)))=B711,_5_5_0,IF(AND(B711&lt;&gt;"",C700&lt;&gt;""),_5_5_0,IF(AND(B711&lt;&gt;"",ISNUMBER(B711),OR(Stage3EvaluationBegins=0,Stage3EvaluationBegins="")),"",""))),"")</f>
        <v/>
      </c>
      <c r="D722" s="94" t="str">
        <f>IF(AND(C722&lt;&gt;"", 'Cost Inputs'!$G$157&lt;&gt;""), 'Cost Inputs'!$G$157, "")</f>
        <v/>
      </c>
      <c r="E722" s="94" t="str">
        <f>IF(AND(C722&lt;&gt;"", 'Cost Inputs'!$H$157&lt;&gt;""), 'Cost Inputs'!$H$157, "")</f>
        <v/>
      </c>
      <c r="F722" s="492" t="str">
        <f>IF(AND(C722&lt;&gt;"", 'Cost Inputs'!$I$157&lt;&gt;""), 'Cost Inputs'!$I$157, "")</f>
        <v/>
      </c>
      <c r="G722" s="102" t="str">
        <f t="shared" si="66"/>
        <v/>
      </c>
      <c r="H722" s="492" t="str">
        <f>IF(AND(C722&lt;&gt;"", 'Cost Inputs'!$J$157&lt;&gt;""), 'Cost Inputs'!$J$157, "")</f>
        <v/>
      </c>
      <c r="I722" s="102" t="str">
        <f>IF($C722&lt;&gt;"",IF(AND($E722&lt;&gt;"",H722&lt;&gt;""), H722/$E722, 0),"")</f>
        <v/>
      </c>
      <c r="J722" s="492" t="str">
        <f>IF(AND(C722&lt;&gt;"",('Cost Inputs'!$I$157+'Cost Inputs'!$J$157+'Cost Inputs'!$K$157)&gt;0), 'Cost Inputs'!$I$157+'Cost Inputs'!$J$157+'Cost Inputs'!$K$157, "")</f>
        <v/>
      </c>
      <c r="K722" s="102" t="str">
        <f>IF($C722&lt;&gt;"",IF(AND($E722&lt;&gt;"",J722&lt;&gt;""), J722/$E722, 0),"")</f>
        <v/>
      </c>
      <c r="L722" s="94"/>
      <c r="M722" s="103"/>
      <c r="W722" s="492" t="str">
        <f>IF(ISNUMBER('Model_ of_individuals'!W742), 'Model_ of_individuals'!W742*'Model_ of_individuals'!$K742,"")</f>
        <v/>
      </c>
      <c r="X722" s="492" t="str">
        <f>IF(ISNUMBER('Model_ of_individuals'!X742), 'Model_ of_individuals'!X742*'Model_ of_individuals'!$K742,"")</f>
        <v/>
      </c>
      <c r="Y722" s="492" t="str">
        <f>IF(ISNUMBER('Model_ of_individuals'!Y742), 'Model_ of_individuals'!Y742*'Model_ of_individuals'!$K742,"")</f>
        <v/>
      </c>
      <c r="Z722" s="492" t="str">
        <f>IF(ISNUMBER('Model_ of_individuals'!Z742), 'Model_ of_individuals'!Z742*'Model_ of_individuals'!$K742,"")</f>
        <v/>
      </c>
      <c r="AA722" s="492" t="str">
        <f>IF(ISNUMBER('Model_ of_individuals'!AA742), 'Model_ of_individuals'!AA742*'Model_ of_individuals'!$K742,"")</f>
        <v/>
      </c>
      <c r="AB722" s="492" t="str">
        <f>IF(ISNUMBER('Model_ of_individuals'!AB742), 'Model_ of_individuals'!AB742*'Model_ of_individuals'!$K742,"")</f>
        <v/>
      </c>
      <c r="AC722" s="492" t="str">
        <f>IF(ISNUMBER('Model_ of_individuals'!AC742), 'Model_ of_individuals'!AC742*'Model_ of_individuals'!$K742,"")</f>
        <v/>
      </c>
      <c r="AD722" s="492" t="str">
        <f>IF(ISNUMBER('Model_ of_individuals'!AD742), 'Model_ of_individuals'!AD742*'Model_ of_individuals'!$K742,"")</f>
        <v/>
      </c>
      <c r="AE722" s="492" t="str">
        <f>IF(ISNUMBER('Model_ of_individuals'!AE742), 'Model_ of_individuals'!AE742*'Model_ of_individuals'!$K742,"")</f>
        <v/>
      </c>
      <c r="AF722" s="492" t="str">
        <f>IF(ISNUMBER('Model_ of_individuals'!AF742), 'Model_ of_individuals'!AF742*'Model_ of_individuals'!$K742,"")</f>
        <v/>
      </c>
    </row>
    <row r="723" spans="1:33" x14ac:dyDescent="0.25">
      <c r="A723" s="518"/>
      <c r="B723" s="504"/>
      <c r="C723" s="521"/>
      <c r="D723" s="94" t="str">
        <f>IF(AND(C722&lt;&gt;"", 'Cost Inputs'!$G$158&lt;&gt;""), 'Cost Inputs'!$G$158, "")</f>
        <v/>
      </c>
      <c r="E723" s="94" t="str">
        <f>IF(AND(C722&lt;&gt;"", 'Cost Inputs'!$H$158&lt;&gt;""), 'Cost Inputs'!$H$158, "")</f>
        <v/>
      </c>
      <c r="F723" s="492"/>
      <c r="G723" s="102" t="str">
        <f t="shared" si="66"/>
        <v/>
      </c>
      <c r="H723" s="492"/>
      <c r="I723" s="102" t="str">
        <f>IF($C722&lt;&gt;"", IF(AND($E723&lt;&gt;"", H722&lt;&gt;""), H722/($E722*$E723), 0), "")</f>
        <v/>
      </c>
      <c r="J723" s="492" t="str">
        <f>IF(AND(C723&lt;&gt;"",('Cost Inputs'!$I$86+'Cost Inputs'!$J$86+'Cost Inputs'!$K$86)&gt;0), 'Cost Inputs'!$I$86+'Cost Inputs'!$J$86+'Cost Inputs'!$K$86, "")</f>
        <v/>
      </c>
      <c r="K723" s="102" t="str">
        <f>IF($C722&lt;&gt;"", IF(AND($E723&lt;&gt;"", J722&lt;&gt;""), J722/($E722*$E723), 0), "")</f>
        <v/>
      </c>
      <c r="L723" s="94"/>
      <c r="M723" s="103"/>
      <c r="W723" s="492" t="str">
        <f>IF(ISNUMBER('Model_ of_individuals'!W743), 'Model_ of_individuals'!W743*'Model_ of_individuals'!$K743,"")</f>
        <v/>
      </c>
      <c r="X723" s="492" t="str">
        <f>IF(ISNUMBER('Model_ of_individuals'!X743), 'Model_ of_individuals'!X743*'Model_ of_individuals'!$K743,"")</f>
        <v/>
      </c>
      <c r="Y723" s="492" t="str">
        <f>IF(ISNUMBER('Model_ of_individuals'!Y743), 'Model_ of_individuals'!Y743*'Model_ of_individuals'!$K743,"")</f>
        <v/>
      </c>
      <c r="Z723" s="492" t="str">
        <f>IF(ISNUMBER('Model_ of_individuals'!Z743), 'Model_ of_individuals'!Z743*'Model_ of_individuals'!$K743,"")</f>
        <v/>
      </c>
      <c r="AA723" s="492" t="str">
        <f>IF(ISNUMBER('Model_ of_individuals'!AA743), 'Model_ of_individuals'!AA743*'Model_ of_individuals'!$K743,"")</f>
        <v/>
      </c>
      <c r="AB723" s="492" t="str">
        <f>IF(ISNUMBER('Model_ of_individuals'!AB743), 'Model_ of_individuals'!AB743*'Model_ of_individuals'!$K743,"")</f>
        <v/>
      </c>
      <c r="AC723" s="492" t="str">
        <f>IF(ISNUMBER('Model_ of_individuals'!AC743), 'Model_ of_individuals'!AC743*'Model_ of_individuals'!$K743,"")</f>
        <v/>
      </c>
      <c r="AD723" s="492" t="str">
        <f>IF(ISNUMBER('Model_ of_individuals'!AD743), 'Model_ of_individuals'!AD743*'Model_ of_individuals'!$K743,"")</f>
        <v/>
      </c>
      <c r="AE723" s="492" t="str">
        <f>IF(ISNUMBER('Model_ of_individuals'!AE743), 'Model_ of_individuals'!AE743*'Model_ of_individuals'!$K743,"")</f>
        <v/>
      </c>
      <c r="AF723" s="492" t="str">
        <f>IF(ISNUMBER('Model_ of_individuals'!AF743), 'Model_ of_individuals'!AF743*'Model_ of_individuals'!$K743,"")</f>
        <v/>
      </c>
    </row>
    <row r="724" spans="1:33" x14ac:dyDescent="0.25">
      <c r="A724" s="518"/>
      <c r="B724" s="504"/>
      <c r="C724" s="376" t="str">
        <f>IF(AND(ISNUMBER(B711), C722&lt;&gt;"", OR('Cost Inputs'!$H$159&lt;&gt;"", 'Cost Inputs'!$I$159&lt;&gt;"", 'Cost Inputs'!$J$159&lt;&gt;"")), _5_5_1, "")</f>
        <v/>
      </c>
      <c r="D724" s="17" t="str">
        <f>IF(AND(C724&lt;&gt;"", 'Cost Inputs'!$G$159&lt;&gt;""), 'Cost Inputs'!$G$159, "")</f>
        <v/>
      </c>
      <c r="E724" s="17" t="str">
        <f>IF(AND(C724&lt;&gt;"", 'Cost Inputs'!$H$159&lt;&gt;""), 'Cost Inputs'!$H$159, "")</f>
        <v/>
      </c>
      <c r="F724" s="493" t="str">
        <f>IF(AND(C724&lt;&gt;"", 'Cost Inputs'!$I$159&lt;&gt;""), 'Cost Inputs'!$I$159, "")</f>
        <v/>
      </c>
      <c r="G724" s="105" t="str">
        <f t="shared" si="66"/>
        <v/>
      </c>
      <c r="H724" s="493" t="str">
        <f>IF(AND(C724&lt;&gt;"", 'Cost Inputs'!$J$159&lt;&gt;""), 'Cost Inputs'!$J$159, "")</f>
        <v/>
      </c>
      <c r="I724" s="105" t="str">
        <f>IF($C724&lt;&gt;"",IF(AND($E724&lt;&gt;"",H724&lt;&gt;""), H724/$E724, 0),"")</f>
        <v/>
      </c>
      <c r="J724" s="493" t="str">
        <f>IF(AND(C724&lt;&gt;"",('Cost Inputs'!$I$159+'Cost Inputs'!$J$159+'Cost Inputs'!$K$159)&gt;0), 'Cost Inputs'!$I$159+'Cost Inputs'!$J$159+'Cost Inputs'!$K$159, "")</f>
        <v/>
      </c>
      <c r="K724" s="105" t="str">
        <f>IF($C724&lt;&gt;"",IF(AND($E724&lt;&gt;"",J724&lt;&gt;""), J724/$E724, 0),"")</f>
        <v/>
      </c>
      <c r="M724" s="106"/>
      <c r="W724" s="493" t="str">
        <f>IF(ISNUMBER('Model_ of_individuals'!W744), 'Model_ of_individuals'!W744*'Model_ of_individuals'!$K744,"")</f>
        <v/>
      </c>
      <c r="X724" s="493" t="str">
        <f>IF(ISNUMBER('Model_ of_individuals'!X744), 'Model_ of_individuals'!X744*'Model_ of_individuals'!$K744,"")</f>
        <v/>
      </c>
      <c r="Y724" s="493" t="str">
        <f>IF(ISNUMBER('Model_ of_individuals'!Y744), 'Model_ of_individuals'!Y744*'Model_ of_individuals'!$K744,"")</f>
        <v/>
      </c>
      <c r="Z724" s="493" t="str">
        <f>IF(ISNUMBER('Model_ of_individuals'!Z744), 'Model_ of_individuals'!Z744*'Model_ of_individuals'!$K744,"")</f>
        <v/>
      </c>
      <c r="AA724" s="493" t="str">
        <f>IF(ISNUMBER('Model_ of_individuals'!AA744), 'Model_ of_individuals'!AA744*'Model_ of_individuals'!$K744,"")</f>
        <v/>
      </c>
      <c r="AB724" s="493" t="str">
        <f>IF(ISNUMBER('Model_ of_individuals'!AB744), 'Model_ of_individuals'!AB744*'Model_ of_individuals'!$K744,"")</f>
        <v/>
      </c>
      <c r="AC724" s="493" t="str">
        <f>IF(ISNUMBER('Model_ of_individuals'!AC744), 'Model_ of_individuals'!AC744*'Model_ of_individuals'!$K744,"")</f>
        <v/>
      </c>
      <c r="AD724" s="493" t="str">
        <f>IF(ISNUMBER('Model_ of_individuals'!AD744), 'Model_ of_individuals'!AD744*'Model_ of_individuals'!$K744,"")</f>
        <v/>
      </c>
      <c r="AE724" s="493" t="str">
        <f>IF(ISNUMBER('Model_ of_individuals'!AE744), 'Model_ of_individuals'!AE744*'Model_ of_individuals'!$K744,"")</f>
        <v/>
      </c>
      <c r="AF724" s="493" t="str">
        <f>IF(ISNUMBER('Model_ of_individuals'!AF744), 'Model_ of_individuals'!AF744*'Model_ of_individuals'!$K744,"")</f>
        <v/>
      </c>
    </row>
    <row r="725" spans="1:33" x14ac:dyDescent="0.25">
      <c r="A725" s="518"/>
      <c r="B725" s="504"/>
      <c r="C725" s="376" t="str">
        <f>IF(AND(ISNUMBER(B707), OR('Cost Inputs'!$H$85&lt;&gt;"", 'Cost Inputs'!$I$85&lt;&gt;"", 'Cost Inputs'!$J$85&lt;&gt;"")), _3_5_1, "")</f>
        <v/>
      </c>
      <c r="D725" s="17" t="str">
        <f>IF(AND(C724&lt;&gt;"", 'Cost Inputs'!$G$160&lt;&gt;""), 'Cost Inputs'!$G$160, "")</f>
        <v/>
      </c>
      <c r="E725" s="17" t="str">
        <f>IF(AND(C724&lt;&gt;"", 'Cost Inputs'!$H$160&lt;&gt;""), 'Cost Inputs'!$H$160, "")</f>
        <v/>
      </c>
      <c r="F725" s="493"/>
      <c r="G725" s="105" t="str">
        <f t="shared" si="66"/>
        <v/>
      </c>
      <c r="H725" s="493"/>
      <c r="I725" s="105" t="str">
        <f>IF($C724&lt;&gt;"", IF(AND($E725&lt;&gt;"", H724&lt;&gt;""), H724/($E724*$E725), 0), "")</f>
        <v/>
      </c>
      <c r="J725" s="493" t="str">
        <f>IF(AND(C725&lt;&gt;"",('Cost Inputs'!$I$86+'Cost Inputs'!$J$86+'Cost Inputs'!$K$86)&gt;0), 'Cost Inputs'!$I$86+'Cost Inputs'!$J$86+'Cost Inputs'!$K$86, "")</f>
        <v/>
      </c>
      <c r="K725" s="105" t="str">
        <f>IF($C724&lt;&gt;"", IF(AND($E725&lt;&gt;"", J724&lt;&gt;""), J724/($E724*$E725), 0), "")</f>
        <v/>
      </c>
      <c r="M725" s="106"/>
      <c r="W725" s="493" t="str">
        <f>IF(ISNUMBER('Model_ of_individuals'!W745), 'Model_ of_individuals'!W745*'Model_ of_individuals'!$K745,"")</f>
        <v/>
      </c>
      <c r="X725" s="493" t="str">
        <f>IF(ISNUMBER('Model_ of_individuals'!X745), 'Model_ of_individuals'!X745*'Model_ of_individuals'!$K745,"")</f>
        <v/>
      </c>
      <c r="Y725" s="493" t="str">
        <f>IF(ISNUMBER('Model_ of_individuals'!Y745), 'Model_ of_individuals'!Y745*'Model_ of_individuals'!$K745,"")</f>
        <v/>
      </c>
      <c r="Z725" s="493" t="str">
        <f>IF(ISNUMBER('Model_ of_individuals'!Z745), 'Model_ of_individuals'!Z745*'Model_ of_individuals'!$K745,"")</f>
        <v/>
      </c>
      <c r="AA725" s="493" t="str">
        <f>IF(ISNUMBER('Model_ of_individuals'!AA745), 'Model_ of_individuals'!AA745*'Model_ of_individuals'!$K745,"")</f>
        <v/>
      </c>
      <c r="AB725" s="493" t="str">
        <f>IF(ISNUMBER('Model_ of_individuals'!AB745), 'Model_ of_individuals'!AB745*'Model_ of_individuals'!$K745,"")</f>
        <v/>
      </c>
      <c r="AC725" s="493" t="str">
        <f>IF(ISNUMBER('Model_ of_individuals'!AC745), 'Model_ of_individuals'!AC745*'Model_ of_individuals'!$K745,"")</f>
        <v/>
      </c>
      <c r="AD725" s="493" t="str">
        <f>IF(ISNUMBER('Model_ of_individuals'!AD745), 'Model_ of_individuals'!AD745*'Model_ of_individuals'!$K745,"")</f>
        <v/>
      </c>
      <c r="AE725" s="493" t="str">
        <f>IF(ISNUMBER('Model_ of_individuals'!AE745), 'Model_ of_individuals'!AE745*'Model_ of_individuals'!$K745,"")</f>
        <v/>
      </c>
      <c r="AF725" s="493" t="str">
        <f>IF(ISNUMBER('Model_ of_individuals'!AF745), 'Model_ of_individuals'!AF745*'Model_ of_individuals'!$K745,"")</f>
        <v/>
      </c>
    </row>
    <row r="726" spans="1:33" x14ac:dyDescent="0.25">
      <c r="A726" s="518"/>
      <c r="B726" s="504"/>
      <c r="C726" s="107" t="str">
        <f>IF(AND(ISNUMBER(B711), C722&lt;&gt;"", OR('Cost Inputs'!$H$161&lt;&gt;"", 'Cost Inputs'!$I$161&lt;&gt;"", 'Cost Inputs'!$J$161&lt;&gt;"")), _5_5_2, "")</f>
        <v/>
      </c>
      <c r="D726" s="93" t="str">
        <f>IF(AND(C726&lt;&gt;"", 'Cost Inputs'!$G$161&lt;&gt;""), 'Cost Inputs'!$G$161, "")</f>
        <v/>
      </c>
      <c r="E726" s="93" t="str">
        <f>IF(AND(C726&lt;&gt;"", 'Cost Inputs'!$H$161&lt;&gt;""), 'Cost Inputs'!$H$161, "")</f>
        <v/>
      </c>
      <c r="F726" s="93" t="str">
        <f>IF(AND(C726&lt;&gt;"", 'Cost Inputs'!$I$161&lt;&gt;""), 'Cost Inputs'!$I$161, "")</f>
        <v/>
      </c>
      <c r="G726" s="108" t="str">
        <f t="shared" si="66"/>
        <v/>
      </c>
      <c r="H726" s="93" t="str">
        <f>IF(AND(C726&lt;&gt;"", 'Cost Inputs'!$J$161&lt;&gt;""), 'Cost Inputs'!$J$161, "")</f>
        <v/>
      </c>
      <c r="I726" s="93" t="str">
        <f>IF($C726&lt;&gt;"", IF(AND($E726&lt;&gt;"", H726&lt;&gt;""), H726/$E726, 0),"")</f>
        <v/>
      </c>
      <c r="J726" s="93" t="str">
        <f>IF(AND(C726&lt;&gt;"",('Cost Inputs'!$I$161+'Cost Inputs'!$J$161+'Cost Inputs'!$K$161)&gt;0), 'Cost Inputs'!$I$161+'Cost Inputs'!$J$161+'Cost Inputs'!$K$161, "")</f>
        <v/>
      </c>
      <c r="K726" s="93" t="str">
        <f>IF($C726&lt;&gt;"", IF(AND($E726&lt;&gt;"", J726&lt;&gt;""), J726/$E726, 0),"")</f>
        <v/>
      </c>
      <c r="L726" s="93"/>
      <c r="M726" s="109"/>
      <c r="W726" s="93" t="str">
        <f>IF(ISNUMBER('Model_ of_individuals'!W746), 'Model_ of_individuals'!W746*'Model_ of_individuals'!$K746,"")</f>
        <v/>
      </c>
      <c r="X726" s="93" t="str">
        <f>IF(ISNUMBER('Model_ of_individuals'!X746), 'Model_ of_individuals'!X746*'Model_ of_individuals'!$K746,"")</f>
        <v/>
      </c>
      <c r="Y726" s="93" t="str">
        <f>IF(ISNUMBER('Model_ of_individuals'!Y746), 'Model_ of_individuals'!Y746*'Model_ of_individuals'!$K746,"")</f>
        <v/>
      </c>
      <c r="Z726" s="93" t="str">
        <f>IF(ISNUMBER('Model_ of_individuals'!Z746), 'Model_ of_individuals'!Z746*'Model_ of_individuals'!$K746,"")</f>
        <v/>
      </c>
      <c r="AA726" s="93" t="str">
        <f>IF(ISNUMBER('Model_ of_individuals'!AA746), 'Model_ of_individuals'!AA746*'Model_ of_individuals'!$K746,"")</f>
        <v/>
      </c>
      <c r="AB726" s="93" t="str">
        <f>IF(ISNUMBER('Model_ of_individuals'!AB746), 'Model_ of_individuals'!AB746*'Model_ of_individuals'!$K746,"")</f>
        <v/>
      </c>
      <c r="AC726" s="93" t="str">
        <f>IF(ISNUMBER('Model_ of_individuals'!AC746), 'Model_ of_individuals'!AC746*'Model_ of_individuals'!$K746,"")</f>
        <v/>
      </c>
      <c r="AD726" s="93" t="str">
        <f>IF(ISNUMBER('Model_ of_individuals'!AD746), 'Model_ of_individuals'!AD746*'Model_ of_individuals'!$K746,"")</f>
        <v/>
      </c>
      <c r="AE726" s="93" t="str">
        <f>IF(ISNUMBER('Model_ of_individuals'!AE746), 'Model_ of_individuals'!AE746*'Model_ of_individuals'!$K746,"")</f>
        <v/>
      </c>
      <c r="AF726" s="93" t="str">
        <f>IF(ISNUMBER('Model_ of_individuals'!AF746), 'Model_ of_individuals'!AF746*'Model_ of_individuals'!$K746,"")</f>
        <v/>
      </c>
    </row>
    <row r="727" spans="1:33" x14ac:dyDescent="0.25">
      <c r="A727" s="518"/>
      <c r="B727" s="504"/>
      <c r="C727" s="104" t="str">
        <f>IF(AND(ISNUMBER(B711), C722&lt;&gt;"", OR('Cost Inputs'!$H$162&lt;&gt;"", 'Cost Inputs'!$I$162&lt;&gt;"", 'Cost Inputs'!$J$162&lt;&gt;"")), _5_5_3, "")</f>
        <v/>
      </c>
      <c r="D727" s="17" t="str">
        <f>IF(AND(C727&lt;&gt;"", 'Cost Inputs'!$G$162&lt;&gt;""), 'Cost Inputs'!$G$162, "")</f>
        <v/>
      </c>
      <c r="E727" s="17" t="str">
        <f>IF(AND(C727&lt;&gt;"", 'Cost Inputs'!$H$162&lt;&gt;""), 'Cost Inputs'!$H$162, "")</f>
        <v/>
      </c>
      <c r="F727" s="17" t="str">
        <f>IF(AND(C727&lt;&gt;"", 'Cost Inputs'!$I$162&lt;&gt;""), 'Cost Inputs'!$I$162, "")</f>
        <v/>
      </c>
      <c r="G727" s="105" t="str">
        <f t="shared" si="66"/>
        <v/>
      </c>
      <c r="H727" s="17" t="str">
        <f>IF(AND(C727&lt;&gt;"", 'Cost Inputs'!$J$162&lt;&gt;""), 'Cost Inputs'!$J$162, "")</f>
        <v/>
      </c>
      <c r="I727" s="17" t="str">
        <f>IF($C727&lt;&gt;"", IF(AND($E727&lt;&gt;"", H727&lt;&gt;""), H727/$E727, 0),"")</f>
        <v/>
      </c>
      <c r="J727" s="17" t="str">
        <f>IF(AND(C727&lt;&gt;"",('Cost Inputs'!$I$162+'Cost Inputs'!$J$162+'Cost Inputs'!$K$162)&gt;0), 'Cost Inputs'!$I$162+'Cost Inputs'!$J$162+'Cost Inputs'!$K$162, "")</f>
        <v/>
      </c>
      <c r="K727" s="17" t="str">
        <f>IF($C727&lt;&gt;"", IF(AND($E727&lt;&gt;"", J727&lt;&gt;""), J727/$E727, 0),"")</f>
        <v/>
      </c>
      <c r="M727" s="106"/>
      <c r="W727" s="17" t="str">
        <f>IF(ISNUMBER('Model_ of_individuals'!W747), 'Model_ of_individuals'!W747*'Model_ of_individuals'!$K747,"")</f>
        <v/>
      </c>
      <c r="X727" s="17" t="str">
        <f>IF(ISNUMBER('Model_ of_individuals'!X747), 'Model_ of_individuals'!X747*'Model_ of_individuals'!$K747,"")</f>
        <v/>
      </c>
      <c r="Y727" s="17" t="str">
        <f>IF(ISNUMBER('Model_ of_individuals'!Y747), 'Model_ of_individuals'!Y747*'Model_ of_individuals'!$K747,"")</f>
        <v/>
      </c>
      <c r="Z727" s="17" t="str">
        <f>IF(ISNUMBER('Model_ of_individuals'!Z747), 'Model_ of_individuals'!Z747*'Model_ of_individuals'!$K747,"")</f>
        <v/>
      </c>
      <c r="AA727" s="17" t="str">
        <f>IF(ISNUMBER('Model_ of_individuals'!AA747), 'Model_ of_individuals'!AA747*'Model_ of_individuals'!$K747,"")</f>
        <v/>
      </c>
      <c r="AB727" s="17" t="str">
        <f>IF(ISNUMBER('Model_ of_individuals'!AB747), 'Model_ of_individuals'!AB747*'Model_ of_individuals'!$K747,"")</f>
        <v/>
      </c>
      <c r="AC727" s="17" t="str">
        <f>IF(ISNUMBER('Model_ of_individuals'!AC747), 'Model_ of_individuals'!AC747*'Model_ of_individuals'!$K747,"")</f>
        <v/>
      </c>
      <c r="AD727" s="17" t="str">
        <f>IF(ISNUMBER('Model_ of_individuals'!AD747), 'Model_ of_individuals'!AD747*'Model_ of_individuals'!$K747,"")</f>
        <v/>
      </c>
      <c r="AE727" s="17" t="str">
        <f>IF(ISNUMBER('Model_ of_individuals'!AE747), 'Model_ of_individuals'!AE747*'Model_ of_individuals'!$K747,"")</f>
        <v/>
      </c>
      <c r="AF727" s="17" t="str">
        <f>IF(ISNUMBER('Model_ of_individuals'!AF747), 'Model_ of_individuals'!AF747*'Model_ of_individuals'!$K747,"")</f>
        <v/>
      </c>
    </row>
    <row r="728" spans="1:33" x14ac:dyDescent="0.25">
      <c r="A728" s="518"/>
      <c r="B728" s="504"/>
      <c r="C728" s="107" t="str">
        <f>IF(AND(ISNUMBER(B711), C722&lt;&gt;"", OR('Cost Inputs'!$H$163&lt;&gt;"", 'Cost Inputs'!$I$163&lt;&gt;"", 'Cost Inputs'!$J$163&lt;&gt;"")), _5_5_4, "")</f>
        <v/>
      </c>
      <c r="D728" s="93" t="str">
        <f>IF(AND(C728&lt;&gt;"", 'Cost Inputs'!$G$163&lt;&gt;""), 'Cost Inputs'!$G$163, "")</f>
        <v/>
      </c>
      <c r="E728" s="93" t="str">
        <f>IF(AND(C728&lt;&gt;"", 'Cost Inputs'!$H$163&lt;&gt;""), 'Cost Inputs'!$H$163, "")</f>
        <v/>
      </c>
      <c r="F728" s="93" t="str">
        <f>IF(AND(C728&lt;&gt;"", 'Cost Inputs'!$I$163&lt;&gt;""), 'Cost Inputs'!$I$163, "")</f>
        <v/>
      </c>
      <c r="G728" s="108" t="str">
        <f t="shared" si="66"/>
        <v/>
      </c>
      <c r="H728" s="93" t="str">
        <f>IF(AND(C728&lt;&gt;"", 'Cost Inputs'!$J$163&lt;&gt;""), 'Cost Inputs'!$J$163, "")</f>
        <v/>
      </c>
      <c r="I728" s="93" t="str">
        <f>IF($C728&lt;&gt;"", IF(AND($E728&lt;&gt;"", H728&lt;&gt;""), H728/$E728, 0),"")</f>
        <v/>
      </c>
      <c r="J728" s="93" t="str">
        <f>IF(AND(C728&lt;&gt;"",('Cost Inputs'!$I$163+'Cost Inputs'!$J$163+'Cost Inputs'!$K$163)&gt;0), 'Cost Inputs'!$I$163+'Cost Inputs'!$J$163+'Cost Inputs'!$K$163, "")</f>
        <v/>
      </c>
      <c r="K728" s="93" t="str">
        <f>IF($C728&lt;&gt;"", IF(AND($E728&lt;&gt;"", J728&lt;&gt;""), J728/$E728, 0),"")</f>
        <v/>
      </c>
      <c r="L728" s="93"/>
      <c r="M728" s="109"/>
      <c r="W728" s="93" t="str">
        <f>IF(ISNUMBER('Model_ of_individuals'!W748), 'Model_ of_individuals'!W748*'Model_ of_individuals'!$K748,"")</f>
        <v/>
      </c>
      <c r="X728" s="93" t="str">
        <f>IF(ISNUMBER('Model_ of_individuals'!X748), 'Model_ of_individuals'!X748*'Model_ of_individuals'!$K748,"")</f>
        <v/>
      </c>
      <c r="Y728" s="93" t="str">
        <f>IF(ISNUMBER('Model_ of_individuals'!Y748), 'Model_ of_individuals'!Y748*'Model_ of_individuals'!$K748,"")</f>
        <v/>
      </c>
      <c r="Z728" s="93" t="str">
        <f>IF(ISNUMBER('Model_ of_individuals'!Z748), 'Model_ of_individuals'!Z748*'Model_ of_individuals'!$K748,"")</f>
        <v/>
      </c>
      <c r="AA728" s="93" t="str">
        <f>IF(ISNUMBER('Model_ of_individuals'!AA748), 'Model_ of_individuals'!AA748*'Model_ of_individuals'!$K748,"")</f>
        <v/>
      </c>
      <c r="AB728" s="93" t="str">
        <f>IF(ISNUMBER('Model_ of_individuals'!AB748), 'Model_ of_individuals'!AB748*'Model_ of_individuals'!$K748,"")</f>
        <v/>
      </c>
      <c r="AC728" s="93" t="str">
        <f>IF(ISNUMBER('Model_ of_individuals'!AC748), 'Model_ of_individuals'!AC748*'Model_ of_individuals'!$K748,"")</f>
        <v/>
      </c>
      <c r="AD728" s="93" t="str">
        <f>IF(ISNUMBER('Model_ of_individuals'!AD748), 'Model_ of_individuals'!AD748*'Model_ of_individuals'!$K748,"")</f>
        <v/>
      </c>
      <c r="AE728" s="93" t="str">
        <f>IF(ISNUMBER('Model_ of_individuals'!AE748), 'Model_ of_individuals'!AE748*'Model_ of_individuals'!$K748,"")</f>
        <v/>
      </c>
      <c r="AF728" s="93" t="str">
        <f>IF(ISNUMBER('Model_ of_individuals'!AF748), 'Model_ of_individuals'!AF748*'Model_ of_individuals'!$K748,"")</f>
        <v/>
      </c>
    </row>
    <row r="729" spans="1:33" x14ac:dyDescent="0.25">
      <c r="A729" s="518"/>
      <c r="B729" s="504"/>
      <c r="C729" s="104" t="str">
        <f>IF(AND(ISNUMBER(B711), C722&lt;&gt;"", OR('Cost Inputs'!$H$164&lt;&gt;"", 'Cost Inputs'!$I$164&lt;&gt;"", 'Cost Inputs'!$J$164&lt;&gt;"")), _5_5_5, "")</f>
        <v/>
      </c>
      <c r="D729" s="17" t="str">
        <f>IF(AND(C729&lt;&gt;"", 'Cost Inputs'!$G$164&lt;&gt;""), 'Cost Inputs'!$G$164, "")</f>
        <v/>
      </c>
      <c r="E729" s="17" t="str">
        <f>IF(AND(C729&lt;&gt;"", 'Cost Inputs'!$H$164&lt;&gt;""), 'Cost Inputs'!$H$164, "")</f>
        <v/>
      </c>
      <c r="F729" s="17" t="str">
        <f>IF(AND(C729&lt;&gt;"", 'Cost Inputs'!$I$164&lt;&gt;""), 'Cost Inputs'!$I$164, "")</f>
        <v/>
      </c>
      <c r="G729" s="105" t="str">
        <f t="shared" si="66"/>
        <v/>
      </c>
      <c r="H729" s="17" t="str">
        <f>IF(AND(C729&lt;&gt;"", 'Cost Inputs'!$J$164&lt;&gt;""), 'Cost Inputs'!$J$164, "")</f>
        <v/>
      </c>
      <c r="I729" s="17" t="str">
        <f>IF($C729&lt;&gt;"", IF(AND($E729&lt;&gt;"", H729&lt;&gt;""), H729/$E729, 0),"")</f>
        <v/>
      </c>
      <c r="J729" s="17" t="str">
        <f>IF(AND(C729&lt;&gt;"",('Cost Inputs'!$I$164+'Cost Inputs'!$J$164+'Cost Inputs'!$K$164)&gt;0), 'Cost Inputs'!$I$164+'Cost Inputs'!$J$164+'Cost Inputs'!$K$164, "")</f>
        <v/>
      </c>
      <c r="K729" s="17" t="str">
        <f>IF($C729&lt;&gt;"", IF(AND($E729&lt;&gt;"", J729&lt;&gt;""), J729/$E729, 0),"")</f>
        <v/>
      </c>
      <c r="M729" s="106"/>
      <c r="W729" s="17" t="str">
        <f>IF(ISNUMBER('Model_ of_individuals'!W749), 'Model_ of_individuals'!W749*'Model_ of_individuals'!$K749,"")</f>
        <v/>
      </c>
      <c r="X729" s="17" t="str">
        <f>IF(ISNUMBER('Model_ of_individuals'!X749), 'Model_ of_individuals'!X749*'Model_ of_individuals'!$K749,"")</f>
        <v/>
      </c>
      <c r="Y729" s="17" t="str">
        <f>IF(ISNUMBER('Model_ of_individuals'!Y749), 'Model_ of_individuals'!Y749*'Model_ of_individuals'!$K749,"")</f>
        <v/>
      </c>
      <c r="Z729" s="17" t="str">
        <f>IF(ISNUMBER('Model_ of_individuals'!Z749), 'Model_ of_individuals'!Z749*'Model_ of_individuals'!$K749,"")</f>
        <v/>
      </c>
      <c r="AA729" s="17" t="str">
        <f>IF(ISNUMBER('Model_ of_individuals'!AA749), 'Model_ of_individuals'!AA749*'Model_ of_individuals'!$K749,"")</f>
        <v/>
      </c>
      <c r="AB729" s="17" t="str">
        <f>IF(ISNUMBER('Model_ of_individuals'!AB749), 'Model_ of_individuals'!AB749*'Model_ of_individuals'!$K749,"")</f>
        <v/>
      </c>
      <c r="AC729" s="17" t="str">
        <f>IF(ISNUMBER('Model_ of_individuals'!AC749), 'Model_ of_individuals'!AC749*'Model_ of_individuals'!$K749,"")</f>
        <v/>
      </c>
      <c r="AD729" s="17" t="str">
        <f>IF(ISNUMBER('Model_ of_individuals'!AD749), 'Model_ of_individuals'!AD749*'Model_ of_individuals'!$K749,"")</f>
        <v/>
      </c>
      <c r="AE729" s="17" t="str">
        <f>IF(ISNUMBER('Model_ of_individuals'!AE749), 'Model_ of_individuals'!AE749*'Model_ of_individuals'!$K749,"")</f>
        <v/>
      </c>
      <c r="AF729" s="17" t="str">
        <f>IF(ISNUMBER('Model_ of_individuals'!AF749), 'Model_ of_individuals'!AF749*'Model_ of_individuals'!$K749,"")</f>
        <v/>
      </c>
    </row>
    <row r="730" spans="1:33" x14ac:dyDescent="0.25">
      <c r="A730" s="518"/>
      <c r="B730" s="504"/>
      <c r="C730" s="110" t="str">
        <f>IF(ISNUMBER(B711), _5_6_0, "")</f>
        <v/>
      </c>
      <c r="D730" s="94" t="str">
        <f>IF(AND(C730&lt;&gt;"", 'Cost Inputs'!$G$165&lt;&gt;""), 'Cost Inputs'!$G$165, "")</f>
        <v/>
      </c>
      <c r="E730" s="94" t="str">
        <f>IF(AND(C730&lt;&gt;"", 'Cost Inputs'!$H$165&lt;&gt;""), 'Cost Inputs'!$H$165, "")</f>
        <v/>
      </c>
      <c r="F730" s="94" t="str">
        <f>IF(AND(C730&lt;&gt;"", 'Cost Inputs'!$I$165&lt;&gt;""), 'Cost Inputs'!$I$165, "")</f>
        <v/>
      </c>
      <c r="G730" s="102" t="str">
        <f t="shared" si="66"/>
        <v/>
      </c>
      <c r="H730" s="94" t="str">
        <f>IF(AND(C730&lt;&gt;"", 'Cost Inputs'!$J$165&lt;&gt;""), 'Cost Inputs'!$J$165, "")</f>
        <v/>
      </c>
      <c r="I730" s="102" t="str">
        <f>IF($C730&lt;&gt;"",IF(AND($E730&lt;&gt;"",H730&lt;&gt;""), H730/$E730, 0),"")</f>
        <v/>
      </c>
      <c r="J730" s="94" t="str">
        <f>IF(AND(C730&lt;&gt;"",('Cost Inputs'!$I$165+'Cost Inputs'!$J$165+'Cost Inputs'!$K$165)&gt;0), 'Cost Inputs'!$I$165+'Cost Inputs'!$J$165+'Cost Inputs'!$K$165, "")</f>
        <v/>
      </c>
      <c r="K730" s="102" t="str">
        <f>IF($C730&lt;&gt;"",IF(AND($E730&lt;&gt;"",J730&lt;&gt;""), J730/$E730, 0),"")</f>
        <v/>
      </c>
      <c r="L730" s="94"/>
      <c r="M730" s="103"/>
      <c r="W730" s="94" t="str">
        <f>IF(ISNUMBER('Model_ of_individuals'!W750), 'Model_ of_individuals'!W750*'Model_ of_individuals'!$K750,"")</f>
        <v/>
      </c>
      <c r="X730" s="94" t="str">
        <f>IF(ISNUMBER('Model_ of_individuals'!X750), 'Model_ of_individuals'!X750*'Model_ of_individuals'!$K750,"")</f>
        <v/>
      </c>
      <c r="Y730" s="94" t="str">
        <f>IF(ISNUMBER('Model_ of_individuals'!Y750), 'Model_ of_individuals'!Y750*'Model_ of_individuals'!$K750,"")</f>
        <v/>
      </c>
      <c r="Z730" s="94" t="str">
        <f>IF(ISNUMBER('Model_ of_individuals'!Z750), 'Model_ of_individuals'!Z750*'Model_ of_individuals'!$K750,"")</f>
        <v/>
      </c>
      <c r="AA730" s="94" t="str">
        <f>IF(ISNUMBER('Model_ of_individuals'!AA750), 'Model_ of_individuals'!AA750*'Model_ of_individuals'!$K750,"")</f>
        <v/>
      </c>
      <c r="AB730" s="94" t="str">
        <f>IF(ISNUMBER('Model_ of_individuals'!AB750), 'Model_ of_individuals'!AB750*'Model_ of_individuals'!$K750,"")</f>
        <v/>
      </c>
      <c r="AC730" s="94" t="str">
        <f>IF(ISNUMBER('Model_ of_individuals'!AC750), 'Model_ of_individuals'!AC750*'Model_ of_individuals'!$K750,"")</f>
        <v/>
      </c>
      <c r="AD730" s="94" t="str">
        <f>IF(ISNUMBER('Model_ of_individuals'!AD750), 'Model_ of_individuals'!AD750*'Model_ of_individuals'!$K750,"")</f>
        <v/>
      </c>
      <c r="AE730" s="94" t="str">
        <f>IF(ISNUMBER('Model_ of_individuals'!AE750), 'Model_ of_individuals'!AE750*'Model_ of_individuals'!$K750,"")</f>
        <v/>
      </c>
      <c r="AF730" s="94" t="str">
        <f>IF(ISNUMBER('Model_ of_individuals'!AF750), 'Model_ of_individuals'!AF750*'Model_ of_individuals'!$K750,"")</f>
        <v/>
      </c>
    </row>
    <row r="731" spans="1:33" x14ac:dyDescent="0.25">
      <c r="A731" s="518"/>
      <c r="B731" s="504"/>
      <c r="C731" s="104" t="str">
        <f>IF(AND(ISNUMBER(B711), OR('Cost Inputs'!$H$166&lt;&gt;"", 'Cost Inputs'!$I$166&lt;&gt;"", 'Cost Inputs'!$J$166&lt;&gt;"")), _5_6_1, "")</f>
        <v/>
      </c>
      <c r="D731" s="17" t="str">
        <f>IF(AND(C731&lt;&gt;"", 'Cost Inputs'!$G$166&lt;&gt;""), 'Cost Inputs'!$G$166, "")</f>
        <v/>
      </c>
      <c r="E731" s="17" t="str">
        <f>IF(AND(C731&lt;&gt;"", 'Cost Inputs'!$H$166&lt;&gt;""), 'Cost Inputs'!$H$166, "")</f>
        <v/>
      </c>
      <c r="F731" s="17" t="str">
        <f>IF(AND(C731&lt;&gt;"", 'Cost Inputs'!$I$166&lt;&gt;""), 'Cost Inputs'!$I$166, "")</f>
        <v/>
      </c>
      <c r="G731" s="105" t="str">
        <f t="shared" si="66"/>
        <v/>
      </c>
      <c r="H731" s="17" t="str">
        <f>IF(AND(C731&lt;&gt;"", 'Cost Inputs'!$J$166&lt;&gt;""), 'Cost Inputs'!$J$166, "")</f>
        <v/>
      </c>
      <c r="I731" s="17" t="str">
        <f>IF($C731&lt;&gt;"", IF(AND($E731&lt;&gt;"", H731&lt;&gt;""), H731/$E731, 0),"")</f>
        <v/>
      </c>
      <c r="J731" s="17" t="str">
        <f>IF(AND(C731&lt;&gt;"",('Cost Inputs'!$I$166+'Cost Inputs'!$J$166+'Cost Inputs'!$K$166)&gt;0), 'Cost Inputs'!$I$166+'Cost Inputs'!$J$166+'Cost Inputs'!$K$166, "")</f>
        <v/>
      </c>
      <c r="K731" s="17" t="str">
        <f>IF($C731&lt;&gt;"", IF(AND($E731&lt;&gt;"", J731&lt;&gt;""), J731/$E731, 0),"")</f>
        <v/>
      </c>
      <c r="M731" s="106"/>
      <c r="W731" s="17" t="str">
        <f>IF(ISNUMBER('Model_ of_individuals'!W751), 'Model_ of_individuals'!W751*'Model_ of_individuals'!$K751,"")</f>
        <v/>
      </c>
      <c r="X731" s="17" t="str">
        <f>IF(ISNUMBER('Model_ of_individuals'!X751), 'Model_ of_individuals'!X751*'Model_ of_individuals'!$K751,"")</f>
        <v/>
      </c>
      <c r="Y731" s="17" t="str">
        <f>IF(ISNUMBER('Model_ of_individuals'!Y751), 'Model_ of_individuals'!Y751*'Model_ of_individuals'!$K751,"")</f>
        <v/>
      </c>
      <c r="Z731" s="17" t="str">
        <f>IF(ISNUMBER('Model_ of_individuals'!Z751), 'Model_ of_individuals'!Z751*'Model_ of_individuals'!$K751,"")</f>
        <v/>
      </c>
      <c r="AA731" s="17" t="str">
        <f>IF(ISNUMBER('Model_ of_individuals'!AA751), 'Model_ of_individuals'!AA751*'Model_ of_individuals'!$K751,"")</f>
        <v/>
      </c>
      <c r="AB731" s="17" t="str">
        <f>IF(ISNUMBER('Model_ of_individuals'!AB751), 'Model_ of_individuals'!AB751*'Model_ of_individuals'!$K751,"")</f>
        <v/>
      </c>
      <c r="AC731" s="17" t="str">
        <f>IF(ISNUMBER('Model_ of_individuals'!AC751), 'Model_ of_individuals'!AC751*'Model_ of_individuals'!$K751,"")</f>
        <v/>
      </c>
      <c r="AD731" s="17" t="str">
        <f>IF(ISNUMBER('Model_ of_individuals'!AD751), 'Model_ of_individuals'!AD751*'Model_ of_individuals'!$K751,"")</f>
        <v/>
      </c>
      <c r="AE731" s="17" t="str">
        <f>IF(ISNUMBER('Model_ of_individuals'!AE751), 'Model_ of_individuals'!AE751*'Model_ of_individuals'!$K751,"")</f>
        <v/>
      </c>
      <c r="AF731" s="17" t="str">
        <f>IF(ISNUMBER('Model_ of_individuals'!AF751), 'Model_ of_individuals'!AF751*'Model_ of_individuals'!$K751,"")</f>
        <v/>
      </c>
    </row>
    <row r="732" spans="1:33" ht="15.75" thickBot="1" x14ac:dyDescent="0.3">
      <c r="A732" s="518"/>
      <c r="B732" s="505"/>
      <c r="C732" s="111" t="str">
        <f>IF(AND(ISNUMBER(B711), OR('Cost Inputs'!$H$167&lt;&gt;"", 'Cost Inputs'!$I$167&lt;&gt;"", 'Cost Inputs'!$J$167&lt;&gt;"")), _5_6_2, "")</f>
        <v/>
      </c>
      <c r="D732" s="95" t="str">
        <f>IF(AND(C732&lt;&gt;"", 'Cost Inputs'!$G$167&lt;&gt;""), 'Cost Inputs'!$G$167, "")</f>
        <v/>
      </c>
      <c r="E732" s="95" t="str">
        <f>IF(AND(C732&lt;&gt;"", 'Cost Inputs'!$H$167&lt;&gt;""), 'Cost Inputs'!$H$167, "")</f>
        <v/>
      </c>
      <c r="F732" s="95" t="str">
        <f>IF(AND(C732&lt;&gt;"", 'Cost Inputs'!$I$167&lt;&gt;""), 'Cost Inputs'!$I$167, "")</f>
        <v/>
      </c>
      <c r="G732" s="112" t="str">
        <f t="shared" si="66"/>
        <v/>
      </c>
      <c r="H732" s="95" t="str">
        <f>IF(AND(C732&lt;&gt;"", 'Cost Inputs'!$J$167&lt;&gt;""), 'Cost Inputs'!$J$167, "")</f>
        <v/>
      </c>
      <c r="I732" s="95" t="str">
        <f>IF($C732&lt;&gt;"", IF(AND($E732&lt;&gt;"", H732&lt;&gt;""), H732/$E732, 0),"")</f>
        <v/>
      </c>
      <c r="J732" s="95" t="str">
        <f>IF(AND(C732&lt;&gt;"",('Cost Inputs'!$I$167+'Cost Inputs'!$J$167+'Cost Inputs'!$K$167)&gt;0), 'Cost Inputs'!$I$167+'Cost Inputs'!$J$167+'Cost Inputs'!$K$167, "")</f>
        <v/>
      </c>
      <c r="K732" s="95" t="str">
        <f>IF($C732&lt;&gt;"", IF(AND($E732&lt;&gt;"", J732&lt;&gt;""), J732/$E732, 0),"")</f>
        <v/>
      </c>
      <c r="L732" s="95"/>
      <c r="M732" s="113"/>
      <c r="W732" s="95" t="str">
        <f>IF(ISNUMBER('Model_ of_individuals'!W752), 'Model_ of_individuals'!W752*'Model_ of_individuals'!$K752,"")</f>
        <v/>
      </c>
      <c r="X732" s="95" t="str">
        <f>IF(ISNUMBER('Model_ of_individuals'!X752), 'Model_ of_individuals'!X752*'Model_ of_individuals'!$K752,"")</f>
        <v/>
      </c>
      <c r="Y732" s="95" t="str">
        <f>IF(ISNUMBER('Model_ of_individuals'!Y752), 'Model_ of_individuals'!Y752*'Model_ of_individuals'!$K752,"")</f>
        <v/>
      </c>
      <c r="Z732" s="95" t="str">
        <f>IF(ISNUMBER('Model_ of_individuals'!Z752), 'Model_ of_individuals'!Z752*'Model_ of_individuals'!$K752,"")</f>
        <v/>
      </c>
      <c r="AA732" s="95" t="str">
        <f>IF(ISNUMBER('Model_ of_individuals'!AA752), 'Model_ of_individuals'!AA752*'Model_ of_individuals'!$K752,"")</f>
        <v/>
      </c>
      <c r="AB732" s="95" t="str">
        <f>IF(ISNUMBER('Model_ of_individuals'!AB752), 'Model_ of_individuals'!AB752*'Model_ of_individuals'!$K752,"")</f>
        <v/>
      </c>
      <c r="AC732" s="95" t="str">
        <f>IF(ISNUMBER('Model_ of_individuals'!AC752), 'Model_ of_individuals'!AC752*'Model_ of_individuals'!$K752,"")</f>
        <v/>
      </c>
      <c r="AD732" s="95" t="str">
        <f>IF(ISNUMBER('Model_ of_individuals'!AD752), 'Model_ of_individuals'!AD752*'Model_ of_individuals'!$K752,"")</f>
        <v/>
      </c>
      <c r="AE732" s="95" t="str">
        <f>IF(ISNUMBER('Model_ of_individuals'!AE752), 'Model_ of_individuals'!AE752*'Model_ of_individuals'!$K752,"")</f>
        <v/>
      </c>
      <c r="AF732" s="95" t="str">
        <f>IF(ISNUMBER('Model_ of_individuals'!AF752), 'Model_ of_individuals'!AF752*'Model_ of_individuals'!$K752,"")</f>
        <v/>
      </c>
    </row>
    <row r="733" spans="1:33" x14ac:dyDescent="0.25">
      <c r="A733" s="518" t="str">
        <f>Fifth_Stage</f>
        <v>Stage 3 Clonal Replication with Increased Repetitions</v>
      </c>
      <c r="B733" s="503" t="str">
        <f>'Breeding Inputs'!B110</f>
        <v/>
      </c>
      <c r="C733" s="520" t="str">
        <f>IF(ISNUMBER(B733), _5_3_0, "")</f>
        <v/>
      </c>
      <c r="D733" s="92" t="str">
        <f>IF(AND(C733&lt;&gt;"", 'Cost Inputs'!$G$146&lt;&gt;""), 'Cost Inputs'!$G$146, "")</f>
        <v/>
      </c>
      <c r="E733" s="92" t="str">
        <f>IF(AND(C733&lt;&gt;"", 'Cost Inputs'!$H$146&lt;&gt;""), 'Cost Inputs'!$H$146, "")</f>
        <v/>
      </c>
      <c r="F733" s="522" t="str">
        <f>IF(AND(C733&lt;&gt;"", 'Cost Inputs'!$I$146&lt;&gt;""), 'Cost Inputs'!$I$146, "")</f>
        <v/>
      </c>
      <c r="G733" s="100" t="str">
        <f t="shared" si="66"/>
        <v/>
      </c>
      <c r="H733" s="522" t="str">
        <f>IF(AND(C733&lt;&gt;"", 'Cost Inputs'!$J$146&lt;&gt;""), 'Cost Inputs'!$J$146, "")</f>
        <v/>
      </c>
      <c r="I733" s="100" t="str">
        <f>IF($C733&lt;&gt;"",IF(AND($E733&lt;&gt;"",H733&lt;&gt;""), H733/$E733, 0),"")</f>
        <v/>
      </c>
      <c r="J733" s="522" t="str">
        <f>IF(AND(C733&lt;&gt;"",('Cost Inputs'!$I$146+'Cost Inputs'!$J$146+'Cost Inputs'!$K$146)&gt;0), 'Cost Inputs'!$I$146+'Cost Inputs'!$J$146+'Cost Inputs'!$K$146, "")</f>
        <v/>
      </c>
      <c r="K733" s="100" t="str">
        <f>IF($C733&lt;&gt;"",IF(AND($E733&lt;&gt;"",J733&lt;&gt;""), J733/$E733, 0),"")</f>
        <v/>
      </c>
      <c r="L733" s="92"/>
      <c r="M733" s="101"/>
      <c r="X733" s="492" t="str">
        <f>IF(ISNUMBER('Model_ of_individuals'!X753), 'Model_ of_individuals'!X753*'Model_ of_individuals'!$K753,"")</f>
        <v/>
      </c>
      <c r="Y733" s="492" t="str">
        <f>IF(ISNUMBER('Model_ of_individuals'!Y753), 'Model_ of_individuals'!Y753*'Model_ of_individuals'!$K753,"")</f>
        <v/>
      </c>
      <c r="Z733" s="492" t="str">
        <f>IF(ISNUMBER('Model_ of_individuals'!Z753), 'Model_ of_individuals'!Z753*'Model_ of_individuals'!$K753,"")</f>
        <v/>
      </c>
      <c r="AA733" s="492" t="str">
        <f>IF(ISNUMBER('Model_ of_individuals'!AA753), 'Model_ of_individuals'!AA753*'Model_ of_individuals'!$K753,"")</f>
        <v/>
      </c>
      <c r="AB733" s="492" t="str">
        <f>IF(ISNUMBER('Model_ of_individuals'!AB753), 'Model_ of_individuals'!AB753*'Model_ of_individuals'!$K753,"")</f>
        <v/>
      </c>
      <c r="AC733" s="492" t="str">
        <f>IF(ISNUMBER('Model_ of_individuals'!AC753), 'Model_ of_individuals'!AC753*'Model_ of_individuals'!$K753,"")</f>
        <v/>
      </c>
      <c r="AD733" s="492" t="str">
        <f>IF(ISNUMBER('Model_ of_individuals'!AD753), 'Model_ of_individuals'!AD753*'Model_ of_individuals'!$K753,"")</f>
        <v/>
      </c>
      <c r="AE733" s="492" t="str">
        <f>IF(ISNUMBER('Model_ of_individuals'!AE753), 'Model_ of_individuals'!AE753*'Model_ of_individuals'!$K753,"")</f>
        <v/>
      </c>
      <c r="AF733" s="492" t="str">
        <f>IF(ISNUMBER('Model_ of_individuals'!AF753), 'Model_ of_individuals'!AF753*'Model_ of_individuals'!$K753,"")</f>
        <v/>
      </c>
      <c r="AG733" s="492" t="str">
        <f>IF(ISNUMBER('Model_ of_individuals'!AG753), 'Model_ of_individuals'!AG753*'Model_ of_individuals'!$K753,"")</f>
        <v/>
      </c>
    </row>
    <row r="734" spans="1:33" x14ac:dyDescent="0.25">
      <c r="A734" s="518"/>
      <c r="B734" s="504"/>
      <c r="C734" s="521"/>
      <c r="D734" s="94" t="str">
        <f>IF(AND(C733&lt;&gt;"", 'Cost Inputs'!$G$147&lt;&gt;""), 'Cost Inputs'!$G$147, "")</f>
        <v/>
      </c>
      <c r="E734" s="94" t="str">
        <f>IF(AND(C733&lt;&gt;"", 'Cost Inputs'!$H$147&lt;&gt;""), 'Cost Inputs'!$H$147, "")</f>
        <v/>
      </c>
      <c r="F734" s="492"/>
      <c r="G734" s="102" t="str">
        <f t="shared" si="66"/>
        <v/>
      </c>
      <c r="H734" s="492"/>
      <c r="I734" s="102" t="str">
        <f>IF($C733&lt;&gt;"", IF(AND($E734&lt;&gt;"", H733&lt;&gt;""), H733/($E733*$E734), 0), "")</f>
        <v/>
      </c>
      <c r="J734" s="492" t="str">
        <f>IF(AND(C734&lt;&gt;"",('Cost Inputs'!$I$86+'Cost Inputs'!$J$86+'Cost Inputs'!$K$86)&gt;0), 'Cost Inputs'!$I$86+'Cost Inputs'!$J$86+'Cost Inputs'!$K$86, "")</f>
        <v/>
      </c>
      <c r="K734" s="102" t="str">
        <f>IF($C733&lt;&gt;"", IF(AND($E734&lt;&gt;"", J733&lt;&gt;""), J733/($E733*$E734), 0), "")</f>
        <v/>
      </c>
      <c r="L734" s="94"/>
      <c r="M734" s="103"/>
      <c r="X734" s="492" t="str">
        <f>IF(ISNUMBER('Model_ of_individuals'!X754), 'Model_ of_individuals'!X754*'Model_ of_individuals'!$K754,"")</f>
        <v/>
      </c>
      <c r="Y734" s="492" t="str">
        <f>IF(ISNUMBER('Model_ of_individuals'!Y754), 'Model_ of_individuals'!Y754*'Model_ of_individuals'!$K754,"")</f>
        <v/>
      </c>
      <c r="Z734" s="492" t="str">
        <f>IF(ISNUMBER('Model_ of_individuals'!Z754), 'Model_ of_individuals'!Z754*'Model_ of_individuals'!$K754,"")</f>
        <v/>
      </c>
      <c r="AA734" s="492" t="str">
        <f>IF(ISNUMBER('Model_ of_individuals'!AA754), 'Model_ of_individuals'!AA754*'Model_ of_individuals'!$K754,"")</f>
        <v/>
      </c>
      <c r="AB734" s="492" t="str">
        <f>IF(ISNUMBER('Model_ of_individuals'!AB754), 'Model_ of_individuals'!AB754*'Model_ of_individuals'!$K754,"")</f>
        <v/>
      </c>
      <c r="AC734" s="492" t="str">
        <f>IF(ISNUMBER('Model_ of_individuals'!AC754), 'Model_ of_individuals'!AC754*'Model_ of_individuals'!$K754,"")</f>
        <v/>
      </c>
      <c r="AD734" s="492" t="str">
        <f>IF(ISNUMBER('Model_ of_individuals'!AD754), 'Model_ of_individuals'!AD754*'Model_ of_individuals'!$K754,"")</f>
        <v/>
      </c>
      <c r="AE734" s="492" t="str">
        <f>IF(ISNUMBER('Model_ of_individuals'!AE754), 'Model_ of_individuals'!AE754*'Model_ of_individuals'!$K754,"")</f>
        <v/>
      </c>
      <c r="AF734" s="492" t="str">
        <f>IF(ISNUMBER('Model_ of_individuals'!AF754), 'Model_ of_individuals'!AF754*'Model_ of_individuals'!$K754,"")</f>
        <v/>
      </c>
      <c r="AG734" s="492" t="str">
        <f>IF(ISNUMBER('Model_ of_individuals'!AG754), 'Model_ of_individuals'!AG754*'Model_ of_individuals'!$K754,"")</f>
        <v/>
      </c>
    </row>
    <row r="735" spans="1:33" x14ac:dyDescent="0.25">
      <c r="A735" s="518"/>
      <c r="B735" s="504"/>
      <c r="C735" s="104" t="str">
        <f>IF(AND(ISNUMBER(B733), OR('Cost Inputs'!$H$148&lt;&gt;"", 'Cost Inputs'!$I$148&lt;&gt;"", 'Cost Inputs'!$J$148&lt;&gt;"")), _5_3_1, "")</f>
        <v/>
      </c>
      <c r="D735" s="17" t="str">
        <f>IF(AND(C735&lt;&gt;"", 'Cost Inputs'!$G$148&lt;&gt;""), 'Cost Inputs'!$G$148, "")</f>
        <v/>
      </c>
      <c r="E735" s="17" t="str">
        <f>IF(AND(C735&lt;&gt;"", 'Cost Inputs'!$H$148&lt;&gt;""), 'Cost Inputs'!$H$148, "")</f>
        <v/>
      </c>
      <c r="F735" s="17" t="str">
        <f>IF(AND(C735&lt;&gt;"", 'Cost Inputs'!$I$148&lt;&gt;""), 'Cost Inputs'!$I$148, "")</f>
        <v/>
      </c>
      <c r="G735" s="105" t="str">
        <f t="shared" si="66"/>
        <v/>
      </c>
      <c r="H735" s="17" t="str">
        <f>IF(AND(C735&lt;&gt;"", 'Cost Inputs'!$J$148&lt;&gt;""), 'Cost Inputs'!$J$148, "")</f>
        <v/>
      </c>
      <c r="I735" s="17" t="str">
        <f t="shared" ref="I735:I743" si="67">IF($C735&lt;&gt;"", IF(AND($E735&lt;&gt;"", H735&lt;&gt;""), H735/$E735, 0),"")</f>
        <v/>
      </c>
      <c r="J735" s="17" t="str">
        <f>IF(AND(C735&lt;&gt;"",('Cost Inputs'!$I$148+'Cost Inputs'!$J$148+'Cost Inputs'!$K$148)&gt;0), 'Cost Inputs'!$I$148+'Cost Inputs'!$J$148+'Cost Inputs'!$K$148, "")</f>
        <v/>
      </c>
      <c r="K735" s="17" t="str">
        <f t="shared" ref="K735:K743" si="68">IF($C735&lt;&gt;"", IF(AND($E735&lt;&gt;"", J735&lt;&gt;""), J735/$E735, 0),"")</f>
        <v/>
      </c>
      <c r="M735" s="106"/>
      <c r="X735" s="17" t="str">
        <f>IF(ISNUMBER('Model_ of_individuals'!X755), 'Model_ of_individuals'!X755*'Model_ of_individuals'!$K755,"")</f>
        <v/>
      </c>
      <c r="Y735" s="17" t="str">
        <f>IF(ISNUMBER('Model_ of_individuals'!Y755), 'Model_ of_individuals'!Y755*'Model_ of_individuals'!$K755,"")</f>
        <v/>
      </c>
      <c r="Z735" s="17" t="str">
        <f>IF(ISNUMBER('Model_ of_individuals'!Z755), 'Model_ of_individuals'!Z755*'Model_ of_individuals'!$K755,"")</f>
        <v/>
      </c>
      <c r="AA735" s="17" t="str">
        <f>IF(ISNUMBER('Model_ of_individuals'!AA755), 'Model_ of_individuals'!AA755*'Model_ of_individuals'!$K755,"")</f>
        <v/>
      </c>
      <c r="AB735" s="17" t="str">
        <f>IF(ISNUMBER('Model_ of_individuals'!AB755), 'Model_ of_individuals'!AB755*'Model_ of_individuals'!$K755,"")</f>
        <v/>
      </c>
      <c r="AC735" s="17" t="str">
        <f>IF(ISNUMBER('Model_ of_individuals'!AC755), 'Model_ of_individuals'!AC755*'Model_ of_individuals'!$K755,"")</f>
        <v/>
      </c>
      <c r="AD735" s="17" t="str">
        <f>IF(ISNUMBER('Model_ of_individuals'!AD755), 'Model_ of_individuals'!AD755*'Model_ of_individuals'!$K755,"")</f>
        <v/>
      </c>
      <c r="AE735" s="17" t="str">
        <f>IF(ISNUMBER('Model_ of_individuals'!AE755), 'Model_ of_individuals'!AE755*'Model_ of_individuals'!$K755,"")</f>
        <v/>
      </c>
      <c r="AF735" s="17" t="str">
        <f>IF(ISNUMBER('Model_ of_individuals'!AF755), 'Model_ of_individuals'!AF755*'Model_ of_individuals'!$K755,"")</f>
        <v/>
      </c>
      <c r="AG735" s="17" t="str">
        <f>IF(ISNUMBER('Model_ of_individuals'!AG755), 'Model_ of_individuals'!AG755*'Model_ of_individuals'!$K755,"")</f>
        <v/>
      </c>
    </row>
    <row r="736" spans="1:33" x14ac:dyDescent="0.25">
      <c r="A736" s="518"/>
      <c r="B736" s="504"/>
      <c r="C736" s="107" t="str">
        <f>IF(AND(ISNUMBER(B733), OR('Cost Inputs'!$H$149&lt;&gt;"", 'Cost Inputs'!$I$149&lt;&gt;"", 'Cost Inputs'!$J$149&lt;&gt;"")), _5_3_2, "")</f>
        <v/>
      </c>
      <c r="D736" s="93" t="str">
        <f>IF(AND(C736&lt;&gt;"", 'Cost Inputs'!$G$149&lt;&gt;""), 'Cost Inputs'!$G$149, "")</f>
        <v/>
      </c>
      <c r="E736" s="93" t="str">
        <f>IF(AND(C736&lt;&gt;"", 'Cost Inputs'!$H$149&lt;&gt;""), 'Cost Inputs'!$H$149, "")</f>
        <v/>
      </c>
      <c r="F736" s="93" t="str">
        <f>IF(AND(C736&lt;&gt;"", 'Cost Inputs'!$I$149&lt;&gt;""), 'Cost Inputs'!$I$149, "")</f>
        <v/>
      </c>
      <c r="G736" s="108" t="str">
        <f t="shared" si="66"/>
        <v/>
      </c>
      <c r="H736" s="93" t="str">
        <f>IF(AND(C736&lt;&gt;"", 'Cost Inputs'!$J$149&lt;&gt;""), 'Cost Inputs'!$J$149, "")</f>
        <v/>
      </c>
      <c r="I736" s="93" t="str">
        <f t="shared" si="67"/>
        <v/>
      </c>
      <c r="J736" s="93" t="str">
        <f>IF(AND(C736&lt;&gt;"",('Cost Inputs'!$I$149+'Cost Inputs'!$J$149+'Cost Inputs'!$K$149)&gt;0), 'Cost Inputs'!$I$149+'Cost Inputs'!$J$149+'Cost Inputs'!$K$149, "")</f>
        <v/>
      </c>
      <c r="K736" s="93" t="str">
        <f t="shared" si="68"/>
        <v/>
      </c>
      <c r="L736" s="93"/>
      <c r="M736" s="109"/>
      <c r="X736" s="93" t="str">
        <f>IF(ISNUMBER('Model_ of_individuals'!X756), 'Model_ of_individuals'!X756*'Model_ of_individuals'!$K756,"")</f>
        <v/>
      </c>
      <c r="Y736" s="93" t="str">
        <f>IF(ISNUMBER('Model_ of_individuals'!Y756), 'Model_ of_individuals'!Y756*'Model_ of_individuals'!$K756,"")</f>
        <v/>
      </c>
      <c r="Z736" s="93" t="str">
        <f>IF(ISNUMBER('Model_ of_individuals'!Z756), 'Model_ of_individuals'!Z756*'Model_ of_individuals'!$K756,"")</f>
        <v/>
      </c>
      <c r="AA736" s="93" t="str">
        <f>IF(ISNUMBER('Model_ of_individuals'!AA756), 'Model_ of_individuals'!AA756*'Model_ of_individuals'!$K756,"")</f>
        <v/>
      </c>
      <c r="AB736" s="93" t="str">
        <f>IF(ISNUMBER('Model_ of_individuals'!AB756), 'Model_ of_individuals'!AB756*'Model_ of_individuals'!$K756,"")</f>
        <v/>
      </c>
      <c r="AC736" s="93" t="str">
        <f>IF(ISNUMBER('Model_ of_individuals'!AC756), 'Model_ of_individuals'!AC756*'Model_ of_individuals'!$K756,"")</f>
        <v/>
      </c>
      <c r="AD736" s="93" t="str">
        <f>IF(ISNUMBER('Model_ of_individuals'!AD756), 'Model_ of_individuals'!AD756*'Model_ of_individuals'!$K756,"")</f>
        <v/>
      </c>
      <c r="AE736" s="93" t="str">
        <f>IF(ISNUMBER('Model_ of_individuals'!AE756), 'Model_ of_individuals'!AE756*'Model_ of_individuals'!$K756,"")</f>
        <v/>
      </c>
      <c r="AF736" s="93" t="str">
        <f>IF(ISNUMBER('Model_ of_individuals'!AF756), 'Model_ of_individuals'!AF756*'Model_ of_individuals'!$K756,"")</f>
        <v/>
      </c>
      <c r="AG736" s="93" t="str">
        <f>IF(ISNUMBER('Model_ of_individuals'!AG756), 'Model_ of_individuals'!AG756*'Model_ of_individuals'!$K756,"")</f>
        <v/>
      </c>
    </row>
    <row r="737" spans="1:33" x14ac:dyDescent="0.25">
      <c r="A737" s="518"/>
      <c r="B737" s="504"/>
      <c r="C737" s="110" t="str">
        <f>IF(ISNUMBER(B733), _5_4_0, "")</f>
        <v/>
      </c>
      <c r="D737" s="94" t="str">
        <f>IF(AND(C737&lt;&gt;"", 'Cost Inputs'!$G$150&lt;&gt;""), 'Cost Inputs'!$G$150, "")</f>
        <v/>
      </c>
      <c r="E737" s="94" t="str">
        <f>IF(AND(C737&lt;&gt;"", 'Cost Inputs'!$H$150&lt;&gt;""), 'Cost Inputs'!$H$150, "")</f>
        <v/>
      </c>
      <c r="F737" s="94" t="str">
        <f>IF(AND(C737&lt;&gt;"", 'Cost Inputs'!$I$150&lt;&gt;""), 'Cost Inputs'!$I$150, "")</f>
        <v/>
      </c>
      <c r="G737" s="102" t="str">
        <f t="shared" si="66"/>
        <v/>
      </c>
      <c r="H737" s="102" t="str">
        <f>IF(AND(C737&lt;&gt;"", 'Cost Inputs'!$J$150&lt;&gt;""), 'Cost Inputs'!$J$150, "")</f>
        <v/>
      </c>
      <c r="I737" s="102" t="str">
        <f t="shared" si="67"/>
        <v/>
      </c>
      <c r="J737" s="102" t="str">
        <f>IF(AND(C737&lt;&gt;"",('Cost Inputs'!$I$150+'Cost Inputs'!$J$150+'Cost Inputs'!$K$150)&gt;0), 'Cost Inputs'!$I$150+'Cost Inputs'!$J$150+'Cost Inputs'!$K$150, "")</f>
        <v/>
      </c>
      <c r="K737" s="102" t="str">
        <f t="shared" si="68"/>
        <v/>
      </c>
      <c r="L737" s="94"/>
      <c r="M737" s="103"/>
      <c r="X737" s="102" t="str">
        <f>IF(ISNUMBER('Model_ of_individuals'!X757), 'Model_ of_individuals'!X757*'Model_ of_individuals'!$K757,"")</f>
        <v/>
      </c>
      <c r="Y737" s="102" t="str">
        <f>IF(ISNUMBER('Model_ of_individuals'!Y757), 'Model_ of_individuals'!Y757*'Model_ of_individuals'!$K757,"")</f>
        <v/>
      </c>
      <c r="Z737" s="102" t="str">
        <f>IF(ISNUMBER('Model_ of_individuals'!Z757), 'Model_ of_individuals'!Z757*'Model_ of_individuals'!$K757,"")</f>
        <v/>
      </c>
      <c r="AA737" s="102" t="str">
        <f>IF(ISNUMBER('Model_ of_individuals'!AA757), 'Model_ of_individuals'!AA757*'Model_ of_individuals'!$K757,"")</f>
        <v/>
      </c>
      <c r="AB737" s="102" t="str">
        <f>IF(ISNUMBER('Model_ of_individuals'!AB757), 'Model_ of_individuals'!AB757*'Model_ of_individuals'!$K757,"")</f>
        <v/>
      </c>
      <c r="AC737" s="102" t="str">
        <f>IF(ISNUMBER('Model_ of_individuals'!AC757), 'Model_ of_individuals'!AC757*'Model_ of_individuals'!$K757,"")</f>
        <v/>
      </c>
      <c r="AD737" s="102" t="str">
        <f>IF(ISNUMBER('Model_ of_individuals'!AD757), 'Model_ of_individuals'!AD757*'Model_ of_individuals'!$K757,"")</f>
        <v/>
      </c>
      <c r="AE737" s="102" t="str">
        <f>IF(ISNUMBER('Model_ of_individuals'!AE757), 'Model_ of_individuals'!AE757*'Model_ of_individuals'!$K757,"")</f>
        <v/>
      </c>
      <c r="AF737" s="102" t="str">
        <f>IF(ISNUMBER('Model_ of_individuals'!AF757), 'Model_ of_individuals'!AF757*'Model_ of_individuals'!$K757,"")</f>
        <v/>
      </c>
      <c r="AG737" s="102" t="str">
        <f>IF(ISNUMBER('Model_ of_individuals'!AG757), 'Model_ of_individuals'!AG757*'Model_ of_individuals'!$K757,"")</f>
        <v/>
      </c>
    </row>
    <row r="738" spans="1:33" x14ac:dyDescent="0.25">
      <c r="A738" s="518"/>
      <c r="B738" s="504"/>
      <c r="C738" s="104" t="str">
        <f>IF(AND(ISNUMBER(B733), OR('Cost Inputs'!$H$151&lt;&gt;"", 'Cost Inputs'!$I$151&lt;&gt;"", 'Cost Inputs'!$J$151&lt;&gt;"")), _5_4_1, "")</f>
        <v/>
      </c>
      <c r="D738" s="17" t="str">
        <f>IF(AND(C738&lt;&gt;"", 'Cost Inputs'!$G$151&lt;&gt;""), 'Cost Inputs'!$G$151, "")</f>
        <v/>
      </c>
      <c r="E738" s="17" t="str">
        <f>IF(AND(C738&lt;&gt;"", 'Cost Inputs'!$H$151&lt;&gt;""), 'Cost Inputs'!$H$151, "")</f>
        <v/>
      </c>
      <c r="F738" s="17" t="str">
        <f>IF(AND(C738&lt;&gt;"", 'Cost Inputs'!$I$151&lt;&gt;""), 'Cost Inputs'!$I$151, "")</f>
        <v/>
      </c>
      <c r="G738" s="105" t="str">
        <f t="shared" si="66"/>
        <v/>
      </c>
      <c r="H738" s="17" t="str">
        <f>IF(AND(C738&lt;&gt;"", 'Cost Inputs'!$J$151&lt;&gt;""), 'Cost Inputs'!$J$151, "")</f>
        <v/>
      </c>
      <c r="I738" s="17" t="str">
        <f t="shared" si="67"/>
        <v/>
      </c>
      <c r="J738" s="17" t="str">
        <f>IF(AND(C738&lt;&gt;"",('Cost Inputs'!$I$151+'Cost Inputs'!$J$151+'Cost Inputs'!$K$151)&gt;0), 'Cost Inputs'!$I$151+'Cost Inputs'!$J$151+'Cost Inputs'!$K$151, "")</f>
        <v/>
      </c>
      <c r="K738" s="17" t="str">
        <f t="shared" si="68"/>
        <v/>
      </c>
      <c r="M738" s="106"/>
      <c r="X738" s="17" t="str">
        <f>IF(ISNUMBER('Model_ of_individuals'!X758), 'Model_ of_individuals'!X758*'Model_ of_individuals'!$K758,"")</f>
        <v/>
      </c>
      <c r="Y738" s="17" t="str">
        <f>IF(ISNUMBER('Model_ of_individuals'!Y758), 'Model_ of_individuals'!Y758*'Model_ of_individuals'!$K758,"")</f>
        <v/>
      </c>
      <c r="Z738" s="17" t="str">
        <f>IF(ISNUMBER('Model_ of_individuals'!Z758), 'Model_ of_individuals'!Z758*'Model_ of_individuals'!$K758,"")</f>
        <v/>
      </c>
      <c r="AA738" s="17" t="str">
        <f>IF(ISNUMBER('Model_ of_individuals'!AA758), 'Model_ of_individuals'!AA758*'Model_ of_individuals'!$K758,"")</f>
        <v/>
      </c>
      <c r="AB738" s="17" t="str">
        <f>IF(ISNUMBER('Model_ of_individuals'!AB758), 'Model_ of_individuals'!AB758*'Model_ of_individuals'!$K758,"")</f>
        <v/>
      </c>
      <c r="AC738" s="17" t="str">
        <f>IF(ISNUMBER('Model_ of_individuals'!AC758), 'Model_ of_individuals'!AC758*'Model_ of_individuals'!$K758,"")</f>
        <v/>
      </c>
      <c r="AD738" s="17" t="str">
        <f>IF(ISNUMBER('Model_ of_individuals'!AD758), 'Model_ of_individuals'!AD758*'Model_ of_individuals'!$K758,"")</f>
        <v/>
      </c>
      <c r="AE738" s="17" t="str">
        <f>IF(ISNUMBER('Model_ of_individuals'!AE758), 'Model_ of_individuals'!AE758*'Model_ of_individuals'!$K758,"")</f>
        <v/>
      </c>
      <c r="AF738" s="17" t="str">
        <f>IF(ISNUMBER('Model_ of_individuals'!AF758), 'Model_ of_individuals'!AF758*'Model_ of_individuals'!$K758,"")</f>
        <v/>
      </c>
      <c r="AG738" s="17" t="str">
        <f>IF(ISNUMBER('Model_ of_individuals'!AG758), 'Model_ of_individuals'!AG758*'Model_ of_individuals'!$K758,"")</f>
        <v/>
      </c>
    </row>
    <row r="739" spans="1:33" x14ac:dyDescent="0.25">
      <c r="A739" s="518"/>
      <c r="B739" s="504"/>
      <c r="C739" s="107" t="str">
        <f>IF(AND(ISNUMBER(B733), OR('Cost Inputs'!$H$152&lt;&gt;"", 'Cost Inputs'!$I$152&lt;&gt;"", 'Cost Inputs'!$J$152&lt;&gt;"")), _5_4_2, "")</f>
        <v/>
      </c>
      <c r="D739" s="93" t="str">
        <f>IF(AND(C739&lt;&gt;"", 'Cost Inputs'!$G$152&lt;&gt;""), 'Cost Inputs'!$G$152, "")</f>
        <v/>
      </c>
      <c r="E739" s="93" t="str">
        <f>IF(AND(C739&lt;&gt;"", 'Cost Inputs'!$H$152&lt;&gt;""), 'Cost Inputs'!$H$152, "")</f>
        <v/>
      </c>
      <c r="F739" s="93" t="str">
        <f>IF(AND(C739&lt;&gt;"", 'Cost Inputs'!$I$152&lt;&gt;""), 'Cost Inputs'!$I$152, "")</f>
        <v/>
      </c>
      <c r="G739" s="108" t="str">
        <f t="shared" si="66"/>
        <v/>
      </c>
      <c r="H739" s="93" t="str">
        <f>IF(AND(C739&lt;&gt;"", 'Cost Inputs'!$J$152&lt;&gt;""), 'Cost Inputs'!$J$152, "")</f>
        <v/>
      </c>
      <c r="I739" s="93" t="str">
        <f t="shared" si="67"/>
        <v/>
      </c>
      <c r="J739" s="93" t="str">
        <f>IF(AND(C739&lt;&gt;"",('Cost Inputs'!$I$152+'Cost Inputs'!$J$152+'Cost Inputs'!$K$152)&gt;0), 'Cost Inputs'!$I$152+'Cost Inputs'!$J$152+'Cost Inputs'!$K$152, "")</f>
        <v/>
      </c>
      <c r="K739" s="93" t="str">
        <f t="shared" si="68"/>
        <v/>
      </c>
      <c r="L739" s="93"/>
      <c r="M739" s="109"/>
      <c r="X739" s="93" t="str">
        <f>IF(ISNUMBER('Model_ of_individuals'!X759), 'Model_ of_individuals'!X759*'Model_ of_individuals'!$K759,"")</f>
        <v/>
      </c>
      <c r="Y739" s="93" t="str">
        <f>IF(ISNUMBER('Model_ of_individuals'!Y759), 'Model_ of_individuals'!Y759*'Model_ of_individuals'!$K759,"")</f>
        <v/>
      </c>
      <c r="Z739" s="93" t="str">
        <f>IF(ISNUMBER('Model_ of_individuals'!Z759), 'Model_ of_individuals'!Z759*'Model_ of_individuals'!$K759,"")</f>
        <v/>
      </c>
      <c r="AA739" s="93" t="str">
        <f>IF(ISNUMBER('Model_ of_individuals'!AA759), 'Model_ of_individuals'!AA759*'Model_ of_individuals'!$K759,"")</f>
        <v/>
      </c>
      <c r="AB739" s="93" t="str">
        <f>IF(ISNUMBER('Model_ of_individuals'!AB759), 'Model_ of_individuals'!AB759*'Model_ of_individuals'!$K759,"")</f>
        <v/>
      </c>
      <c r="AC739" s="93" t="str">
        <f>IF(ISNUMBER('Model_ of_individuals'!AC759), 'Model_ of_individuals'!AC759*'Model_ of_individuals'!$K759,"")</f>
        <v/>
      </c>
      <c r="AD739" s="93" t="str">
        <f>IF(ISNUMBER('Model_ of_individuals'!AD759), 'Model_ of_individuals'!AD759*'Model_ of_individuals'!$K759,"")</f>
        <v/>
      </c>
      <c r="AE739" s="93" t="str">
        <f>IF(ISNUMBER('Model_ of_individuals'!AE759), 'Model_ of_individuals'!AE759*'Model_ of_individuals'!$K759,"")</f>
        <v/>
      </c>
      <c r="AF739" s="93" t="str">
        <f>IF(ISNUMBER('Model_ of_individuals'!AF759), 'Model_ of_individuals'!AF759*'Model_ of_individuals'!$K759,"")</f>
        <v/>
      </c>
      <c r="AG739" s="93" t="str">
        <f>IF(ISNUMBER('Model_ of_individuals'!AG759), 'Model_ of_individuals'!AG759*'Model_ of_individuals'!$K759,"")</f>
        <v/>
      </c>
    </row>
    <row r="740" spans="1:33" x14ac:dyDescent="0.25">
      <c r="A740" s="518"/>
      <c r="B740" s="504"/>
      <c r="C740" s="104" t="str">
        <f>IF(AND(ISNUMBER(B733), OR('Cost Inputs'!$H$153&lt;&gt;"", 'Cost Inputs'!$I$153&lt;&gt;"", 'Cost Inputs'!$J$153&lt;&gt;"")), _5_4_3, "")</f>
        <v/>
      </c>
      <c r="D740" s="17" t="str">
        <f>IF(AND(C740&lt;&gt;"", 'Cost Inputs'!$G$153&lt;&gt;""), 'Cost Inputs'!$G$153, "")</f>
        <v/>
      </c>
      <c r="E740" s="17" t="str">
        <f>IF(AND(C740&lt;&gt;"", 'Cost Inputs'!$H$153&lt;&gt;""), 'Cost Inputs'!$H$153, "")</f>
        <v/>
      </c>
      <c r="F740" s="17" t="str">
        <f>IF(AND(C740&lt;&gt;"", 'Cost Inputs'!$I$153&lt;&gt;""), 'Cost Inputs'!$I$153, "")</f>
        <v/>
      </c>
      <c r="G740" s="105" t="str">
        <f t="shared" si="66"/>
        <v/>
      </c>
      <c r="H740" s="17" t="str">
        <f>IF(AND(C740&lt;&gt;"", 'Cost Inputs'!$J$153&lt;&gt;""), 'Cost Inputs'!$J$153, "")</f>
        <v/>
      </c>
      <c r="I740" s="17" t="str">
        <f t="shared" si="67"/>
        <v/>
      </c>
      <c r="J740" s="17" t="str">
        <f>IF(AND(C740&lt;&gt;"",('Cost Inputs'!$I$153+'Cost Inputs'!$J$153+'Cost Inputs'!$K$153)&gt;0), 'Cost Inputs'!$I$153+'Cost Inputs'!$J$153+'Cost Inputs'!$K$153, "")</f>
        <v/>
      </c>
      <c r="K740" s="17" t="str">
        <f t="shared" si="68"/>
        <v/>
      </c>
      <c r="M740" s="106"/>
      <c r="X740" s="17" t="str">
        <f>IF(ISNUMBER('Model_ of_individuals'!X760), 'Model_ of_individuals'!X760*'Model_ of_individuals'!$K760,"")</f>
        <v/>
      </c>
      <c r="Y740" s="17" t="str">
        <f>IF(ISNUMBER('Model_ of_individuals'!Y760), 'Model_ of_individuals'!Y760*'Model_ of_individuals'!$K760,"")</f>
        <v/>
      </c>
      <c r="Z740" s="17" t="str">
        <f>IF(ISNUMBER('Model_ of_individuals'!Z760), 'Model_ of_individuals'!Z760*'Model_ of_individuals'!$K760,"")</f>
        <v/>
      </c>
      <c r="AA740" s="17" t="str">
        <f>IF(ISNUMBER('Model_ of_individuals'!AA760), 'Model_ of_individuals'!AA760*'Model_ of_individuals'!$K760,"")</f>
        <v/>
      </c>
      <c r="AB740" s="17" t="str">
        <f>IF(ISNUMBER('Model_ of_individuals'!AB760), 'Model_ of_individuals'!AB760*'Model_ of_individuals'!$K760,"")</f>
        <v/>
      </c>
      <c r="AC740" s="17" t="str">
        <f>IF(ISNUMBER('Model_ of_individuals'!AC760), 'Model_ of_individuals'!AC760*'Model_ of_individuals'!$K760,"")</f>
        <v/>
      </c>
      <c r="AD740" s="17" t="str">
        <f>IF(ISNUMBER('Model_ of_individuals'!AD760), 'Model_ of_individuals'!AD760*'Model_ of_individuals'!$K760,"")</f>
        <v/>
      </c>
      <c r="AE740" s="17" t="str">
        <f>IF(ISNUMBER('Model_ of_individuals'!AE760), 'Model_ of_individuals'!AE760*'Model_ of_individuals'!$K760,"")</f>
        <v/>
      </c>
      <c r="AF740" s="17" t="str">
        <f>IF(ISNUMBER('Model_ of_individuals'!AF760), 'Model_ of_individuals'!AF760*'Model_ of_individuals'!$K760,"")</f>
        <v/>
      </c>
      <c r="AG740" s="17" t="str">
        <f>IF(ISNUMBER('Model_ of_individuals'!AG760), 'Model_ of_individuals'!AG760*'Model_ of_individuals'!$K760,"")</f>
        <v/>
      </c>
    </row>
    <row r="741" spans="1:33" x14ac:dyDescent="0.25">
      <c r="A741" s="518"/>
      <c r="B741" s="504"/>
      <c r="C741" s="107" t="str">
        <f>IF(AND(ISNUMBER(B733), OR('Cost Inputs'!$H$154&lt;&gt;"", 'Cost Inputs'!$I$154&lt;&gt;"", 'Cost Inputs'!$J$154&lt;&gt;"")), _5_4_4, "")</f>
        <v/>
      </c>
      <c r="D741" s="93" t="str">
        <f>IF(AND(C741&lt;&gt;"", 'Cost Inputs'!$G$154&lt;&gt;""), 'Cost Inputs'!$G$154, "")</f>
        <v/>
      </c>
      <c r="E741" s="93" t="str">
        <f>IF(AND(C741&lt;&gt;"", 'Cost Inputs'!$H$154&lt;&gt;""), 'Cost Inputs'!$H$154, "")</f>
        <v/>
      </c>
      <c r="F741" s="93" t="str">
        <f>IF(AND(C741&lt;&gt;"", 'Cost Inputs'!$I$154&lt;&gt;""), 'Cost Inputs'!$I$154, "")</f>
        <v/>
      </c>
      <c r="G741" s="108" t="str">
        <f t="shared" si="66"/>
        <v/>
      </c>
      <c r="H741" s="93" t="str">
        <f>IF(AND(C741&lt;&gt;"", 'Cost Inputs'!$J$154&lt;&gt;""), 'Cost Inputs'!$J$154, "")</f>
        <v/>
      </c>
      <c r="I741" s="93" t="str">
        <f t="shared" si="67"/>
        <v/>
      </c>
      <c r="J741" s="93" t="str">
        <f>IF(AND(C741&lt;&gt;"",('Cost Inputs'!$I$154+'Cost Inputs'!$J$154+'Cost Inputs'!$K$154)&gt;0), 'Cost Inputs'!$I$154+'Cost Inputs'!$J$154+'Cost Inputs'!$K$154, "")</f>
        <v/>
      </c>
      <c r="K741" s="93" t="str">
        <f t="shared" si="68"/>
        <v/>
      </c>
      <c r="L741" s="93"/>
      <c r="M741" s="109"/>
      <c r="X741" s="93" t="str">
        <f>IF(ISNUMBER('Model_ of_individuals'!X761), 'Model_ of_individuals'!X761*'Model_ of_individuals'!$K761,"")</f>
        <v/>
      </c>
      <c r="Y741" s="93" t="str">
        <f>IF(ISNUMBER('Model_ of_individuals'!Y761), 'Model_ of_individuals'!Y761*'Model_ of_individuals'!$K761,"")</f>
        <v/>
      </c>
      <c r="Z741" s="93" t="str">
        <f>IF(ISNUMBER('Model_ of_individuals'!Z761), 'Model_ of_individuals'!Z761*'Model_ of_individuals'!$K761,"")</f>
        <v/>
      </c>
      <c r="AA741" s="93" t="str">
        <f>IF(ISNUMBER('Model_ of_individuals'!AA761), 'Model_ of_individuals'!AA761*'Model_ of_individuals'!$K761,"")</f>
        <v/>
      </c>
      <c r="AB741" s="93" t="str">
        <f>IF(ISNUMBER('Model_ of_individuals'!AB761), 'Model_ of_individuals'!AB761*'Model_ of_individuals'!$K761,"")</f>
        <v/>
      </c>
      <c r="AC741" s="93" t="str">
        <f>IF(ISNUMBER('Model_ of_individuals'!AC761), 'Model_ of_individuals'!AC761*'Model_ of_individuals'!$K761,"")</f>
        <v/>
      </c>
      <c r="AD741" s="93" t="str">
        <f>IF(ISNUMBER('Model_ of_individuals'!AD761), 'Model_ of_individuals'!AD761*'Model_ of_individuals'!$K761,"")</f>
        <v/>
      </c>
      <c r="AE741" s="93" t="str">
        <f>IF(ISNUMBER('Model_ of_individuals'!AE761), 'Model_ of_individuals'!AE761*'Model_ of_individuals'!$K761,"")</f>
        <v/>
      </c>
      <c r="AF741" s="93" t="str">
        <f>IF(ISNUMBER('Model_ of_individuals'!AF761), 'Model_ of_individuals'!AF761*'Model_ of_individuals'!$K761,"")</f>
        <v/>
      </c>
      <c r="AG741" s="93" t="str">
        <f>IF(ISNUMBER('Model_ of_individuals'!AG761), 'Model_ of_individuals'!AG761*'Model_ of_individuals'!$K761,"")</f>
        <v/>
      </c>
    </row>
    <row r="742" spans="1:33" x14ac:dyDescent="0.25">
      <c r="A742" s="518"/>
      <c r="B742" s="504"/>
      <c r="C742" s="104" t="str">
        <f>IF(AND(ISNUMBER(B733), OR('Cost Inputs'!$H$155&lt;&gt;"", 'Cost Inputs'!$I$155&lt;&gt;"", 'Cost Inputs'!$J$155&lt;&gt;"")), _5_4_5, "")</f>
        <v/>
      </c>
      <c r="D742" s="17" t="str">
        <f>IF(AND(C742&lt;&gt;"", 'Cost Inputs'!$G$155&lt;&gt;""), 'Cost Inputs'!$G$155, "")</f>
        <v/>
      </c>
      <c r="E742" s="17" t="str">
        <f>IF(AND(C742&lt;&gt;"", 'Cost Inputs'!$H$155&lt;&gt;""), 'Cost Inputs'!$H$155, "")</f>
        <v/>
      </c>
      <c r="F742" s="17" t="str">
        <f>IF(AND(C742&lt;&gt;"", 'Cost Inputs'!$I$155&lt;&gt;""), 'Cost Inputs'!$I$155, "")</f>
        <v/>
      </c>
      <c r="G742" s="105" t="str">
        <f t="shared" si="66"/>
        <v/>
      </c>
      <c r="H742" s="17" t="str">
        <f>IF(AND(C742&lt;&gt;"", 'Cost Inputs'!$J$155&lt;&gt;""), 'Cost Inputs'!$J$155, "")</f>
        <v/>
      </c>
      <c r="I742" s="17" t="str">
        <f t="shared" si="67"/>
        <v/>
      </c>
      <c r="J742" s="17" t="str">
        <f>IF(AND(C742&lt;&gt;"",('Cost Inputs'!$I$155+'Cost Inputs'!$J$155+'Cost Inputs'!$K$155)&gt;0), 'Cost Inputs'!$I$155+'Cost Inputs'!$J$155+'Cost Inputs'!$K$155, "")</f>
        <v/>
      </c>
      <c r="K742" s="17" t="str">
        <f t="shared" si="68"/>
        <v/>
      </c>
      <c r="M742" s="106"/>
      <c r="X742" s="17" t="str">
        <f>IF(ISNUMBER('Model_ of_individuals'!X762), 'Model_ of_individuals'!X762*'Model_ of_individuals'!$K762,"")</f>
        <v/>
      </c>
      <c r="Y742" s="17" t="str">
        <f>IF(ISNUMBER('Model_ of_individuals'!Y762), 'Model_ of_individuals'!Y762*'Model_ of_individuals'!$K762,"")</f>
        <v/>
      </c>
      <c r="Z742" s="17" t="str">
        <f>IF(ISNUMBER('Model_ of_individuals'!Z762), 'Model_ of_individuals'!Z762*'Model_ of_individuals'!$K762,"")</f>
        <v/>
      </c>
      <c r="AA742" s="17" t="str">
        <f>IF(ISNUMBER('Model_ of_individuals'!AA762), 'Model_ of_individuals'!AA762*'Model_ of_individuals'!$K762,"")</f>
        <v/>
      </c>
      <c r="AB742" s="17" t="str">
        <f>IF(ISNUMBER('Model_ of_individuals'!AB762), 'Model_ of_individuals'!AB762*'Model_ of_individuals'!$K762,"")</f>
        <v/>
      </c>
      <c r="AC742" s="17" t="str">
        <f>IF(ISNUMBER('Model_ of_individuals'!AC762), 'Model_ of_individuals'!AC762*'Model_ of_individuals'!$K762,"")</f>
        <v/>
      </c>
      <c r="AD742" s="17" t="str">
        <f>IF(ISNUMBER('Model_ of_individuals'!AD762), 'Model_ of_individuals'!AD762*'Model_ of_individuals'!$K762,"")</f>
        <v/>
      </c>
      <c r="AE742" s="17" t="str">
        <f>IF(ISNUMBER('Model_ of_individuals'!AE762), 'Model_ of_individuals'!AE762*'Model_ of_individuals'!$K762,"")</f>
        <v/>
      </c>
      <c r="AF742" s="17" t="str">
        <f>IF(ISNUMBER('Model_ of_individuals'!AF762), 'Model_ of_individuals'!AF762*'Model_ of_individuals'!$K762,"")</f>
        <v/>
      </c>
      <c r="AG742" s="17" t="str">
        <f>IF(ISNUMBER('Model_ of_individuals'!AG762), 'Model_ of_individuals'!AG762*'Model_ of_individuals'!$K762,"")</f>
        <v/>
      </c>
    </row>
    <row r="743" spans="1:33" x14ac:dyDescent="0.25">
      <c r="A743" s="518"/>
      <c r="B743" s="504"/>
      <c r="C743" s="107" t="str">
        <f>IF(AND(ISNUMBER(B733), OR('Cost Inputs'!$H$156&lt;&gt;"", 'Cost Inputs'!$I$156&lt;&gt;"", 'Cost Inputs'!$J$156&lt;&gt;"")), _5_4_6, "")</f>
        <v/>
      </c>
      <c r="D743" s="93" t="str">
        <f>IF(AND(C743&lt;&gt;"", 'Cost Inputs'!$G$156&lt;&gt;""), 'Cost Inputs'!$G$156, "")</f>
        <v/>
      </c>
      <c r="E743" s="93" t="str">
        <f>IF(AND(C743&lt;&gt;"", 'Cost Inputs'!$H$156&lt;&gt;""), 'Cost Inputs'!$H$156, "")</f>
        <v/>
      </c>
      <c r="F743" s="93" t="str">
        <f>IF(AND(C743&lt;&gt;"", 'Cost Inputs'!$I$156&lt;&gt;""), 'Cost Inputs'!$I$156, "")</f>
        <v/>
      </c>
      <c r="G743" s="108" t="str">
        <f t="shared" si="66"/>
        <v/>
      </c>
      <c r="H743" s="93" t="str">
        <f>IF(AND(C743&lt;&gt;"", 'Cost Inputs'!$J$156&lt;&gt;""), 'Cost Inputs'!$J$16, "")</f>
        <v/>
      </c>
      <c r="I743" s="93" t="str">
        <f t="shared" si="67"/>
        <v/>
      </c>
      <c r="J743" s="93" t="str">
        <f>IF(AND(C743&lt;&gt;"",('Cost Inputs'!$I$156+'Cost Inputs'!$J$156+'Cost Inputs'!$K$156)&gt;0), 'Cost Inputs'!$I$156+'Cost Inputs'!$J$156+'Cost Inputs'!$K$156, "")</f>
        <v/>
      </c>
      <c r="K743" s="93" t="str">
        <f t="shared" si="68"/>
        <v/>
      </c>
      <c r="L743" s="93"/>
      <c r="M743" s="109"/>
      <c r="X743" s="93" t="str">
        <f>IF(ISNUMBER('Model_ of_individuals'!X763), 'Model_ of_individuals'!X763*'Model_ of_individuals'!$K763,"")</f>
        <v/>
      </c>
      <c r="Y743" s="93" t="str">
        <f>IF(ISNUMBER('Model_ of_individuals'!Y763), 'Model_ of_individuals'!Y763*'Model_ of_individuals'!$K763,"")</f>
        <v/>
      </c>
      <c r="Z743" s="93" t="str">
        <f>IF(ISNUMBER('Model_ of_individuals'!Z763), 'Model_ of_individuals'!Z763*'Model_ of_individuals'!$K763,"")</f>
        <v/>
      </c>
      <c r="AA743" s="93" t="str">
        <f>IF(ISNUMBER('Model_ of_individuals'!AA763), 'Model_ of_individuals'!AA763*'Model_ of_individuals'!$K763,"")</f>
        <v/>
      </c>
      <c r="AB743" s="93" t="str">
        <f>IF(ISNUMBER('Model_ of_individuals'!AB763), 'Model_ of_individuals'!AB763*'Model_ of_individuals'!$K763,"")</f>
        <v/>
      </c>
      <c r="AC743" s="93" t="str">
        <f>IF(ISNUMBER('Model_ of_individuals'!AC763), 'Model_ of_individuals'!AC763*'Model_ of_individuals'!$K763,"")</f>
        <v/>
      </c>
      <c r="AD743" s="93" t="str">
        <f>IF(ISNUMBER('Model_ of_individuals'!AD763), 'Model_ of_individuals'!AD763*'Model_ of_individuals'!$K763,"")</f>
        <v/>
      </c>
      <c r="AE743" s="93" t="str">
        <f>IF(ISNUMBER('Model_ of_individuals'!AE763), 'Model_ of_individuals'!AE763*'Model_ of_individuals'!$K763,"")</f>
        <v/>
      </c>
      <c r="AF743" s="93" t="str">
        <f>IF(ISNUMBER('Model_ of_individuals'!AF763), 'Model_ of_individuals'!AF763*'Model_ of_individuals'!$K763,"")</f>
        <v/>
      </c>
      <c r="AG743" s="93" t="str">
        <f>IF(ISNUMBER('Model_ of_individuals'!AG763), 'Model_ of_individuals'!AG763*'Model_ of_individuals'!$K763,"")</f>
        <v/>
      </c>
    </row>
    <row r="744" spans="1:33" x14ac:dyDescent="0.25">
      <c r="A744" s="518"/>
      <c r="B744" s="504"/>
      <c r="C744" s="521" t="str">
        <f>IF(AND(B733&lt;&gt;"",ISNUMBER(B733),ISNUMBER(Stage3EvaluationBegins)),IF((INDEX(ProgramYearStage3,MATCH(Stage3EvaluationBegins,Years_in_Stage3,0)))=B733,_5_5_0,IF(AND(B733&lt;&gt;"",C722&lt;&gt;""),_5_5_0,IF(AND(B733&lt;&gt;"",ISNUMBER(B733),OR(Stage3EvaluationBegins=0,Stage3EvaluationBegins="")),"",""))),"")</f>
        <v/>
      </c>
      <c r="D744" s="94" t="str">
        <f>IF(AND(C744&lt;&gt;"", 'Cost Inputs'!$G$157&lt;&gt;""), 'Cost Inputs'!$G$157, "")</f>
        <v/>
      </c>
      <c r="E744" s="94" t="str">
        <f>IF(AND(C744&lt;&gt;"", 'Cost Inputs'!$H$157&lt;&gt;""), 'Cost Inputs'!$H$157, "")</f>
        <v/>
      </c>
      <c r="F744" s="492" t="str">
        <f>IF(AND(C744&lt;&gt;"", 'Cost Inputs'!$I$157&lt;&gt;""), 'Cost Inputs'!$I$157, "")</f>
        <v/>
      </c>
      <c r="G744" s="102" t="str">
        <f t="shared" si="66"/>
        <v/>
      </c>
      <c r="H744" s="492" t="str">
        <f>IF(AND(C744&lt;&gt;"", 'Cost Inputs'!$J$157&lt;&gt;""), 'Cost Inputs'!$J$157, "")</f>
        <v/>
      </c>
      <c r="I744" s="102" t="str">
        <f>IF($C744&lt;&gt;"",IF(AND($E744&lt;&gt;"",H744&lt;&gt;""), H744/$E744, 0),"")</f>
        <v/>
      </c>
      <c r="J744" s="492" t="str">
        <f>IF(AND(C744&lt;&gt;"",('Cost Inputs'!$I$157+'Cost Inputs'!$J$157+'Cost Inputs'!$K$157)&gt;0), 'Cost Inputs'!$I$157+'Cost Inputs'!$J$157+'Cost Inputs'!$K$157, "")</f>
        <v/>
      </c>
      <c r="K744" s="102" t="str">
        <f>IF($C744&lt;&gt;"",IF(AND($E744&lt;&gt;"",J744&lt;&gt;""), J744/$E744, 0),"")</f>
        <v/>
      </c>
      <c r="L744" s="94"/>
      <c r="M744" s="103"/>
      <c r="X744" s="492" t="str">
        <f>IF(ISNUMBER('Model_ of_individuals'!X764), 'Model_ of_individuals'!X764*'Model_ of_individuals'!$K764,"")</f>
        <v/>
      </c>
      <c r="Y744" s="492" t="str">
        <f>IF(ISNUMBER('Model_ of_individuals'!Y764), 'Model_ of_individuals'!Y764*'Model_ of_individuals'!$K764,"")</f>
        <v/>
      </c>
      <c r="Z744" s="492" t="str">
        <f>IF(ISNUMBER('Model_ of_individuals'!Z764), 'Model_ of_individuals'!Z764*'Model_ of_individuals'!$K764,"")</f>
        <v/>
      </c>
      <c r="AA744" s="492" t="str">
        <f>IF(ISNUMBER('Model_ of_individuals'!AA764), 'Model_ of_individuals'!AA764*'Model_ of_individuals'!$K764,"")</f>
        <v/>
      </c>
      <c r="AB744" s="492" t="str">
        <f>IF(ISNUMBER('Model_ of_individuals'!AB764), 'Model_ of_individuals'!AB764*'Model_ of_individuals'!$K764,"")</f>
        <v/>
      </c>
      <c r="AC744" s="492" t="str">
        <f>IF(ISNUMBER('Model_ of_individuals'!AC764), 'Model_ of_individuals'!AC764*'Model_ of_individuals'!$K764,"")</f>
        <v/>
      </c>
      <c r="AD744" s="492" t="str">
        <f>IF(ISNUMBER('Model_ of_individuals'!AD764), 'Model_ of_individuals'!AD764*'Model_ of_individuals'!$K764,"")</f>
        <v/>
      </c>
      <c r="AE744" s="492" t="str">
        <f>IF(ISNUMBER('Model_ of_individuals'!AE764), 'Model_ of_individuals'!AE764*'Model_ of_individuals'!$K764,"")</f>
        <v/>
      </c>
      <c r="AF744" s="492" t="str">
        <f>IF(ISNUMBER('Model_ of_individuals'!AF764), 'Model_ of_individuals'!AF764*'Model_ of_individuals'!$K764,"")</f>
        <v/>
      </c>
      <c r="AG744" s="492" t="str">
        <f>IF(ISNUMBER('Model_ of_individuals'!AG764), 'Model_ of_individuals'!AG764*'Model_ of_individuals'!$K764,"")</f>
        <v/>
      </c>
    </row>
    <row r="745" spans="1:33" x14ac:dyDescent="0.25">
      <c r="A745" s="518"/>
      <c r="B745" s="504"/>
      <c r="C745" s="521"/>
      <c r="D745" s="94" t="str">
        <f>IF(AND(C744&lt;&gt;"", 'Cost Inputs'!$G$158&lt;&gt;""), 'Cost Inputs'!$G$158, "")</f>
        <v/>
      </c>
      <c r="E745" s="94" t="str">
        <f>IF(AND(C744&lt;&gt;"", 'Cost Inputs'!$H$158&lt;&gt;""), 'Cost Inputs'!$H$158, "")</f>
        <v/>
      </c>
      <c r="F745" s="492"/>
      <c r="G745" s="102" t="str">
        <f t="shared" si="66"/>
        <v/>
      </c>
      <c r="H745" s="492"/>
      <c r="I745" s="102" t="str">
        <f>IF($C744&lt;&gt;"", IF(AND($E745&lt;&gt;"", H744&lt;&gt;""), H744/($E744*$E745), 0), "")</f>
        <v/>
      </c>
      <c r="J745" s="492" t="str">
        <f>IF(AND(C745&lt;&gt;"",('Cost Inputs'!$I$86+'Cost Inputs'!$J$86+'Cost Inputs'!$K$86)&gt;0), 'Cost Inputs'!$I$86+'Cost Inputs'!$J$86+'Cost Inputs'!$K$86, "")</f>
        <v/>
      </c>
      <c r="K745" s="102" t="str">
        <f>IF($C744&lt;&gt;"", IF(AND($E745&lt;&gt;"", J744&lt;&gt;""), J744/($E744*$E745), 0), "")</f>
        <v/>
      </c>
      <c r="L745" s="94"/>
      <c r="M745" s="103"/>
      <c r="X745" s="492" t="str">
        <f>IF(ISNUMBER('Model_ of_individuals'!X765), 'Model_ of_individuals'!X765*'Model_ of_individuals'!$K765,"")</f>
        <v/>
      </c>
      <c r="Y745" s="492" t="str">
        <f>IF(ISNUMBER('Model_ of_individuals'!Y765), 'Model_ of_individuals'!Y765*'Model_ of_individuals'!$K765,"")</f>
        <v/>
      </c>
      <c r="Z745" s="492" t="str">
        <f>IF(ISNUMBER('Model_ of_individuals'!Z765), 'Model_ of_individuals'!Z765*'Model_ of_individuals'!$K765,"")</f>
        <v/>
      </c>
      <c r="AA745" s="492" t="str">
        <f>IF(ISNUMBER('Model_ of_individuals'!AA765), 'Model_ of_individuals'!AA765*'Model_ of_individuals'!$K765,"")</f>
        <v/>
      </c>
      <c r="AB745" s="492" t="str">
        <f>IF(ISNUMBER('Model_ of_individuals'!AB765), 'Model_ of_individuals'!AB765*'Model_ of_individuals'!$K765,"")</f>
        <v/>
      </c>
      <c r="AC745" s="492" t="str">
        <f>IF(ISNUMBER('Model_ of_individuals'!AC765), 'Model_ of_individuals'!AC765*'Model_ of_individuals'!$K765,"")</f>
        <v/>
      </c>
      <c r="AD745" s="492" t="str">
        <f>IF(ISNUMBER('Model_ of_individuals'!AD765), 'Model_ of_individuals'!AD765*'Model_ of_individuals'!$K765,"")</f>
        <v/>
      </c>
      <c r="AE745" s="492" t="str">
        <f>IF(ISNUMBER('Model_ of_individuals'!AE765), 'Model_ of_individuals'!AE765*'Model_ of_individuals'!$K765,"")</f>
        <v/>
      </c>
      <c r="AF745" s="492" t="str">
        <f>IF(ISNUMBER('Model_ of_individuals'!AF765), 'Model_ of_individuals'!AF765*'Model_ of_individuals'!$K765,"")</f>
        <v/>
      </c>
      <c r="AG745" s="492" t="str">
        <f>IF(ISNUMBER('Model_ of_individuals'!AG765), 'Model_ of_individuals'!AG765*'Model_ of_individuals'!$K765,"")</f>
        <v/>
      </c>
    </row>
    <row r="746" spans="1:33" x14ac:dyDescent="0.25">
      <c r="A746" s="518"/>
      <c r="B746" s="504"/>
      <c r="C746" s="376" t="str">
        <f>IF(AND(ISNUMBER(B733), C744&lt;&gt;"", OR('Cost Inputs'!$H$159&lt;&gt;"", 'Cost Inputs'!$I$159&lt;&gt;"", 'Cost Inputs'!$J$159&lt;&gt;"")), _5_5_1, "")</f>
        <v/>
      </c>
      <c r="D746" s="17" t="str">
        <f>IF(AND(C746&lt;&gt;"", 'Cost Inputs'!$G$159&lt;&gt;""), 'Cost Inputs'!$G$159, "")</f>
        <v/>
      </c>
      <c r="E746" s="17" t="str">
        <f>IF(AND(C746&lt;&gt;"", 'Cost Inputs'!$H$159&lt;&gt;""), 'Cost Inputs'!$H$159, "")</f>
        <v/>
      </c>
      <c r="F746" s="493" t="str">
        <f>IF(AND(C746&lt;&gt;"", 'Cost Inputs'!$I$159&lt;&gt;""), 'Cost Inputs'!$I$159, "")</f>
        <v/>
      </c>
      <c r="G746" s="105" t="str">
        <f t="shared" si="66"/>
        <v/>
      </c>
      <c r="H746" s="493" t="str">
        <f>IF(AND(C746&lt;&gt;"", 'Cost Inputs'!$J$159&lt;&gt;""), 'Cost Inputs'!$J$159, "")</f>
        <v/>
      </c>
      <c r="I746" s="105" t="str">
        <f>IF($C746&lt;&gt;"",IF(AND($E746&lt;&gt;"",H746&lt;&gt;""), H746/$E746, 0),"")</f>
        <v/>
      </c>
      <c r="J746" s="493" t="str">
        <f>IF(AND(C746&lt;&gt;"",('Cost Inputs'!$I$159+'Cost Inputs'!$J$159+'Cost Inputs'!$K$159)&gt;0), 'Cost Inputs'!$I$159+'Cost Inputs'!$J$159+'Cost Inputs'!$K$159, "")</f>
        <v/>
      </c>
      <c r="K746" s="105" t="str">
        <f>IF($C746&lt;&gt;"",IF(AND($E746&lt;&gt;"",J746&lt;&gt;""), J746/$E746, 0),"")</f>
        <v/>
      </c>
      <c r="M746" s="106"/>
      <c r="X746" s="493" t="str">
        <f>IF(ISNUMBER('Model_ of_individuals'!X766), 'Model_ of_individuals'!X766*'Model_ of_individuals'!$K766,"")</f>
        <v/>
      </c>
      <c r="Y746" s="493" t="str">
        <f>IF(ISNUMBER('Model_ of_individuals'!Y766), 'Model_ of_individuals'!Y766*'Model_ of_individuals'!$K766,"")</f>
        <v/>
      </c>
      <c r="Z746" s="493" t="str">
        <f>IF(ISNUMBER('Model_ of_individuals'!Z766), 'Model_ of_individuals'!Z766*'Model_ of_individuals'!$K766,"")</f>
        <v/>
      </c>
      <c r="AA746" s="493" t="str">
        <f>IF(ISNUMBER('Model_ of_individuals'!AA766), 'Model_ of_individuals'!AA766*'Model_ of_individuals'!$K766,"")</f>
        <v/>
      </c>
      <c r="AB746" s="493" t="str">
        <f>IF(ISNUMBER('Model_ of_individuals'!AB766), 'Model_ of_individuals'!AB766*'Model_ of_individuals'!$K766,"")</f>
        <v/>
      </c>
      <c r="AC746" s="493" t="str">
        <f>IF(ISNUMBER('Model_ of_individuals'!AC766), 'Model_ of_individuals'!AC766*'Model_ of_individuals'!$K766,"")</f>
        <v/>
      </c>
      <c r="AD746" s="493" t="str">
        <f>IF(ISNUMBER('Model_ of_individuals'!AD766), 'Model_ of_individuals'!AD766*'Model_ of_individuals'!$K766,"")</f>
        <v/>
      </c>
      <c r="AE746" s="493" t="str">
        <f>IF(ISNUMBER('Model_ of_individuals'!AE766), 'Model_ of_individuals'!AE766*'Model_ of_individuals'!$K766,"")</f>
        <v/>
      </c>
      <c r="AF746" s="493" t="str">
        <f>IF(ISNUMBER('Model_ of_individuals'!AF766), 'Model_ of_individuals'!AF766*'Model_ of_individuals'!$K766,"")</f>
        <v/>
      </c>
      <c r="AG746" s="493" t="str">
        <f>IF(ISNUMBER('Model_ of_individuals'!AG766), 'Model_ of_individuals'!AG766*'Model_ of_individuals'!$K766,"")</f>
        <v/>
      </c>
    </row>
    <row r="747" spans="1:33" x14ac:dyDescent="0.25">
      <c r="A747" s="518"/>
      <c r="B747" s="504"/>
      <c r="C747" s="376" t="str">
        <f>IF(AND(ISNUMBER(B729), OR('Cost Inputs'!$H$85&lt;&gt;"", 'Cost Inputs'!$I$85&lt;&gt;"", 'Cost Inputs'!$J$85&lt;&gt;"")), _3_5_1, "")</f>
        <v/>
      </c>
      <c r="D747" s="17" t="str">
        <f>IF(AND(C746&lt;&gt;"", 'Cost Inputs'!$G$160&lt;&gt;""), 'Cost Inputs'!$G$160, "")</f>
        <v/>
      </c>
      <c r="E747" s="17" t="str">
        <f>IF(AND(C746&lt;&gt;"", 'Cost Inputs'!$H$160&lt;&gt;""), 'Cost Inputs'!$H$160, "")</f>
        <v/>
      </c>
      <c r="F747" s="493"/>
      <c r="G747" s="105" t="str">
        <f t="shared" si="66"/>
        <v/>
      </c>
      <c r="H747" s="493"/>
      <c r="I747" s="105" t="str">
        <f>IF($C746&lt;&gt;"", IF(AND($E747&lt;&gt;"", H746&lt;&gt;""), H746/($E746*$E747), 0), "")</f>
        <v/>
      </c>
      <c r="J747" s="493" t="str">
        <f>IF(AND(C747&lt;&gt;"",('Cost Inputs'!$I$86+'Cost Inputs'!$J$86+'Cost Inputs'!$K$86)&gt;0), 'Cost Inputs'!$I$86+'Cost Inputs'!$J$86+'Cost Inputs'!$K$86, "")</f>
        <v/>
      </c>
      <c r="K747" s="105" t="str">
        <f>IF($C746&lt;&gt;"", IF(AND($E747&lt;&gt;"", J746&lt;&gt;""), J746/($E746*$E747), 0), "")</f>
        <v/>
      </c>
      <c r="M747" s="106"/>
      <c r="X747" s="493" t="str">
        <f>IF(ISNUMBER('Model_ of_individuals'!X767), 'Model_ of_individuals'!X767*'Model_ of_individuals'!$K767,"")</f>
        <v/>
      </c>
      <c r="Y747" s="493" t="str">
        <f>IF(ISNUMBER('Model_ of_individuals'!Y767), 'Model_ of_individuals'!Y767*'Model_ of_individuals'!$K767,"")</f>
        <v/>
      </c>
      <c r="Z747" s="493" t="str">
        <f>IF(ISNUMBER('Model_ of_individuals'!Z767), 'Model_ of_individuals'!Z767*'Model_ of_individuals'!$K767,"")</f>
        <v/>
      </c>
      <c r="AA747" s="493" t="str">
        <f>IF(ISNUMBER('Model_ of_individuals'!AA767), 'Model_ of_individuals'!AA767*'Model_ of_individuals'!$K767,"")</f>
        <v/>
      </c>
      <c r="AB747" s="493" t="str">
        <f>IF(ISNUMBER('Model_ of_individuals'!AB767), 'Model_ of_individuals'!AB767*'Model_ of_individuals'!$K767,"")</f>
        <v/>
      </c>
      <c r="AC747" s="493" t="str">
        <f>IF(ISNUMBER('Model_ of_individuals'!AC767), 'Model_ of_individuals'!AC767*'Model_ of_individuals'!$K767,"")</f>
        <v/>
      </c>
      <c r="AD747" s="493" t="str">
        <f>IF(ISNUMBER('Model_ of_individuals'!AD767), 'Model_ of_individuals'!AD767*'Model_ of_individuals'!$K767,"")</f>
        <v/>
      </c>
      <c r="AE747" s="493" t="str">
        <f>IF(ISNUMBER('Model_ of_individuals'!AE767), 'Model_ of_individuals'!AE767*'Model_ of_individuals'!$K767,"")</f>
        <v/>
      </c>
      <c r="AF747" s="493" t="str">
        <f>IF(ISNUMBER('Model_ of_individuals'!AF767), 'Model_ of_individuals'!AF767*'Model_ of_individuals'!$K767,"")</f>
        <v/>
      </c>
      <c r="AG747" s="493" t="str">
        <f>IF(ISNUMBER('Model_ of_individuals'!AG767), 'Model_ of_individuals'!AG767*'Model_ of_individuals'!$K767,"")</f>
        <v/>
      </c>
    </row>
    <row r="748" spans="1:33" x14ac:dyDescent="0.25">
      <c r="A748" s="518"/>
      <c r="B748" s="504"/>
      <c r="C748" s="107" t="str">
        <f>IF(AND(ISNUMBER(B733), C744&lt;&gt;"", OR('Cost Inputs'!$H$161&lt;&gt;"", 'Cost Inputs'!$I$161&lt;&gt;"", 'Cost Inputs'!$J$161&lt;&gt;"")), _5_5_2, "")</f>
        <v/>
      </c>
      <c r="D748" s="93" t="str">
        <f>IF(AND(C748&lt;&gt;"", 'Cost Inputs'!$G$161&lt;&gt;""), 'Cost Inputs'!$G$161, "")</f>
        <v/>
      </c>
      <c r="E748" s="93" t="str">
        <f>IF(AND(C748&lt;&gt;"", 'Cost Inputs'!$H$161&lt;&gt;""), 'Cost Inputs'!$H$161, "")</f>
        <v/>
      </c>
      <c r="F748" s="93" t="str">
        <f>IF(AND(C748&lt;&gt;"", 'Cost Inputs'!$I$161&lt;&gt;""), 'Cost Inputs'!$I$161, "")</f>
        <v/>
      </c>
      <c r="G748" s="108" t="str">
        <f t="shared" si="66"/>
        <v/>
      </c>
      <c r="H748" s="93" t="str">
        <f>IF(AND(C748&lt;&gt;"", 'Cost Inputs'!$J$161&lt;&gt;""), 'Cost Inputs'!$J$161, "")</f>
        <v/>
      </c>
      <c r="I748" s="93" t="str">
        <f>IF($C748&lt;&gt;"", IF(AND($E748&lt;&gt;"", H748&lt;&gt;""), H748/$E748, 0),"")</f>
        <v/>
      </c>
      <c r="J748" s="93" t="str">
        <f>IF(AND(C748&lt;&gt;"",('Cost Inputs'!$I$161+'Cost Inputs'!$J$161+'Cost Inputs'!$K$161)&gt;0), 'Cost Inputs'!$I$161+'Cost Inputs'!$J$161+'Cost Inputs'!$K$161, "")</f>
        <v/>
      </c>
      <c r="K748" s="93" t="str">
        <f>IF($C748&lt;&gt;"", IF(AND($E748&lt;&gt;"", J748&lt;&gt;""), J748/$E748, 0),"")</f>
        <v/>
      </c>
      <c r="L748" s="93"/>
      <c r="M748" s="109"/>
      <c r="X748" s="93" t="str">
        <f>IF(ISNUMBER('Model_ of_individuals'!X768), 'Model_ of_individuals'!X768*'Model_ of_individuals'!$K768,"")</f>
        <v/>
      </c>
      <c r="Y748" s="93" t="str">
        <f>IF(ISNUMBER('Model_ of_individuals'!Y768), 'Model_ of_individuals'!Y768*'Model_ of_individuals'!$K768,"")</f>
        <v/>
      </c>
      <c r="Z748" s="93" t="str">
        <f>IF(ISNUMBER('Model_ of_individuals'!Z768), 'Model_ of_individuals'!Z768*'Model_ of_individuals'!$K768,"")</f>
        <v/>
      </c>
      <c r="AA748" s="93" t="str">
        <f>IF(ISNUMBER('Model_ of_individuals'!AA768), 'Model_ of_individuals'!AA768*'Model_ of_individuals'!$K768,"")</f>
        <v/>
      </c>
      <c r="AB748" s="93" t="str">
        <f>IF(ISNUMBER('Model_ of_individuals'!AB768), 'Model_ of_individuals'!AB768*'Model_ of_individuals'!$K768,"")</f>
        <v/>
      </c>
      <c r="AC748" s="93" t="str">
        <f>IF(ISNUMBER('Model_ of_individuals'!AC768), 'Model_ of_individuals'!AC768*'Model_ of_individuals'!$K768,"")</f>
        <v/>
      </c>
      <c r="AD748" s="93" t="str">
        <f>IF(ISNUMBER('Model_ of_individuals'!AD768), 'Model_ of_individuals'!AD768*'Model_ of_individuals'!$K768,"")</f>
        <v/>
      </c>
      <c r="AE748" s="93" t="str">
        <f>IF(ISNUMBER('Model_ of_individuals'!AE768), 'Model_ of_individuals'!AE768*'Model_ of_individuals'!$K768,"")</f>
        <v/>
      </c>
      <c r="AF748" s="93" t="str">
        <f>IF(ISNUMBER('Model_ of_individuals'!AF768), 'Model_ of_individuals'!AF768*'Model_ of_individuals'!$K768,"")</f>
        <v/>
      </c>
      <c r="AG748" s="93" t="str">
        <f>IF(ISNUMBER('Model_ of_individuals'!AG768), 'Model_ of_individuals'!AG768*'Model_ of_individuals'!$K768,"")</f>
        <v/>
      </c>
    </row>
    <row r="749" spans="1:33" x14ac:dyDescent="0.25">
      <c r="A749" s="518"/>
      <c r="B749" s="504"/>
      <c r="C749" s="104" t="str">
        <f>IF(AND(ISNUMBER(B733), C744&lt;&gt;"", OR('Cost Inputs'!$H$162&lt;&gt;"", 'Cost Inputs'!$I$162&lt;&gt;"", 'Cost Inputs'!$J$162&lt;&gt;"")), _5_5_3, "")</f>
        <v/>
      </c>
      <c r="D749" s="17" t="str">
        <f>IF(AND(C749&lt;&gt;"", 'Cost Inputs'!$G$162&lt;&gt;""), 'Cost Inputs'!$G$162, "")</f>
        <v/>
      </c>
      <c r="E749" s="17" t="str">
        <f>IF(AND(C749&lt;&gt;"", 'Cost Inputs'!$H$162&lt;&gt;""), 'Cost Inputs'!$H$162, "")</f>
        <v/>
      </c>
      <c r="F749" s="17" t="str">
        <f>IF(AND(C749&lt;&gt;"", 'Cost Inputs'!$I$162&lt;&gt;""), 'Cost Inputs'!$I$162, "")</f>
        <v/>
      </c>
      <c r="G749" s="105" t="str">
        <f t="shared" si="66"/>
        <v/>
      </c>
      <c r="H749" s="17" t="str">
        <f>IF(AND(C749&lt;&gt;"", 'Cost Inputs'!$J$162&lt;&gt;""), 'Cost Inputs'!$J$162, "")</f>
        <v/>
      </c>
      <c r="I749" s="17" t="str">
        <f>IF($C749&lt;&gt;"", IF(AND($E749&lt;&gt;"", H749&lt;&gt;""), H749/$E749, 0),"")</f>
        <v/>
      </c>
      <c r="J749" s="17" t="str">
        <f>IF(AND(C749&lt;&gt;"",('Cost Inputs'!$I$162+'Cost Inputs'!$J$162+'Cost Inputs'!$K$162)&gt;0), 'Cost Inputs'!$I$162+'Cost Inputs'!$J$162+'Cost Inputs'!$K$162, "")</f>
        <v/>
      </c>
      <c r="K749" s="17" t="str">
        <f>IF($C749&lt;&gt;"", IF(AND($E749&lt;&gt;"", J749&lt;&gt;""), J749/$E749, 0),"")</f>
        <v/>
      </c>
      <c r="M749" s="106"/>
      <c r="X749" s="17" t="str">
        <f>IF(ISNUMBER('Model_ of_individuals'!X769), 'Model_ of_individuals'!X769*'Model_ of_individuals'!$K769,"")</f>
        <v/>
      </c>
      <c r="Y749" s="17" t="str">
        <f>IF(ISNUMBER('Model_ of_individuals'!Y769), 'Model_ of_individuals'!Y769*'Model_ of_individuals'!$K769,"")</f>
        <v/>
      </c>
      <c r="Z749" s="17" t="str">
        <f>IF(ISNUMBER('Model_ of_individuals'!Z769), 'Model_ of_individuals'!Z769*'Model_ of_individuals'!$K769,"")</f>
        <v/>
      </c>
      <c r="AA749" s="17" t="str">
        <f>IF(ISNUMBER('Model_ of_individuals'!AA769), 'Model_ of_individuals'!AA769*'Model_ of_individuals'!$K769,"")</f>
        <v/>
      </c>
      <c r="AB749" s="17" t="str">
        <f>IF(ISNUMBER('Model_ of_individuals'!AB769), 'Model_ of_individuals'!AB769*'Model_ of_individuals'!$K769,"")</f>
        <v/>
      </c>
      <c r="AC749" s="17" t="str">
        <f>IF(ISNUMBER('Model_ of_individuals'!AC769), 'Model_ of_individuals'!AC769*'Model_ of_individuals'!$K769,"")</f>
        <v/>
      </c>
      <c r="AD749" s="17" t="str">
        <f>IF(ISNUMBER('Model_ of_individuals'!AD769), 'Model_ of_individuals'!AD769*'Model_ of_individuals'!$K769,"")</f>
        <v/>
      </c>
      <c r="AE749" s="17" t="str">
        <f>IF(ISNUMBER('Model_ of_individuals'!AE769), 'Model_ of_individuals'!AE769*'Model_ of_individuals'!$K769,"")</f>
        <v/>
      </c>
      <c r="AF749" s="17" t="str">
        <f>IF(ISNUMBER('Model_ of_individuals'!AF769), 'Model_ of_individuals'!AF769*'Model_ of_individuals'!$K769,"")</f>
        <v/>
      </c>
      <c r="AG749" s="17" t="str">
        <f>IF(ISNUMBER('Model_ of_individuals'!AG769), 'Model_ of_individuals'!AG769*'Model_ of_individuals'!$K769,"")</f>
        <v/>
      </c>
    </row>
    <row r="750" spans="1:33" x14ac:dyDescent="0.25">
      <c r="A750" s="518"/>
      <c r="B750" s="504"/>
      <c r="C750" s="107" t="str">
        <f>IF(AND(ISNUMBER(B733), C744&lt;&gt;"", OR('Cost Inputs'!$H$163&lt;&gt;"", 'Cost Inputs'!$I$163&lt;&gt;"", 'Cost Inputs'!$J$163&lt;&gt;"")), _5_5_4, "")</f>
        <v/>
      </c>
      <c r="D750" s="93" t="str">
        <f>IF(AND(C750&lt;&gt;"", 'Cost Inputs'!$G$163&lt;&gt;""), 'Cost Inputs'!$G$163, "")</f>
        <v/>
      </c>
      <c r="E750" s="93" t="str">
        <f>IF(AND(C750&lt;&gt;"", 'Cost Inputs'!$H$163&lt;&gt;""), 'Cost Inputs'!$H$163, "")</f>
        <v/>
      </c>
      <c r="F750" s="93" t="str">
        <f>IF(AND(C750&lt;&gt;"", 'Cost Inputs'!$I$163&lt;&gt;""), 'Cost Inputs'!$I$163, "")</f>
        <v/>
      </c>
      <c r="G750" s="108" t="str">
        <f t="shared" si="66"/>
        <v/>
      </c>
      <c r="H750" s="93" t="str">
        <f>IF(AND(C750&lt;&gt;"", 'Cost Inputs'!$J$163&lt;&gt;""), 'Cost Inputs'!$J$163, "")</f>
        <v/>
      </c>
      <c r="I750" s="93" t="str">
        <f>IF($C750&lt;&gt;"", IF(AND($E750&lt;&gt;"", H750&lt;&gt;""), H750/$E750, 0),"")</f>
        <v/>
      </c>
      <c r="J750" s="93" t="str">
        <f>IF(AND(C750&lt;&gt;"",('Cost Inputs'!$I$163+'Cost Inputs'!$J$163+'Cost Inputs'!$K$163)&gt;0), 'Cost Inputs'!$I$163+'Cost Inputs'!$J$163+'Cost Inputs'!$K$163, "")</f>
        <v/>
      </c>
      <c r="K750" s="93" t="str">
        <f>IF($C750&lt;&gt;"", IF(AND($E750&lt;&gt;"", J750&lt;&gt;""), J750/$E750, 0),"")</f>
        <v/>
      </c>
      <c r="L750" s="93"/>
      <c r="M750" s="109"/>
      <c r="X750" s="93" t="str">
        <f>IF(ISNUMBER('Model_ of_individuals'!X770), 'Model_ of_individuals'!X770*'Model_ of_individuals'!$K770,"")</f>
        <v/>
      </c>
      <c r="Y750" s="93" t="str">
        <f>IF(ISNUMBER('Model_ of_individuals'!Y770), 'Model_ of_individuals'!Y770*'Model_ of_individuals'!$K770,"")</f>
        <v/>
      </c>
      <c r="Z750" s="93" t="str">
        <f>IF(ISNUMBER('Model_ of_individuals'!Z770), 'Model_ of_individuals'!Z770*'Model_ of_individuals'!$K770,"")</f>
        <v/>
      </c>
      <c r="AA750" s="93" t="str">
        <f>IF(ISNUMBER('Model_ of_individuals'!AA770), 'Model_ of_individuals'!AA770*'Model_ of_individuals'!$K770,"")</f>
        <v/>
      </c>
      <c r="AB750" s="93" t="str">
        <f>IF(ISNUMBER('Model_ of_individuals'!AB770), 'Model_ of_individuals'!AB770*'Model_ of_individuals'!$K770,"")</f>
        <v/>
      </c>
      <c r="AC750" s="93" t="str">
        <f>IF(ISNUMBER('Model_ of_individuals'!AC770), 'Model_ of_individuals'!AC770*'Model_ of_individuals'!$K770,"")</f>
        <v/>
      </c>
      <c r="AD750" s="93" t="str">
        <f>IF(ISNUMBER('Model_ of_individuals'!AD770), 'Model_ of_individuals'!AD770*'Model_ of_individuals'!$K770,"")</f>
        <v/>
      </c>
      <c r="AE750" s="93" t="str">
        <f>IF(ISNUMBER('Model_ of_individuals'!AE770), 'Model_ of_individuals'!AE770*'Model_ of_individuals'!$K770,"")</f>
        <v/>
      </c>
      <c r="AF750" s="93" t="str">
        <f>IF(ISNUMBER('Model_ of_individuals'!AF770), 'Model_ of_individuals'!AF770*'Model_ of_individuals'!$K770,"")</f>
        <v/>
      </c>
      <c r="AG750" s="93" t="str">
        <f>IF(ISNUMBER('Model_ of_individuals'!AG770), 'Model_ of_individuals'!AG770*'Model_ of_individuals'!$K770,"")</f>
        <v/>
      </c>
    </row>
    <row r="751" spans="1:33" x14ac:dyDescent="0.25">
      <c r="A751" s="518"/>
      <c r="B751" s="504"/>
      <c r="C751" s="104" t="str">
        <f>IF(AND(ISNUMBER(B733), C744&lt;&gt;"", OR('Cost Inputs'!$H$164&lt;&gt;"", 'Cost Inputs'!$I$164&lt;&gt;"", 'Cost Inputs'!$J$164&lt;&gt;"")), _5_5_5, "")</f>
        <v/>
      </c>
      <c r="D751" s="17" t="str">
        <f>IF(AND(C751&lt;&gt;"", 'Cost Inputs'!$G$164&lt;&gt;""), 'Cost Inputs'!$G$164, "")</f>
        <v/>
      </c>
      <c r="E751" s="17" t="str">
        <f>IF(AND(C751&lt;&gt;"", 'Cost Inputs'!$H$164&lt;&gt;""), 'Cost Inputs'!$H$164, "")</f>
        <v/>
      </c>
      <c r="F751" s="17" t="str">
        <f>IF(AND(C751&lt;&gt;"", 'Cost Inputs'!$I$164&lt;&gt;""), 'Cost Inputs'!$I$164, "")</f>
        <v/>
      </c>
      <c r="G751" s="105" t="str">
        <f t="shared" si="66"/>
        <v/>
      </c>
      <c r="H751" s="17" t="str">
        <f>IF(AND(C751&lt;&gt;"", 'Cost Inputs'!$J$164&lt;&gt;""), 'Cost Inputs'!$J$164, "")</f>
        <v/>
      </c>
      <c r="I751" s="17" t="str">
        <f>IF($C751&lt;&gt;"", IF(AND($E751&lt;&gt;"", H751&lt;&gt;""), H751/$E751, 0),"")</f>
        <v/>
      </c>
      <c r="J751" s="17" t="str">
        <f>IF(AND(C751&lt;&gt;"",('Cost Inputs'!$I$164+'Cost Inputs'!$J$164+'Cost Inputs'!$K$164)&gt;0), 'Cost Inputs'!$I$164+'Cost Inputs'!$J$164+'Cost Inputs'!$K$164, "")</f>
        <v/>
      </c>
      <c r="K751" s="17" t="str">
        <f>IF($C751&lt;&gt;"", IF(AND($E751&lt;&gt;"", J751&lt;&gt;""), J751/$E751, 0),"")</f>
        <v/>
      </c>
      <c r="M751" s="106"/>
      <c r="X751" s="17" t="str">
        <f>IF(ISNUMBER('Model_ of_individuals'!X771), 'Model_ of_individuals'!X771*'Model_ of_individuals'!$K771,"")</f>
        <v/>
      </c>
      <c r="Y751" s="17" t="str">
        <f>IF(ISNUMBER('Model_ of_individuals'!Y771), 'Model_ of_individuals'!Y771*'Model_ of_individuals'!$K771,"")</f>
        <v/>
      </c>
      <c r="Z751" s="17" t="str">
        <f>IF(ISNUMBER('Model_ of_individuals'!Z771), 'Model_ of_individuals'!Z771*'Model_ of_individuals'!$K771,"")</f>
        <v/>
      </c>
      <c r="AA751" s="17" t="str">
        <f>IF(ISNUMBER('Model_ of_individuals'!AA771), 'Model_ of_individuals'!AA771*'Model_ of_individuals'!$K771,"")</f>
        <v/>
      </c>
      <c r="AB751" s="17" t="str">
        <f>IF(ISNUMBER('Model_ of_individuals'!AB771), 'Model_ of_individuals'!AB771*'Model_ of_individuals'!$K771,"")</f>
        <v/>
      </c>
      <c r="AC751" s="17" t="str">
        <f>IF(ISNUMBER('Model_ of_individuals'!AC771), 'Model_ of_individuals'!AC771*'Model_ of_individuals'!$K771,"")</f>
        <v/>
      </c>
      <c r="AD751" s="17" t="str">
        <f>IF(ISNUMBER('Model_ of_individuals'!AD771), 'Model_ of_individuals'!AD771*'Model_ of_individuals'!$K771,"")</f>
        <v/>
      </c>
      <c r="AE751" s="17" t="str">
        <f>IF(ISNUMBER('Model_ of_individuals'!AE771), 'Model_ of_individuals'!AE771*'Model_ of_individuals'!$K771,"")</f>
        <v/>
      </c>
      <c r="AF751" s="17" t="str">
        <f>IF(ISNUMBER('Model_ of_individuals'!AF771), 'Model_ of_individuals'!AF771*'Model_ of_individuals'!$K771,"")</f>
        <v/>
      </c>
      <c r="AG751" s="17" t="str">
        <f>IF(ISNUMBER('Model_ of_individuals'!AG771), 'Model_ of_individuals'!AG771*'Model_ of_individuals'!$K771,"")</f>
        <v/>
      </c>
    </row>
    <row r="752" spans="1:33" x14ac:dyDescent="0.25">
      <c r="A752" s="518"/>
      <c r="B752" s="504"/>
      <c r="C752" s="110" t="str">
        <f>IF(ISNUMBER(B733), _5_6_0, "")</f>
        <v/>
      </c>
      <c r="D752" s="94" t="str">
        <f>IF(AND(C752&lt;&gt;"", 'Cost Inputs'!$G$165&lt;&gt;""), 'Cost Inputs'!$G$165, "")</f>
        <v/>
      </c>
      <c r="E752" s="94" t="str">
        <f>IF(AND(C752&lt;&gt;"", 'Cost Inputs'!$H$165&lt;&gt;""), 'Cost Inputs'!$H$165, "")</f>
        <v/>
      </c>
      <c r="F752" s="94" t="str">
        <f>IF(AND(C752&lt;&gt;"", 'Cost Inputs'!$I$165&lt;&gt;""), 'Cost Inputs'!$I$165, "")</f>
        <v/>
      </c>
      <c r="G752" s="102" t="str">
        <f t="shared" si="66"/>
        <v/>
      </c>
      <c r="H752" s="94" t="str">
        <f>IF(AND(C752&lt;&gt;"", 'Cost Inputs'!$J$165&lt;&gt;""), 'Cost Inputs'!$J$165, "")</f>
        <v/>
      </c>
      <c r="I752" s="102" t="str">
        <f>IF($C752&lt;&gt;"",IF(AND($E752&lt;&gt;"",H752&lt;&gt;""), H752/$E752, 0),"")</f>
        <v/>
      </c>
      <c r="J752" s="94" t="str">
        <f>IF(AND(C752&lt;&gt;"",('Cost Inputs'!$I$165+'Cost Inputs'!$J$165+'Cost Inputs'!$K$165)&gt;0), 'Cost Inputs'!$I$165+'Cost Inputs'!$J$165+'Cost Inputs'!$K$165, "")</f>
        <v/>
      </c>
      <c r="K752" s="102" t="str">
        <f>IF($C752&lt;&gt;"",IF(AND($E752&lt;&gt;"",J752&lt;&gt;""), J752/$E752, 0),"")</f>
        <v/>
      </c>
      <c r="L752" s="94"/>
      <c r="M752" s="103"/>
      <c r="X752" s="94" t="str">
        <f>IF(ISNUMBER('Model_ of_individuals'!X772), 'Model_ of_individuals'!X772*'Model_ of_individuals'!$K772,"")</f>
        <v/>
      </c>
      <c r="Y752" s="94" t="str">
        <f>IF(ISNUMBER('Model_ of_individuals'!Y772), 'Model_ of_individuals'!Y772*'Model_ of_individuals'!$K772,"")</f>
        <v/>
      </c>
      <c r="Z752" s="94" t="str">
        <f>IF(ISNUMBER('Model_ of_individuals'!Z772), 'Model_ of_individuals'!Z772*'Model_ of_individuals'!$K772,"")</f>
        <v/>
      </c>
      <c r="AA752" s="94" t="str">
        <f>IF(ISNUMBER('Model_ of_individuals'!AA772), 'Model_ of_individuals'!AA772*'Model_ of_individuals'!$K772,"")</f>
        <v/>
      </c>
      <c r="AB752" s="94" t="str">
        <f>IF(ISNUMBER('Model_ of_individuals'!AB772), 'Model_ of_individuals'!AB772*'Model_ of_individuals'!$K772,"")</f>
        <v/>
      </c>
      <c r="AC752" s="94" t="str">
        <f>IF(ISNUMBER('Model_ of_individuals'!AC772), 'Model_ of_individuals'!AC772*'Model_ of_individuals'!$K772,"")</f>
        <v/>
      </c>
      <c r="AD752" s="94" t="str">
        <f>IF(ISNUMBER('Model_ of_individuals'!AD772), 'Model_ of_individuals'!AD772*'Model_ of_individuals'!$K772,"")</f>
        <v/>
      </c>
      <c r="AE752" s="94" t="str">
        <f>IF(ISNUMBER('Model_ of_individuals'!AE772), 'Model_ of_individuals'!AE772*'Model_ of_individuals'!$K772,"")</f>
        <v/>
      </c>
      <c r="AF752" s="94" t="str">
        <f>IF(ISNUMBER('Model_ of_individuals'!AF772), 'Model_ of_individuals'!AF772*'Model_ of_individuals'!$K772,"")</f>
        <v/>
      </c>
      <c r="AG752" s="94" t="str">
        <f>IF(ISNUMBER('Model_ of_individuals'!AG772), 'Model_ of_individuals'!AG772*'Model_ of_individuals'!$K772,"")</f>
        <v/>
      </c>
    </row>
    <row r="753" spans="1:44" x14ac:dyDescent="0.25">
      <c r="A753" s="518"/>
      <c r="B753" s="504"/>
      <c r="C753" s="104" t="str">
        <f>IF(AND(ISNUMBER(B733), OR('Cost Inputs'!$H$166&lt;&gt;"", 'Cost Inputs'!$I$166&lt;&gt;"", 'Cost Inputs'!$J$166&lt;&gt;"")), _5_6_1, "")</f>
        <v/>
      </c>
      <c r="D753" s="17" t="str">
        <f>IF(AND(C753&lt;&gt;"", 'Cost Inputs'!$G$166&lt;&gt;""), 'Cost Inputs'!$G$166, "")</f>
        <v/>
      </c>
      <c r="E753" s="17" t="str">
        <f>IF(AND(C753&lt;&gt;"", 'Cost Inputs'!$H$166&lt;&gt;""), 'Cost Inputs'!$H$166, "")</f>
        <v/>
      </c>
      <c r="F753" s="17" t="str">
        <f>IF(AND(C753&lt;&gt;"", 'Cost Inputs'!$I$166&lt;&gt;""), 'Cost Inputs'!$I$166, "")</f>
        <v/>
      </c>
      <c r="G753" s="105" t="str">
        <f t="shared" si="66"/>
        <v/>
      </c>
      <c r="H753" s="17" t="str">
        <f>IF(AND(C753&lt;&gt;"", 'Cost Inputs'!$J$166&lt;&gt;""), 'Cost Inputs'!$J$166, "")</f>
        <v/>
      </c>
      <c r="I753" s="17" t="str">
        <f>IF($C753&lt;&gt;"", IF(AND($E753&lt;&gt;"", H753&lt;&gt;""), H753/$E753, 0),"")</f>
        <v/>
      </c>
      <c r="J753" s="17" t="str">
        <f>IF(AND(C753&lt;&gt;"",('Cost Inputs'!$I$166+'Cost Inputs'!$J$166+'Cost Inputs'!$K$166)&gt;0), 'Cost Inputs'!$I$166+'Cost Inputs'!$J$166+'Cost Inputs'!$K$166, "")</f>
        <v/>
      </c>
      <c r="K753" s="17" t="str">
        <f>IF($C753&lt;&gt;"", IF(AND($E753&lt;&gt;"", J753&lt;&gt;""), J753/$E753, 0),"")</f>
        <v/>
      </c>
      <c r="M753" s="106"/>
      <c r="X753" s="17" t="str">
        <f>IF(ISNUMBER('Model_ of_individuals'!X773), 'Model_ of_individuals'!X773*'Model_ of_individuals'!$K773,"")</f>
        <v/>
      </c>
      <c r="Y753" s="17" t="str">
        <f>IF(ISNUMBER('Model_ of_individuals'!Y773), 'Model_ of_individuals'!Y773*'Model_ of_individuals'!$K773,"")</f>
        <v/>
      </c>
      <c r="Z753" s="17" t="str">
        <f>IF(ISNUMBER('Model_ of_individuals'!Z773), 'Model_ of_individuals'!Z773*'Model_ of_individuals'!$K773,"")</f>
        <v/>
      </c>
      <c r="AA753" s="17" t="str">
        <f>IF(ISNUMBER('Model_ of_individuals'!AA773), 'Model_ of_individuals'!AA773*'Model_ of_individuals'!$K773,"")</f>
        <v/>
      </c>
      <c r="AB753" s="17" t="str">
        <f>IF(ISNUMBER('Model_ of_individuals'!AB773), 'Model_ of_individuals'!AB773*'Model_ of_individuals'!$K773,"")</f>
        <v/>
      </c>
      <c r="AC753" s="17" t="str">
        <f>IF(ISNUMBER('Model_ of_individuals'!AC773), 'Model_ of_individuals'!AC773*'Model_ of_individuals'!$K773,"")</f>
        <v/>
      </c>
      <c r="AD753" s="17" t="str">
        <f>IF(ISNUMBER('Model_ of_individuals'!AD773), 'Model_ of_individuals'!AD773*'Model_ of_individuals'!$K773,"")</f>
        <v/>
      </c>
      <c r="AE753" s="17" t="str">
        <f>IF(ISNUMBER('Model_ of_individuals'!AE773), 'Model_ of_individuals'!AE773*'Model_ of_individuals'!$K773,"")</f>
        <v/>
      </c>
      <c r="AF753" s="17" t="str">
        <f>IF(ISNUMBER('Model_ of_individuals'!AF773), 'Model_ of_individuals'!AF773*'Model_ of_individuals'!$K773,"")</f>
        <v/>
      </c>
      <c r="AG753" s="17" t="str">
        <f>IF(ISNUMBER('Model_ of_individuals'!AG773), 'Model_ of_individuals'!AG773*'Model_ of_individuals'!$K773,"")</f>
        <v/>
      </c>
    </row>
    <row r="754" spans="1:44" ht="15.75" thickBot="1" x14ac:dyDescent="0.3">
      <c r="A754" s="518"/>
      <c r="B754" s="504"/>
      <c r="C754" s="107" t="str">
        <f>IF(AND(ISNUMBER(B733), OR('Cost Inputs'!$H$167&lt;&gt;"", 'Cost Inputs'!$I$167&lt;&gt;"", 'Cost Inputs'!$J$167&lt;&gt;"")), _5_6_2, "")</f>
        <v/>
      </c>
      <c r="D754" s="93" t="str">
        <f>IF(AND(C754&lt;&gt;"", 'Cost Inputs'!$G$167&lt;&gt;""), 'Cost Inputs'!$G$167, "")</f>
        <v/>
      </c>
      <c r="E754" s="93" t="str">
        <f>IF(AND(C754&lt;&gt;"", 'Cost Inputs'!$H$167&lt;&gt;""), 'Cost Inputs'!$H$167, "")</f>
        <v/>
      </c>
      <c r="F754" s="93" t="str">
        <f>IF(AND(C754&lt;&gt;"", 'Cost Inputs'!$I$167&lt;&gt;""), 'Cost Inputs'!$I$167, "")</f>
        <v/>
      </c>
      <c r="G754" s="108" t="str">
        <f t="shared" si="66"/>
        <v/>
      </c>
      <c r="H754" s="93" t="str">
        <f>IF(AND(C754&lt;&gt;"", 'Cost Inputs'!$J$167&lt;&gt;""), 'Cost Inputs'!$J$167, "")</f>
        <v/>
      </c>
      <c r="I754" s="93" t="str">
        <f>IF($C754&lt;&gt;"", IF(AND($E754&lt;&gt;"", H754&lt;&gt;""), H754/$E754, 0),"")</f>
        <v/>
      </c>
      <c r="J754" s="93" t="str">
        <f>IF(AND(C754&lt;&gt;"",('Cost Inputs'!$I$167+'Cost Inputs'!$J$167+'Cost Inputs'!$K$167)&gt;0), 'Cost Inputs'!$I$167+'Cost Inputs'!$J$167+'Cost Inputs'!$K$167, "")</f>
        <v/>
      </c>
      <c r="K754" s="93" t="str">
        <f>IF($C754&lt;&gt;"", IF(AND($E754&lt;&gt;"", J754&lt;&gt;""), J754/$E754, 0),"")</f>
        <v/>
      </c>
      <c r="L754" s="93"/>
      <c r="M754" s="109"/>
      <c r="X754" s="95" t="str">
        <f>IF(ISNUMBER('Model_ of_individuals'!X774), 'Model_ of_individuals'!X774*'Model_ of_individuals'!$K774,"")</f>
        <v/>
      </c>
      <c r="Y754" s="95" t="str">
        <f>IF(ISNUMBER('Model_ of_individuals'!Y774), 'Model_ of_individuals'!Y774*'Model_ of_individuals'!$K774,"")</f>
        <v/>
      </c>
      <c r="Z754" s="95" t="str">
        <f>IF(ISNUMBER('Model_ of_individuals'!Z774), 'Model_ of_individuals'!Z774*'Model_ of_individuals'!$K774,"")</f>
        <v/>
      </c>
      <c r="AA754" s="95" t="str">
        <f>IF(ISNUMBER('Model_ of_individuals'!AA774), 'Model_ of_individuals'!AA774*'Model_ of_individuals'!$K774,"")</f>
        <v/>
      </c>
      <c r="AB754" s="95" t="str">
        <f>IF(ISNUMBER('Model_ of_individuals'!AB774), 'Model_ of_individuals'!AB774*'Model_ of_individuals'!$K774,"")</f>
        <v/>
      </c>
      <c r="AC754" s="95" t="str">
        <f>IF(ISNUMBER('Model_ of_individuals'!AC774), 'Model_ of_individuals'!AC774*'Model_ of_individuals'!$K774,"")</f>
        <v/>
      </c>
      <c r="AD754" s="95" t="str">
        <f>IF(ISNUMBER('Model_ of_individuals'!AD774), 'Model_ of_individuals'!AD774*'Model_ of_individuals'!$K774,"")</f>
        <v/>
      </c>
      <c r="AE754" s="95" t="str">
        <f>IF(ISNUMBER('Model_ of_individuals'!AE774), 'Model_ of_individuals'!AE774*'Model_ of_individuals'!$K774,"")</f>
        <v/>
      </c>
      <c r="AF754" s="95" t="str">
        <f>IF(ISNUMBER('Model_ of_individuals'!AF774), 'Model_ of_individuals'!AF774*'Model_ of_individuals'!$K774,"")</f>
        <v/>
      </c>
      <c r="AG754" s="95" t="str">
        <f>IF(ISNUMBER('Model_ of_individuals'!AG774), 'Model_ of_individuals'!AG774*'Model_ of_individuals'!$K774,"")</f>
        <v/>
      </c>
    </row>
    <row r="755" spans="1:44" ht="44.45" customHeight="1" thickBot="1" x14ac:dyDescent="0.3">
      <c r="A755" s="98"/>
      <c r="B755" s="99"/>
      <c r="C755" s="114"/>
      <c r="D755" s="114"/>
      <c r="E755" s="114"/>
      <c r="F755" s="114"/>
      <c r="G755" s="114" t="str">
        <f t="shared" si="66"/>
        <v/>
      </c>
      <c r="H755" s="114"/>
      <c r="I755" s="114"/>
      <c r="J755" s="114"/>
      <c r="K755" s="114"/>
      <c r="L755" s="114"/>
      <c r="M755" s="115"/>
      <c r="O755" s="295" t="str">
        <f>'Breeding Inputs'!B113</f>
        <v/>
      </c>
      <c r="P755" s="296" t="str">
        <f>IF(ISNUMBER(O755), O755+1,"")</f>
        <v/>
      </c>
      <c r="Q755" s="296" t="str">
        <f t="shared" ref="Q755:AG755" si="69">IF(ISNUMBER(P755), P755+1,"")</f>
        <v/>
      </c>
      <c r="R755" s="296" t="str">
        <f t="shared" si="69"/>
        <v/>
      </c>
      <c r="S755" s="296" t="str">
        <f t="shared" si="69"/>
        <v/>
      </c>
      <c r="T755" s="296" t="str">
        <f t="shared" si="69"/>
        <v/>
      </c>
      <c r="U755" s="296" t="str">
        <f t="shared" si="69"/>
        <v/>
      </c>
      <c r="V755" s="296" t="str">
        <f t="shared" si="69"/>
        <v/>
      </c>
      <c r="W755" s="296" t="str">
        <f t="shared" si="69"/>
        <v/>
      </c>
      <c r="X755" s="296" t="str">
        <f t="shared" si="69"/>
        <v/>
      </c>
      <c r="Y755" s="296" t="str">
        <f t="shared" si="69"/>
        <v/>
      </c>
      <c r="Z755" s="296" t="str">
        <f t="shared" si="69"/>
        <v/>
      </c>
      <c r="AA755" s="296" t="str">
        <f t="shared" si="69"/>
        <v/>
      </c>
      <c r="AB755" s="296" t="str">
        <f t="shared" si="69"/>
        <v/>
      </c>
      <c r="AC755" s="296" t="str">
        <f t="shared" si="69"/>
        <v/>
      </c>
      <c r="AD755" s="296" t="str">
        <f t="shared" si="69"/>
        <v/>
      </c>
      <c r="AE755" s="296" t="str">
        <f t="shared" si="69"/>
        <v/>
      </c>
      <c r="AF755" s="296" t="str">
        <f t="shared" si="69"/>
        <v/>
      </c>
      <c r="AG755" s="296" t="str">
        <f t="shared" si="69"/>
        <v/>
      </c>
      <c r="AH755" s="280"/>
      <c r="AI755" s="280"/>
      <c r="AJ755" s="280"/>
      <c r="AK755" s="280"/>
      <c r="AL755" s="280"/>
      <c r="AM755" s="280"/>
      <c r="AN755" s="280"/>
      <c r="AO755" s="280"/>
      <c r="AP755" s="280"/>
      <c r="AQ755" s="280"/>
      <c r="AR755" s="287"/>
    </row>
    <row r="756" spans="1:44" x14ac:dyDescent="0.25">
      <c r="A756" s="518" t="str">
        <f>Sixth_Stage</f>
        <v>Stage 4 Grower Trials</v>
      </c>
      <c r="B756" s="504" t="str">
        <f>'Breeding Inputs'!B113</f>
        <v/>
      </c>
      <c r="C756" s="521" t="str">
        <f>IF(ISNUMBER(B756), _6_1_0, "")</f>
        <v/>
      </c>
      <c r="D756" s="94" t="str">
        <f>IF(AND(C756&lt;&gt;"", 'Cost Inputs'!$G$169&lt;&gt;""), 'Cost Inputs'!$G$169, "")</f>
        <v/>
      </c>
      <c r="E756" s="94" t="str">
        <f>IF(AND(C756&lt;&gt;"", 'Cost Inputs'!$H$169&lt;&gt;""), 'Cost Inputs'!$H$169, "")</f>
        <v/>
      </c>
      <c r="F756" s="492" t="str">
        <f>IF(AND(C756&lt;&gt;"", 'Cost Inputs'!$I$169&lt;&gt;""), 'Cost Inputs'!$I$169, "")</f>
        <v/>
      </c>
      <c r="G756" s="102" t="str">
        <f t="shared" si="66"/>
        <v/>
      </c>
      <c r="H756" s="492" t="str">
        <f>IF(AND(C756&lt;&gt;"", 'Cost Inputs'!$J$169&lt;&gt;""), 'Cost Inputs'!$J$169, "")</f>
        <v/>
      </c>
      <c r="I756" s="102" t="str">
        <f>IF($C756&lt;&gt;"",IF(AND($E756&lt;&gt;"",H756&lt;&gt;""), H756/$E756, 0),"")</f>
        <v/>
      </c>
      <c r="J756" s="492" t="str">
        <f>IF(AND(C756&lt;&gt;"",('Cost Inputs'!$I$169+'Cost Inputs'!$J$169+'Cost Inputs'!$K$169)&gt;0), 'Cost Inputs'!$I$169+'Cost Inputs'!$J$169+'Cost Inputs'!$K$169, "")</f>
        <v/>
      </c>
      <c r="K756" s="102" t="str">
        <f>IF($C756&lt;&gt;"",IF(AND($E756&lt;&gt;"",J756&lt;&gt;""), J756/$E756, 0),"")</f>
        <v/>
      </c>
      <c r="L756" s="94"/>
      <c r="M756" s="103"/>
      <c r="O756" s="492" t="str">
        <f>IF(ISNUMBER('Model_ of_individuals'!O776), 'Model_ of_individuals'!O776*'Model_ of_individuals'!$K776,"")</f>
        <v/>
      </c>
      <c r="P756" s="492" t="str">
        <f>IF(ISNUMBER('Model_ of_individuals'!P776), 'Model_ of_individuals'!P776*'Model_ of_individuals'!$K776,"")</f>
        <v/>
      </c>
      <c r="Q756" s="492" t="str">
        <f>IF(ISNUMBER('Model_ of_individuals'!Q776), 'Model_ of_individuals'!Q776*'Model_ of_individuals'!$K776,"")</f>
        <v/>
      </c>
      <c r="R756" s="492" t="str">
        <f>IF(ISNUMBER('Model_ of_individuals'!R776), 'Model_ of_individuals'!R776*'Model_ of_individuals'!$K776,"")</f>
        <v/>
      </c>
      <c r="S756" s="492" t="str">
        <f>IF(ISNUMBER('Model_ of_individuals'!S776), 'Model_ of_individuals'!S776*'Model_ of_individuals'!$K776,"")</f>
        <v/>
      </c>
      <c r="T756" s="492" t="str">
        <f>IF(ISNUMBER('Model_ of_individuals'!T776), 'Model_ of_individuals'!T776*'Model_ of_individuals'!$K776,"")</f>
        <v/>
      </c>
      <c r="U756" s="492" t="str">
        <f>IF(ISNUMBER('Model_ of_individuals'!U776), 'Model_ of_individuals'!U776*'Model_ of_individuals'!$K776,"")</f>
        <v/>
      </c>
      <c r="V756" s="492" t="str">
        <f>IF(ISNUMBER('Model_ of_individuals'!V776), 'Model_ of_individuals'!V776*'Model_ of_individuals'!$K776,"")</f>
        <v/>
      </c>
      <c r="W756" s="492" t="str">
        <f>IF(ISNUMBER('Model_ of_individuals'!W776), 'Model_ of_individuals'!W776*'Model_ of_individuals'!$K776,"")</f>
        <v/>
      </c>
      <c r="X756" s="492" t="str">
        <f>IF(ISNUMBER('Model_ of_individuals'!X776), 'Model_ of_individuals'!X776*'Model_ of_individuals'!$K776,"")</f>
        <v/>
      </c>
    </row>
    <row r="757" spans="1:44" x14ac:dyDescent="0.25">
      <c r="A757" s="518"/>
      <c r="B757" s="504"/>
      <c r="C757" s="521"/>
      <c r="D757" s="94" t="str">
        <f>IF(AND(C756&lt;&gt;"", 'Cost Inputs'!$G$170&lt;&gt;""), 'Cost Inputs'!$G$170, "")</f>
        <v/>
      </c>
      <c r="E757" s="94" t="str">
        <f>IF(AND(C756&lt;&gt;"", 'Cost Inputs'!$H$170&lt;&gt;""), 'Cost Inputs'!$H$170, "")</f>
        <v/>
      </c>
      <c r="F757" s="492" t="str">
        <f>IF(AND(C757&lt;&gt;"", 'Cost Inputs'!$I$86&lt;&gt;""), 'Cost Inputs'!$I$86, "")</f>
        <v/>
      </c>
      <c r="G757" s="102" t="str">
        <f t="shared" si="66"/>
        <v/>
      </c>
      <c r="H757" s="492" t="str">
        <f>IF(AND(C757&lt;&gt;"", 'Cost Inputs'!$J$86&lt;&gt;""), 'Cost Inputs'!$J$86, "")</f>
        <v/>
      </c>
      <c r="I757" s="102" t="str">
        <f>IF($C756&lt;&gt;"", IF(AND($E757&lt;&gt;"", H756&lt;&gt;""), H756/($E756*$E757), 0), "")</f>
        <v/>
      </c>
      <c r="J757" s="492" t="str">
        <f>IF(AND(C757&lt;&gt;"",('Cost Inputs'!$I$86+'Cost Inputs'!$J$86+'Cost Inputs'!$K$86)&gt;0), 'Cost Inputs'!$I$86+'Cost Inputs'!$J$86+'Cost Inputs'!$K$86, "")</f>
        <v/>
      </c>
      <c r="K757" s="102" t="str">
        <f>IF($C756&lt;&gt;"", IF(AND($E757&lt;&gt;"", J756&lt;&gt;""), J756/($E756*$E757), 0), "")</f>
        <v/>
      </c>
      <c r="L757" s="94"/>
      <c r="M757" s="103"/>
      <c r="O757" s="492" t="str">
        <f>IF(ISNUMBER('Model_ of_individuals'!O777), 'Model_ of_individuals'!O777*'Model_ of_individuals'!$K777,"")</f>
        <v/>
      </c>
      <c r="P757" s="492" t="str">
        <f>IF(ISNUMBER('Model_ of_individuals'!P777), 'Model_ of_individuals'!P777*'Model_ of_individuals'!$K777,"")</f>
        <v/>
      </c>
      <c r="Q757" s="492" t="str">
        <f>IF(ISNUMBER('Model_ of_individuals'!Q777), 'Model_ of_individuals'!Q777*'Model_ of_individuals'!$K777,"")</f>
        <v/>
      </c>
      <c r="R757" s="492" t="str">
        <f>IF(ISNUMBER('Model_ of_individuals'!R777), 'Model_ of_individuals'!R777*'Model_ of_individuals'!$K777,"")</f>
        <v/>
      </c>
      <c r="S757" s="492" t="str">
        <f>IF(ISNUMBER('Model_ of_individuals'!S777), 'Model_ of_individuals'!S777*'Model_ of_individuals'!$K777,"")</f>
        <v/>
      </c>
      <c r="T757" s="492" t="str">
        <f>IF(ISNUMBER('Model_ of_individuals'!T777), 'Model_ of_individuals'!T777*'Model_ of_individuals'!$K777,"")</f>
        <v/>
      </c>
      <c r="U757" s="492" t="str">
        <f>IF(ISNUMBER('Model_ of_individuals'!U777), 'Model_ of_individuals'!U777*'Model_ of_individuals'!$K777,"")</f>
        <v/>
      </c>
      <c r="V757" s="492" t="str">
        <f>IF(ISNUMBER('Model_ of_individuals'!V777), 'Model_ of_individuals'!V777*'Model_ of_individuals'!$K777,"")</f>
        <v/>
      </c>
      <c r="W757" s="492" t="str">
        <f>IF(ISNUMBER('Model_ of_individuals'!W777), 'Model_ of_individuals'!W777*'Model_ of_individuals'!$K777,"")</f>
        <v/>
      </c>
      <c r="X757" s="492" t="str">
        <f>IF(ISNUMBER('Model_ of_individuals'!X777), 'Model_ of_individuals'!X777*'Model_ of_individuals'!$K777,"")</f>
        <v/>
      </c>
    </row>
    <row r="758" spans="1:44" x14ac:dyDescent="0.25">
      <c r="A758" s="518"/>
      <c r="B758" s="504"/>
      <c r="C758" s="376" t="str">
        <f>IF(AND(ISNUMBER(B756), OR('Cost Inputs'!$H$171&lt;&gt;"", 'Cost Inputs'!$I$171&lt;&gt;"", 'Cost Inputs'!$J$171&lt;&gt;"")), _6_1_1, "")</f>
        <v/>
      </c>
      <c r="D758" s="17" t="str">
        <f>IF(AND(C758&lt;&gt;"", 'Cost Inputs'!$G$171&lt;&gt;""), 'Cost Inputs'!$G$171, "")</f>
        <v/>
      </c>
      <c r="E758" s="17" t="str">
        <f>IF(AND(C758&lt;&gt;"", 'Cost Inputs'!$H$171&lt;&gt;""), 'Cost Inputs'!$H$171, "")</f>
        <v/>
      </c>
      <c r="F758" s="493" t="str">
        <f>IF(AND(C758&lt;&gt;"", 'Cost Inputs'!$I$171&lt;&gt;""), 'Cost Inputs'!$I$171, "")</f>
        <v/>
      </c>
      <c r="G758" s="105" t="str">
        <f t="shared" si="66"/>
        <v/>
      </c>
      <c r="H758" s="493" t="str">
        <f>IF(AND(C758&lt;&gt;"", 'Cost Inputs'!$J$171&lt;&gt;""), 'Cost Inputs'!$J$171, "")</f>
        <v/>
      </c>
      <c r="I758" s="105" t="str">
        <f>IF($C758&lt;&gt;"",IF(AND($E758&lt;&gt;"",H758&lt;&gt;""), H758/$E758, 0),"")</f>
        <v/>
      </c>
      <c r="J758" s="493" t="str">
        <f>IF(AND(C758&lt;&gt;"",('Cost Inputs'!$I$171+'Cost Inputs'!$J$171+'Cost Inputs'!$K$171)&gt;0), 'Cost Inputs'!$I$171+'Cost Inputs'!$J$171+'Cost Inputs'!$K$171, "")</f>
        <v/>
      </c>
      <c r="K758" s="105" t="str">
        <f>IF($C758&lt;&gt;"",IF(AND($E758&lt;&gt;"",J758&lt;&gt;""), J758/$E758, 0),"")</f>
        <v/>
      </c>
      <c r="M758" s="106"/>
      <c r="O758" s="493" t="str">
        <f>IF(ISNUMBER('Model_ of_individuals'!O778), 'Model_ of_individuals'!O778*'Model_ of_individuals'!$K778,"")</f>
        <v/>
      </c>
      <c r="P758" s="493" t="str">
        <f>IF(ISNUMBER('Model_ of_individuals'!P778), 'Model_ of_individuals'!P778*'Model_ of_individuals'!$K778,"")</f>
        <v/>
      </c>
      <c r="Q758" s="493" t="str">
        <f>IF(ISNUMBER('Model_ of_individuals'!Q778), 'Model_ of_individuals'!Q778*'Model_ of_individuals'!$K778,"")</f>
        <v/>
      </c>
      <c r="R758" s="493" t="str">
        <f>IF(ISNUMBER('Model_ of_individuals'!R778), 'Model_ of_individuals'!R778*'Model_ of_individuals'!$K778,"")</f>
        <v/>
      </c>
      <c r="S758" s="493" t="str">
        <f>IF(ISNUMBER('Model_ of_individuals'!S778), 'Model_ of_individuals'!S778*'Model_ of_individuals'!$K778,"")</f>
        <v/>
      </c>
      <c r="T758" s="493" t="str">
        <f>IF(ISNUMBER('Model_ of_individuals'!T778), 'Model_ of_individuals'!T778*'Model_ of_individuals'!$K778,"")</f>
        <v/>
      </c>
      <c r="U758" s="493" t="str">
        <f>IF(ISNUMBER('Model_ of_individuals'!U778), 'Model_ of_individuals'!U778*'Model_ of_individuals'!$K778,"")</f>
        <v/>
      </c>
      <c r="V758" s="493" t="str">
        <f>IF(ISNUMBER('Model_ of_individuals'!V778), 'Model_ of_individuals'!V778*'Model_ of_individuals'!$K778,"")</f>
        <v/>
      </c>
      <c r="W758" s="493" t="str">
        <f>IF(ISNUMBER('Model_ of_individuals'!W778), 'Model_ of_individuals'!W778*'Model_ of_individuals'!$K778,"")</f>
        <v/>
      </c>
      <c r="X758" s="493" t="str">
        <f>IF(ISNUMBER('Model_ of_individuals'!X778), 'Model_ of_individuals'!X778*'Model_ of_individuals'!$K778,"")</f>
        <v/>
      </c>
    </row>
    <row r="759" spans="1:44" x14ac:dyDescent="0.25">
      <c r="A759" s="518"/>
      <c r="B759" s="504"/>
      <c r="C759" s="376" t="str">
        <f>IF(AND(ISNUMBER(B741), OR('Cost Inputs'!$H$85&lt;&gt;"", 'Cost Inputs'!$I$85&lt;&gt;"", 'Cost Inputs'!$J$85&lt;&gt;"")), _3_5_1, "")</f>
        <v/>
      </c>
      <c r="D759" s="17" t="str">
        <f>IF(AND(C758&lt;&gt;"", 'Cost Inputs'!$G$172&lt;&gt;""), 'Cost Inputs'!$G$172, "")</f>
        <v/>
      </c>
      <c r="E759" s="17" t="str">
        <f>IF(AND(C758&lt;&gt;"", 'Cost Inputs'!$H$172&lt;&gt;""), 'Cost Inputs'!$H$172, "")</f>
        <v/>
      </c>
      <c r="F759" s="493"/>
      <c r="G759" s="105" t="str">
        <f t="shared" si="66"/>
        <v/>
      </c>
      <c r="H759" s="493"/>
      <c r="I759" s="105" t="str">
        <f>IF($C758&lt;&gt;"", IF(AND($E759&lt;&gt;"", H758&lt;&gt;""), H758/($E758*$E759), 0), "")</f>
        <v/>
      </c>
      <c r="J759" s="493" t="str">
        <f>IF(AND(C759&lt;&gt;"",('Cost Inputs'!$I$86+'Cost Inputs'!$J$86+'Cost Inputs'!$K$86)&gt;0), 'Cost Inputs'!$I$86+'Cost Inputs'!$J$86+'Cost Inputs'!$K$86, "")</f>
        <v/>
      </c>
      <c r="K759" s="105" t="str">
        <f>IF($C758&lt;&gt;"", IF(AND($E759&lt;&gt;"", J758&lt;&gt;""), J758/($E758*$E759), 0), "")</f>
        <v/>
      </c>
      <c r="M759" s="106"/>
      <c r="O759" s="493" t="str">
        <f>IF(ISNUMBER('Model_ of_individuals'!O779), 'Model_ of_individuals'!O779*'Model_ of_individuals'!$K779,"")</f>
        <v/>
      </c>
      <c r="P759" s="493" t="str">
        <f>IF(ISNUMBER('Model_ of_individuals'!P779), 'Model_ of_individuals'!P779*'Model_ of_individuals'!$K779,"")</f>
        <v/>
      </c>
      <c r="Q759" s="493" t="str">
        <f>IF(ISNUMBER('Model_ of_individuals'!Q779), 'Model_ of_individuals'!Q779*'Model_ of_individuals'!$K779,"")</f>
        <v/>
      </c>
      <c r="R759" s="493" t="str">
        <f>IF(ISNUMBER('Model_ of_individuals'!R779), 'Model_ of_individuals'!R779*'Model_ of_individuals'!$K779,"")</f>
        <v/>
      </c>
      <c r="S759" s="493" t="str">
        <f>IF(ISNUMBER('Model_ of_individuals'!S779), 'Model_ of_individuals'!S779*'Model_ of_individuals'!$K779,"")</f>
        <v/>
      </c>
      <c r="T759" s="493" t="str">
        <f>IF(ISNUMBER('Model_ of_individuals'!T779), 'Model_ of_individuals'!T779*'Model_ of_individuals'!$K779,"")</f>
        <v/>
      </c>
      <c r="U759" s="493" t="str">
        <f>IF(ISNUMBER('Model_ of_individuals'!U779), 'Model_ of_individuals'!U779*'Model_ of_individuals'!$K779,"")</f>
        <v/>
      </c>
      <c r="V759" s="493" t="str">
        <f>IF(ISNUMBER('Model_ of_individuals'!V779), 'Model_ of_individuals'!V779*'Model_ of_individuals'!$K779,"")</f>
        <v/>
      </c>
      <c r="W759" s="493" t="str">
        <f>IF(ISNUMBER('Model_ of_individuals'!W779), 'Model_ of_individuals'!W779*'Model_ of_individuals'!$K779,"")</f>
        <v/>
      </c>
      <c r="X759" s="493" t="str">
        <f>IF(ISNUMBER('Model_ of_individuals'!X779), 'Model_ of_individuals'!X779*'Model_ of_individuals'!$K779,"")</f>
        <v/>
      </c>
    </row>
    <row r="760" spans="1:44" x14ac:dyDescent="0.25">
      <c r="A760" s="518"/>
      <c r="B760" s="504"/>
      <c r="C760" s="523" t="str">
        <f>IF(AND(ISNUMBER(B756), OR('Cost Inputs'!$H$173&lt;&gt;"", 'Cost Inputs'!$I$173&lt;&gt;"", 'Cost Inputs'!$J$173&lt;&gt;"")), _6_1_2, "")</f>
        <v/>
      </c>
      <c r="D760" s="93" t="str">
        <f>IF(AND(C760&lt;&gt;"", 'Cost Inputs'!$G$173&lt;&gt;""), 'Cost Inputs'!$G$173, "")</f>
        <v/>
      </c>
      <c r="E760" s="93" t="str">
        <f>IF(AND(C760&lt;&gt;"", 'Cost Inputs'!$H$173&lt;&gt;""), 'Cost Inputs'!$H$173, "")</f>
        <v/>
      </c>
      <c r="F760" s="494" t="str">
        <f>IF(AND(C760&lt;&gt;"", 'Cost Inputs'!$I$173&lt;&gt;""), 'Cost Inputs'!$I$173, "")</f>
        <v/>
      </c>
      <c r="G760" s="108" t="str">
        <f t="shared" si="66"/>
        <v/>
      </c>
      <c r="H760" s="494" t="str">
        <f>IF(AND(C760&lt;&gt;"", 'Cost Inputs'!$J$173&lt;&gt;""), 'Cost Inputs'!$J$173, "")</f>
        <v/>
      </c>
      <c r="I760" s="108" t="str">
        <f>IF($C760&lt;&gt;"",IF(AND($E760&lt;&gt;"",H760&lt;&gt;""), H760/$E760, 0),"")</f>
        <v/>
      </c>
      <c r="J760" s="494" t="str">
        <f>IF(AND(C760&lt;&gt;"",('Cost Inputs'!$I$173+'Cost Inputs'!$J$173+'Cost Inputs'!$K$173)&gt;0), 'Cost Inputs'!$I$173+'Cost Inputs'!$J$173+'Cost Inputs'!$K$173, "")</f>
        <v/>
      </c>
      <c r="K760" s="108" t="str">
        <f>IF($C760&lt;&gt;"",IF(AND($E760&lt;&gt;"",J760&lt;&gt;""), J760/$E760, 0),"")</f>
        <v/>
      </c>
      <c r="L760" s="93"/>
      <c r="M760" s="109"/>
      <c r="O760" s="494" t="str">
        <f>IF(ISNUMBER('Model_ of_individuals'!O780), 'Model_ of_individuals'!O780*'Model_ of_individuals'!$K780,"")</f>
        <v/>
      </c>
      <c r="P760" s="494" t="str">
        <f>IF(ISNUMBER('Model_ of_individuals'!P780), 'Model_ of_individuals'!P780*'Model_ of_individuals'!$K780,"")</f>
        <v/>
      </c>
      <c r="Q760" s="494" t="str">
        <f>IF(ISNUMBER('Model_ of_individuals'!Q780), 'Model_ of_individuals'!Q780*'Model_ of_individuals'!$K780,"")</f>
        <v/>
      </c>
      <c r="R760" s="494" t="str">
        <f>IF(ISNUMBER('Model_ of_individuals'!R780), 'Model_ of_individuals'!R780*'Model_ of_individuals'!$K780,"")</f>
        <v/>
      </c>
      <c r="S760" s="494" t="str">
        <f>IF(ISNUMBER('Model_ of_individuals'!S780), 'Model_ of_individuals'!S780*'Model_ of_individuals'!$K780,"")</f>
        <v/>
      </c>
      <c r="T760" s="494" t="str">
        <f>IF(ISNUMBER('Model_ of_individuals'!T780), 'Model_ of_individuals'!T780*'Model_ of_individuals'!$K780,"")</f>
        <v/>
      </c>
      <c r="U760" s="494" t="str">
        <f>IF(ISNUMBER('Model_ of_individuals'!U780), 'Model_ of_individuals'!U780*'Model_ of_individuals'!$K780,"")</f>
        <v/>
      </c>
      <c r="V760" s="494" t="str">
        <f>IF(ISNUMBER('Model_ of_individuals'!V780), 'Model_ of_individuals'!V780*'Model_ of_individuals'!$K780,"")</f>
        <v/>
      </c>
      <c r="W760" s="494" t="str">
        <f>IF(ISNUMBER('Model_ of_individuals'!W780), 'Model_ of_individuals'!W780*'Model_ of_individuals'!$K780,"")</f>
        <v/>
      </c>
      <c r="X760" s="494" t="str">
        <f>IF(ISNUMBER('Model_ of_individuals'!X780), 'Model_ of_individuals'!X780*'Model_ of_individuals'!$K780,"")</f>
        <v/>
      </c>
    </row>
    <row r="761" spans="1:44" x14ac:dyDescent="0.25">
      <c r="A761" s="518"/>
      <c r="B761" s="504"/>
      <c r="C761" s="523"/>
      <c r="D761" s="93" t="str">
        <f>IF(AND(C760&lt;&gt;"", 'Cost Inputs'!$G$174&lt;&gt;""), 'Cost Inputs'!$G$174, "")</f>
        <v/>
      </c>
      <c r="E761" s="93" t="str">
        <f>IF(AND(C760&lt;&gt;"", 'Cost Inputs'!$H$174&lt;&gt;""), 'Cost Inputs'!$H$174, "")</f>
        <v/>
      </c>
      <c r="F761" s="494"/>
      <c r="G761" s="108" t="str">
        <f t="shared" si="66"/>
        <v/>
      </c>
      <c r="H761" s="494"/>
      <c r="I761" s="108" t="str">
        <f>IF($C760&lt;&gt;"", IF(AND($E761&lt;&gt;"", H760&lt;&gt;""), H760/($E760*$E761), 0), "")</f>
        <v/>
      </c>
      <c r="J761" s="494"/>
      <c r="K761" s="108" t="str">
        <f>IF($C760&lt;&gt;"", IF(AND($E761&lt;&gt;"", J760&lt;&gt;""), J760/($E760*$E761), 0), "")</f>
        <v/>
      </c>
      <c r="L761" s="93"/>
      <c r="M761" s="109"/>
      <c r="O761" s="494" t="str">
        <f>IF(ISNUMBER('Model_ of_individuals'!O781), 'Model_ of_individuals'!O781*'Model_ of_individuals'!$K781,"")</f>
        <v/>
      </c>
      <c r="P761" s="494" t="str">
        <f>IF(ISNUMBER('Model_ of_individuals'!P781), 'Model_ of_individuals'!P781*'Model_ of_individuals'!$K781,"")</f>
        <v/>
      </c>
      <c r="Q761" s="494" t="str">
        <f>IF(ISNUMBER('Model_ of_individuals'!Q781), 'Model_ of_individuals'!Q781*'Model_ of_individuals'!$K781,"")</f>
        <v/>
      </c>
      <c r="R761" s="494" t="str">
        <f>IF(ISNUMBER('Model_ of_individuals'!R781), 'Model_ of_individuals'!R781*'Model_ of_individuals'!$K781,"")</f>
        <v/>
      </c>
      <c r="S761" s="494" t="str">
        <f>IF(ISNUMBER('Model_ of_individuals'!S781), 'Model_ of_individuals'!S781*'Model_ of_individuals'!$K781,"")</f>
        <v/>
      </c>
      <c r="T761" s="494" t="str">
        <f>IF(ISNUMBER('Model_ of_individuals'!T781), 'Model_ of_individuals'!T781*'Model_ of_individuals'!$K781,"")</f>
        <v/>
      </c>
      <c r="U761" s="494" t="str">
        <f>IF(ISNUMBER('Model_ of_individuals'!U781), 'Model_ of_individuals'!U781*'Model_ of_individuals'!$K781,"")</f>
        <v/>
      </c>
      <c r="V761" s="494" t="str">
        <f>IF(ISNUMBER('Model_ of_individuals'!V781), 'Model_ of_individuals'!V781*'Model_ of_individuals'!$K781,"")</f>
        <v/>
      </c>
      <c r="W761" s="494" t="str">
        <f>IF(ISNUMBER('Model_ of_individuals'!W781), 'Model_ of_individuals'!W781*'Model_ of_individuals'!$K781,"")</f>
        <v/>
      </c>
      <c r="X761" s="494" t="str">
        <f>IF(ISNUMBER('Model_ of_individuals'!X781), 'Model_ of_individuals'!X781*'Model_ of_individuals'!$K781,"")</f>
        <v/>
      </c>
    </row>
    <row r="762" spans="1:44" x14ac:dyDescent="0.25">
      <c r="A762" s="518"/>
      <c r="B762" s="504"/>
      <c r="C762" s="376" t="str">
        <f>IF(AND(ISNUMBER(B756), OR('Cost Inputs'!$H$175&lt;&gt;"", 'Cost Inputs'!$I$175&lt;&gt;"", 'Cost Inputs'!$J$175&lt;&gt;"")), _6_1_3, "")</f>
        <v/>
      </c>
      <c r="D762" s="17" t="str">
        <f>IF(AND(C762&lt;&gt;"", 'Cost Inputs'!$G$175&lt;&gt;""), 'Cost Inputs'!$G$175, "")</f>
        <v/>
      </c>
      <c r="E762" s="17" t="str">
        <f>IF(AND(C762&lt;&gt;"", 'Cost Inputs'!$H$175&lt;&gt;""), 'Cost Inputs'!$H$175, "")</f>
        <v/>
      </c>
      <c r="F762" s="493" t="str">
        <f>IF(AND(C762&lt;&gt;"", 'Cost Inputs'!$I$175&lt;&gt;""), 'Cost Inputs'!$I$175, "")</f>
        <v/>
      </c>
      <c r="G762" s="105" t="str">
        <f t="shared" si="66"/>
        <v/>
      </c>
      <c r="H762" s="493" t="str">
        <f>IF(AND(C762&lt;&gt;"", 'Cost Inputs'!$J$175&lt;&gt;""), 'Cost Inputs'!$J$175, "")</f>
        <v/>
      </c>
      <c r="I762" s="105" t="str">
        <f>IF($C762&lt;&gt;"",IF(AND($E762&lt;&gt;"",H762&lt;&gt;""), H762/$E762, 0),"")</f>
        <v/>
      </c>
      <c r="J762" s="493" t="str">
        <f>IF(AND(C762&lt;&gt;"",('Cost Inputs'!$I$175+'Cost Inputs'!$J$175+'Cost Inputs'!$K$175)&gt;0), 'Cost Inputs'!$I$175+'Cost Inputs'!$J$175+'Cost Inputs'!$K$175, "")</f>
        <v/>
      </c>
      <c r="K762" s="105" t="str">
        <f>IF($C762&lt;&gt;"",IF(AND($E762&lt;&gt;"",J762&lt;&gt;""), J762/$E762, 0),"")</f>
        <v/>
      </c>
      <c r="M762" s="106"/>
      <c r="O762" s="493" t="str">
        <f>IF(ISNUMBER('Model_ of_individuals'!O782), 'Model_ of_individuals'!O782*'Model_ of_individuals'!$K782,"")</f>
        <v/>
      </c>
      <c r="P762" s="493" t="str">
        <f>IF(ISNUMBER('Model_ of_individuals'!P782), 'Model_ of_individuals'!P782*'Model_ of_individuals'!$K782,"")</f>
        <v/>
      </c>
      <c r="Q762" s="493" t="str">
        <f>IF(ISNUMBER('Model_ of_individuals'!Q782), 'Model_ of_individuals'!Q782*'Model_ of_individuals'!$K782,"")</f>
        <v/>
      </c>
      <c r="R762" s="493" t="str">
        <f>IF(ISNUMBER('Model_ of_individuals'!R782), 'Model_ of_individuals'!R782*'Model_ of_individuals'!$K782,"")</f>
        <v/>
      </c>
      <c r="S762" s="493" t="str">
        <f>IF(ISNUMBER('Model_ of_individuals'!S782), 'Model_ of_individuals'!S782*'Model_ of_individuals'!$K782,"")</f>
        <v/>
      </c>
      <c r="T762" s="493" t="str">
        <f>IF(ISNUMBER('Model_ of_individuals'!T782), 'Model_ of_individuals'!T782*'Model_ of_individuals'!$K782,"")</f>
        <v/>
      </c>
      <c r="U762" s="493" t="str">
        <f>IF(ISNUMBER('Model_ of_individuals'!U782), 'Model_ of_individuals'!U782*'Model_ of_individuals'!$K782,"")</f>
        <v/>
      </c>
      <c r="V762" s="493" t="str">
        <f>IF(ISNUMBER('Model_ of_individuals'!V782), 'Model_ of_individuals'!V782*'Model_ of_individuals'!$K782,"")</f>
        <v/>
      </c>
      <c r="W762" s="493" t="str">
        <f>IF(ISNUMBER('Model_ of_individuals'!W782), 'Model_ of_individuals'!W782*'Model_ of_individuals'!$K782,"")</f>
        <v/>
      </c>
      <c r="X762" s="493" t="str">
        <f>IF(ISNUMBER('Model_ of_individuals'!X782), 'Model_ of_individuals'!X782*'Model_ of_individuals'!$K782,"")</f>
        <v/>
      </c>
    </row>
    <row r="763" spans="1:44" x14ac:dyDescent="0.25">
      <c r="A763" s="518"/>
      <c r="B763" s="504"/>
      <c r="C763" s="376"/>
      <c r="D763" s="17" t="str">
        <f>IF(AND(C762&lt;&gt;"", 'Cost Inputs'!$G$176&lt;&gt;""), 'Cost Inputs'!$G$176, "")</f>
        <v/>
      </c>
      <c r="E763" s="17" t="str">
        <f>IF(AND(C762&lt;&gt;"", 'Cost Inputs'!$H$176&lt;&gt;""), 'Cost Inputs'!$H$176, "")</f>
        <v/>
      </c>
      <c r="F763" s="493"/>
      <c r="G763" s="105" t="str">
        <f t="shared" si="66"/>
        <v/>
      </c>
      <c r="H763" s="493"/>
      <c r="I763" s="105" t="str">
        <f>IF($C762&lt;&gt;"", IF(AND($E763&lt;&gt;"", H762&lt;&gt;""), H762/($E762*$E763), 0), "")</f>
        <v/>
      </c>
      <c r="J763" s="493"/>
      <c r="K763" s="105" t="str">
        <f>IF($C762&lt;&gt;"", IF(AND($E763&lt;&gt;"", J762&lt;&gt;""), J762/($E762*$E763), 0), "")</f>
        <v/>
      </c>
      <c r="M763" s="106"/>
      <c r="O763" s="493" t="str">
        <f>IF(ISNUMBER('Model_ of_individuals'!O783), 'Model_ of_individuals'!O783*'Model_ of_individuals'!$K783,"")</f>
        <v/>
      </c>
      <c r="P763" s="493" t="str">
        <f>IF(ISNUMBER('Model_ of_individuals'!P783), 'Model_ of_individuals'!P783*'Model_ of_individuals'!$K783,"")</f>
        <v/>
      </c>
      <c r="Q763" s="493" t="str">
        <f>IF(ISNUMBER('Model_ of_individuals'!Q783), 'Model_ of_individuals'!Q783*'Model_ of_individuals'!$K783,"")</f>
        <v/>
      </c>
      <c r="R763" s="493" t="str">
        <f>IF(ISNUMBER('Model_ of_individuals'!R783), 'Model_ of_individuals'!R783*'Model_ of_individuals'!$K783,"")</f>
        <v/>
      </c>
      <c r="S763" s="493" t="str">
        <f>IF(ISNUMBER('Model_ of_individuals'!S783), 'Model_ of_individuals'!S783*'Model_ of_individuals'!$K783,"")</f>
        <v/>
      </c>
      <c r="T763" s="493" t="str">
        <f>IF(ISNUMBER('Model_ of_individuals'!T783), 'Model_ of_individuals'!T783*'Model_ of_individuals'!$K783,"")</f>
        <v/>
      </c>
      <c r="U763" s="493" t="str">
        <f>IF(ISNUMBER('Model_ of_individuals'!U783), 'Model_ of_individuals'!U783*'Model_ of_individuals'!$K783,"")</f>
        <v/>
      </c>
      <c r="V763" s="493" t="str">
        <f>IF(ISNUMBER('Model_ of_individuals'!V783), 'Model_ of_individuals'!V783*'Model_ of_individuals'!$K783,"")</f>
        <v/>
      </c>
      <c r="W763" s="493" t="str">
        <f>IF(ISNUMBER('Model_ of_individuals'!W783), 'Model_ of_individuals'!W783*'Model_ of_individuals'!$K783,"")</f>
        <v/>
      </c>
      <c r="X763" s="493" t="str">
        <f>IF(ISNUMBER('Model_ of_individuals'!X783), 'Model_ of_individuals'!X783*'Model_ of_individuals'!$K783,"")</f>
        <v/>
      </c>
    </row>
    <row r="764" spans="1:44" x14ac:dyDescent="0.25">
      <c r="A764" s="518"/>
      <c r="B764" s="504"/>
      <c r="C764" s="107" t="str">
        <f>IF(AND(ISNUMBER(B756), OR('Cost Inputs'!$H$177&lt;&gt;"", 'Cost Inputs'!$I$177&lt;&gt;"", 'Cost Inputs'!$J$177&lt;&gt;"")), _6_1_4, "")</f>
        <v/>
      </c>
      <c r="D764" s="93" t="str">
        <f>IF(AND(C764&lt;&gt;"", 'Cost Inputs'!$G$177&lt;&gt;""), 'Cost Inputs'!$G$177, "")</f>
        <v/>
      </c>
      <c r="E764" s="93" t="str">
        <f>IF(AND(C764&lt;&gt;"", 'Cost Inputs'!$H$177&lt;&gt;""), 'Cost Inputs'!$H$177, "")</f>
        <v/>
      </c>
      <c r="F764" s="93" t="str">
        <f>IF(AND(C764&lt;&gt;"", 'Cost Inputs'!$I$177&lt;&gt;""), 'Cost Inputs'!$I$177, "")</f>
        <v/>
      </c>
      <c r="G764" s="108" t="str">
        <f t="shared" si="66"/>
        <v/>
      </c>
      <c r="H764" s="93" t="str">
        <f>IF(AND(C764&lt;&gt;"", 'Cost Inputs'!$J$177&lt;&gt;""), 'Cost Inputs'!$J$177, "")</f>
        <v/>
      </c>
      <c r="I764" s="108" t="str">
        <f>IF($C764&lt;&gt;"", IF(AND($E764&lt;&gt;"", H764&lt;&gt;""), H764/$E764, 0),"")</f>
        <v/>
      </c>
      <c r="J764" s="93" t="str">
        <f>IF(AND(C764&lt;&gt;"",('Cost Inputs'!$I$177+'Cost Inputs'!$J$177+'Cost Inputs'!$K$177)&gt;0), 'Cost Inputs'!$I$177+'Cost Inputs'!$J$177+'Cost Inputs'!$K$177, "")</f>
        <v/>
      </c>
      <c r="K764" s="108" t="str">
        <f>IF($C764&lt;&gt;"", IF(AND($E764&lt;&gt;"", J764&lt;&gt;""), J764/$E764, 0),"")</f>
        <v/>
      </c>
      <c r="L764" s="93"/>
      <c r="M764" s="109"/>
      <c r="O764" s="93" t="str">
        <f>IF(ISNUMBER('Model_ of_individuals'!O784), 'Model_ of_individuals'!O784*'Model_ of_individuals'!$K784,"")</f>
        <v/>
      </c>
      <c r="P764" s="93" t="str">
        <f>IF(ISNUMBER('Model_ of_individuals'!P784), 'Model_ of_individuals'!P784*'Model_ of_individuals'!$K784,"")</f>
        <v/>
      </c>
      <c r="Q764" s="93" t="str">
        <f>IF(ISNUMBER('Model_ of_individuals'!Q784), 'Model_ of_individuals'!Q784*'Model_ of_individuals'!$K784,"")</f>
        <v/>
      </c>
      <c r="R764" s="93" t="str">
        <f>IF(ISNUMBER('Model_ of_individuals'!R784), 'Model_ of_individuals'!R784*'Model_ of_individuals'!$K784,"")</f>
        <v/>
      </c>
      <c r="S764" s="93" t="str">
        <f>IF(ISNUMBER('Model_ of_individuals'!S784), 'Model_ of_individuals'!S784*'Model_ of_individuals'!$K784,"")</f>
        <v/>
      </c>
      <c r="T764" s="93" t="str">
        <f>IF(ISNUMBER('Model_ of_individuals'!T784), 'Model_ of_individuals'!T784*'Model_ of_individuals'!$K784,"")</f>
        <v/>
      </c>
      <c r="U764" s="93" t="str">
        <f>IF(ISNUMBER('Model_ of_individuals'!U784), 'Model_ of_individuals'!U784*'Model_ of_individuals'!$K784,"")</f>
        <v/>
      </c>
      <c r="V764" s="93" t="str">
        <f>IF(ISNUMBER('Model_ of_individuals'!V784), 'Model_ of_individuals'!V784*'Model_ of_individuals'!$K784,"")</f>
        <v/>
      </c>
      <c r="W764" s="93" t="str">
        <f>IF(ISNUMBER('Model_ of_individuals'!W784), 'Model_ of_individuals'!W784*'Model_ of_individuals'!$K784,"")</f>
        <v/>
      </c>
      <c r="X764" s="93" t="str">
        <f>IF(ISNUMBER('Model_ of_individuals'!X784), 'Model_ of_individuals'!X784*'Model_ of_individuals'!$K784,"")</f>
        <v/>
      </c>
    </row>
    <row r="765" spans="1:44" x14ac:dyDescent="0.25">
      <c r="A765" s="518"/>
      <c r="B765" s="504"/>
      <c r="C765" s="104" t="str">
        <f>IF(AND(ISNUMBER(B756), OR('Cost Inputs'!$H$178&lt;&gt;"", 'Cost Inputs'!$I$178&lt;&gt;"", 'Cost Inputs'!$J$178&lt;&gt;"")), _6_1_5, "")</f>
        <v/>
      </c>
      <c r="D765" s="17" t="str">
        <f>IF(AND(C765&lt;&gt;"", 'Cost Inputs'!$G$178&lt;&gt;""), 'Cost Inputs'!$G$178, "")</f>
        <v/>
      </c>
      <c r="E765" s="17" t="str">
        <f>IF(AND(C765&lt;&gt;"", 'Cost Inputs'!$H$178&lt;&gt;""), 'Cost Inputs'!$H$178, "")</f>
        <v/>
      </c>
      <c r="F765" s="17" t="str">
        <f>IF(AND(C765&lt;&gt;"", 'Cost Inputs'!$I$178&lt;&gt;""), 'Cost Inputs'!$I$178, "")</f>
        <v/>
      </c>
      <c r="G765" s="105" t="str">
        <f t="shared" si="66"/>
        <v/>
      </c>
      <c r="H765" s="17" t="str">
        <f>IF(AND(C765&lt;&gt;"", 'Cost Inputs'!$J$178&lt;&gt;""), 'Cost Inputs'!$J$178, "")</f>
        <v/>
      </c>
      <c r="I765" s="105" t="str">
        <f>IF($C765&lt;&gt;"", IF(AND($E765&lt;&gt;"", H765&lt;&gt;""), H765/$E765, 0),"")</f>
        <v/>
      </c>
      <c r="J765" s="17" t="str">
        <f>IF(AND(C765&lt;&gt;"",('Cost Inputs'!$I$178+'Cost Inputs'!$J$178+'Cost Inputs'!$K$178)&gt;0), 'Cost Inputs'!$I$178+'Cost Inputs'!$J$178+'Cost Inputs'!$K$178, "")</f>
        <v/>
      </c>
      <c r="K765" s="105"/>
      <c r="M765" s="106"/>
      <c r="O765" s="17" t="str">
        <f>IF(ISNUMBER('Model_ of_individuals'!O785), 'Model_ of_individuals'!O785*'Model_ of_individuals'!$K785,"")</f>
        <v/>
      </c>
      <c r="P765" s="17" t="str">
        <f>IF(ISNUMBER('Model_ of_individuals'!P785), 'Model_ of_individuals'!P785*'Model_ of_individuals'!$K785,"")</f>
        <v/>
      </c>
      <c r="Q765" s="17" t="str">
        <f>IF(ISNUMBER('Model_ of_individuals'!Q785), 'Model_ of_individuals'!Q785*'Model_ of_individuals'!$K785,"")</f>
        <v/>
      </c>
      <c r="R765" s="17" t="str">
        <f>IF(ISNUMBER('Model_ of_individuals'!R785), 'Model_ of_individuals'!R785*'Model_ of_individuals'!$K785,"")</f>
        <v/>
      </c>
      <c r="S765" s="17" t="str">
        <f>IF(ISNUMBER('Model_ of_individuals'!S785), 'Model_ of_individuals'!S785*'Model_ of_individuals'!$K785,"")</f>
        <v/>
      </c>
      <c r="T765" s="17" t="str">
        <f>IF(ISNUMBER('Model_ of_individuals'!T785), 'Model_ of_individuals'!T785*'Model_ of_individuals'!$K785,"")</f>
        <v/>
      </c>
      <c r="U765" s="17" t="str">
        <f>IF(ISNUMBER('Model_ of_individuals'!U785), 'Model_ of_individuals'!U785*'Model_ of_individuals'!$K785,"")</f>
        <v/>
      </c>
      <c r="V765" s="17" t="str">
        <f>IF(ISNUMBER('Model_ of_individuals'!V785), 'Model_ of_individuals'!V785*'Model_ of_individuals'!$K785,"")</f>
        <v/>
      </c>
      <c r="W765" s="17" t="str">
        <f>IF(ISNUMBER('Model_ of_individuals'!W785), 'Model_ of_individuals'!W785*'Model_ of_individuals'!$K785,"")</f>
        <v/>
      </c>
      <c r="X765" s="17" t="str">
        <f>IF(ISNUMBER('Model_ of_individuals'!X785), 'Model_ of_individuals'!X785*'Model_ of_individuals'!$K785,"")</f>
        <v/>
      </c>
    </row>
    <row r="766" spans="1:44" x14ac:dyDescent="0.25">
      <c r="A766" s="518"/>
      <c r="B766" s="504"/>
      <c r="C766" s="521" t="str">
        <f>IF(ISNUMBER(B756), _6_2_0, "")</f>
        <v/>
      </c>
      <c r="D766" s="94" t="str">
        <f>IF(AND(C766&lt;&gt;"", 'Cost Inputs'!$G$179&lt;&gt;""), 'Cost Inputs'!$G$179, "")</f>
        <v/>
      </c>
      <c r="E766" s="94" t="str">
        <f>IF(AND(C766&lt;&gt;"", 'Cost Inputs'!$H$179&lt;&gt;""), 'Cost Inputs'!$H$179, "")</f>
        <v/>
      </c>
      <c r="F766" s="492" t="str">
        <f>IF(AND(C766&lt;&gt;"", 'Cost Inputs'!$I$179&lt;&gt;""), 'Cost Inputs'!$I$179, "")</f>
        <v/>
      </c>
      <c r="G766" s="102" t="str">
        <f t="shared" si="66"/>
        <v/>
      </c>
      <c r="H766" s="492" t="str">
        <f>IF(AND(C766&lt;&gt;"", 'Cost Inputs'!$J$179&lt;&gt;""), 'Cost Inputs'!$J$179, "")</f>
        <v/>
      </c>
      <c r="I766" s="102" t="str">
        <f>IF($C766&lt;&gt;"",IF(AND($E766&lt;&gt;"",H766&lt;&gt;""), H766/$E766, 0),"")</f>
        <v/>
      </c>
      <c r="J766" s="492" t="str">
        <f>IF(AND(C766&lt;&gt;"",('Cost Inputs'!$I$179+'Cost Inputs'!$J$179+'Cost Inputs'!$K$179)&gt;0), 'Cost Inputs'!$I$179+'Cost Inputs'!$J$179+'Cost Inputs'!$K$179, "")</f>
        <v/>
      </c>
      <c r="K766" s="102" t="str">
        <f>IF($C766&lt;&gt;"",IF(AND($E766&lt;&gt;"",J766&lt;&gt;""), J766/$E766, 0),"")</f>
        <v/>
      </c>
      <c r="L766" s="94"/>
      <c r="M766" s="103"/>
      <c r="O766" s="492" t="str">
        <f>IF(ISNUMBER('Model_ of_individuals'!O786), 'Model_ of_individuals'!O786*'Model_ of_individuals'!$K786,"")</f>
        <v/>
      </c>
      <c r="P766" s="492" t="str">
        <f>IF(ISNUMBER('Model_ of_individuals'!P786), 'Model_ of_individuals'!P786*'Model_ of_individuals'!$K786,"")</f>
        <v/>
      </c>
      <c r="Q766" s="492" t="str">
        <f>IF(ISNUMBER('Model_ of_individuals'!Q786), 'Model_ of_individuals'!Q786*'Model_ of_individuals'!$K786,"")</f>
        <v/>
      </c>
      <c r="R766" s="492" t="str">
        <f>IF(ISNUMBER('Model_ of_individuals'!R786), 'Model_ of_individuals'!R786*'Model_ of_individuals'!$K786,"")</f>
        <v/>
      </c>
      <c r="S766" s="492" t="str">
        <f>IF(ISNUMBER('Model_ of_individuals'!S786), 'Model_ of_individuals'!S786*'Model_ of_individuals'!$K786,"")</f>
        <v/>
      </c>
      <c r="T766" s="492" t="str">
        <f>IF(ISNUMBER('Model_ of_individuals'!T786), 'Model_ of_individuals'!T786*'Model_ of_individuals'!$K786,"")</f>
        <v/>
      </c>
      <c r="U766" s="492" t="str">
        <f>IF(ISNUMBER('Model_ of_individuals'!U786), 'Model_ of_individuals'!U786*'Model_ of_individuals'!$K786,"")</f>
        <v/>
      </c>
      <c r="V766" s="492" t="str">
        <f>IF(ISNUMBER('Model_ of_individuals'!V786), 'Model_ of_individuals'!V786*'Model_ of_individuals'!$K786,"")</f>
        <v/>
      </c>
      <c r="W766" s="492" t="str">
        <f>IF(ISNUMBER('Model_ of_individuals'!W786), 'Model_ of_individuals'!W786*'Model_ of_individuals'!$K786,"")</f>
        <v/>
      </c>
      <c r="X766" s="492" t="str">
        <f>IF(ISNUMBER('Model_ of_individuals'!X786), 'Model_ of_individuals'!X786*'Model_ of_individuals'!$K786,"")</f>
        <v/>
      </c>
    </row>
    <row r="767" spans="1:44" x14ac:dyDescent="0.25">
      <c r="A767" s="518"/>
      <c r="B767" s="504"/>
      <c r="C767" s="521"/>
      <c r="D767" s="94" t="str">
        <f>IF(AND(C766&lt;&gt;"", 'Cost Inputs'!$G$180&lt;&gt;""), 'Cost Inputs'!$G$180, "")</f>
        <v/>
      </c>
      <c r="E767" s="94" t="str">
        <f>IF(AND(C766&lt;&gt;"", 'Cost Inputs'!$H$180&lt;&gt;""), 'Cost Inputs'!$H$180, "")</f>
        <v/>
      </c>
      <c r="F767" s="492"/>
      <c r="G767" s="102" t="str">
        <f t="shared" si="66"/>
        <v/>
      </c>
      <c r="H767" s="492"/>
      <c r="I767" s="102" t="str">
        <f>IF($C766&lt;&gt;"", IF(AND($E767&lt;&gt;"", H766&lt;&gt;""), H766/($E766*$E767), 0), "")</f>
        <v/>
      </c>
      <c r="J767" s="492" t="str">
        <f>IF(AND(C767&lt;&gt;"",('Cost Inputs'!$I$86+'Cost Inputs'!$J$86+'Cost Inputs'!$K$86)&gt;0), 'Cost Inputs'!$I$86+'Cost Inputs'!$J$86+'Cost Inputs'!$K$86, "")</f>
        <v/>
      </c>
      <c r="K767" s="102" t="str">
        <f>IF($C766&lt;&gt;"", IF(AND($E767&lt;&gt;"", J766&lt;&gt;""), J766/($E766*$E767), 0), "")</f>
        <v/>
      </c>
      <c r="L767" s="94"/>
      <c r="M767" s="103"/>
      <c r="O767" s="492" t="str">
        <f>IF(ISNUMBER('Model_ of_individuals'!O787), 'Model_ of_individuals'!O787*'Model_ of_individuals'!$K787,"")</f>
        <v/>
      </c>
      <c r="P767" s="492" t="str">
        <f>IF(ISNUMBER('Model_ of_individuals'!P787), 'Model_ of_individuals'!P787*'Model_ of_individuals'!$K787,"")</f>
        <v/>
      </c>
      <c r="Q767" s="492" t="str">
        <f>IF(ISNUMBER('Model_ of_individuals'!Q787), 'Model_ of_individuals'!Q787*'Model_ of_individuals'!$K787,"")</f>
        <v/>
      </c>
      <c r="R767" s="492" t="str">
        <f>IF(ISNUMBER('Model_ of_individuals'!R787), 'Model_ of_individuals'!R787*'Model_ of_individuals'!$K787,"")</f>
        <v/>
      </c>
      <c r="S767" s="492" t="str">
        <f>IF(ISNUMBER('Model_ of_individuals'!S787), 'Model_ of_individuals'!S787*'Model_ of_individuals'!$K787,"")</f>
        <v/>
      </c>
      <c r="T767" s="492" t="str">
        <f>IF(ISNUMBER('Model_ of_individuals'!T787), 'Model_ of_individuals'!T787*'Model_ of_individuals'!$K787,"")</f>
        <v/>
      </c>
      <c r="U767" s="492" t="str">
        <f>IF(ISNUMBER('Model_ of_individuals'!U787), 'Model_ of_individuals'!U787*'Model_ of_individuals'!$K787,"")</f>
        <v/>
      </c>
      <c r="V767" s="492" t="str">
        <f>IF(ISNUMBER('Model_ of_individuals'!V787), 'Model_ of_individuals'!V787*'Model_ of_individuals'!$K787,"")</f>
        <v/>
      </c>
      <c r="W767" s="492" t="str">
        <f>IF(ISNUMBER('Model_ of_individuals'!W787), 'Model_ of_individuals'!W787*'Model_ of_individuals'!$K787,"")</f>
        <v/>
      </c>
      <c r="X767" s="492" t="str">
        <f>IF(ISNUMBER('Model_ of_individuals'!X787), 'Model_ of_individuals'!X787*'Model_ of_individuals'!$K787,"")</f>
        <v/>
      </c>
    </row>
    <row r="768" spans="1:44" x14ac:dyDescent="0.25">
      <c r="A768" s="518"/>
      <c r="B768" s="504"/>
      <c r="C768" s="376" t="str">
        <f>IF(AND(ISNUMBER(B756), OR('Cost Inputs'!$H$181&lt;&gt;"", 'Cost Inputs'!$I$181&lt;&gt;"", 'Cost Inputs'!$J$181&lt;&gt;"")), _6_2_1, "")</f>
        <v/>
      </c>
      <c r="D768" s="17" t="str">
        <f>IF(AND(C768&lt;&gt;"", 'Cost Inputs'!$G$181&lt;&gt;""), 'Cost Inputs'!$G$181, "")</f>
        <v/>
      </c>
      <c r="E768" s="17" t="str">
        <f>IF(AND(C768&lt;&gt;"", 'Cost Inputs'!$H$181&lt;&gt;""), 'Cost Inputs'!$H$181, "")</f>
        <v/>
      </c>
      <c r="F768" s="493" t="str">
        <f>IF(AND(C768&lt;&gt;"", 'Cost Inputs'!$I$181&lt;&gt;""), 'Cost Inputs'!$I$181, "")</f>
        <v/>
      </c>
      <c r="G768" s="105" t="str">
        <f t="shared" si="66"/>
        <v/>
      </c>
      <c r="H768" s="493" t="str">
        <f>IF(AND(C768&lt;&gt;"", 'Cost Inputs'!$J$181&lt;&gt;""), 'Cost Inputs'!$J$181, "")</f>
        <v/>
      </c>
      <c r="I768" s="105" t="str">
        <f>IF($C768&lt;&gt;"",IF(AND($E768&lt;&gt;"",H768&lt;&gt;""), H768/$E768, 0),"")</f>
        <v/>
      </c>
      <c r="J768" s="493" t="str">
        <f>IF(AND(C768&lt;&gt;"",('Cost Inputs'!$I$181+'Cost Inputs'!$J$181+'Cost Inputs'!$K$181)&gt;0), 'Cost Inputs'!$I$181+'Cost Inputs'!$J$181+'Cost Inputs'!$K$181, "")</f>
        <v/>
      </c>
      <c r="K768" s="105" t="str">
        <f>IF($C768&lt;&gt;"",IF(AND($E768&lt;&gt;"",J768&lt;&gt;""), J768/$E768, 0),"")</f>
        <v/>
      </c>
      <c r="M768" s="106"/>
      <c r="O768" s="493" t="str">
        <f>IF(ISNUMBER('Model_ of_individuals'!O788), 'Model_ of_individuals'!O788*'Model_ of_individuals'!$K788,"")</f>
        <v/>
      </c>
      <c r="P768" s="493" t="str">
        <f>IF(ISNUMBER('Model_ of_individuals'!P788), 'Model_ of_individuals'!P788*'Model_ of_individuals'!$K788,"")</f>
        <v/>
      </c>
      <c r="Q768" s="493" t="str">
        <f>IF(ISNUMBER('Model_ of_individuals'!Q788), 'Model_ of_individuals'!Q788*'Model_ of_individuals'!$K788,"")</f>
        <v/>
      </c>
      <c r="R768" s="493" t="str">
        <f>IF(ISNUMBER('Model_ of_individuals'!R788), 'Model_ of_individuals'!R788*'Model_ of_individuals'!$K788,"")</f>
        <v/>
      </c>
      <c r="S768" s="493" t="str">
        <f>IF(ISNUMBER('Model_ of_individuals'!S788), 'Model_ of_individuals'!S788*'Model_ of_individuals'!$K788,"")</f>
        <v/>
      </c>
      <c r="T768" s="493" t="str">
        <f>IF(ISNUMBER('Model_ of_individuals'!T788), 'Model_ of_individuals'!T788*'Model_ of_individuals'!$K788,"")</f>
        <v/>
      </c>
      <c r="U768" s="493" t="str">
        <f>IF(ISNUMBER('Model_ of_individuals'!U788), 'Model_ of_individuals'!U788*'Model_ of_individuals'!$K788,"")</f>
        <v/>
      </c>
      <c r="V768" s="493" t="str">
        <f>IF(ISNUMBER('Model_ of_individuals'!V788), 'Model_ of_individuals'!V788*'Model_ of_individuals'!$K788,"")</f>
        <v/>
      </c>
      <c r="W768" s="493" t="str">
        <f>IF(ISNUMBER('Model_ of_individuals'!W788), 'Model_ of_individuals'!W788*'Model_ of_individuals'!$K788,"")</f>
        <v/>
      </c>
      <c r="X768" s="493" t="str">
        <f>IF(ISNUMBER('Model_ of_individuals'!X788), 'Model_ of_individuals'!X788*'Model_ of_individuals'!$K788,"")</f>
        <v/>
      </c>
    </row>
    <row r="769" spans="1:24" x14ac:dyDescent="0.25">
      <c r="A769" s="518"/>
      <c r="B769" s="504"/>
      <c r="C769" s="376" t="str">
        <f>IF(AND(ISNUMBER(B750), OR('Cost Inputs'!$H$85&lt;&gt;"", 'Cost Inputs'!$I$85&lt;&gt;"", 'Cost Inputs'!$J$85&lt;&gt;"")), _3_5_1, "")</f>
        <v/>
      </c>
      <c r="D769" s="17" t="str">
        <f>IF(AND(C768&lt;&gt;"", 'Cost Inputs'!$G$182&lt;&gt;""), 'Cost Inputs'!$G$182, "")</f>
        <v/>
      </c>
      <c r="E769" s="17" t="str">
        <f>IF(AND(C768&lt;&gt;"", 'Cost Inputs'!$H$182&lt;&gt;""), 'Cost Inputs'!$H$182, "")</f>
        <v/>
      </c>
      <c r="F769" s="493"/>
      <c r="G769" s="105" t="str">
        <f t="shared" si="66"/>
        <v/>
      </c>
      <c r="H769" s="493"/>
      <c r="I769" s="105" t="str">
        <f>IF($C768&lt;&gt;"", IF(AND($E769&lt;&gt;"", H768&lt;&gt;""), H768/($E768*$E769), 0), "")</f>
        <v/>
      </c>
      <c r="J769" s="493" t="str">
        <f>IF(AND(C769&lt;&gt;"",('Cost Inputs'!$I$86+'Cost Inputs'!$J$86+'Cost Inputs'!$K$86)&gt;0), 'Cost Inputs'!$I$86+'Cost Inputs'!$J$86+'Cost Inputs'!$K$86, "")</f>
        <v/>
      </c>
      <c r="K769" s="105" t="str">
        <f>IF($C768&lt;&gt;"", IF(AND($E769&lt;&gt;"", J768&lt;&gt;""), J768/($E768*$E769), 0), "")</f>
        <v/>
      </c>
      <c r="M769" s="106"/>
      <c r="O769" s="493" t="str">
        <f>IF(ISNUMBER('Model_ of_individuals'!O789), 'Model_ of_individuals'!O789*'Model_ of_individuals'!$K789,"")</f>
        <v/>
      </c>
      <c r="P769" s="493" t="str">
        <f>IF(ISNUMBER('Model_ of_individuals'!P789), 'Model_ of_individuals'!P789*'Model_ of_individuals'!$K789,"")</f>
        <v/>
      </c>
      <c r="Q769" s="493" t="str">
        <f>IF(ISNUMBER('Model_ of_individuals'!Q789), 'Model_ of_individuals'!Q789*'Model_ of_individuals'!$K789,"")</f>
        <v/>
      </c>
      <c r="R769" s="493" t="str">
        <f>IF(ISNUMBER('Model_ of_individuals'!R789), 'Model_ of_individuals'!R789*'Model_ of_individuals'!$K789,"")</f>
        <v/>
      </c>
      <c r="S769" s="493" t="str">
        <f>IF(ISNUMBER('Model_ of_individuals'!S789), 'Model_ of_individuals'!S789*'Model_ of_individuals'!$K789,"")</f>
        <v/>
      </c>
      <c r="T769" s="493" t="str">
        <f>IF(ISNUMBER('Model_ of_individuals'!T789), 'Model_ of_individuals'!T789*'Model_ of_individuals'!$K789,"")</f>
        <v/>
      </c>
      <c r="U769" s="493" t="str">
        <f>IF(ISNUMBER('Model_ of_individuals'!U789), 'Model_ of_individuals'!U789*'Model_ of_individuals'!$K789,"")</f>
        <v/>
      </c>
      <c r="V769" s="493" t="str">
        <f>IF(ISNUMBER('Model_ of_individuals'!V789), 'Model_ of_individuals'!V789*'Model_ of_individuals'!$K789,"")</f>
        <v/>
      </c>
      <c r="W769" s="493" t="str">
        <f>IF(ISNUMBER('Model_ of_individuals'!W789), 'Model_ of_individuals'!W789*'Model_ of_individuals'!$K789,"")</f>
        <v/>
      </c>
      <c r="X769" s="493" t="str">
        <f>IF(ISNUMBER('Model_ of_individuals'!X789), 'Model_ of_individuals'!X789*'Model_ of_individuals'!$K789,"")</f>
        <v/>
      </c>
    </row>
    <row r="770" spans="1:24" x14ac:dyDescent="0.25">
      <c r="A770" s="518"/>
      <c r="B770" s="504"/>
      <c r="C770" s="523" t="str">
        <f>IF(AND(ISNUMBER(B756), OR('Cost Inputs'!$H$183&lt;&gt;"", 'Cost Inputs'!$I$183&lt;&gt;"", 'Cost Inputs'!$J$183&lt;&gt;"")), _6_2_2, "")</f>
        <v/>
      </c>
      <c r="D770" s="93" t="str">
        <f>IF(AND(C770&lt;&gt;"", 'Cost Inputs'!$G$183&lt;&gt;""), 'Cost Inputs'!$G$183, "")</f>
        <v/>
      </c>
      <c r="E770" s="93" t="str">
        <f>IF(AND(C770&lt;&gt;"", 'Cost Inputs'!$H$183&lt;&gt;""), 'Cost Inputs'!$H$183, "")</f>
        <v/>
      </c>
      <c r="F770" s="494" t="str">
        <f>IF(AND(C770&lt;&gt;"", 'Cost Inputs'!$I$183&lt;&gt;""), 'Cost Inputs'!$I$183, "")</f>
        <v/>
      </c>
      <c r="G770" s="108" t="str">
        <f t="shared" si="66"/>
        <v/>
      </c>
      <c r="H770" s="494" t="str">
        <f>IF(AND(C770&lt;&gt;"", 'Cost Inputs'!$J$183&lt;&gt;""), 'Cost Inputs'!$J$183, "")</f>
        <v/>
      </c>
      <c r="I770" s="108" t="str">
        <f>IF($C770&lt;&gt;"",IF(AND($E770&lt;&gt;"",H770&lt;&gt;""), H770/$E770, 0),"")</f>
        <v/>
      </c>
      <c r="J770" s="494" t="str">
        <f>IF(AND(C770&lt;&gt;"",('Cost Inputs'!$I$183+'Cost Inputs'!$J$183+'Cost Inputs'!$K$183)&gt;0), 'Cost Inputs'!$I$183+'Cost Inputs'!$J$183+'Cost Inputs'!$K$183, "")</f>
        <v/>
      </c>
      <c r="K770" s="108" t="str">
        <f>IF($C770&lt;&gt;"",IF(AND($E770&lt;&gt;"",J770&lt;&gt;""), J770/$E770, 0),"")</f>
        <v/>
      </c>
      <c r="L770" s="93"/>
      <c r="M770" s="109"/>
      <c r="O770" s="494" t="str">
        <f>IF(ISNUMBER('Model_ of_individuals'!O790), 'Model_ of_individuals'!O790*'Model_ of_individuals'!$K790,"")</f>
        <v/>
      </c>
      <c r="P770" s="494" t="str">
        <f>IF(ISNUMBER('Model_ of_individuals'!P790), 'Model_ of_individuals'!P790*'Model_ of_individuals'!$K790,"")</f>
        <v/>
      </c>
      <c r="Q770" s="494" t="str">
        <f>IF(ISNUMBER('Model_ of_individuals'!Q790), 'Model_ of_individuals'!Q790*'Model_ of_individuals'!$K790,"")</f>
        <v/>
      </c>
      <c r="R770" s="494" t="str">
        <f>IF(ISNUMBER('Model_ of_individuals'!R790), 'Model_ of_individuals'!R790*'Model_ of_individuals'!$K790,"")</f>
        <v/>
      </c>
      <c r="S770" s="494" t="str">
        <f>IF(ISNUMBER('Model_ of_individuals'!S790), 'Model_ of_individuals'!S790*'Model_ of_individuals'!$K790,"")</f>
        <v/>
      </c>
      <c r="T770" s="494" t="str">
        <f>IF(ISNUMBER('Model_ of_individuals'!T790), 'Model_ of_individuals'!T790*'Model_ of_individuals'!$K790,"")</f>
        <v/>
      </c>
      <c r="U770" s="494" t="str">
        <f>IF(ISNUMBER('Model_ of_individuals'!U790), 'Model_ of_individuals'!U790*'Model_ of_individuals'!$K790,"")</f>
        <v/>
      </c>
      <c r="V770" s="494" t="str">
        <f>IF(ISNUMBER('Model_ of_individuals'!V790), 'Model_ of_individuals'!V790*'Model_ of_individuals'!$K790,"")</f>
        <v/>
      </c>
      <c r="W770" s="494" t="str">
        <f>IF(ISNUMBER('Model_ of_individuals'!W790), 'Model_ of_individuals'!W790*'Model_ of_individuals'!$K790,"")</f>
        <v/>
      </c>
      <c r="X770" s="494" t="str">
        <f>IF(ISNUMBER('Model_ of_individuals'!X790), 'Model_ of_individuals'!X790*'Model_ of_individuals'!$K790,"")</f>
        <v/>
      </c>
    </row>
    <row r="771" spans="1:24" x14ac:dyDescent="0.25">
      <c r="A771" s="518"/>
      <c r="B771" s="504"/>
      <c r="C771" s="523" t="str">
        <f>IF(AND(ISNUMBER(B752), OR('Cost Inputs'!$H$85&lt;&gt;"", 'Cost Inputs'!$I$85&lt;&gt;"", 'Cost Inputs'!$J$85&lt;&gt;"")), _3_5_1, "")</f>
        <v/>
      </c>
      <c r="D771" s="93" t="str">
        <f>IF(AND(C770&lt;&gt;"", 'Cost Inputs'!$G$184&lt;&gt;""), 'Cost Inputs'!$G$184, "")</f>
        <v/>
      </c>
      <c r="E771" s="93" t="str">
        <f>IF(AND(C770&lt;&gt;"", 'Cost Inputs'!$H$184&lt;&gt;""), 'Cost Inputs'!$H$184, "")</f>
        <v/>
      </c>
      <c r="F771" s="494"/>
      <c r="G771" s="108" t="str">
        <f t="shared" si="66"/>
        <v/>
      </c>
      <c r="H771" s="494"/>
      <c r="I771" s="108" t="str">
        <f>IF($C770&lt;&gt;"", IF(AND($E771&lt;&gt;"", H770&lt;&gt;""), H770/($E770*$E771), 0), "")</f>
        <v/>
      </c>
      <c r="J771" s="494" t="str">
        <f>IF(AND(C771&lt;&gt;"",('Cost Inputs'!$I$86+'Cost Inputs'!$J$86+'Cost Inputs'!$K$86)&gt;0), 'Cost Inputs'!$I$86+'Cost Inputs'!$J$86+'Cost Inputs'!$K$86, "")</f>
        <v/>
      </c>
      <c r="K771" s="108" t="str">
        <f>IF($C770&lt;&gt;"", IF(AND($E771&lt;&gt;"", J770&lt;&gt;""), J770/($E770*$E771), 0), "")</f>
        <v/>
      </c>
      <c r="L771" s="93"/>
      <c r="M771" s="109"/>
      <c r="O771" s="494" t="str">
        <f>IF(ISNUMBER('Model_ of_individuals'!O791), 'Model_ of_individuals'!O791*'Model_ of_individuals'!$K791,"")</f>
        <v/>
      </c>
      <c r="P771" s="494" t="str">
        <f>IF(ISNUMBER('Model_ of_individuals'!P791), 'Model_ of_individuals'!P791*'Model_ of_individuals'!$K791,"")</f>
        <v/>
      </c>
      <c r="Q771" s="494" t="str">
        <f>IF(ISNUMBER('Model_ of_individuals'!Q791), 'Model_ of_individuals'!Q791*'Model_ of_individuals'!$K791,"")</f>
        <v/>
      </c>
      <c r="R771" s="494" t="str">
        <f>IF(ISNUMBER('Model_ of_individuals'!R791), 'Model_ of_individuals'!R791*'Model_ of_individuals'!$K791,"")</f>
        <v/>
      </c>
      <c r="S771" s="494" t="str">
        <f>IF(ISNUMBER('Model_ of_individuals'!S791), 'Model_ of_individuals'!S791*'Model_ of_individuals'!$K791,"")</f>
        <v/>
      </c>
      <c r="T771" s="494" t="str">
        <f>IF(ISNUMBER('Model_ of_individuals'!T791), 'Model_ of_individuals'!T791*'Model_ of_individuals'!$K791,"")</f>
        <v/>
      </c>
      <c r="U771" s="494" t="str">
        <f>IF(ISNUMBER('Model_ of_individuals'!U791), 'Model_ of_individuals'!U791*'Model_ of_individuals'!$K791,"")</f>
        <v/>
      </c>
      <c r="V771" s="494" t="str">
        <f>IF(ISNUMBER('Model_ of_individuals'!V791), 'Model_ of_individuals'!V791*'Model_ of_individuals'!$K791,"")</f>
        <v/>
      </c>
      <c r="W771" s="494" t="str">
        <f>IF(ISNUMBER('Model_ of_individuals'!W791), 'Model_ of_individuals'!W791*'Model_ of_individuals'!$K791,"")</f>
        <v/>
      </c>
      <c r="X771" s="494" t="str">
        <f>IF(ISNUMBER('Model_ of_individuals'!X791), 'Model_ of_individuals'!X791*'Model_ of_individuals'!$K791,"")</f>
        <v/>
      </c>
    </row>
    <row r="772" spans="1:24" x14ac:dyDescent="0.25">
      <c r="A772" s="518"/>
      <c r="B772" s="504"/>
      <c r="C772" s="104" t="str">
        <f>IF(AND(ISNUMBER(B756), OR('Cost Inputs'!$H$185&lt;&gt;"", 'Cost Inputs'!$I$185&lt;&gt;"", 'Cost Inputs'!$J$185&lt;&gt;"")), _6_2_3, "")</f>
        <v/>
      </c>
      <c r="D772" s="17" t="str">
        <f>IF(AND(C772&lt;&gt;"", 'Cost Inputs'!$G$185&lt;&gt;""), 'Cost Inputs'!$G$185, "")</f>
        <v/>
      </c>
      <c r="E772" s="17" t="str">
        <f>IF(AND(C772&lt;&gt;"", 'Cost Inputs'!$H$185&lt;&gt;""), 'Cost Inputs'!$H$185, "")</f>
        <v/>
      </c>
      <c r="F772" s="17" t="str">
        <f>IF(AND(C772&lt;&gt;"", 'Cost Inputs'!$I$185&lt;&gt;""), 'Cost Inputs'!$I$185, "")</f>
        <v/>
      </c>
      <c r="G772" s="105" t="str">
        <f t="shared" si="66"/>
        <v/>
      </c>
      <c r="H772" s="17" t="str">
        <f>IF(AND(C772&lt;&gt;"", 'Cost Inputs'!$J$185&lt;&gt;""), 'Cost Inputs'!$J$185, "")</f>
        <v/>
      </c>
      <c r="I772" s="17" t="str">
        <f>IF($C772&lt;&gt;"", IF(AND($E772&lt;&gt;"", H772&lt;&gt;""), H772/$E772, 0),"")</f>
        <v/>
      </c>
      <c r="J772" s="17" t="str">
        <f>IF(AND(C772&lt;&gt;"",('Cost Inputs'!$I$185+'Cost Inputs'!$J$185+'Cost Inputs'!$K$185)&gt;0), 'Cost Inputs'!$I$185+'Cost Inputs'!$J$185+'Cost Inputs'!$K$185, "")</f>
        <v/>
      </c>
      <c r="K772" s="17" t="str">
        <f>IF($C772&lt;&gt;"", IF(AND($E772&lt;&gt;"", J772&lt;&gt;""), J772/$E772, 0),"")</f>
        <v/>
      </c>
      <c r="M772" s="106"/>
      <c r="O772" s="17" t="str">
        <f>IF(ISNUMBER('Model_ of_individuals'!O792), 'Model_ of_individuals'!O792*'Model_ of_individuals'!$K792,"")</f>
        <v/>
      </c>
      <c r="P772" s="17" t="str">
        <f>IF(ISNUMBER('Model_ of_individuals'!P792), 'Model_ of_individuals'!P792*'Model_ of_individuals'!$K792,"")</f>
        <v/>
      </c>
      <c r="Q772" s="17" t="str">
        <f>IF(ISNUMBER('Model_ of_individuals'!Q792), 'Model_ of_individuals'!Q792*'Model_ of_individuals'!$K792,"")</f>
        <v/>
      </c>
      <c r="R772" s="17" t="str">
        <f>IF(ISNUMBER('Model_ of_individuals'!R792), 'Model_ of_individuals'!R792*'Model_ of_individuals'!$K792,"")</f>
        <v/>
      </c>
      <c r="S772" s="17" t="str">
        <f>IF(ISNUMBER('Model_ of_individuals'!S792), 'Model_ of_individuals'!S792*'Model_ of_individuals'!$K792,"")</f>
        <v/>
      </c>
      <c r="T772" s="17" t="str">
        <f>IF(ISNUMBER('Model_ of_individuals'!T792), 'Model_ of_individuals'!T792*'Model_ of_individuals'!$K792,"")</f>
        <v/>
      </c>
      <c r="U772" s="17" t="str">
        <f>IF(ISNUMBER('Model_ of_individuals'!U792), 'Model_ of_individuals'!U792*'Model_ of_individuals'!$K792,"")</f>
        <v/>
      </c>
      <c r="V772" s="17" t="str">
        <f>IF(ISNUMBER('Model_ of_individuals'!V792), 'Model_ of_individuals'!V792*'Model_ of_individuals'!$K792,"")</f>
        <v/>
      </c>
      <c r="W772" s="17" t="str">
        <f>IF(ISNUMBER('Model_ of_individuals'!W792), 'Model_ of_individuals'!W792*'Model_ of_individuals'!$K792,"")</f>
        <v/>
      </c>
      <c r="X772" s="17" t="str">
        <f>IF(ISNUMBER('Model_ of_individuals'!X792), 'Model_ of_individuals'!X792*'Model_ of_individuals'!$K792,"")</f>
        <v/>
      </c>
    </row>
    <row r="773" spans="1:24" x14ac:dyDescent="0.25">
      <c r="A773" s="518"/>
      <c r="B773" s="504"/>
      <c r="C773" s="107" t="str">
        <f>IF(AND(ISNUMBER(B756), OR('Cost Inputs'!$H$186&lt;&gt;"", 'Cost Inputs'!$I$186&lt;&gt;"", 'Cost Inputs'!$J$186&lt;&gt;"")), _6_2_4, "")</f>
        <v/>
      </c>
      <c r="D773" s="93" t="str">
        <f>IF(AND(C773&lt;&gt;"", 'Cost Inputs'!$G$186&lt;&gt;""), 'Cost Inputs'!$G$186, "")</f>
        <v/>
      </c>
      <c r="E773" s="93" t="str">
        <f>IF(AND(C773&lt;&gt;"", 'Cost Inputs'!$H$186&lt;&gt;""), 'Cost Inputs'!$H$186, "")</f>
        <v/>
      </c>
      <c r="F773" s="93" t="str">
        <f>IF(AND(C773&lt;&gt;"", 'Cost Inputs'!$I$186&lt;&gt;""), 'Cost Inputs'!$I$186, "")</f>
        <v/>
      </c>
      <c r="G773" s="108" t="str">
        <f t="shared" si="66"/>
        <v/>
      </c>
      <c r="H773" s="93" t="str">
        <f>IF(AND(C773&lt;&gt;"", 'Cost Inputs'!$J$186&lt;&gt;""), 'Cost Inputs'!$J$186, "")</f>
        <v/>
      </c>
      <c r="I773" s="93" t="str">
        <f>IF($C773&lt;&gt;"", IF(AND($E773&lt;&gt;"", H773&lt;&gt;""), H773/$E773, 0),"")</f>
        <v/>
      </c>
      <c r="J773" s="93" t="str">
        <f>IF(AND(C773&lt;&gt;"",('Cost Inputs'!$I$186+'Cost Inputs'!$J$186+'Cost Inputs'!$K$186)&gt;0), 'Cost Inputs'!$I$186+'Cost Inputs'!$J$186+'Cost Inputs'!$K$186, "")</f>
        <v/>
      </c>
      <c r="K773" s="93" t="str">
        <f>IF($C773&lt;&gt;"", IF(AND($E773&lt;&gt;"", J773&lt;&gt;""), J773/$E773, 0),"")</f>
        <v/>
      </c>
      <c r="L773" s="93"/>
      <c r="M773" s="109"/>
      <c r="O773" s="93" t="str">
        <f>IF(ISNUMBER('Model_ of_individuals'!O793), 'Model_ of_individuals'!O793*'Model_ of_individuals'!$K793,"")</f>
        <v/>
      </c>
      <c r="P773" s="93" t="str">
        <f>IF(ISNUMBER('Model_ of_individuals'!P793), 'Model_ of_individuals'!P793*'Model_ of_individuals'!$K793,"")</f>
        <v/>
      </c>
      <c r="Q773" s="93" t="str">
        <f>IF(ISNUMBER('Model_ of_individuals'!Q793), 'Model_ of_individuals'!Q793*'Model_ of_individuals'!$K793,"")</f>
        <v/>
      </c>
      <c r="R773" s="93" t="str">
        <f>IF(ISNUMBER('Model_ of_individuals'!R793), 'Model_ of_individuals'!R793*'Model_ of_individuals'!$K793,"")</f>
        <v/>
      </c>
      <c r="S773" s="93" t="str">
        <f>IF(ISNUMBER('Model_ of_individuals'!S793), 'Model_ of_individuals'!S793*'Model_ of_individuals'!$K793,"")</f>
        <v/>
      </c>
      <c r="T773" s="93" t="str">
        <f>IF(ISNUMBER('Model_ of_individuals'!T793), 'Model_ of_individuals'!T793*'Model_ of_individuals'!$K793,"")</f>
        <v/>
      </c>
      <c r="U773" s="93" t="str">
        <f>IF(ISNUMBER('Model_ of_individuals'!U793), 'Model_ of_individuals'!U793*'Model_ of_individuals'!$K793,"")</f>
        <v/>
      </c>
      <c r="V773" s="93" t="str">
        <f>IF(ISNUMBER('Model_ of_individuals'!V793), 'Model_ of_individuals'!V793*'Model_ of_individuals'!$K793,"")</f>
        <v/>
      </c>
      <c r="W773" s="93" t="str">
        <f>IF(ISNUMBER('Model_ of_individuals'!W793), 'Model_ of_individuals'!W793*'Model_ of_individuals'!$K793,"")</f>
        <v/>
      </c>
      <c r="X773" s="93" t="str">
        <f>IF(ISNUMBER('Model_ of_individuals'!X793), 'Model_ of_individuals'!X793*'Model_ of_individuals'!$K793,"")</f>
        <v/>
      </c>
    </row>
    <row r="774" spans="1:24" x14ac:dyDescent="0.25">
      <c r="A774" s="518"/>
      <c r="B774" s="504"/>
      <c r="C774" s="521" t="str">
        <f>IF(ISNUMBER(B756), _6_3_0, "")</f>
        <v/>
      </c>
      <c r="D774" s="94" t="str">
        <f>IF(AND(C774&lt;&gt;"", 'Cost Inputs'!$G$187&lt;&gt;""), 'Cost Inputs'!$G$187, "")</f>
        <v/>
      </c>
      <c r="E774" s="94" t="str">
        <f>IF(AND(C774&lt;&gt;"", 'Cost Inputs'!$H$187&lt;&gt;""), 'Cost Inputs'!$H$187, "")</f>
        <v/>
      </c>
      <c r="F774" s="492" t="str">
        <f>IF(AND(C774&lt;&gt;"", 'Cost Inputs'!$I$187&lt;&gt;""), 'Cost Inputs'!$I$187, "")</f>
        <v/>
      </c>
      <c r="G774" s="102" t="str">
        <f t="shared" si="66"/>
        <v/>
      </c>
      <c r="H774" s="492" t="str">
        <f>IF(AND(C774&lt;&gt;"", 'Cost Inputs'!$J$187&lt;&gt;""), 'Cost Inputs'!$J$187, "")</f>
        <v/>
      </c>
      <c r="I774" s="102" t="str">
        <f>IF($C774&lt;&gt;"",IF(AND($E774&lt;&gt;"",H774&lt;&gt;""), H774/$E774, 0),"")</f>
        <v/>
      </c>
      <c r="J774" s="492" t="str">
        <f>IF(AND(C774&lt;&gt;"",('Cost Inputs'!$I$187+'Cost Inputs'!$J$187+'Cost Inputs'!$K$187)&gt;0), 'Cost Inputs'!$I$187+'Cost Inputs'!$J$187+'Cost Inputs'!$K$187, "")</f>
        <v/>
      </c>
      <c r="K774" s="102" t="str">
        <f>IF($C774&lt;&gt;"",IF(AND($E774&lt;&gt;"",J774&lt;&gt;""), J774/$E774, 0),"")</f>
        <v/>
      </c>
      <c r="L774" s="94"/>
      <c r="M774" s="103"/>
      <c r="O774" s="492" t="str">
        <f>IF(ISNUMBER('Model_ of_individuals'!O794), 'Model_ of_individuals'!O794*'Model_ of_individuals'!$K794,"")</f>
        <v/>
      </c>
      <c r="P774" s="492" t="str">
        <f>IF(ISNUMBER('Model_ of_individuals'!P794), 'Model_ of_individuals'!P794*'Model_ of_individuals'!$K794,"")</f>
        <v/>
      </c>
      <c r="Q774" s="492" t="str">
        <f>IF(ISNUMBER('Model_ of_individuals'!Q794), 'Model_ of_individuals'!Q794*'Model_ of_individuals'!$K794,"")</f>
        <v/>
      </c>
      <c r="R774" s="492" t="str">
        <f>IF(ISNUMBER('Model_ of_individuals'!R794), 'Model_ of_individuals'!R794*'Model_ of_individuals'!$K794,"")</f>
        <v/>
      </c>
      <c r="S774" s="492" t="str">
        <f>IF(ISNUMBER('Model_ of_individuals'!S794), 'Model_ of_individuals'!S794*'Model_ of_individuals'!$K794,"")</f>
        <v/>
      </c>
      <c r="T774" s="492" t="str">
        <f>IF(ISNUMBER('Model_ of_individuals'!T794), 'Model_ of_individuals'!T794*'Model_ of_individuals'!$K794,"")</f>
        <v/>
      </c>
      <c r="U774" s="492" t="str">
        <f>IF(ISNUMBER('Model_ of_individuals'!U794), 'Model_ of_individuals'!U794*'Model_ of_individuals'!$K794,"")</f>
        <v/>
      </c>
      <c r="V774" s="492" t="str">
        <f>IF(ISNUMBER('Model_ of_individuals'!V794), 'Model_ of_individuals'!V794*'Model_ of_individuals'!$K794,"")</f>
        <v/>
      </c>
      <c r="W774" s="492" t="str">
        <f>IF(ISNUMBER('Model_ of_individuals'!W794), 'Model_ of_individuals'!W794*'Model_ of_individuals'!$K794,"")</f>
        <v/>
      </c>
      <c r="X774" s="492" t="str">
        <f>IF(ISNUMBER('Model_ of_individuals'!X794), 'Model_ of_individuals'!X794*'Model_ of_individuals'!$K794,"")</f>
        <v/>
      </c>
    </row>
    <row r="775" spans="1:24" x14ac:dyDescent="0.25">
      <c r="A775" s="518"/>
      <c r="B775" s="504"/>
      <c r="C775" s="521"/>
      <c r="D775" s="94" t="str">
        <f>IF(AND(C774&lt;&gt;"", 'Cost Inputs'!$G$188&lt;&gt;""), 'Cost Inputs'!$G$188, "")</f>
        <v/>
      </c>
      <c r="E775" s="94" t="str">
        <f>IF(AND(C774&lt;&gt;"", 'Cost Inputs'!$H$188&lt;&gt;""), 'Cost Inputs'!$H$188, "")</f>
        <v/>
      </c>
      <c r="F775" s="492"/>
      <c r="G775" s="102" t="str">
        <f t="shared" si="66"/>
        <v/>
      </c>
      <c r="H775" s="492"/>
      <c r="I775" s="102" t="str">
        <f>IF($C774&lt;&gt;"", IF(AND($E775&lt;&gt;"", H774&lt;&gt;""), H774/($E774*$E775), 0), "")</f>
        <v/>
      </c>
      <c r="J775" s="492" t="str">
        <f>IF(AND(C775&lt;&gt;"",('Cost Inputs'!$I$86+'Cost Inputs'!$J$86+'Cost Inputs'!$K$86)&gt;0), 'Cost Inputs'!$I$86+'Cost Inputs'!$J$86+'Cost Inputs'!$K$86, "")</f>
        <v/>
      </c>
      <c r="K775" s="102" t="str">
        <f>IF($C774&lt;&gt;"", IF(AND($E775&lt;&gt;"", J774&lt;&gt;""), J774/($E774*$E775), 0), "")</f>
        <v/>
      </c>
      <c r="L775" s="94"/>
      <c r="M775" s="103"/>
      <c r="O775" s="492" t="str">
        <f>IF(ISNUMBER('Model_ of_individuals'!O795), 'Model_ of_individuals'!O795*'Model_ of_individuals'!$K795,"")</f>
        <v/>
      </c>
      <c r="P775" s="492" t="str">
        <f>IF(ISNUMBER('Model_ of_individuals'!P795), 'Model_ of_individuals'!P795*'Model_ of_individuals'!$K795,"")</f>
        <v/>
      </c>
      <c r="Q775" s="492" t="str">
        <f>IF(ISNUMBER('Model_ of_individuals'!Q795), 'Model_ of_individuals'!Q795*'Model_ of_individuals'!$K795,"")</f>
        <v/>
      </c>
      <c r="R775" s="492" t="str">
        <f>IF(ISNUMBER('Model_ of_individuals'!R795), 'Model_ of_individuals'!R795*'Model_ of_individuals'!$K795,"")</f>
        <v/>
      </c>
      <c r="S775" s="492" t="str">
        <f>IF(ISNUMBER('Model_ of_individuals'!S795), 'Model_ of_individuals'!S795*'Model_ of_individuals'!$K795,"")</f>
        <v/>
      </c>
      <c r="T775" s="492" t="str">
        <f>IF(ISNUMBER('Model_ of_individuals'!T795), 'Model_ of_individuals'!T795*'Model_ of_individuals'!$K795,"")</f>
        <v/>
      </c>
      <c r="U775" s="492" t="str">
        <f>IF(ISNUMBER('Model_ of_individuals'!U795), 'Model_ of_individuals'!U795*'Model_ of_individuals'!$K795,"")</f>
        <v/>
      </c>
      <c r="V775" s="492" t="str">
        <f>IF(ISNUMBER('Model_ of_individuals'!V795), 'Model_ of_individuals'!V795*'Model_ of_individuals'!$K795,"")</f>
        <v/>
      </c>
      <c r="W775" s="492" t="str">
        <f>IF(ISNUMBER('Model_ of_individuals'!W795), 'Model_ of_individuals'!W795*'Model_ of_individuals'!$K795,"")</f>
        <v/>
      </c>
      <c r="X775" s="492" t="str">
        <f>IF(ISNUMBER('Model_ of_individuals'!X795), 'Model_ of_individuals'!X795*'Model_ of_individuals'!$K795,"")</f>
        <v/>
      </c>
    </row>
    <row r="776" spans="1:24" x14ac:dyDescent="0.25">
      <c r="A776" s="518"/>
      <c r="B776" s="504"/>
      <c r="C776" s="104" t="str">
        <f>IF(AND(ISNUMBER(B756), OR('Cost Inputs'!$H$189&lt;&gt;"", 'Cost Inputs'!$I$189&lt;&gt;"", 'Cost Inputs'!$J$189&lt;&gt;"")), _6_3_1, "")</f>
        <v/>
      </c>
      <c r="D776" s="17" t="str">
        <f>IF(AND(C776&lt;&gt;"", 'Cost Inputs'!$G$189&lt;&gt;""), 'Cost Inputs'!$G$189, "")</f>
        <v/>
      </c>
      <c r="E776" s="17" t="str">
        <f>IF(AND(C776&lt;&gt;"", 'Cost Inputs'!$H$189&lt;&gt;""), 'Cost Inputs'!$H$189, "")</f>
        <v/>
      </c>
      <c r="F776" s="17" t="str">
        <f>IF(AND(C776&lt;&gt;"", 'Cost Inputs'!$I$189&lt;&gt;""), 'Cost Inputs'!$I$189, "")</f>
        <v/>
      </c>
      <c r="G776" s="105" t="str">
        <f t="shared" si="66"/>
        <v/>
      </c>
      <c r="H776" s="17" t="str">
        <f>IF(AND(C776&lt;&gt;"", 'Cost Inputs'!$J$189&lt;&gt;""), 'Cost Inputs'!$J$189, "")</f>
        <v/>
      </c>
      <c r="I776" s="17" t="str">
        <f t="shared" ref="I776:I784" si="70">IF($C776&lt;&gt;"", IF(AND($E776&lt;&gt;"", H776&lt;&gt;""), H776/$E776, 0),"")</f>
        <v/>
      </c>
      <c r="J776" s="17" t="str">
        <f>IF(AND(C776&lt;&gt;"",('Cost Inputs'!$I$189+'Cost Inputs'!$J$189+'Cost Inputs'!$K$189)&gt;0), 'Cost Inputs'!$I$189+'Cost Inputs'!$J$189+'Cost Inputs'!$K$189, "")</f>
        <v/>
      </c>
      <c r="K776" s="17" t="str">
        <f t="shared" ref="K776:K784" si="71">IF($C776&lt;&gt;"", IF(AND($E776&lt;&gt;"", J776&lt;&gt;""), J776/$E776, 0),"")</f>
        <v/>
      </c>
      <c r="M776" s="106"/>
      <c r="O776" s="17" t="str">
        <f>IF(ISNUMBER('Model_ of_individuals'!O796), 'Model_ of_individuals'!O796*'Model_ of_individuals'!$K796,"")</f>
        <v/>
      </c>
      <c r="P776" s="17" t="str">
        <f>IF(ISNUMBER('Model_ of_individuals'!P796), 'Model_ of_individuals'!P796*'Model_ of_individuals'!$K796,"")</f>
        <v/>
      </c>
      <c r="Q776" s="17" t="str">
        <f>IF(ISNUMBER('Model_ of_individuals'!Q796), 'Model_ of_individuals'!Q796*'Model_ of_individuals'!$K796,"")</f>
        <v/>
      </c>
      <c r="R776" s="17" t="str">
        <f>IF(ISNUMBER('Model_ of_individuals'!R796), 'Model_ of_individuals'!R796*'Model_ of_individuals'!$K796,"")</f>
        <v/>
      </c>
      <c r="S776" s="17" t="str">
        <f>IF(ISNUMBER('Model_ of_individuals'!S796), 'Model_ of_individuals'!S796*'Model_ of_individuals'!$K796,"")</f>
        <v/>
      </c>
      <c r="T776" s="17" t="str">
        <f>IF(ISNUMBER('Model_ of_individuals'!T796), 'Model_ of_individuals'!T796*'Model_ of_individuals'!$K796,"")</f>
        <v/>
      </c>
      <c r="U776" s="17" t="str">
        <f>IF(ISNUMBER('Model_ of_individuals'!U796), 'Model_ of_individuals'!U796*'Model_ of_individuals'!$K796,"")</f>
        <v/>
      </c>
      <c r="V776" s="17" t="str">
        <f>IF(ISNUMBER('Model_ of_individuals'!V796), 'Model_ of_individuals'!V796*'Model_ of_individuals'!$K796,"")</f>
        <v/>
      </c>
      <c r="W776" s="17" t="str">
        <f>IF(ISNUMBER('Model_ of_individuals'!W796), 'Model_ of_individuals'!W796*'Model_ of_individuals'!$K796,"")</f>
        <v/>
      </c>
      <c r="X776" s="17" t="str">
        <f>IF(ISNUMBER('Model_ of_individuals'!X796), 'Model_ of_individuals'!X796*'Model_ of_individuals'!$K796,"")</f>
        <v/>
      </c>
    </row>
    <row r="777" spans="1:24" x14ac:dyDescent="0.25">
      <c r="A777" s="518"/>
      <c r="B777" s="504"/>
      <c r="C777" s="107" t="str">
        <f>IF(AND(ISNUMBER(B756), OR('Cost Inputs'!$H$190&lt;&gt;"", 'Cost Inputs'!$I$190&lt;&gt;"", 'Cost Inputs'!$J$190&lt;&gt;"")), _6_3_2, "")</f>
        <v/>
      </c>
      <c r="D777" s="93" t="str">
        <f>IF(AND(C777&lt;&gt;"", 'Cost Inputs'!$G$190&lt;&gt;""), 'Cost Inputs'!$G$190, "")</f>
        <v/>
      </c>
      <c r="E777" s="93" t="str">
        <f>IF(AND(C777&lt;&gt;"", 'Cost Inputs'!$H$190&lt;&gt;""), 'Cost Inputs'!$H$190, "")</f>
        <v/>
      </c>
      <c r="F777" s="93" t="str">
        <f>IF(AND(C777&lt;&gt;"", 'Cost Inputs'!$I$190&lt;&gt;""), 'Cost Inputs'!$I$190, "")</f>
        <v/>
      </c>
      <c r="G777" s="108" t="str">
        <f t="shared" si="66"/>
        <v/>
      </c>
      <c r="H777" s="93" t="str">
        <f>IF(AND(C777&lt;&gt;"", 'Cost Inputs'!$J$190&lt;&gt;""), 'Cost Inputs'!$J$190, "")</f>
        <v/>
      </c>
      <c r="I777" s="93" t="str">
        <f t="shared" si="70"/>
        <v/>
      </c>
      <c r="J777" s="93" t="str">
        <f>IF(AND(C777&lt;&gt;"",('Cost Inputs'!$I$190+'Cost Inputs'!$J$190+'Cost Inputs'!$K$190)&gt;0), 'Cost Inputs'!$I$190+'Cost Inputs'!$J$190+'Cost Inputs'!$K$190, "")</f>
        <v/>
      </c>
      <c r="K777" s="93" t="str">
        <f t="shared" si="71"/>
        <v/>
      </c>
      <c r="L777" s="93"/>
      <c r="M777" s="109"/>
      <c r="O777" s="93" t="str">
        <f>IF(ISNUMBER('Model_ of_individuals'!O797), 'Model_ of_individuals'!O797*'Model_ of_individuals'!$K797,"")</f>
        <v/>
      </c>
      <c r="P777" s="93" t="str">
        <f>IF(ISNUMBER('Model_ of_individuals'!P797), 'Model_ of_individuals'!P797*'Model_ of_individuals'!$K797,"")</f>
        <v/>
      </c>
      <c r="Q777" s="93" t="str">
        <f>IF(ISNUMBER('Model_ of_individuals'!Q797), 'Model_ of_individuals'!Q797*'Model_ of_individuals'!$K797,"")</f>
        <v/>
      </c>
      <c r="R777" s="93" t="str">
        <f>IF(ISNUMBER('Model_ of_individuals'!R797), 'Model_ of_individuals'!R797*'Model_ of_individuals'!$K797,"")</f>
        <v/>
      </c>
      <c r="S777" s="93" t="str">
        <f>IF(ISNUMBER('Model_ of_individuals'!S797), 'Model_ of_individuals'!S797*'Model_ of_individuals'!$K797,"")</f>
        <v/>
      </c>
      <c r="T777" s="93" t="str">
        <f>IF(ISNUMBER('Model_ of_individuals'!T797), 'Model_ of_individuals'!T797*'Model_ of_individuals'!$K797,"")</f>
        <v/>
      </c>
      <c r="U777" s="93" t="str">
        <f>IF(ISNUMBER('Model_ of_individuals'!U797), 'Model_ of_individuals'!U797*'Model_ of_individuals'!$K797,"")</f>
        <v/>
      </c>
      <c r="V777" s="93" t="str">
        <f>IF(ISNUMBER('Model_ of_individuals'!V797), 'Model_ of_individuals'!V797*'Model_ of_individuals'!$K797,"")</f>
        <v/>
      </c>
      <c r="W777" s="93" t="str">
        <f>IF(ISNUMBER('Model_ of_individuals'!W797), 'Model_ of_individuals'!W797*'Model_ of_individuals'!$K797,"")</f>
        <v/>
      </c>
      <c r="X777" s="93" t="str">
        <f>IF(ISNUMBER('Model_ of_individuals'!X797), 'Model_ of_individuals'!X797*'Model_ of_individuals'!$K797,"")</f>
        <v/>
      </c>
    </row>
    <row r="778" spans="1:24" x14ac:dyDescent="0.25">
      <c r="A778" s="518"/>
      <c r="B778" s="504"/>
      <c r="C778" s="110" t="str">
        <f>IF(ISNUMBER(B756), _6_4_0, "")</f>
        <v/>
      </c>
      <c r="D778" s="94" t="str">
        <f>IF(AND(C778&lt;&gt;"", 'Cost Inputs'!$G$191&lt;&gt;""), 'Cost Inputs'!$G$191, "")</f>
        <v/>
      </c>
      <c r="E778" s="94" t="str">
        <f>IF(AND(C778&lt;&gt;"", 'Cost Inputs'!$H$191&lt;&gt;""), 'Cost Inputs'!$H$191, "")</f>
        <v/>
      </c>
      <c r="F778" s="94" t="str">
        <f>IF(AND(C778&lt;&gt;"", 'Cost Inputs'!$I$191&lt;&gt;""), 'Cost Inputs'!$I$191, "")</f>
        <v/>
      </c>
      <c r="G778" s="102" t="str">
        <f t="shared" si="66"/>
        <v/>
      </c>
      <c r="H778" s="102" t="str">
        <f>IF(AND(C778&lt;&gt;"", 'Cost Inputs'!$J$191&lt;&gt;""), 'Cost Inputs'!$J$191, "")</f>
        <v/>
      </c>
      <c r="I778" s="102" t="str">
        <f t="shared" si="70"/>
        <v/>
      </c>
      <c r="J778" s="102" t="str">
        <f>IF(AND(C778&lt;&gt;"",('Cost Inputs'!$I$191+'Cost Inputs'!$J$191+'Cost Inputs'!$K$191)&gt;0), 'Cost Inputs'!$I$191+'Cost Inputs'!$J$191+'Cost Inputs'!$K$191, "")</f>
        <v/>
      </c>
      <c r="K778" s="102" t="str">
        <f t="shared" si="71"/>
        <v/>
      </c>
      <c r="L778" s="94"/>
      <c r="M778" s="103"/>
      <c r="O778" s="102" t="str">
        <f>IF(ISNUMBER('Model_ of_individuals'!O798), 'Model_ of_individuals'!O798*'Model_ of_individuals'!$K798,"")</f>
        <v/>
      </c>
      <c r="P778" s="102" t="str">
        <f>IF(ISNUMBER('Model_ of_individuals'!P798), 'Model_ of_individuals'!P798*'Model_ of_individuals'!$K798,"")</f>
        <v/>
      </c>
      <c r="Q778" s="102" t="str">
        <f>IF(ISNUMBER('Model_ of_individuals'!Q798), 'Model_ of_individuals'!Q798*'Model_ of_individuals'!$K798,"")</f>
        <v/>
      </c>
      <c r="R778" s="102" t="str">
        <f>IF(ISNUMBER('Model_ of_individuals'!R798), 'Model_ of_individuals'!R798*'Model_ of_individuals'!$K798,"")</f>
        <v/>
      </c>
      <c r="S778" s="102" t="str">
        <f>IF(ISNUMBER('Model_ of_individuals'!S798), 'Model_ of_individuals'!S798*'Model_ of_individuals'!$K798,"")</f>
        <v/>
      </c>
      <c r="T778" s="102" t="str">
        <f>IF(ISNUMBER('Model_ of_individuals'!T798), 'Model_ of_individuals'!T798*'Model_ of_individuals'!$K798,"")</f>
        <v/>
      </c>
      <c r="U778" s="102" t="str">
        <f>IF(ISNUMBER('Model_ of_individuals'!U798), 'Model_ of_individuals'!U798*'Model_ of_individuals'!$K798,"")</f>
        <v/>
      </c>
      <c r="V778" s="102" t="str">
        <f>IF(ISNUMBER('Model_ of_individuals'!V798), 'Model_ of_individuals'!V798*'Model_ of_individuals'!$K798,"")</f>
        <v/>
      </c>
      <c r="W778" s="102" t="str">
        <f>IF(ISNUMBER('Model_ of_individuals'!W798), 'Model_ of_individuals'!W798*'Model_ of_individuals'!$K798,"")</f>
        <v/>
      </c>
      <c r="X778" s="102" t="str">
        <f>IF(ISNUMBER('Model_ of_individuals'!X798), 'Model_ of_individuals'!X798*'Model_ of_individuals'!$K798,"")</f>
        <v/>
      </c>
    </row>
    <row r="779" spans="1:24" x14ac:dyDescent="0.25">
      <c r="A779" s="518"/>
      <c r="B779" s="504"/>
      <c r="C779" s="104" t="str">
        <f>IF(AND(ISNUMBER(B756), OR('Cost Inputs'!$H$192&lt;&gt;"", 'Cost Inputs'!$I$192&lt;&gt;"", 'Cost Inputs'!$J$192&lt;&gt;"")), _6_4_1, "")</f>
        <v/>
      </c>
      <c r="D779" s="17" t="str">
        <f>IF(AND(C779&lt;&gt;"", 'Cost Inputs'!$G$192&lt;&gt;""), 'Cost Inputs'!$G$192, "")</f>
        <v/>
      </c>
      <c r="E779" s="17" t="str">
        <f>IF(AND(C779&lt;&gt;"", 'Cost Inputs'!$H$192&lt;&gt;""), 'Cost Inputs'!$H$192, "")</f>
        <v/>
      </c>
      <c r="F779" s="17" t="str">
        <f>IF(AND(C779&lt;&gt;"", 'Cost Inputs'!$I$192&lt;&gt;""), 'Cost Inputs'!$I$192, "")</f>
        <v/>
      </c>
      <c r="G779" s="105" t="str">
        <f t="shared" si="66"/>
        <v/>
      </c>
      <c r="H779" s="17" t="str">
        <f>IF(AND(C779&lt;&gt;"", 'Cost Inputs'!$J$192&lt;&gt;""), 'Cost Inputs'!$J$192, "")</f>
        <v/>
      </c>
      <c r="I779" s="17" t="str">
        <f t="shared" si="70"/>
        <v/>
      </c>
      <c r="J779" s="17" t="str">
        <f>IF(AND(C779&lt;&gt;"",('Cost Inputs'!$I$192+'Cost Inputs'!$J$192+'Cost Inputs'!$K$192)&gt;0), 'Cost Inputs'!$I$192+'Cost Inputs'!$J$192+'Cost Inputs'!$K$192, "")</f>
        <v/>
      </c>
      <c r="K779" s="17" t="str">
        <f t="shared" si="71"/>
        <v/>
      </c>
      <c r="M779" s="106"/>
      <c r="O779" s="17" t="str">
        <f>IF(ISNUMBER('Model_ of_individuals'!O799), 'Model_ of_individuals'!O799*'Model_ of_individuals'!$K799,"")</f>
        <v/>
      </c>
      <c r="P779" s="17" t="str">
        <f>IF(ISNUMBER('Model_ of_individuals'!P799), 'Model_ of_individuals'!P799*'Model_ of_individuals'!$K799,"")</f>
        <v/>
      </c>
      <c r="Q779" s="17" t="str">
        <f>IF(ISNUMBER('Model_ of_individuals'!Q799), 'Model_ of_individuals'!Q799*'Model_ of_individuals'!$K799,"")</f>
        <v/>
      </c>
      <c r="R779" s="17" t="str">
        <f>IF(ISNUMBER('Model_ of_individuals'!R799), 'Model_ of_individuals'!R799*'Model_ of_individuals'!$K799,"")</f>
        <v/>
      </c>
      <c r="S779" s="17" t="str">
        <f>IF(ISNUMBER('Model_ of_individuals'!S799), 'Model_ of_individuals'!S799*'Model_ of_individuals'!$K799,"")</f>
        <v/>
      </c>
      <c r="T779" s="17" t="str">
        <f>IF(ISNUMBER('Model_ of_individuals'!T799), 'Model_ of_individuals'!T799*'Model_ of_individuals'!$K799,"")</f>
        <v/>
      </c>
      <c r="U779" s="17" t="str">
        <f>IF(ISNUMBER('Model_ of_individuals'!U799), 'Model_ of_individuals'!U799*'Model_ of_individuals'!$K799,"")</f>
        <v/>
      </c>
      <c r="V779" s="17" t="str">
        <f>IF(ISNUMBER('Model_ of_individuals'!V799), 'Model_ of_individuals'!V799*'Model_ of_individuals'!$K799,"")</f>
        <v/>
      </c>
      <c r="W779" s="17" t="str">
        <f>IF(ISNUMBER('Model_ of_individuals'!W799), 'Model_ of_individuals'!W799*'Model_ of_individuals'!$K799,"")</f>
        <v/>
      </c>
      <c r="X779" s="17" t="str">
        <f>IF(ISNUMBER('Model_ of_individuals'!X799), 'Model_ of_individuals'!X799*'Model_ of_individuals'!$K799,"")</f>
        <v/>
      </c>
    </row>
    <row r="780" spans="1:24" x14ac:dyDescent="0.25">
      <c r="A780" s="518"/>
      <c r="B780" s="504"/>
      <c r="C780" s="107" t="str">
        <f>IF(AND(ISNUMBER(B756), OR('Cost Inputs'!$H$193&lt;&gt;"", 'Cost Inputs'!$I$193&lt;&gt;"", 'Cost Inputs'!$J$193&lt;&gt;"")), _6_4_2, "")</f>
        <v/>
      </c>
      <c r="D780" s="93" t="str">
        <f>IF(AND(C780&lt;&gt;"", 'Cost Inputs'!$G$193&lt;&gt;""), 'Cost Inputs'!$G$193, "")</f>
        <v/>
      </c>
      <c r="E780" s="93" t="str">
        <f>IF(AND(C780&lt;&gt;"", 'Cost Inputs'!$H$193&lt;&gt;""), 'Cost Inputs'!$H$193, "")</f>
        <v/>
      </c>
      <c r="F780" s="93" t="str">
        <f>IF(AND(C780&lt;&gt;"", 'Cost Inputs'!$I$193&lt;&gt;""), 'Cost Inputs'!$I$193, "")</f>
        <v/>
      </c>
      <c r="G780" s="108" t="str">
        <f t="shared" si="66"/>
        <v/>
      </c>
      <c r="H780" s="93" t="str">
        <f>IF(AND(C780&lt;&gt;"", 'Cost Inputs'!$J$193&lt;&gt;""), 'Cost Inputs'!$J$193, "")</f>
        <v/>
      </c>
      <c r="I780" s="93" t="str">
        <f t="shared" si="70"/>
        <v/>
      </c>
      <c r="J780" s="93" t="str">
        <f>IF(AND(C780&lt;&gt;"",('Cost Inputs'!$I$152+'Cost Inputs'!$J$152+'Cost Inputs'!$K$152)&gt;0), 'Cost Inputs'!$I$152+'Cost Inputs'!$J$152+'Cost Inputs'!$K$152, "")</f>
        <v/>
      </c>
      <c r="K780" s="93" t="str">
        <f t="shared" si="71"/>
        <v/>
      </c>
      <c r="L780" s="93"/>
      <c r="M780" s="109"/>
      <c r="O780" s="93" t="str">
        <f>IF(ISNUMBER('Model_ of_individuals'!O800), 'Model_ of_individuals'!O800*'Model_ of_individuals'!$K800,"")</f>
        <v/>
      </c>
      <c r="P780" s="93" t="str">
        <f>IF(ISNUMBER('Model_ of_individuals'!P800), 'Model_ of_individuals'!P800*'Model_ of_individuals'!$K800,"")</f>
        <v/>
      </c>
      <c r="Q780" s="93" t="str">
        <f>IF(ISNUMBER('Model_ of_individuals'!Q800), 'Model_ of_individuals'!Q800*'Model_ of_individuals'!$K800,"")</f>
        <v/>
      </c>
      <c r="R780" s="93" t="str">
        <f>IF(ISNUMBER('Model_ of_individuals'!R800), 'Model_ of_individuals'!R800*'Model_ of_individuals'!$K800,"")</f>
        <v/>
      </c>
      <c r="S780" s="93" t="str">
        <f>IF(ISNUMBER('Model_ of_individuals'!S800), 'Model_ of_individuals'!S800*'Model_ of_individuals'!$K800,"")</f>
        <v/>
      </c>
      <c r="T780" s="93" t="str">
        <f>IF(ISNUMBER('Model_ of_individuals'!T800), 'Model_ of_individuals'!T800*'Model_ of_individuals'!$K800,"")</f>
        <v/>
      </c>
      <c r="U780" s="93" t="str">
        <f>IF(ISNUMBER('Model_ of_individuals'!U800), 'Model_ of_individuals'!U800*'Model_ of_individuals'!$K800,"")</f>
        <v/>
      </c>
      <c r="V780" s="93" t="str">
        <f>IF(ISNUMBER('Model_ of_individuals'!V800), 'Model_ of_individuals'!V800*'Model_ of_individuals'!$K800,"")</f>
        <v/>
      </c>
      <c r="W780" s="93" t="str">
        <f>IF(ISNUMBER('Model_ of_individuals'!W800), 'Model_ of_individuals'!W800*'Model_ of_individuals'!$K800,"")</f>
        <v/>
      </c>
      <c r="X780" s="93" t="str">
        <f>IF(ISNUMBER('Model_ of_individuals'!X800), 'Model_ of_individuals'!X800*'Model_ of_individuals'!$K800,"")</f>
        <v/>
      </c>
    </row>
    <row r="781" spans="1:24" x14ac:dyDescent="0.25">
      <c r="A781" s="518"/>
      <c r="B781" s="504"/>
      <c r="C781" s="104" t="str">
        <f>IF(AND(ISNUMBER(B756), OR('Cost Inputs'!$H$194&lt;&gt;"", 'Cost Inputs'!$I$194&lt;&gt;"", 'Cost Inputs'!$J$194&lt;&gt;"")), _6_4_3, "")</f>
        <v/>
      </c>
      <c r="D781" s="17" t="str">
        <f>IF(AND(C781&lt;&gt;"", 'Cost Inputs'!$G$194&lt;&gt;""), 'Cost Inputs'!$G$194, "")</f>
        <v/>
      </c>
      <c r="E781" s="17" t="str">
        <f>IF(AND(C781&lt;&gt;"", 'Cost Inputs'!$H$194&lt;&gt;""), 'Cost Inputs'!$H$194, "")</f>
        <v/>
      </c>
      <c r="F781" s="17" t="str">
        <f>IF(AND(C781&lt;&gt;"", 'Cost Inputs'!$I$194&lt;&gt;""), 'Cost Inputs'!$I$194, "")</f>
        <v/>
      </c>
      <c r="G781" s="105" t="str">
        <f t="shared" si="66"/>
        <v/>
      </c>
      <c r="H781" s="17" t="str">
        <f>IF(AND(C781&lt;&gt;"", 'Cost Inputs'!$J$194&lt;&gt;""), 'Cost Inputs'!$J$194, "")</f>
        <v/>
      </c>
      <c r="I781" s="17" t="str">
        <f t="shared" si="70"/>
        <v/>
      </c>
      <c r="J781" s="17" t="str">
        <f>IF(AND(C781&lt;&gt;"",('Cost Inputs'!$I$194+'Cost Inputs'!$J$194+'Cost Inputs'!$K$194)&gt;0), 'Cost Inputs'!$I$194+'Cost Inputs'!$J$194+'Cost Inputs'!$K$194, "")</f>
        <v/>
      </c>
      <c r="K781" s="17" t="str">
        <f t="shared" si="71"/>
        <v/>
      </c>
      <c r="M781" s="106"/>
      <c r="O781" s="17" t="str">
        <f>IF(ISNUMBER('Model_ of_individuals'!O801), 'Model_ of_individuals'!O801*'Model_ of_individuals'!$K801,"")</f>
        <v/>
      </c>
      <c r="P781" s="17" t="str">
        <f>IF(ISNUMBER('Model_ of_individuals'!P801), 'Model_ of_individuals'!P801*'Model_ of_individuals'!$K801,"")</f>
        <v/>
      </c>
      <c r="Q781" s="17" t="str">
        <f>IF(ISNUMBER('Model_ of_individuals'!Q801), 'Model_ of_individuals'!Q801*'Model_ of_individuals'!$K801,"")</f>
        <v/>
      </c>
      <c r="R781" s="17" t="str">
        <f>IF(ISNUMBER('Model_ of_individuals'!R801), 'Model_ of_individuals'!R801*'Model_ of_individuals'!$K801,"")</f>
        <v/>
      </c>
      <c r="S781" s="17" t="str">
        <f>IF(ISNUMBER('Model_ of_individuals'!S801), 'Model_ of_individuals'!S801*'Model_ of_individuals'!$K801,"")</f>
        <v/>
      </c>
      <c r="T781" s="17" t="str">
        <f>IF(ISNUMBER('Model_ of_individuals'!T801), 'Model_ of_individuals'!T801*'Model_ of_individuals'!$K801,"")</f>
        <v/>
      </c>
      <c r="U781" s="17" t="str">
        <f>IF(ISNUMBER('Model_ of_individuals'!U801), 'Model_ of_individuals'!U801*'Model_ of_individuals'!$K801,"")</f>
        <v/>
      </c>
      <c r="V781" s="17" t="str">
        <f>IF(ISNUMBER('Model_ of_individuals'!V801), 'Model_ of_individuals'!V801*'Model_ of_individuals'!$K801,"")</f>
        <v/>
      </c>
      <c r="W781" s="17" t="str">
        <f>IF(ISNUMBER('Model_ of_individuals'!W801), 'Model_ of_individuals'!W801*'Model_ of_individuals'!$K801,"")</f>
        <v/>
      </c>
      <c r="X781" s="17" t="str">
        <f>IF(ISNUMBER('Model_ of_individuals'!X801), 'Model_ of_individuals'!X801*'Model_ of_individuals'!$K801,"")</f>
        <v/>
      </c>
    </row>
    <row r="782" spans="1:24" x14ac:dyDescent="0.25">
      <c r="A782" s="518"/>
      <c r="B782" s="504"/>
      <c r="C782" s="107" t="str">
        <f>IF(AND(ISNUMBER(B756), OR('Cost Inputs'!$H$195&lt;&gt;"", 'Cost Inputs'!$I$195&lt;&gt;"", 'Cost Inputs'!$J$195&lt;&gt;"")), _6_4_4, "")</f>
        <v/>
      </c>
      <c r="D782" s="93" t="str">
        <f>IF(AND(C782&lt;&gt;"", 'Cost Inputs'!$G$195&lt;&gt;""), 'Cost Inputs'!$G$195, "")</f>
        <v/>
      </c>
      <c r="E782" s="93" t="str">
        <f>IF(AND(C782&lt;&gt;"", 'Cost Inputs'!$H$195&lt;&gt;""), 'Cost Inputs'!$H$195, "")</f>
        <v/>
      </c>
      <c r="F782" s="93" t="str">
        <f>IF(AND(C782&lt;&gt;"", 'Cost Inputs'!$I$195&lt;&gt;""), 'Cost Inputs'!$I$195, "")</f>
        <v/>
      </c>
      <c r="G782" s="108" t="str">
        <f t="shared" si="66"/>
        <v/>
      </c>
      <c r="H782" s="93" t="str">
        <f>IF(AND(C782&lt;&gt;"", 'Cost Inputs'!$J$195&lt;&gt;""), 'Cost Inputs'!$J$195, "")</f>
        <v/>
      </c>
      <c r="I782" s="93" t="str">
        <f t="shared" si="70"/>
        <v/>
      </c>
      <c r="J782" s="93" t="str">
        <f>IF(AND(C782&lt;&gt;"",('Cost Inputs'!$I$195+'Cost Inputs'!$J$195+'Cost Inputs'!$K$195)&gt;0), 'Cost Inputs'!$I$195+'Cost Inputs'!$J$195+'Cost Inputs'!$K$195, "")</f>
        <v/>
      </c>
      <c r="K782" s="93" t="str">
        <f t="shared" si="71"/>
        <v/>
      </c>
      <c r="L782" s="93"/>
      <c r="M782" s="109"/>
      <c r="O782" s="93" t="str">
        <f>IF(ISNUMBER('Model_ of_individuals'!O802), 'Model_ of_individuals'!O802*'Model_ of_individuals'!$K802,"")</f>
        <v/>
      </c>
      <c r="P782" s="93" t="str">
        <f>IF(ISNUMBER('Model_ of_individuals'!P802), 'Model_ of_individuals'!P802*'Model_ of_individuals'!$K802,"")</f>
        <v/>
      </c>
      <c r="Q782" s="93" t="str">
        <f>IF(ISNUMBER('Model_ of_individuals'!Q802), 'Model_ of_individuals'!Q802*'Model_ of_individuals'!$K802,"")</f>
        <v/>
      </c>
      <c r="R782" s="93" t="str">
        <f>IF(ISNUMBER('Model_ of_individuals'!R802), 'Model_ of_individuals'!R802*'Model_ of_individuals'!$K802,"")</f>
        <v/>
      </c>
      <c r="S782" s="93" t="str">
        <f>IF(ISNUMBER('Model_ of_individuals'!S802), 'Model_ of_individuals'!S802*'Model_ of_individuals'!$K802,"")</f>
        <v/>
      </c>
      <c r="T782" s="93" t="str">
        <f>IF(ISNUMBER('Model_ of_individuals'!T802), 'Model_ of_individuals'!T802*'Model_ of_individuals'!$K802,"")</f>
        <v/>
      </c>
      <c r="U782" s="93" t="str">
        <f>IF(ISNUMBER('Model_ of_individuals'!U802), 'Model_ of_individuals'!U802*'Model_ of_individuals'!$K802,"")</f>
        <v/>
      </c>
      <c r="V782" s="93" t="str">
        <f>IF(ISNUMBER('Model_ of_individuals'!V802), 'Model_ of_individuals'!V802*'Model_ of_individuals'!$K802,"")</f>
        <v/>
      </c>
      <c r="W782" s="93" t="str">
        <f>IF(ISNUMBER('Model_ of_individuals'!W802), 'Model_ of_individuals'!W802*'Model_ of_individuals'!$K802,"")</f>
        <v/>
      </c>
      <c r="X782" s="93" t="str">
        <f>IF(ISNUMBER('Model_ of_individuals'!X802), 'Model_ of_individuals'!X802*'Model_ of_individuals'!$K802,"")</f>
        <v/>
      </c>
    </row>
    <row r="783" spans="1:24" x14ac:dyDescent="0.25">
      <c r="A783" s="518"/>
      <c r="B783" s="504"/>
      <c r="C783" s="104" t="str">
        <f>IF(AND(ISNUMBER(B756), OR('Cost Inputs'!$H$196&lt;&gt;"", 'Cost Inputs'!$I$196&lt;&gt;"", 'Cost Inputs'!$J$196&lt;&gt;"")), _6_4_5, "")</f>
        <v/>
      </c>
      <c r="D783" s="17" t="str">
        <f>IF(AND(C783&lt;&gt;"", 'Cost Inputs'!$G$196&lt;&gt;""), 'Cost Inputs'!$G$196, "")</f>
        <v/>
      </c>
      <c r="E783" s="17" t="str">
        <f>IF(AND(C783&lt;&gt;"", 'Cost Inputs'!$H$196&lt;&gt;""), 'Cost Inputs'!$H$196, "")</f>
        <v/>
      </c>
      <c r="F783" s="17" t="str">
        <f>IF(AND(C783&lt;&gt;"", 'Cost Inputs'!$I$196&lt;&gt;""), 'Cost Inputs'!$I$196, "")</f>
        <v/>
      </c>
      <c r="G783" s="105" t="str">
        <f t="shared" ref="G783:G846" si="72">IF(AND($E783&lt;&gt;"", $E783&gt;0, F783&lt;&gt;""), F783/$E783, "")</f>
        <v/>
      </c>
      <c r="H783" s="17" t="str">
        <f>IF(AND(C783&lt;&gt;"", 'Cost Inputs'!$J$196&lt;&gt;""), 'Cost Inputs'!$J$196, "")</f>
        <v/>
      </c>
      <c r="I783" s="17" t="str">
        <f t="shared" si="70"/>
        <v/>
      </c>
      <c r="J783" s="17" t="str">
        <f>IF(AND(C783&lt;&gt;"",('Cost Inputs'!$I$196+'Cost Inputs'!$J$196+'Cost Inputs'!$K$196)&gt;0), 'Cost Inputs'!$I$196+'Cost Inputs'!$J$196+'Cost Inputs'!$K$196, "")</f>
        <v/>
      </c>
      <c r="K783" s="17" t="str">
        <f t="shared" si="71"/>
        <v/>
      </c>
      <c r="M783" s="106"/>
      <c r="O783" s="17" t="str">
        <f>IF(ISNUMBER('Model_ of_individuals'!O803), 'Model_ of_individuals'!O803*'Model_ of_individuals'!$K803,"")</f>
        <v/>
      </c>
      <c r="P783" s="17" t="str">
        <f>IF(ISNUMBER('Model_ of_individuals'!P803), 'Model_ of_individuals'!P803*'Model_ of_individuals'!$K803,"")</f>
        <v/>
      </c>
      <c r="Q783" s="17" t="str">
        <f>IF(ISNUMBER('Model_ of_individuals'!Q803), 'Model_ of_individuals'!Q803*'Model_ of_individuals'!$K803,"")</f>
        <v/>
      </c>
      <c r="R783" s="17" t="str">
        <f>IF(ISNUMBER('Model_ of_individuals'!R803), 'Model_ of_individuals'!R803*'Model_ of_individuals'!$K803,"")</f>
        <v/>
      </c>
      <c r="S783" s="17" t="str">
        <f>IF(ISNUMBER('Model_ of_individuals'!S803), 'Model_ of_individuals'!S803*'Model_ of_individuals'!$K803,"")</f>
        <v/>
      </c>
      <c r="T783" s="17" t="str">
        <f>IF(ISNUMBER('Model_ of_individuals'!T803), 'Model_ of_individuals'!T803*'Model_ of_individuals'!$K803,"")</f>
        <v/>
      </c>
      <c r="U783" s="17" t="str">
        <f>IF(ISNUMBER('Model_ of_individuals'!U803), 'Model_ of_individuals'!U803*'Model_ of_individuals'!$K803,"")</f>
        <v/>
      </c>
      <c r="V783" s="17" t="str">
        <f>IF(ISNUMBER('Model_ of_individuals'!V803), 'Model_ of_individuals'!V803*'Model_ of_individuals'!$K803,"")</f>
        <v/>
      </c>
      <c r="W783" s="17" t="str">
        <f>IF(ISNUMBER('Model_ of_individuals'!W803), 'Model_ of_individuals'!W803*'Model_ of_individuals'!$K803,"")</f>
        <v/>
      </c>
      <c r="X783" s="17" t="str">
        <f>IF(ISNUMBER('Model_ of_individuals'!X803), 'Model_ of_individuals'!X803*'Model_ of_individuals'!$K803,"")</f>
        <v/>
      </c>
    </row>
    <row r="784" spans="1:24" x14ac:dyDescent="0.25">
      <c r="A784" s="518"/>
      <c r="B784" s="504"/>
      <c r="C784" s="107" t="str">
        <f>IF(AND(ISNUMBER(B756), OR('Cost Inputs'!$H$197&lt;&gt;"", 'Cost Inputs'!$I$197&lt;&gt;"", 'Cost Inputs'!$J$197&lt;&gt;"")), _6_4_6, "")</f>
        <v/>
      </c>
      <c r="D784" s="93" t="str">
        <f>IF(AND(C784&lt;&gt;"", 'Cost Inputs'!$G$197&lt;&gt;""), 'Cost Inputs'!$G$197, "")</f>
        <v/>
      </c>
      <c r="E784" s="93" t="str">
        <f>IF(AND(C784&lt;&gt;"", 'Cost Inputs'!$H$197&lt;&gt;""), 'Cost Inputs'!$H$197, "")</f>
        <v/>
      </c>
      <c r="F784" s="93" t="str">
        <f>IF(AND(C784&lt;&gt;"", 'Cost Inputs'!$I$197&lt;&gt;""), 'Cost Inputs'!$I$197, "")</f>
        <v/>
      </c>
      <c r="G784" s="108" t="str">
        <f t="shared" si="72"/>
        <v/>
      </c>
      <c r="H784" s="93" t="str">
        <f>IF(AND(C784&lt;&gt;"", 'Cost Inputs'!$J$197&lt;&gt;""), 'Cost Inputs'!$J$16, "")</f>
        <v/>
      </c>
      <c r="I784" s="93" t="str">
        <f t="shared" si="70"/>
        <v/>
      </c>
      <c r="J784" s="93" t="str">
        <f>IF(AND(C784&lt;&gt;"",('Cost Inputs'!$I$197+'Cost Inputs'!$J$197+'Cost Inputs'!$K$197)&gt;0), 'Cost Inputs'!$I$197+'Cost Inputs'!$J$197+'Cost Inputs'!$K$197, "")</f>
        <v/>
      </c>
      <c r="K784" s="93" t="str">
        <f t="shared" si="71"/>
        <v/>
      </c>
      <c r="L784" s="93"/>
      <c r="M784" s="109"/>
      <c r="O784" s="93" t="str">
        <f>IF(ISNUMBER('Model_ of_individuals'!O804), 'Model_ of_individuals'!O804*'Model_ of_individuals'!$K804,"")</f>
        <v/>
      </c>
      <c r="P784" s="93" t="str">
        <f>IF(ISNUMBER('Model_ of_individuals'!P804), 'Model_ of_individuals'!P804*'Model_ of_individuals'!$K804,"")</f>
        <v/>
      </c>
      <c r="Q784" s="93" t="str">
        <f>IF(ISNUMBER('Model_ of_individuals'!Q804), 'Model_ of_individuals'!Q804*'Model_ of_individuals'!$K804,"")</f>
        <v/>
      </c>
      <c r="R784" s="93" t="str">
        <f>IF(ISNUMBER('Model_ of_individuals'!R804), 'Model_ of_individuals'!R804*'Model_ of_individuals'!$K804,"")</f>
        <v/>
      </c>
      <c r="S784" s="93" t="str">
        <f>IF(ISNUMBER('Model_ of_individuals'!S804), 'Model_ of_individuals'!S804*'Model_ of_individuals'!$K804,"")</f>
        <v/>
      </c>
      <c r="T784" s="93" t="str">
        <f>IF(ISNUMBER('Model_ of_individuals'!T804), 'Model_ of_individuals'!T804*'Model_ of_individuals'!$K804,"")</f>
        <v/>
      </c>
      <c r="U784" s="93" t="str">
        <f>IF(ISNUMBER('Model_ of_individuals'!U804), 'Model_ of_individuals'!U804*'Model_ of_individuals'!$K804,"")</f>
        <v/>
      </c>
      <c r="V784" s="93" t="str">
        <f>IF(ISNUMBER('Model_ of_individuals'!V804), 'Model_ of_individuals'!V804*'Model_ of_individuals'!$K804,"")</f>
        <v/>
      </c>
      <c r="W784" s="93" t="str">
        <f>IF(ISNUMBER('Model_ of_individuals'!W804), 'Model_ of_individuals'!W804*'Model_ of_individuals'!$K804,"")</f>
        <v/>
      </c>
      <c r="X784" s="93" t="str">
        <f>IF(ISNUMBER('Model_ of_individuals'!X804), 'Model_ of_individuals'!X804*'Model_ of_individuals'!$K804,"")</f>
        <v/>
      </c>
    </row>
    <row r="785" spans="1:25" x14ac:dyDescent="0.25">
      <c r="A785" s="518"/>
      <c r="B785" s="504"/>
      <c r="C785" s="521" t="str">
        <f>IF(AND(B756&lt;&gt;"", ISNUMBER(B756), ISNUMBER(Stage4EvaluationBegins)), IF((INDEX(ProgramYearStage4,MATCH(Stage4EvaluationBegins,Years_in_Stage4,0)))=B756, _6_5_0, IF(AND(B756&lt;&gt;"", ISNUMBER(B756), OR(Stage4EvaluationBegins=0, Stage4EvaluationBegins="")),"", "")),"")</f>
        <v/>
      </c>
      <c r="D785" s="94" t="str">
        <f>IF(AND(C785&lt;&gt;"", 'Cost Inputs'!$G$198&lt;&gt;""), 'Cost Inputs'!$G$198, "")</f>
        <v/>
      </c>
      <c r="E785" s="94" t="str">
        <f>IF(AND(C785&lt;&gt;"", 'Cost Inputs'!$H$198&lt;&gt;""), 'Cost Inputs'!$H$198, "")</f>
        <v/>
      </c>
      <c r="F785" s="492" t="str">
        <f>IF(AND(C785&lt;&gt;"", 'Cost Inputs'!$I$198&lt;&gt;""), 'Cost Inputs'!$I$198, "")</f>
        <v/>
      </c>
      <c r="G785" s="102" t="str">
        <f t="shared" si="72"/>
        <v/>
      </c>
      <c r="H785" s="492" t="str">
        <f>IF(AND(C785&lt;&gt;"", 'Cost Inputs'!$J$198&lt;&gt;""), 'Cost Inputs'!$J$198, "")</f>
        <v/>
      </c>
      <c r="I785" s="102" t="str">
        <f>IF($C785&lt;&gt;"",IF(AND($E785&lt;&gt;"",H785&lt;&gt;""), H785/$E785, 0),"")</f>
        <v/>
      </c>
      <c r="J785" s="492" t="str">
        <f>IF(AND(C785&lt;&gt;"",('Cost Inputs'!$I$198+'Cost Inputs'!$J$198+'Cost Inputs'!$K$198)&gt;0), 'Cost Inputs'!$I$198+'Cost Inputs'!$J$198+'Cost Inputs'!$K$198, "")</f>
        <v/>
      </c>
      <c r="K785" s="102" t="str">
        <f>IF($C785&lt;&gt;"",IF(AND($E785&lt;&gt;"",J785&lt;&gt;""), J785/$E785, 0),"")</f>
        <v/>
      </c>
      <c r="L785" s="94"/>
      <c r="M785" s="103"/>
      <c r="O785" s="492" t="str">
        <f>IF(ISNUMBER('Model_ of_individuals'!O805), 'Model_ of_individuals'!O805*'Model_ of_individuals'!$K805,"")</f>
        <v/>
      </c>
      <c r="P785" s="492" t="str">
        <f>IF(ISNUMBER('Model_ of_individuals'!P805), 'Model_ of_individuals'!P805*'Model_ of_individuals'!$K805,"")</f>
        <v/>
      </c>
      <c r="Q785" s="492" t="str">
        <f>IF(ISNUMBER('Model_ of_individuals'!Q805), 'Model_ of_individuals'!Q805*'Model_ of_individuals'!$K805,"")</f>
        <v/>
      </c>
      <c r="R785" s="492" t="str">
        <f>IF(ISNUMBER('Model_ of_individuals'!R805), 'Model_ of_individuals'!R805*'Model_ of_individuals'!$K805,"")</f>
        <v/>
      </c>
      <c r="S785" s="492" t="str">
        <f>IF(ISNUMBER('Model_ of_individuals'!S805), 'Model_ of_individuals'!S805*'Model_ of_individuals'!$K805,"")</f>
        <v/>
      </c>
      <c r="T785" s="492" t="str">
        <f>IF(ISNUMBER('Model_ of_individuals'!T805), 'Model_ of_individuals'!T805*'Model_ of_individuals'!$K805,"")</f>
        <v/>
      </c>
      <c r="U785" s="492" t="str">
        <f>IF(ISNUMBER('Model_ of_individuals'!U805), 'Model_ of_individuals'!U805*'Model_ of_individuals'!$K805,"")</f>
        <v/>
      </c>
      <c r="V785" s="492" t="str">
        <f>IF(ISNUMBER('Model_ of_individuals'!V805), 'Model_ of_individuals'!V805*'Model_ of_individuals'!$K805,"")</f>
        <v/>
      </c>
      <c r="W785" s="492" t="str">
        <f>IF(ISNUMBER('Model_ of_individuals'!W805), 'Model_ of_individuals'!W805*'Model_ of_individuals'!$K805,"")</f>
        <v/>
      </c>
      <c r="X785" s="492" t="str">
        <f>IF(ISNUMBER('Model_ of_individuals'!X805), 'Model_ of_individuals'!X805*'Model_ of_individuals'!$K805,"")</f>
        <v/>
      </c>
    </row>
    <row r="786" spans="1:25" x14ac:dyDescent="0.25">
      <c r="A786" s="518"/>
      <c r="B786" s="504"/>
      <c r="C786" s="521"/>
      <c r="D786" s="94" t="str">
        <f>IF(AND(C785&lt;&gt;"", 'Cost Inputs'!$G$199&lt;&gt;""), 'Cost Inputs'!$G$199, "")</f>
        <v/>
      </c>
      <c r="E786" s="94" t="str">
        <f>IF(AND(C785&lt;&gt;"", 'Cost Inputs'!$H$199&lt;&gt;""), 'Cost Inputs'!$H$199, "")</f>
        <v/>
      </c>
      <c r="F786" s="492"/>
      <c r="G786" s="102" t="str">
        <f t="shared" si="72"/>
        <v/>
      </c>
      <c r="H786" s="492"/>
      <c r="I786" s="102" t="str">
        <f>IF($C785&lt;&gt;"", IF(AND($E786&lt;&gt;"", H785&lt;&gt;""), H785/($E785*$E786), 0), "")</f>
        <v/>
      </c>
      <c r="J786" s="492" t="str">
        <f>IF(AND(C786&lt;&gt;"",('Cost Inputs'!$I$86+'Cost Inputs'!$J$86+'Cost Inputs'!$K$86)&gt;0), 'Cost Inputs'!$I$86+'Cost Inputs'!$J$86+'Cost Inputs'!$K$86, "")</f>
        <v/>
      </c>
      <c r="K786" s="102" t="str">
        <f>IF($C785&lt;&gt;"", IF(AND($E786&lt;&gt;"", J785&lt;&gt;""), J785/($E785*$E786), 0), "")</f>
        <v/>
      </c>
      <c r="L786" s="94"/>
      <c r="M786" s="103"/>
      <c r="O786" s="492" t="str">
        <f>IF(ISNUMBER('Model_ of_individuals'!O806), 'Model_ of_individuals'!O806*'Model_ of_individuals'!$K806,"")</f>
        <v/>
      </c>
      <c r="P786" s="492" t="str">
        <f>IF(ISNUMBER('Model_ of_individuals'!P806), 'Model_ of_individuals'!P806*'Model_ of_individuals'!$K806,"")</f>
        <v/>
      </c>
      <c r="Q786" s="492" t="str">
        <f>IF(ISNUMBER('Model_ of_individuals'!Q806), 'Model_ of_individuals'!Q806*'Model_ of_individuals'!$K806,"")</f>
        <v/>
      </c>
      <c r="R786" s="492" t="str">
        <f>IF(ISNUMBER('Model_ of_individuals'!R806), 'Model_ of_individuals'!R806*'Model_ of_individuals'!$K806,"")</f>
        <v/>
      </c>
      <c r="S786" s="492" t="str">
        <f>IF(ISNUMBER('Model_ of_individuals'!S806), 'Model_ of_individuals'!S806*'Model_ of_individuals'!$K806,"")</f>
        <v/>
      </c>
      <c r="T786" s="492" t="str">
        <f>IF(ISNUMBER('Model_ of_individuals'!T806), 'Model_ of_individuals'!T806*'Model_ of_individuals'!$K806,"")</f>
        <v/>
      </c>
      <c r="U786" s="492" t="str">
        <f>IF(ISNUMBER('Model_ of_individuals'!U806), 'Model_ of_individuals'!U806*'Model_ of_individuals'!$K806,"")</f>
        <v/>
      </c>
      <c r="V786" s="492" t="str">
        <f>IF(ISNUMBER('Model_ of_individuals'!V806), 'Model_ of_individuals'!V806*'Model_ of_individuals'!$K806,"")</f>
        <v/>
      </c>
      <c r="W786" s="492" t="str">
        <f>IF(ISNUMBER('Model_ of_individuals'!W806), 'Model_ of_individuals'!W806*'Model_ of_individuals'!$K806,"")</f>
        <v/>
      </c>
      <c r="X786" s="492" t="str">
        <f>IF(ISNUMBER('Model_ of_individuals'!X806), 'Model_ of_individuals'!X806*'Model_ of_individuals'!$K806,"")</f>
        <v/>
      </c>
    </row>
    <row r="787" spans="1:25" x14ac:dyDescent="0.25">
      <c r="A787" s="518"/>
      <c r="B787" s="504"/>
      <c r="C787" s="376" t="str">
        <f>IF(AND(ISNUMBER(B756), C785&lt;&gt;"", OR('Cost Inputs'!$H$200&lt;&gt;"", 'Cost Inputs'!$I$200&lt;&gt;"", 'Cost Inputs'!$J$200&lt;&gt;"")), _6_5_1, "")</f>
        <v/>
      </c>
      <c r="D787" s="17" t="str">
        <f>IF(AND(C787&lt;&gt;"", 'Cost Inputs'!$G$200&lt;&gt;""), 'Cost Inputs'!$G$200, "")</f>
        <v/>
      </c>
      <c r="E787" s="17" t="str">
        <f>IF(AND(C787&lt;&gt;"", 'Cost Inputs'!$H$200&lt;&gt;""), 'Cost Inputs'!$H$200, "")</f>
        <v/>
      </c>
      <c r="F787" s="493" t="str">
        <f>IF(AND(C787&lt;&gt;"", 'Cost Inputs'!$I$200&lt;&gt;""), 'Cost Inputs'!$I$200, "")</f>
        <v/>
      </c>
      <c r="G787" s="105" t="str">
        <f t="shared" si="72"/>
        <v/>
      </c>
      <c r="H787" s="493" t="str">
        <f>IF(AND(C787&lt;&gt;"", 'Cost Inputs'!$J$200&lt;&gt;""), 'Cost Inputs'!$J$200, "")</f>
        <v/>
      </c>
      <c r="I787" s="105" t="str">
        <f>IF($C787&lt;&gt;"",IF(AND($E787&lt;&gt;"",H787&lt;&gt;""), H787/$E787, 0),"")</f>
        <v/>
      </c>
      <c r="J787" s="493" t="str">
        <f>IF(AND(C787&lt;&gt;"",('Cost Inputs'!$I$200+'Cost Inputs'!$J$200+'Cost Inputs'!$K$200)&gt;0), 'Cost Inputs'!$I$200+'Cost Inputs'!$J$200+'Cost Inputs'!$K$200, "")</f>
        <v/>
      </c>
      <c r="K787" s="105" t="str">
        <f>IF($C787&lt;&gt;"",IF(AND($E787&lt;&gt;"",J787&lt;&gt;""), J787/$E787, 0),"")</f>
        <v/>
      </c>
      <c r="M787" s="106"/>
      <c r="O787" s="493" t="str">
        <f>IF(ISNUMBER('Model_ of_individuals'!O807), 'Model_ of_individuals'!O807*'Model_ of_individuals'!$K807,"")</f>
        <v/>
      </c>
      <c r="P787" s="493" t="str">
        <f>IF(ISNUMBER('Model_ of_individuals'!P807), 'Model_ of_individuals'!P807*'Model_ of_individuals'!$K807,"")</f>
        <v/>
      </c>
      <c r="Q787" s="493" t="str">
        <f>IF(ISNUMBER('Model_ of_individuals'!Q807), 'Model_ of_individuals'!Q807*'Model_ of_individuals'!$K807,"")</f>
        <v/>
      </c>
      <c r="R787" s="493" t="str">
        <f>IF(ISNUMBER('Model_ of_individuals'!R807), 'Model_ of_individuals'!R807*'Model_ of_individuals'!$K807,"")</f>
        <v/>
      </c>
      <c r="S787" s="493" t="str">
        <f>IF(ISNUMBER('Model_ of_individuals'!S807), 'Model_ of_individuals'!S807*'Model_ of_individuals'!$K807,"")</f>
        <v/>
      </c>
      <c r="T787" s="493" t="str">
        <f>IF(ISNUMBER('Model_ of_individuals'!T807), 'Model_ of_individuals'!T807*'Model_ of_individuals'!$K807,"")</f>
        <v/>
      </c>
      <c r="U787" s="493" t="str">
        <f>IF(ISNUMBER('Model_ of_individuals'!U807), 'Model_ of_individuals'!U807*'Model_ of_individuals'!$K807,"")</f>
        <v/>
      </c>
      <c r="V787" s="493" t="str">
        <f>IF(ISNUMBER('Model_ of_individuals'!V807), 'Model_ of_individuals'!V807*'Model_ of_individuals'!$K807,"")</f>
        <v/>
      </c>
      <c r="W787" s="493" t="str">
        <f>IF(ISNUMBER('Model_ of_individuals'!W807), 'Model_ of_individuals'!W807*'Model_ of_individuals'!$K807,"")</f>
        <v/>
      </c>
      <c r="X787" s="493" t="str">
        <f>IF(ISNUMBER('Model_ of_individuals'!X807), 'Model_ of_individuals'!X807*'Model_ of_individuals'!$K807,"")</f>
        <v/>
      </c>
    </row>
    <row r="788" spans="1:25" x14ac:dyDescent="0.25">
      <c r="A788" s="518"/>
      <c r="B788" s="504"/>
      <c r="C788" s="376" t="str">
        <f>IF(AND(ISNUMBER(B770), OR('Cost Inputs'!$H$85&lt;&gt;"", 'Cost Inputs'!$I$85&lt;&gt;"", 'Cost Inputs'!$J$85&lt;&gt;"")), _3_5_1, "")</f>
        <v/>
      </c>
      <c r="D788" s="17" t="str">
        <f>IF(AND(C787&lt;&gt;"", 'Cost Inputs'!$G$201&lt;&gt;""), 'Cost Inputs'!$G$201, "")</f>
        <v/>
      </c>
      <c r="E788" s="17" t="str">
        <f>IF(AND(C787&lt;&gt;"", 'Cost Inputs'!$H$201&lt;&gt;""), 'Cost Inputs'!$H$201, "")</f>
        <v/>
      </c>
      <c r="F788" s="493"/>
      <c r="G788" s="105" t="str">
        <f t="shared" si="72"/>
        <v/>
      </c>
      <c r="H788" s="493"/>
      <c r="I788" s="105" t="str">
        <f>IF($C787&lt;&gt;"", IF(AND($E788&lt;&gt;"", H787&lt;&gt;""), H787/($E787*$E788), 0), "")</f>
        <v/>
      </c>
      <c r="J788" s="493" t="str">
        <f>IF(AND(C788&lt;&gt;"",('Cost Inputs'!$I$86+'Cost Inputs'!$J$86+'Cost Inputs'!$K$86)&gt;0), 'Cost Inputs'!$I$86+'Cost Inputs'!$J$86+'Cost Inputs'!$K$86, "")</f>
        <v/>
      </c>
      <c r="K788" s="105" t="str">
        <f>IF($C787&lt;&gt;"", IF(AND($E788&lt;&gt;"", J787&lt;&gt;""), J787/($E787*$E788), 0), "")</f>
        <v/>
      </c>
      <c r="M788" s="106"/>
      <c r="O788" s="493" t="str">
        <f>IF(ISNUMBER('Model_ of_individuals'!O808), 'Model_ of_individuals'!O808*'Model_ of_individuals'!$K808,"")</f>
        <v/>
      </c>
      <c r="P788" s="493" t="str">
        <f>IF(ISNUMBER('Model_ of_individuals'!P808), 'Model_ of_individuals'!P808*'Model_ of_individuals'!$K808,"")</f>
        <v/>
      </c>
      <c r="Q788" s="493" t="str">
        <f>IF(ISNUMBER('Model_ of_individuals'!Q808), 'Model_ of_individuals'!Q808*'Model_ of_individuals'!$K808,"")</f>
        <v/>
      </c>
      <c r="R788" s="493" t="str">
        <f>IF(ISNUMBER('Model_ of_individuals'!R808), 'Model_ of_individuals'!R808*'Model_ of_individuals'!$K808,"")</f>
        <v/>
      </c>
      <c r="S788" s="493" t="str">
        <f>IF(ISNUMBER('Model_ of_individuals'!S808), 'Model_ of_individuals'!S808*'Model_ of_individuals'!$K808,"")</f>
        <v/>
      </c>
      <c r="T788" s="493" t="str">
        <f>IF(ISNUMBER('Model_ of_individuals'!T808), 'Model_ of_individuals'!T808*'Model_ of_individuals'!$K808,"")</f>
        <v/>
      </c>
      <c r="U788" s="493" t="str">
        <f>IF(ISNUMBER('Model_ of_individuals'!U808), 'Model_ of_individuals'!U808*'Model_ of_individuals'!$K808,"")</f>
        <v/>
      </c>
      <c r="V788" s="493" t="str">
        <f>IF(ISNUMBER('Model_ of_individuals'!V808), 'Model_ of_individuals'!V808*'Model_ of_individuals'!$K808,"")</f>
        <v/>
      </c>
      <c r="W788" s="493" t="str">
        <f>IF(ISNUMBER('Model_ of_individuals'!W808), 'Model_ of_individuals'!W808*'Model_ of_individuals'!$K808,"")</f>
        <v/>
      </c>
      <c r="X788" s="493" t="str">
        <f>IF(ISNUMBER('Model_ of_individuals'!X808), 'Model_ of_individuals'!X808*'Model_ of_individuals'!$K808,"")</f>
        <v/>
      </c>
    </row>
    <row r="789" spans="1:25" x14ac:dyDescent="0.25">
      <c r="A789" s="518"/>
      <c r="B789" s="504"/>
      <c r="C789" s="107" t="str">
        <f>IF(AND(ISNUMBER(B756), C785&lt;&gt;"", OR('Cost Inputs'!$H$202&lt;&gt;"", 'Cost Inputs'!$I$202&lt;&gt;"", 'Cost Inputs'!$J$202&lt;&gt;"")), _6_5_2, "")</f>
        <v/>
      </c>
      <c r="D789" s="93" t="str">
        <f>IF(AND(C789&lt;&gt;"", 'Cost Inputs'!$G$202&lt;&gt;""), 'Cost Inputs'!$G$202, "")</f>
        <v/>
      </c>
      <c r="E789" s="93" t="str">
        <f>IF(AND(C789&lt;&gt;"", 'Cost Inputs'!$H$202&lt;&gt;""), 'Cost Inputs'!$H$202, "")</f>
        <v/>
      </c>
      <c r="F789" s="93" t="str">
        <f>IF(AND(C789&lt;&gt;"", 'Cost Inputs'!$I$202&lt;&gt;""), 'Cost Inputs'!$I$202, "")</f>
        <v/>
      </c>
      <c r="G789" s="108" t="str">
        <f t="shared" si="72"/>
        <v/>
      </c>
      <c r="H789" s="93" t="str">
        <f>IF(AND(C789&lt;&gt;"", 'Cost Inputs'!$J$202&lt;&gt;""), 'Cost Inputs'!$J$202, "")</f>
        <v/>
      </c>
      <c r="I789" s="93" t="str">
        <f>IF($C789&lt;&gt;"", IF(AND($E789&lt;&gt;"", H789&lt;&gt;""), H789/$E789, 0),"")</f>
        <v/>
      </c>
      <c r="J789" s="93" t="str">
        <f>IF(AND(C789&lt;&gt;"",('Cost Inputs'!$I$202+'Cost Inputs'!$J$202+'Cost Inputs'!$K$202)&gt;0), 'Cost Inputs'!$I$202+'Cost Inputs'!$J$202+'Cost Inputs'!$K$202, "")</f>
        <v/>
      </c>
      <c r="K789" s="93" t="str">
        <f>IF($C789&lt;&gt;"", IF(AND($E789&lt;&gt;"", J789&lt;&gt;""), J789/$E789, 0),"")</f>
        <v/>
      </c>
      <c r="L789" s="93"/>
      <c r="M789" s="109"/>
      <c r="O789" s="93" t="str">
        <f>IF(ISNUMBER('Model_ of_individuals'!O809), 'Model_ of_individuals'!O809*'Model_ of_individuals'!$K809,"")</f>
        <v/>
      </c>
      <c r="P789" s="93" t="str">
        <f>IF(ISNUMBER('Model_ of_individuals'!P809), 'Model_ of_individuals'!P809*'Model_ of_individuals'!$K809,"")</f>
        <v/>
      </c>
      <c r="Q789" s="93" t="str">
        <f>IF(ISNUMBER('Model_ of_individuals'!Q809), 'Model_ of_individuals'!Q809*'Model_ of_individuals'!$K809,"")</f>
        <v/>
      </c>
      <c r="R789" s="93" t="str">
        <f>IF(ISNUMBER('Model_ of_individuals'!R809), 'Model_ of_individuals'!R809*'Model_ of_individuals'!$K809,"")</f>
        <v/>
      </c>
      <c r="S789" s="93" t="str">
        <f>IF(ISNUMBER('Model_ of_individuals'!S809), 'Model_ of_individuals'!S809*'Model_ of_individuals'!$K809,"")</f>
        <v/>
      </c>
      <c r="T789" s="93" t="str">
        <f>IF(ISNUMBER('Model_ of_individuals'!T809), 'Model_ of_individuals'!T809*'Model_ of_individuals'!$K809,"")</f>
        <v/>
      </c>
      <c r="U789" s="93" t="str">
        <f>IF(ISNUMBER('Model_ of_individuals'!U809), 'Model_ of_individuals'!U809*'Model_ of_individuals'!$K809,"")</f>
        <v/>
      </c>
      <c r="V789" s="93" t="str">
        <f>IF(ISNUMBER('Model_ of_individuals'!V809), 'Model_ of_individuals'!V809*'Model_ of_individuals'!$K809,"")</f>
        <v/>
      </c>
      <c r="W789" s="93" t="str">
        <f>IF(ISNUMBER('Model_ of_individuals'!W809), 'Model_ of_individuals'!W809*'Model_ of_individuals'!$K809,"")</f>
        <v/>
      </c>
      <c r="X789" s="93" t="str">
        <f>IF(ISNUMBER('Model_ of_individuals'!X809), 'Model_ of_individuals'!X809*'Model_ of_individuals'!$K809,"")</f>
        <v/>
      </c>
    </row>
    <row r="790" spans="1:25" x14ac:dyDescent="0.25">
      <c r="A790" s="518"/>
      <c r="B790" s="504"/>
      <c r="C790" s="104" t="str">
        <f>IF(AND(ISNUMBER(B756), C785&lt;&gt;"", OR('Cost Inputs'!$H$203&lt;&gt;"", 'Cost Inputs'!$I$203&lt;&gt;"", 'Cost Inputs'!$J$203&lt;&gt;"")), _6_5_3, "")</f>
        <v/>
      </c>
      <c r="D790" s="17" t="str">
        <f>IF(AND(C790&lt;&gt;"", 'Cost Inputs'!$G$203&lt;&gt;""), 'Cost Inputs'!$G$203, "")</f>
        <v/>
      </c>
      <c r="E790" s="17" t="str">
        <f>IF(AND(C790&lt;&gt;"", 'Cost Inputs'!$H$203&lt;&gt;""), 'Cost Inputs'!$H$203, "")</f>
        <v/>
      </c>
      <c r="F790" s="17" t="str">
        <f>IF(AND(C790&lt;&gt;"", 'Cost Inputs'!$I$203&lt;&gt;""), 'Cost Inputs'!$I$203, "")</f>
        <v/>
      </c>
      <c r="G790" s="105" t="str">
        <f t="shared" si="72"/>
        <v/>
      </c>
      <c r="H790" s="17" t="str">
        <f>IF(AND(C790&lt;&gt;"", 'Cost Inputs'!$J$203&lt;&gt;""), 'Cost Inputs'!$J$203, "")</f>
        <v/>
      </c>
      <c r="I790" s="17" t="str">
        <f>IF($C790&lt;&gt;"", IF(AND($E790&lt;&gt;"", H790&lt;&gt;""), H790/$E790, 0),"")</f>
        <v/>
      </c>
      <c r="J790" s="17" t="str">
        <f>IF(AND(C790&lt;&gt;"",('Cost Inputs'!$I$203+'Cost Inputs'!$J$203+'Cost Inputs'!$K$203)&gt;0), 'Cost Inputs'!$I$203+'Cost Inputs'!$J$203+'Cost Inputs'!$K$203, "")</f>
        <v/>
      </c>
      <c r="K790" s="17" t="str">
        <f>IF($C790&lt;&gt;"", IF(AND($E790&lt;&gt;"", J790&lt;&gt;""), J790/$E790, 0),"")</f>
        <v/>
      </c>
      <c r="M790" s="106"/>
      <c r="O790" s="17" t="str">
        <f>IF(ISNUMBER('Model_ of_individuals'!O810), 'Model_ of_individuals'!O810*'Model_ of_individuals'!$K810,"")</f>
        <v/>
      </c>
      <c r="P790" s="17" t="str">
        <f>IF(ISNUMBER('Model_ of_individuals'!P810), 'Model_ of_individuals'!P810*'Model_ of_individuals'!$K810,"")</f>
        <v/>
      </c>
      <c r="Q790" s="17" t="str">
        <f>IF(ISNUMBER('Model_ of_individuals'!Q810), 'Model_ of_individuals'!Q810*'Model_ of_individuals'!$K810,"")</f>
        <v/>
      </c>
      <c r="R790" s="17" t="str">
        <f>IF(ISNUMBER('Model_ of_individuals'!R810), 'Model_ of_individuals'!R810*'Model_ of_individuals'!$K810,"")</f>
        <v/>
      </c>
      <c r="S790" s="17" t="str">
        <f>IF(ISNUMBER('Model_ of_individuals'!S810), 'Model_ of_individuals'!S810*'Model_ of_individuals'!$K810,"")</f>
        <v/>
      </c>
      <c r="T790" s="17" t="str">
        <f>IF(ISNUMBER('Model_ of_individuals'!T810), 'Model_ of_individuals'!T810*'Model_ of_individuals'!$K810,"")</f>
        <v/>
      </c>
      <c r="U790" s="17" t="str">
        <f>IF(ISNUMBER('Model_ of_individuals'!U810), 'Model_ of_individuals'!U810*'Model_ of_individuals'!$K810,"")</f>
        <v/>
      </c>
      <c r="V790" s="17" t="str">
        <f>IF(ISNUMBER('Model_ of_individuals'!V810), 'Model_ of_individuals'!V810*'Model_ of_individuals'!$K810,"")</f>
        <v/>
      </c>
      <c r="W790" s="17" t="str">
        <f>IF(ISNUMBER('Model_ of_individuals'!W810), 'Model_ of_individuals'!W810*'Model_ of_individuals'!$K810,"")</f>
        <v/>
      </c>
      <c r="X790" s="17" t="str">
        <f>IF(ISNUMBER('Model_ of_individuals'!X810), 'Model_ of_individuals'!X810*'Model_ of_individuals'!$K810,"")</f>
        <v/>
      </c>
    </row>
    <row r="791" spans="1:25" x14ac:dyDescent="0.25">
      <c r="A791" s="518"/>
      <c r="B791" s="504"/>
      <c r="C791" s="107" t="str">
        <f>IF(AND(ISNUMBER(B756), C785&lt;&gt;"", OR('Cost Inputs'!$H$204&lt;&gt;"", 'Cost Inputs'!$I$204&lt;&gt;"", 'Cost Inputs'!$J$204&lt;&gt;"")), _6_5_4, "")</f>
        <v/>
      </c>
      <c r="D791" s="93" t="str">
        <f>IF(AND(C791&lt;&gt;"", 'Cost Inputs'!$G$204&lt;&gt;""), 'Cost Inputs'!$G$204, "")</f>
        <v/>
      </c>
      <c r="E791" s="93" t="str">
        <f>IF(AND(C791&lt;&gt;"", 'Cost Inputs'!$H$204&lt;&gt;""), 'Cost Inputs'!$H$204, "")</f>
        <v/>
      </c>
      <c r="F791" s="93" t="str">
        <f>IF(AND(C791&lt;&gt;"", 'Cost Inputs'!$I$204&lt;&gt;""), 'Cost Inputs'!$I$204, "")</f>
        <v/>
      </c>
      <c r="G791" s="108" t="str">
        <f t="shared" si="72"/>
        <v/>
      </c>
      <c r="H791" s="93" t="str">
        <f>IF(AND(C791&lt;&gt;"", 'Cost Inputs'!$J$204&lt;&gt;""), 'Cost Inputs'!$J$204, "")</f>
        <v/>
      </c>
      <c r="I791" s="93" t="str">
        <f>IF($C791&lt;&gt;"", IF(AND($E791&lt;&gt;"", H791&lt;&gt;""), H791/$E791, 0),"")</f>
        <v/>
      </c>
      <c r="J791" s="93" t="str">
        <f>IF(AND(C791&lt;&gt;"",('Cost Inputs'!$I$204+'Cost Inputs'!$J$204+'Cost Inputs'!$K$204)&gt;0), 'Cost Inputs'!$I$204+'Cost Inputs'!$J$204+'Cost Inputs'!$K$204, "")</f>
        <v/>
      </c>
      <c r="K791" s="93" t="str">
        <f>IF($C791&lt;&gt;"", IF(AND($E791&lt;&gt;"", J791&lt;&gt;""), J791/$E791, 0),"")</f>
        <v/>
      </c>
      <c r="L791" s="93"/>
      <c r="M791" s="109"/>
      <c r="O791" s="93" t="str">
        <f>IF(ISNUMBER('Model_ of_individuals'!O811), 'Model_ of_individuals'!O811*'Model_ of_individuals'!$K811,"")</f>
        <v/>
      </c>
      <c r="P791" s="93" t="str">
        <f>IF(ISNUMBER('Model_ of_individuals'!P811), 'Model_ of_individuals'!P811*'Model_ of_individuals'!$K811,"")</f>
        <v/>
      </c>
      <c r="Q791" s="93" t="str">
        <f>IF(ISNUMBER('Model_ of_individuals'!Q811), 'Model_ of_individuals'!Q811*'Model_ of_individuals'!$K811,"")</f>
        <v/>
      </c>
      <c r="R791" s="93" t="str">
        <f>IF(ISNUMBER('Model_ of_individuals'!R811), 'Model_ of_individuals'!R811*'Model_ of_individuals'!$K811,"")</f>
        <v/>
      </c>
      <c r="S791" s="93" t="str">
        <f>IF(ISNUMBER('Model_ of_individuals'!S811), 'Model_ of_individuals'!S811*'Model_ of_individuals'!$K811,"")</f>
        <v/>
      </c>
      <c r="T791" s="93" t="str">
        <f>IF(ISNUMBER('Model_ of_individuals'!T811), 'Model_ of_individuals'!T811*'Model_ of_individuals'!$K811,"")</f>
        <v/>
      </c>
      <c r="U791" s="93" t="str">
        <f>IF(ISNUMBER('Model_ of_individuals'!U811), 'Model_ of_individuals'!U811*'Model_ of_individuals'!$K811,"")</f>
        <v/>
      </c>
      <c r="V791" s="93" t="str">
        <f>IF(ISNUMBER('Model_ of_individuals'!V811), 'Model_ of_individuals'!V811*'Model_ of_individuals'!$K811,"")</f>
        <v/>
      </c>
      <c r="W791" s="93" t="str">
        <f>IF(ISNUMBER('Model_ of_individuals'!W811), 'Model_ of_individuals'!W811*'Model_ of_individuals'!$K811,"")</f>
        <v/>
      </c>
      <c r="X791" s="93" t="str">
        <f>IF(ISNUMBER('Model_ of_individuals'!X811), 'Model_ of_individuals'!X811*'Model_ of_individuals'!$K811,"")</f>
        <v/>
      </c>
    </row>
    <row r="792" spans="1:25" x14ac:dyDescent="0.25">
      <c r="A792" s="518"/>
      <c r="B792" s="504"/>
      <c r="C792" s="104" t="str">
        <f>IF(AND(ISNUMBER(B756), C785&lt;&gt;"", OR('Cost Inputs'!$H$205&lt;&gt;"", 'Cost Inputs'!$I$205&lt;&gt;"", 'Cost Inputs'!$J$205&lt;&gt;"")), _6_5_5, "")</f>
        <v/>
      </c>
      <c r="D792" s="17" t="str">
        <f>IF(AND(C792&lt;&gt;"", 'Cost Inputs'!$G$205&lt;&gt;""), 'Cost Inputs'!$G$205, "")</f>
        <v/>
      </c>
      <c r="E792" s="17" t="str">
        <f>IF(AND(C792&lt;&gt;"", 'Cost Inputs'!$H$205&lt;&gt;""), 'Cost Inputs'!$H$205, "")</f>
        <v/>
      </c>
      <c r="F792" s="17" t="str">
        <f>IF(AND(C792&lt;&gt;"", 'Cost Inputs'!$I$205&lt;&gt;""), 'Cost Inputs'!$I$205, "")</f>
        <v/>
      </c>
      <c r="G792" s="105" t="str">
        <f t="shared" si="72"/>
        <v/>
      </c>
      <c r="H792" s="17" t="str">
        <f>IF(AND(C792&lt;&gt;"", 'Cost Inputs'!$J$205&lt;&gt;""), 'Cost Inputs'!$J$205, "")</f>
        <v/>
      </c>
      <c r="I792" s="17" t="str">
        <f>IF($C792&lt;&gt;"", IF(AND($E792&lt;&gt;"", H792&lt;&gt;""), H792/$E792, 0),"")</f>
        <v/>
      </c>
      <c r="J792" s="17" t="str">
        <f>IF(AND(C792&lt;&gt;"",('Cost Inputs'!$I$205+'Cost Inputs'!$J$205+'Cost Inputs'!$K$205)&gt;0), 'Cost Inputs'!$I$205+'Cost Inputs'!$J$205+'Cost Inputs'!$K$205, "")</f>
        <v/>
      </c>
      <c r="K792" s="17" t="str">
        <f>IF($C792&lt;&gt;"", IF(AND($E792&lt;&gt;"", J792&lt;&gt;""), J792/$E792, 0),"")</f>
        <v/>
      </c>
      <c r="M792" s="106"/>
      <c r="O792" s="17" t="str">
        <f>IF(ISNUMBER('Model_ of_individuals'!O812), 'Model_ of_individuals'!O812*'Model_ of_individuals'!$K812,"")</f>
        <v/>
      </c>
      <c r="P792" s="17" t="str">
        <f>IF(ISNUMBER('Model_ of_individuals'!P812), 'Model_ of_individuals'!P812*'Model_ of_individuals'!$K812,"")</f>
        <v/>
      </c>
      <c r="Q792" s="17" t="str">
        <f>IF(ISNUMBER('Model_ of_individuals'!Q812), 'Model_ of_individuals'!Q812*'Model_ of_individuals'!$K812,"")</f>
        <v/>
      </c>
      <c r="R792" s="17" t="str">
        <f>IF(ISNUMBER('Model_ of_individuals'!R812), 'Model_ of_individuals'!R812*'Model_ of_individuals'!$K812,"")</f>
        <v/>
      </c>
      <c r="S792" s="17" t="str">
        <f>IF(ISNUMBER('Model_ of_individuals'!S812), 'Model_ of_individuals'!S812*'Model_ of_individuals'!$K812,"")</f>
        <v/>
      </c>
      <c r="T792" s="17" t="str">
        <f>IF(ISNUMBER('Model_ of_individuals'!T812), 'Model_ of_individuals'!T812*'Model_ of_individuals'!$K812,"")</f>
        <v/>
      </c>
      <c r="U792" s="17" t="str">
        <f>IF(ISNUMBER('Model_ of_individuals'!U812), 'Model_ of_individuals'!U812*'Model_ of_individuals'!$K812,"")</f>
        <v/>
      </c>
      <c r="V792" s="17" t="str">
        <f>IF(ISNUMBER('Model_ of_individuals'!V812), 'Model_ of_individuals'!V812*'Model_ of_individuals'!$K812,"")</f>
        <v/>
      </c>
      <c r="W792" s="17" t="str">
        <f>IF(ISNUMBER('Model_ of_individuals'!W812), 'Model_ of_individuals'!W812*'Model_ of_individuals'!$K812,"")</f>
        <v/>
      </c>
      <c r="X792" s="17" t="str">
        <f>IF(ISNUMBER('Model_ of_individuals'!X812), 'Model_ of_individuals'!X812*'Model_ of_individuals'!$K812,"")</f>
        <v/>
      </c>
    </row>
    <row r="793" spans="1:25" x14ac:dyDescent="0.25">
      <c r="A793" s="518"/>
      <c r="B793" s="504"/>
      <c r="C793" s="110" t="str">
        <f>IF(ISNUMBER(B756), _6_6_0, "")</f>
        <v/>
      </c>
      <c r="D793" s="94" t="str">
        <f>IF(AND(C793&lt;&gt;"", 'Cost Inputs'!$G$206&lt;&gt;""), 'Cost Inputs'!$G$206, "")</f>
        <v/>
      </c>
      <c r="E793" s="94" t="str">
        <f>IF(AND(C793&lt;&gt;"", 'Cost Inputs'!$H$206&lt;&gt;""), 'Cost Inputs'!$H$206, "")</f>
        <v/>
      </c>
      <c r="F793" s="94" t="str">
        <f>IF(AND(C793&lt;&gt;"", 'Cost Inputs'!$I$206&lt;&gt;""), 'Cost Inputs'!$I$206, "")</f>
        <v/>
      </c>
      <c r="G793" s="102" t="str">
        <f t="shared" si="72"/>
        <v/>
      </c>
      <c r="H793" s="94" t="str">
        <f>IF(AND(C793&lt;&gt;"", 'Cost Inputs'!$J$206&lt;&gt;""), 'Cost Inputs'!$J$206, "")</f>
        <v/>
      </c>
      <c r="I793" s="102" t="str">
        <f>IF($C793&lt;&gt;"",IF(AND($E793&lt;&gt;"",H793&lt;&gt;""), H793/$E793, 0),"")</f>
        <v/>
      </c>
      <c r="J793" s="94" t="str">
        <f>IF(AND(C793&lt;&gt;"",('Cost Inputs'!$I$206+'Cost Inputs'!$J$206+'Cost Inputs'!$K$206)&gt;0), 'Cost Inputs'!$I$206+'Cost Inputs'!$J$206+'Cost Inputs'!$K$206, "")</f>
        <v/>
      </c>
      <c r="K793" s="102" t="str">
        <f>IF($C793&lt;&gt;"",IF(AND($E793&lt;&gt;"",J793&lt;&gt;""), J793/$E793, 0),"")</f>
        <v/>
      </c>
      <c r="L793" s="94"/>
      <c r="M793" s="103"/>
      <c r="O793" s="94" t="str">
        <f>IF(ISNUMBER('Model_ of_individuals'!O813), 'Model_ of_individuals'!O813*'Model_ of_individuals'!$K813,"")</f>
        <v/>
      </c>
      <c r="P793" s="94" t="str">
        <f>IF(ISNUMBER('Model_ of_individuals'!P813), 'Model_ of_individuals'!P813*'Model_ of_individuals'!$K813,"")</f>
        <v/>
      </c>
      <c r="Q793" s="94" t="str">
        <f>IF(ISNUMBER('Model_ of_individuals'!Q813), 'Model_ of_individuals'!Q813*'Model_ of_individuals'!$K813,"")</f>
        <v/>
      </c>
      <c r="R793" s="94" t="str">
        <f>IF(ISNUMBER('Model_ of_individuals'!R813), 'Model_ of_individuals'!R813*'Model_ of_individuals'!$K813,"")</f>
        <v/>
      </c>
      <c r="S793" s="94" t="str">
        <f>IF(ISNUMBER('Model_ of_individuals'!S813), 'Model_ of_individuals'!S813*'Model_ of_individuals'!$K813,"")</f>
        <v/>
      </c>
      <c r="T793" s="94" t="str">
        <f>IF(ISNUMBER('Model_ of_individuals'!T813), 'Model_ of_individuals'!T813*'Model_ of_individuals'!$K813,"")</f>
        <v/>
      </c>
      <c r="U793" s="94" t="str">
        <f>IF(ISNUMBER('Model_ of_individuals'!U813), 'Model_ of_individuals'!U813*'Model_ of_individuals'!$K813,"")</f>
        <v/>
      </c>
      <c r="V793" s="94" t="str">
        <f>IF(ISNUMBER('Model_ of_individuals'!V813), 'Model_ of_individuals'!V813*'Model_ of_individuals'!$K813,"")</f>
        <v/>
      </c>
      <c r="W793" s="94" t="str">
        <f>IF(ISNUMBER('Model_ of_individuals'!W813), 'Model_ of_individuals'!W813*'Model_ of_individuals'!$K813,"")</f>
        <v/>
      </c>
      <c r="X793" s="94" t="str">
        <f>IF(ISNUMBER('Model_ of_individuals'!X813), 'Model_ of_individuals'!X813*'Model_ of_individuals'!$K813,"")</f>
        <v/>
      </c>
    </row>
    <row r="794" spans="1:25" x14ac:dyDescent="0.25">
      <c r="A794" s="518"/>
      <c r="B794" s="504"/>
      <c r="C794" s="104" t="str">
        <f>IF(AND(ISNUMBER(B756), OR('Cost Inputs'!$H$207&lt;&gt;"", 'Cost Inputs'!$I$207&lt;&gt;"", 'Cost Inputs'!$J$207&lt;&gt;"")), _6_6_1, "")</f>
        <v/>
      </c>
      <c r="D794" s="17" t="str">
        <f>IF(AND(C794&lt;&gt;"", 'Cost Inputs'!$G$207&lt;&gt;""), 'Cost Inputs'!$G$207, "")</f>
        <v/>
      </c>
      <c r="E794" s="17" t="str">
        <f>IF(AND(C794&lt;&gt;"", 'Cost Inputs'!$H$207&lt;&gt;""), 'Cost Inputs'!$H$207, "")</f>
        <v/>
      </c>
      <c r="F794" s="17" t="str">
        <f>IF(AND(C794&lt;&gt;"", 'Cost Inputs'!$I$207&lt;&gt;""), 'Cost Inputs'!$I$207, "")</f>
        <v/>
      </c>
      <c r="G794" s="105" t="str">
        <f t="shared" si="72"/>
        <v/>
      </c>
      <c r="H794" s="17" t="str">
        <f>IF(AND(C794&lt;&gt;"", 'Cost Inputs'!$J$207&lt;&gt;""), 'Cost Inputs'!$J$207, "")</f>
        <v/>
      </c>
      <c r="I794" s="17" t="str">
        <f>IF($C794&lt;&gt;"", IF(AND($E794&lt;&gt;"", H794&lt;&gt;""), H794/$E794, 0),"")</f>
        <v/>
      </c>
      <c r="J794" s="17" t="str">
        <f>IF(AND(C794&lt;&gt;"",('Cost Inputs'!$I$207+'Cost Inputs'!$J$207+'Cost Inputs'!$K$207)&gt;0), 'Cost Inputs'!$I$207+'Cost Inputs'!$J$207+'Cost Inputs'!$K$207, "")</f>
        <v/>
      </c>
      <c r="K794" s="17" t="str">
        <f>IF($C794&lt;&gt;"", IF(AND($E794&lt;&gt;"", J794&lt;&gt;""), J794/$E794, 0),"")</f>
        <v/>
      </c>
      <c r="M794" s="106"/>
      <c r="O794" s="17" t="str">
        <f>IF(ISNUMBER('Model_ of_individuals'!O814), 'Model_ of_individuals'!O814*'Model_ of_individuals'!$K814,"")</f>
        <v/>
      </c>
      <c r="P794" s="17" t="str">
        <f>IF(ISNUMBER('Model_ of_individuals'!P814), 'Model_ of_individuals'!P814*'Model_ of_individuals'!$K814,"")</f>
        <v/>
      </c>
      <c r="Q794" s="17" t="str">
        <f>IF(ISNUMBER('Model_ of_individuals'!Q814), 'Model_ of_individuals'!Q814*'Model_ of_individuals'!$K814,"")</f>
        <v/>
      </c>
      <c r="R794" s="17" t="str">
        <f>IF(ISNUMBER('Model_ of_individuals'!R814), 'Model_ of_individuals'!R814*'Model_ of_individuals'!$K814,"")</f>
        <v/>
      </c>
      <c r="S794" s="17" t="str">
        <f>IF(ISNUMBER('Model_ of_individuals'!S814), 'Model_ of_individuals'!S814*'Model_ of_individuals'!$K814,"")</f>
        <v/>
      </c>
      <c r="T794" s="17" t="str">
        <f>IF(ISNUMBER('Model_ of_individuals'!T814), 'Model_ of_individuals'!T814*'Model_ of_individuals'!$K814,"")</f>
        <v/>
      </c>
      <c r="U794" s="17" t="str">
        <f>IF(ISNUMBER('Model_ of_individuals'!U814), 'Model_ of_individuals'!U814*'Model_ of_individuals'!$K814,"")</f>
        <v/>
      </c>
      <c r="V794" s="17" t="str">
        <f>IF(ISNUMBER('Model_ of_individuals'!V814), 'Model_ of_individuals'!V814*'Model_ of_individuals'!$K814,"")</f>
        <v/>
      </c>
      <c r="W794" s="17" t="str">
        <f>IF(ISNUMBER('Model_ of_individuals'!W814), 'Model_ of_individuals'!W814*'Model_ of_individuals'!$K814,"")</f>
        <v/>
      </c>
      <c r="X794" s="17" t="str">
        <f>IF(ISNUMBER('Model_ of_individuals'!X814), 'Model_ of_individuals'!X814*'Model_ of_individuals'!$K814,"")</f>
        <v/>
      </c>
    </row>
    <row r="795" spans="1:25" ht="15.75" thickBot="1" x14ac:dyDescent="0.3">
      <c r="A795" s="518"/>
      <c r="B795" s="505"/>
      <c r="C795" s="111" t="str">
        <f>IF(AND(ISNUMBER(B756), OR('Cost Inputs'!$H$208&lt;&gt;"", 'Cost Inputs'!$I$208&lt;&gt;"", 'Cost Inputs'!$J$208&lt;&gt;"")), _6_6_2, "")</f>
        <v/>
      </c>
      <c r="D795" s="95" t="str">
        <f>IF(AND(C795&lt;&gt;"", 'Cost Inputs'!$G$208&lt;&gt;""), 'Cost Inputs'!$G$208, "")</f>
        <v/>
      </c>
      <c r="E795" s="95" t="str">
        <f>IF(AND(C795&lt;&gt;"", 'Cost Inputs'!$H$208&lt;&gt;""), 'Cost Inputs'!$H$208, "")</f>
        <v/>
      </c>
      <c r="F795" s="95" t="str">
        <f>IF(AND(C795&lt;&gt;"", 'Cost Inputs'!$I$208&lt;&gt;""), 'Cost Inputs'!$I$208, "")</f>
        <v/>
      </c>
      <c r="G795" s="112" t="str">
        <f t="shared" si="72"/>
        <v/>
      </c>
      <c r="H795" s="95" t="str">
        <f>IF(AND(C795&lt;&gt;"", 'Cost Inputs'!$J$208&lt;&gt;""), 'Cost Inputs'!$J$208, "")</f>
        <v/>
      </c>
      <c r="I795" s="95" t="str">
        <f>IF($C795&lt;&gt;"", IF(AND($E795&lt;&gt;"", H795&lt;&gt;""), H795/$E795, 0),"")</f>
        <v/>
      </c>
      <c r="J795" s="95" t="str">
        <f>IF(AND(C795&lt;&gt;"",('Cost Inputs'!$I$208+'Cost Inputs'!$J$208+'Cost Inputs'!$K$208)&gt;0), 'Cost Inputs'!$I$208+'Cost Inputs'!$J$208+'Cost Inputs'!$K$208, "")</f>
        <v/>
      </c>
      <c r="K795" s="95" t="str">
        <f>IF($C795&lt;&gt;"", IF(AND($E795&lt;&gt;"", J795&lt;&gt;""), J795/$E795, 0),"")</f>
        <v/>
      </c>
      <c r="L795" s="95"/>
      <c r="M795" s="113"/>
      <c r="O795" s="95" t="str">
        <f>IF(ISNUMBER('Model_ of_individuals'!O815), 'Model_ of_individuals'!O815*'Model_ of_individuals'!$K815,"")</f>
        <v/>
      </c>
      <c r="P795" s="95" t="str">
        <f>IF(ISNUMBER('Model_ of_individuals'!P815), 'Model_ of_individuals'!P815*'Model_ of_individuals'!$K815,"")</f>
        <v/>
      </c>
      <c r="Q795" s="95" t="str">
        <f>IF(ISNUMBER('Model_ of_individuals'!Q815), 'Model_ of_individuals'!Q815*'Model_ of_individuals'!$K815,"")</f>
        <v/>
      </c>
      <c r="R795" s="95" t="str">
        <f>IF(ISNUMBER('Model_ of_individuals'!R815), 'Model_ of_individuals'!R815*'Model_ of_individuals'!$K815,"")</f>
        <v/>
      </c>
      <c r="S795" s="95" t="str">
        <f>IF(ISNUMBER('Model_ of_individuals'!S815), 'Model_ of_individuals'!S815*'Model_ of_individuals'!$K815,"")</f>
        <v/>
      </c>
      <c r="T795" s="95" t="str">
        <f>IF(ISNUMBER('Model_ of_individuals'!T815), 'Model_ of_individuals'!T815*'Model_ of_individuals'!$K815,"")</f>
        <v/>
      </c>
      <c r="U795" s="95" t="str">
        <f>IF(ISNUMBER('Model_ of_individuals'!U815), 'Model_ of_individuals'!U815*'Model_ of_individuals'!$K815,"")</f>
        <v/>
      </c>
      <c r="V795" s="95" t="str">
        <f>IF(ISNUMBER('Model_ of_individuals'!V815), 'Model_ of_individuals'!V815*'Model_ of_individuals'!$K815,"")</f>
        <v/>
      </c>
      <c r="W795" s="95" t="str">
        <f>IF(ISNUMBER('Model_ of_individuals'!W815), 'Model_ of_individuals'!W815*'Model_ of_individuals'!$K815,"")</f>
        <v/>
      </c>
      <c r="X795" s="95" t="str">
        <f>IF(ISNUMBER('Model_ of_individuals'!X815), 'Model_ of_individuals'!X815*'Model_ of_individuals'!$K815,"")</f>
        <v/>
      </c>
    </row>
    <row r="796" spans="1:25" x14ac:dyDescent="0.25">
      <c r="A796" s="518" t="str">
        <f>Sixth_Stage</f>
        <v>Stage 4 Grower Trials</v>
      </c>
      <c r="B796" s="503" t="str">
        <f>'Breeding Inputs'!B114</f>
        <v/>
      </c>
      <c r="C796" s="521" t="str">
        <f>IF(ISNUMBER(B778), _6_3_0, "")</f>
        <v/>
      </c>
      <c r="D796" s="94" t="str">
        <f>IF(AND(C796&lt;&gt;"", 'Cost Inputs'!$G$187&lt;&gt;""), 'Cost Inputs'!$G$187, "")</f>
        <v/>
      </c>
      <c r="E796" s="94" t="str">
        <f>IF(AND(C796&lt;&gt;"", 'Cost Inputs'!$H$187&lt;&gt;""), 'Cost Inputs'!$H$187, "")</f>
        <v/>
      </c>
      <c r="F796" s="492" t="str">
        <f>IF(AND(C796&lt;&gt;"", 'Cost Inputs'!$I$187&lt;&gt;""), 'Cost Inputs'!$I$187, "")</f>
        <v/>
      </c>
      <c r="G796" s="102" t="str">
        <f t="shared" si="72"/>
        <v/>
      </c>
      <c r="H796" s="492" t="str">
        <f>IF(AND(C796&lt;&gt;"", 'Cost Inputs'!$J$187&lt;&gt;""), 'Cost Inputs'!$J$187, "")</f>
        <v/>
      </c>
      <c r="I796" s="102" t="str">
        <f>IF($C796&lt;&gt;"",IF(AND($E796&lt;&gt;"",H796&lt;&gt;""), H796/$E796, 0),"")</f>
        <v/>
      </c>
      <c r="J796" s="492" t="str">
        <f>IF(AND(C796&lt;&gt;"",('Cost Inputs'!$I$187+'Cost Inputs'!$J$187+'Cost Inputs'!$K$187)&gt;0), 'Cost Inputs'!$I$187+'Cost Inputs'!$J$187+'Cost Inputs'!$K$187, "")</f>
        <v/>
      </c>
      <c r="K796" s="102" t="str">
        <f>IF($C796&lt;&gt;"",IF(AND($E796&lt;&gt;"",J796&lt;&gt;""), J796/$E796, 0),"")</f>
        <v/>
      </c>
      <c r="L796" s="94"/>
      <c r="M796" s="103"/>
      <c r="P796" s="492" t="str">
        <f>IF(ISNUMBER('Model_ of_individuals'!P816), 'Model_ of_individuals'!P816*'Model_ of_individuals'!$K816,"")</f>
        <v/>
      </c>
      <c r="Q796" s="492" t="str">
        <f>IF(ISNUMBER('Model_ of_individuals'!Q816), 'Model_ of_individuals'!Q816*'Model_ of_individuals'!$K816,"")</f>
        <v/>
      </c>
      <c r="R796" s="492" t="str">
        <f>IF(ISNUMBER('Model_ of_individuals'!R816), 'Model_ of_individuals'!R816*'Model_ of_individuals'!$K816,"")</f>
        <v/>
      </c>
      <c r="S796" s="492" t="str">
        <f>IF(ISNUMBER('Model_ of_individuals'!S816), 'Model_ of_individuals'!S816*'Model_ of_individuals'!$K816,"")</f>
        <v/>
      </c>
      <c r="T796" s="492" t="str">
        <f>IF(ISNUMBER('Model_ of_individuals'!T816), 'Model_ of_individuals'!T816*'Model_ of_individuals'!$K816,"")</f>
        <v/>
      </c>
      <c r="U796" s="492" t="str">
        <f>IF(ISNUMBER('Model_ of_individuals'!U816), 'Model_ of_individuals'!U816*'Model_ of_individuals'!$K816,"")</f>
        <v/>
      </c>
      <c r="V796" s="492" t="str">
        <f>IF(ISNUMBER('Model_ of_individuals'!V816), 'Model_ of_individuals'!V816*'Model_ of_individuals'!$K816,"")</f>
        <v/>
      </c>
      <c r="W796" s="492" t="str">
        <f>IF(ISNUMBER('Model_ of_individuals'!W816), 'Model_ of_individuals'!W816*'Model_ of_individuals'!$K816,"")</f>
        <v/>
      </c>
      <c r="X796" s="492" t="str">
        <f>IF(ISNUMBER('Model_ of_individuals'!X816), 'Model_ of_individuals'!X816*'Model_ of_individuals'!$K816,"")</f>
        <v/>
      </c>
      <c r="Y796" s="492" t="str">
        <f>IF(ISNUMBER('Model_ of_individuals'!Y816), 'Model_ of_individuals'!Y816*'Model_ of_individuals'!$K816,"")</f>
        <v/>
      </c>
    </row>
    <row r="797" spans="1:25" x14ac:dyDescent="0.25">
      <c r="A797" s="518"/>
      <c r="B797" s="504"/>
      <c r="C797" s="521"/>
      <c r="D797" s="94" t="str">
        <f>IF(AND(C796&lt;&gt;"", 'Cost Inputs'!$G$188&lt;&gt;""), 'Cost Inputs'!$G$188, "")</f>
        <v/>
      </c>
      <c r="E797" s="94" t="str">
        <f>IF(AND(C796&lt;&gt;"", 'Cost Inputs'!$H$188&lt;&gt;""), 'Cost Inputs'!$H$188, "")</f>
        <v/>
      </c>
      <c r="F797" s="492"/>
      <c r="G797" s="102" t="str">
        <f t="shared" si="72"/>
        <v/>
      </c>
      <c r="H797" s="492"/>
      <c r="I797" s="102" t="str">
        <f>IF($C796&lt;&gt;"", IF(AND($E797&lt;&gt;"", H796&lt;&gt;""), H796/($E796*$E797), 0), "")</f>
        <v/>
      </c>
      <c r="J797" s="492" t="str">
        <f>IF(AND(C797&lt;&gt;"",('Cost Inputs'!$I$86+'Cost Inputs'!$J$86+'Cost Inputs'!$K$86)&gt;0), 'Cost Inputs'!$I$86+'Cost Inputs'!$J$86+'Cost Inputs'!$K$86, "")</f>
        <v/>
      </c>
      <c r="K797" s="102" t="str">
        <f>IF($C796&lt;&gt;"", IF(AND($E797&lt;&gt;"", J796&lt;&gt;""), J796/($E796*$E797), 0), "")</f>
        <v/>
      </c>
      <c r="L797" s="94"/>
      <c r="M797" s="103"/>
      <c r="P797" s="492" t="str">
        <f>IF(ISNUMBER('Model_ of_individuals'!P817), 'Model_ of_individuals'!P817*'Model_ of_individuals'!$K817,"")</f>
        <v/>
      </c>
      <c r="Q797" s="492" t="str">
        <f>IF(ISNUMBER('Model_ of_individuals'!Q817), 'Model_ of_individuals'!Q817*'Model_ of_individuals'!$K817,"")</f>
        <v/>
      </c>
      <c r="R797" s="492" t="str">
        <f>IF(ISNUMBER('Model_ of_individuals'!R817), 'Model_ of_individuals'!R817*'Model_ of_individuals'!$K817,"")</f>
        <v/>
      </c>
      <c r="S797" s="492" t="str">
        <f>IF(ISNUMBER('Model_ of_individuals'!S817), 'Model_ of_individuals'!S817*'Model_ of_individuals'!$K817,"")</f>
        <v/>
      </c>
      <c r="T797" s="492" t="str">
        <f>IF(ISNUMBER('Model_ of_individuals'!T817), 'Model_ of_individuals'!T817*'Model_ of_individuals'!$K817,"")</f>
        <v/>
      </c>
      <c r="U797" s="492" t="str">
        <f>IF(ISNUMBER('Model_ of_individuals'!U817), 'Model_ of_individuals'!U817*'Model_ of_individuals'!$K817,"")</f>
        <v/>
      </c>
      <c r="V797" s="492" t="str">
        <f>IF(ISNUMBER('Model_ of_individuals'!V817), 'Model_ of_individuals'!V817*'Model_ of_individuals'!$K817,"")</f>
        <v/>
      </c>
      <c r="W797" s="492" t="str">
        <f>IF(ISNUMBER('Model_ of_individuals'!W817), 'Model_ of_individuals'!W817*'Model_ of_individuals'!$K817,"")</f>
        <v/>
      </c>
      <c r="X797" s="492" t="str">
        <f>IF(ISNUMBER('Model_ of_individuals'!X817), 'Model_ of_individuals'!X817*'Model_ of_individuals'!$K817,"")</f>
        <v/>
      </c>
      <c r="Y797" s="492" t="str">
        <f>IF(ISNUMBER('Model_ of_individuals'!Y817), 'Model_ of_individuals'!Y817*'Model_ of_individuals'!$K817,"")</f>
        <v/>
      </c>
    </row>
    <row r="798" spans="1:25" x14ac:dyDescent="0.25">
      <c r="A798" s="518"/>
      <c r="B798" s="504"/>
      <c r="C798" s="104" t="str">
        <f>IF(AND(ISNUMBER(B778), OR('Cost Inputs'!$H$189&lt;&gt;"", 'Cost Inputs'!$I$189&lt;&gt;"", 'Cost Inputs'!$J$189&lt;&gt;"")), _6_3_1, "")</f>
        <v/>
      </c>
      <c r="D798" s="17" t="str">
        <f>IF(AND(C798&lt;&gt;"", 'Cost Inputs'!$G$189&lt;&gt;""), 'Cost Inputs'!$G$189, "")</f>
        <v/>
      </c>
      <c r="E798" s="17" t="str">
        <f>IF(AND(C798&lt;&gt;"", 'Cost Inputs'!$H$189&lt;&gt;""), 'Cost Inputs'!$H$189, "")</f>
        <v/>
      </c>
      <c r="F798" s="17" t="str">
        <f>IF(AND(C798&lt;&gt;"", 'Cost Inputs'!$I$189&lt;&gt;""), 'Cost Inputs'!$I$189, "")</f>
        <v/>
      </c>
      <c r="G798" s="105" t="str">
        <f t="shared" si="72"/>
        <v/>
      </c>
      <c r="H798" s="17" t="str">
        <f>IF(AND(C798&lt;&gt;"", 'Cost Inputs'!$J$189&lt;&gt;""), 'Cost Inputs'!$J$189, "")</f>
        <v/>
      </c>
      <c r="I798" s="17" t="str">
        <f t="shared" ref="I798:I806" si="73">IF($C798&lt;&gt;"", IF(AND($E798&lt;&gt;"", H798&lt;&gt;""), H798/$E798, 0),"")</f>
        <v/>
      </c>
      <c r="J798" s="17" t="str">
        <f>IF(AND(C798&lt;&gt;"",('Cost Inputs'!$I$189+'Cost Inputs'!$J$189+'Cost Inputs'!$K$189)&gt;0), 'Cost Inputs'!$I$189+'Cost Inputs'!$J$189+'Cost Inputs'!$K$189, "")</f>
        <v/>
      </c>
      <c r="K798" s="17" t="str">
        <f t="shared" ref="K798:K806" si="74">IF($C798&lt;&gt;"", IF(AND($E798&lt;&gt;"", J798&lt;&gt;""), J798/$E798, 0),"")</f>
        <v/>
      </c>
      <c r="M798" s="106"/>
      <c r="P798" s="17" t="str">
        <f>IF(ISNUMBER('Model_ of_individuals'!P818), 'Model_ of_individuals'!P818*'Model_ of_individuals'!$K818,"")</f>
        <v/>
      </c>
      <c r="Q798" s="17" t="str">
        <f>IF(ISNUMBER('Model_ of_individuals'!Q818), 'Model_ of_individuals'!Q818*'Model_ of_individuals'!$K818,"")</f>
        <v/>
      </c>
      <c r="R798" s="17" t="str">
        <f>IF(ISNUMBER('Model_ of_individuals'!R818), 'Model_ of_individuals'!R818*'Model_ of_individuals'!$K818,"")</f>
        <v/>
      </c>
      <c r="S798" s="17" t="str">
        <f>IF(ISNUMBER('Model_ of_individuals'!S818), 'Model_ of_individuals'!S818*'Model_ of_individuals'!$K818,"")</f>
        <v/>
      </c>
      <c r="T798" s="17" t="str">
        <f>IF(ISNUMBER('Model_ of_individuals'!T818), 'Model_ of_individuals'!T818*'Model_ of_individuals'!$K818,"")</f>
        <v/>
      </c>
      <c r="U798" s="17" t="str">
        <f>IF(ISNUMBER('Model_ of_individuals'!U818), 'Model_ of_individuals'!U818*'Model_ of_individuals'!$K818,"")</f>
        <v/>
      </c>
      <c r="V798" s="17" t="str">
        <f>IF(ISNUMBER('Model_ of_individuals'!V818), 'Model_ of_individuals'!V818*'Model_ of_individuals'!$K818,"")</f>
        <v/>
      </c>
      <c r="W798" s="17" t="str">
        <f>IF(ISNUMBER('Model_ of_individuals'!W818), 'Model_ of_individuals'!W818*'Model_ of_individuals'!$K818,"")</f>
        <v/>
      </c>
      <c r="X798" s="17" t="str">
        <f>IF(ISNUMBER('Model_ of_individuals'!X818), 'Model_ of_individuals'!X818*'Model_ of_individuals'!$K818,"")</f>
        <v/>
      </c>
      <c r="Y798" s="17" t="str">
        <f>IF(ISNUMBER('Model_ of_individuals'!Y818), 'Model_ of_individuals'!Y818*'Model_ of_individuals'!$K818,"")</f>
        <v/>
      </c>
    </row>
    <row r="799" spans="1:25" x14ac:dyDescent="0.25">
      <c r="A799" s="518"/>
      <c r="B799" s="504"/>
      <c r="C799" s="107" t="str">
        <f>IF(AND(ISNUMBER(B778), OR('Cost Inputs'!$H$190&lt;&gt;"", 'Cost Inputs'!$I$190&lt;&gt;"", 'Cost Inputs'!$J$190&lt;&gt;"")), _6_3_2, "")</f>
        <v/>
      </c>
      <c r="D799" s="93" t="str">
        <f>IF(AND(C799&lt;&gt;"", 'Cost Inputs'!$G$190&lt;&gt;""), 'Cost Inputs'!$G$190, "")</f>
        <v/>
      </c>
      <c r="E799" s="93" t="str">
        <f>IF(AND(C799&lt;&gt;"", 'Cost Inputs'!$H$190&lt;&gt;""), 'Cost Inputs'!$H$190, "")</f>
        <v/>
      </c>
      <c r="F799" s="93" t="str">
        <f>IF(AND(C799&lt;&gt;"", 'Cost Inputs'!$I$190&lt;&gt;""), 'Cost Inputs'!$I$190, "")</f>
        <v/>
      </c>
      <c r="G799" s="108" t="str">
        <f t="shared" si="72"/>
        <v/>
      </c>
      <c r="H799" s="93" t="str">
        <f>IF(AND(C799&lt;&gt;"", 'Cost Inputs'!$J$190&lt;&gt;""), 'Cost Inputs'!$J$190, "")</f>
        <v/>
      </c>
      <c r="I799" s="93" t="str">
        <f t="shared" si="73"/>
        <v/>
      </c>
      <c r="J799" s="93" t="str">
        <f>IF(AND(C799&lt;&gt;"",('Cost Inputs'!$I$190+'Cost Inputs'!$J$190+'Cost Inputs'!$K$190)&gt;0), 'Cost Inputs'!$I$190+'Cost Inputs'!$J$190+'Cost Inputs'!$K$190, "")</f>
        <v/>
      </c>
      <c r="K799" s="93" t="str">
        <f t="shared" si="74"/>
        <v/>
      </c>
      <c r="L799" s="93"/>
      <c r="M799" s="109"/>
      <c r="P799" s="93" t="str">
        <f>IF(ISNUMBER('Model_ of_individuals'!P819), 'Model_ of_individuals'!P819*'Model_ of_individuals'!$K819,"")</f>
        <v/>
      </c>
      <c r="Q799" s="93" t="str">
        <f>IF(ISNUMBER('Model_ of_individuals'!Q819), 'Model_ of_individuals'!Q819*'Model_ of_individuals'!$K819,"")</f>
        <v/>
      </c>
      <c r="R799" s="93" t="str">
        <f>IF(ISNUMBER('Model_ of_individuals'!R819), 'Model_ of_individuals'!R819*'Model_ of_individuals'!$K819,"")</f>
        <v/>
      </c>
      <c r="S799" s="93" t="str">
        <f>IF(ISNUMBER('Model_ of_individuals'!S819), 'Model_ of_individuals'!S819*'Model_ of_individuals'!$K819,"")</f>
        <v/>
      </c>
      <c r="T799" s="93" t="str">
        <f>IF(ISNUMBER('Model_ of_individuals'!T819), 'Model_ of_individuals'!T819*'Model_ of_individuals'!$K819,"")</f>
        <v/>
      </c>
      <c r="U799" s="93" t="str">
        <f>IF(ISNUMBER('Model_ of_individuals'!U819), 'Model_ of_individuals'!U819*'Model_ of_individuals'!$K819,"")</f>
        <v/>
      </c>
      <c r="V799" s="93" t="str">
        <f>IF(ISNUMBER('Model_ of_individuals'!V819), 'Model_ of_individuals'!V819*'Model_ of_individuals'!$K819,"")</f>
        <v/>
      </c>
      <c r="W799" s="93" t="str">
        <f>IF(ISNUMBER('Model_ of_individuals'!W819), 'Model_ of_individuals'!W819*'Model_ of_individuals'!$K819,"")</f>
        <v/>
      </c>
      <c r="X799" s="93" t="str">
        <f>IF(ISNUMBER('Model_ of_individuals'!X819), 'Model_ of_individuals'!X819*'Model_ of_individuals'!$K819,"")</f>
        <v/>
      </c>
      <c r="Y799" s="93" t="str">
        <f>IF(ISNUMBER('Model_ of_individuals'!Y819), 'Model_ of_individuals'!Y819*'Model_ of_individuals'!$K819,"")</f>
        <v/>
      </c>
    </row>
    <row r="800" spans="1:25" x14ac:dyDescent="0.25">
      <c r="A800" s="518"/>
      <c r="B800" s="504"/>
      <c r="C800" s="110" t="str">
        <f>IF(ISNUMBER(B778), _6_4_0, "")</f>
        <v/>
      </c>
      <c r="D800" s="94" t="str">
        <f>IF(AND(C800&lt;&gt;"", 'Cost Inputs'!$G$191&lt;&gt;""), 'Cost Inputs'!$G$191, "")</f>
        <v/>
      </c>
      <c r="E800" s="94" t="str">
        <f>IF(AND(C800&lt;&gt;"", 'Cost Inputs'!$H$191&lt;&gt;""), 'Cost Inputs'!$H$191, "")</f>
        <v/>
      </c>
      <c r="F800" s="94" t="str">
        <f>IF(AND(C800&lt;&gt;"", 'Cost Inputs'!$I$191&lt;&gt;""), 'Cost Inputs'!$I$191, "")</f>
        <v/>
      </c>
      <c r="G800" s="102" t="str">
        <f t="shared" si="72"/>
        <v/>
      </c>
      <c r="H800" s="102" t="str">
        <f>IF(AND(C800&lt;&gt;"", 'Cost Inputs'!$J$191&lt;&gt;""), 'Cost Inputs'!$J$191, "")</f>
        <v/>
      </c>
      <c r="I800" s="102" t="str">
        <f t="shared" si="73"/>
        <v/>
      </c>
      <c r="J800" s="102" t="str">
        <f>IF(AND(C800&lt;&gt;"",('Cost Inputs'!$I$191+'Cost Inputs'!$J$191+'Cost Inputs'!$K$191)&gt;0), 'Cost Inputs'!$I$191+'Cost Inputs'!$J$191+'Cost Inputs'!$K$191, "")</f>
        <v/>
      </c>
      <c r="K800" s="102" t="str">
        <f t="shared" si="74"/>
        <v/>
      </c>
      <c r="L800" s="94"/>
      <c r="M800" s="103"/>
      <c r="P800" s="102" t="str">
        <f>IF(ISNUMBER('Model_ of_individuals'!P820), 'Model_ of_individuals'!P820*'Model_ of_individuals'!$K820,"")</f>
        <v/>
      </c>
      <c r="Q800" s="102" t="str">
        <f>IF(ISNUMBER('Model_ of_individuals'!Q820), 'Model_ of_individuals'!Q820*'Model_ of_individuals'!$K820,"")</f>
        <v/>
      </c>
      <c r="R800" s="102" t="str">
        <f>IF(ISNUMBER('Model_ of_individuals'!R820), 'Model_ of_individuals'!R820*'Model_ of_individuals'!$K820,"")</f>
        <v/>
      </c>
      <c r="S800" s="102" t="str">
        <f>IF(ISNUMBER('Model_ of_individuals'!S820), 'Model_ of_individuals'!S820*'Model_ of_individuals'!$K820,"")</f>
        <v/>
      </c>
      <c r="T800" s="102" t="str">
        <f>IF(ISNUMBER('Model_ of_individuals'!T820), 'Model_ of_individuals'!T820*'Model_ of_individuals'!$K820,"")</f>
        <v/>
      </c>
      <c r="U800" s="102" t="str">
        <f>IF(ISNUMBER('Model_ of_individuals'!U820), 'Model_ of_individuals'!U820*'Model_ of_individuals'!$K820,"")</f>
        <v/>
      </c>
      <c r="V800" s="102" t="str">
        <f>IF(ISNUMBER('Model_ of_individuals'!V820), 'Model_ of_individuals'!V820*'Model_ of_individuals'!$K820,"")</f>
        <v/>
      </c>
      <c r="W800" s="102" t="str">
        <f>IF(ISNUMBER('Model_ of_individuals'!W820), 'Model_ of_individuals'!W820*'Model_ of_individuals'!$K820,"")</f>
        <v/>
      </c>
      <c r="X800" s="102" t="str">
        <f>IF(ISNUMBER('Model_ of_individuals'!X820), 'Model_ of_individuals'!X820*'Model_ of_individuals'!$K820,"")</f>
        <v/>
      </c>
      <c r="Y800" s="102" t="str">
        <f>IF(ISNUMBER('Model_ of_individuals'!Y820), 'Model_ of_individuals'!Y820*'Model_ of_individuals'!$K820,"")</f>
        <v/>
      </c>
    </row>
    <row r="801" spans="1:25" x14ac:dyDescent="0.25">
      <c r="A801" s="518"/>
      <c r="B801" s="504"/>
      <c r="C801" s="104" t="str">
        <f>IF(AND(ISNUMBER(B778), OR('Cost Inputs'!$H$192&lt;&gt;"", 'Cost Inputs'!$I$192&lt;&gt;"", 'Cost Inputs'!$J$192&lt;&gt;"")), _6_4_1, "")</f>
        <v/>
      </c>
      <c r="D801" s="17" t="str">
        <f>IF(AND(C801&lt;&gt;"", 'Cost Inputs'!$G$192&lt;&gt;""), 'Cost Inputs'!$G$192, "")</f>
        <v/>
      </c>
      <c r="E801" s="17" t="str">
        <f>IF(AND(C801&lt;&gt;"", 'Cost Inputs'!$H$192&lt;&gt;""), 'Cost Inputs'!$H$192, "")</f>
        <v/>
      </c>
      <c r="F801" s="17" t="str">
        <f>IF(AND(C801&lt;&gt;"", 'Cost Inputs'!$I$192&lt;&gt;""), 'Cost Inputs'!$I$192, "")</f>
        <v/>
      </c>
      <c r="G801" s="105" t="str">
        <f t="shared" si="72"/>
        <v/>
      </c>
      <c r="H801" s="17" t="str">
        <f>IF(AND(C801&lt;&gt;"", 'Cost Inputs'!$J$192&lt;&gt;""), 'Cost Inputs'!$J$192, "")</f>
        <v/>
      </c>
      <c r="I801" s="17" t="str">
        <f t="shared" si="73"/>
        <v/>
      </c>
      <c r="J801" s="17" t="str">
        <f>IF(AND(C801&lt;&gt;"",('Cost Inputs'!$I$192+'Cost Inputs'!$J$192+'Cost Inputs'!$K$192)&gt;0), 'Cost Inputs'!$I$192+'Cost Inputs'!$J$192+'Cost Inputs'!$K$192, "")</f>
        <v/>
      </c>
      <c r="K801" s="17" t="str">
        <f t="shared" si="74"/>
        <v/>
      </c>
      <c r="M801" s="106"/>
      <c r="P801" s="17" t="str">
        <f>IF(ISNUMBER('Model_ of_individuals'!P821), 'Model_ of_individuals'!P821*'Model_ of_individuals'!$K821,"")</f>
        <v/>
      </c>
      <c r="Q801" s="17" t="str">
        <f>IF(ISNUMBER('Model_ of_individuals'!Q821), 'Model_ of_individuals'!Q821*'Model_ of_individuals'!$K821,"")</f>
        <v/>
      </c>
      <c r="R801" s="17" t="str">
        <f>IF(ISNUMBER('Model_ of_individuals'!R821), 'Model_ of_individuals'!R821*'Model_ of_individuals'!$K821,"")</f>
        <v/>
      </c>
      <c r="S801" s="17" t="str">
        <f>IF(ISNUMBER('Model_ of_individuals'!S821), 'Model_ of_individuals'!S821*'Model_ of_individuals'!$K821,"")</f>
        <v/>
      </c>
      <c r="T801" s="17" t="str">
        <f>IF(ISNUMBER('Model_ of_individuals'!T821), 'Model_ of_individuals'!T821*'Model_ of_individuals'!$K821,"")</f>
        <v/>
      </c>
      <c r="U801" s="17" t="str">
        <f>IF(ISNUMBER('Model_ of_individuals'!U821), 'Model_ of_individuals'!U821*'Model_ of_individuals'!$K821,"")</f>
        <v/>
      </c>
      <c r="V801" s="17" t="str">
        <f>IF(ISNUMBER('Model_ of_individuals'!V821), 'Model_ of_individuals'!V821*'Model_ of_individuals'!$K821,"")</f>
        <v/>
      </c>
      <c r="W801" s="17" t="str">
        <f>IF(ISNUMBER('Model_ of_individuals'!W821), 'Model_ of_individuals'!W821*'Model_ of_individuals'!$K821,"")</f>
        <v/>
      </c>
      <c r="X801" s="17" t="str">
        <f>IF(ISNUMBER('Model_ of_individuals'!X821), 'Model_ of_individuals'!X821*'Model_ of_individuals'!$K821,"")</f>
        <v/>
      </c>
      <c r="Y801" s="17" t="str">
        <f>IF(ISNUMBER('Model_ of_individuals'!Y821), 'Model_ of_individuals'!Y821*'Model_ of_individuals'!$K821,"")</f>
        <v/>
      </c>
    </row>
    <row r="802" spans="1:25" x14ac:dyDescent="0.25">
      <c r="A802" s="518"/>
      <c r="B802" s="504"/>
      <c r="C802" s="107" t="str">
        <f>IF(AND(ISNUMBER(B778), OR('Cost Inputs'!$H$193&lt;&gt;"", 'Cost Inputs'!$I$193&lt;&gt;"", 'Cost Inputs'!$J$193&lt;&gt;"")), _6_4_2, "")</f>
        <v/>
      </c>
      <c r="D802" s="93" t="str">
        <f>IF(AND(C802&lt;&gt;"", 'Cost Inputs'!$G$193&lt;&gt;""), 'Cost Inputs'!$G$193, "")</f>
        <v/>
      </c>
      <c r="E802" s="93" t="str">
        <f>IF(AND(C802&lt;&gt;"", 'Cost Inputs'!$H$193&lt;&gt;""), 'Cost Inputs'!$H$193, "")</f>
        <v/>
      </c>
      <c r="F802" s="93" t="str">
        <f>IF(AND(C802&lt;&gt;"", 'Cost Inputs'!$I$193&lt;&gt;""), 'Cost Inputs'!$I$193, "")</f>
        <v/>
      </c>
      <c r="G802" s="108" t="str">
        <f t="shared" si="72"/>
        <v/>
      </c>
      <c r="H802" s="93" t="str">
        <f>IF(AND(C802&lt;&gt;"", 'Cost Inputs'!$J$193&lt;&gt;""), 'Cost Inputs'!$J$193, "")</f>
        <v/>
      </c>
      <c r="I802" s="93" t="str">
        <f t="shared" si="73"/>
        <v/>
      </c>
      <c r="J802" s="93" t="str">
        <f>IF(AND(C802&lt;&gt;"",('Cost Inputs'!$I$152+'Cost Inputs'!$J$152+'Cost Inputs'!$K$152)&gt;0), 'Cost Inputs'!$I$152+'Cost Inputs'!$J$152+'Cost Inputs'!$K$152, "")</f>
        <v/>
      </c>
      <c r="K802" s="93" t="str">
        <f t="shared" si="74"/>
        <v/>
      </c>
      <c r="L802" s="93"/>
      <c r="M802" s="109"/>
      <c r="P802" s="93" t="str">
        <f>IF(ISNUMBER('Model_ of_individuals'!P822), 'Model_ of_individuals'!P822*'Model_ of_individuals'!$K822,"")</f>
        <v/>
      </c>
      <c r="Q802" s="93" t="str">
        <f>IF(ISNUMBER('Model_ of_individuals'!Q822), 'Model_ of_individuals'!Q822*'Model_ of_individuals'!$K822,"")</f>
        <v/>
      </c>
      <c r="R802" s="93" t="str">
        <f>IF(ISNUMBER('Model_ of_individuals'!R822), 'Model_ of_individuals'!R822*'Model_ of_individuals'!$K822,"")</f>
        <v/>
      </c>
      <c r="S802" s="93" t="str">
        <f>IF(ISNUMBER('Model_ of_individuals'!S822), 'Model_ of_individuals'!S822*'Model_ of_individuals'!$K822,"")</f>
        <v/>
      </c>
      <c r="T802" s="93" t="str">
        <f>IF(ISNUMBER('Model_ of_individuals'!T822), 'Model_ of_individuals'!T822*'Model_ of_individuals'!$K822,"")</f>
        <v/>
      </c>
      <c r="U802" s="93" t="str">
        <f>IF(ISNUMBER('Model_ of_individuals'!U822), 'Model_ of_individuals'!U822*'Model_ of_individuals'!$K822,"")</f>
        <v/>
      </c>
      <c r="V802" s="93" t="str">
        <f>IF(ISNUMBER('Model_ of_individuals'!V822), 'Model_ of_individuals'!V822*'Model_ of_individuals'!$K822,"")</f>
        <v/>
      </c>
      <c r="W802" s="93" t="str">
        <f>IF(ISNUMBER('Model_ of_individuals'!W822), 'Model_ of_individuals'!W822*'Model_ of_individuals'!$K822,"")</f>
        <v/>
      </c>
      <c r="X802" s="93" t="str">
        <f>IF(ISNUMBER('Model_ of_individuals'!X822), 'Model_ of_individuals'!X822*'Model_ of_individuals'!$K822,"")</f>
        <v/>
      </c>
      <c r="Y802" s="93" t="str">
        <f>IF(ISNUMBER('Model_ of_individuals'!Y822), 'Model_ of_individuals'!Y822*'Model_ of_individuals'!$K822,"")</f>
        <v/>
      </c>
    </row>
    <row r="803" spans="1:25" x14ac:dyDescent="0.25">
      <c r="A803" s="518"/>
      <c r="B803" s="504"/>
      <c r="C803" s="104" t="str">
        <f>IF(AND(ISNUMBER(B778), OR('Cost Inputs'!$H$194&lt;&gt;"", 'Cost Inputs'!$I$194&lt;&gt;"", 'Cost Inputs'!$J$194&lt;&gt;"")), _6_4_3, "")</f>
        <v/>
      </c>
      <c r="D803" s="17" t="str">
        <f>IF(AND(C803&lt;&gt;"", 'Cost Inputs'!$G$194&lt;&gt;""), 'Cost Inputs'!$G$194, "")</f>
        <v/>
      </c>
      <c r="E803" s="17" t="str">
        <f>IF(AND(C803&lt;&gt;"", 'Cost Inputs'!$H$194&lt;&gt;""), 'Cost Inputs'!$H$194, "")</f>
        <v/>
      </c>
      <c r="F803" s="17" t="str">
        <f>IF(AND(C803&lt;&gt;"", 'Cost Inputs'!$I$194&lt;&gt;""), 'Cost Inputs'!$I$194, "")</f>
        <v/>
      </c>
      <c r="G803" s="105" t="str">
        <f t="shared" si="72"/>
        <v/>
      </c>
      <c r="H803" s="17" t="str">
        <f>IF(AND(C803&lt;&gt;"", 'Cost Inputs'!$J$194&lt;&gt;""), 'Cost Inputs'!$J$194, "")</f>
        <v/>
      </c>
      <c r="I803" s="17" t="str">
        <f t="shared" si="73"/>
        <v/>
      </c>
      <c r="J803" s="17" t="str">
        <f>IF(AND(C803&lt;&gt;"",('Cost Inputs'!$I$194+'Cost Inputs'!$J$194+'Cost Inputs'!$K$194)&gt;0), 'Cost Inputs'!$I$194+'Cost Inputs'!$J$194+'Cost Inputs'!$K$194, "")</f>
        <v/>
      </c>
      <c r="K803" s="17" t="str">
        <f t="shared" si="74"/>
        <v/>
      </c>
      <c r="M803" s="106"/>
      <c r="P803" s="17" t="str">
        <f>IF(ISNUMBER('Model_ of_individuals'!P823), 'Model_ of_individuals'!P823*'Model_ of_individuals'!$K823,"")</f>
        <v/>
      </c>
      <c r="Q803" s="17" t="str">
        <f>IF(ISNUMBER('Model_ of_individuals'!Q823), 'Model_ of_individuals'!Q823*'Model_ of_individuals'!$K823,"")</f>
        <v/>
      </c>
      <c r="R803" s="17" t="str">
        <f>IF(ISNUMBER('Model_ of_individuals'!R823), 'Model_ of_individuals'!R823*'Model_ of_individuals'!$K823,"")</f>
        <v/>
      </c>
      <c r="S803" s="17" t="str">
        <f>IF(ISNUMBER('Model_ of_individuals'!S823), 'Model_ of_individuals'!S823*'Model_ of_individuals'!$K823,"")</f>
        <v/>
      </c>
      <c r="T803" s="17" t="str">
        <f>IF(ISNUMBER('Model_ of_individuals'!T823), 'Model_ of_individuals'!T823*'Model_ of_individuals'!$K823,"")</f>
        <v/>
      </c>
      <c r="U803" s="17" t="str">
        <f>IF(ISNUMBER('Model_ of_individuals'!U823), 'Model_ of_individuals'!U823*'Model_ of_individuals'!$K823,"")</f>
        <v/>
      </c>
      <c r="V803" s="17" t="str">
        <f>IF(ISNUMBER('Model_ of_individuals'!V823), 'Model_ of_individuals'!V823*'Model_ of_individuals'!$K823,"")</f>
        <v/>
      </c>
      <c r="W803" s="17" t="str">
        <f>IF(ISNUMBER('Model_ of_individuals'!W823), 'Model_ of_individuals'!W823*'Model_ of_individuals'!$K823,"")</f>
        <v/>
      </c>
      <c r="X803" s="17" t="str">
        <f>IF(ISNUMBER('Model_ of_individuals'!X823), 'Model_ of_individuals'!X823*'Model_ of_individuals'!$K823,"")</f>
        <v/>
      </c>
      <c r="Y803" s="17" t="str">
        <f>IF(ISNUMBER('Model_ of_individuals'!Y823), 'Model_ of_individuals'!Y823*'Model_ of_individuals'!$K823,"")</f>
        <v/>
      </c>
    </row>
    <row r="804" spans="1:25" x14ac:dyDescent="0.25">
      <c r="A804" s="518"/>
      <c r="B804" s="504"/>
      <c r="C804" s="107" t="str">
        <f>IF(AND(ISNUMBER(B778), OR('Cost Inputs'!$H$195&lt;&gt;"", 'Cost Inputs'!$I$195&lt;&gt;"", 'Cost Inputs'!$J$195&lt;&gt;"")), _6_4_4, "")</f>
        <v/>
      </c>
      <c r="D804" s="93" t="str">
        <f>IF(AND(C804&lt;&gt;"", 'Cost Inputs'!$G$195&lt;&gt;""), 'Cost Inputs'!$G$195, "")</f>
        <v/>
      </c>
      <c r="E804" s="93" t="str">
        <f>IF(AND(C804&lt;&gt;"", 'Cost Inputs'!$H$195&lt;&gt;""), 'Cost Inputs'!$H$195, "")</f>
        <v/>
      </c>
      <c r="F804" s="93" t="str">
        <f>IF(AND(C804&lt;&gt;"", 'Cost Inputs'!$I$195&lt;&gt;""), 'Cost Inputs'!$I$195, "")</f>
        <v/>
      </c>
      <c r="G804" s="108" t="str">
        <f t="shared" si="72"/>
        <v/>
      </c>
      <c r="H804" s="93" t="str">
        <f>IF(AND(C804&lt;&gt;"", 'Cost Inputs'!$J$195&lt;&gt;""), 'Cost Inputs'!$J$195, "")</f>
        <v/>
      </c>
      <c r="I804" s="93" t="str">
        <f t="shared" si="73"/>
        <v/>
      </c>
      <c r="J804" s="93" t="str">
        <f>IF(AND(C804&lt;&gt;"",('Cost Inputs'!$I$195+'Cost Inputs'!$J$195+'Cost Inputs'!$K$195)&gt;0), 'Cost Inputs'!$I$195+'Cost Inputs'!$J$195+'Cost Inputs'!$K$195, "")</f>
        <v/>
      </c>
      <c r="K804" s="93" t="str">
        <f t="shared" si="74"/>
        <v/>
      </c>
      <c r="L804" s="93"/>
      <c r="M804" s="109"/>
      <c r="P804" s="93" t="str">
        <f>IF(ISNUMBER('Model_ of_individuals'!P824), 'Model_ of_individuals'!P824*'Model_ of_individuals'!$K824,"")</f>
        <v/>
      </c>
      <c r="Q804" s="93" t="str">
        <f>IF(ISNUMBER('Model_ of_individuals'!Q824), 'Model_ of_individuals'!Q824*'Model_ of_individuals'!$K824,"")</f>
        <v/>
      </c>
      <c r="R804" s="93" t="str">
        <f>IF(ISNUMBER('Model_ of_individuals'!R824), 'Model_ of_individuals'!R824*'Model_ of_individuals'!$K824,"")</f>
        <v/>
      </c>
      <c r="S804" s="93" t="str">
        <f>IF(ISNUMBER('Model_ of_individuals'!S824), 'Model_ of_individuals'!S824*'Model_ of_individuals'!$K824,"")</f>
        <v/>
      </c>
      <c r="T804" s="93" t="str">
        <f>IF(ISNUMBER('Model_ of_individuals'!T824), 'Model_ of_individuals'!T824*'Model_ of_individuals'!$K824,"")</f>
        <v/>
      </c>
      <c r="U804" s="93" t="str">
        <f>IF(ISNUMBER('Model_ of_individuals'!U824), 'Model_ of_individuals'!U824*'Model_ of_individuals'!$K824,"")</f>
        <v/>
      </c>
      <c r="V804" s="93" t="str">
        <f>IF(ISNUMBER('Model_ of_individuals'!V824), 'Model_ of_individuals'!V824*'Model_ of_individuals'!$K824,"")</f>
        <v/>
      </c>
      <c r="W804" s="93" t="str">
        <f>IF(ISNUMBER('Model_ of_individuals'!W824), 'Model_ of_individuals'!W824*'Model_ of_individuals'!$K824,"")</f>
        <v/>
      </c>
      <c r="X804" s="93" t="str">
        <f>IF(ISNUMBER('Model_ of_individuals'!X824), 'Model_ of_individuals'!X824*'Model_ of_individuals'!$K824,"")</f>
        <v/>
      </c>
      <c r="Y804" s="93" t="str">
        <f>IF(ISNUMBER('Model_ of_individuals'!Y824), 'Model_ of_individuals'!Y824*'Model_ of_individuals'!$K824,"")</f>
        <v/>
      </c>
    </row>
    <row r="805" spans="1:25" x14ac:dyDescent="0.25">
      <c r="A805" s="518"/>
      <c r="B805" s="504"/>
      <c r="C805" s="104" t="str">
        <f>IF(AND(ISNUMBER(B778), OR('Cost Inputs'!$H$196&lt;&gt;"", 'Cost Inputs'!$I$196&lt;&gt;"", 'Cost Inputs'!$J$196&lt;&gt;"")), _6_4_5, "")</f>
        <v/>
      </c>
      <c r="D805" s="17" t="str">
        <f>IF(AND(C805&lt;&gt;"", 'Cost Inputs'!$G$196&lt;&gt;""), 'Cost Inputs'!$G$196, "")</f>
        <v/>
      </c>
      <c r="E805" s="17" t="str">
        <f>IF(AND(C805&lt;&gt;"", 'Cost Inputs'!$H$196&lt;&gt;""), 'Cost Inputs'!$H$196, "")</f>
        <v/>
      </c>
      <c r="F805" s="17" t="str">
        <f>IF(AND(C805&lt;&gt;"", 'Cost Inputs'!$I$196&lt;&gt;""), 'Cost Inputs'!$I$196, "")</f>
        <v/>
      </c>
      <c r="G805" s="105" t="str">
        <f t="shared" si="72"/>
        <v/>
      </c>
      <c r="H805" s="17" t="str">
        <f>IF(AND(C805&lt;&gt;"", 'Cost Inputs'!$J$196&lt;&gt;""), 'Cost Inputs'!$J$196, "")</f>
        <v/>
      </c>
      <c r="I805" s="17" t="str">
        <f t="shared" si="73"/>
        <v/>
      </c>
      <c r="J805" s="17" t="str">
        <f>IF(AND(C805&lt;&gt;"",('Cost Inputs'!$I$196+'Cost Inputs'!$J$196+'Cost Inputs'!$K$196)&gt;0), 'Cost Inputs'!$I$196+'Cost Inputs'!$J$196+'Cost Inputs'!$K$196, "")</f>
        <v/>
      </c>
      <c r="K805" s="17" t="str">
        <f t="shared" si="74"/>
        <v/>
      </c>
      <c r="M805" s="106"/>
      <c r="P805" s="17" t="str">
        <f>IF(ISNUMBER('Model_ of_individuals'!P825), 'Model_ of_individuals'!P825*'Model_ of_individuals'!$K825,"")</f>
        <v/>
      </c>
      <c r="Q805" s="17" t="str">
        <f>IF(ISNUMBER('Model_ of_individuals'!Q825), 'Model_ of_individuals'!Q825*'Model_ of_individuals'!$K825,"")</f>
        <v/>
      </c>
      <c r="R805" s="17" t="str">
        <f>IF(ISNUMBER('Model_ of_individuals'!R825), 'Model_ of_individuals'!R825*'Model_ of_individuals'!$K825,"")</f>
        <v/>
      </c>
      <c r="S805" s="17" t="str">
        <f>IF(ISNUMBER('Model_ of_individuals'!S825), 'Model_ of_individuals'!S825*'Model_ of_individuals'!$K825,"")</f>
        <v/>
      </c>
      <c r="T805" s="17" t="str">
        <f>IF(ISNUMBER('Model_ of_individuals'!T825), 'Model_ of_individuals'!T825*'Model_ of_individuals'!$K825,"")</f>
        <v/>
      </c>
      <c r="U805" s="17" t="str">
        <f>IF(ISNUMBER('Model_ of_individuals'!U825), 'Model_ of_individuals'!U825*'Model_ of_individuals'!$K825,"")</f>
        <v/>
      </c>
      <c r="V805" s="17" t="str">
        <f>IF(ISNUMBER('Model_ of_individuals'!V825), 'Model_ of_individuals'!V825*'Model_ of_individuals'!$K825,"")</f>
        <v/>
      </c>
      <c r="W805" s="17" t="str">
        <f>IF(ISNUMBER('Model_ of_individuals'!W825), 'Model_ of_individuals'!W825*'Model_ of_individuals'!$K825,"")</f>
        <v/>
      </c>
      <c r="X805" s="17" t="str">
        <f>IF(ISNUMBER('Model_ of_individuals'!X825), 'Model_ of_individuals'!X825*'Model_ of_individuals'!$K825,"")</f>
        <v/>
      </c>
      <c r="Y805" s="17" t="str">
        <f>IF(ISNUMBER('Model_ of_individuals'!Y825), 'Model_ of_individuals'!Y825*'Model_ of_individuals'!$K825,"")</f>
        <v/>
      </c>
    </row>
    <row r="806" spans="1:25" x14ac:dyDescent="0.25">
      <c r="A806" s="518"/>
      <c r="B806" s="504"/>
      <c r="C806" s="107" t="str">
        <f>IF(AND(ISNUMBER(B778), OR('Cost Inputs'!$H$197&lt;&gt;"", 'Cost Inputs'!$I$197&lt;&gt;"", 'Cost Inputs'!$J$197&lt;&gt;"")), _6_4_6, "")</f>
        <v/>
      </c>
      <c r="D806" s="93" t="str">
        <f>IF(AND(C806&lt;&gt;"", 'Cost Inputs'!$G$197&lt;&gt;""), 'Cost Inputs'!$G$197, "")</f>
        <v/>
      </c>
      <c r="E806" s="93" t="str">
        <f>IF(AND(C806&lt;&gt;"", 'Cost Inputs'!$H$197&lt;&gt;""), 'Cost Inputs'!$H$197, "")</f>
        <v/>
      </c>
      <c r="F806" s="93" t="str">
        <f>IF(AND(C806&lt;&gt;"", 'Cost Inputs'!$I$197&lt;&gt;""), 'Cost Inputs'!$I$197, "")</f>
        <v/>
      </c>
      <c r="G806" s="108" t="str">
        <f t="shared" si="72"/>
        <v/>
      </c>
      <c r="H806" s="93" t="str">
        <f>IF(AND(C806&lt;&gt;"", 'Cost Inputs'!$J$197&lt;&gt;""), 'Cost Inputs'!$J$16, "")</f>
        <v/>
      </c>
      <c r="I806" s="93" t="str">
        <f t="shared" si="73"/>
        <v/>
      </c>
      <c r="J806" s="93" t="str">
        <f>IF(AND(C806&lt;&gt;"",('Cost Inputs'!$I$197+'Cost Inputs'!$J$197+'Cost Inputs'!$K$197)&gt;0), 'Cost Inputs'!$I$197+'Cost Inputs'!$J$197+'Cost Inputs'!$K$197, "")</f>
        <v/>
      </c>
      <c r="K806" s="93" t="str">
        <f t="shared" si="74"/>
        <v/>
      </c>
      <c r="L806" s="93"/>
      <c r="M806" s="109"/>
      <c r="P806" s="93" t="str">
        <f>IF(ISNUMBER('Model_ of_individuals'!P826), 'Model_ of_individuals'!P826*'Model_ of_individuals'!$K826,"")</f>
        <v/>
      </c>
      <c r="Q806" s="93" t="str">
        <f>IF(ISNUMBER('Model_ of_individuals'!Q826), 'Model_ of_individuals'!Q826*'Model_ of_individuals'!$K826,"")</f>
        <v/>
      </c>
      <c r="R806" s="93" t="str">
        <f>IF(ISNUMBER('Model_ of_individuals'!R826), 'Model_ of_individuals'!R826*'Model_ of_individuals'!$K826,"")</f>
        <v/>
      </c>
      <c r="S806" s="93" t="str">
        <f>IF(ISNUMBER('Model_ of_individuals'!S826), 'Model_ of_individuals'!S826*'Model_ of_individuals'!$K826,"")</f>
        <v/>
      </c>
      <c r="T806" s="93" t="str">
        <f>IF(ISNUMBER('Model_ of_individuals'!T826), 'Model_ of_individuals'!T826*'Model_ of_individuals'!$K826,"")</f>
        <v/>
      </c>
      <c r="U806" s="93" t="str">
        <f>IF(ISNUMBER('Model_ of_individuals'!U826), 'Model_ of_individuals'!U826*'Model_ of_individuals'!$K826,"")</f>
        <v/>
      </c>
      <c r="V806" s="93" t="str">
        <f>IF(ISNUMBER('Model_ of_individuals'!V826), 'Model_ of_individuals'!V826*'Model_ of_individuals'!$K826,"")</f>
        <v/>
      </c>
      <c r="W806" s="93" t="str">
        <f>IF(ISNUMBER('Model_ of_individuals'!W826), 'Model_ of_individuals'!W826*'Model_ of_individuals'!$K826,"")</f>
        <v/>
      </c>
      <c r="X806" s="93" t="str">
        <f>IF(ISNUMBER('Model_ of_individuals'!X826), 'Model_ of_individuals'!X826*'Model_ of_individuals'!$K826,"")</f>
        <v/>
      </c>
      <c r="Y806" s="93" t="str">
        <f>IF(ISNUMBER('Model_ of_individuals'!Y826), 'Model_ of_individuals'!Y826*'Model_ of_individuals'!$K826,"")</f>
        <v/>
      </c>
    </row>
    <row r="807" spans="1:25" x14ac:dyDescent="0.25">
      <c r="A807" s="518"/>
      <c r="B807" s="504"/>
      <c r="C807" s="521" t="str">
        <f>IF(AND(B796&lt;&gt;"",ISNUMBER(B796),ISNUMBER(Stage4EvaluationBegins)),IF((INDEX(ProgramYearStage4,MATCH(Stage4EvaluationBegins,Years_in_Stage4,0)))=B796,_6_5_0,IF(AND(B796&lt;&gt;"",C785&lt;&gt;""),_6_5_0,IF(AND(B796&lt;&gt;"",ISNUMBER(B796),OR(Stage4EvaluationBegins=0,Stage4EvaluationBegins="")),"",""))),"")</f>
        <v/>
      </c>
      <c r="D807" s="94" t="str">
        <f>IF(AND(C807&lt;&gt;"", 'Cost Inputs'!$G$198&lt;&gt;""), 'Cost Inputs'!$G$198, "")</f>
        <v/>
      </c>
      <c r="E807" s="94" t="str">
        <f>IF(AND(C807&lt;&gt;"", 'Cost Inputs'!$H$198&lt;&gt;""), 'Cost Inputs'!$H$198, "")</f>
        <v/>
      </c>
      <c r="F807" s="492" t="str">
        <f>IF(AND(C807&lt;&gt;"", 'Cost Inputs'!$I$198&lt;&gt;""), 'Cost Inputs'!$I$198, "")</f>
        <v/>
      </c>
      <c r="G807" s="102" t="str">
        <f t="shared" si="72"/>
        <v/>
      </c>
      <c r="H807" s="492" t="str">
        <f>IF(AND(C807&lt;&gt;"", 'Cost Inputs'!$J$198&lt;&gt;""), 'Cost Inputs'!$J$198, "")</f>
        <v/>
      </c>
      <c r="I807" s="102" t="str">
        <f>IF($C807&lt;&gt;"",IF(AND($E807&lt;&gt;"",H807&lt;&gt;""), H807/$E807, 0),"")</f>
        <v/>
      </c>
      <c r="J807" s="492" t="str">
        <f>IF(AND(C807&lt;&gt;"",('Cost Inputs'!$I$198+'Cost Inputs'!$J$198+'Cost Inputs'!$K$198)&gt;0), 'Cost Inputs'!$I$198+'Cost Inputs'!$J$198+'Cost Inputs'!$K$198, "")</f>
        <v/>
      </c>
      <c r="K807" s="102" t="str">
        <f>IF($C807&lt;&gt;"",IF(AND($E807&lt;&gt;"",J807&lt;&gt;""), J807/$E807, 0),"")</f>
        <v/>
      </c>
      <c r="L807" s="94"/>
      <c r="M807" s="103"/>
      <c r="P807" s="492" t="str">
        <f>IF(ISNUMBER('Model_ of_individuals'!P827), 'Model_ of_individuals'!P827*'Model_ of_individuals'!$K827,"")</f>
        <v/>
      </c>
      <c r="Q807" s="492" t="str">
        <f>IF(ISNUMBER('Model_ of_individuals'!Q827), 'Model_ of_individuals'!Q827*'Model_ of_individuals'!$K827,"")</f>
        <v/>
      </c>
      <c r="R807" s="492" t="str">
        <f>IF(ISNUMBER('Model_ of_individuals'!R827), 'Model_ of_individuals'!R827*'Model_ of_individuals'!$K827,"")</f>
        <v/>
      </c>
      <c r="S807" s="492" t="str">
        <f>IF(ISNUMBER('Model_ of_individuals'!S827), 'Model_ of_individuals'!S827*'Model_ of_individuals'!$K827,"")</f>
        <v/>
      </c>
      <c r="T807" s="492" t="str">
        <f>IF(ISNUMBER('Model_ of_individuals'!T827), 'Model_ of_individuals'!T827*'Model_ of_individuals'!$K827,"")</f>
        <v/>
      </c>
      <c r="U807" s="492" t="str">
        <f>IF(ISNUMBER('Model_ of_individuals'!U827), 'Model_ of_individuals'!U827*'Model_ of_individuals'!$K827,"")</f>
        <v/>
      </c>
      <c r="V807" s="492" t="str">
        <f>IF(ISNUMBER('Model_ of_individuals'!V827), 'Model_ of_individuals'!V827*'Model_ of_individuals'!$K827,"")</f>
        <v/>
      </c>
      <c r="W807" s="492" t="str">
        <f>IF(ISNUMBER('Model_ of_individuals'!W827), 'Model_ of_individuals'!W827*'Model_ of_individuals'!$K827,"")</f>
        <v/>
      </c>
      <c r="X807" s="492" t="str">
        <f>IF(ISNUMBER('Model_ of_individuals'!X827), 'Model_ of_individuals'!X827*'Model_ of_individuals'!$K827,"")</f>
        <v/>
      </c>
      <c r="Y807" s="492" t="str">
        <f>IF(ISNUMBER('Model_ of_individuals'!Y827), 'Model_ of_individuals'!Y827*'Model_ of_individuals'!$K827,"")</f>
        <v/>
      </c>
    </row>
    <row r="808" spans="1:25" x14ac:dyDescent="0.25">
      <c r="A808" s="518"/>
      <c r="B808" s="504"/>
      <c r="C808" s="521"/>
      <c r="D808" s="94" t="str">
        <f>IF(AND(C807&lt;&gt;"", 'Cost Inputs'!$G$199&lt;&gt;""), 'Cost Inputs'!$G$199, "")</f>
        <v/>
      </c>
      <c r="E808" s="94" t="str">
        <f>IF(AND(C807&lt;&gt;"", 'Cost Inputs'!$H$199&lt;&gt;""), 'Cost Inputs'!$H$199, "")</f>
        <v/>
      </c>
      <c r="F808" s="492"/>
      <c r="G808" s="102" t="str">
        <f t="shared" si="72"/>
        <v/>
      </c>
      <c r="H808" s="492"/>
      <c r="I808" s="102" t="str">
        <f>IF($C807&lt;&gt;"", IF(AND($E808&lt;&gt;"", H807&lt;&gt;""), H807/($E807*$E808), 0), "")</f>
        <v/>
      </c>
      <c r="J808" s="492" t="str">
        <f>IF(AND(C808&lt;&gt;"",('Cost Inputs'!$I$86+'Cost Inputs'!$J$86+'Cost Inputs'!$K$86)&gt;0), 'Cost Inputs'!$I$86+'Cost Inputs'!$J$86+'Cost Inputs'!$K$86, "")</f>
        <v/>
      </c>
      <c r="K808" s="102" t="str">
        <f>IF($C807&lt;&gt;"", IF(AND($E808&lt;&gt;"", J807&lt;&gt;""), J807/($E807*$E808), 0), "")</f>
        <v/>
      </c>
      <c r="L808" s="94"/>
      <c r="M808" s="103"/>
      <c r="P808" s="492" t="str">
        <f>IF(ISNUMBER('Model_ of_individuals'!P828), 'Model_ of_individuals'!P828*'Model_ of_individuals'!$K828,"")</f>
        <v/>
      </c>
      <c r="Q808" s="492" t="str">
        <f>IF(ISNUMBER('Model_ of_individuals'!Q828), 'Model_ of_individuals'!Q828*'Model_ of_individuals'!$K828,"")</f>
        <v/>
      </c>
      <c r="R808" s="492" t="str">
        <f>IF(ISNUMBER('Model_ of_individuals'!R828), 'Model_ of_individuals'!R828*'Model_ of_individuals'!$K828,"")</f>
        <v/>
      </c>
      <c r="S808" s="492" t="str">
        <f>IF(ISNUMBER('Model_ of_individuals'!S828), 'Model_ of_individuals'!S828*'Model_ of_individuals'!$K828,"")</f>
        <v/>
      </c>
      <c r="T808" s="492" t="str">
        <f>IF(ISNUMBER('Model_ of_individuals'!T828), 'Model_ of_individuals'!T828*'Model_ of_individuals'!$K828,"")</f>
        <v/>
      </c>
      <c r="U808" s="492" t="str">
        <f>IF(ISNUMBER('Model_ of_individuals'!U828), 'Model_ of_individuals'!U828*'Model_ of_individuals'!$K828,"")</f>
        <v/>
      </c>
      <c r="V808" s="492" t="str">
        <f>IF(ISNUMBER('Model_ of_individuals'!V828), 'Model_ of_individuals'!V828*'Model_ of_individuals'!$K828,"")</f>
        <v/>
      </c>
      <c r="W808" s="492" t="str">
        <f>IF(ISNUMBER('Model_ of_individuals'!W828), 'Model_ of_individuals'!W828*'Model_ of_individuals'!$K828,"")</f>
        <v/>
      </c>
      <c r="X808" s="492" t="str">
        <f>IF(ISNUMBER('Model_ of_individuals'!X828), 'Model_ of_individuals'!X828*'Model_ of_individuals'!$K828,"")</f>
        <v/>
      </c>
      <c r="Y808" s="492" t="str">
        <f>IF(ISNUMBER('Model_ of_individuals'!Y828), 'Model_ of_individuals'!Y828*'Model_ of_individuals'!$K828,"")</f>
        <v/>
      </c>
    </row>
    <row r="809" spans="1:25" x14ac:dyDescent="0.25">
      <c r="A809" s="518"/>
      <c r="B809" s="504"/>
      <c r="C809" s="376" t="str">
        <f>IF(AND(ISNUMBER(B778), C807&lt;&gt;"", OR('Cost Inputs'!$H$200&lt;&gt;"", 'Cost Inputs'!$I$200&lt;&gt;"", 'Cost Inputs'!$J$200&lt;&gt;"")), _6_5_1, "")</f>
        <v/>
      </c>
      <c r="D809" s="17" t="str">
        <f>IF(AND(C809&lt;&gt;"", 'Cost Inputs'!$G$200&lt;&gt;""), 'Cost Inputs'!$G$200, "")</f>
        <v/>
      </c>
      <c r="E809" s="17" t="str">
        <f>IF(AND(C809&lt;&gt;"", 'Cost Inputs'!$H$200&lt;&gt;""), 'Cost Inputs'!$H$200, "")</f>
        <v/>
      </c>
      <c r="F809" s="493" t="str">
        <f>IF(AND(C809&lt;&gt;"", 'Cost Inputs'!$I$200&lt;&gt;""), 'Cost Inputs'!$I$200, "")</f>
        <v/>
      </c>
      <c r="G809" s="105" t="str">
        <f t="shared" si="72"/>
        <v/>
      </c>
      <c r="H809" s="493" t="str">
        <f>IF(AND(C809&lt;&gt;"", 'Cost Inputs'!$J$200&lt;&gt;""), 'Cost Inputs'!$J$200, "")</f>
        <v/>
      </c>
      <c r="I809" s="105" t="str">
        <f>IF($C809&lt;&gt;"",IF(AND($E809&lt;&gt;"",H809&lt;&gt;""), H809/$E809, 0),"")</f>
        <v/>
      </c>
      <c r="J809" s="493" t="str">
        <f>IF(AND(C809&lt;&gt;"",('Cost Inputs'!$I$200+'Cost Inputs'!$J$200+'Cost Inputs'!$K$200)&gt;0), 'Cost Inputs'!$I$200+'Cost Inputs'!$J$200+'Cost Inputs'!$K$200, "")</f>
        <v/>
      </c>
      <c r="K809" s="105" t="str">
        <f>IF($C809&lt;&gt;"",IF(AND($E809&lt;&gt;"",J809&lt;&gt;""), J809/$E809, 0),"")</f>
        <v/>
      </c>
      <c r="M809" s="106"/>
      <c r="P809" s="493" t="str">
        <f>IF(ISNUMBER('Model_ of_individuals'!P829), 'Model_ of_individuals'!P829*'Model_ of_individuals'!$K829,"")</f>
        <v/>
      </c>
      <c r="Q809" s="493" t="str">
        <f>IF(ISNUMBER('Model_ of_individuals'!Q829), 'Model_ of_individuals'!Q829*'Model_ of_individuals'!$K829,"")</f>
        <v/>
      </c>
      <c r="R809" s="493" t="str">
        <f>IF(ISNUMBER('Model_ of_individuals'!R829), 'Model_ of_individuals'!R829*'Model_ of_individuals'!$K829,"")</f>
        <v/>
      </c>
      <c r="S809" s="493" t="str">
        <f>IF(ISNUMBER('Model_ of_individuals'!S829), 'Model_ of_individuals'!S829*'Model_ of_individuals'!$K829,"")</f>
        <v/>
      </c>
      <c r="T809" s="493" t="str">
        <f>IF(ISNUMBER('Model_ of_individuals'!T829), 'Model_ of_individuals'!T829*'Model_ of_individuals'!$K829,"")</f>
        <v/>
      </c>
      <c r="U809" s="493" t="str">
        <f>IF(ISNUMBER('Model_ of_individuals'!U829), 'Model_ of_individuals'!U829*'Model_ of_individuals'!$K829,"")</f>
        <v/>
      </c>
      <c r="V809" s="493" t="str">
        <f>IF(ISNUMBER('Model_ of_individuals'!V829), 'Model_ of_individuals'!V829*'Model_ of_individuals'!$K829,"")</f>
        <v/>
      </c>
      <c r="W809" s="493" t="str">
        <f>IF(ISNUMBER('Model_ of_individuals'!W829), 'Model_ of_individuals'!W829*'Model_ of_individuals'!$K829,"")</f>
        <v/>
      </c>
      <c r="X809" s="493" t="str">
        <f>IF(ISNUMBER('Model_ of_individuals'!X829), 'Model_ of_individuals'!X829*'Model_ of_individuals'!$K829,"")</f>
        <v/>
      </c>
      <c r="Y809" s="493" t="str">
        <f>IF(ISNUMBER('Model_ of_individuals'!Y829), 'Model_ of_individuals'!Y829*'Model_ of_individuals'!$K829,"")</f>
        <v/>
      </c>
    </row>
    <row r="810" spans="1:25" x14ac:dyDescent="0.25">
      <c r="A810" s="518"/>
      <c r="B810" s="504"/>
      <c r="C810" s="376" t="str">
        <f>IF(AND(ISNUMBER(B792), OR('Cost Inputs'!$H$85&lt;&gt;"", 'Cost Inputs'!$I$85&lt;&gt;"", 'Cost Inputs'!$J$85&lt;&gt;"")), _3_5_1, "")</f>
        <v/>
      </c>
      <c r="D810" s="17" t="str">
        <f>IF(AND(C809&lt;&gt;"", 'Cost Inputs'!$G$201&lt;&gt;""), 'Cost Inputs'!$G$201, "")</f>
        <v/>
      </c>
      <c r="E810" s="17" t="str">
        <f>IF(AND(C809&lt;&gt;"", 'Cost Inputs'!$H$201&lt;&gt;""), 'Cost Inputs'!$H$201, "")</f>
        <v/>
      </c>
      <c r="F810" s="493"/>
      <c r="G810" s="105" t="str">
        <f t="shared" si="72"/>
        <v/>
      </c>
      <c r="H810" s="493"/>
      <c r="I810" s="105" t="str">
        <f>IF($C809&lt;&gt;"", IF(AND($E810&lt;&gt;"", H809&lt;&gt;""), H809/($E809*$E810), 0), "")</f>
        <v/>
      </c>
      <c r="J810" s="493" t="str">
        <f>IF(AND(C810&lt;&gt;"",('Cost Inputs'!$I$86+'Cost Inputs'!$J$86+'Cost Inputs'!$K$86)&gt;0), 'Cost Inputs'!$I$86+'Cost Inputs'!$J$86+'Cost Inputs'!$K$86, "")</f>
        <v/>
      </c>
      <c r="K810" s="105" t="str">
        <f>IF($C809&lt;&gt;"", IF(AND($E810&lt;&gt;"", J809&lt;&gt;""), J809/($E809*$E810), 0), "")</f>
        <v/>
      </c>
      <c r="M810" s="106"/>
      <c r="P810" s="493" t="str">
        <f>IF(ISNUMBER('Model_ of_individuals'!P830), 'Model_ of_individuals'!P830*'Model_ of_individuals'!$K830,"")</f>
        <v/>
      </c>
      <c r="Q810" s="493" t="str">
        <f>IF(ISNUMBER('Model_ of_individuals'!Q830), 'Model_ of_individuals'!Q830*'Model_ of_individuals'!$K830,"")</f>
        <v/>
      </c>
      <c r="R810" s="493" t="str">
        <f>IF(ISNUMBER('Model_ of_individuals'!R830), 'Model_ of_individuals'!R830*'Model_ of_individuals'!$K830,"")</f>
        <v/>
      </c>
      <c r="S810" s="493" t="str">
        <f>IF(ISNUMBER('Model_ of_individuals'!S830), 'Model_ of_individuals'!S830*'Model_ of_individuals'!$K830,"")</f>
        <v/>
      </c>
      <c r="T810" s="493" t="str">
        <f>IF(ISNUMBER('Model_ of_individuals'!T830), 'Model_ of_individuals'!T830*'Model_ of_individuals'!$K830,"")</f>
        <v/>
      </c>
      <c r="U810" s="493" t="str">
        <f>IF(ISNUMBER('Model_ of_individuals'!U830), 'Model_ of_individuals'!U830*'Model_ of_individuals'!$K830,"")</f>
        <v/>
      </c>
      <c r="V810" s="493" t="str">
        <f>IF(ISNUMBER('Model_ of_individuals'!V830), 'Model_ of_individuals'!V830*'Model_ of_individuals'!$K830,"")</f>
        <v/>
      </c>
      <c r="W810" s="493" t="str">
        <f>IF(ISNUMBER('Model_ of_individuals'!W830), 'Model_ of_individuals'!W830*'Model_ of_individuals'!$K830,"")</f>
        <v/>
      </c>
      <c r="X810" s="493" t="str">
        <f>IF(ISNUMBER('Model_ of_individuals'!X830), 'Model_ of_individuals'!X830*'Model_ of_individuals'!$K830,"")</f>
        <v/>
      </c>
      <c r="Y810" s="493" t="str">
        <f>IF(ISNUMBER('Model_ of_individuals'!Y830), 'Model_ of_individuals'!Y830*'Model_ of_individuals'!$K830,"")</f>
        <v/>
      </c>
    </row>
    <row r="811" spans="1:25" x14ac:dyDescent="0.25">
      <c r="A811" s="518"/>
      <c r="B811" s="504"/>
      <c r="C811" s="107" t="str">
        <f>IF(AND(ISNUMBER(B778), C807&lt;&gt;"", OR('Cost Inputs'!$H$202&lt;&gt;"", 'Cost Inputs'!$I$202&lt;&gt;"", 'Cost Inputs'!$J$202&lt;&gt;"")), _6_5_2, "")</f>
        <v/>
      </c>
      <c r="D811" s="93" t="str">
        <f>IF(AND(C811&lt;&gt;"", 'Cost Inputs'!$G$202&lt;&gt;""), 'Cost Inputs'!$G$202, "")</f>
        <v/>
      </c>
      <c r="E811" s="93" t="str">
        <f>IF(AND(C811&lt;&gt;"", 'Cost Inputs'!$H$202&lt;&gt;""), 'Cost Inputs'!$H$202, "")</f>
        <v/>
      </c>
      <c r="F811" s="93" t="str">
        <f>IF(AND(C811&lt;&gt;"", 'Cost Inputs'!$I$202&lt;&gt;""), 'Cost Inputs'!$I$202, "")</f>
        <v/>
      </c>
      <c r="G811" s="108" t="str">
        <f t="shared" si="72"/>
        <v/>
      </c>
      <c r="H811" s="93" t="str">
        <f>IF(AND(C811&lt;&gt;"", 'Cost Inputs'!$J$202&lt;&gt;""), 'Cost Inputs'!$J$202, "")</f>
        <v/>
      </c>
      <c r="I811" s="93" t="str">
        <f>IF($C811&lt;&gt;"", IF(AND($E811&lt;&gt;"", H811&lt;&gt;""), H811/$E811, 0),"")</f>
        <v/>
      </c>
      <c r="J811" s="93" t="str">
        <f>IF(AND(C811&lt;&gt;"",('Cost Inputs'!$I$202+'Cost Inputs'!$J$202+'Cost Inputs'!$K$202)&gt;0), 'Cost Inputs'!$I$202+'Cost Inputs'!$J$202+'Cost Inputs'!$K$202, "")</f>
        <v/>
      </c>
      <c r="K811" s="93" t="str">
        <f>IF($C811&lt;&gt;"", IF(AND($E811&lt;&gt;"", J811&lt;&gt;""), J811/$E811, 0),"")</f>
        <v/>
      </c>
      <c r="L811" s="93"/>
      <c r="M811" s="109"/>
      <c r="P811" s="93" t="str">
        <f>IF(ISNUMBER('Model_ of_individuals'!P831), 'Model_ of_individuals'!P831*'Model_ of_individuals'!$K831,"")</f>
        <v/>
      </c>
      <c r="Q811" s="93" t="str">
        <f>IF(ISNUMBER('Model_ of_individuals'!Q831), 'Model_ of_individuals'!Q831*'Model_ of_individuals'!$K831,"")</f>
        <v/>
      </c>
      <c r="R811" s="93" t="str">
        <f>IF(ISNUMBER('Model_ of_individuals'!R831), 'Model_ of_individuals'!R831*'Model_ of_individuals'!$K831,"")</f>
        <v/>
      </c>
      <c r="S811" s="93" t="str">
        <f>IF(ISNUMBER('Model_ of_individuals'!S831), 'Model_ of_individuals'!S831*'Model_ of_individuals'!$K831,"")</f>
        <v/>
      </c>
      <c r="T811" s="93" t="str">
        <f>IF(ISNUMBER('Model_ of_individuals'!T831), 'Model_ of_individuals'!T831*'Model_ of_individuals'!$K831,"")</f>
        <v/>
      </c>
      <c r="U811" s="93" t="str">
        <f>IF(ISNUMBER('Model_ of_individuals'!U831), 'Model_ of_individuals'!U831*'Model_ of_individuals'!$K831,"")</f>
        <v/>
      </c>
      <c r="V811" s="93" t="str">
        <f>IF(ISNUMBER('Model_ of_individuals'!V831), 'Model_ of_individuals'!V831*'Model_ of_individuals'!$K831,"")</f>
        <v/>
      </c>
      <c r="W811" s="93" t="str">
        <f>IF(ISNUMBER('Model_ of_individuals'!W831), 'Model_ of_individuals'!W831*'Model_ of_individuals'!$K831,"")</f>
        <v/>
      </c>
      <c r="X811" s="93" t="str">
        <f>IF(ISNUMBER('Model_ of_individuals'!X831), 'Model_ of_individuals'!X831*'Model_ of_individuals'!$K831,"")</f>
        <v/>
      </c>
      <c r="Y811" s="93" t="str">
        <f>IF(ISNUMBER('Model_ of_individuals'!Y831), 'Model_ of_individuals'!Y831*'Model_ of_individuals'!$K831,"")</f>
        <v/>
      </c>
    </row>
    <row r="812" spans="1:25" x14ac:dyDescent="0.25">
      <c r="A812" s="518"/>
      <c r="B812" s="504"/>
      <c r="C812" s="104" t="str">
        <f>IF(AND(ISNUMBER(B778), C807&lt;&gt;"", OR('Cost Inputs'!$H$203&lt;&gt;"", 'Cost Inputs'!$I$203&lt;&gt;"", 'Cost Inputs'!$J$203&lt;&gt;"")), _6_5_3, "")</f>
        <v/>
      </c>
      <c r="D812" s="17" t="str">
        <f>IF(AND(C812&lt;&gt;"", 'Cost Inputs'!$G$203&lt;&gt;""), 'Cost Inputs'!$G$203, "")</f>
        <v/>
      </c>
      <c r="E812" s="17" t="str">
        <f>IF(AND(C812&lt;&gt;"", 'Cost Inputs'!$H$203&lt;&gt;""), 'Cost Inputs'!$H$203, "")</f>
        <v/>
      </c>
      <c r="F812" s="17" t="str">
        <f>IF(AND(C812&lt;&gt;"", 'Cost Inputs'!$I$203&lt;&gt;""), 'Cost Inputs'!$I$203, "")</f>
        <v/>
      </c>
      <c r="G812" s="105" t="str">
        <f t="shared" si="72"/>
        <v/>
      </c>
      <c r="H812" s="17" t="str">
        <f>IF(AND(C812&lt;&gt;"", 'Cost Inputs'!$J$203&lt;&gt;""), 'Cost Inputs'!$J$203, "")</f>
        <v/>
      </c>
      <c r="I812" s="17" t="str">
        <f>IF($C812&lt;&gt;"", IF(AND($E812&lt;&gt;"", H812&lt;&gt;""), H812/$E812, 0),"")</f>
        <v/>
      </c>
      <c r="J812" s="17" t="str">
        <f>IF(AND(C812&lt;&gt;"",('Cost Inputs'!$I$203+'Cost Inputs'!$J$203+'Cost Inputs'!$K$203)&gt;0), 'Cost Inputs'!$I$203+'Cost Inputs'!$J$203+'Cost Inputs'!$K$203, "")</f>
        <v/>
      </c>
      <c r="K812" s="17" t="str">
        <f>IF($C812&lt;&gt;"", IF(AND($E812&lt;&gt;"", J812&lt;&gt;""), J812/$E812, 0),"")</f>
        <v/>
      </c>
      <c r="M812" s="106"/>
      <c r="P812" s="17" t="str">
        <f>IF(ISNUMBER('Model_ of_individuals'!P832), 'Model_ of_individuals'!P832*'Model_ of_individuals'!$K832,"")</f>
        <v/>
      </c>
      <c r="Q812" s="17" t="str">
        <f>IF(ISNUMBER('Model_ of_individuals'!Q832), 'Model_ of_individuals'!Q832*'Model_ of_individuals'!$K832,"")</f>
        <v/>
      </c>
      <c r="R812" s="17" t="str">
        <f>IF(ISNUMBER('Model_ of_individuals'!R832), 'Model_ of_individuals'!R832*'Model_ of_individuals'!$K832,"")</f>
        <v/>
      </c>
      <c r="S812" s="17" t="str">
        <f>IF(ISNUMBER('Model_ of_individuals'!S832), 'Model_ of_individuals'!S832*'Model_ of_individuals'!$K832,"")</f>
        <v/>
      </c>
      <c r="T812" s="17" t="str">
        <f>IF(ISNUMBER('Model_ of_individuals'!T832), 'Model_ of_individuals'!T832*'Model_ of_individuals'!$K832,"")</f>
        <v/>
      </c>
      <c r="U812" s="17" t="str">
        <f>IF(ISNUMBER('Model_ of_individuals'!U832), 'Model_ of_individuals'!U832*'Model_ of_individuals'!$K832,"")</f>
        <v/>
      </c>
      <c r="V812" s="17" t="str">
        <f>IF(ISNUMBER('Model_ of_individuals'!V832), 'Model_ of_individuals'!V832*'Model_ of_individuals'!$K832,"")</f>
        <v/>
      </c>
      <c r="W812" s="17" t="str">
        <f>IF(ISNUMBER('Model_ of_individuals'!W832), 'Model_ of_individuals'!W832*'Model_ of_individuals'!$K832,"")</f>
        <v/>
      </c>
      <c r="X812" s="17" t="str">
        <f>IF(ISNUMBER('Model_ of_individuals'!X832), 'Model_ of_individuals'!X832*'Model_ of_individuals'!$K832,"")</f>
        <v/>
      </c>
      <c r="Y812" s="17" t="str">
        <f>IF(ISNUMBER('Model_ of_individuals'!Y832), 'Model_ of_individuals'!Y832*'Model_ of_individuals'!$K832,"")</f>
        <v/>
      </c>
    </row>
    <row r="813" spans="1:25" x14ac:dyDescent="0.25">
      <c r="A813" s="518"/>
      <c r="B813" s="504"/>
      <c r="C813" s="107" t="str">
        <f>IF(AND(ISNUMBER(B778), C807&lt;&gt;"", OR('Cost Inputs'!$H$204&lt;&gt;"", 'Cost Inputs'!$I$204&lt;&gt;"", 'Cost Inputs'!$J$204&lt;&gt;"")), _6_5_4, "")</f>
        <v/>
      </c>
      <c r="D813" s="93" t="str">
        <f>IF(AND(C813&lt;&gt;"", 'Cost Inputs'!$G$204&lt;&gt;""), 'Cost Inputs'!$G$204, "")</f>
        <v/>
      </c>
      <c r="E813" s="93" t="str">
        <f>IF(AND(C813&lt;&gt;"", 'Cost Inputs'!$H$204&lt;&gt;""), 'Cost Inputs'!$H$204, "")</f>
        <v/>
      </c>
      <c r="F813" s="93" t="str">
        <f>IF(AND(C813&lt;&gt;"", 'Cost Inputs'!$I$204&lt;&gt;""), 'Cost Inputs'!$I$204, "")</f>
        <v/>
      </c>
      <c r="G813" s="108" t="str">
        <f t="shared" si="72"/>
        <v/>
      </c>
      <c r="H813" s="93" t="str">
        <f>IF(AND(C813&lt;&gt;"", 'Cost Inputs'!$J$204&lt;&gt;""), 'Cost Inputs'!$J$204, "")</f>
        <v/>
      </c>
      <c r="I813" s="93" t="str">
        <f>IF($C813&lt;&gt;"", IF(AND($E813&lt;&gt;"", H813&lt;&gt;""), H813/$E813, 0),"")</f>
        <v/>
      </c>
      <c r="J813" s="93" t="str">
        <f>IF(AND(C813&lt;&gt;"",('Cost Inputs'!$I$204+'Cost Inputs'!$J$204+'Cost Inputs'!$K$204)&gt;0), 'Cost Inputs'!$I$204+'Cost Inputs'!$J$204+'Cost Inputs'!$K$204, "")</f>
        <v/>
      </c>
      <c r="K813" s="93" t="str">
        <f>IF($C813&lt;&gt;"", IF(AND($E813&lt;&gt;"", J813&lt;&gt;""), J813/$E813, 0),"")</f>
        <v/>
      </c>
      <c r="L813" s="93"/>
      <c r="M813" s="109"/>
      <c r="P813" s="93" t="str">
        <f>IF(ISNUMBER('Model_ of_individuals'!P833), 'Model_ of_individuals'!P833*'Model_ of_individuals'!$K833,"")</f>
        <v/>
      </c>
      <c r="Q813" s="93" t="str">
        <f>IF(ISNUMBER('Model_ of_individuals'!Q833), 'Model_ of_individuals'!Q833*'Model_ of_individuals'!$K833,"")</f>
        <v/>
      </c>
      <c r="R813" s="93" t="str">
        <f>IF(ISNUMBER('Model_ of_individuals'!R833), 'Model_ of_individuals'!R833*'Model_ of_individuals'!$K833,"")</f>
        <v/>
      </c>
      <c r="S813" s="93" t="str">
        <f>IF(ISNUMBER('Model_ of_individuals'!S833), 'Model_ of_individuals'!S833*'Model_ of_individuals'!$K833,"")</f>
        <v/>
      </c>
      <c r="T813" s="93" t="str">
        <f>IF(ISNUMBER('Model_ of_individuals'!T833), 'Model_ of_individuals'!T833*'Model_ of_individuals'!$K833,"")</f>
        <v/>
      </c>
      <c r="U813" s="93" t="str">
        <f>IF(ISNUMBER('Model_ of_individuals'!U833), 'Model_ of_individuals'!U833*'Model_ of_individuals'!$K833,"")</f>
        <v/>
      </c>
      <c r="V813" s="93" t="str">
        <f>IF(ISNUMBER('Model_ of_individuals'!V833), 'Model_ of_individuals'!V833*'Model_ of_individuals'!$K833,"")</f>
        <v/>
      </c>
      <c r="W813" s="93" t="str">
        <f>IF(ISNUMBER('Model_ of_individuals'!W833), 'Model_ of_individuals'!W833*'Model_ of_individuals'!$K833,"")</f>
        <v/>
      </c>
      <c r="X813" s="93" t="str">
        <f>IF(ISNUMBER('Model_ of_individuals'!X833), 'Model_ of_individuals'!X833*'Model_ of_individuals'!$K833,"")</f>
        <v/>
      </c>
      <c r="Y813" s="93" t="str">
        <f>IF(ISNUMBER('Model_ of_individuals'!Y833), 'Model_ of_individuals'!Y833*'Model_ of_individuals'!$K833,"")</f>
        <v/>
      </c>
    </row>
    <row r="814" spans="1:25" x14ac:dyDescent="0.25">
      <c r="A814" s="518"/>
      <c r="B814" s="504"/>
      <c r="C814" s="104" t="str">
        <f>IF(AND(ISNUMBER(B778), C807&lt;&gt;"", OR('Cost Inputs'!$H$205&lt;&gt;"", 'Cost Inputs'!$I$205&lt;&gt;"", 'Cost Inputs'!$J$205&lt;&gt;"")), _6_5_5, "")</f>
        <v/>
      </c>
      <c r="D814" s="17" t="str">
        <f>IF(AND(C814&lt;&gt;"", 'Cost Inputs'!$G$205&lt;&gt;""), 'Cost Inputs'!$G$205, "")</f>
        <v/>
      </c>
      <c r="E814" s="17" t="str">
        <f>IF(AND(C814&lt;&gt;"", 'Cost Inputs'!$H$205&lt;&gt;""), 'Cost Inputs'!$H$205, "")</f>
        <v/>
      </c>
      <c r="F814" s="17" t="str">
        <f>IF(AND(C814&lt;&gt;"", 'Cost Inputs'!$I$205&lt;&gt;""), 'Cost Inputs'!$I$205, "")</f>
        <v/>
      </c>
      <c r="G814" s="105" t="str">
        <f t="shared" si="72"/>
        <v/>
      </c>
      <c r="H814" s="17" t="str">
        <f>IF(AND(C814&lt;&gt;"", 'Cost Inputs'!$J$205&lt;&gt;""), 'Cost Inputs'!$J$205, "")</f>
        <v/>
      </c>
      <c r="I814" s="17" t="str">
        <f>IF($C814&lt;&gt;"", IF(AND($E814&lt;&gt;"", H814&lt;&gt;""), H814/$E814, 0),"")</f>
        <v/>
      </c>
      <c r="J814" s="17" t="str">
        <f>IF(AND(C814&lt;&gt;"",('Cost Inputs'!$I$205+'Cost Inputs'!$J$205+'Cost Inputs'!$K$205)&gt;0), 'Cost Inputs'!$I$205+'Cost Inputs'!$J$205+'Cost Inputs'!$K$205, "")</f>
        <v/>
      </c>
      <c r="K814" s="17" t="str">
        <f>IF($C814&lt;&gt;"", IF(AND($E814&lt;&gt;"", J814&lt;&gt;""), J814/$E814, 0),"")</f>
        <v/>
      </c>
      <c r="M814" s="106"/>
      <c r="P814" s="17" t="str">
        <f>IF(ISNUMBER('Model_ of_individuals'!P834), 'Model_ of_individuals'!P834*'Model_ of_individuals'!$K834,"")</f>
        <v/>
      </c>
      <c r="Q814" s="17" t="str">
        <f>IF(ISNUMBER('Model_ of_individuals'!Q834), 'Model_ of_individuals'!Q834*'Model_ of_individuals'!$K834,"")</f>
        <v/>
      </c>
      <c r="R814" s="17" t="str">
        <f>IF(ISNUMBER('Model_ of_individuals'!R834), 'Model_ of_individuals'!R834*'Model_ of_individuals'!$K834,"")</f>
        <v/>
      </c>
      <c r="S814" s="17" t="str">
        <f>IF(ISNUMBER('Model_ of_individuals'!S834), 'Model_ of_individuals'!S834*'Model_ of_individuals'!$K834,"")</f>
        <v/>
      </c>
      <c r="T814" s="17" t="str">
        <f>IF(ISNUMBER('Model_ of_individuals'!T834), 'Model_ of_individuals'!T834*'Model_ of_individuals'!$K834,"")</f>
        <v/>
      </c>
      <c r="U814" s="17" t="str">
        <f>IF(ISNUMBER('Model_ of_individuals'!U834), 'Model_ of_individuals'!U834*'Model_ of_individuals'!$K834,"")</f>
        <v/>
      </c>
      <c r="V814" s="17" t="str">
        <f>IF(ISNUMBER('Model_ of_individuals'!V834), 'Model_ of_individuals'!V834*'Model_ of_individuals'!$K834,"")</f>
        <v/>
      </c>
      <c r="W814" s="17" t="str">
        <f>IF(ISNUMBER('Model_ of_individuals'!W834), 'Model_ of_individuals'!W834*'Model_ of_individuals'!$K834,"")</f>
        <v/>
      </c>
      <c r="X814" s="17" t="str">
        <f>IF(ISNUMBER('Model_ of_individuals'!X834), 'Model_ of_individuals'!X834*'Model_ of_individuals'!$K834,"")</f>
        <v/>
      </c>
      <c r="Y814" s="17" t="str">
        <f>IF(ISNUMBER('Model_ of_individuals'!Y834), 'Model_ of_individuals'!Y834*'Model_ of_individuals'!$K834,"")</f>
        <v/>
      </c>
    </row>
    <row r="815" spans="1:25" x14ac:dyDescent="0.25">
      <c r="A815" s="518"/>
      <c r="B815" s="504"/>
      <c r="C815" s="110" t="str">
        <f>IF(ISNUMBER(B778), _6_6_0, "")</f>
        <v/>
      </c>
      <c r="D815" s="94" t="str">
        <f>IF(AND(C815&lt;&gt;"", 'Cost Inputs'!$G$206&lt;&gt;""), 'Cost Inputs'!$G$206, "")</f>
        <v/>
      </c>
      <c r="E815" s="94" t="str">
        <f>IF(AND(C815&lt;&gt;"", 'Cost Inputs'!$H$206&lt;&gt;""), 'Cost Inputs'!$H$206, "")</f>
        <v/>
      </c>
      <c r="F815" s="94" t="str">
        <f>IF(AND(C815&lt;&gt;"", 'Cost Inputs'!$I$206&lt;&gt;""), 'Cost Inputs'!$I$206, "")</f>
        <v/>
      </c>
      <c r="G815" s="102" t="str">
        <f t="shared" si="72"/>
        <v/>
      </c>
      <c r="H815" s="94" t="str">
        <f>IF(AND(C815&lt;&gt;"", 'Cost Inputs'!$J$206&lt;&gt;""), 'Cost Inputs'!$J$206, "")</f>
        <v/>
      </c>
      <c r="I815" s="102" t="str">
        <f>IF($C815&lt;&gt;"",IF(AND($E815&lt;&gt;"",H815&lt;&gt;""), H815/$E815, 0),"")</f>
        <v/>
      </c>
      <c r="J815" s="94" t="str">
        <f>IF(AND(C815&lt;&gt;"",('Cost Inputs'!$I$206+'Cost Inputs'!$J$206+'Cost Inputs'!$K$206)&gt;0), 'Cost Inputs'!$I$206+'Cost Inputs'!$J$206+'Cost Inputs'!$K$206, "")</f>
        <v/>
      </c>
      <c r="K815" s="102" t="str">
        <f>IF($C815&lt;&gt;"",IF(AND($E815&lt;&gt;"",J815&lt;&gt;""), J815/$E815, 0),"")</f>
        <v/>
      </c>
      <c r="L815" s="94"/>
      <c r="M815" s="103"/>
      <c r="P815" s="94" t="str">
        <f>IF(ISNUMBER('Model_ of_individuals'!P835), 'Model_ of_individuals'!P835*'Model_ of_individuals'!$K835,"")</f>
        <v/>
      </c>
      <c r="Q815" s="94" t="str">
        <f>IF(ISNUMBER('Model_ of_individuals'!Q835), 'Model_ of_individuals'!Q835*'Model_ of_individuals'!$K835,"")</f>
        <v/>
      </c>
      <c r="R815" s="94" t="str">
        <f>IF(ISNUMBER('Model_ of_individuals'!R835), 'Model_ of_individuals'!R835*'Model_ of_individuals'!$K835,"")</f>
        <v/>
      </c>
      <c r="S815" s="94" t="str">
        <f>IF(ISNUMBER('Model_ of_individuals'!S835), 'Model_ of_individuals'!S835*'Model_ of_individuals'!$K835,"")</f>
        <v/>
      </c>
      <c r="T815" s="94" t="str">
        <f>IF(ISNUMBER('Model_ of_individuals'!T835), 'Model_ of_individuals'!T835*'Model_ of_individuals'!$K835,"")</f>
        <v/>
      </c>
      <c r="U815" s="94" t="str">
        <f>IF(ISNUMBER('Model_ of_individuals'!U835), 'Model_ of_individuals'!U835*'Model_ of_individuals'!$K835,"")</f>
        <v/>
      </c>
      <c r="V815" s="94" t="str">
        <f>IF(ISNUMBER('Model_ of_individuals'!V835), 'Model_ of_individuals'!V835*'Model_ of_individuals'!$K835,"")</f>
        <v/>
      </c>
      <c r="W815" s="94" t="str">
        <f>IF(ISNUMBER('Model_ of_individuals'!W835), 'Model_ of_individuals'!W835*'Model_ of_individuals'!$K835,"")</f>
        <v/>
      </c>
      <c r="X815" s="94" t="str">
        <f>IF(ISNUMBER('Model_ of_individuals'!X835), 'Model_ of_individuals'!X835*'Model_ of_individuals'!$K835,"")</f>
        <v/>
      </c>
      <c r="Y815" s="94" t="str">
        <f>IF(ISNUMBER('Model_ of_individuals'!Y835), 'Model_ of_individuals'!Y835*'Model_ of_individuals'!$K835,"")</f>
        <v/>
      </c>
    </row>
    <row r="816" spans="1:25" x14ac:dyDescent="0.25">
      <c r="A816" s="518"/>
      <c r="B816" s="504"/>
      <c r="C816" s="104" t="str">
        <f>IF(AND(ISNUMBER(B778), OR('Cost Inputs'!$H$207&lt;&gt;"", 'Cost Inputs'!$I$207&lt;&gt;"", 'Cost Inputs'!$J$207&lt;&gt;"")), _6_6_1, "")</f>
        <v/>
      </c>
      <c r="D816" s="17" t="str">
        <f>IF(AND(C816&lt;&gt;"", 'Cost Inputs'!$G$207&lt;&gt;""), 'Cost Inputs'!$G$207, "")</f>
        <v/>
      </c>
      <c r="E816" s="17" t="str">
        <f>IF(AND(C816&lt;&gt;"", 'Cost Inputs'!$H$207&lt;&gt;""), 'Cost Inputs'!$H$207, "")</f>
        <v/>
      </c>
      <c r="F816" s="17" t="str">
        <f>IF(AND(C816&lt;&gt;"", 'Cost Inputs'!$I$207&lt;&gt;""), 'Cost Inputs'!$I$207, "")</f>
        <v/>
      </c>
      <c r="G816" s="105" t="str">
        <f t="shared" si="72"/>
        <v/>
      </c>
      <c r="H816" s="17" t="str">
        <f>IF(AND(C816&lt;&gt;"", 'Cost Inputs'!$J$207&lt;&gt;""), 'Cost Inputs'!$J$207, "")</f>
        <v/>
      </c>
      <c r="I816" s="17" t="str">
        <f>IF($C816&lt;&gt;"", IF(AND($E816&lt;&gt;"", H816&lt;&gt;""), H816/$E816, 0),"")</f>
        <v/>
      </c>
      <c r="J816" s="17" t="str">
        <f>IF(AND(C816&lt;&gt;"",('Cost Inputs'!$I$207+'Cost Inputs'!$J$207+'Cost Inputs'!$K$207)&gt;0), 'Cost Inputs'!$I$207+'Cost Inputs'!$J$207+'Cost Inputs'!$K$207, "")</f>
        <v/>
      </c>
      <c r="K816" s="17" t="str">
        <f>IF($C816&lt;&gt;"", IF(AND($E816&lt;&gt;"", J816&lt;&gt;""), J816/$E816, 0),"")</f>
        <v/>
      </c>
      <c r="M816" s="106"/>
      <c r="P816" s="17" t="str">
        <f>IF(ISNUMBER('Model_ of_individuals'!P836), 'Model_ of_individuals'!P836*'Model_ of_individuals'!$K836,"")</f>
        <v/>
      </c>
      <c r="Q816" s="17" t="str">
        <f>IF(ISNUMBER('Model_ of_individuals'!Q836), 'Model_ of_individuals'!Q836*'Model_ of_individuals'!$K836,"")</f>
        <v/>
      </c>
      <c r="R816" s="17" t="str">
        <f>IF(ISNUMBER('Model_ of_individuals'!R836), 'Model_ of_individuals'!R836*'Model_ of_individuals'!$K836,"")</f>
        <v/>
      </c>
      <c r="S816" s="17" t="str">
        <f>IF(ISNUMBER('Model_ of_individuals'!S836), 'Model_ of_individuals'!S836*'Model_ of_individuals'!$K836,"")</f>
        <v/>
      </c>
      <c r="T816" s="17" t="str">
        <f>IF(ISNUMBER('Model_ of_individuals'!T836), 'Model_ of_individuals'!T836*'Model_ of_individuals'!$K836,"")</f>
        <v/>
      </c>
      <c r="U816" s="17" t="str">
        <f>IF(ISNUMBER('Model_ of_individuals'!U836), 'Model_ of_individuals'!U836*'Model_ of_individuals'!$K836,"")</f>
        <v/>
      </c>
      <c r="V816" s="17" t="str">
        <f>IF(ISNUMBER('Model_ of_individuals'!V836), 'Model_ of_individuals'!V836*'Model_ of_individuals'!$K836,"")</f>
        <v/>
      </c>
      <c r="W816" s="17" t="str">
        <f>IF(ISNUMBER('Model_ of_individuals'!W836), 'Model_ of_individuals'!W836*'Model_ of_individuals'!$K836,"")</f>
        <v/>
      </c>
      <c r="X816" s="17" t="str">
        <f>IF(ISNUMBER('Model_ of_individuals'!X836), 'Model_ of_individuals'!X836*'Model_ of_individuals'!$K836,"")</f>
        <v/>
      </c>
      <c r="Y816" s="17" t="str">
        <f>IF(ISNUMBER('Model_ of_individuals'!Y836), 'Model_ of_individuals'!Y836*'Model_ of_individuals'!$K836,"")</f>
        <v/>
      </c>
    </row>
    <row r="817" spans="1:26" ht="15.75" thickBot="1" x14ac:dyDescent="0.3">
      <c r="A817" s="518"/>
      <c r="B817" s="505"/>
      <c r="C817" s="111" t="str">
        <f>IF(AND(ISNUMBER(B778), OR('Cost Inputs'!$H$208&lt;&gt;"", 'Cost Inputs'!$I$208&lt;&gt;"", 'Cost Inputs'!$J$208&lt;&gt;"")), _6_6_2, "")</f>
        <v/>
      </c>
      <c r="D817" s="95" t="str">
        <f>IF(AND(C817&lt;&gt;"", 'Cost Inputs'!$G$208&lt;&gt;""), 'Cost Inputs'!$G$208, "")</f>
        <v/>
      </c>
      <c r="E817" s="95" t="str">
        <f>IF(AND(C817&lt;&gt;"", 'Cost Inputs'!$H$208&lt;&gt;""), 'Cost Inputs'!$H$208, "")</f>
        <v/>
      </c>
      <c r="F817" s="95" t="str">
        <f>IF(AND(C817&lt;&gt;"", 'Cost Inputs'!$I$208&lt;&gt;""), 'Cost Inputs'!$I$208, "")</f>
        <v/>
      </c>
      <c r="G817" s="112" t="str">
        <f t="shared" si="72"/>
        <v/>
      </c>
      <c r="H817" s="95" t="str">
        <f>IF(AND(C817&lt;&gt;"", 'Cost Inputs'!$J$208&lt;&gt;""), 'Cost Inputs'!$J$208, "")</f>
        <v/>
      </c>
      <c r="I817" s="95" t="str">
        <f>IF($C817&lt;&gt;"", IF(AND($E817&lt;&gt;"", H817&lt;&gt;""), H817/$E817, 0),"")</f>
        <v/>
      </c>
      <c r="J817" s="95" t="str">
        <f>IF(AND(C817&lt;&gt;"",('Cost Inputs'!$I$208+'Cost Inputs'!$J$208+'Cost Inputs'!$K$208)&gt;0), 'Cost Inputs'!$I$208+'Cost Inputs'!$J$208+'Cost Inputs'!$K$208, "")</f>
        <v/>
      </c>
      <c r="K817" s="95" t="str">
        <f>IF($C817&lt;&gt;"", IF(AND($E817&lt;&gt;"", J817&lt;&gt;""), J817/$E817, 0),"")</f>
        <v/>
      </c>
      <c r="L817" s="95"/>
      <c r="M817" s="113"/>
      <c r="P817" s="95" t="str">
        <f>IF(ISNUMBER('Model_ of_individuals'!P837), 'Model_ of_individuals'!P837*'Model_ of_individuals'!$K837,"")</f>
        <v/>
      </c>
      <c r="Q817" s="95" t="str">
        <f>IF(ISNUMBER('Model_ of_individuals'!Q837), 'Model_ of_individuals'!Q837*'Model_ of_individuals'!$K837,"")</f>
        <v/>
      </c>
      <c r="R817" s="95" t="str">
        <f>IF(ISNUMBER('Model_ of_individuals'!R837), 'Model_ of_individuals'!R837*'Model_ of_individuals'!$K837,"")</f>
        <v/>
      </c>
      <c r="S817" s="95" t="str">
        <f>IF(ISNUMBER('Model_ of_individuals'!S837), 'Model_ of_individuals'!S837*'Model_ of_individuals'!$K837,"")</f>
        <v/>
      </c>
      <c r="T817" s="95" t="str">
        <f>IF(ISNUMBER('Model_ of_individuals'!T837), 'Model_ of_individuals'!T837*'Model_ of_individuals'!$K837,"")</f>
        <v/>
      </c>
      <c r="U817" s="95" t="str">
        <f>IF(ISNUMBER('Model_ of_individuals'!U837), 'Model_ of_individuals'!U837*'Model_ of_individuals'!$K837,"")</f>
        <v/>
      </c>
      <c r="V817" s="95" t="str">
        <f>IF(ISNUMBER('Model_ of_individuals'!V837), 'Model_ of_individuals'!V837*'Model_ of_individuals'!$K837,"")</f>
        <v/>
      </c>
      <c r="W817" s="95" t="str">
        <f>IF(ISNUMBER('Model_ of_individuals'!W837), 'Model_ of_individuals'!W837*'Model_ of_individuals'!$K837,"")</f>
        <v/>
      </c>
      <c r="X817" s="95" t="str">
        <f>IF(ISNUMBER('Model_ of_individuals'!X837), 'Model_ of_individuals'!X837*'Model_ of_individuals'!$K837,"")</f>
        <v/>
      </c>
      <c r="Y817" s="95" t="str">
        <f>IF(ISNUMBER('Model_ of_individuals'!Y837), 'Model_ of_individuals'!Y837*'Model_ of_individuals'!$K837,"")</f>
        <v/>
      </c>
    </row>
    <row r="818" spans="1:26" x14ac:dyDescent="0.25">
      <c r="A818" s="518" t="str">
        <f>Sixth_Stage</f>
        <v>Stage 4 Grower Trials</v>
      </c>
      <c r="B818" s="503" t="str">
        <f>'Breeding Inputs'!B115</f>
        <v/>
      </c>
      <c r="C818" s="521" t="str">
        <f>IF(ISNUMBER(B800), _6_3_0, "")</f>
        <v/>
      </c>
      <c r="D818" s="94" t="str">
        <f>IF(AND(C818&lt;&gt;"", 'Cost Inputs'!$G$187&lt;&gt;""), 'Cost Inputs'!$G$187, "")</f>
        <v/>
      </c>
      <c r="E818" s="94" t="str">
        <f>IF(AND(C818&lt;&gt;"", 'Cost Inputs'!$H$187&lt;&gt;""), 'Cost Inputs'!$H$187, "")</f>
        <v/>
      </c>
      <c r="F818" s="492" t="str">
        <f>IF(AND(C818&lt;&gt;"", 'Cost Inputs'!$I$187&lt;&gt;""), 'Cost Inputs'!$I$187, "")</f>
        <v/>
      </c>
      <c r="G818" s="102" t="str">
        <f t="shared" si="72"/>
        <v/>
      </c>
      <c r="H818" s="492" t="str">
        <f>IF(AND(C818&lt;&gt;"", 'Cost Inputs'!$J$187&lt;&gt;""), 'Cost Inputs'!$J$187, "")</f>
        <v/>
      </c>
      <c r="I818" s="102" t="str">
        <f>IF($C818&lt;&gt;"",IF(AND($E818&lt;&gt;"",H818&lt;&gt;""), H818/$E818, 0),"")</f>
        <v/>
      </c>
      <c r="J818" s="492" t="str">
        <f>IF(AND(C818&lt;&gt;"",('Cost Inputs'!$I$187+'Cost Inputs'!$J$187+'Cost Inputs'!$K$187)&gt;0), 'Cost Inputs'!$I$187+'Cost Inputs'!$J$187+'Cost Inputs'!$K$187, "")</f>
        <v/>
      </c>
      <c r="K818" s="102" t="str">
        <f>IF($C818&lt;&gt;"",IF(AND($E818&lt;&gt;"",J818&lt;&gt;""), J818/$E818, 0),"")</f>
        <v/>
      </c>
      <c r="L818" s="94"/>
      <c r="M818" s="103"/>
      <c r="Q818" s="492" t="str">
        <f>IF(ISNUMBER('Model_ of_individuals'!Q838), 'Model_ of_individuals'!Q838*'Model_ of_individuals'!$K838,"")</f>
        <v/>
      </c>
      <c r="R818" s="492" t="str">
        <f>IF(ISNUMBER('Model_ of_individuals'!R838), 'Model_ of_individuals'!R838*'Model_ of_individuals'!$K838,"")</f>
        <v/>
      </c>
      <c r="S818" s="492" t="str">
        <f>IF(ISNUMBER('Model_ of_individuals'!S838), 'Model_ of_individuals'!S838*'Model_ of_individuals'!$K838,"")</f>
        <v/>
      </c>
      <c r="T818" s="492" t="str">
        <f>IF(ISNUMBER('Model_ of_individuals'!T838), 'Model_ of_individuals'!T838*'Model_ of_individuals'!$K838,"")</f>
        <v/>
      </c>
      <c r="U818" s="492" t="str">
        <f>IF(ISNUMBER('Model_ of_individuals'!U838), 'Model_ of_individuals'!U838*'Model_ of_individuals'!$K838,"")</f>
        <v/>
      </c>
      <c r="V818" s="492" t="str">
        <f>IF(ISNUMBER('Model_ of_individuals'!V838), 'Model_ of_individuals'!V838*'Model_ of_individuals'!$K838,"")</f>
        <v/>
      </c>
      <c r="W818" s="492" t="str">
        <f>IF(ISNUMBER('Model_ of_individuals'!W838), 'Model_ of_individuals'!W838*'Model_ of_individuals'!$K838,"")</f>
        <v/>
      </c>
      <c r="X818" s="492" t="str">
        <f>IF(ISNUMBER('Model_ of_individuals'!X838), 'Model_ of_individuals'!X838*'Model_ of_individuals'!$K838,"")</f>
        <v/>
      </c>
      <c r="Y818" s="492" t="str">
        <f>IF(ISNUMBER('Model_ of_individuals'!Y838), 'Model_ of_individuals'!Y838*'Model_ of_individuals'!$K838,"")</f>
        <v/>
      </c>
      <c r="Z818" s="492" t="str">
        <f>IF(ISNUMBER('Model_ of_individuals'!Z838), 'Model_ of_individuals'!Z838*'Model_ of_individuals'!$K838,"")</f>
        <v/>
      </c>
    </row>
    <row r="819" spans="1:26" x14ac:dyDescent="0.25">
      <c r="A819" s="518"/>
      <c r="B819" s="504"/>
      <c r="C819" s="521"/>
      <c r="D819" s="94" t="str">
        <f>IF(AND(C818&lt;&gt;"", 'Cost Inputs'!$G$188&lt;&gt;""), 'Cost Inputs'!$G$188, "")</f>
        <v/>
      </c>
      <c r="E819" s="94" t="str">
        <f>IF(AND(C818&lt;&gt;"", 'Cost Inputs'!$H$188&lt;&gt;""), 'Cost Inputs'!$H$188, "")</f>
        <v/>
      </c>
      <c r="F819" s="492"/>
      <c r="G819" s="102" t="str">
        <f t="shared" si="72"/>
        <v/>
      </c>
      <c r="H819" s="492"/>
      <c r="I819" s="102" t="str">
        <f>IF($C818&lt;&gt;"", IF(AND($E819&lt;&gt;"", H818&lt;&gt;""), H818/($E818*$E819), 0), "")</f>
        <v/>
      </c>
      <c r="J819" s="492" t="str">
        <f>IF(AND(C819&lt;&gt;"",('Cost Inputs'!$I$86+'Cost Inputs'!$J$86+'Cost Inputs'!$K$86)&gt;0), 'Cost Inputs'!$I$86+'Cost Inputs'!$J$86+'Cost Inputs'!$K$86, "")</f>
        <v/>
      </c>
      <c r="K819" s="102" t="str">
        <f>IF($C818&lt;&gt;"", IF(AND($E819&lt;&gt;"", J818&lt;&gt;""), J818/($E818*$E819), 0), "")</f>
        <v/>
      </c>
      <c r="L819" s="94"/>
      <c r="M819" s="103"/>
      <c r="Q819" s="492" t="str">
        <f>IF(ISNUMBER('Model_ of_individuals'!Q839), 'Model_ of_individuals'!Q839*'Model_ of_individuals'!$K839,"")</f>
        <v/>
      </c>
      <c r="R819" s="492" t="str">
        <f>IF(ISNUMBER('Model_ of_individuals'!R839), 'Model_ of_individuals'!R839*'Model_ of_individuals'!$K839,"")</f>
        <v/>
      </c>
      <c r="S819" s="492" t="str">
        <f>IF(ISNUMBER('Model_ of_individuals'!S839), 'Model_ of_individuals'!S839*'Model_ of_individuals'!$K839,"")</f>
        <v/>
      </c>
      <c r="T819" s="492" t="str">
        <f>IF(ISNUMBER('Model_ of_individuals'!T839), 'Model_ of_individuals'!T839*'Model_ of_individuals'!$K839,"")</f>
        <v/>
      </c>
      <c r="U819" s="492" t="str">
        <f>IF(ISNUMBER('Model_ of_individuals'!U839), 'Model_ of_individuals'!U839*'Model_ of_individuals'!$K839,"")</f>
        <v/>
      </c>
      <c r="V819" s="492" t="str">
        <f>IF(ISNUMBER('Model_ of_individuals'!V839), 'Model_ of_individuals'!V839*'Model_ of_individuals'!$K839,"")</f>
        <v/>
      </c>
      <c r="W819" s="492" t="str">
        <f>IF(ISNUMBER('Model_ of_individuals'!W839), 'Model_ of_individuals'!W839*'Model_ of_individuals'!$K839,"")</f>
        <v/>
      </c>
      <c r="X819" s="492" t="str">
        <f>IF(ISNUMBER('Model_ of_individuals'!X839), 'Model_ of_individuals'!X839*'Model_ of_individuals'!$K839,"")</f>
        <v/>
      </c>
      <c r="Y819" s="492" t="str">
        <f>IF(ISNUMBER('Model_ of_individuals'!Y839), 'Model_ of_individuals'!Y839*'Model_ of_individuals'!$K839,"")</f>
        <v/>
      </c>
      <c r="Z819" s="492" t="str">
        <f>IF(ISNUMBER('Model_ of_individuals'!Z839), 'Model_ of_individuals'!Z839*'Model_ of_individuals'!$K839,"")</f>
        <v/>
      </c>
    </row>
    <row r="820" spans="1:26" x14ac:dyDescent="0.25">
      <c r="A820" s="518"/>
      <c r="B820" s="504"/>
      <c r="C820" s="104" t="str">
        <f>IF(AND(ISNUMBER(B800), OR('Cost Inputs'!$H$189&lt;&gt;"", 'Cost Inputs'!$I$189&lt;&gt;"", 'Cost Inputs'!$J$189&lt;&gt;"")), _6_3_1, "")</f>
        <v/>
      </c>
      <c r="D820" s="17" t="str">
        <f>IF(AND(C820&lt;&gt;"", 'Cost Inputs'!$G$189&lt;&gt;""), 'Cost Inputs'!$G$189, "")</f>
        <v/>
      </c>
      <c r="E820" s="17" t="str">
        <f>IF(AND(C820&lt;&gt;"", 'Cost Inputs'!$H$189&lt;&gt;""), 'Cost Inputs'!$H$189, "")</f>
        <v/>
      </c>
      <c r="F820" s="17" t="str">
        <f>IF(AND(C820&lt;&gt;"", 'Cost Inputs'!$I$189&lt;&gt;""), 'Cost Inputs'!$I$189, "")</f>
        <v/>
      </c>
      <c r="G820" s="105" t="str">
        <f t="shared" si="72"/>
        <v/>
      </c>
      <c r="H820" s="17" t="str">
        <f>IF(AND(C820&lt;&gt;"", 'Cost Inputs'!$J$189&lt;&gt;""), 'Cost Inputs'!$J$189, "")</f>
        <v/>
      </c>
      <c r="I820" s="17" t="str">
        <f t="shared" ref="I820:I828" si="75">IF($C820&lt;&gt;"", IF(AND($E820&lt;&gt;"", H820&lt;&gt;""), H820/$E820, 0),"")</f>
        <v/>
      </c>
      <c r="J820" s="17" t="str">
        <f>IF(AND(C820&lt;&gt;"",('Cost Inputs'!$I$189+'Cost Inputs'!$J$189+'Cost Inputs'!$K$189)&gt;0), 'Cost Inputs'!$I$189+'Cost Inputs'!$J$189+'Cost Inputs'!$K$189, "")</f>
        <v/>
      </c>
      <c r="K820" s="17" t="str">
        <f t="shared" ref="K820:K828" si="76">IF($C820&lt;&gt;"", IF(AND($E820&lt;&gt;"", J820&lt;&gt;""), J820/$E820, 0),"")</f>
        <v/>
      </c>
      <c r="M820" s="106"/>
      <c r="Q820" s="17" t="str">
        <f>IF(ISNUMBER('Model_ of_individuals'!Q840), 'Model_ of_individuals'!Q840*'Model_ of_individuals'!$K840,"")</f>
        <v/>
      </c>
      <c r="R820" s="17" t="str">
        <f>IF(ISNUMBER('Model_ of_individuals'!R840), 'Model_ of_individuals'!R840*'Model_ of_individuals'!$K840,"")</f>
        <v/>
      </c>
      <c r="S820" s="17" t="str">
        <f>IF(ISNUMBER('Model_ of_individuals'!S840), 'Model_ of_individuals'!S840*'Model_ of_individuals'!$K840,"")</f>
        <v/>
      </c>
      <c r="T820" s="17" t="str">
        <f>IF(ISNUMBER('Model_ of_individuals'!T840), 'Model_ of_individuals'!T840*'Model_ of_individuals'!$K840,"")</f>
        <v/>
      </c>
      <c r="U820" s="17" t="str">
        <f>IF(ISNUMBER('Model_ of_individuals'!U840), 'Model_ of_individuals'!U840*'Model_ of_individuals'!$K840,"")</f>
        <v/>
      </c>
      <c r="V820" s="17" t="str">
        <f>IF(ISNUMBER('Model_ of_individuals'!V840), 'Model_ of_individuals'!V840*'Model_ of_individuals'!$K840,"")</f>
        <v/>
      </c>
      <c r="W820" s="17" t="str">
        <f>IF(ISNUMBER('Model_ of_individuals'!W840), 'Model_ of_individuals'!W840*'Model_ of_individuals'!$K840,"")</f>
        <v/>
      </c>
      <c r="X820" s="17" t="str">
        <f>IF(ISNUMBER('Model_ of_individuals'!X840), 'Model_ of_individuals'!X840*'Model_ of_individuals'!$K840,"")</f>
        <v/>
      </c>
      <c r="Y820" s="17" t="str">
        <f>IF(ISNUMBER('Model_ of_individuals'!Y840), 'Model_ of_individuals'!Y840*'Model_ of_individuals'!$K840,"")</f>
        <v/>
      </c>
      <c r="Z820" s="17" t="str">
        <f>IF(ISNUMBER('Model_ of_individuals'!Z840), 'Model_ of_individuals'!Z840*'Model_ of_individuals'!$K840,"")</f>
        <v/>
      </c>
    </row>
    <row r="821" spans="1:26" x14ac:dyDescent="0.25">
      <c r="A821" s="518"/>
      <c r="B821" s="504"/>
      <c r="C821" s="107" t="str">
        <f>IF(AND(ISNUMBER(B800), OR('Cost Inputs'!$H$190&lt;&gt;"", 'Cost Inputs'!$I$190&lt;&gt;"", 'Cost Inputs'!$J$190&lt;&gt;"")), _6_3_2, "")</f>
        <v/>
      </c>
      <c r="D821" s="93" t="str">
        <f>IF(AND(C821&lt;&gt;"", 'Cost Inputs'!$G$190&lt;&gt;""), 'Cost Inputs'!$G$190, "")</f>
        <v/>
      </c>
      <c r="E821" s="93" t="str">
        <f>IF(AND(C821&lt;&gt;"", 'Cost Inputs'!$H$190&lt;&gt;""), 'Cost Inputs'!$H$190, "")</f>
        <v/>
      </c>
      <c r="F821" s="93" t="str">
        <f>IF(AND(C821&lt;&gt;"", 'Cost Inputs'!$I$190&lt;&gt;""), 'Cost Inputs'!$I$190, "")</f>
        <v/>
      </c>
      <c r="G821" s="108" t="str">
        <f t="shared" si="72"/>
        <v/>
      </c>
      <c r="H821" s="93" t="str">
        <f>IF(AND(C821&lt;&gt;"", 'Cost Inputs'!$J$190&lt;&gt;""), 'Cost Inputs'!$J$190, "")</f>
        <v/>
      </c>
      <c r="I821" s="93" t="str">
        <f t="shared" si="75"/>
        <v/>
      </c>
      <c r="J821" s="93" t="str">
        <f>IF(AND(C821&lt;&gt;"",('Cost Inputs'!$I$190+'Cost Inputs'!$J$190+'Cost Inputs'!$K$190)&gt;0), 'Cost Inputs'!$I$190+'Cost Inputs'!$J$190+'Cost Inputs'!$K$190, "")</f>
        <v/>
      </c>
      <c r="K821" s="93" t="str">
        <f t="shared" si="76"/>
        <v/>
      </c>
      <c r="L821" s="93"/>
      <c r="M821" s="109"/>
      <c r="Q821" s="93" t="str">
        <f>IF(ISNUMBER('Model_ of_individuals'!Q841), 'Model_ of_individuals'!Q841*'Model_ of_individuals'!$K841,"")</f>
        <v/>
      </c>
      <c r="R821" s="93" t="str">
        <f>IF(ISNUMBER('Model_ of_individuals'!R841), 'Model_ of_individuals'!R841*'Model_ of_individuals'!$K841,"")</f>
        <v/>
      </c>
      <c r="S821" s="93" t="str">
        <f>IF(ISNUMBER('Model_ of_individuals'!S841), 'Model_ of_individuals'!S841*'Model_ of_individuals'!$K841,"")</f>
        <v/>
      </c>
      <c r="T821" s="93" t="str">
        <f>IF(ISNUMBER('Model_ of_individuals'!T841), 'Model_ of_individuals'!T841*'Model_ of_individuals'!$K841,"")</f>
        <v/>
      </c>
      <c r="U821" s="93" t="str">
        <f>IF(ISNUMBER('Model_ of_individuals'!U841), 'Model_ of_individuals'!U841*'Model_ of_individuals'!$K841,"")</f>
        <v/>
      </c>
      <c r="V821" s="93" t="str">
        <f>IF(ISNUMBER('Model_ of_individuals'!V841), 'Model_ of_individuals'!V841*'Model_ of_individuals'!$K841,"")</f>
        <v/>
      </c>
      <c r="W821" s="93" t="str">
        <f>IF(ISNUMBER('Model_ of_individuals'!W841), 'Model_ of_individuals'!W841*'Model_ of_individuals'!$K841,"")</f>
        <v/>
      </c>
      <c r="X821" s="93" t="str">
        <f>IF(ISNUMBER('Model_ of_individuals'!X841), 'Model_ of_individuals'!X841*'Model_ of_individuals'!$K841,"")</f>
        <v/>
      </c>
      <c r="Y821" s="93" t="str">
        <f>IF(ISNUMBER('Model_ of_individuals'!Y841), 'Model_ of_individuals'!Y841*'Model_ of_individuals'!$K841,"")</f>
        <v/>
      </c>
      <c r="Z821" s="93" t="str">
        <f>IF(ISNUMBER('Model_ of_individuals'!Z841), 'Model_ of_individuals'!Z841*'Model_ of_individuals'!$K841,"")</f>
        <v/>
      </c>
    </row>
    <row r="822" spans="1:26" x14ac:dyDescent="0.25">
      <c r="A822" s="518"/>
      <c r="B822" s="504"/>
      <c r="C822" s="110" t="str">
        <f>IF(ISNUMBER(B800), _6_4_0, "")</f>
        <v/>
      </c>
      <c r="D822" s="94" t="str">
        <f>IF(AND(C822&lt;&gt;"", 'Cost Inputs'!$G$191&lt;&gt;""), 'Cost Inputs'!$G$191, "")</f>
        <v/>
      </c>
      <c r="E822" s="94" t="str">
        <f>IF(AND(C822&lt;&gt;"", 'Cost Inputs'!$H$191&lt;&gt;""), 'Cost Inputs'!$H$191, "")</f>
        <v/>
      </c>
      <c r="F822" s="94" t="str">
        <f>IF(AND(C822&lt;&gt;"", 'Cost Inputs'!$I$191&lt;&gt;""), 'Cost Inputs'!$I$191, "")</f>
        <v/>
      </c>
      <c r="G822" s="102" t="str">
        <f t="shared" si="72"/>
        <v/>
      </c>
      <c r="H822" s="102" t="str">
        <f>IF(AND(C822&lt;&gt;"", 'Cost Inputs'!$J$191&lt;&gt;""), 'Cost Inputs'!$J$191, "")</f>
        <v/>
      </c>
      <c r="I822" s="102" t="str">
        <f t="shared" si="75"/>
        <v/>
      </c>
      <c r="J822" s="102" t="str">
        <f>IF(AND(C822&lt;&gt;"",('Cost Inputs'!$I$191+'Cost Inputs'!$J$191+'Cost Inputs'!$K$191)&gt;0), 'Cost Inputs'!$I$191+'Cost Inputs'!$J$191+'Cost Inputs'!$K$191, "")</f>
        <v/>
      </c>
      <c r="K822" s="102" t="str">
        <f t="shared" si="76"/>
        <v/>
      </c>
      <c r="L822" s="94"/>
      <c r="M822" s="103"/>
      <c r="Q822" s="102" t="str">
        <f>IF(ISNUMBER('Model_ of_individuals'!Q842), 'Model_ of_individuals'!Q842*'Model_ of_individuals'!$K842,"")</f>
        <v/>
      </c>
      <c r="R822" s="102" t="str">
        <f>IF(ISNUMBER('Model_ of_individuals'!R842), 'Model_ of_individuals'!R842*'Model_ of_individuals'!$K842,"")</f>
        <v/>
      </c>
      <c r="S822" s="102" t="str">
        <f>IF(ISNUMBER('Model_ of_individuals'!S842), 'Model_ of_individuals'!S842*'Model_ of_individuals'!$K842,"")</f>
        <v/>
      </c>
      <c r="T822" s="102" t="str">
        <f>IF(ISNUMBER('Model_ of_individuals'!T842), 'Model_ of_individuals'!T842*'Model_ of_individuals'!$K842,"")</f>
        <v/>
      </c>
      <c r="U822" s="102" t="str">
        <f>IF(ISNUMBER('Model_ of_individuals'!U842), 'Model_ of_individuals'!U842*'Model_ of_individuals'!$K842,"")</f>
        <v/>
      </c>
      <c r="V822" s="102" t="str">
        <f>IF(ISNUMBER('Model_ of_individuals'!V842), 'Model_ of_individuals'!V842*'Model_ of_individuals'!$K842,"")</f>
        <v/>
      </c>
      <c r="W822" s="102" t="str">
        <f>IF(ISNUMBER('Model_ of_individuals'!W842), 'Model_ of_individuals'!W842*'Model_ of_individuals'!$K842,"")</f>
        <v/>
      </c>
      <c r="X822" s="102" t="str">
        <f>IF(ISNUMBER('Model_ of_individuals'!X842), 'Model_ of_individuals'!X842*'Model_ of_individuals'!$K842,"")</f>
        <v/>
      </c>
      <c r="Y822" s="102" t="str">
        <f>IF(ISNUMBER('Model_ of_individuals'!Y842), 'Model_ of_individuals'!Y842*'Model_ of_individuals'!$K842,"")</f>
        <v/>
      </c>
      <c r="Z822" s="102" t="str">
        <f>IF(ISNUMBER('Model_ of_individuals'!Z842), 'Model_ of_individuals'!Z842*'Model_ of_individuals'!$K842,"")</f>
        <v/>
      </c>
    </row>
    <row r="823" spans="1:26" x14ac:dyDescent="0.25">
      <c r="A823" s="518"/>
      <c r="B823" s="504"/>
      <c r="C823" s="104" t="str">
        <f>IF(AND(ISNUMBER(B800), OR('Cost Inputs'!$H$192&lt;&gt;"", 'Cost Inputs'!$I$192&lt;&gt;"", 'Cost Inputs'!$J$192&lt;&gt;"")), _6_4_1, "")</f>
        <v/>
      </c>
      <c r="D823" s="17" t="str">
        <f>IF(AND(C823&lt;&gt;"", 'Cost Inputs'!$G$192&lt;&gt;""), 'Cost Inputs'!$G$192, "")</f>
        <v/>
      </c>
      <c r="E823" s="17" t="str">
        <f>IF(AND(C823&lt;&gt;"", 'Cost Inputs'!$H$192&lt;&gt;""), 'Cost Inputs'!$H$192, "")</f>
        <v/>
      </c>
      <c r="F823" s="17" t="str">
        <f>IF(AND(C823&lt;&gt;"", 'Cost Inputs'!$I$192&lt;&gt;""), 'Cost Inputs'!$I$192, "")</f>
        <v/>
      </c>
      <c r="G823" s="105" t="str">
        <f t="shared" si="72"/>
        <v/>
      </c>
      <c r="H823" s="17" t="str">
        <f>IF(AND(C823&lt;&gt;"", 'Cost Inputs'!$J$192&lt;&gt;""), 'Cost Inputs'!$J$192, "")</f>
        <v/>
      </c>
      <c r="I823" s="17" t="str">
        <f t="shared" si="75"/>
        <v/>
      </c>
      <c r="J823" s="17" t="str">
        <f>IF(AND(C823&lt;&gt;"",('Cost Inputs'!$I$192+'Cost Inputs'!$J$192+'Cost Inputs'!$K$192)&gt;0), 'Cost Inputs'!$I$192+'Cost Inputs'!$J$192+'Cost Inputs'!$K$192, "")</f>
        <v/>
      </c>
      <c r="K823" s="17" t="str">
        <f t="shared" si="76"/>
        <v/>
      </c>
      <c r="M823" s="106"/>
      <c r="Q823" s="17" t="str">
        <f>IF(ISNUMBER('Model_ of_individuals'!Q843), 'Model_ of_individuals'!Q843*'Model_ of_individuals'!$K843,"")</f>
        <v/>
      </c>
      <c r="R823" s="17" t="str">
        <f>IF(ISNUMBER('Model_ of_individuals'!R843), 'Model_ of_individuals'!R843*'Model_ of_individuals'!$K843,"")</f>
        <v/>
      </c>
      <c r="S823" s="17" t="str">
        <f>IF(ISNUMBER('Model_ of_individuals'!S843), 'Model_ of_individuals'!S843*'Model_ of_individuals'!$K843,"")</f>
        <v/>
      </c>
      <c r="T823" s="17" t="str">
        <f>IF(ISNUMBER('Model_ of_individuals'!T843), 'Model_ of_individuals'!T843*'Model_ of_individuals'!$K843,"")</f>
        <v/>
      </c>
      <c r="U823" s="17" t="str">
        <f>IF(ISNUMBER('Model_ of_individuals'!U843), 'Model_ of_individuals'!U843*'Model_ of_individuals'!$K843,"")</f>
        <v/>
      </c>
      <c r="V823" s="17" t="str">
        <f>IF(ISNUMBER('Model_ of_individuals'!V843), 'Model_ of_individuals'!V843*'Model_ of_individuals'!$K843,"")</f>
        <v/>
      </c>
      <c r="W823" s="17" t="str">
        <f>IF(ISNUMBER('Model_ of_individuals'!W843), 'Model_ of_individuals'!W843*'Model_ of_individuals'!$K843,"")</f>
        <v/>
      </c>
      <c r="X823" s="17" t="str">
        <f>IF(ISNUMBER('Model_ of_individuals'!X843), 'Model_ of_individuals'!X843*'Model_ of_individuals'!$K843,"")</f>
        <v/>
      </c>
      <c r="Y823" s="17" t="str">
        <f>IF(ISNUMBER('Model_ of_individuals'!Y843), 'Model_ of_individuals'!Y843*'Model_ of_individuals'!$K843,"")</f>
        <v/>
      </c>
      <c r="Z823" s="17" t="str">
        <f>IF(ISNUMBER('Model_ of_individuals'!Z843), 'Model_ of_individuals'!Z843*'Model_ of_individuals'!$K843,"")</f>
        <v/>
      </c>
    </row>
    <row r="824" spans="1:26" x14ac:dyDescent="0.25">
      <c r="A824" s="518"/>
      <c r="B824" s="504"/>
      <c r="C824" s="107" t="str">
        <f>IF(AND(ISNUMBER(B800), OR('Cost Inputs'!$H$193&lt;&gt;"", 'Cost Inputs'!$I$193&lt;&gt;"", 'Cost Inputs'!$J$193&lt;&gt;"")), _6_4_2, "")</f>
        <v/>
      </c>
      <c r="D824" s="93" t="str">
        <f>IF(AND(C824&lt;&gt;"", 'Cost Inputs'!$G$193&lt;&gt;""), 'Cost Inputs'!$G$193, "")</f>
        <v/>
      </c>
      <c r="E824" s="93" t="str">
        <f>IF(AND(C824&lt;&gt;"", 'Cost Inputs'!$H$193&lt;&gt;""), 'Cost Inputs'!$H$193, "")</f>
        <v/>
      </c>
      <c r="F824" s="93" t="str">
        <f>IF(AND(C824&lt;&gt;"", 'Cost Inputs'!$I$193&lt;&gt;""), 'Cost Inputs'!$I$193, "")</f>
        <v/>
      </c>
      <c r="G824" s="108" t="str">
        <f t="shared" si="72"/>
        <v/>
      </c>
      <c r="H824" s="93" t="str">
        <f>IF(AND(C824&lt;&gt;"", 'Cost Inputs'!$J$193&lt;&gt;""), 'Cost Inputs'!$J$193, "")</f>
        <v/>
      </c>
      <c r="I824" s="93" t="str">
        <f t="shared" si="75"/>
        <v/>
      </c>
      <c r="J824" s="93" t="str">
        <f>IF(AND(C824&lt;&gt;"",('Cost Inputs'!$I$152+'Cost Inputs'!$J$152+'Cost Inputs'!$K$152)&gt;0), 'Cost Inputs'!$I$152+'Cost Inputs'!$J$152+'Cost Inputs'!$K$152, "")</f>
        <v/>
      </c>
      <c r="K824" s="93" t="str">
        <f t="shared" si="76"/>
        <v/>
      </c>
      <c r="L824" s="93"/>
      <c r="M824" s="109"/>
      <c r="Q824" s="93" t="str">
        <f>IF(ISNUMBER('Model_ of_individuals'!Q844), 'Model_ of_individuals'!Q844*'Model_ of_individuals'!$K844,"")</f>
        <v/>
      </c>
      <c r="R824" s="93" t="str">
        <f>IF(ISNUMBER('Model_ of_individuals'!R844), 'Model_ of_individuals'!R844*'Model_ of_individuals'!$K844,"")</f>
        <v/>
      </c>
      <c r="S824" s="93" t="str">
        <f>IF(ISNUMBER('Model_ of_individuals'!S844), 'Model_ of_individuals'!S844*'Model_ of_individuals'!$K844,"")</f>
        <v/>
      </c>
      <c r="T824" s="93" t="str">
        <f>IF(ISNUMBER('Model_ of_individuals'!T844), 'Model_ of_individuals'!T844*'Model_ of_individuals'!$K844,"")</f>
        <v/>
      </c>
      <c r="U824" s="93" t="str">
        <f>IF(ISNUMBER('Model_ of_individuals'!U844), 'Model_ of_individuals'!U844*'Model_ of_individuals'!$K844,"")</f>
        <v/>
      </c>
      <c r="V824" s="93" t="str">
        <f>IF(ISNUMBER('Model_ of_individuals'!V844), 'Model_ of_individuals'!V844*'Model_ of_individuals'!$K844,"")</f>
        <v/>
      </c>
      <c r="W824" s="93" t="str">
        <f>IF(ISNUMBER('Model_ of_individuals'!W844), 'Model_ of_individuals'!W844*'Model_ of_individuals'!$K844,"")</f>
        <v/>
      </c>
      <c r="X824" s="93" t="str">
        <f>IF(ISNUMBER('Model_ of_individuals'!X844), 'Model_ of_individuals'!X844*'Model_ of_individuals'!$K844,"")</f>
        <v/>
      </c>
      <c r="Y824" s="93" t="str">
        <f>IF(ISNUMBER('Model_ of_individuals'!Y844), 'Model_ of_individuals'!Y844*'Model_ of_individuals'!$K844,"")</f>
        <v/>
      </c>
      <c r="Z824" s="93" t="str">
        <f>IF(ISNUMBER('Model_ of_individuals'!Z844), 'Model_ of_individuals'!Z844*'Model_ of_individuals'!$K844,"")</f>
        <v/>
      </c>
    </row>
    <row r="825" spans="1:26" x14ac:dyDescent="0.25">
      <c r="A825" s="518"/>
      <c r="B825" s="504"/>
      <c r="C825" s="104" t="str">
        <f>IF(AND(ISNUMBER(B800), OR('Cost Inputs'!$H$194&lt;&gt;"", 'Cost Inputs'!$I$194&lt;&gt;"", 'Cost Inputs'!$J$194&lt;&gt;"")), _6_4_3, "")</f>
        <v/>
      </c>
      <c r="D825" s="17" t="str">
        <f>IF(AND(C825&lt;&gt;"", 'Cost Inputs'!$G$194&lt;&gt;""), 'Cost Inputs'!$G$194, "")</f>
        <v/>
      </c>
      <c r="E825" s="17" t="str">
        <f>IF(AND(C825&lt;&gt;"", 'Cost Inputs'!$H$194&lt;&gt;""), 'Cost Inputs'!$H$194, "")</f>
        <v/>
      </c>
      <c r="F825" s="17" t="str">
        <f>IF(AND(C825&lt;&gt;"", 'Cost Inputs'!$I$194&lt;&gt;""), 'Cost Inputs'!$I$194, "")</f>
        <v/>
      </c>
      <c r="G825" s="105" t="str">
        <f t="shared" si="72"/>
        <v/>
      </c>
      <c r="H825" s="17" t="str">
        <f>IF(AND(C825&lt;&gt;"", 'Cost Inputs'!$J$194&lt;&gt;""), 'Cost Inputs'!$J$194, "")</f>
        <v/>
      </c>
      <c r="I825" s="17" t="str">
        <f t="shared" si="75"/>
        <v/>
      </c>
      <c r="J825" s="17" t="str">
        <f>IF(AND(C825&lt;&gt;"",('Cost Inputs'!$I$194+'Cost Inputs'!$J$194+'Cost Inputs'!$K$194)&gt;0), 'Cost Inputs'!$I$194+'Cost Inputs'!$J$194+'Cost Inputs'!$K$194, "")</f>
        <v/>
      </c>
      <c r="K825" s="17" t="str">
        <f t="shared" si="76"/>
        <v/>
      </c>
      <c r="M825" s="106"/>
      <c r="Q825" s="17" t="str">
        <f>IF(ISNUMBER('Model_ of_individuals'!Q845), 'Model_ of_individuals'!Q845*'Model_ of_individuals'!$K845,"")</f>
        <v/>
      </c>
      <c r="R825" s="17" t="str">
        <f>IF(ISNUMBER('Model_ of_individuals'!R845), 'Model_ of_individuals'!R845*'Model_ of_individuals'!$K845,"")</f>
        <v/>
      </c>
      <c r="S825" s="17" t="str">
        <f>IF(ISNUMBER('Model_ of_individuals'!S845), 'Model_ of_individuals'!S845*'Model_ of_individuals'!$K845,"")</f>
        <v/>
      </c>
      <c r="T825" s="17" t="str">
        <f>IF(ISNUMBER('Model_ of_individuals'!T845), 'Model_ of_individuals'!T845*'Model_ of_individuals'!$K845,"")</f>
        <v/>
      </c>
      <c r="U825" s="17" t="str">
        <f>IF(ISNUMBER('Model_ of_individuals'!U845), 'Model_ of_individuals'!U845*'Model_ of_individuals'!$K845,"")</f>
        <v/>
      </c>
      <c r="V825" s="17" t="str">
        <f>IF(ISNUMBER('Model_ of_individuals'!V845), 'Model_ of_individuals'!V845*'Model_ of_individuals'!$K845,"")</f>
        <v/>
      </c>
      <c r="W825" s="17" t="str">
        <f>IF(ISNUMBER('Model_ of_individuals'!W845), 'Model_ of_individuals'!W845*'Model_ of_individuals'!$K845,"")</f>
        <v/>
      </c>
      <c r="X825" s="17" t="str">
        <f>IF(ISNUMBER('Model_ of_individuals'!X845), 'Model_ of_individuals'!X845*'Model_ of_individuals'!$K845,"")</f>
        <v/>
      </c>
      <c r="Y825" s="17" t="str">
        <f>IF(ISNUMBER('Model_ of_individuals'!Y845), 'Model_ of_individuals'!Y845*'Model_ of_individuals'!$K845,"")</f>
        <v/>
      </c>
      <c r="Z825" s="17" t="str">
        <f>IF(ISNUMBER('Model_ of_individuals'!Z845), 'Model_ of_individuals'!Z845*'Model_ of_individuals'!$K845,"")</f>
        <v/>
      </c>
    </row>
    <row r="826" spans="1:26" x14ac:dyDescent="0.25">
      <c r="A826" s="518"/>
      <c r="B826" s="504"/>
      <c r="C826" s="107" t="str">
        <f>IF(AND(ISNUMBER(B800), OR('Cost Inputs'!$H$195&lt;&gt;"", 'Cost Inputs'!$I$195&lt;&gt;"", 'Cost Inputs'!$J$195&lt;&gt;"")), _6_4_4, "")</f>
        <v/>
      </c>
      <c r="D826" s="93" t="str">
        <f>IF(AND(C826&lt;&gt;"", 'Cost Inputs'!$G$195&lt;&gt;""), 'Cost Inputs'!$G$195, "")</f>
        <v/>
      </c>
      <c r="E826" s="93" t="str">
        <f>IF(AND(C826&lt;&gt;"", 'Cost Inputs'!$H$195&lt;&gt;""), 'Cost Inputs'!$H$195, "")</f>
        <v/>
      </c>
      <c r="F826" s="93" t="str">
        <f>IF(AND(C826&lt;&gt;"", 'Cost Inputs'!$I$195&lt;&gt;""), 'Cost Inputs'!$I$195, "")</f>
        <v/>
      </c>
      <c r="G826" s="108" t="str">
        <f t="shared" si="72"/>
        <v/>
      </c>
      <c r="H826" s="93" t="str">
        <f>IF(AND(C826&lt;&gt;"", 'Cost Inputs'!$J$195&lt;&gt;""), 'Cost Inputs'!$J$195, "")</f>
        <v/>
      </c>
      <c r="I826" s="93" t="str">
        <f t="shared" si="75"/>
        <v/>
      </c>
      <c r="J826" s="93" t="str">
        <f>IF(AND(C826&lt;&gt;"",('Cost Inputs'!$I$195+'Cost Inputs'!$J$195+'Cost Inputs'!$K$195)&gt;0), 'Cost Inputs'!$I$195+'Cost Inputs'!$J$195+'Cost Inputs'!$K$195, "")</f>
        <v/>
      </c>
      <c r="K826" s="93" t="str">
        <f t="shared" si="76"/>
        <v/>
      </c>
      <c r="L826" s="93"/>
      <c r="M826" s="109"/>
      <c r="Q826" s="93" t="str">
        <f>IF(ISNUMBER('Model_ of_individuals'!Q846), 'Model_ of_individuals'!Q846*'Model_ of_individuals'!$K846,"")</f>
        <v/>
      </c>
      <c r="R826" s="93" t="str">
        <f>IF(ISNUMBER('Model_ of_individuals'!R846), 'Model_ of_individuals'!R846*'Model_ of_individuals'!$K846,"")</f>
        <v/>
      </c>
      <c r="S826" s="93" t="str">
        <f>IF(ISNUMBER('Model_ of_individuals'!S846), 'Model_ of_individuals'!S846*'Model_ of_individuals'!$K846,"")</f>
        <v/>
      </c>
      <c r="T826" s="93" t="str">
        <f>IF(ISNUMBER('Model_ of_individuals'!T846), 'Model_ of_individuals'!T846*'Model_ of_individuals'!$K846,"")</f>
        <v/>
      </c>
      <c r="U826" s="93" t="str">
        <f>IF(ISNUMBER('Model_ of_individuals'!U846), 'Model_ of_individuals'!U846*'Model_ of_individuals'!$K846,"")</f>
        <v/>
      </c>
      <c r="V826" s="93" t="str">
        <f>IF(ISNUMBER('Model_ of_individuals'!V846), 'Model_ of_individuals'!V846*'Model_ of_individuals'!$K846,"")</f>
        <v/>
      </c>
      <c r="W826" s="93" t="str">
        <f>IF(ISNUMBER('Model_ of_individuals'!W846), 'Model_ of_individuals'!W846*'Model_ of_individuals'!$K846,"")</f>
        <v/>
      </c>
      <c r="X826" s="93" t="str">
        <f>IF(ISNUMBER('Model_ of_individuals'!X846), 'Model_ of_individuals'!X846*'Model_ of_individuals'!$K846,"")</f>
        <v/>
      </c>
      <c r="Y826" s="93" t="str">
        <f>IF(ISNUMBER('Model_ of_individuals'!Y846), 'Model_ of_individuals'!Y846*'Model_ of_individuals'!$K846,"")</f>
        <v/>
      </c>
      <c r="Z826" s="93" t="str">
        <f>IF(ISNUMBER('Model_ of_individuals'!Z846), 'Model_ of_individuals'!Z846*'Model_ of_individuals'!$K846,"")</f>
        <v/>
      </c>
    </row>
    <row r="827" spans="1:26" x14ac:dyDescent="0.25">
      <c r="A827" s="518"/>
      <c r="B827" s="504"/>
      <c r="C827" s="104" t="str">
        <f>IF(AND(ISNUMBER(B800), OR('Cost Inputs'!$H$196&lt;&gt;"", 'Cost Inputs'!$I$196&lt;&gt;"", 'Cost Inputs'!$J$196&lt;&gt;"")), _6_4_5, "")</f>
        <v/>
      </c>
      <c r="D827" s="17" t="str">
        <f>IF(AND(C827&lt;&gt;"", 'Cost Inputs'!$G$196&lt;&gt;""), 'Cost Inputs'!$G$196, "")</f>
        <v/>
      </c>
      <c r="E827" s="17" t="str">
        <f>IF(AND(C827&lt;&gt;"", 'Cost Inputs'!$H$196&lt;&gt;""), 'Cost Inputs'!$H$196, "")</f>
        <v/>
      </c>
      <c r="F827" s="17" t="str">
        <f>IF(AND(C827&lt;&gt;"", 'Cost Inputs'!$I$196&lt;&gt;""), 'Cost Inputs'!$I$196, "")</f>
        <v/>
      </c>
      <c r="G827" s="105" t="str">
        <f t="shared" si="72"/>
        <v/>
      </c>
      <c r="H827" s="17" t="str">
        <f>IF(AND(C827&lt;&gt;"", 'Cost Inputs'!$J$196&lt;&gt;""), 'Cost Inputs'!$J$196, "")</f>
        <v/>
      </c>
      <c r="I827" s="17" t="str">
        <f t="shared" si="75"/>
        <v/>
      </c>
      <c r="J827" s="17" t="str">
        <f>IF(AND(C827&lt;&gt;"",('Cost Inputs'!$I$196+'Cost Inputs'!$J$196+'Cost Inputs'!$K$196)&gt;0), 'Cost Inputs'!$I$196+'Cost Inputs'!$J$196+'Cost Inputs'!$K$196, "")</f>
        <v/>
      </c>
      <c r="K827" s="17" t="str">
        <f t="shared" si="76"/>
        <v/>
      </c>
      <c r="M827" s="106"/>
      <c r="Q827" s="17" t="str">
        <f>IF(ISNUMBER('Model_ of_individuals'!Q847), 'Model_ of_individuals'!Q847*'Model_ of_individuals'!$K847,"")</f>
        <v/>
      </c>
      <c r="R827" s="17" t="str">
        <f>IF(ISNUMBER('Model_ of_individuals'!R847), 'Model_ of_individuals'!R847*'Model_ of_individuals'!$K847,"")</f>
        <v/>
      </c>
      <c r="S827" s="17" t="str">
        <f>IF(ISNUMBER('Model_ of_individuals'!S847), 'Model_ of_individuals'!S847*'Model_ of_individuals'!$K847,"")</f>
        <v/>
      </c>
      <c r="T827" s="17" t="str">
        <f>IF(ISNUMBER('Model_ of_individuals'!T847), 'Model_ of_individuals'!T847*'Model_ of_individuals'!$K847,"")</f>
        <v/>
      </c>
      <c r="U827" s="17" t="str">
        <f>IF(ISNUMBER('Model_ of_individuals'!U847), 'Model_ of_individuals'!U847*'Model_ of_individuals'!$K847,"")</f>
        <v/>
      </c>
      <c r="V827" s="17" t="str">
        <f>IF(ISNUMBER('Model_ of_individuals'!V847), 'Model_ of_individuals'!V847*'Model_ of_individuals'!$K847,"")</f>
        <v/>
      </c>
      <c r="W827" s="17" t="str">
        <f>IF(ISNUMBER('Model_ of_individuals'!W847), 'Model_ of_individuals'!W847*'Model_ of_individuals'!$K847,"")</f>
        <v/>
      </c>
      <c r="X827" s="17" t="str">
        <f>IF(ISNUMBER('Model_ of_individuals'!X847), 'Model_ of_individuals'!X847*'Model_ of_individuals'!$K847,"")</f>
        <v/>
      </c>
      <c r="Y827" s="17" t="str">
        <f>IF(ISNUMBER('Model_ of_individuals'!Y847), 'Model_ of_individuals'!Y847*'Model_ of_individuals'!$K847,"")</f>
        <v/>
      </c>
      <c r="Z827" s="17" t="str">
        <f>IF(ISNUMBER('Model_ of_individuals'!Z847), 'Model_ of_individuals'!Z847*'Model_ of_individuals'!$K847,"")</f>
        <v/>
      </c>
    </row>
    <row r="828" spans="1:26" x14ac:dyDescent="0.25">
      <c r="A828" s="518"/>
      <c r="B828" s="504"/>
      <c r="C828" s="107" t="str">
        <f>IF(AND(ISNUMBER(B800), OR('Cost Inputs'!$H$197&lt;&gt;"", 'Cost Inputs'!$I$197&lt;&gt;"", 'Cost Inputs'!$J$197&lt;&gt;"")), _6_4_6, "")</f>
        <v/>
      </c>
      <c r="D828" s="93" t="str">
        <f>IF(AND(C828&lt;&gt;"", 'Cost Inputs'!$G$197&lt;&gt;""), 'Cost Inputs'!$G$197, "")</f>
        <v/>
      </c>
      <c r="E828" s="93" t="str">
        <f>IF(AND(C828&lt;&gt;"", 'Cost Inputs'!$H$197&lt;&gt;""), 'Cost Inputs'!$H$197, "")</f>
        <v/>
      </c>
      <c r="F828" s="93" t="str">
        <f>IF(AND(C828&lt;&gt;"", 'Cost Inputs'!$I$197&lt;&gt;""), 'Cost Inputs'!$I$197, "")</f>
        <v/>
      </c>
      <c r="G828" s="108" t="str">
        <f t="shared" si="72"/>
        <v/>
      </c>
      <c r="H828" s="93" t="str">
        <f>IF(AND(C828&lt;&gt;"", 'Cost Inputs'!$J$197&lt;&gt;""), 'Cost Inputs'!$J$16, "")</f>
        <v/>
      </c>
      <c r="I828" s="93" t="str">
        <f t="shared" si="75"/>
        <v/>
      </c>
      <c r="J828" s="93" t="str">
        <f>IF(AND(C828&lt;&gt;"",('Cost Inputs'!$I$197+'Cost Inputs'!$J$197+'Cost Inputs'!$K$197)&gt;0), 'Cost Inputs'!$I$197+'Cost Inputs'!$J$197+'Cost Inputs'!$K$197, "")</f>
        <v/>
      </c>
      <c r="K828" s="93" t="str">
        <f t="shared" si="76"/>
        <v/>
      </c>
      <c r="L828" s="93"/>
      <c r="M828" s="109"/>
      <c r="Q828" s="93" t="str">
        <f>IF(ISNUMBER('Model_ of_individuals'!Q848), 'Model_ of_individuals'!Q848*'Model_ of_individuals'!$K848,"")</f>
        <v/>
      </c>
      <c r="R828" s="93" t="str">
        <f>IF(ISNUMBER('Model_ of_individuals'!R848), 'Model_ of_individuals'!R848*'Model_ of_individuals'!$K848,"")</f>
        <v/>
      </c>
      <c r="S828" s="93" t="str">
        <f>IF(ISNUMBER('Model_ of_individuals'!S848), 'Model_ of_individuals'!S848*'Model_ of_individuals'!$K848,"")</f>
        <v/>
      </c>
      <c r="T828" s="93" t="str">
        <f>IF(ISNUMBER('Model_ of_individuals'!T848), 'Model_ of_individuals'!T848*'Model_ of_individuals'!$K848,"")</f>
        <v/>
      </c>
      <c r="U828" s="93" t="str">
        <f>IF(ISNUMBER('Model_ of_individuals'!U848), 'Model_ of_individuals'!U848*'Model_ of_individuals'!$K848,"")</f>
        <v/>
      </c>
      <c r="V828" s="93" t="str">
        <f>IF(ISNUMBER('Model_ of_individuals'!V848), 'Model_ of_individuals'!V848*'Model_ of_individuals'!$K848,"")</f>
        <v/>
      </c>
      <c r="W828" s="93" t="str">
        <f>IF(ISNUMBER('Model_ of_individuals'!W848), 'Model_ of_individuals'!W848*'Model_ of_individuals'!$K848,"")</f>
        <v/>
      </c>
      <c r="X828" s="93" t="str">
        <f>IF(ISNUMBER('Model_ of_individuals'!X848), 'Model_ of_individuals'!X848*'Model_ of_individuals'!$K848,"")</f>
        <v/>
      </c>
      <c r="Y828" s="93" t="str">
        <f>IF(ISNUMBER('Model_ of_individuals'!Y848), 'Model_ of_individuals'!Y848*'Model_ of_individuals'!$K848,"")</f>
        <v/>
      </c>
      <c r="Z828" s="93" t="str">
        <f>IF(ISNUMBER('Model_ of_individuals'!Z848), 'Model_ of_individuals'!Z848*'Model_ of_individuals'!$K848,"")</f>
        <v/>
      </c>
    </row>
    <row r="829" spans="1:26" x14ac:dyDescent="0.25">
      <c r="A829" s="518"/>
      <c r="B829" s="504"/>
      <c r="C829" s="521" t="str">
        <f>IF(AND(B818&lt;&gt;"",ISNUMBER(B818),ISNUMBER(Stage4EvaluationBegins)),IF((INDEX(ProgramYearStage4,MATCH(Stage4EvaluationBegins,Years_in_Stage4,0)))=B818,_6_5_0,IF(AND(B818&lt;&gt;"",C807&lt;&gt;""),_6_5_0,IF(AND(B818&lt;&gt;"",ISNUMBER(B818),OR(Stage4EvaluationBegins=0,Stage4EvaluationBegins="")),"",""))),"")</f>
        <v/>
      </c>
      <c r="D829" s="94" t="str">
        <f>IF(AND(C829&lt;&gt;"", 'Cost Inputs'!$G$198&lt;&gt;""), 'Cost Inputs'!$G$198, "")</f>
        <v/>
      </c>
      <c r="E829" s="94" t="str">
        <f>IF(AND(C829&lt;&gt;"", 'Cost Inputs'!$H$198&lt;&gt;""), 'Cost Inputs'!$H$198, "")</f>
        <v/>
      </c>
      <c r="F829" s="492" t="str">
        <f>IF(AND(C829&lt;&gt;"", 'Cost Inputs'!$I$198&lt;&gt;""), 'Cost Inputs'!$I$198, "")</f>
        <v/>
      </c>
      <c r="G829" s="102" t="str">
        <f t="shared" si="72"/>
        <v/>
      </c>
      <c r="H829" s="492" t="str">
        <f>IF(AND(C829&lt;&gt;"", 'Cost Inputs'!$J$198&lt;&gt;""), 'Cost Inputs'!$J$198, "")</f>
        <v/>
      </c>
      <c r="I829" s="102" t="str">
        <f>IF($C829&lt;&gt;"",IF(AND($E829&lt;&gt;"",H829&lt;&gt;""), H829/$E829, 0),"")</f>
        <v/>
      </c>
      <c r="J829" s="492" t="str">
        <f>IF(AND(C829&lt;&gt;"",('Cost Inputs'!$I$198+'Cost Inputs'!$J$198+'Cost Inputs'!$K$198)&gt;0), 'Cost Inputs'!$I$198+'Cost Inputs'!$J$198+'Cost Inputs'!$K$198, "")</f>
        <v/>
      </c>
      <c r="K829" s="102" t="str">
        <f>IF($C829&lt;&gt;"",IF(AND($E829&lt;&gt;"",J829&lt;&gt;""), J829/$E829, 0),"")</f>
        <v/>
      </c>
      <c r="L829" s="94"/>
      <c r="M829" s="103"/>
      <c r="Q829" s="492" t="str">
        <f>IF(ISNUMBER('Model_ of_individuals'!Q849), 'Model_ of_individuals'!Q849*'Model_ of_individuals'!$K849,"")</f>
        <v/>
      </c>
      <c r="R829" s="492" t="str">
        <f>IF(ISNUMBER('Model_ of_individuals'!R849), 'Model_ of_individuals'!R849*'Model_ of_individuals'!$K849,"")</f>
        <v/>
      </c>
      <c r="S829" s="492" t="str">
        <f>IF(ISNUMBER('Model_ of_individuals'!S849), 'Model_ of_individuals'!S849*'Model_ of_individuals'!$K849,"")</f>
        <v/>
      </c>
      <c r="T829" s="492" t="str">
        <f>IF(ISNUMBER('Model_ of_individuals'!T849), 'Model_ of_individuals'!T849*'Model_ of_individuals'!$K849,"")</f>
        <v/>
      </c>
      <c r="U829" s="492" t="str">
        <f>IF(ISNUMBER('Model_ of_individuals'!U849), 'Model_ of_individuals'!U849*'Model_ of_individuals'!$K849,"")</f>
        <v/>
      </c>
      <c r="V829" s="492" t="str">
        <f>IF(ISNUMBER('Model_ of_individuals'!V849), 'Model_ of_individuals'!V849*'Model_ of_individuals'!$K849,"")</f>
        <v/>
      </c>
      <c r="W829" s="492" t="str">
        <f>IF(ISNUMBER('Model_ of_individuals'!W849), 'Model_ of_individuals'!W849*'Model_ of_individuals'!$K849,"")</f>
        <v/>
      </c>
      <c r="X829" s="492" t="str">
        <f>IF(ISNUMBER('Model_ of_individuals'!X849), 'Model_ of_individuals'!X849*'Model_ of_individuals'!$K849,"")</f>
        <v/>
      </c>
      <c r="Y829" s="492" t="str">
        <f>IF(ISNUMBER('Model_ of_individuals'!Y849), 'Model_ of_individuals'!Y849*'Model_ of_individuals'!$K849,"")</f>
        <v/>
      </c>
      <c r="Z829" s="492" t="str">
        <f>IF(ISNUMBER('Model_ of_individuals'!Z849), 'Model_ of_individuals'!Z849*'Model_ of_individuals'!$K849,"")</f>
        <v/>
      </c>
    </row>
    <row r="830" spans="1:26" x14ac:dyDescent="0.25">
      <c r="A830" s="518"/>
      <c r="B830" s="504"/>
      <c r="C830" s="521"/>
      <c r="D830" s="94" t="str">
        <f>IF(AND(C829&lt;&gt;"", 'Cost Inputs'!$G$199&lt;&gt;""), 'Cost Inputs'!$G$199, "")</f>
        <v/>
      </c>
      <c r="E830" s="94" t="str">
        <f>IF(AND(C829&lt;&gt;"", 'Cost Inputs'!$H$199&lt;&gt;""), 'Cost Inputs'!$H$199, "")</f>
        <v/>
      </c>
      <c r="F830" s="492"/>
      <c r="G830" s="102" t="str">
        <f t="shared" si="72"/>
        <v/>
      </c>
      <c r="H830" s="492"/>
      <c r="I830" s="102" t="str">
        <f>IF($C829&lt;&gt;"", IF(AND($E830&lt;&gt;"", H829&lt;&gt;""), H829/($E829*$E830), 0), "")</f>
        <v/>
      </c>
      <c r="J830" s="492" t="str">
        <f>IF(AND(C830&lt;&gt;"",('Cost Inputs'!$I$86+'Cost Inputs'!$J$86+'Cost Inputs'!$K$86)&gt;0), 'Cost Inputs'!$I$86+'Cost Inputs'!$J$86+'Cost Inputs'!$K$86, "")</f>
        <v/>
      </c>
      <c r="K830" s="102" t="str">
        <f>IF($C829&lt;&gt;"", IF(AND($E830&lt;&gt;"", J829&lt;&gt;""), J829/($E829*$E830), 0), "")</f>
        <v/>
      </c>
      <c r="L830" s="94"/>
      <c r="M830" s="103"/>
      <c r="Q830" s="492" t="str">
        <f>IF(ISNUMBER('Model_ of_individuals'!Q850), 'Model_ of_individuals'!Q850*'Model_ of_individuals'!$K850,"")</f>
        <v/>
      </c>
      <c r="R830" s="492" t="str">
        <f>IF(ISNUMBER('Model_ of_individuals'!R850), 'Model_ of_individuals'!R850*'Model_ of_individuals'!$K850,"")</f>
        <v/>
      </c>
      <c r="S830" s="492" t="str">
        <f>IF(ISNUMBER('Model_ of_individuals'!S850), 'Model_ of_individuals'!S850*'Model_ of_individuals'!$K850,"")</f>
        <v/>
      </c>
      <c r="T830" s="492" t="str">
        <f>IF(ISNUMBER('Model_ of_individuals'!T850), 'Model_ of_individuals'!T850*'Model_ of_individuals'!$K850,"")</f>
        <v/>
      </c>
      <c r="U830" s="492" t="str">
        <f>IF(ISNUMBER('Model_ of_individuals'!U850), 'Model_ of_individuals'!U850*'Model_ of_individuals'!$K850,"")</f>
        <v/>
      </c>
      <c r="V830" s="492" t="str">
        <f>IF(ISNUMBER('Model_ of_individuals'!V850), 'Model_ of_individuals'!V850*'Model_ of_individuals'!$K850,"")</f>
        <v/>
      </c>
      <c r="W830" s="492" t="str">
        <f>IF(ISNUMBER('Model_ of_individuals'!W850), 'Model_ of_individuals'!W850*'Model_ of_individuals'!$K850,"")</f>
        <v/>
      </c>
      <c r="X830" s="492" t="str">
        <f>IF(ISNUMBER('Model_ of_individuals'!X850), 'Model_ of_individuals'!X850*'Model_ of_individuals'!$K850,"")</f>
        <v/>
      </c>
      <c r="Y830" s="492" t="str">
        <f>IF(ISNUMBER('Model_ of_individuals'!Y850), 'Model_ of_individuals'!Y850*'Model_ of_individuals'!$K850,"")</f>
        <v/>
      </c>
      <c r="Z830" s="492" t="str">
        <f>IF(ISNUMBER('Model_ of_individuals'!Z850), 'Model_ of_individuals'!Z850*'Model_ of_individuals'!$K850,"")</f>
        <v/>
      </c>
    </row>
    <row r="831" spans="1:26" x14ac:dyDescent="0.25">
      <c r="A831" s="518"/>
      <c r="B831" s="504"/>
      <c r="C831" s="376" t="str">
        <f>IF(AND(ISNUMBER(B800), C829&lt;&gt;"", OR('Cost Inputs'!$H$200&lt;&gt;"", 'Cost Inputs'!$I$200&lt;&gt;"", 'Cost Inputs'!$J$200&lt;&gt;"")), _6_5_1, "")</f>
        <v/>
      </c>
      <c r="D831" s="17" t="str">
        <f>IF(AND(C831&lt;&gt;"", 'Cost Inputs'!$G$200&lt;&gt;""), 'Cost Inputs'!$G$200, "")</f>
        <v/>
      </c>
      <c r="E831" s="17" t="str">
        <f>IF(AND(C831&lt;&gt;"", 'Cost Inputs'!$H$200&lt;&gt;""), 'Cost Inputs'!$H$200, "")</f>
        <v/>
      </c>
      <c r="F831" s="493" t="str">
        <f>IF(AND(C831&lt;&gt;"", 'Cost Inputs'!$I$200&lt;&gt;""), 'Cost Inputs'!$I$200, "")</f>
        <v/>
      </c>
      <c r="G831" s="105" t="str">
        <f t="shared" si="72"/>
        <v/>
      </c>
      <c r="H831" s="493" t="str">
        <f>IF(AND(C831&lt;&gt;"", 'Cost Inputs'!$J$200&lt;&gt;""), 'Cost Inputs'!$J$200, "")</f>
        <v/>
      </c>
      <c r="I831" s="105" t="str">
        <f>IF($C831&lt;&gt;"",IF(AND($E831&lt;&gt;"",H831&lt;&gt;""), H831/$E831, 0),"")</f>
        <v/>
      </c>
      <c r="J831" s="493" t="str">
        <f>IF(AND(C831&lt;&gt;"",('Cost Inputs'!$I$200+'Cost Inputs'!$J$200+'Cost Inputs'!$K$200)&gt;0), 'Cost Inputs'!$I$200+'Cost Inputs'!$J$200+'Cost Inputs'!$K$200, "")</f>
        <v/>
      </c>
      <c r="K831" s="105" t="str">
        <f>IF($C831&lt;&gt;"",IF(AND($E831&lt;&gt;"",J831&lt;&gt;""), J831/$E831, 0),"")</f>
        <v/>
      </c>
      <c r="M831" s="106"/>
      <c r="Q831" s="493" t="str">
        <f>IF(ISNUMBER('Model_ of_individuals'!Q851), 'Model_ of_individuals'!Q851*'Model_ of_individuals'!$K851,"")</f>
        <v/>
      </c>
      <c r="R831" s="493" t="str">
        <f>IF(ISNUMBER('Model_ of_individuals'!R851), 'Model_ of_individuals'!R851*'Model_ of_individuals'!$K851,"")</f>
        <v/>
      </c>
      <c r="S831" s="493" t="str">
        <f>IF(ISNUMBER('Model_ of_individuals'!S851), 'Model_ of_individuals'!S851*'Model_ of_individuals'!$K851,"")</f>
        <v/>
      </c>
      <c r="T831" s="493" t="str">
        <f>IF(ISNUMBER('Model_ of_individuals'!T851), 'Model_ of_individuals'!T851*'Model_ of_individuals'!$K851,"")</f>
        <v/>
      </c>
      <c r="U831" s="493" t="str">
        <f>IF(ISNUMBER('Model_ of_individuals'!U851), 'Model_ of_individuals'!U851*'Model_ of_individuals'!$K851,"")</f>
        <v/>
      </c>
      <c r="V831" s="493" t="str">
        <f>IF(ISNUMBER('Model_ of_individuals'!V851), 'Model_ of_individuals'!V851*'Model_ of_individuals'!$K851,"")</f>
        <v/>
      </c>
      <c r="W831" s="493" t="str">
        <f>IF(ISNUMBER('Model_ of_individuals'!W851), 'Model_ of_individuals'!W851*'Model_ of_individuals'!$K851,"")</f>
        <v/>
      </c>
      <c r="X831" s="493" t="str">
        <f>IF(ISNUMBER('Model_ of_individuals'!X851), 'Model_ of_individuals'!X851*'Model_ of_individuals'!$K851,"")</f>
        <v/>
      </c>
      <c r="Y831" s="493" t="str">
        <f>IF(ISNUMBER('Model_ of_individuals'!Y851), 'Model_ of_individuals'!Y851*'Model_ of_individuals'!$K851,"")</f>
        <v/>
      </c>
      <c r="Z831" s="493" t="str">
        <f>IF(ISNUMBER('Model_ of_individuals'!Z851), 'Model_ of_individuals'!Z851*'Model_ of_individuals'!$K851,"")</f>
        <v/>
      </c>
    </row>
    <row r="832" spans="1:26" x14ac:dyDescent="0.25">
      <c r="A832" s="518"/>
      <c r="B832" s="504"/>
      <c r="C832" s="376" t="str">
        <f>IF(AND(ISNUMBER(B814), OR('Cost Inputs'!$H$85&lt;&gt;"", 'Cost Inputs'!$I$85&lt;&gt;"", 'Cost Inputs'!$J$85&lt;&gt;"")), _3_5_1, "")</f>
        <v/>
      </c>
      <c r="D832" s="17" t="str">
        <f>IF(AND(C831&lt;&gt;"", 'Cost Inputs'!$G$201&lt;&gt;""), 'Cost Inputs'!$G$201, "")</f>
        <v/>
      </c>
      <c r="E832" s="17" t="str">
        <f>IF(AND(C831&lt;&gt;"", 'Cost Inputs'!$H$201&lt;&gt;""), 'Cost Inputs'!$H$201, "")</f>
        <v/>
      </c>
      <c r="F832" s="493"/>
      <c r="G832" s="105" t="str">
        <f t="shared" si="72"/>
        <v/>
      </c>
      <c r="H832" s="493"/>
      <c r="I832" s="105" t="str">
        <f>IF($C831&lt;&gt;"", IF(AND($E832&lt;&gt;"", H831&lt;&gt;""), H831/($E831*$E832), 0), "")</f>
        <v/>
      </c>
      <c r="J832" s="493" t="str">
        <f>IF(AND(C832&lt;&gt;"",('Cost Inputs'!$I$86+'Cost Inputs'!$J$86+'Cost Inputs'!$K$86)&gt;0), 'Cost Inputs'!$I$86+'Cost Inputs'!$J$86+'Cost Inputs'!$K$86, "")</f>
        <v/>
      </c>
      <c r="K832" s="105" t="str">
        <f>IF($C831&lt;&gt;"", IF(AND($E832&lt;&gt;"", J831&lt;&gt;""), J831/($E831*$E832), 0), "")</f>
        <v/>
      </c>
      <c r="M832" s="106"/>
      <c r="Q832" s="493" t="str">
        <f>IF(ISNUMBER('Model_ of_individuals'!Q852), 'Model_ of_individuals'!Q852*'Model_ of_individuals'!$K852,"")</f>
        <v/>
      </c>
      <c r="R832" s="493" t="str">
        <f>IF(ISNUMBER('Model_ of_individuals'!R852), 'Model_ of_individuals'!R852*'Model_ of_individuals'!$K852,"")</f>
        <v/>
      </c>
      <c r="S832" s="493" t="str">
        <f>IF(ISNUMBER('Model_ of_individuals'!S852), 'Model_ of_individuals'!S852*'Model_ of_individuals'!$K852,"")</f>
        <v/>
      </c>
      <c r="T832" s="493" t="str">
        <f>IF(ISNUMBER('Model_ of_individuals'!T852), 'Model_ of_individuals'!T852*'Model_ of_individuals'!$K852,"")</f>
        <v/>
      </c>
      <c r="U832" s="493" t="str">
        <f>IF(ISNUMBER('Model_ of_individuals'!U852), 'Model_ of_individuals'!U852*'Model_ of_individuals'!$K852,"")</f>
        <v/>
      </c>
      <c r="V832" s="493" t="str">
        <f>IF(ISNUMBER('Model_ of_individuals'!V852), 'Model_ of_individuals'!V852*'Model_ of_individuals'!$K852,"")</f>
        <v/>
      </c>
      <c r="W832" s="493" t="str">
        <f>IF(ISNUMBER('Model_ of_individuals'!W852), 'Model_ of_individuals'!W852*'Model_ of_individuals'!$K852,"")</f>
        <v/>
      </c>
      <c r="X832" s="493" t="str">
        <f>IF(ISNUMBER('Model_ of_individuals'!X852), 'Model_ of_individuals'!X852*'Model_ of_individuals'!$K852,"")</f>
        <v/>
      </c>
      <c r="Y832" s="493" t="str">
        <f>IF(ISNUMBER('Model_ of_individuals'!Y852), 'Model_ of_individuals'!Y852*'Model_ of_individuals'!$K852,"")</f>
        <v/>
      </c>
      <c r="Z832" s="493" t="str">
        <f>IF(ISNUMBER('Model_ of_individuals'!Z852), 'Model_ of_individuals'!Z852*'Model_ of_individuals'!$K852,"")</f>
        <v/>
      </c>
    </row>
    <row r="833" spans="1:27" x14ac:dyDescent="0.25">
      <c r="A833" s="518"/>
      <c r="B833" s="504"/>
      <c r="C833" s="107" t="str">
        <f>IF(AND(ISNUMBER(B800), C829&lt;&gt;"", OR('Cost Inputs'!$H$202&lt;&gt;"", 'Cost Inputs'!$I$202&lt;&gt;"", 'Cost Inputs'!$J$202&lt;&gt;"")), _6_5_2, "")</f>
        <v/>
      </c>
      <c r="D833" s="93" t="str">
        <f>IF(AND(C833&lt;&gt;"", 'Cost Inputs'!$G$202&lt;&gt;""), 'Cost Inputs'!$G$202, "")</f>
        <v/>
      </c>
      <c r="E833" s="93" t="str">
        <f>IF(AND(C833&lt;&gt;"", 'Cost Inputs'!$H$202&lt;&gt;""), 'Cost Inputs'!$H$202, "")</f>
        <v/>
      </c>
      <c r="F833" s="93" t="str">
        <f>IF(AND(C833&lt;&gt;"", 'Cost Inputs'!$I$202&lt;&gt;""), 'Cost Inputs'!$I$202, "")</f>
        <v/>
      </c>
      <c r="G833" s="108" t="str">
        <f t="shared" si="72"/>
        <v/>
      </c>
      <c r="H833" s="93" t="str">
        <f>IF(AND(C833&lt;&gt;"", 'Cost Inputs'!$J$202&lt;&gt;""), 'Cost Inputs'!$J$202, "")</f>
        <v/>
      </c>
      <c r="I833" s="93" t="str">
        <f>IF($C833&lt;&gt;"", IF(AND($E833&lt;&gt;"", H833&lt;&gt;""), H833/$E833, 0),"")</f>
        <v/>
      </c>
      <c r="J833" s="93" t="str">
        <f>IF(AND(C833&lt;&gt;"",('Cost Inputs'!$I$202+'Cost Inputs'!$J$202+'Cost Inputs'!$K$202)&gt;0), 'Cost Inputs'!$I$202+'Cost Inputs'!$J$202+'Cost Inputs'!$K$202, "")</f>
        <v/>
      </c>
      <c r="K833" s="93" t="str">
        <f>IF($C833&lt;&gt;"", IF(AND($E833&lt;&gt;"", J833&lt;&gt;""), J833/$E833, 0),"")</f>
        <v/>
      </c>
      <c r="L833" s="93"/>
      <c r="M833" s="109"/>
      <c r="Q833" s="93" t="str">
        <f>IF(ISNUMBER('Model_ of_individuals'!Q853), 'Model_ of_individuals'!Q853*'Model_ of_individuals'!$K853,"")</f>
        <v/>
      </c>
      <c r="R833" s="93" t="str">
        <f>IF(ISNUMBER('Model_ of_individuals'!R853), 'Model_ of_individuals'!R853*'Model_ of_individuals'!$K853,"")</f>
        <v/>
      </c>
      <c r="S833" s="93" t="str">
        <f>IF(ISNUMBER('Model_ of_individuals'!S853), 'Model_ of_individuals'!S853*'Model_ of_individuals'!$K853,"")</f>
        <v/>
      </c>
      <c r="T833" s="93" t="str">
        <f>IF(ISNUMBER('Model_ of_individuals'!T853), 'Model_ of_individuals'!T853*'Model_ of_individuals'!$K853,"")</f>
        <v/>
      </c>
      <c r="U833" s="93" t="str">
        <f>IF(ISNUMBER('Model_ of_individuals'!U853), 'Model_ of_individuals'!U853*'Model_ of_individuals'!$K853,"")</f>
        <v/>
      </c>
      <c r="V833" s="93" t="str">
        <f>IF(ISNUMBER('Model_ of_individuals'!V853), 'Model_ of_individuals'!V853*'Model_ of_individuals'!$K853,"")</f>
        <v/>
      </c>
      <c r="W833" s="93" t="str">
        <f>IF(ISNUMBER('Model_ of_individuals'!W853), 'Model_ of_individuals'!W853*'Model_ of_individuals'!$K853,"")</f>
        <v/>
      </c>
      <c r="X833" s="93" t="str">
        <f>IF(ISNUMBER('Model_ of_individuals'!X853), 'Model_ of_individuals'!X853*'Model_ of_individuals'!$K853,"")</f>
        <v/>
      </c>
      <c r="Y833" s="93" t="str">
        <f>IF(ISNUMBER('Model_ of_individuals'!Y853), 'Model_ of_individuals'!Y853*'Model_ of_individuals'!$K853,"")</f>
        <v/>
      </c>
      <c r="Z833" s="93" t="str">
        <f>IF(ISNUMBER('Model_ of_individuals'!Z853), 'Model_ of_individuals'!Z853*'Model_ of_individuals'!$K853,"")</f>
        <v/>
      </c>
    </row>
    <row r="834" spans="1:27" x14ac:dyDescent="0.25">
      <c r="A834" s="518"/>
      <c r="B834" s="504"/>
      <c r="C834" s="104" t="str">
        <f>IF(AND(ISNUMBER(B800), C829&lt;&gt;"", OR('Cost Inputs'!$H$203&lt;&gt;"", 'Cost Inputs'!$I$203&lt;&gt;"", 'Cost Inputs'!$J$203&lt;&gt;"")), _6_5_3, "")</f>
        <v/>
      </c>
      <c r="D834" s="17" t="str">
        <f>IF(AND(C834&lt;&gt;"", 'Cost Inputs'!$G$203&lt;&gt;""), 'Cost Inputs'!$G$203, "")</f>
        <v/>
      </c>
      <c r="E834" s="17" t="str">
        <f>IF(AND(C834&lt;&gt;"", 'Cost Inputs'!$H$203&lt;&gt;""), 'Cost Inputs'!$H$203, "")</f>
        <v/>
      </c>
      <c r="F834" s="17" t="str">
        <f>IF(AND(C834&lt;&gt;"", 'Cost Inputs'!$I$203&lt;&gt;""), 'Cost Inputs'!$I$203, "")</f>
        <v/>
      </c>
      <c r="G834" s="105" t="str">
        <f t="shared" si="72"/>
        <v/>
      </c>
      <c r="H834" s="17" t="str">
        <f>IF(AND(C834&lt;&gt;"", 'Cost Inputs'!$J$203&lt;&gt;""), 'Cost Inputs'!$J$203, "")</f>
        <v/>
      </c>
      <c r="I834" s="17" t="str">
        <f>IF($C834&lt;&gt;"", IF(AND($E834&lt;&gt;"", H834&lt;&gt;""), H834/$E834, 0),"")</f>
        <v/>
      </c>
      <c r="J834" s="17" t="str">
        <f>IF(AND(C834&lt;&gt;"",('Cost Inputs'!$I$203+'Cost Inputs'!$J$203+'Cost Inputs'!$K$203)&gt;0), 'Cost Inputs'!$I$203+'Cost Inputs'!$J$203+'Cost Inputs'!$K$203, "")</f>
        <v/>
      </c>
      <c r="K834" s="17" t="str">
        <f>IF($C834&lt;&gt;"", IF(AND($E834&lt;&gt;"", J834&lt;&gt;""), J834/$E834, 0),"")</f>
        <v/>
      </c>
      <c r="M834" s="106"/>
      <c r="Q834" s="17" t="str">
        <f>IF(ISNUMBER('Model_ of_individuals'!Q854), 'Model_ of_individuals'!Q854*'Model_ of_individuals'!$K854,"")</f>
        <v/>
      </c>
      <c r="R834" s="17" t="str">
        <f>IF(ISNUMBER('Model_ of_individuals'!R854), 'Model_ of_individuals'!R854*'Model_ of_individuals'!$K854,"")</f>
        <v/>
      </c>
      <c r="S834" s="17" t="str">
        <f>IF(ISNUMBER('Model_ of_individuals'!S854), 'Model_ of_individuals'!S854*'Model_ of_individuals'!$K854,"")</f>
        <v/>
      </c>
      <c r="T834" s="17" t="str">
        <f>IF(ISNUMBER('Model_ of_individuals'!T854), 'Model_ of_individuals'!T854*'Model_ of_individuals'!$K854,"")</f>
        <v/>
      </c>
      <c r="U834" s="17" t="str">
        <f>IF(ISNUMBER('Model_ of_individuals'!U854), 'Model_ of_individuals'!U854*'Model_ of_individuals'!$K854,"")</f>
        <v/>
      </c>
      <c r="V834" s="17" t="str">
        <f>IF(ISNUMBER('Model_ of_individuals'!V854), 'Model_ of_individuals'!V854*'Model_ of_individuals'!$K854,"")</f>
        <v/>
      </c>
      <c r="W834" s="17" t="str">
        <f>IF(ISNUMBER('Model_ of_individuals'!W854), 'Model_ of_individuals'!W854*'Model_ of_individuals'!$K854,"")</f>
        <v/>
      </c>
      <c r="X834" s="17" t="str">
        <f>IF(ISNUMBER('Model_ of_individuals'!X854), 'Model_ of_individuals'!X854*'Model_ of_individuals'!$K854,"")</f>
        <v/>
      </c>
      <c r="Y834" s="17" t="str">
        <f>IF(ISNUMBER('Model_ of_individuals'!Y854), 'Model_ of_individuals'!Y854*'Model_ of_individuals'!$K854,"")</f>
        <v/>
      </c>
      <c r="Z834" s="17" t="str">
        <f>IF(ISNUMBER('Model_ of_individuals'!Z854), 'Model_ of_individuals'!Z854*'Model_ of_individuals'!$K854,"")</f>
        <v/>
      </c>
    </row>
    <row r="835" spans="1:27" x14ac:dyDescent="0.25">
      <c r="A835" s="518"/>
      <c r="B835" s="504"/>
      <c r="C835" s="107" t="str">
        <f>IF(AND(ISNUMBER(B800), C829&lt;&gt;"", OR('Cost Inputs'!$H$204&lt;&gt;"", 'Cost Inputs'!$I$204&lt;&gt;"", 'Cost Inputs'!$J$204&lt;&gt;"")), _6_5_4, "")</f>
        <v/>
      </c>
      <c r="D835" s="93" t="str">
        <f>IF(AND(C835&lt;&gt;"", 'Cost Inputs'!$G$204&lt;&gt;""), 'Cost Inputs'!$G$204, "")</f>
        <v/>
      </c>
      <c r="E835" s="93" t="str">
        <f>IF(AND(C835&lt;&gt;"", 'Cost Inputs'!$H$204&lt;&gt;""), 'Cost Inputs'!$H$204, "")</f>
        <v/>
      </c>
      <c r="F835" s="93" t="str">
        <f>IF(AND(C835&lt;&gt;"", 'Cost Inputs'!$I$204&lt;&gt;""), 'Cost Inputs'!$I$204, "")</f>
        <v/>
      </c>
      <c r="G835" s="108" t="str">
        <f t="shared" si="72"/>
        <v/>
      </c>
      <c r="H835" s="93" t="str">
        <f>IF(AND(C835&lt;&gt;"", 'Cost Inputs'!$J$204&lt;&gt;""), 'Cost Inputs'!$J$204, "")</f>
        <v/>
      </c>
      <c r="I835" s="93" t="str">
        <f>IF($C835&lt;&gt;"", IF(AND($E835&lt;&gt;"", H835&lt;&gt;""), H835/$E835, 0),"")</f>
        <v/>
      </c>
      <c r="J835" s="93" t="str">
        <f>IF(AND(C835&lt;&gt;"",('Cost Inputs'!$I$204+'Cost Inputs'!$J$204+'Cost Inputs'!$K$204)&gt;0), 'Cost Inputs'!$I$204+'Cost Inputs'!$J$204+'Cost Inputs'!$K$204, "")</f>
        <v/>
      </c>
      <c r="K835" s="93" t="str">
        <f>IF($C835&lt;&gt;"", IF(AND($E835&lt;&gt;"", J835&lt;&gt;""), J835/$E835, 0),"")</f>
        <v/>
      </c>
      <c r="L835" s="93"/>
      <c r="M835" s="109"/>
      <c r="Q835" s="93" t="str">
        <f>IF(ISNUMBER('Model_ of_individuals'!Q855), 'Model_ of_individuals'!Q855*'Model_ of_individuals'!$K855,"")</f>
        <v/>
      </c>
      <c r="R835" s="93" t="str">
        <f>IF(ISNUMBER('Model_ of_individuals'!R855), 'Model_ of_individuals'!R855*'Model_ of_individuals'!$K855,"")</f>
        <v/>
      </c>
      <c r="S835" s="93" t="str">
        <f>IF(ISNUMBER('Model_ of_individuals'!S855), 'Model_ of_individuals'!S855*'Model_ of_individuals'!$K855,"")</f>
        <v/>
      </c>
      <c r="T835" s="93" t="str">
        <f>IF(ISNUMBER('Model_ of_individuals'!T855), 'Model_ of_individuals'!T855*'Model_ of_individuals'!$K855,"")</f>
        <v/>
      </c>
      <c r="U835" s="93" t="str">
        <f>IF(ISNUMBER('Model_ of_individuals'!U855), 'Model_ of_individuals'!U855*'Model_ of_individuals'!$K855,"")</f>
        <v/>
      </c>
      <c r="V835" s="93" t="str">
        <f>IF(ISNUMBER('Model_ of_individuals'!V855), 'Model_ of_individuals'!V855*'Model_ of_individuals'!$K855,"")</f>
        <v/>
      </c>
      <c r="W835" s="93" t="str">
        <f>IF(ISNUMBER('Model_ of_individuals'!W855), 'Model_ of_individuals'!W855*'Model_ of_individuals'!$K855,"")</f>
        <v/>
      </c>
      <c r="X835" s="93" t="str">
        <f>IF(ISNUMBER('Model_ of_individuals'!X855), 'Model_ of_individuals'!X855*'Model_ of_individuals'!$K855,"")</f>
        <v/>
      </c>
      <c r="Y835" s="93" t="str">
        <f>IF(ISNUMBER('Model_ of_individuals'!Y855), 'Model_ of_individuals'!Y855*'Model_ of_individuals'!$K855,"")</f>
        <v/>
      </c>
      <c r="Z835" s="93" t="str">
        <f>IF(ISNUMBER('Model_ of_individuals'!Z855), 'Model_ of_individuals'!Z855*'Model_ of_individuals'!$K855,"")</f>
        <v/>
      </c>
    </row>
    <row r="836" spans="1:27" x14ac:dyDescent="0.25">
      <c r="A836" s="518"/>
      <c r="B836" s="504"/>
      <c r="C836" s="104" t="str">
        <f>IF(AND(ISNUMBER(B800), C829&lt;&gt;"", OR('Cost Inputs'!$H$205&lt;&gt;"", 'Cost Inputs'!$I$205&lt;&gt;"", 'Cost Inputs'!$J$205&lt;&gt;"")), _6_5_5, "")</f>
        <v/>
      </c>
      <c r="D836" s="17" t="str">
        <f>IF(AND(C836&lt;&gt;"", 'Cost Inputs'!$G$205&lt;&gt;""), 'Cost Inputs'!$G$205, "")</f>
        <v/>
      </c>
      <c r="E836" s="17" t="str">
        <f>IF(AND(C836&lt;&gt;"", 'Cost Inputs'!$H$205&lt;&gt;""), 'Cost Inputs'!$H$205, "")</f>
        <v/>
      </c>
      <c r="F836" s="17" t="str">
        <f>IF(AND(C836&lt;&gt;"", 'Cost Inputs'!$I$205&lt;&gt;""), 'Cost Inputs'!$I$205, "")</f>
        <v/>
      </c>
      <c r="G836" s="105" t="str">
        <f t="shared" si="72"/>
        <v/>
      </c>
      <c r="H836" s="17" t="str">
        <f>IF(AND(C836&lt;&gt;"", 'Cost Inputs'!$J$205&lt;&gt;""), 'Cost Inputs'!$J$205, "")</f>
        <v/>
      </c>
      <c r="I836" s="17" t="str">
        <f>IF($C836&lt;&gt;"", IF(AND($E836&lt;&gt;"", H836&lt;&gt;""), H836/$E836, 0),"")</f>
        <v/>
      </c>
      <c r="J836" s="17" t="str">
        <f>IF(AND(C836&lt;&gt;"",('Cost Inputs'!$I$205+'Cost Inputs'!$J$205+'Cost Inputs'!$K$205)&gt;0), 'Cost Inputs'!$I$205+'Cost Inputs'!$J$205+'Cost Inputs'!$K$205, "")</f>
        <v/>
      </c>
      <c r="K836" s="17" t="str">
        <f>IF($C836&lt;&gt;"", IF(AND($E836&lt;&gt;"", J836&lt;&gt;""), J836/$E836, 0),"")</f>
        <v/>
      </c>
      <c r="M836" s="106"/>
      <c r="Q836" s="17" t="str">
        <f>IF(ISNUMBER('Model_ of_individuals'!Q856), 'Model_ of_individuals'!Q856*'Model_ of_individuals'!$K856,"")</f>
        <v/>
      </c>
      <c r="R836" s="17" t="str">
        <f>IF(ISNUMBER('Model_ of_individuals'!R856), 'Model_ of_individuals'!R856*'Model_ of_individuals'!$K856,"")</f>
        <v/>
      </c>
      <c r="S836" s="17" t="str">
        <f>IF(ISNUMBER('Model_ of_individuals'!S856), 'Model_ of_individuals'!S856*'Model_ of_individuals'!$K856,"")</f>
        <v/>
      </c>
      <c r="T836" s="17" t="str">
        <f>IF(ISNUMBER('Model_ of_individuals'!T856), 'Model_ of_individuals'!T856*'Model_ of_individuals'!$K856,"")</f>
        <v/>
      </c>
      <c r="U836" s="17" t="str">
        <f>IF(ISNUMBER('Model_ of_individuals'!U856), 'Model_ of_individuals'!U856*'Model_ of_individuals'!$K856,"")</f>
        <v/>
      </c>
      <c r="V836" s="17" t="str">
        <f>IF(ISNUMBER('Model_ of_individuals'!V856), 'Model_ of_individuals'!V856*'Model_ of_individuals'!$K856,"")</f>
        <v/>
      </c>
      <c r="W836" s="17" t="str">
        <f>IF(ISNUMBER('Model_ of_individuals'!W856), 'Model_ of_individuals'!W856*'Model_ of_individuals'!$K856,"")</f>
        <v/>
      </c>
      <c r="X836" s="17" t="str">
        <f>IF(ISNUMBER('Model_ of_individuals'!X856), 'Model_ of_individuals'!X856*'Model_ of_individuals'!$K856,"")</f>
        <v/>
      </c>
      <c r="Y836" s="17" t="str">
        <f>IF(ISNUMBER('Model_ of_individuals'!Y856), 'Model_ of_individuals'!Y856*'Model_ of_individuals'!$K856,"")</f>
        <v/>
      </c>
      <c r="Z836" s="17" t="str">
        <f>IF(ISNUMBER('Model_ of_individuals'!Z856), 'Model_ of_individuals'!Z856*'Model_ of_individuals'!$K856,"")</f>
        <v/>
      </c>
    </row>
    <row r="837" spans="1:27" x14ac:dyDescent="0.25">
      <c r="A837" s="518"/>
      <c r="B837" s="504"/>
      <c r="C837" s="110" t="str">
        <f>IF(ISNUMBER(B800), _6_6_0, "")</f>
        <v/>
      </c>
      <c r="D837" s="94" t="str">
        <f>IF(AND(C837&lt;&gt;"", 'Cost Inputs'!$G$206&lt;&gt;""), 'Cost Inputs'!$G$206, "")</f>
        <v/>
      </c>
      <c r="E837" s="94" t="str">
        <f>IF(AND(C837&lt;&gt;"", 'Cost Inputs'!$H$206&lt;&gt;""), 'Cost Inputs'!$H$206, "")</f>
        <v/>
      </c>
      <c r="F837" s="94" t="str">
        <f>IF(AND(C837&lt;&gt;"", 'Cost Inputs'!$I$206&lt;&gt;""), 'Cost Inputs'!$I$206, "")</f>
        <v/>
      </c>
      <c r="G837" s="102" t="str">
        <f t="shared" si="72"/>
        <v/>
      </c>
      <c r="H837" s="94" t="str">
        <f>IF(AND(C837&lt;&gt;"", 'Cost Inputs'!$J$206&lt;&gt;""), 'Cost Inputs'!$J$206, "")</f>
        <v/>
      </c>
      <c r="I837" s="102" t="str">
        <f>IF($C837&lt;&gt;"",IF(AND($E837&lt;&gt;"",H837&lt;&gt;""), H837/$E837, 0),"")</f>
        <v/>
      </c>
      <c r="J837" s="94" t="str">
        <f>IF(AND(C837&lt;&gt;"",('Cost Inputs'!$I$206+'Cost Inputs'!$J$206+'Cost Inputs'!$K$206)&gt;0), 'Cost Inputs'!$I$206+'Cost Inputs'!$J$206+'Cost Inputs'!$K$206, "")</f>
        <v/>
      </c>
      <c r="K837" s="102" t="str">
        <f>IF($C837&lt;&gt;"",IF(AND($E837&lt;&gt;"",J837&lt;&gt;""), J837/$E837, 0),"")</f>
        <v/>
      </c>
      <c r="L837" s="94"/>
      <c r="M837" s="103"/>
      <c r="Q837" s="94" t="str">
        <f>IF(ISNUMBER('Model_ of_individuals'!Q857), 'Model_ of_individuals'!Q857*'Model_ of_individuals'!$K857,"")</f>
        <v/>
      </c>
      <c r="R837" s="94" t="str">
        <f>IF(ISNUMBER('Model_ of_individuals'!R857), 'Model_ of_individuals'!R857*'Model_ of_individuals'!$K857,"")</f>
        <v/>
      </c>
      <c r="S837" s="94" t="str">
        <f>IF(ISNUMBER('Model_ of_individuals'!S857), 'Model_ of_individuals'!S857*'Model_ of_individuals'!$K857,"")</f>
        <v/>
      </c>
      <c r="T837" s="94" t="str">
        <f>IF(ISNUMBER('Model_ of_individuals'!T857), 'Model_ of_individuals'!T857*'Model_ of_individuals'!$K857,"")</f>
        <v/>
      </c>
      <c r="U837" s="94" t="str">
        <f>IF(ISNUMBER('Model_ of_individuals'!U857), 'Model_ of_individuals'!U857*'Model_ of_individuals'!$K857,"")</f>
        <v/>
      </c>
      <c r="V837" s="94" t="str">
        <f>IF(ISNUMBER('Model_ of_individuals'!V857), 'Model_ of_individuals'!V857*'Model_ of_individuals'!$K857,"")</f>
        <v/>
      </c>
      <c r="W837" s="94" t="str">
        <f>IF(ISNUMBER('Model_ of_individuals'!W857), 'Model_ of_individuals'!W857*'Model_ of_individuals'!$K857,"")</f>
        <v/>
      </c>
      <c r="X837" s="94" t="str">
        <f>IF(ISNUMBER('Model_ of_individuals'!X857), 'Model_ of_individuals'!X857*'Model_ of_individuals'!$K857,"")</f>
        <v/>
      </c>
      <c r="Y837" s="94" t="str">
        <f>IF(ISNUMBER('Model_ of_individuals'!Y857), 'Model_ of_individuals'!Y857*'Model_ of_individuals'!$K857,"")</f>
        <v/>
      </c>
      <c r="Z837" s="94" t="str">
        <f>IF(ISNUMBER('Model_ of_individuals'!Z857), 'Model_ of_individuals'!Z857*'Model_ of_individuals'!$K857,"")</f>
        <v/>
      </c>
    </row>
    <row r="838" spans="1:27" x14ac:dyDescent="0.25">
      <c r="A838" s="518"/>
      <c r="B838" s="504"/>
      <c r="C838" s="104" t="str">
        <f>IF(AND(ISNUMBER(B800), OR('Cost Inputs'!$H$207&lt;&gt;"", 'Cost Inputs'!$I$207&lt;&gt;"", 'Cost Inputs'!$J$207&lt;&gt;"")), _6_6_1, "")</f>
        <v/>
      </c>
      <c r="D838" s="17" t="str">
        <f>IF(AND(C838&lt;&gt;"", 'Cost Inputs'!$G$207&lt;&gt;""), 'Cost Inputs'!$G$207, "")</f>
        <v/>
      </c>
      <c r="E838" s="17" t="str">
        <f>IF(AND(C838&lt;&gt;"", 'Cost Inputs'!$H$207&lt;&gt;""), 'Cost Inputs'!$H$207, "")</f>
        <v/>
      </c>
      <c r="F838" s="17" t="str">
        <f>IF(AND(C838&lt;&gt;"", 'Cost Inputs'!$I$207&lt;&gt;""), 'Cost Inputs'!$I$207, "")</f>
        <v/>
      </c>
      <c r="G838" s="105" t="str">
        <f t="shared" si="72"/>
        <v/>
      </c>
      <c r="H838" s="17" t="str">
        <f>IF(AND(C838&lt;&gt;"", 'Cost Inputs'!$J$207&lt;&gt;""), 'Cost Inputs'!$J$207, "")</f>
        <v/>
      </c>
      <c r="I838" s="17" t="str">
        <f>IF($C838&lt;&gt;"", IF(AND($E838&lt;&gt;"", H838&lt;&gt;""), H838/$E838, 0),"")</f>
        <v/>
      </c>
      <c r="J838" s="17" t="str">
        <f>IF(AND(C838&lt;&gt;"",('Cost Inputs'!$I$207+'Cost Inputs'!$J$207+'Cost Inputs'!$K$207)&gt;0), 'Cost Inputs'!$I$207+'Cost Inputs'!$J$207+'Cost Inputs'!$K$207, "")</f>
        <v/>
      </c>
      <c r="K838" s="17" t="str">
        <f>IF($C838&lt;&gt;"", IF(AND($E838&lt;&gt;"", J838&lt;&gt;""), J838/$E838, 0),"")</f>
        <v/>
      </c>
      <c r="M838" s="106"/>
      <c r="Q838" s="17" t="str">
        <f>IF(ISNUMBER('Model_ of_individuals'!Q858), 'Model_ of_individuals'!Q858*'Model_ of_individuals'!$K858,"")</f>
        <v/>
      </c>
      <c r="R838" s="17" t="str">
        <f>IF(ISNUMBER('Model_ of_individuals'!R858), 'Model_ of_individuals'!R858*'Model_ of_individuals'!$K858,"")</f>
        <v/>
      </c>
      <c r="S838" s="17" t="str">
        <f>IF(ISNUMBER('Model_ of_individuals'!S858), 'Model_ of_individuals'!S858*'Model_ of_individuals'!$K858,"")</f>
        <v/>
      </c>
      <c r="T838" s="17" t="str">
        <f>IF(ISNUMBER('Model_ of_individuals'!T858), 'Model_ of_individuals'!T858*'Model_ of_individuals'!$K858,"")</f>
        <v/>
      </c>
      <c r="U838" s="17" t="str">
        <f>IF(ISNUMBER('Model_ of_individuals'!U858), 'Model_ of_individuals'!U858*'Model_ of_individuals'!$K858,"")</f>
        <v/>
      </c>
      <c r="V838" s="17" t="str">
        <f>IF(ISNUMBER('Model_ of_individuals'!V858), 'Model_ of_individuals'!V858*'Model_ of_individuals'!$K858,"")</f>
        <v/>
      </c>
      <c r="W838" s="17" t="str">
        <f>IF(ISNUMBER('Model_ of_individuals'!W858), 'Model_ of_individuals'!W858*'Model_ of_individuals'!$K858,"")</f>
        <v/>
      </c>
      <c r="X838" s="17" t="str">
        <f>IF(ISNUMBER('Model_ of_individuals'!X858), 'Model_ of_individuals'!X858*'Model_ of_individuals'!$K858,"")</f>
        <v/>
      </c>
      <c r="Y838" s="17" t="str">
        <f>IF(ISNUMBER('Model_ of_individuals'!Y858), 'Model_ of_individuals'!Y858*'Model_ of_individuals'!$K858,"")</f>
        <v/>
      </c>
      <c r="Z838" s="17" t="str">
        <f>IF(ISNUMBER('Model_ of_individuals'!Z858), 'Model_ of_individuals'!Z858*'Model_ of_individuals'!$K858,"")</f>
        <v/>
      </c>
    </row>
    <row r="839" spans="1:27" ht="15.75" thickBot="1" x14ac:dyDescent="0.3">
      <c r="A839" s="518"/>
      <c r="B839" s="505"/>
      <c r="C839" s="111" t="str">
        <f>IF(AND(ISNUMBER(B800), OR('Cost Inputs'!$H$208&lt;&gt;"", 'Cost Inputs'!$I$208&lt;&gt;"", 'Cost Inputs'!$J$208&lt;&gt;"")), _6_6_2, "")</f>
        <v/>
      </c>
      <c r="D839" s="95" t="str">
        <f>IF(AND(C839&lt;&gt;"", 'Cost Inputs'!$G$208&lt;&gt;""), 'Cost Inputs'!$G$208, "")</f>
        <v/>
      </c>
      <c r="E839" s="95" t="str">
        <f>IF(AND(C839&lt;&gt;"", 'Cost Inputs'!$H$208&lt;&gt;""), 'Cost Inputs'!$H$208, "")</f>
        <v/>
      </c>
      <c r="F839" s="95" t="str">
        <f>IF(AND(C839&lt;&gt;"", 'Cost Inputs'!$I$208&lt;&gt;""), 'Cost Inputs'!$I$208, "")</f>
        <v/>
      </c>
      <c r="G839" s="112" t="str">
        <f t="shared" si="72"/>
        <v/>
      </c>
      <c r="H839" s="95" t="str">
        <f>IF(AND(C839&lt;&gt;"", 'Cost Inputs'!$J$208&lt;&gt;""), 'Cost Inputs'!$J$208, "")</f>
        <v/>
      </c>
      <c r="I839" s="95" t="str">
        <f>IF($C839&lt;&gt;"", IF(AND($E839&lt;&gt;"", H839&lt;&gt;""), H839/$E839, 0),"")</f>
        <v/>
      </c>
      <c r="J839" s="95" t="str">
        <f>IF(AND(C839&lt;&gt;"",('Cost Inputs'!$I$208+'Cost Inputs'!$J$208+'Cost Inputs'!$K$208)&gt;0), 'Cost Inputs'!$I$208+'Cost Inputs'!$J$208+'Cost Inputs'!$K$208, "")</f>
        <v/>
      </c>
      <c r="K839" s="95" t="str">
        <f>IF($C839&lt;&gt;"", IF(AND($E839&lt;&gt;"", J839&lt;&gt;""), J839/$E839, 0),"")</f>
        <v/>
      </c>
      <c r="L839" s="95"/>
      <c r="M839" s="113"/>
      <c r="Q839" s="95" t="str">
        <f>IF(ISNUMBER('Model_ of_individuals'!Q859), 'Model_ of_individuals'!Q859*'Model_ of_individuals'!$K859,"")</f>
        <v/>
      </c>
      <c r="R839" s="95" t="str">
        <f>IF(ISNUMBER('Model_ of_individuals'!R859), 'Model_ of_individuals'!R859*'Model_ of_individuals'!$K859,"")</f>
        <v/>
      </c>
      <c r="S839" s="95" t="str">
        <f>IF(ISNUMBER('Model_ of_individuals'!S859), 'Model_ of_individuals'!S859*'Model_ of_individuals'!$K859,"")</f>
        <v/>
      </c>
      <c r="T839" s="95" t="str">
        <f>IF(ISNUMBER('Model_ of_individuals'!T859), 'Model_ of_individuals'!T859*'Model_ of_individuals'!$K859,"")</f>
        <v/>
      </c>
      <c r="U839" s="95" t="str">
        <f>IF(ISNUMBER('Model_ of_individuals'!U859), 'Model_ of_individuals'!U859*'Model_ of_individuals'!$K859,"")</f>
        <v/>
      </c>
      <c r="V839" s="95" t="str">
        <f>IF(ISNUMBER('Model_ of_individuals'!V859), 'Model_ of_individuals'!V859*'Model_ of_individuals'!$K859,"")</f>
        <v/>
      </c>
      <c r="W839" s="95" t="str">
        <f>IF(ISNUMBER('Model_ of_individuals'!W859), 'Model_ of_individuals'!W859*'Model_ of_individuals'!$K859,"")</f>
        <v/>
      </c>
      <c r="X839" s="95" t="str">
        <f>IF(ISNUMBER('Model_ of_individuals'!X859), 'Model_ of_individuals'!X859*'Model_ of_individuals'!$K859,"")</f>
        <v/>
      </c>
      <c r="Y839" s="95" t="str">
        <f>IF(ISNUMBER('Model_ of_individuals'!Y859), 'Model_ of_individuals'!Y859*'Model_ of_individuals'!$K859,"")</f>
        <v/>
      </c>
      <c r="Z839" s="95" t="str">
        <f>IF(ISNUMBER('Model_ of_individuals'!Z859), 'Model_ of_individuals'!Z859*'Model_ of_individuals'!$K859,"")</f>
        <v/>
      </c>
    </row>
    <row r="840" spans="1:27" x14ac:dyDescent="0.25">
      <c r="A840" s="518" t="str">
        <f>Sixth_Stage</f>
        <v>Stage 4 Grower Trials</v>
      </c>
      <c r="B840" s="503" t="str">
        <f>'Breeding Inputs'!B116</f>
        <v/>
      </c>
      <c r="C840" s="521" t="str">
        <f>IF(ISNUMBER(B822), _6_3_0, "")</f>
        <v/>
      </c>
      <c r="D840" s="94" t="str">
        <f>IF(AND(C840&lt;&gt;"", 'Cost Inputs'!$G$187&lt;&gt;""), 'Cost Inputs'!$G$187, "")</f>
        <v/>
      </c>
      <c r="E840" s="94" t="str">
        <f>IF(AND(C840&lt;&gt;"", 'Cost Inputs'!$H$187&lt;&gt;""), 'Cost Inputs'!$H$187, "")</f>
        <v/>
      </c>
      <c r="F840" s="492" t="str">
        <f>IF(AND(C840&lt;&gt;"", 'Cost Inputs'!$I$187&lt;&gt;""), 'Cost Inputs'!$I$187, "")</f>
        <v/>
      </c>
      <c r="G840" s="102" t="str">
        <f t="shared" si="72"/>
        <v/>
      </c>
      <c r="H840" s="492" t="str">
        <f>IF(AND(C840&lt;&gt;"", 'Cost Inputs'!$J$187&lt;&gt;""), 'Cost Inputs'!$J$187, "")</f>
        <v/>
      </c>
      <c r="I840" s="102" t="str">
        <f>IF($C840&lt;&gt;"",IF(AND($E840&lt;&gt;"",H840&lt;&gt;""), H840/$E840, 0),"")</f>
        <v/>
      </c>
      <c r="J840" s="492" t="str">
        <f>IF(AND(C840&lt;&gt;"",('Cost Inputs'!$I$187+'Cost Inputs'!$J$187+'Cost Inputs'!$K$187)&gt;0), 'Cost Inputs'!$I$187+'Cost Inputs'!$J$187+'Cost Inputs'!$K$187, "")</f>
        <v/>
      </c>
      <c r="K840" s="102" t="str">
        <f>IF($C840&lt;&gt;"",IF(AND($E840&lt;&gt;"",J840&lt;&gt;""), J840/$E840, 0),"")</f>
        <v/>
      </c>
      <c r="L840" s="94"/>
      <c r="M840" s="103"/>
      <c r="R840" s="492" t="str">
        <f>IF(ISNUMBER('Model_ of_individuals'!R860), 'Model_ of_individuals'!R860*'Model_ of_individuals'!$K860,"")</f>
        <v/>
      </c>
      <c r="S840" s="492" t="str">
        <f>IF(ISNUMBER('Model_ of_individuals'!S860), 'Model_ of_individuals'!S860*'Model_ of_individuals'!$K860,"")</f>
        <v/>
      </c>
      <c r="T840" s="492" t="str">
        <f>IF(ISNUMBER('Model_ of_individuals'!T860), 'Model_ of_individuals'!T860*'Model_ of_individuals'!$K860,"")</f>
        <v/>
      </c>
      <c r="U840" s="492" t="str">
        <f>IF(ISNUMBER('Model_ of_individuals'!U860), 'Model_ of_individuals'!U860*'Model_ of_individuals'!$K860,"")</f>
        <v/>
      </c>
      <c r="V840" s="492" t="str">
        <f>IF(ISNUMBER('Model_ of_individuals'!V860), 'Model_ of_individuals'!V860*'Model_ of_individuals'!$K860,"")</f>
        <v/>
      </c>
      <c r="W840" s="492" t="str">
        <f>IF(ISNUMBER('Model_ of_individuals'!W860), 'Model_ of_individuals'!W860*'Model_ of_individuals'!$K860,"")</f>
        <v/>
      </c>
      <c r="X840" s="492" t="str">
        <f>IF(ISNUMBER('Model_ of_individuals'!X860), 'Model_ of_individuals'!X860*'Model_ of_individuals'!$K860,"")</f>
        <v/>
      </c>
      <c r="Y840" s="492" t="str">
        <f>IF(ISNUMBER('Model_ of_individuals'!Y860), 'Model_ of_individuals'!Y860*'Model_ of_individuals'!$K860,"")</f>
        <v/>
      </c>
      <c r="Z840" s="492" t="str">
        <f>IF(ISNUMBER('Model_ of_individuals'!Z860), 'Model_ of_individuals'!Z860*'Model_ of_individuals'!$K860,"")</f>
        <v/>
      </c>
      <c r="AA840" s="492" t="str">
        <f>IF(ISNUMBER('Model_ of_individuals'!AA860), 'Model_ of_individuals'!AA860*'Model_ of_individuals'!$K860,"")</f>
        <v/>
      </c>
    </row>
    <row r="841" spans="1:27" x14ac:dyDescent="0.25">
      <c r="A841" s="518"/>
      <c r="B841" s="504"/>
      <c r="C841" s="521"/>
      <c r="D841" s="94" t="str">
        <f>IF(AND(C840&lt;&gt;"", 'Cost Inputs'!$G$188&lt;&gt;""), 'Cost Inputs'!$G$188, "")</f>
        <v/>
      </c>
      <c r="E841" s="94" t="str">
        <f>IF(AND(C840&lt;&gt;"", 'Cost Inputs'!$H$188&lt;&gt;""), 'Cost Inputs'!$H$188, "")</f>
        <v/>
      </c>
      <c r="F841" s="492"/>
      <c r="G841" s="102" t="str">
        <f t="shared" si="72"/>
        <v/>
      </c>
      <c r="H841" s="492"/>
      <c r="I841" s="102" t="str">
        <f>IF($C840&lt;&gt;"", IF(AND($E841&lt;&gt;"", H840&lt;&gt;""), H840/($E840*$E841), 0), "")</f>
        <v/>
      </c>
      <c r="J841" s="492" t="str">
        <f>IF(AND(C841&lt;&gt;"",('Cost Inputs'!$I$86+'Cost Inputs'!$J$86+'Cost Inputs'!$K$86)&gt;0), 'Cost Inputs'!$I$86+'Cost Inputs'!$J$86+'Cost Inputs'!$K$86, "")</f>
        <v/>
      </c>
      <c r="K841" s="102" t="str">
        <f>IF($C840&lt;&gt;"", IF(AND($E841&lt;&gt;"", J840&lt;&gt;""), J840/($E840*$E841), 0), "")</f>
        <v/>
      </c>
      <c r="L841" s="94"/>
      <c r="M841" s="103"/>
      <c r="R841" s="492" t="str">
        <f>IF(ISNUMBER('Model_ of_individuals'!R861), 'Model_ of_individuals'!R861*'Model_ of_individuals'!$K861,"")</f>
        <v/>
      </c>
      <c r="S841" s="492" t="str">
        <f>IF(ISNUMBER('Model_ of_individuals'!S861), 'Model_ of_individuals'!S861*'Model_ of_individuals'!$K861,"")</f>
        <v/>
      </c>
      <c r="T841" s="492" t="str">
        <f>IF(ISNUMBER('Model_ of_individuals'!T861), 'Model_ of_individuals'!T861*'Model_ of_individuals'!$K861,"")</f>
        <v/>
      </c>
      <c r="U841" s="492" t="str">
        <f>IF(ISNUMBER('Model_ of_individuals'!U861), 'Model_ of_individuals'!U861*'Model_ of_individuals'!$K861,"")</f>
        <v/>
      </c>
      <c r="V841" s="492" t="str">
        <f>IF(ISNUMBER('Model_ of_individuals'!V861), 'Model_ of_individuals'!V861*'Model_ of_individuals'!$K861,"")</f>
        <v/>
      </c>
      <c r="W841" s="492" t="str">
        <f>IF(ISNUMBER('Model_ of_individuals'!W861), 'Model_ of_individuals'!W861*'Model_ of_individuals'!$K861,"")</f>
        <v/>
      </c>
      <c r="X841" s="492" t="str">
        <f>IF(ISNUMBER('Model_ of_individuals'!X861), 'Model_ of_individuals'!X861*'Model_ of_individuals'!$K861,"")</f>
        <v/>
      </c>
      <c r="Y841" s="492" t="str">
        <f>IF(ISNUMBER('Model_ of_individuals'!Y861), 'Model_ of_individuals'!Y861*'Model_ of_individuals'!$K861,"")</f>
        <v/>
      </c>
      <c r="Z841" s="492" t="str">
        <f>IF(ISNUMBER('Model_ of_individuals'!Z861), 'Model_ of_individuals'!Z861*'Model_ of_individuals'!$K861,"")</f>
        <v/>
      </c>
      <c r="AA841" s="492" t="str">
        <f>IF(ISNUMBER('Model_ of_individuals'!AA861), 'Model_ of_individuals'!AA861*'Model_ of_individuals'!$K861,"")</f>
        <v/>
      </c>
    </row>
    <row r="842" spans="1:27" x14ac:dyDescent="0.25">
      <c r="A842" s="518"/>
      <c r="B842" s="504"/>
      <c r="C842" s="104" t="str">
        <f>IF(AND(ISNUMBER(B822), OR('Cost Inputs'!$H$189&lt;&gt;"", 'Cost Inputs'!$I$189&lt;&gt;"", 'Cost Inputs'!$J$189&lt;&gt;"")), _6_3_1, "")</f>
        <v/>
      </c>
      <c r="D842" s="17" t="str">
        <f>IF(AND(C842&lt;&gt;"", 'Cost Inputs'!$G$189&lt;&gt;""), 'Cost Inputs'!$G$189, "")</f>
        <v/>
      </c>
      <c r="E842" s="17" t="str">
        <f>IF(AND(C842&lt;&gt;"", 'Cost Inputs'!$H$189&lt;&gt;""), 'Cost Inputs'!$H$189, "")</f>
        <v/>
      </c>
      <c r="F842" s="17" t="str">
        <f>IF(AND(C842&lt;&gt;"", 'Cost Inputs'!$I$189&lt;&gt;""), 'Cost Inputs'!$I$189, "")</f>
        <v/>
      </c>
      <c r="G842" s="105" t="str">
        <f t="shared" si="72"/>
        <v/>
      </c>
      <c r="H842" s="17" t="str">
        <f>IF(AND(C842&lt;&gt;"", 'Cost Inputs'!$J$189&lt;&gt;""), 'Cost Inputs'!$J$189, "")</f>
        <v/>
      </c>
      <c r="I842" s="17" t="str">
        <f t="shared" ref="I842:I850" si="77">IF($C842&lt;&gt;"", IF(AND($E842&lt;&gt;"", H842&lt;&gt;""), H842/$E842, 0),"")</f>
        <v/>
      </c>
      <c r="J842" s="17" t="str">
        <f>IF(AND(C842&lt;&gt;"",('Cost Inputs'!$I$189+'Cost Inputs'!$J$189+'Cost Inputs'!$K$189)&gt;0), 'Cost Inputs'!$I$189+'Cost Inputs'!$J$189+'Cost Inputs'!$K$189, "")</f>
        <v/>
      </c>
      <c r="K842" s="17" t="str">
        <f t="shared" ref="K842:K850" si="78">IF($C842&lt;&gt;"", IF(AND($E842&lt;&gt;"", J842&lt;&gt;""), J842/$E842, 0),"")</f>
        <v/>
      </c>
      <c r="M842" s="106"/>
      <c r="R842" s="17" t="str">
        <f>IF(ISNUMBER('Model_ of_individuals'!R862), 'Model_ of_individuals'!R862*'Model_ of_individuals'!$K862,"")</f>
        <v/>
      </c>
      <c r="S842" s="17" t="str">
        <f>IF(ISNUMBER('Model_ of_individuals'!S862), 'Model_ of_individuals'!S862*'Model_ of_individuals'!$K862,"")</f>
        <v/>
      </c>
      <c r="T842" s="17" t="str">
        <f>IF(ISNUMBER('Model_ of_individuals'!T862), 'Model_ of_individuals'!T862*'Model_ of_individuals'!$K862,"")</f>
        <v/>
      </c>
      <c r="U842" s="17" t="str">
        <f>IF(ISNUMBER('Model_ of_individuals'!U862), 'Model_ of_individuals'!U862*'Model_ of_individuals'!$K862,"")</f>
        <v/>
      </c>
      <c r="V842" s="17" t="str">
        <f>IF(ISNUMBER('Model_ of_individuals'!V862), 'Model_ of_individuals'!V862*'Model_ of_individuals'!$K862,"")</f>
        <v/>
      </c>
      <c r="W842" s="17" t="str">
        <f>IF(ISNUMBER('Model_ of_individuals'!W862), 'Model_ of_individuals'!W862*'Model_ of_individuals'!$K862,"")</f>
        <v/>
      </c>
      <c r="X842" s="17" t="str">
        <f>IF(ISNUMBER('Model_ of_individuals'!X862), 'Model_ of_individuals'!X862*'Model_ of_individuals'!$K862,"")</f>
        <v/>
      </c>
      <c r="Y842" s="17" t="str">
        <f>IF(ISNUMBER('Model_ of_individuals'!Y862), 'Model_ of_individuals'!Y862*'Model_ of_individuals'!$K862,"")</f>
        <v/>
      </c>
      <c r="Z842" s="17" t="str">
        <f>IF(ISNUMBER('Model_ of_individuals'!Z862), 'Model_ of_individuals'!Z862*'Model_ of_individuals'!$K862,"")</f>
        <v/>
      </c>
      <c r="AA842" s="17" t="str">
        <f>IF(ISNUMBER('Model_ of_individuals'!AA862), 'Model_ of_individuals'!AA862*'Model_ of_individuals'!$K862,"")</f>
        <v/>
      </c>
    </row>
    <row r="843" spans="1:27" x14ac:dyDescent="0.25">
      <c r="A843" s="518"/>
      <c r="B843" s="504"/>
      <c r="C843" s="107" t="str">
        <f>IF(AND(ISNUMBER(B822), OR('Cost Inputs'!$H$190&lt;&gt;"", 'Cost Inputs'!$I$190&lt;&gt;"", 'Cost Inputs'!$J$190&lt;&gt;"")), _6_3_2, "")</f>
        <v/>
      </c>
      <c r="D843" s="93" t="str">
        <f>IF(AND(C843&lt;&gt;"", 'Cost Inputs'!$G$190&lt;&gt;""), 'Cost Inputs'!$G$190, "")</f>
        <v/>
      </c>
      <c r="E843" s="93" t="str">
        <f>IF(AND(C843&lt;&gt;"", 'Cost Inputs'!$H$190&lt;&gt;""), 'Cost Inputs'!$H$190, "")</f>
        <v/>
      </c>
      <c r="F843" s="93" t="str">
        <f>IF(AND(C843&lt;&gt;"", 'Cost Inputs'!$I$190&lt;&gt;""), 'Cost Inputs'!$I$190, "")</f>
        <v/>
      </c>
      <c r="G843" s="108" t="str">
        <f t="shared" si="72"/>
        <v/>
      </c>
      <c r="H843" s="93" t="str">
        <f>IF(AND(C843&lt;&gt;"", 'Cost Inputs'!$J$190&lt;&gt;""), 'Cost Inputs'!$J$190, "")</f>
        <v/>
      </c>
      <c r="I843" s="93" t="str">
        <f t="shared" si="77"/>
        <v/>
      </c>
      <c r="J843" s="93" t="str">
        <f>IF(AND(C843&lt;&gt;"",('Cost Inputs'!$I$190+'Cost Inputs'!$J$190+'Cost Inputs'!$K$190)&gt;0), 'Cost Inputs'!$I$190+'Cost Inputs'!$J$190+'Cost Inputs'!$K$190, "")</f>
        <v/>
      </c>
      <c r="K843" s="93" t="str">
        <f t="shared" si="78"/>
        <v/>
      </c>
      <c r="L843" s="93"/>
      <c r="M843" s="109"/>
      <c r="R843" s="93" t="str">
        <f>IF(ISNUMBER('Model_ of_individuals'!R863), 'Model_ of_individuals'!R863*'Model_ of_individuals'!$K863,"")</f>
        <v/>
      </c>
      <c r="S843" s="93" t="str">
        <f>IF(ISNUMBER('Model_ of_individuals'!S863), 'Model_ of_individuals'!S863*'Model_ of_individuals'!$K863,"")</f>
        <v/>
      </c>
      <c r="T843" s="93" t="str">
        <f>IF(ISNUMBER('Model_ of_individuals'!T863), 'Model_ of_individuals'!T863*'Model_ of_individuals'!$K863,"")</f>
        <v/>
      </c>
      <c r="U843" s="93" t="str">
        <f>IF(ISNUMBER('Model_ of_individuals'!U863), 'Model_ of_individuals'!U863*'Model_ of_individuals'!$K863,"")</f>
        <v/>
      </c>
      <c r="V843" s="93" t="str">
        <f>IF(ISNUMBER('Model_ of_individuals'!V863), 'Model_ of_individuals'!V863*'Model_ of_individuals'!$K863,"")</f>
        <v/>
      </c>
      <c r="W843" s="93" t="str">
        <f>IF(ISNUMBER('Model_ of_individuals'!W863), 'Model_ of_individuals'!W863*'Model_ of_individuals'!$K863,"")</f>
        <v/>
      </c>
      <c r="X843" s="93" t="str">
        <f>IF(ISNUMBER('Model_ of_individuals'!X863), 'Model_ of_individuals'!X863*'Model_ of_individuals'!$K863,"")</f>
        <v/>
      </c>
      <c r="Y843" s="93" t="str">
        <f>IF(ISNUMBER('Model_ of_individuals'!Y863), 'Model_ of_individuals'!Y863*'Model_ of_individuals'!$K863,"")</f>
        <v/>
      </c>
      <c r="Z843" s="93" t="str">
        <f>IF(ISNUMBER('Model_ of_individuals'!Z863), 'Model_ of_individuals'!Z863*'Model_ of_individuals'!$K863,"")</f>
        <v/>
      </c>
      <c r="AA843" s="93" t="str">
        <f>IF(ISNUMBER('Model_ of_individuals'!AA863), 'Model_ of_individuals'!AA863*'Model_ of_individuals'!$K863,"")</f>
        <v/>
      </c>
    </row>
    <row r="844" spans="1:27" x14ac:dyDescent="0.25">
      <c r="A844" s="518"/>
      <c r="B844" s="504"/>
      <c r="C844" s="110" t="str">
        <f>IF(ISNUMBER(B822), _6_4_0, "")</f>
        <v/>
      </c>
      <c r="D844" s="94" t="str">
        <f>IF(AND(C844&lt;&gt;"", 'Cost Inputs'!$G$191&lt;&gt;""), 'Cost Inputs'!$G$191, "")</f>
        <v/>
      </c>
      <c r="E844" s="94" t="str">
        <f>IF(AND(C844&lt;&gt;"", 'Cost Inputs'!$H$191&lt;&gt;""), 'Cost Inputs'!$H$191, "")</f>
        <v/>
      </c>
      <c r="F844" s="94" t="str">
        <f>IF(AND(C844&lt;&gt;"", 'Cost Inputs'!$I$191&lt;&gt;""), 'Cost Inputs'!$I$191, "")</f>
        <v/>
      </c>
      <c r="G844" s="102" t="str">
        <f t="shared" si="72"/>
        <v/>
      </c>
      <c r="H844" s="102" t="str">
        <f>IF(AND(C844&lt;&gt;"", 'Cost Inputs'!$J$191&lt;&gt;""), 'Cost Inputs'!$J$191, "")</f>
        <v/>
      </c>
      <c r="I844" s="102" t="str">
        <f t="shared" si="77"/>
        <v/>
      </c>
      <c r="J844" s="102" t="str">
        <f>IF(AND(C844&lt;&gt;"",('Cost Inputs'!$I$191+'Cost Inputs'!$J$191+'Cost Inputs'!$K$191)&gt;0), 'Cost Inputs'!$I$191+'Cost Inputs'!$J$191+'Cost Inputs'!$K$191, "")</f>
        <v/>
      </c>
      <c r="K844" s="102" t="str">
        <f t="shared" si="78"/>
        <v/>
      </c>
      <c r="L844" s="94"/>
      <c r="M844" s="103"/>
      <c r="R844" s="102" t="str">
        <f>IF(ISNUMBER('Model_ of_individuals'!R864), 'Model_ of_individuals'!R864*'Model_ of_individuals'!$K864,"")</f>
        <v/>
      </c>
      <c r="S844" s="102" t="str">
        <f>IF(ISNUMBER('Model_ of_individuals'!S864), 'Model_ of_individuals'!S864*'Model_ of_individuals'!$K864,"")</f>
        <v/>
      </c>
      <c r="T844" s="102" t="str">
        <f>IF(ISNUMBER('Model_ of_individuals'!T864), 'Model_ of_individuals'!T864*'Model_ of_individuals'!$K864,"")</f>
        <v/>
      </c>
      <c r="U844" s="102" t="str">
        <f>IF(ISNUMBER('Model_ of_individuals'!U864), 'Model_ of_individuals'!U864*'Model_ of_individuals'!$K864,"")</f>
        <v/>
      </c>
      <c r="V844" s="102" t="str">
        <f>IF(ISNUMBER('Model_ of_individuals'!V864), 'Model_ of_individuals'!V864*'Model_ of_individuals'!$K864,"")</f>
        <v/>
      </c>
      <c r="W844" s="102" t="str">
        <f>IF(ISNUMBER('Model_ of_individuals'!W864), 'Model_ of_individuals'!W864*'Model_ of_individuals'!$K864,"")</f>
        <v/>
      </c>
      <c r="X844" s="102" t="str">
        <f>IF(ISNUMBER('Model_ of_individuals'!X864), 'Model_ of_individuals'!X864*'Model_ of_individuals'!$K864,"")</f>
        <v/>
      </c>
      <c r="Y844" s="102" t="str">
        <f>IF(ISNUMBER('Model_ of_individuals'!Y864), 'Model_ of_individuals'!Y864*'Model_ of_individuals'!$K864,"")</f>
        <v/>
      </c>
      <c r="Z844" s="102" t="str">
        <f>IF(ISNUMBER('Model_ of_individuals'!Z864), 'Model_ of_individuals'!Z864*'Model_ of_individuals'!$K864,"")</f>
        <v/>
      </c>
      <c r="AA844" s="102" t="str">
        <f>IF(ISNUMBER('Model_ of_individuals'!AA864), 'Model_ of_individuals'!AA864*'Model_ of_individuals'!$K864,"")</f>
        <v/>
      </c>
    </row>
    <row r="845" spans="1:27" x14ac:dyDescent="0.25">
      <c r="A845" s="518"/>
      <c r="B845" s="504"/>
      <c r="C845" s="104" t="str">
        <f>IF(AND(ISNUMBER(B822), OR('Cost Inputs'!$H$192&lt;&gt;"", 'Cost Inputs'!$I$192&lt;&gt;"", 'Cost Inputs'!$J$192&lt;&gt;"")), _6_4_1, "")</f>
        <v/>
      </c>
      <c r="D845" s="17" t="str">
        <f>IF(AND(C845&lt;&gt;"", 'Cost Inputs'!$G$192&lt;&gt;""), 'Cost Inputs'!$G$192, "")</f>
        <v/>
      </c>
      <c r="E845" s="17" t="str">
        <f>IF(AND(C845&lt;&gt;"", 'Cost Inputs'!$H$192&lt;&gt;""), 'Cost Inputs'!$H$192, "")</f>
        <v/>
      </c>
      <c r="F845" s="17" t="str">
        <f>IF(AND(C845&lt;&gt;"", 'Cost Inputs'!$I$192&lt;&gt;""), 'Cost Inputs'!$I$192, "")</f>
        <v/>
      </c>
      <c r="G845" s="105" t="str">
        <f t="shared" si="72"/>
        <v/>
      </c>
      <c r="H845" s="17" t="str">
        <f>IF(AND(C845&lt;&gt;"", 'Cost Inputs'!$J$192&lt;&gt;""), 'Cost Inputs'!$J$192, "")</f>
        <v/>
      </c>
      <c r="I845" s="17" t="str">
        <f t="shared" si="77"/>
        <v/>
      </c>
      <c r="J845" s="17" t="str">
        <f>IF(AND(C845&lt;&gt;"",('Cost Inputs'!$I$192+'Cost Inputs'!$J$192+'Cost Inputs'!$K$192)&gt;0), 'Cost Inputs'!$I$192+'Cost Inputs'!$J$192+'Cost Inputs'!$K$192, "")</f>
        <v/>
      </c>
      <c r="K845" s="17" t="str">
        <f t="shared" si="78"/>
        <v/>
      </c>
      <c r="M845" s="106"/>
      <c r="R845" s="17" t="str">
        <f>IF(ISNUMBER('Model_ of_individuals'!R865), 'Model_ of_individuals'!R865*'Model_ of_individuals'!$K865,"")</f>
        <v/>
      </c>
      <c r="S845" s="17" t="str">
        <f>IF(ISNUMBER('Model_ of_individuals'!S865), 'Model_ of_individuals'!S865*'Model_ of_individuals'!$K865,"")</f>
        <v/>
      </c>
      <c r="T845" s="17" t="str">
        <f>IF(ISNUMBER('Model_ of_individuals'!T865), 'Model_ of_individuals'!T865*'Model_ of_individuals'!$K865,"")</f>
        <v/>
      </c>
      <c r="U845" s="17" t="str">
        <f>IF(ISNUMBER('Model_ of_individuals'!U865), 'Model_ of_individuals'!U865*'Model_ of_individuals'!$K865,"")</f>
        <v/>
      </c>
      <c r="V845" s="17" t="str">
        <f>IF(ISNUMBER('Model_ of_individuals'!V865), 'Model_ of_individuals'!V865*'Model_ of_individuals'!$K865,"")</f>
        <v/>
      </c>
      <c r="W845" s="17" t="str">
        <f>IF(ISNUMBER('Model_ of_individuals'!W865), 'Model_ of_individuals'!W865*'Model_ of_individuals'!$K865,"")</f>
        <v/>
      </c>
      <c r="X845" s="17" t="str">
        <f>IF(ISNUMBER('Model_ of_individuals'!X865), 'Model_ of_individuals'!X865*'Model_ of_individuals'!$K865,"")</f>
        <v/>
      </c>
      <c r="Y845" s="17" t="str">
        <f>IF(ISNUMBER('Model_ of_individuals'!Y865), 'Model_ of_individuals'!Y865*'Model_ of_individuals'!$K865,"")</f>
        <v/>
      </c>
      <c r="Z845" s="17" t="str">
        <f>IF(ISNUMBER('Model_ of_individuals'!Z865), 'Model_ of_individuals'!Z865*'Model_ of_individuals'!$K865,"")</f>
        <v/>
      </c>
      <c r="AA845" s="17" t="str">
        <f>IF(ISNUMBER('Model_ of_individuals'!AA865), 'Model_ of_individuals'!AA865*'Model_ of_individuals'!$K865,"")</f>
        <v/>
      </c>
    </row>
    <row r="846" spans="1:27" x14ac:dyDescent="0.25">
      <c r="A846" s="518"/>
      <c r="B846" s="504"/>
      <c r="C846" s="107" t="str">
        <f>IF(AND(ISNUMBER(B822), OR('Cost Inputs'!$H$193&lt;&gt;"", 'Cost Inputs'!$I$193&lt;&gt;"", 'Cost Inputs'!$J$193&lt;&gt;"")), _6_4_2, "")</f>
        <v/>
      </c>
      <c r="D846" s="93" t="str">
        <f>IF(AND(C846&lt;&gt;"", 'Cost Inputs'!$G$193&lt;&gt;""), 'Cost Inputs'!$G$193, "")</f>
        <v/>
      </c>
      <c r="E846" s="93" t="str">
        <f>IF(AND(C846&lt;&gt;"", 'Cost Inputs'!$H$193&lt;&gt;""), 'Cost Inputs'!$H$193, "")</f>
        <v/>
      </c>
      <c r="F846" s="93" t="str">
        <f>IF(AND(C846&lt;&gt;"", 'Cost Inputs'!$I$193&lt;&gt;""), 'Cost Inputs'!$I$193, "")</f>
        <v/>
      </c>
      <c r="G846" s="108" t="str">
        <f t="shared" si="72"/>
        <v/>
      </c>
      <c r="H846" s="93" t="str">
        <f>IF(AND(C846&lt;&gt;"", 'Cost Inputs'!$J$193&lt;&gt;""), 'Cost Inputs'!$J$193, "")</f>
        <v/>
      </c>
      <c r="I846" s="93" t="str">
        <f t="shared" si="77"/>
        <v/>
      </c>
      <c r="J846" s="93" t="str">
        <f>IF(AND(C846&lt;&gt;"",('Cost Inputs'!$I$152+'Cost Inputs'!$J$152+'Cost Inputs'!$K$152)&gt;0), 'Cost Inputs'!$I$152+'Cost Inputs'!$J$152+'Cost Inputs'!$K$152, "")</f>
        <v/>
      </c>
      <c r="K846" s="93" t="str">
        <f t="shared" si="78"/>
        <v/>
      </c>
      <c r="L846" s="93"/>
      <c r="M846" s="109"/>
      <c r="R846" s="93" t="str">
        <f>IF(ISNUMBER('Model_ of_individuals'!R866), 'Model_ of_individuals'!R866*'Model_ of_individuals'!$K866,"")</f>
        <v/>
      </c>
      <c r="S846" s="93" t="str">
        <f>IF(ISNUMBER('Model_ of_individuals'!S866), 'Model_ of_individuals'!S866*'Model_ of_individuals'!$K866,"")</f>
        <v/>
      </c>
      <c r="T846" s="93" t="str">
        <f>IF(ISNUMBER('Model_ of_individuals'!T866), 'Model_ of_individuals'!T866*'Model_ of_individuals'!$K866,"")</f>
        <v/>
      </c>
      <c r="U846" s="93" t="str">
        <f>IF(ISNUMBER('Model_ of_individuals'!U866), 'Model_ of_individuals'!U866*'Model_ of_individuals'!$K866,"")</f>
        <v/>
      </c>
      <c r="V846" s="93" t="str">
        <f>IF(ISNUMBER('Model_ of_individuals'!V866), 'Model_ of_individuals'!V866*'Model_ of_individuals'!$K866,"")</f>
        <v/>
      </c>
      <c r="W846" s="93" t="str">
        <f>IF(ISNUMBER('Model_ of_individuals'!W866), 'Model_ of_individuals'!W866*'Model_ of_individuals'!$K866,"")</f>
        <v/>
      </c>
      <c r="X846" s="93" t="str">
        <f>IF(ISNUMBER('Model_ of_individuals'!X866), 'Model_ of_individuals'!X866*'Model_ of_individuals'!$K866,"")</f>
        <v/>
      </c>
      <c r="Y846" s="93" t="str">
        <f>IF(ISNUMBER('Model_ of_individuals'!Y866), 'Model_ of_individuals'!Y866*'Model_ of_individuals'!$K866,"")</f>
        <v/>
      </c>
      <c r="Z846" s="93" t="str">
        <f>IF(ISNUMBER('Model_ of_individuals'!Z866), 'Model_ of_individuals'!Z866*'Model_ of_individuals'!$K866,"")</f>
        <v/>
      </c>
      <c r="AA846" s="93" t="str">
        <f>IF(ISNUMBER('Model_ of_individuals'!AA866), 'Model_ of_individuals'!AA866*'Model_ of_individuals'!$K866,"")</f>
        <v/>
      </c>
    </row>
    <row r="847" spans="1:27" x14ac:dyDescent="0.25">
      <c r="A847" s="518"/>
      <c r="B847" s="504"/>
      <c r="C847" s="104" t="str">
        <f>IF(AND(ISNUMBER(B822), OR('Cost Inputs'!$H$194&lt;&gt;"", 'Cost Inputs'!$I$194&lt;&gt;"", 'Cost Inputs'!$J$194&lt;&gt;"")), _6_4_3, "")</f>
        <v/>
      </c>
      <c r="D847" s="17" t="str">
        <f>IF(AND(C847&lt;&gt;"", 'Cost Inputs'!$G$194&lt;&gt;""), 'Cost Inputs'!$G$194, "")</f>
        <v/>
      </c>
      <c r="E847" s="17" t="str">
        <f>IF(AND(C847&lt;&gt;"", 'Cost Inputs'!$H$194&lt;&gt;""), 'Cost Inputs'!$H$194, "")</f>
        <v/>
      </c>
      <c r="F847" s="17" t="str">
        <f>IF(AND(C847&lt;&gt;"", 'Cost Inputs'!$I$194&lt;&gt;""), 'Cost Inputs'!$I$194, "")</f>
        <v/>
      </c>
      <c r="G847" s="105" t="str">
        <f t="shared" ref="G847:G910" si="79">IF(AND($E847&lt;&gt;"", $E847&gt;0, F847&lt;&gt;""), F847/$E847, "")</f>
        <v/>
      </c>
      <c r="H847" s="17" t="str">
        <f>IF(AND(C847&lt;&gt;"", 'Cost Inputs'!$J$194&lt;&gt;""), 'Cost Inputs'!$J$194, "")</f>
        <v/>
      </c>
      <c r="I847" s="17" t="str">
        <f t="shared" si="77"/>
        <v/>
      </c>
      <c r="J847" s="17" t="str">
        <f>IF(AND(C847&lt;&gt;"",('Cost Inputs'!$I$194+'Cost Inputs'!$J$194+'Cost Inputs'!$K$194)&gt;0), 'Cost Inputs'!$I$194+'Cost Inputs'!$J$194+'Cost Inputs'!$K$194, "")</f>
        <v/>
      </c>
      <c r="K847" s="17" t="str">
        <f t="shared" si="78"/>
        <v/>
      </c>
      <c r="M847" s="106"/>
      <c r="R847" s="17" t="str">
        <f>IF(ISNUMBER('Model_ of_individuals'!R867), 'Model_ of_individuals'!R867*'Model_ of_individuals'!$K867,"")</f>
        <v/>
      </c>
      <c r="S847" s="17" t="str">
        <f>IF(ISNUMBER('Model_ of_individuals'!S867), 'Model_ of_individuals'!S867*'Model_ of_individuals'!$K867,"")</f>
        <v/>
      </c>
      <c r="T847" s="17" t="str">
        <f>IF(ISNUMBER('Model_ of_individuals'!T867), 'Model_ of_individuals'!T867*'Model_ of_individuals'!$K867,"")</f>
        <v/>
      </c>
      <c r="U847" s="17" t="str">
        <f>IF(ISNUMBER('Model_ of_individuals'!U867), 'Model_ of_individuals'!U867*'Model_ of_individuals'!$K867,"")</f>
        <v/>
      </c>
      <c r="V847" s="17" t="str">
        <f>IF(ISNUMBER('Model_ of_individuals'!V867), 'Model_ of_individuals'!V867*'Model_ of_individuals'!$K867,"")</f>
        <v/>
      </c>
      <c r="W847" s="17" t="str">
        <f>IF(ISNUMBER('Model_ of_individuals'!W867), 'Model_ of_individuals'!W867*'Model_ of_individuals'!$K867,"")</f>
        <v/>
      </c>
      <c r="X847" s="17" t="str">
        <f>IF(ISNUMBER('Model_ of_individuals'!X867), 'Model_ of_individuals'!X867*'Model_ of_individuals'!$K867,"")</f>
        <v/>
      </c>
      <c r="Y847" s="17" t="str">
        <f>IF(ISNUMBER('Model_ of_individuals'!Y867), 'Model_ of_individuals'!Y867*'Model_ of_individuals'!$K867,"")</f>
        <v/>
      </c>
      <c r="Z847" s="17" t="str">
        <f>IF(ISNUMBER('Model_ of_individuals'!Z867), 'Model_ of_individuals'!Z867*'Model_ of_individuals'!$K867,"")</f>
        <v/>
      </c>
      <c r="AA847" s="17" t="str">
        <f>IF(ISNUMBER('Model_ of_individuals'!AA867), 'Model_ of_individuals'!AA867*'Model_ of_individuals'!$K867,"")</f>
        <v/>
      </c>
    </row>
    <row r="848" spans="1:27" x14ac:dyDescent="0.25">
      <c r="A848" s="518"/>
      <c r="B848" s="504"/>
      <c r="C848" s="107" t="str">
        <f>IF(AND(ISNUMBER(B822), OR('Cost Inputs'!$H$195&lt;&gt;"", 'Cost Inputs'!$I$195&lt;&gt;"", 'Cost Inputs'!$J$195&lt;&gt;"")), _6_4_4, "")</f>
        <v/>
      </c>
      <c r="D848" s="93" t="str">
        <f>IF(AND(C848&lt;&gt;"", 'Cost Inputs'!$G$195&lt;&gt;""), 'Cost Inputs'!$G$195, "")</f>
        <v/>
      </c>
      <c r="E848" s="93" t="str">
        <f>IF(AND(C848&lt;&gt;"", 'Cost Inputs'!$H$195&lt;&gt;""), 'Cost Inputs'!$H$195, "")</f>
        <v/>
      </c>
      <c r="F848" s="93" t="str">
        <f>IF(AND(C848&lt;&gt;"", 'Cost Inputs'!$I$195&lt;&gt;""), 'Cost Inputs'!$I$195, "")</f>
        <v/>
      </c>
      <c r="G848" s="108" t="str">
        <f t="shared" si="79"/>
        <v/>
      </c>
      <c r="H848" s="93" t="str">
        <f>IF(AND(C848&lt;&gt;"", 'Cost Inputs'!$J$195&lt;&gt;""), 'Cost Inputs'!$J$195, "")</f>
        <v/>
      </c>
      <c r="I848" s="93" t="str">
        <f t="shared" si="77"/>
        <v/>
      </c>
      <c r="J848" s="93" t="str">
        <f>IF(AND(C848&lt;&gt;"",('Cost Inputs'!$I$195+'Cost Inputs'!$J$195+'Cost Inputs'!$K$195)&gt;0), 'Cost Inputs'!$I$195+'Cost Inputs'!$J$195+'Cost Inputs'!$K$195, "")</f>
        <v/>
      </c>
      <c r="K848" s="93" t="str">
        <f t="shared" si="78"/>
        <v/>
      </c>
      <c r="L848" s="93"/>
      <c r="M848" s="109"/>
      <c r="R848" s="93" t="str">
        <f>IF(ISNUMBER('Model_ of_individuals'!R868), 'Model_ of_individuals'!R868*'Model_ of_individuals'!$K868,"")</f>
        <v/>
      </c>
      <c r="S848" s="93" t="str">
        <f>IF(ISNUMBER('Model_ of_individuals'!S868), 'Model_ of_individuals'!S868*'Model_ of_individuals'!$K868,"")</f>
        <v/>
      </c>
      <c r="T848" s="93" t="str">
        <f>IF(ISNUMBER('Model_ of_individuals'!T868), 'Model_ of_individuals'!T868*'Model_ of_individuals'!$K868,"")</f>
        <v/>
      </c>
      <c r="U848" s="93" t="str">
        <f>IF(ISNUMBER('Model_ of_individuals'!U868), 'Model_ of_individuals'!U868*'Model_ of_individuals'!$K868,"")</f>
        <v/>
      </c>
      <c r="V848" s="93" t="str">
        <f>IF(ISNUMBER('Model_ of_individuals'!V868), 'Model_ of_individuals'!V868*'Model_ of_individuals'!$K868,"")</f>
        <v/>
      </c>
      <c r="W848" s="93" t="str">
        <f>IF(ISNUMBER('Model_ of_individuals'!W868), 'Model_ of_individuals'!W868*'Model_ of_individuals'!$K868,"")</f>
        <v/>
      </c>
      <c r="X848" s="93" t="str">
        <f>IF(ISNUMBER('Model_ of_individuals'!X868), 'Model_ of_individuals'!X868*'Model_ of_individuals'!$K868,"")</f>
        <v/>
      </c>
      <c r="Y848" s="93" t="str">
        <f>IF(ISNUMBER('Model_ of_individuals'!Y868), 'Model_ of_individuals'!Y868*'Model_ of_individuals'!$K868,"")</f>
        <v/>
      </c>
      <c r="Z848" s="93" t="str">
        <f>IF(ISNUMBER('Model_ of_individuals'!Z868), 'Model_ of_individuals'!Z868*'Model_ of_individuals'!$K868,"")</f>
        <v/>
      </c>
      <c r="AA848" s="93" t="str">
        <f>IF(ISNUMBER('Model_ of_individuals'!AA868), 'Model_ of_individuals'!AA868*'Model_ of_individuals'!$K868,"")</f>
        <v/>
      </c>
    </row>
    <row r="849" spans="1:28" x14ac:dyDescent="0.25">
      <c r="A849" s="518"/>
      <c r="B849" s="504"/>
      <c r="C849" s="104" t="str">
        <f>IF(AND(ISNUMBER(B822), OR('Cost Inputs'!$H$196&lt;&gt;"", 'Cost Inputs'!$I$196&lt;&gt;"", 'Cost Inputs'!$J$196&lt;&gt;"")), _6_4_5, "")</f>
        <v/>
      </c>
      <c r="D849" s="17" t="str">
        <f>IF(AND(C849&lt;&gt;"", 'Cost Inputs'!$G$196&lt;&gt;""), 'Cost Inputs'!$G$196, "")</f>
        <v/>
      </c>
      <c r="E849" s="17" t="str">
        <f>IF(AND(C849&lt;&gt;"", 'Cost Inputs'!$H$196&lt;&gt;""), 'Cost Inputs'!$H$196, "")</f>
        <v/>
      </c>
      <c r="F849" s="17" t="str">
        <f>IF(AND(C849&lt;&gt;"", 'Cost Inputs'!$I$196&lt;&gt;""), 'Cost Inputs'!$I$196, "")</f>
        <v/>
      </c>
      <c r="G849" s="105" t="str">
        <f t="shared" si="79"/>
        <v/>
      </c>
      <c r="H849" s="17" t="str">
        <f>IF(AND(C849&lt;&gt;"", 'Cost Inputs'!$J$196&lt;&gt;""), 'Cost Inputs'!$J$196, "")</f>
        <v/>
      </c>
      <c r="I849" s="17" t="str">
        <f t="shared" si="77"/>
        <v/>
      </c>
      <c r="J849" s="17" t="str">
        <f>IF(AND(C849&lt;&gt;"",('Cost Inputs'!$I$196+'Cost Inputs'!$J$196+'Cost Inputs'!$K$196)&gt;0), 'Cost Inputs'!$I$196+'Cost Inputs'!$J$196+'Cost Inputs'!$K$196, "")</f>
        <v/>
      </c>
      <c r="K849" s="17" t="str">
        <f t="shared" si="78"/>
        <v/>
      </c>
      <c r="M849" s="106"/>
      <c r="R849" s="17" t="str">
        <f>IF(ISNUMBER('Model_ of_individuals'!R869), 'Model_ of_individuals'!R869*'Model_ of_individuals'!$K869,"")</f>
        <v/>
      </c>
      <c r="S849" s="17" t="str">
        <f>IF(ISNUMBER('Model_ of_individuals'!S869), 'Model_ of_individuals'!S869*'Model_ of_individuals'!$K869,"")</f>
        <v/>
      </c>
      <c r="T849" s="17" t="str">
        <f>IF(ISNUMBER('Model_ of_individuals'!T869), 'Model_ of_individuals'!T869*'Model_ of_individuals'!$K869,"")</f>
        <v/>
      </c>
      <c r="U849" s="17" t="str">
        <f>IF(ISNUMBER('Model_ of_individuals'!U869), 'Model_ of_individuals'!U869*'Model_ of_individuals'!$K869,"")</f>
        <v/>
      </c>
      <c r="V849" s="17" t="str">
        <f>IF(ISNUMBER('Model_ of_individuals'!V869), 'Model_ of_individuals'!V869*'Model_ of_individuals'!$K869,"")</f>
        <v/>
      </c>
      <c r="W849" s="17" t="str">
        <f>IF(ISNUMBER('Model_ of_individuals'!W869), 'Model_ of_individuals'!W869*'Model_ of_individuals'!$K869,"")</f>
        <v/>
      </c>
      <c r="X849" s="17" t="str">
        <f>IF(ISNUMBER('Model_ of_individuals'!X869), 'Model_ of_individuals'!X869*'Model_ of_individuals'!$K869,"")</f>
        <v/>
      </c>
      <c r="Y849" s="17" t="str">
        <f>IF(ISNUMBER('Model_ of_individuals'!Y869), 'Model_ of_individuals'!Y869*'Model_ of_individuals'!$K869,"")</f>
        <v/>
      </c>
      <c r="Z849" s="17" t="str">
        <f>IF(ISNUMBER('Model_ of_individuals'!Z869), 'Model_ of_individuals'!Z869*'Model_ of_individuals'!$K869,"")</f>
        <v/>
      </c>
      <c r="AA849" s="17" t="str">
        <f>IF(ISNUMBER('Model_ of_individuals'!AA869), 'Model_ of_individuals'!AA869*'Model_ of_individuals'!$K869,"")</f>
        <v/>
      </c>
    </row>
    <row r="850" spans="1:28" x14ac:dyDescent="0.25">
      <c r="A850" s="518"/>
      <c r="B850" s="504"/>
      <c r="C850" s="107" t="str">
        <f>IF(AND(ISNUMBER(B822), OR('Cost Inputs'!$H$197&lt;&gt;"", 'Cost Inputs'!$I$197&lt;&gt;"", 'Cost Inputs'!$J$197&lt;&gt;"")), _6_4_6, "")</f>
        <v/>
      </c>
      <c r="D850" s="93" t="str">
        <f>IF(AND(C850&lt;&gt;"", 'Cost Inputs'!$G$197&lt;&gt;""), 'Cost Inputs'!$G$197, "")</f>
        <v/>
      </c>
      <c r="E850" s="93" t="str">
        <f>IF(AND(C850&lt;&gt;"", 'Cost Inputs'!$H$197&lt;&gt;""), 'Cost Inputs'!$H$197, "")</f>
        <v/>
      </c>
      <c r="F850" s="93" t="str">
        <f>IF(AND(C850&lt;&gt;"", 'Cost Inputs'!$I$197&lt;&gt;""), 'Cost Inputs'!$I$197, "")</f>
        <v/>
      </c>
      <c r="G850" s="108" t="str">
        <f t="shared" si="79"/>
        <v/>
      </c>
      <c r="H850" s="93" t="str">
        <f>IF(AND(C850&lt;&gt;"", 'Cost Inputs'!$J$197&lt;&gt;""), 'Cost Inputs'!$J$16, "")</f>
        <v/>
      </c>
      <c r="I850" s="93" t="str">
        <f t="shared" si="77"/>
        <v/>
      </c>
      <c r="J850" s="93" t="str">
        <f>IF(AND(C850&lt;&gt;"",('Cost Inputs'!$I$197+'Cost Inputs'!$J$197+'Cost Inputs'!$K$197)&gt;0), 'Cost Inputs'!$I$197+'Cost Inputs'!$J$197+'Cost Inputs'!$K$197, "")</f>
        <v/>
      </c>
      <c r="K850" s="93" t="str">
        <f t="shared" si="78"/>
        <v/>
      </c>
      <c r="L850" s="93"/>
      <c r="M850" s="109"/>
      <c r="R850" s="93" t="str">
        <f>IF(ISNUMBER('Model_ of_individuals'!R870), 'Model_ of_individuals'!R870*'Model_ of_individuals'!$K870,"")</f>
        <v/>
      </c>
      <c r="S850" s="93" t="str">
        <f>IF(ISNUMBER('Model_ of_individuals'!S870), 'Model_ of_individuals'!S870*'Model_ of_individuals'!$K870,"")</f>
        <v/>
      </c>
      <c r="T850" s="93" t="str">
        <f>IF(ISNUMBER('Model_ of_individuals'!T870), 'Model_ of_individuals'!T870*'Model_ of_individuals'!$K870,"")</f>
        <v/>
      </c>
      <c r="U850" s="93" t="str">
        <f>IF(ISNUMBER('Model_ of_individuals'!U870), 'Model_ of_individuals'!U870*'Model_ of_individuals'!$K870,"")</f>
        <v/>
      </c>
      <c r="V850" s="93" t="str">
        <f>IF(ISNUMBER('Model_ of_individuals'!V870), 'Model_ of_individuals'!V870*'Model_ of_individuals'!$K870,"")</f>
        <v/>
      </c>
      <c r="W850" s="93" t="str">
        <f>IF(ISNUMBER('Model_ of_individuals'!W870), 'Model_ of_individuals'!W870*'Model_ of_individuals'!$K870,"")</f>
        <v/>
      </c>
      <c r="X850" s="93" t="str">
        <f>IF(ISNUMBER('Model_ of_individuals'!X870), 'Model_ of_individuals'!X870*'Model_ of_individuals'!$K870,"")</f>
        <v/>
      </c>
      <c r="Y850" s="93" t="str">
        <f>IF(ISNUMBER('Model_ of_individuals'!Y870), 'Model_ of_individuals'!Y870*'Model_ of_individuals'!$K870,"")</f>
        <v/>
      </c>
      <c r="Z850" s="93" t="str">
        <f>IF(ISNUMBER('Model_ of_individuals'!Z870), 'Model_ of_individuals'!Z870*'Model_ of_individuals'!$K870,"")</f>
        <v/>
      </c>
      <c r="AA850" s="93" t="str">
        <f>IF(ISNUMBER('Model_ of_individuals'!AA870), 'Model_ of_individuals'!AA870*'Model_ of_individuals'!$K870,"")</f>
        <v/>
      </c>
    </row>
    <row r="851" spans="1:28" x14ac:dyDescent="0.25">
      <c r="A851" s="518"/>
      <c r="B851" s="504"/>
      <c r="C851" s="521" t="str">
        <f>IF(AND(B840&lt;&gt;"",ISNUMBER(B840),ISNUMBER(Stage4EvaluationBegins)),IF((INDEX(ProgramYearStage4,MATCH(Stage4EvaluationBegins,Years_in_Stage4,0)))=B840,_6_5_0,IF(AND(B840&lt;&gt;"",C829&lt;&gt;""),_6_5_0,IF(AND(B840&lt;&gt;"",ISNUMBER(B840),OR(Stage4EvaluationBegins=0,Stage4EvaluationBegins="")),"",""))),"")</f>
        <v/>
      </c>
      <c r="D851" s="94" t="str">
        <f>IF(AND(C851&lt;&gt;"", 'Cost Inputs'!$G$198&lt;&gt;""), 'Cost Inputs'!$G$198, "")</f>
        <v/>
      </c>
      <c r="E851" s="94" t="str">
        <f>IF(AND(C851&lt;&gt;"", 'Cost Inputs'!$H$198&lt;&gt;""), 'Cost Inputs'!$H$198, "")</f>
        <v/>
      </c>
      <c r="F851" s="492" t="str">
        <f>IF(AND(C851&lt;&gt;"", 'Cost Inputs'!$I$198&lt;&gt;""), 'Cost Inputs'!$I$198, "")</f>
        <v/>
      </c>
      <c r="G851" s="102" t="str">
        <f t="shared" si="79"/>
        <v/>
      </c>
      <c r="H851" s="492" t="str">
        <f>IF(AND(C851&lt;&gt;"", 'Cost Inputs'!$J$198&lt;&gt;""), 'Cost Inputs'!$J$198, "")</f>
        <v/>
      </c>
      <c r="I851" s="102" t="str">
        <f>IF($C851&lt;&gt;"",IF(AND($E851&lt;&gt;"",H851&lt;&gt;""), H851/$E851, 0),"")</f>
        <v/>
      </c>
      <c r="J851" s="492" t="str">
        <f>IF(AND(C851&lt;&gt;"",('Cost Inputs'!$I$198+'Cost Inputs'!$J$198+'Cost Inputs'!$K$198)&gt;0), 'Cost Inputs'!$I$198+'Cost Inputs'!$J$198+'Cost Inputs'!$K$198, "")</f>
        <v/>
      </c>
      <c r="K851" s="102" t="str">
        <f>IF($C851&lt;&gt;"",IF(AND($E851&lt;&gt;"",J851&lt;&gt;""), J851/$E851, 0),"")</f>
        <v/>
      </c>
      <c r="L851" s="94"/>
      <c r="M851" s="103"/>
      <c r="R851" s="492" t="str">
        <f>IF(ISNUMBER('Model_ of_individuals'!R871), 'Model_ of_individuals'!R871*'Model_ of_individuals'!$K871,"")</f>
        <v/>
      </c>
      <c r="S851" s="492" t="str">
        <f>IF(ISNUMBER('Model_ of_individuals'!S871), 'Model_ of_individuals'!S871*'Model_ of_individuals'!$K871,"")</f>
        <v/>
      </c>
      <c r="T851" s="492" t="str">
        <f>IF(ISNUMBER('Model_ of_individuals'!T871), 'Model_ of_individuals'!T871*'Model_ of_individuals'!$K871,"")</f>
        <v/>
      </c>
      <c r="U851" s="492" t="str">
        <f>IF(ISNUMBER('Model_ of_individuals'!U871), 'Model_ of_individuals'!U871*'Model_ of_individuals'!$K871,"")</f>
        <v/>
      </c>
      <c r="V851" s="492" t="str">
        <f>IF(ISNUMBER('Model_ of_individuals'!V871), 'Model_ of_individuals'!V871*'Model_ of_individuals'!$K871,"")</f>
        <v/>
      </c>
      <c r="W851" s="492" t="str">
        <f>IF(ISNUMBER('Model_ of_individuals'!W871), 'Model_ of_individuals'!W871*'Model_ of_individuals'!$K871,"")</f>
        <v/>
      </c>
      <c r="X851" s="492" t="str">
        <f>IF(ISNUMBER('Model_ of_individuals'!X871), 'Model_ of_individuals'!X871*'Model_ of_individuals'!$K871,"")</f>
        <v/>
      </c>
      <c r="Y851" s="492" t="str">
        <f>IF(ISNUMBER('Model_ of_individuals'!Y871), 'Model_ of_individuals'!Y871*'Model_ of_individuals'!$K871,"")</f>
        <v/>
      </c>
      <c r="Z851" s="492" t="str">
        <f>IF(ISNUMBER('Model_ of_individuals'!Z871), 'Model_ of_individuals'!Z871*'Model_ of_individuals'!$K871,"")</f>
        <v/>
      </c>
      <c r="AA851" s="492" t="str">
        <f>IF(ISNUMBER('Model_ of_individuals'!AA871), 'Model_ of_individuals'!AA871*'Model_ of_individuals'!$K871,"")</f>
        <v/>
      </c>
    </row>
    <row r="852" spans="1:28" x14ac:dyDescent="0.25">
      <c r="A852" s="518"/>
      <c r="B852" s="504"/>
      <c r="C852" s="521"/>
      <c r="D852" s="94" t="str">
        <f>IF(AND(C851&lt;&gt;"", 'Cost Inputs'!$G$199&lt;&gt;""), 'Cost Inputs'!$G$199, "")</f>
        <v/>
      </c>
      <c r="E852" s="94" t="str">
        <f>IF(AND(C851&lt;&gt;"", 'Cost Inputs'!$H$199&lt;&gt;""), 'Cost Inputs'!$H$199, "")</f>
        <v/>
      </c>
      <c r="F852" s="492"/>
      <c r="G852" s="102" t="str">
        <f t="shared" si="79"/>
        <v/>
      </c>
      <c r="H852" s="492"/>
      <c r="I852" s="102" t="str">
        <f>IF($C851&lt;&gt;"", IF(AND($E852&lt;&gt;"", H851&lt;&gt;""), H851/($E851*$E852), 0), "")</f>
        <v/>
      </c>
      <c r="J852" s="492" t="str">
        <f>IF(AND(C852&lt;&gt;"",('Cost Inputs'!$I$86+'Cost Inputs'!$J$86+'Cost Inputs'!$K$86)&gt;0), 'Cost Inputs'!$I$86+'Cost Inputs'!$J$86+'Cost Inputs'!$K$86, "")</f>
        <v/>
      </c>
      <c r="K852" s="102" t="str">
        <f>IF($C851&lt;&gt;"", IF(AND($E852&lt;&gt;"", J851&lt;&gt;""), J851/($E851*$E852), 0), "")</f>
        <v/>
      </c>
      <c r="L852" s="94"/>
      <c r="M852" s="103"/>
      <c r="R852" s="492" t="str">
        <f>IF(ISNUMBER('Model_ of_individuals'!R872), 'Model_ of_individuals'!R872*'Model_ of_individuals'!$K872,"")</f>
        <v/>
      </c>
      <c r="S852" s="492" t="str">
        <f>IF(ISNUMBER('Model_ of_individuals'!S872), 'Model_ of_individuals'!S872*'Model_ of_individuals'!$K872,"")</f>
        <v/>
      </c>
      <c r="T852" s="492" t="str">
        <f>IF(ISNUMBER('Model_ of_individuals'!T872), 'Model_ of_individuals'!T872*'Model_ of_individuals'!$K872,"")</f>
        <v/>
      </c>
      <c r="U852" s="492" t="str">
        <f>IF(ISNUMBER('Model_ of_individuals'!U872), 'Model_ of_individuals'!U872*'Model_ of_individuals'!$K872,"")</f>
        <v/>
      </c>
      <c r="V852" s="492" t="str">
        <f>IF(ISNUMBER('Model_ of_individuals'!V872), 'Model_ of_individuals'!V872*'Model_ of_individuals'!$K872,"")</f>
        <v/>
      </c>
      <c r="W852" s="492" t="str">
        <f>IF(ISNUMBER('Model_ of_individuals'!W872), 'Model_ of_individuals'!W872*'Model_ of_individuals'!$K872,"")</f>
        <v/>
      </c>
      <c r="X852" s="492" t="str">
        <f>IF(ISNUMBER('Model_ of_individuals'!X872), 'Model_ of_individuals'!X872*'Model_ of_individuals'!$K872,"")</f>
        <v/>
      </c>
      <c r="Y852" s="492" t="str">
        <f>IF(ISNUMBER('Model_ of_individuals'!Y872), 'Model_ of_individuals'!Y872*'Model_ of_individuals'!$K872,"")</f>
        <v/>
      </c>
      <c r="Z852" s="492" t="str">
        <f>IF(ISNUMBER('Model_ of_individuals'!Z872), 'Model_ of_individuals'!Z872*'Model_ of_individuals'!$K872,"")</f>
        <v/>
      </c>
      <c r="AA852" s="492" t="str">
        <f>IF(ISNUMBER('Model_ of_individuals'!AA872), 'Model_ of_individuals'!AA872*'Model_ of_individuals'!$K872,"")</f>
        <v/>
      </c>
    </row>
    <row r="853" spans="1:28" x14ac:dyDescent="0.25">
      <c r="A853" s="518"/>
      <c r="B853" s="504"/>
      <c r="C853" s="376" t="str">
        <f>IF(AND(ISNUMBER(B822), C851&lt;&gt;"", OR('Cost Inputs'!$H$200&lt;&gt;"", 'Cost Inputs'!$I$200&lt;&gt;"", 'Cost Inputs'!$J$200&lt;&gt;"")), _6_5_1, "")</f>
        <v/>
      </c>
      <c r="D853" s="17" t="str">
        <f>IF(AND(C853&lt;&gt;"", 'Cost Inputs'!$G$200&lt;&gt;""), 'Cost Inputs'!$G$200, "")</f>
        <v/>
      </c>
      <c r="E853" s="17" t="str">
        <f>IF(AND(C853&lt;&gt;"", 'Cost Inputs'!$H$200&lt;&gt;""), 'Cost Inputs'!$H$200, "")</f>
        <v/>
      </c>
      <c r="F853" s="493" t="str">
        <f>IF(AND(C853&lt;&gt;"", 'Cost Inputs'!$I$200&lt;&gt;""), 'Cost Inputs'!$I$200, "")</f>
        <v/>
      </c>
      <c r="G853" s="105" t="str">
        <f t="shared" si="79"/>
        <v/>
      </c>
      <c r="H853" s="493" t="str">
        <f>IF(AND(C853&lt;&gt;"", 'Cost Inputs'!$J$200&lt;&gt;""), 'Cost Inputs'!$J$200, "")</f>
        <v/>
      </c>
      <c r="I853" s="105" t="str">
        <f>IF($C853&lt;&gt;"",IF(AND($E853&lt;&gt;"",H853&lt;&gt;""), H853/$E853, 0),"")</f>
        <v/>
      </c>
      <c r="J853" s="493" t="str">
        <f>IF(AND(C853&lt;&gt;"",('Cost Inputs'!$I$200+'Cost Inputs'!$J$200+'Cost Inputs'!$K$200)&gt;0), 'Cost Inputs'!$I$200+'Cost Inputs'!$J$200+'Cost Inputs'!$K$200, "")</f>
        <v/>
      </c>
      <c r="K853" s="105" t="str">
        <f>IF($C853&lt;&gt;"",IF(AND($E853&lt;&gt;"",J853&lt;&gt;""), J853/$E853, 0),"")</f>
        <v/>
      </c>
      <c r="M853" s="106"/>
      <c r="R853" s="493" t="str">
        <f>IF(ISNUMBER('Model_ of_individuals'!R873), 'Model_ of_individuals'!R873*'Model_ of_individuals'!$K873,"")</f>
        <v/>
      </c>
      <c r="S853" s="493" t="str">
        <f>IF(ISNUMBER('Model_ of_individuals'!S873), 'Model_ of_individuals'!S873*'Model_ of_individuals'!$K873,"")</f>
        <v/>
      </c>
      <c r="T853" s="493" t="str">
        <f>IF(ISNUMBER('Model_ of_individuals'!T873), 'Model_ of_individuals'!T873*'Model_ of_individuals'!$K873,"")</f>
        <v/>
      </c>
      <c r="U853" s="493" t="str">
        <f>IF(ISNUMBER('Model_ of_individuals'!U873), 'Model_ of_individuals'!U873*'Model_ of_individuals'!$K873,"")</f>
        <v/>
      </c>
      <c r="V853" s="493" t="str">
        <f>IF(ISNUMBER('Model_ of_individuals'!V873), 'Model_ of_individuals'!V873*'Model_ of_individuals'!$K873,"")</f>
        <v/>
      </c>
      <c r="W853" s="493" t="str">
        <f>IF(ISNUMBER('Model_ of_individuals'!W873), 'Model_ of_individuals'!W873*'Model_ of_individuals'!$K873,"")</f>
        <v/>
      </c>
      <c r="X853" s="493" t="str">
        <f>IF(ISNUMBER('Model_ of_individuals'!X873), 'Model_ of_individuals'!X873*'Model_ of_individuals'!$K873,"")</f>
        <v/>
      </c>
      <c r="Y853" s="493" t="str">
        <f>IF(ISNUMBER('Model_ of_individuals'!Y873), 'Model_ of_individuals'!Y873*'Model_ of_individuals'!$K873,"")</f>
        <v/>
      </c>
      <c r="Z853" s="493" t="str">
        <f>IF(ISNUMBER('Model_ of_individuals'!Z873), 'Model_ of_individuals'!Z873*'Model_ of_individuals'!$K873,"")</f>
        <v/>
      </c>
      <c r="AA853" s="493" t="str">
        <f>IF(ISNUMBER('Model_ of_individuals'!AA873), 'Model_ of_individuals'!AA873*'Model_ of_individuals'!$K873,"")</f>
        <v/>
      </c>
    </row>
    <row r="854" spans="1:28" x14ac:dyDescent="0.25">
      <c r="A854" s="518"/>
      <c r="B854" s="504"/>
      <c r="C854" s="376" t="str">
        <f>IF(AND(ISNUMBER(B836), OR('Cost Inputs'!$H$85&lt;&gt;"", 'Cost Inputs'!$I$85&lt;&gt;"", 'Cost Inputs'!$J$85&lt;&gt;"")), _3_5_1, "")</f>
        <v/>
      </c>
      <c r="D854" s="17" t="str">
        <f>IF(AND(C853&lt;&gt;"", 'Cost Inputs'!$G$201&lt;&gt;""), 'Cost Inputs'!$G$201, "")</f>
        <v/>
      </c>
      <c r="E854" s="17" t="str">
        <f>IF(AND(C853&lt;&gt;"", 'Cost Inputs'!$H$201&lt;&gt;""), 'Cost Inputs'!$H$201, "")</f>
        <v/>
      </c>
      <c r="F854" s="493"/>
      <c r="G854" s="105" t="str">
        <f t="shared" si="79"/>
        <v/>
      </c>
      <c r="H854" s="493"/>
      <c r="I854" s="105" t="str">
        <f>IF($C853&lt;&gt;"", IF(AND($E854&lt;&gt;"", H853&lt;&gt;""), H853/($E853*$E854), 0), "")</f>
        <v/>
      </c>
      <c r="J854" s="493" t="str">
        <f>IF(AND(C854&lt;&gt;"",('Cost Inputs'!$I$86+'Cost Inputs'!$J$86+'Cost Inputs'!$K$86)&gt;0), 'Cost Inputs'!$I$86+'Cost Inputs'!$J$86+'Cost Inputs'!$K$86, "")</f>
        <v/>
      </c>
      <c r="K854" s="105" t="str">
        <f>IF($C853&lt;&gt;"", IF(AND($E854&lt;&gt;"", J853&lt;&gt;""), J853/($E853*$E854), 0), "")</f>
        <v/>
      </c>
      <c r="M854" s="106"/>
      <c r="R854" s="493" t="str">
        <f>IF(ISNUMBER('Model_ of_individuals'!R874), 'Model_ of_individuals'!R874*'Model_ of_individuals'!$K874,"")</f>
        <v/>
      </c>
      <c r="S854" s="493" t="str">
        <f>IF(ISNUMBER('Model_ of_individuals'!S874), 'Model_ of_individuals'!S874*'Model_ of_individuals'!$K874,"")</f>
        <v/>
      </c>
      <c r="T854" s="493" t="str">
        <f>IF(ISNUMBER('Model_ of_individuals'!T874), 'Model_ of_individuals'!T874*'Model_ of_individuals'!$K874,"")</f>
        <v/>
      </c>
      <c r="U854" s="493" t="str">
        <f>IF(ISNUMBER('Model_ of_individuals'!U874), 'Model_ of_individuals'!U874*'Model_ of_individuals'!$K874,"")</f>
        <v/>
      </c>
      <c r="V854" s="493" t="str">
        <f>IF(ISNUMBER('Model_ of_individuals'!V874), 'Model_ of_individuals'!V874*'Model_ of_individuals'!$K874,"")</f>
        <v/>
      </c>
      <c r="W854" s="493" t="str">
        <f>IF(ISNUMBER('Model_ of_individuals'!W874), 'Model_ of_individuals'!W874*'Model_ of_individuals'!$K874,"")</f>
        <v/>
      </c>
      <c r="X854" s="493" t="str">
        <f>IF(ISNUMBER('Model_ of_individuals'!X874), 'Model_ of_individuals'!X874*'Model_ of_individuals'!$K874,"")</f>
        <v/>
      </c>
      <c r="Y854" s="493" t="str">
        <f>IF(ISNUMBER('Model_ of_individuals'!Y874), 'Model_ of_individuals'!Y874*'Model_ of_individuals'!$K874,"")</f>
        <v/>
      </c>
      <c r="Z854" s="493" t="str">
        <f>IF(ISNUMBER('Model_ of_individuals'!Z874), 'Model_ of_individuals'!Z874*'Model_ of_individuals'!$K874,"")</f>
        <v/>
      </c>
      <c r="AA854" s="493" t="str">
        <f>IF(ISNUMBER('Model_ of_individuals'!AA874), 'Model_ of_individuals'!AA874*'Model_ of_individuals'!$K874,"")</f>
        <v/>
      </c>
    </row>
    <row r="855" spans="1:28" x14ac:dyDescent="0.25">
      <c r="A855" s="518"/>
      <c r="B855" s="504"/>
      <c r="C855" s="107" t="str">
        <f>IF(AND(ISNUMBER(B822), C851&lt;&gt;"", OR('Cost Inputs'!$H$202&lt;&gt;"", 'Cost Inputs'!$I$202&lt;&gt;"", 'Cost Inputs'!$J$202&lt;&gt;"")), _6_5_2, "")</f>
        <v/>
      </c>
      <c r="D855" s="93" t="str">
        <f>IF(AND(C855&lt;&gt;"", 'Cost Inputs'!$G$202&lt;&gt;""), 'Cost Inputs'!$G$202, "")</f>
        <v/>
      </c>
      <c r="E855" s="93" t="str">
        <f>IF(AND(C855&lt;&gt;"", 'Cost Inputs'!$H$202&lt;&gt;""), 'Cost Inputs'!$H$202, "")</f>
        <v/>
      </c>
      <c r="F855" s="93" t="str">
        <f>IF(AND(C855&lt;&gt;"", 'Cost Inputs'!$I$202&lt;&gt;""), 'Cost Inputs'!$I$202, "")</f>
        <v/>
      </c>
      <c r="G855" s="108" t="str">
        <f t="shared" si="79"/>
        <v/>
      </c>
      <c r="H855" s="93" t="str">
        <f>IF(AND(C855&lt;&gt;"", 'Cost Inputs'!$J$202&lt;&gt;""), 'Cost Inputs'!$J$202, "")</f>
        <v/>
      </c>
      <c r="I855" s="93" t="str">
        <f>IF($C855&lt;&gt;"", IF(AND($E855&lt;&gt;"", H855&lt;&gt;""), H855/$E855, 0),"")</f>
        <v/>
      </c>
      <c r="J855" s="93" t="str">
        <f>IF(AND(C855&lt;&gt;"",('Cost Inputs'!$I$202+'Cost Inputs'!$J$202+'Cost Inputs'!$K$202)&gt;0), 'Cost Inputs'!$I$202+'Cost Inputs'!$J$202+'Cost Inputs'!$K$202, "")</f>
        <v/>
      </c>
      <c r="K855" s="93" t="str">
        <f>IF($C855&lt;&gt;"", IF(AND($E855&lt;&gt;"", J855&lt;&gt;""), J855/$E855, 0),"")</f>
        <v/>
      </c>
      <c r="L855" s="93"/>
      <c r="M855" s="109"/>
      <c r="R855" s="93" t="str">
        <f>IF(ISNUMBER('Model_ of_individuals'!R875), 'Model_ of_individuals'!R875*'Model_ of_individuals'!$K875,"")</f>
        <v/>
      </c>
      <c r="S855" s="93" t="str">
        <f>IF(ISNUMBER('Model_ of_individuals'!S875), 'Model_ of_individuals'!S875*'Model_ of_individuals'!$K875,"")</f>
        <v/>
      </c>
      <c r="T855" s="93" t="str">
        <f>IF(ISNUMBER('Model_ of_individuals'!T875), 'Model_ of_individuals'!T875*'Model_ of_individuals'!$K875,"")</f>
        <v/>
      </c>
      <c r="U855" s="93" t="str">
        <f>IF(ISNUMBER('Model_ of_individuals'!U875), 'Model_ of_individuals'!U875*'Model_ of_individuals'!$K875,"")</f>
        <v/>
      </c>
      <c r="V855" s="93" t="str">
        <f>IF(ISNUMBER('Model_ of_individuals'!V875), 'Model_ of_individuals'!V875*'Model_ of_individuals'!$K875,"")</f>
        <v/>
      </c>
      <c r="W855" s="93" t="str">
        <f>IF(ISNUMBER('Model_ of_individuals'!W875), 'Model_ of_individuals'!W875*'Model_ of_individuals'!$K875,"")</f>
        <v/>
      </c>
      <c r="X855" s="93" t="str">
        <f>IF(ISNUMBER('Model_ of_individuals'!X875), 'Model_ of_individuals'!X875*'Model_ of_individuals'!$K875,"")</f>
        <v/>
      </c>
      <c r="Y855" s="93" t="str">
        <f>IF(ISNUMBER('Model_ of_individuals'!Y875), 'Model_ of_individuals'!Y875*'Model_ of_individuals'!$K875,"")</f>
        <v/>
      </c>
      <c r="Z855" s="93" t="str">
        <f>IF(ISNUMBER('Model_ of_individuals'!Z875), 'Model_ of_individuals'!Z875*'Model_ of_individuals'!$K875,"")</f>
        <v/>
      </c>
      <c r="AA855" s="93" t="str">
        <f>IF(ISNUMBER('Model_ of_individuals'!AA875), 'Model_ of_individuals'!AA875*'Model_ of_individuals'!$K875,"")</f>
        <v/>
      </c>
    </row>
    <row r="856" spans="1:28" x14ac:dyDescent="0.25">
      <c r="A856" s="518"/>
      <c r="B856" s="504"/>
      <c r="C856" s="104" t="str">
        <f>IF(AND(ISNUMBER(B822), C851&lt;&gt;"", OR('Cost Inputs'!$H$203&lt;&gt;"", 'Cost Inputs'!$I$203&lt;&gt;"", 'Cost Inputs'!$J$203&lt;&gt;"")), _6_5_3, "")</f>
        <v/>
      </c>
      <c r="D856" s="17" t="str">
        <f>IF(AND(C856&lt;&gt;"", 'Cost Inputs'!$G$203&lt;&gt;""), 'Cost Inputs'!$G$203, "")</f>
        <v/>
      </c>
      <c r="E856" s="17" t="str">
        <f>IF(AND(C856&lt;&gt;"", 'Cost Inputs'!$H$203&lt;&gt;""), 'Cost Inputs'!$H$203, "")</f>
        <v/>
      </c>
      <c r="F856" s="17" t="str">
        <f>IF(AND(C856&lt;&gt;"", 'Cost Inputs'!$I$203&lt;&gt;""), 'Cost Inputs'!$I$203, "")</f>
        <v/>
      </c>
      <c r="G856" s="105" t="str">
        <f t="shared" si="79"/>
        <v/>
      </c>
      <c r="H856" s="17" t="str">
        <f>IF(AND(C856&lt;&gt;"", 'Cost Inputs'!$J$203&lt;&gt;""), 'Cost Inputs'!$J$203, "")</f>
        <v/>
      </c>
      <c r="I856" s="17" t="str">
        <f>IF($C856&lt;&gt;"", IF(AND($E856&lt;&gt;"", H856&lt;&gt;""), H856/$E856, 0),"")</f>
        <v/>
      </c>
      <c r="J856" s="17" t="str">
        <f>IF(AND(C856&lt;&gt;"",('Cost Inputs'!$I$203+'Cost Inputs'!$J$203+'Cost Inputs'!$K$203)&gt;0), 'Cost Inputs'!$I$203+'Cost Inputs'!$J$203+'Cost Inputs'!$K$203, "")</f>
        <v/>
      </c>
      <c r="K856" s="17" t="str">
        <f>IF($C856&lt;&gt;"", IF(AND($E856&lt;&gt;"", J856&lt;&gt;""), J856/$E856, 0),"")</f>
        <v/>
      </c>
      <c r="M856" s="106"/>
      <c r="R856" s="17" t="str">
        <f>IF(ISNUMBER('Model_ of_individuals'!R876), 'Model_ of_individuals'!R876*'Model_ of_individuals'!$K876,"")</f>
        <v/>
      </c>
      <c r="S856" s="17" t="str">
        <f>IF(ISNUMBER('Model_ of_individuals'!S876), 'Model_ of_individuals'!S876*'Model_ of_individuals'!$K876,"")</f>
        <v/>
      </c>
      <c r="T856" s="17" t="str">
        <f>IF(ISNUMBER('Model_ of_individuals'!T876), 'Model_ of_individuals'!T876*'Model_ of_individuals'!$K876,"")</f>
        <v/>
      </c>
      <c r="U856" s="17" t="str">
        <f>IF(ISNUMBER('Model_ of_individuals'!U876), 'Model_ of_individuals'!U876*'Model_ of_individuals'!$K876,"")</f>
        <v/>
      </c>
      <c r="V856" s="17" t="str">
        <f>IF(ISNUMBER('Model_ of_individuals'!V876), 'Model_ of_individuals'!V876*'Model_ of_individuals'!$K876,"")</f>
        <v/>
      </c>
      <c r="W856" s="17" t="str">
        <f>IF(ISNUMBER('Model_ of_individuals'!W876), 'Model_ of_individuals'!W876*'Model_ of_individuals'!$K876,"")</f>
        <v/>
      </c>
      <c r="X856" s="17" t="str">
        <f>IF(ISNUMBER('Model_ of_individuals'!X876), 'Model_ of_individuals'!X876*'Model_ of_individuals'!$K876,"")</f>
        <v/>
      </c>
      <c r="Y856" s="17" t="str">
        <f>IF(ISNUMBER('Model_ of_individuals'!Y876), 'Model_ of_individuals'!Y876*'Model_ of_individuals'!$K876,"")</f>
        <v/>
      </c>
      <c r="Z856" s="17" t="str">
        <f>IF(ISNUMBER('Model_ of_individuals'!Z876), 'Model_ of_individuals'!Z876*'Model_ of_individuals'!$K876,"")</f>
        <v/>
      </c>
      <c r="AA856" s="17" t="str">
        <f>IF(ISNUMBER('Model_ of_individuals'!AA876), 'Model_ of_individuals'!AA876*'Model_ of_individuals'!$K876,"")</f>
        <v/>
      </c>
    </row>
    <row r="857" spans="1:28" x14ac:dyDescent="0.25">
      <c r="A857" s="518"/>
      <c r="B857" s="504"/>
      <c r="C857" s="107" t="str">
        <f>IF(AND(ISNUMBER(B822), C851&lt;&gt;"", OR('Cost Inputs'!$H$204&lt;&gt;"", 'Cost Inputs'!$I$204&lt;&gt;"", 'Cost Inputs'!$J$204&lt;&gt;"")), _6_5_4, "")</f>
        <v/>
      </c>
      <c r="D857" s="93" t="str">
        <f>IF(AND(C857&lt;&gt;"", 'Cost Inputs'!$G$204&lt;&gt;""), 'Cost Inputs'!$G$204, "")</f>
        <v/>
      </c>
      <c r="E857" s="93" t="str">
        <f>IF(AND(C857&lt;&gt;"", 'Cost Inputs'!$H$204&lt;&gt;""), 'Cost Inputs'!$H$204, "")</f>
        <v/>
      </c>
      <c r="F857" s="93" t="str">
        <f>IF(AND(C857&lt;&gt;"", 'Cost Inputs'!$I$204&lt;&gt;""), 'Cost Inputs'!$I$204, "")</f>
        <v/>
      </c>
      <c r="G857" s="108" t="str">
        <f t="shared" si="79"/>
        <v/>
      </c>
      <c r="H857" s="93" t="str">
        <f>IF(AND(C857&lt;&gt;"", 'Cost Inputs'!$J$204&lt;&gt;""), 'Cost Inputs'!$J$204, "")</f>
        <v/>
      </c>
      <c r="I857" s="93" t="str">
        <f>IF($C857&lt;&gt;"", IF(AND($E857&lt;&gt;"", H857&lt;&gt;""), H857/$E857, 0),"")</f>
        <v/>
      </c>
      <c r="J857" s="93" t="str">
        <f>IF(AND(C857&lt;&gt;"",('Cost Inputs'!$I$204+'Cost Inputs'!$J$204+'Cost Inputs'!$K$204)&gt;0), 'Cost Inputs'!$I$204+'Cost Inputs'!$J$204+'Cost Inputs'!$K$204, "")</f>
        <v/>
      </c>
      <c r="K857" s="93" t="str">
        <f>IF($C857&lt;&gt;"", IF(AND($E857&lt;&gt;"", J857&lt;&gt;""), J857/$E857, 0),"")</f>
        <v/>
      </c>
      <c r="L857" s="93"/>
      <c r="M857" s="109"/>
      <c r="R857" s="93" t="str">
        <f>IF(ISNUMBER('Model_ of_individuals'!R877), 'Model_ of_individuals'!R877*'Model_ of_individuals'!$K877,"")</f>
        <v/>
      </c>
      <c r="S857" s="93" t="str">
        <f>IF(ISNUMBER('Model_ of_individuals'!S877), 'Model_ of_individuals'!S877*'Model_ of_individuals'!$K877,"")</f>
        <v/>
      </c>
      <c r="T857" s="93" t="str">
        <f>IF(ISNUMBER('Model_ of_individuals'!T877), 'Model_ of_individuals'!T877*'Model_ of_individuals'!$K877,"")</f>
        <v/>
      </c>
      <c r="U857" s="93" t="str">
        <f>IF(ISNUMBER('Model_ of_individuals'!U877), 'Model_ of_individuals'!U877*'Model_ of_individuals'!$K877,"")</f>
        <v/>
      </c>
      <c r="V857" s="93" t="str">
        <f>IF(ISNUMBER('Model_ of_individuals'!V877), 'Model_ of_individuals'!V877*'Model_ of_individuals'!$K877,"")</f>
        <v/>
      </c>
      <c r="W857" s="93" t="str">
        <f>IF(ISNUMBER('Model_ of_individuals'!W877), 'Model_ of_individuals'!W877*'Model_ of_individuals'!$K877,"")</f>
        <v/>
      </c>
      <c r="X857" s="93" t="str">
        <f>IF(ISNUMBER('Model_ of_individuals'!X877), 'Model_ of_individuals'!X877*'Model_ of_individuals'!$K877,"")</f>
        <v/>
      </c>
      <c r="Y857" s="93" t="str">
        <f>IF(ISNUMBER('Model_ of_individuals'!Y877), 'Model_ of_individuals'!Y877*'Model_ of_individuals'!$K877,"")</f>
        <v/>
      </c>
      <c r="Z857" s="93" t="str">
        <f>IF(ISNUMBER('Model_ of_individuals'!Z877), 'Model_ of_individuals'!Z877*'Model_ of_individuals'!$K877,"")</f>
        <v/>
      </c>
      <c r="AA857" s="93" t="str">
        <f>IF(ISNUMBER('Model_ of_individuals'!AA877), 'Model_ of_individuals'!AA877*'Model_ of_individuals'!$K877,"")</f>
        <v/>
      </c>
    </row>
    <row r="858" spans="1:28" x14ac:dyDescent="0.25">
      <c r="A858" s="518"/>
      <c r="B858" s="504"/>
      <c r="C858" s="104" t="str">
        <f>IF(AND(ISNUMBER(B822), C851&lt;&gt;"", OR('Cost Inputs'!$H$205&lt;&gt;"", 'Cost Inputs'!$I$205&lt;&gt;"", 'Cost Inputs'!$J$205&lt;&gt;"")), _6_5_5, "")</f>
        <v/>
      </c>
      <c r="D858" s="17" t="str">
        <f>IF(AND(C858&lt;&gt;"", 'Cost Inputs'!$G$205&lt;&gt;""), 'Cost Inputs'!$G$205, "")</f>
        <v/>
      </c>
      <c r="E858" s="17" t="str">
        <f>IF(AND(C858&lt;&gt;"", 'Cost Inputs'!$H$205&lt;&gt;""), 'Cost Inputs'!$H$205, "")</f>
        <v/>
      </c>
      <c r="F858" s="17" t="str">
        <f>IF(AND(C858&lt;&gt;"", 'Cost Inputs'!$I$205&lt;&gt;""), 'Cost Inputs'!$I$205, "")</f>
        <v/>
      </c>
      <c r="G858" s="105" t="str">
        <f t="shared" si="79"/>
        <v/>
      </c>
      <c r="H858" s="17" t="str">
        <f>IF(AND(C858&lt;&gt;"", 'Cost Inputs'!$J$205&lt;&gt;""), 'Cost Inputs'!$J$205, "")</f>
        <v/>
      </c>
      <c r="I858" s="17" t="str">
        <f>IF($C858&lt;&gt;"", IF(AND($E858&lt;&gt;"", H858&lt;&gt;""), H858/$E858, 0),"")</f>
        <v/>
      </c>
      <c r="J858" s="17" t="str">
        <f>IF(AND(C858&lt;&gt;"",('Cost Inputs'!$I$205+'Cost Inputs'!$J$205+'Cost Inputs'!$K$205)&gt;0), 'Cost Inputs'!$I$205+'Cost Inputs'!$J$205+'Cost Inputs'!$K$205, "")</f>
        <v/>
      </c>
      <c r="K858" s="17" t="str">
        <f>IF($C858&lt;&gt;"", IF(AND($E858&lt;&gt;"", J858&lt;&gt;""), J858/$E858, 0),"")</f>
        <v/>
      </c>
      <c r="M858" s="106"/>
      <c r="R858" s="17" t="str">
        <f>IF(ISNUMBER('Model_ of_individuals'!R878), 'Model_ of_individuals'!R878*'Model_ of_individuals'!$K878,"")</f>
        <v/>
      </c>
      <c r="S858" s="17" t="str">
        <f>IF(ISNUMBER('Model_ of_individuals'!S878), 'Model_ of_individuals'!S878*'Model_ of_individuals'!$K878,"")</f>
        <v/>
      </c>
      <c r="T858" s="17" t="str">
        <f>IF(ISNUMBER('Model_ of_individuals'!T878), 'Model_ of_individuals'!T878*'Model_ of_individuals'!$K878,"")</f>
        <v/>
      </c>
      <c r="U858" s="17" t="str">
        <f>IF(ISNUMBER('Model_ of_individuals'!U878), 'Model_ of_individuals'!U878*'Model_ of_individuals'!$K878,"")</f>
        <v/>
      </c>
      <c r="V858" s="17" t="str">
        <f>IF(ISNUMBER('Model_ of_individuals'!V878), 'Model_ of_individuals'!V878*'Model_ of_individuals'!$K878,"")</f>
        <v/>
      </c>
      <c r="W858" s="17" t="str">
        <f>IF(ISNUMBER('Model_ of_individuals'!W878), 'Model_ of_individuals'!W878*'Model_ of_individuals'!$K878,"")</f>
        <v/>
      </c>
      <c r="X858" s="17" t="str">
        <f>IF(ISNUMBER('Model_ of_individuals'!X878), 'Model_ of_individuals'!X878*'Model_ of_individuals'!$K878,"")</f>
        <v/>
      </c>
      <c r="Y858" s="17" t="str">
        <f>IF(ISNUMBER('Model_ of_individuals'!Y878), 'Model_ of_individuals'!Y878*'Model_ of_individuals'!$K878,"")</f>
        <v/>
      </c>
      <c r="Z858" s="17" t="str">
        <f>IF(ISNUMBER('Model_ of_individuals'!Z878), 'Model_ of_individuals'!Z878*'Model_ of_individuals'!$K878,"")</f>
        <v/>
      </c>
      <c r="AA858" s="17" t="str">
        <f>IF(ISNUMBER('Model_ of_individuals'!AA878), 'Model_ of_individuals'!AA878*'Model_ of_individuals'!$K878,"")</f>
        <v/>
      </c>
    </row>
    <row r="859" spans="1:28" x14ac:dyDescent="0.25">
      <c r="A859" s="518"/>
      <c r="B859" s="504"/>
      <c r="C859" s="110" t="str">
        <f>IF(ISNUMBER(B822), _6_6_0, "")</f>
        <v/>
      </c>
      <c r="D859" s="94" t="str">
        <f>IF(AND(C859&lt;&gt;"", 'Cost Inputs'!$G$206&lt;&gt;""), 'Cost Inputs'!$G$206, "")</f>
        <v/>
      </c>
      <c r="E859" s="94" t="str">
        <f>IF(AND(C859&lt;&gt;"", 'Cost Inputs'!$H$206&lt;&gt;""), 'Cost Inputs'!$H$206, "")</f>
        <v/>
      </c>
      <c r="F859" s="94" t="str">
        <f>IF(AND(C859&lt;&gt;"", 'Cost Inputs'!$I$206&lt;&gt;""), 'Cost Inputs'!$I$206, "")</f>
        <v/>
      </c>
      <c r="G859" s="102" t="str">
        <f t="shared" si="79"/>
        <v/>
      </c>
      <c r="H859" s="94" t="str">
        <f>IF(AND(C859&lt;&gt;"", 'Cost Inputs'!$J$206&lt;&gt;""), 'Cost Inputs'!$J$206, "")</f>
        <v/>
      </c>
      <c r="I859" s="102" t="str">
        <f>IF($C859&lt;&gt;"",IF(AND($E859&lt;&gt;"",H859&lt;&gt;""), H859/$E859, 0),"")</f>
        <v/>
      </c>
      <c r="J859" s="94" t="str">
        <f>IF(AND(C859&lt;&gt;"",('Cost Inputs'!$I$206+'Cost Inputs'!$J$206+'Cost Inputs'!$K$206)&gt;0), 'Cost Inputs'!$I$206+'Cost Inputs'!$J$206+'Cost Inputs'!$K$206, "")</f>
        <v/>
      </c>
      <c r="K859" s="102" t="str">
        <f>IF($C859&lt;&gt;"",IF(AND($E859&lt;&gt;"",J859&lt;&gt;""), J859/$E859, 0),"")</f>
        <v/>
      </c>
      <c r="L859" s="94"/>
      <c r="M859" s="103"/>
      <c r="R859" s="94" t="str">
        <f>IF(ISNUMBER('Model_ of_individuals'!R879), 'Model_ of_individuals'!R879*'Model_ of_individuals'!$K879,"")</f>
        <v/>
      </c>
      <c r="S859" s="94" t="str">
        <f>IF(ISNUMBER('Model_ of_individuals'!S879), 'Model_ of_individuals'!S879*'Model_ of_individuals'!$K879,"")</f>
        <v/>
      </c>
      <c r="T859" s="94" t="str">
        <f>IF(ISNUMBER('Model_ of_individuals'!T879), 'Model_ of_individuals'!T879*'Model_ of_individuals'!$K879,"")</f>
        <v/>
      </c>
      <c r="U859" s="94" t="str">
        <f>IF(ISNUMBER('Model_ of_individuals'!U879), 'Model_ of_individuals'!U879*'Model_ of_individuals'!$K879,"")</f>
        <v/>
      </c>
      <c r="V859" s="94" t="str">
        <f>IF(ISNUMBER('Model_ of_individuals'!V879), 'Model_ of_individuals'!V879*'Model_ of_individuals'!$K879,"")</f>
        <v/>
      </c>
      <c r="W859" s="94" t="str">
        <f>IF(ISNUMBER('Model_ of_individuals'!W879), 'Model_ of_individuals'!W879*'Model_ of_individuals'!$K879,"")</f>
        <v/>
      </c>
      <c r="X859" s="94" t="str">
        <f>IF(ISNUMBER('Model_ of_individuals'!X879), 'Model_ of_individuals'!X879*'Model_ of_individuals'!$K879,"")</f>
        <v/>
      </c>
      <c r="Y859" s="94" t="str">
        <f>IF(ISNUMBER('Model_ of_individuals'!Y879), 'Model_ of_individuals'!Y879*'Model_ of_individuals'!$K879,"")</f>
        <v/>
      </c>
      <c r="Z859" s="94" t="str">
        <f>IF(ISNUMBER('Model_ of_individuals'!Z879), 'Model_ of_individuals'!Z879*'Model_ of_individuals'!$K879,"")</f>
        <v/>
      </c>
      <c r="AA859" s="94" t="str">
        <f>IF(ISNUMBER('Model_ of_individuals'!AA879), 'Model_ of_individuals'!AA879*'Model_ of_individuals'!$K879,"")</f>
        <v/>
      </c>
    </row>
    <row r="860" spans="1:28" x14ac:dyDescent="0.25">
      <c r="A860" s="518"/>
      <c r="B860" s="504"/>
      <c r="C860" s="104" t="str">
        <f>IF(AND(ISNUMBER(B822), OR('Cost Inputs'!$H$207&lt;&gt;"", 'Cost Inputs'!$I$207&lt;&gt;"", 'Cost Inputs'!$J$207&lt;&gt;"")), _6_6_1, "")</f>
        <v/>
      </c>
      <c r="D860" s="17" t="str">
        <f>IF(AND(C860&lt;&gt;"", 'Cost Inputs'!$G$207&lt;&gt;""), 'Cost Inputs'!$G$207, "")</f>
        <v/>
      </c>
      <c r="E860" s="17" t="str">
        <f>IF(AND(C860&lt;&gt;"", 'Cost Inputs'!$H$207&lt;&gt;""), 'Cost Inputs'!$H$207, "")</f>
        <v/>
      </c>
      <c r="F860" s="17" t="str">
        <f>IF(AND(C860&lt;&gt;"", 'Cost Inputs'!$I$207&lt;&gt;""), 'Cost Inputs'!$I$207, "")</f>
        <v/>
      </c>
      <c r="G860" s="105" t="str">
        <f t="shared" si="79"/>
        <v/>
      </c>
      <c r="H860" s="17" t="str">
        <f>IF(AND(C860&lt;&gt;"", 'Cost Inputs'!$J$207&lt;&gt;""), 'Cost Inputs'!$J$207, "")</f>
        <v/>
      </c>
      <c r="I860" s="17" t="str">
        <f>IF($C860&lt;&gt;"", IF(AND($E860&lt;&gt;"", H860&lt;&gt;""), H860/$E860, 0),"")</f>
        <v/>
      </c>
      <c r="J860" s="17" t="str">
        <f>IF(AND(C860&lt;&gt;"",('Cost Inputs'!$I$207+'Cost Inputs'!$J$207+'Cost Inputs'!$K$207)&gt;0), 'Cost Inputs'!$I$207+'Cost Inputs'!$J$207+'Cost Inputs'!$K$207, "")</f>
        <v/>
      </c>
      <c r="K860" s="17" t="str">
        <f>IF($C860&lt;&gt;"", IF(AND($E860&lt;&gt;"", J860&lt;&gt;""), J860/$E860, 0),"")</f>
        <v/>
      </c>
      <c r="M860" s="106"/>
      <c r="R860" s="17" t="str">
        <f>IF(ISNUMBER('Model_ of_individuals'!R880), 'Model_ of_individuals'!R880*'Model_ of_individuals'!$K880,"")</f>
        <v/>
      </c>
      <c r="S860" s="17" t="str">
        <f>IF(ISNUMBER('Model_ of_individuals'!S880), 'Model_ of_individuals'!S880*'Model_ of_individuals'!$K880,"")</f>
        <v/>
      </c>
      <c r="T860" s="17" t="str">
        <f>IF(ISNUMBER('Model_ of_individuals'!T880), 'Model_ of_individuals'!T880*'Model_ of_individuals'!$K880,"")</f>
        <v/>
      </c>
      <c r="U860" s="17" t="str">
        <f>IF(ISNUMBER('Model_ of_individuals'!U880), 'Model_ of_individuals'!U880*'Model_ of_individuals'!$K880,"")</f>
        <v/>
      </c>
      <c r="V860" s="17" t="str">
        <f>IF(ISNUMBER('Model_ of_individuals'!V880), 'Model_ of_individuals'!V880*'Model_ of_individuals'!$K880,"")</f>
        <v/>
      </c>
      <c r="W860" s="17" t="str">
        <f>IF(ISNUMBER('Model_ of_individuals'!W880), 'Model_ of_individuals'!W880*'Model_ of_individuals'!$K880,"")</f>
        <v/>
      </c>
      <c r="X860" s="17" t="str">
        <f>IF(ISNUMBER('Model_ of_individuals'!X880), 'Model_ of_individuals'!X880*'Model_ of_individuals'!$K880,"")</f>
        <v/>
      </c>
      <c r="Y860" s="17" t="str">
        <f>IF(ISNUMBER('Model_ of_individuals'!Y880), 'Model_ of_individuals'!Y880*'Model_ of_individuals'!$K880,"")</f>
        <v/>
      </c>
      <c r="Z860" s="17" t="str">
        <f>IF(ISNUMBER('Model_ of_individuals'!Z880), 'Model_ of_individuals'!Z880*'Model_ of_individuals'!$K880,"")</f>
        <v/>
      </c>
      <c r="AA860" s="17" t="str">
        <f>IF(ISNUMBER('Model_ of_individuals'!AA880), 'Model_ of_individuals'!AA880*'Model_ of_individuals'!$K880,"")</f>
        <v/>
      </c>
    </row>
    <row r="861" spans="1:28" ht="15.75" thickBot="1" x14ac:dyDescent="0.3">
      <c r="A861" s="518"/>
      <c r="B861" s="505"/>
      <c r="C861" s="111" t="str">
        <f>IF(AND(ISNUMBER(B822), OR('Cost Inputs'!$H$208&lt;&gt;"", 'Cost Inputs'!$I$208&lt;&gt;"", 'Cost Inputs'!$J$208&lt;&gt;"")), _6_6_2, "")</f>
        <v/>
      </c>
      <c r="D861" s="95" t="str">
        <f>IF(AND(C861&lt;&gt;"", 'Cost Inputs'!$G$208&lt;&gt;""), 'Cost Inputs'!$G$208, "")</f>
        <v/>
      </c>
      <c r="E861" s="95" t="str">
        <f>IF(AND(C861&lt;&gt;"", 'Cost Inputs'!$H$208&lt;&gt;""), 'Cost Inputs'!$H$208, "")</f>
        <v/>
      </c>
      <c r="F861" s="95" t="str">
        <f>IF(AND(C861&lt;&gt;"", 'Cost Inputs'!$I$208&lt;&gt;""), 'Cost Inputs'!$I$208, "")</f>
        <v/>
      </c>
      <c r="G861" s="112" t="str">
        <f t="shared" si="79"/>
        <v/>
      </c>
      <c r="H861" s="95" t="str">
        <f>IF(AND(C861&lt;&gt;"", 'Cost Inputs'!$J$208&lt;&gt;""), 'Cost Inputs'!$J$208, "")</f>
        <v/>
      </c>
      <c r="I861" s="95" t="str">
        <f>IF($C861&lt;&gt;"", IF(AND($E861&lt;&gt;"", H861&lt;&gt;""), H861/$E861, 0),"")</f>
        <v/>
      </c>
      <c r="J861" s="95" t="str">
        <f>IF(AND(C861&lt;&gt;"",('Cost Inputs'!$I$208+'Cost Inputs'!$J$208+'Cost Inputs'!$K$208)&gt;0), 'Cost Inputs'!$I$208+'Cost Inputs'!$J$208+'Cost Inputs'!$K$208, "")</f>
        <v/>
      </c>
      <c r="K861" s="95" t="str">
        <f>IF($C861&lt;&gt;"", IF(AND($E861&lt;&gt;"", J861&lt;&gt;""), J861/$E861, 0),"")</f>
        <v/>
      </c>
      <c r="L861" s="95"/>
      <c r="M861" s="113"/>
      <c r="R861" s="95" t="str">
        <f>IF(ISNUMBER('Model_ of_individuals'!R881), 'Model_ of_individuals'!R881*'Model_ of_individuals'!$K881,"")</f>
        <v/>
      </c>
      <c r="S861" s="95" t="str">
        <f>IF(ISNUMBER('Model_ of_individuals'!S881), 'Model_ of_individuals'!S881*'Model_ of_individuals'!$K881,"")</f>
        <v/>
      </c>
      <c r="T861" s="95" t="str">
        <f>IF(ISNUMBER('Model_ of_individuals'!T881), 'Model_ of_individuals'!T881*'Model_ of_individuals'!$K881,"")</f>
        <v/>
      </c>
      <c r="U861" s="95" t="str">
        <f>IF(ISNUMBER('Model_ of_individuals'!U881), 'Model_ of_individuals'!U881*'Model_ of_individuals'!$K881,"")</f>
        <v/>
      </c>
      <c r="V861" s="95" t="str">
        <f>IF(ISNUMBER('Model_ of_individuals'!V881), 'Model_ of_individuals'!V881*'Model_ of_individuals'!$K881,"")</f>
        <v/>
      </c>
      <c r="W861" s="95" t="str">
        <f>IF(ISNUMBER('Model_ of_individuals'!W881), 'Model_ of_individuals'!W881*'Model_ of_individuals'!$K881,"")</f>
        <v/>
      </c>
      <c r="X861" s="95" t="str">
        <f>IF(ISNUMBER('Model_ of_individuals'!X881), 'Model_ of_individuals'!X881*'Model_ of_individuals'!$K881,"")</f>
        <v/>
      </c>
      <c r="Y861" s="95" t="str">
        <f>IF(ISNUMBER('Model_ of_individuals'!Y881), 'Model_ of_individuals'!Y881*'Model_ of_individuals'!$K881,"")</f>
        <v/>
      </c>
      <c r="Z861" s="95" t="str">
        <f>IF(ISNUMBER('Model_ of_individuals'!Z881), 'Model_ of_individuals'!Z881*'Model_ of_individuals'!$K881,"")</f>
        <v/>
      </c>
      <c r="AA861" s="95" t="str">
        <f>IF(ISNUMBER('Model_ of_individuals'!AA881), 'Model_ of_individuals'!AA881*'Model_ of_individuals'!$K881,"")</f>
        <v/>
      </c>
    </row>
    <row r="862" spans="1:28" x14ac:dyDescent="0.25">
      <c r="A862" s="518" t="str">
        <f>Sixth_Stage</f>
        <v>Stage 4 Grower Trials</v>
      </c>
      <c r="B862" s="503" t="str">
        <f>'Breeding Inputs'!B117</f>
        <v/>
      </c>
      <c r="C862" s="521" t="str">
        <f>IF(ISNUMBER(B844), _6_3_0, "")</f>
        <v/>
      </c>
      <c r="D862" s="94" t="str">
        <f>IF(AND(C862&lt;&gt;"", 'Cost Inputs'!$G$187&lt;&gt;""), 'Cost Inputs'!$G$187, "")</f>
        <v/>
      </c>
      <c r="E862" s="94" t="str">
        <f>IF(AND(C862&lt;&gt;"", 'Cost Inputs'!$H$187&lt;&gt;""), 'Cost Inputs'!$H$187, "")</f>
        <v/>
      </c>
      <c r="F862" s="492" t="str">
        <f>IF(AND(C862&lt;&gt;"", 'Cost Inputs'!$I$187&lt;&gt;""), 'Cost Inputs'!$I$187, "")</f>
        <v/>
      </c>
      <c r="G862" s="102" t="str">
        <f t="shared" si="79"/>
        <v/>
      </c>
      <c r="H862" s="492" t="str">
        <f>IF(AND(C862&lt;&gt;"", 'Cost Inputs'!$J$187&lt;&gt;""), 'Cost Inputs'!$J$187, "")</f>
        <v/>
      </c>
      <c r="I862" s="102" t="str">
        <f>IF($C862&lt;&gt;"",IF(AND($E862&lt;&gt;"",H862&lt;&gt;""), H862/$E862, 0),"")</f>
        <v/>
      </c>
      <c r="J862" s="492" t="str">
        <f>IF(AND(C862&lt;&gt;"",('Cost Inputs'!$I$187+'Cost Inputs'!$J$187+'Cost Inputs'!$K$187)&gt;0), 'Cost Inputs'!$I$187+'Cost Inputs'!$J$187+'Cost Inputs'!$K$187, "")</f>
        <v/>
      </c>
      <c r="K862" s="102" t="str">
        <f>IF($C862&lt;&gt;"",IF(AND($E862&lt;&gt;"",J862&lt;&gt;""), J862/$E862, 0),"")</f>
        <v/>
      </c>
      <c r="L862" s="94"/>
      <c r="M862" s="103"/>
      <c r="S862" s="492" t="str">
        <f>IF(ISNUMBER('Model_ of_individuals'!S882), 'Model_ of_individuals'!S882*'Model_ of_individuals'!$K882,"")</f>
        <v/>
      </c>
      <c r="T862" s="492" t="str">
        <f>IF(ISNUMBER('Model_ of_individuals'!T882), 'Model_ of_individuals'!T882*'Model_ of_individuals'!$K882,"")</f>
        <v/>
      </c>
      <c r="U862" s="492" t="str">
        <f>IF(ISNUMBER('Model_ of_individuals'!U882), 'Model_ of_individuals'!U882*'Model_ of_individuals'!$K882,"")</f>
        <v/>
      </c>
      <c r="V862" s="492" t="str">
        <f>IF(ISNUMBER('Model_ of_individuals'!V882), 'Model_ of_individuals'!V882*'Model_ of_individuals'!$K882,"")</f>
        <v/>
      </c>
      <c r="W862" s="492" t="str">
        <f>IF(ISNUMBER('Model_ of_individuals'!W882), 'Model_ of_individuals'!W882*'Model_ of_individuals'!$K882,"")</f>
        <v/>
      </c>
      <c r="X862" s="492" t="str">
        <f>IF(ISNUMBER('Model_ of_individuals'!X882), 'Model_ of_individuals'!X882*'Model_ of_individuals'!$K882,"")</f>
        <v/>
      </c>
      <c r="Y862" s="492" t="str">
        <f>IF(ISNUMBER('Model_ of_individuals'!Y882), 'Model_ of_individuals'!Y882*'Model_ of_individuals'!$K882,"")</f>
        <v/>
      </c>
      <c r="Z862" s="492" t="str">
        <f>IF(ISNUMBER('Model_ of_individuals'!Z882), 'Model_ of_individuals'!Z882*'Model_ of_individuals'!$K882,"")</f>
        <v/>
      </c>
      <c r="AA862" s="492" t="str">
        <f>IF(ISNUMBER('Model_ of_individuals'!AA882), 'Model_ of_individuals'!AA882*'Model_ of_individuals'!$K882,"")</f>
        <v/>
      </c>
      <c r="AB862" s="492" t="str">
        <f>IF(ISNUMBER('Model_ of_individuals'!AB882), 'Model_ of_individuals'!AB882*'Model_ of_individuals'!$K882,"")</f>
        <v/>
      </c>
    </row>
    <row r="863" spans="1:28" x14ac:dyDescent="0.25">
      <c r="A863" s="518"/>
      <c r="B863" s="504"/>
      <c r="C863" s="521"/>
      <c r="D863" s="94" t="str">
        <f>IF(AND(C862&lt;&gt;"", 'Cost Inputs'!$G$188&lt;&gt;""), 'Cost Inputs'!$G$188, "")</f>
        <v/>
      </c>
      <c r="E863" s="94" t="str">
        <f>IF(AND(C862&lt;&gt;"", 'Cost Inputs'!$H$188&lt;&gt;""), 'Cost Inputs'!$H$188, "")</f>
        <v/>
      </c>
      <c r="F863" s="492"/>
      <c r="G863" s="102" t="str">
        <f t="shared" si="79"/>
        <v/>
      </c>
      <c r="H863" s="492"/>
      <c r="I863" s="102" t="str">
        <f>IF($C862&lt;&gt;"", IF(AND($E863&lt;&gt;"", H862&lt;&gt;""), H862/($E862*$E863), 0), "")</f>
        <v/>
      </c>
      <c r="J863" s="492" t="str">
        <f>IF(AND(C863&lt;&gt;"",('Cost Inputs'!$I$86+'Cost Inputs'!$J$86+'Cost Inputs'!$K$86)&gt;0), 'Cost Inputs'!$I$86+'Cost Inputs'!$J$86+'Cost Inputs'!$K$86, "")</f>
        <v/>
      </c>
      <c r="K863" s="102" t="str">
        <f>IF($C862&lt;&gt;"", IF(AND($E863&lt;&gt;"", J862&lt;&gt;""), J862/($E862*$E863), 0), "")</f>
        <v/>
      </c>
      <c r="L863" s="94"/>
      <c r="M863" s="103"/>
      <c r="S863" s="492" t="str">
        <f>IF(ISNUMBER('Model_ of_individuals'!S883), 'Model_ of_individuals'!S883*'Model_ of_individuals'!$K883,"")</f>
        <v/>
      </c>
      <c r="T863" s="492" t="str">
        <f>IF(ISNUMBER('Model_ of_individuals'!T883), 'Model_ of_individuals'!T883*'Model_ of_individuals'!$K883,"")</f>
        <v/>
      </c>
      <c r="U863" s="492" t="str">
        <f>IF(ISNUMBER('Model_ of_individuals'!U883), 'Model_ of_individuals'!U883*'Model_ of_individuals'!$K883,"")</f>
        <v/>
      </c>
      <c r="V863" s="492" t="str">
        <f>IF(ISNUMBER('Model_ of_individuals'!V883), 'Model_ of_individuals'!V883*'Model_ of_individuals'!$K883,"")</f>
        <v/>
      </c>
      <c r="W863" s="492" t="str">
        <f>IF(ISNUMBER('Model_ of_individuals'!W883), 'Model_ of_individuals'!W883*'Model_ of_individuals'!$K883,"")</f>
        <v/>
      </c>
      <c r="X863" s="492" t="str">
        <f>IF(ISNUMBER('Model_ of_individuals'!X883), 'Model_ of_individuals'!X883*'Model_ of_individuals'!$K883,"")</f>
        <v/>
      </c>
      <c r="Y863" s="492" t="str">
        <f>IF(ISNUMBER('Model_ of_individuals'!Y883), 'Model_ of_individuals'!Y883*'Model_ of_individuals'!$K883,"")</f>
        <v/>
      </c>
      <c r="Z863" s="492" t="str">
        <f>IF(ISNUMBER('Model_ of_individuals'!Z883), 'Model_ of_individuals'!Z883*'Model_ of_individuals'!$K883,"")</f>
        <v/>
      </c>
      <c r="AA863" s="492" t="str">
        <f>IF(ISNUMBER('Model_ of_individuals'!AA883), 'Model_ of_individuals'!AA883*'Model_ of_individuals'!$K883,"")</f>
        <v/>
      </c>
      <c r="AB863" s="492" t="str">
        <f>IF(ISNUMBER('Model_ of_individuals'!AB883), 'Model_ of_individuals'!AB883*'Model_ of_individuals'!$K883,"")</f>
        <v/>
      </c>
    </row>
    <row r="864" spans="1:28" x14ac:dyDescent="0.25">
      <c r="A864" s="518"/>
      <c r="B864" s="504"/>
      <c r="C864" s="104" t="str">
        <f>IF(AND(ISNUMBER(B844), OR('Cost Inputs'!$H$189&lt;&gt;"", 'Cost Inputs'!$I$189&lt;&gt;"", 'Cost Inputs'!$J$189&lt;&gt;"")), _6_3_1, "")</f>
        <v/>
      </c>
      <c r="D864" s="17" t="str">
        <f>IF(AND(C864&lt;&gt;"", 'Cost Inputs'!$G$189&lt;&gt;""), 'Cost Inputs'!$G$189, "")</f>
        <v/>
      </c>
      <c r="E864" s="17" t="str">
        <f>IF(AND(C864&lt;&gt;"", 'Cost Inputs'!$H$189&lt;&gt;""), 'Cost Inputs'!$H$189, "")</f>
        <v/>
      </c>
      <c r="F864" s="17" t="str">
        <f>IF(AND(C864&lt;&gt;"", 'Cost Inputs'!$I$189&lt;&gt;""), 'Cost Inputs'!$I$189, "")</f>
        <v/>
      </c>
      <c r="G864" s="105" t="str">
        <f t="shared" si="79"/>
        <v/>
      </c>
      <c r="H864" s="17" t="str">
        <f>IF(AND(C864&lt;&gt;"", 'Cost Inputs'!$J$189&lt;&gt;""), 'Cost Inputs'!$J$189, "")</f>
        <v/>
      </c>
      <c r="I864" s="17" t="str">
        <f t="shared" ref="I864:I872" si="80">IF($C864&lt;&gt;"", IF(AND($E864&lt;&gt;"", H864&lt;&gt;""), H864/$E864, 0),"")</f>
        <v/>
      </c>
      <c r="J864" s="17" t="str">
        <f>IF(AND(C864&lt;&gt;"",('Cost Inputs'!$I$189+'Cost Inputs'!$J$189+'Cost Inputs'!$K$189)&gt;0), 'Cost Inputs'!$I$189+'Cost Inputs'!$J$189+'Cost Inputs'!$K$189, "")</f>
        <v/>
      </c>
      <c r="K864" s="17" t="str">
        <f t="shared" ref="K864:K872" si="81">IF($C864&lt;&gt;"", IF(AND($E864&lt;&gt;"", J864&lt;&gt;""), J864/$E864, 0),"")</f>
        <v/>
      </c>
      <c r="M864" s="106"/>
      <c r="S864" s="17" t="str">
        <f>IF(ISNUMBER('Model_ of_individuals'!S884), 'Model_ of_individuals'!S884*'Model_ of_individuals'!$K884,"")</f>
        <v/>
      </c>
      <c r="T864" s="17" t="str">
        <f>IF(ISNUMBER('Model_ of_individuals'!T884), 'Model_ of_individuals'!T884*'Model_ of_individuals'!$K884,"")</f>
        <v/>
      </c>
      <c r="U864" s="17" t="str">
        <f>IF(ISNUMBER('Model_ of_individuals'!U884), 'Model_ of_individuals'!U884*'Model_ of_individuals'!$K884,"")</f>
        <v/>
      </c>
      <c r="V864" s="17" t="str">
        <f>IF(ISNUMBER('Model_ of_individuals'!V884), 'Model_ of_individuals'!V884*'Model_ of_individuals'!$K884,"")</f>
        <v/>
      </c>
      <c r="W864" s="17" t="str">
        <f>IF(ISNUMBER('Model_ of_individuals'!W884), 'Model_ of_individuals'!W884*'Model_ of_individuals'!$K884,"")</f>
        <v/>
      </c>
      <c r="X864" s="17" t="str">
        <f>IF(ISNUMBER('Model_ of_individuals'!X884), 'Model_ of_individuals'!X884*'Model_ of_individuals'!$K884,"")</f>
        <v/>
      </c>
      <c r="Y864" s="17" t="str">
        <f>IF(ISNUMBER('Model_ of_individuals'!Y884), 'Model_ of_individuals'!Y884*'Model_ of_individuals'!$K884,"")</f>
        <v/>
      </c>
      <c r="Z864" s="17" t="str">
        <f>IF(ISNUMBER('Model_ of_individuals'!Z884), 'Model_ of_individuals'!Z884*'Model_ of_individuals'!$K884,"")</f>
        <v/>
      </c>
      <c r="AA864" s="17" t="str">
        <f>IF(ISNUMBER('Model_ of_individuals'!AA884), 'Model_ of_individuals'!AA884*'Model_ of_individuals'!$K884,"")</f>
        <v/>
      </c>
      <c r="AB864" s="17" t="str">
        <f>IF(ISNUMBER('Model_ of_individuals'!AB884), 'Model_ of_individuals'!AB884*'Model_ of_individuals'!$K884,"")</f>
        <v/>
      </c>
    </row>
    <row r="865" spans="1:28" x14ac:dyDescent="0.25">
      <c r="A865" s="518"/>
      <c r="B865" s="504"/>
      <c r="C865" s="107" t="str">
        <f>IF(AND(ISNUMBER(B844), OR('Cost Inputs'!$H$190&lt;&gt;"", 'Cost Inputs'!$I$190&lt;&gt;"", 'Cost Inputs'!$J$190&lt;&gt;"")), _6_3_2, "")</f>
        <v/>
      </c>
      <c r="D865" s="93" t="str">
        <f>IF(AND(C865&lt;&gt;"", 'Cost Inputs'!$G$190&lt;&gt;""), 'Cost Inputs'!$G$190, "")</f>
        <v/>
      </c>
      <c r="E865" s="93" t="str">
        <f>IF(AND(C865&lt;&gt;"", 'Cost Inputs'!$H$190&lt;&gt;""), 'Cost Inputs'!$H$190, "")</f>
        <v/>
      </c>
      <c r="F865" s="93" t="str">
        <f>IF(AND(C865&lt;&gt;"", 'Cost Inputs'!$I$190&lt;&gt;""), 'Cost Inputs'!$I$190, "")</f>
        <v/>
      </c>
      <c r="G865" s="108" t="str">
        <f t="shared" si="79"/>
        <v/>
      </c>
      <c r="H865" s="93" t="str">
        <f>IF(AND(C865&lt;&gt;"", 'Cost Inputs'!$J$190&lt;&gt;""), 'Cost Inputs'!$J$190, "")</f>
        <v/>
      </c>
      <c r="I865" s="93" t="str">
        <f t="shared" si="80"/>
        <v/>
      </c>
      <c r="J865" s="93" t="str">
        <f>IF(AND(C865&lt;&gt;"",('Cost Inputs'!$I$190+'Cost Inputs'!$J$190+'Cost Inputs'!$K$190)&gt;0), 'Cost Inputs'!$I$190+'Cost Inputs'!$J$190+'Cost Inputs'!$K$190, "")</f>
        <v/>
      </c>
      <c r="K865" s="93" t="str">
        <f t="shared" si="81"/>
        <v/>
      </c>
      <c r="L865" s="93"/>
      <c r="M865" s="109"/>
      <c r="S865" s="93" t="str">
        <f>IF(ISNUMBER('Model_ of_individuals'!S885), 'Model_ of_individuals'!S885*'Model_ of_individuals'!$K885,"")</f>
        <v/>
      </c>
      <c r="T865" s="93" t="str">
        <f>IF(ISNUMBER('Model_ of_individuals'!T885), 'Model_ of_individuals'!T885*'Model_ of_individuals'!$K885,"")</f>
        <v/>
      </c>
      <c r="U865" s="93" t="str">
        <f>IF(ISNUMBER('Model_ of_individuals'!U885), 'Model_ of_individuals'!U885*'Model_ of_individuals'!$K885,"")</f>
        <v/>
      </c>
      <c r="V865" s="93" t="str">
        <f>IF(ISNUMBER('Model_ of_individuals'!V885), 'Model_ of_individuals'!V885*'Model_ of_individuals'!$K885,"")</f>
        <v/>
      </c>
      <c r="W865" s="93" t="str">
        <f>IF(ISNUMBER('Model_ of_individuals'!W885), 'Model_ of_individuals'!W885*'Model_ of_individuals'!$K885,"")</f>
        <v/>
      </c>
      <c r="X865" s="93" t="str">
        <f>IF(ISNUMBER('Model_ of_individuals'!X885), 'Model_ of_individuals'!X885*'Model_ of_individuals'!$K885,"")</f>
        <v/>
      </c>
      <c r="Y865" s="93" t="str">
        <f>IF(ISNUMBER('Model_ of_individuals'!Y885), 'Model_ of_individuals'!Y885*'Model_ of_individuals'!$K885,"")</f>
        <v/>
      </c>
      <c r="Z865" s="93" t="str">
        <f>IF(ISNUMBER('Model_ of_individuals'!Z885), 'Model_ of_individuals'!Z885*'Model_ of_individuals'!$K885,"")</f>
        <v/>
      </c>
      <c r="AA865" s="93" t="str">
        <f>IF(ISNUMBER('Model_ of_individuals'!AA885), 'Model_ of_individuals'!AA885*'Model_ of_individuals'!$K885,"")</f>
        <v/>
      </c>
      <c r="AB865" s="93" t="str">
        <f>IF(ISNUMBER('Model_ of_individuals'!AB885), 'Model_ of_individuals'!AB885*'Model_ of_individuals'!$K885,"")</f>
        <v/>
      </c>
    </row>
    <row r="866" spans="1:28" x14ac:dyDescent="0.25">
      <c r="A866" s="518"/>
      <c r="B866" s="504"/>
      <c r="C866" s="110" t="str">
        <f>IF(ISNUMBER(B844), _6_4_0, "")</f>
        <v/>
      </c>
      <c r="D866" s="94" t="str">
        <f>IF(AND(C866&lt;&gt;"", 'Cost Inputs'!$G$191&lt;&gt;""), 'Cost Inputs'!$G$191, "")</f>
        <v/>
      </c>
      <c r="E866" s="94" t="str">
        <f>IF(AND(C866&lt;&gt;"", 'Cost Inputs'!$H$191&lt;&gt;""), 'Cost Inputs'!$H$191, "")</f>
        <v/>
      </c>
      <c r="F866" s="94" t="str">
        <f>IF(AND(C866&lt;&gt;"", 'Cost Inputs'!$I$191&lt;&gt;""), 'Cost Inputs'!$I$191, "")</f>
        <v/>
      </c>
      <c r="G866" s="102" t="str">
        <f t="shared" si="79"/>
        <v/>
      </c>
      <c r="H866" s="102" t="str">
        <f>IF(AND(C866&lt;&gt;"", 'Cost Inputs'!$J$191&lt;&gt;""), 'Cost Inputs'!$J$191, "")</f>
        <v/>
      </c>
      <c r="I866" s="102" t="str">
        <f t="shared" si="80"/>
        <v/>
      </c>
      <c r="J866" s="102" t="str">
        <f>IF(AND(C866&lt;&gt;"",('Cost Inputs'!$I$191+'Cost Inputs'!$J$191+'Cost Inputs'!$K$191)&gt;0), 'Cost Inputs'!$I$191+'Cost Inputs'!$J$191+'Cost Inputs'!$K$191, "")</f>
        <v/>
      </c>
      <c r="K866" s="102" t="str">
        <f t="shared" si="81"/>
        <v/>
      </c>
      <c r="L866" s="94"/>
      <c r="M866" s="103"/>
      <c r="S866" s="102" t="str">
        <f>IF(ISNUMBER('Model_ of_individuals'!S886), 'Model_ of_individuals'!S886*'Model_ of_individuals'!$K886,"")</f>
        <v/>
      </c>
      <c r="T866" s="102" t="str">
        <f>IF(ISNUMBER('Model_ of_individuals'!T886), 'Model_ of_individuals'!T886*'Model_ of_individuals'!$K886,"")</f>
        <v/>
      </c>
      <c r="U866" s="102" t="str">
        <f>IF(ISNUMBER('Model_ of_individuals'!U886), 'Model_ of_individuals'!U886*'Model_ of_individuals'!$K886,"")</f>
        <v/>
      </c>
      <c r="V866" s="102" t="str">
        <f>IF(ISNUMBER('Model_ of_individuals'!V886), 'Model_ of_individuals'!V886*'Model_ of_individuals'!$K886,"")</f>
        <v/>
      </c>
      <c r="W866" s="102" t="str">
        <f>IF(ISNUMBER('Model_ of_individuals'!W886), 'Model_ of_individuals'!W886*'Model_ of_individuals'!$K886,"")</f>
        <v/>
      </c>
      <c r="X866" s="102" t="str">
        <f>IF(ISNUMBER('Model_ of_individuals'!X886), 'Model_ of_individuals'!X886*'Model_ of_individuals'!$K886,"")</f>
        <v/>
      </c>
      <c r="Y866" s="102" t="str">
        <f>IF(ISNUMBER('Model_ of_individuals'!Y886), 'Model_ of_individuals'!Y886*'Model_ of_individuals'!$K886,"")</f>
        <v/>
      </c>
      <c r="Z866" s="102" t="str">
        <f>IF(ISNUMBER('Model_ of_individuals'!Z886), 'Model_ of_individuals'!Z886*'Model_ of_individuals'!$K886,"")</f>
        <v/>
      </c>
      <c r="AA866" s="102" t="str">
        <f>IF(ISNUMBER('Model_ of_individuals'!AA886), 'Model_ of_individuals'!AA886*'Model_ of_individuals'!$K886,"")</f>
        <v/>
      </c>
      <c r="AB866" s="102" t="str">
        <f>IF(ISNUMBER('Model_ of_individuals'!AB886), 'Model_ of_individuals'!AB886*'Model_ of_individuals'!$K886,"")</f>
        <v/>
      </c>
    </row>
    <row r="867" spans="1:28" x14ac:dyDescent="0.25">
      <c r="A867" s="518"/>
      <c r="B867" s="504"/>
      <c r="C867" s="104" t="str">
        <f>IF(AND(ISNUMBER(B844), OR('Cost Inputs'!$H$192&lt;&gt;"", 'Cost Inputs'!$I$192&lt;&gt;"", 'Cost Inputs'!$J$192&lt;&gt;"")), _6_4_1, "")</f>
        <v/>
      </c>
      <c r="D867" s="17" t="str">
        <f>IF(AND(C867&lt;&gt;"", 'Cost Inputs'!$G$192&lt;&gt;""), 'Cost Inputs'!$G$192, "")</f>
        <v/>
      </c>
      <c r="E867" s="17" t="str">
        <f>IF(AND(C867&lt;&gt;"", 'Cost Inputs'!$H$192&lt;&gt;""), 'Cost Inputs'!$H$192, "")</f>
        <v/>
      </c>
      <c r="F867" s="17" t="str">
        <f>IF(AND(C867&lt;&gt;"", 'Cost Inputs'!$I$192&lt;&gt;""), 'Cost Inputs'!$I$192, "")</f>
        <v/>
      </c>
      <c r="G867" s="105" t="str">
        <f t="shared" si="79"/>
        <v/>
      </c>
      <c r="H867" s="17" t="str">
        <f>IF(AND(C867&lt;&gt;"", 'Cost Inputs'!$J$192&lt;&gt;""), 'Cost Inputs'!$J$192, "")</f>
        <v/>
      </c>
      <c r="I867" s="17" t="str">
        <f t="shared" si="80"/>
        <v/>
      </c>
      <c r="J867" s="17" t="str">
        <f>IF(AND(C867&lt;&gt;"",('Cost Inputs'!$I$192+'Cost Inputs'!$J$192+'Cost Inputs'!$K$192)&gt;0), 'Cost Inputs'!$I$192+'Cost Inputs'!$J$192+'Cost Inputs'!$K$192, "")</f>
        <v/>
      </c>
      <c r="K867" s="17" t="str">
        <f t="shared" si="81"/>
        <v/>
      </c>
      <c r="M867" s="106"/>
      <c r="S867" s="17" t="str">
        <f>IF(ISNUMBER('Model_ of_individuals'!S887), 'Model_ of_individuals'!S887*'Model_ of_individuals'!$K887,"")</f>
        <v/>
      </c>
      <c r="T867" s="17" t="str">
        <f>IF(ISNUMBER('Model_ of_individuals'!T887), 'Model_ of_individuals'!T887*'Model_ of_individuals'!$K887,"")</f>
        <v/>
      </c>
      <c r="U867" s="17" t="str">
        <f>IF(ISNUMBER('Model_ of_individuals'!U887), 'Model_ of_individuals'!U887*'Model_ of_individuals'!$K887,"")</f>
        <v/>
      </c>
      <c r="V867" s="17" t="str">
        <f>IF(ISNUMBER('Model_ of_individuals'!V887), 'Model_ of_individuals'!V887*'Model_ of_individuals'!$K887,"")</f>
        <v/>
      </c>
      <c r="W867" s="17" t="str">
        <f>IF(ISNUMBER('Model_ of_individuals'!W887), 'Model_ of_individuals'!W887*'Model_ of_individuals'!$K887,"")</f>
        <v/>
      </c>
      <c r="X867" s="17" t="str">
        <f>IF(ISNUMBER('Model_ of_individuals'!X887), 'Model_ of_individuals'!X887*'Model_ of_individuals'!$K887,"")</f>
        <v/>
      </c>
      <c r="Y867" s="17" t="str">
        <f>IF(ISNUMBER('Model_ of_individuals'!Y887), 'Model_ of_individuals'!Y887*'Model_ of_individuals'!$K887,"")</f>
        <v/>
      </c>
      <c r="Z867" s="17" t="str">
        <f>IF(ISNUMBER('Model_ of_individuals'!Z887), 'Model_ of_individuals'!Z887*'Model_ of_individuals'!$K887,"")</f>
        <v/>
      </c>
      <c r="AA867" s="17" t="str">
        <f>IF(ISNUMBER('Model_ of_individuals'!AA887), 'Model_ of_individuals'!AA887*'Model_ of_individuals'!$K887,"")</f>
        <v/>
      </c>
      <c r="AB867" s="17" t="str">
        <f>IF(ISNUMBER('Model_ of_individuals'!AB887), 'Model_ of_individuals'!AB887*'Model_ of_individuals'!$K887,"")</f>
        <v/>
      </c>
    </row>
    <row r="868" spans="1:28" x14ac:dyDescent="0.25">
      <c r="A868" s="518"/>
      <c r="B868" s="504"/>
      <c r="C868" s="107" t="str">
        <f>IF(AND(ISNUMBER(B844), OR('Cost Inputs'!$H$193&lt;&gt;"", 'Cost Inputs'!$I$193&lt;&gt;"", 'Cost Inputs'!$J$193&lt;&gt;"")), _6_4_2, "")</f>
        <v/>
      </c>
      <c r="D868" s="93" t="str">
        <f>IF(AND(C868&lt;&gt;"", 'Cost Inputs'!$G$193&lt;&gt;""), 'Cost Inputs'!$G$193, "")</f>
        <v/>
      </c>
      <c r="E868" s="93" t="str">
        <f>IF(AND(C868&lt;&gt;"", 'Cost Inputs'!$H$193&lt;&gt;""), 'Cost Inputs'!$H$193, "")</f>
        <v/>
      </c>
      <c r="F868" s="93" t="str">
        <f>IF(AND(C868&lt;&gt;"", 'Cost Inputs'!$I$193&lt;&gt;""), 'Cost Inputs'!$I$193, "")</f>
        <v/>
      </c>
      <c r="G868" s="108" t="str">
        <f t="shared" si="79"/>
        <v/>
      </c>
      <c r="H868" s="93" t="str">
        <f>IF(AND(C868&lt;&gt;"", 'Cost Inputs'!$J$193&lt;&gt;""), 'Cost Inputs'!$J$193, "")</f>
        <v/>
      </c>
      <c r="I868" s="93" t="str">
        <f t="shared" si="80"/>
        <v/>
      </c>
      <c r="J868" s="93" t="str">
        <f>IF(AND(C868&lt;&gt;"",('Cost Inputs'!$I$152+'Cost Inputs'!$J$152+'Cost Inputs'!$K$152)&gt;0), 'Cost Inputs'!$I$152+'Cost Inputs'!$J$152+'Cost Inputs'!$K$152, "")</f>
        <v/>
      </c>
      <c r="K868" s="93" t="str">
        <f t="shared" si="81"/>
        <v/>
      </c>
      <c r="L868" s="93"/>
      <c r="M868" s="109"/>
      <c r="S868" s="93" t="str">
        <f>IF(ISNUMBER('Model_ of_individuals'!S888), 'Model_ of_individuals'!S888*'Model_ of_individuals'!$K888,"")</f>
        <v/>
      </c>
      <c r="T868" s="93" t="str">
        <f>IF(ISNUMBER('Model_ of_individuals'!T888), 'Model_ of_individuals'!T888*'Model_ of_individuals'!$K888,"")</f>
        <v/>
      </c>
      <c r="U868" s="93" t="str">
        <f>IF(ISNUMBER('Model_ of_individuals'!U888), 'Model_ of_individuals'!U888*'Model_ of_individuals'!$K888,"")</f>
        <v/>
      </c>
      <c r="V868" s="93" t="str">
        <f>IF(ISNUMBER('Model_ of_individuals'!V888), 'Model_ of_individuals'!V888*'Model_ of_individuals'!$K888,"")</f>
        <v/>
      </c>
      <c r="W868" s="93" t="str">
        <f>IF(ISNUMBER('Model_ of_individuals'!W888), 'Model_ of_individuals'!W888*'Model_ of_individuals'!$K888,"")</f>
        <v/>
      </c>
      <c r="X868" s="93" t="str">
        <f>IF(ISNUMBER('Model_ of_individuals'!X888), 'Model_ of_individuals'!X888*'Model_ of_individuals'!$K888,"")</f>
        <v/>
      </c>
      <c r="Y868" s="93" t="str">
        <f>IF(ISNUMBER('Model_ of_individuals'!Y888), 'Model_ of_individuals'!Y888*'Model_ of_individuals'!$K888,"")</f>
        <v/>
      </c>
      <c r="Z868" s="93" t="str">
        <f>IF(ISNUMBER('Model_ of_individuals'!Z888), 'Model_ of_individuals'!Z888*'Model_ of_individuals'!$K888,"")</f>
        <v/>
      </c>
      <c r="AA868" s="93" t="str">
        <f>IF(ISNUMBER('Model_ of_individuals'!AA888), 'Model_ of_individuals'!AA888*'Model_ of_individuals'!$K888,"")</f>
        <v/>
      </c>
      <c r="AB868" s="93" t="str">
        <f>IF(ISNUMBER('Model_ of_individuals'!AB888), 'Model_ of_individuals'!AB888*'Model_ of_individuals'!$K888,"")</f>
        <v/>
      </c>
    </row>
    <row r="869" spans="1:28" x14ac:dyDescent="0.25">
      <c r="A869" s="518"/>
      <c r="B869" s="504"/>
      <c r="C869" s="104" t="str">
        <f>IF(AND(ISNUMBER(B844), OR('Cost Inputs'!$H$194&lt;&gt;"", 'Cost Inputs'!$I$194&lt;&gt;"", 'Cost Inputs'!$J$194&lt;&gt;"")), _6_4_3, "")</f>
        <v/>
      </c>
      <c r="D869" s="17" t="str">
        <f>IF(AND(C869&lt;&gt;"", 'Cost Inputs'!$G$194&lt;&gt;""), 'Cost Inputs'!$G$194, "")</f>
        <v/>
      </c>
      <c r="E869" s="17" t="str">
        <f>IF(AND(C869&lt;&gt;"", 'Cost Inputs'!$H$194&lt;&gt;""), 'Cost Inputs'!$H$194, "")</f>
        <v/>
      </c>
      <c r="F869" s="17" t="str">
        <f>IF(AND(C869&lt;&gt;"", 'Cost Inputs'!$I$194&lt;&gt;""), 'Cost Inputs'!$I$194, "")</f>
        <v/>
      </c>
      <c r="G869" s="105" t="str">
        <f t="shared" si="79"/>
        <v/>
      </c>
      <c r="H869" s="17" t="str">
        <f>IF(AND(C869&lt;&gt;"", 'Cost Inputs'!$J$194&lt;&gt;""), 'Cost Inputs'!$J$194, "")</f>
        <v/>
      </c>
      <c r="I869" s="17" t="str">
        <f t="shared" si="80"/>
        <v/>
      </c>
      <c r="J869" s="17" t="str">
        <f>IF(AND(C869&lt;&gt;"",('Cost Inputs'!$I$194+'Cost Inputs'!$J$194+'Cost Inputs'!$K$194)&gt;0), 'Cost Inputs'!$I$194+'Cost Inputs'!$J$194+'Cost Inputs'!$K$194, "")</f>
        <v/>
      </c>
      <c r="K869" s="17" t="str">
        <f t="shared" si="81"/>
        <v/>
      </c>
      <c r="M869" s="106"/>
      <c r="S869" s="17" t="str">
        <f>IF(ISNUMBER('Model_ of_individuals'!S889), 'Model_ of_individuals'!S889*'Model_ of_individuals'!$K889,"")</f>
        <v/>
      </c>
      <c r="T869" s="17" t="str">
        <f>IF(ISNUMBER('Model_ of_individuals'!T889), 'Model_ of_individuals'!T889*'Model_ of_individuals'!$K889,"")</f>
        <v/>
      </c>
      <c r="U869" s="17" t="str">
        <f>IF(ISNUMBER('Model_ of_individuals'!U889), 'Model_ of_individuals'!U889*'Model_ of_individuals'!$K889,"")</f>
        <v/>
      </c>
      <c r="V869" s="17" t="str">
        <f>IF(ISNUMBER('Model_ of_individuals'!V889), 'Model_ of_individuals'!V889*'Model_ of_individuals'!$K889,"")</f>
        <v/>
      </c>
      <c r="W869" s="17" t="str">
        <f>IF(ISNUMBER('Model_ of_individuals'!W889), 'Model_ of_individuals'!W889*'Model_ of_individuals'!$K889,"")</f>
        <v/>
      </c>
      <c r="X869" s="17" t="str">
        <f>IF(ISNUMBER('Model_ of_individuals'!X889), 'Model_ of_individuals'!X889*'Model_ of_individuals'!$K889,"")</f>
        <v/>
      </c>
      <c r="Y869" s="17" t="str">
        <f>IF(ISNUMBER('Model_ of_individuals'!Y889), 'Model_ of_individuals'!Y889*'Model_ of_individuals'!$K889,"")</f>
        <v/>
      </c>
      <c r="Z869" s="17" t="str">
        <f>IF(ISNUMBER('Model_ of_individuals'!Z889), 'Model_ of_individuals'!Z889*'Model_ of_individuals'!$K889,"")</f>
        <v/>
      </c>
      <c r="AA869" s="17" t="str">
        <f>IF(ISNUMBER('Model_ of_individuals'!AA889), 'Model_ of_individuals'!AA889*'Model_ of_individuals'!$K889,"")</f>
        <v/>
      </c>
      <c r="AB869" s="17" t="str">
        <f>IF(ISNUMBER('Model_ of_individuals'!AB889), 'Model_ of_individuals'!AB889*'Model_ of_individuals'!$K889,"")</f>
        <v/>
      </c>
    </row>
    <row r="870" spans="1:28" x14ac:dyDescent="0.25">
      <c r="A870" s="518"/>
      <c r="B870" s="504"/>
      <c r="C870" s="107" t="str">
        <f>IF(AND(ISNUMBER(B844), OR('Cost Inputs'!$H$195&lt;&gt;"", 'Cost Inputs'!$I$195&lt;&gt;"", 'Cost Inputs'!$J$195&lt;&gt;"")), _6_4_4, "")</f>
        <v/>
      </c>
      <c r="D870" s="93" t="str">
        <f>IF(AND(C870&lt;&gt;"", 'Cost Inputs'!$G$195&lt;&gt;""), 'Cost Inputs'!$G$195, "")</f>
        <v/>
      </c>
      <c r="E870" s="93" t="str">
        <f>IF(AND(C870&lt;&gt;"", 'Cost Inputs'!$H$195&lt;&gt;""), 'Cost Inputs'!$H$195, "")</f>
        <v/>
      </c>
      <c r="F870" s="93" t="str">
        <f>IF(AND(C870&lt;&gt;"", 'Cost Inputs'!$I$195&lt;&gt;""), 'Cost Inputs'!$I$195, "")</f>
        <v/>
      </c>
      <c r="G870" s="108" t="str">
        <f t="shared" si="79"/>
        <v/>
      </c>
      <c r="H870" s="93" t="str">
        <f>IF(AND(C870&lt;&gt;"", 'Cost Inputs'!$J$195&lt;&gt;""), 'Cost Inputs'!$J$195, "")</f>
        <v/>
      </c>
      <c r="I870" s="93" t="str">
        <f t="shared" si="80"/>
        <v/>
      </c>
      <c r="J870" s="93" t="str">
        <f>IF(AND(C870&lt;&gt;"",('Cost Inputs'!$I$195+'Cost Inputs'!$J$195+'Cost Inputs'!$K$195)&gt;0), 'Cost Inputs'!$I$195+'Cost Inputs'!$J$195+'Cost Inputs'!$K$195, "")</f>
        <v/>
      </c>
      <c r="K870" s="93" t="str">
        <f t="shared" si="81"/>
        <v/>
      </c>
      <c r="L870" s="93"/>
      <c r="M870" s="109"/>
      <c r="S870" s="93" t="str">
        <f>IF(ISNUMBER('Model_ of_individuals'!S890), 'Model_ of_individuals'!S890*'Model_ of_individuals'!$K890,"")</f>
        <v/>
      </c>
      <c r="T870" s="93" t="str">
        <f>IF(ISNUMBER('Model_ of_individuals'!T890), 'Model_ of_individuals'!T890*'Model_ of_individuals'!$K890,"")</f>
        <v/>
      </c>
      <c r="U870" s="93" t="str">
        <f>IF(ISNUMBER('Model_ of_individuals'!U890), 'Model_ of_individuals'!U890*'Model_ of_individuals'!$K890,"")</f>
        <v/>
      </c>
      <c r="V870" s="93" t="str">
        <f>IF(ISNUMBER('Model_ of_individuals'!V890), 'Model_ of_individuals'!V890*'Model_ of_individuals'!$K890,"")</f>
        <v/>
      </c>
      <c r="W870" s="93" t="str">
        <f>IF(ISNUMBER('Model_ of_individuals'!W890), 'Model_ of_individuals'!W890*'Model_ of_individuals'!$K890,"")</f>
        <v/>
      </c>
      <c r="X870" s="93" t="str">
        <f>IF(ISNUMBER('Model_ of_individuals'!X890), 'Model_ of_individuals'!X890*'Model_ of_individuals'!$K890,"")</f>
        <v/>
      </c>
      <c r="Y870" s="93" t="str">
        <f>IF(ISNUMBER('Model_ of_individuals'!Y890), 'Model_ of_individuals'!Y890*'Model_ of_individuals'!$K890,"")</f>
        <v/>
      </c>
      <c r="Z870" s="93" t="str">
        <f>IF(ISNUMBER('Model_ of_individuals'!Z890), 'Model_ of_individuals'!Z890*'Model_ of_individuals'!$K890,"")</f>
        <v/>
      </c>
      <c r="AA870" s="93" t="str">
        <f>IF(ISNUMBER('Model_ of_individuals'!AA890), 'Model_ of_individuals'!AA890*'Model_ of_individuals'!$K890,"")</f>
        <v/>
      </c>
      <c r="AB870" s="93" t="str">
        <f>IF(ISNUMBER('Model_ of_individuals'!AB890), 'Model_ of_individuals'!AB890*'Model_ of_individuals'!$K890,"")</f>
        <v/>
      </c>
    </row>
    <row r="871" spans="1:28" x14ac:dyDescent="0.25">
      <c r="A871" s="518"/>
      <c r="B871" s="504"/>
      <c r="C871" s="104" t="str">
        <f>IF(AND(ISNUMBER(B844), OR('Cost Inputs'!$H$196&lt;&gt;"", 'Cost Inputs'!$I$196&lt;&gt;"", 'Cost Inputs'!$J$196&lt;&gt;"")), _6_4_5, "")</f>
        <v/>
      </c>
      <c r="D871" s="17" t="str">
        <f>IF(AND(C871&lt;&gt;"", 'Cost Inputs'!$G$196&lt;&gt;""), 'Cost Inputs'!$G$196, "")</f>
        <v/>
      </c>
      <c r="E871" s="17" t="str">
        <f>IF(AND(C871&lt;&gt;"", 'Cost Inputs'!$H$196&lt;&gt;""), 'Cost Inputs'!$H$196, "")</f>
        <v/>
      </c>
      <c r="F871" s="17" t="str">
        <f>IF(AND(C871&lt;&gt;"", 'Cost Inputs'!$I$196&lt;&gt;""), 'Cost Inputs'!$I$196, "")</f>
        <v/>
      </c>
      <c r="G871" s="105" t="str">
        <f t="shared" si="79"/>
        <v/>
      </c>
      <c r="H871" s="17" t="str">
        <f>IF(AND(C871&lt;&gt;"", 'Cost Inputs'!$J$196&lt;&gt;""), 'Cost Inputs'!$J$196, "")</f>
        <v/>
      </c>
      <c r="I871" s="17" t="str">
        <f t="shared" si="80"/>
        <v/>
      </c>
      <c r="J871" s="17" t="str">
        <f>IF(AND(C871&lt;&gt;"",('Cost Inputs'!$I$196+'Cost Inputs'!$J$196+'Cost Inputs'!$K$196)&gt;0), 'Cost Inputs'!$I$196+'Cost Inputs'!$J$196+'Cost Inputs'!$K$196, "")</f>
        <v/>
      </c>
      <c r="K871" s="17" t="str">
        <f t="shared" si="81"/>
        <v/>
      </c>
      <c r="M871" s="106"/>
      <c r="S871" s="17" t="str">
        <f>IF(ISNUMBER('Model_ of_individuals'!S891), 'Model_ of_individuals'!S891*'Model_ of_individuals'!$K891,"")</f>
        <v/>
      </c>
      <c r="T871" s="17" t="str">
        <f>IF(ISNUMBER('Model_ of_individuals'!T891), 'Model_ of_individuals'!T891*'Model_ of_individuals'!$K891,"")</f>
        <v/>
      </c>
      <c r="U871" s="17" t="str">
        <f>IF(ISNUMBER('Model_ of_individuals'!U891), 'Model_ of_individuals'!U891*'Model_ of_individuals'!$K891,"")</f>
        <v/>
      </c>
      <c r="V871" s="17" t="str">
        <f>IF(ISNUMBER('Model_ of_individuals'!V891), 'Model_ of_individuals'!V891*'Model_ of_individuals'!$K891,"")</f>
        <v/>
      </c>
      <c r="W871" s="17" t="str">
        <f>IF(ISNUMBER('Model_ of_individuals'!W891), 'Model_ of_individuals'!W891*'Model_ of_individuals'!$K891,"")</f>
        <v/>
      </c>
      <c r="X871" s="17" t="str">
        <f>IF(ISNUMBER('Model_ of_individuals'!X891), 'Model_ of_individuals'!X891*'Model_ of_individuals'!$K891,"")</f>
        <v/>
      </c>
      <c r="Y871" s="17" t="str">
        <f>IF(ISNUMBER('Model_ of_individuals'!Y891), 'Model_ of_individuals'!Y891*'Model_ of_individuals'!$K891,"")</f>
        <v/>
      </c>
      <c r="Z871" s="17" t="str">
        <f>IF(ISNUMBER('Model_ of_individuals'!Z891), 'Model_ of_individuals'!Z891*'Model_ of_individuals'!$K891,"")</f>
        <v/>
      </c>
      <c r="AA871" s="17" t="str">
        <f>IF(ISNUMBER('Model_ of_individuals'!AA891), 'Model_ of_individuals'!AA891*'Model_ of_individuals'!$K891,"")</f>
        <v/>
      </c>
      <c r="AB871" s="17" t="str">
        <f>IF(ISNUMBER('Model_ of_individuals'!AB891), 'Model_ of_individuals'!AB891*'Model_ of_individuals'!$K891,"")</f>
        <v/>
      </c>
    </row>
    <row r="872" spans="1:28" x14ac:dyDescent="0.25">
      <c r="A872" s="518"/>
      <c r="B872" s="504"/>
      <c r="C872" s="107" t="str">
        <f>IF(AND(ISNUMBER(B844), OR('Cost Inputs'!$H$197&lt;&gt;"", 'Cost Inputs'!$I$197&lt;&gt;"", 'Cost Inputs'!$J$197&lt;&gt;"")), _6_4_6, "")</f>
        <v/>
      </c>
      <c r="D872" s="93" t="str">
        <f>IF(AND(C872&lt;&gt;"", 'Cost Inputs'!$G$197&lt;&gt;""), 'Cost Inputs'!$G$197, "")</f>
        <v/>
      </c>
      <c r="E872" s="93" t="str">
        <f>IF(AND(C872&lt;&gt;"", 'Cost Inputs'!$H$197&lt;&gt;""), 'Cost Inputs'!$H$197, "")</f>
        <v/>
      </c>
      <c r="F872" s="93" t="str">
        <f>IF(AND(C872&lt;&gt;"", 'Cost Inputs'!$I$197&lt;&gt;""), 'Cost Inputs'!$I$197, "")</f>
        <v/>
      </c>
      <c r="G872" s="108" t="str">
        <f t="shared" si="79"/>
        <v/>
      </c>
      <c r="H872" s="93" t="str">
        <f>IF(AND(C872&lt;&gt;"", 'Cost Inputs'!$J$197&lt;&gt;""), 'Cost Inputs'!$J$16, "")</f>
        <v/>
      </c>
      <c r="I872" s="93" t="str">
        <f t="shared" si="80"/>
        <v/>
      </c>
      <c r="J872" s="93" t="str">
        <f>IF(AND(C872&lt;&gt;"",('Cost Inputs'!$I$197+'Cost Inputs'!$J$197+'Cost Inputs'!$K$197)&gt;0), 'Cost Inputs'!$I$197+'Cost Inputs'!$J$197+'Cost Inputs'!$K$197, "")</f>
        <v/>
      </c>
      <c r="K872" s="93" t="str">
        <f t="shared" si="81"/>
        <v/>
      </c>
      <c r="L872" s="93"/>
      <c r="M872" s="109"/>
      <c r="S872" s="93" t="str">
        <f>IF(ISNUMBER('Model_ of_individuals'!S892), 'Model_ of_individuals'!S892*'Model_ of_individuals'!$K892,"")</f>
        <v/>
      </c>
      <c r="T872" s="93" t="str">
        <f>IF(ISNUMBER('Model_ of_individuals'!T892), 'Model_ of_individuals'!T892*'Model_ of_individuals'!$K892,"")</f>
        <v/>
      </c>
      <c r="U872" s="93" t="str">
        <f>IF(ISNUMBER('Model_ of_individuals'!U892), 'Model_ of_individuals'!U892*'Model_ of_individuals'!$K892,"")</f>
        <v/>
      </c>
      <c r="V872" s="93" t="str">
        <f>IF(ISNUMBER('Model_ of_individuals'!V892), 'Model_ of_individuals'!V892*'Model_ of_individuals'!$K892,"")</f>
        <v/>
      </c>
      <c r="W872" s="93" t="str">
        <f>IF(ISNUMBER('Model_ of_individuals'!W892), 'Model_ of_individuals'!W892*'Model_ of_individuals'!$K892,"")</f>
        <v/>
      </c>
      <c r="X872" s="93" t="str">
        <f>IF(ISNUMBER('Model_ of_individuals'!X892), 'Model_ of_individuals'!X892*'Model_ of_individuals'!$K892,"")</f>
        <v/>
      </c>
      <c r="Y872" s="93" t="str">
        <f>IF(ISNUMBER('Model_ of_individuals'!Y892), 'Model_ of_individuals'!Y892*'Model_ of_individuals'!$K892,"")</f>
        <v/>
      </c>
      <c r="Z872" s="93" t="str">
        <f>IF(ISNUMBER('Model_ of_individuals'!Z892), 'Model_ of_individuals'!Z892*'Model_ of_individuals'!$K892,"")</f>
        <v/>
      </c>
      <c r="AA872" s="93" t="str">
        <f>IF(ISNUMBER('Model_ of_individuals'!AA892), 'Model_ of_individuals'!AA892*'Model_ of_individuals'!$K892,"")</f>
        <v/>
      </c>
      <c r="AB872" s="93" t="str">
        <f>IF(ISNUMBER('Model_ of_individuals'!AB892), 'Model_ of_individuals'!AB892*'Model_ of_individuals'!$K892,"")</f>
        <v/>
      </c>
    </row>
    <row r="873" spans="1:28" x14ac:dyDescent="0.25">
      <c r="A873" s="518"/>
      <c r="B873" s="504"/>
      <c r="C873" s="521" t="str">
        <f>IF(AND(B862&lt;&gt;"",ISNUMBER(B862),ISNUMBER(Stage4EvaluationBegins)),IF((INDEX(ProgramYearStage4,MATCH(Stage4EvaluationBegins,Years_in_Stage4,0)))=B862,_6_5_0,IF(AND(B862&lt;&gt;"",C851&lt;&gt;""),_6_5_0,IF(AND(B862&lt;&gt;"",ISNUMBER(B862),OR(Stage4EvaluationBegins=0,Stage4EvaluationBegins="")),"",""))),"")</f>
        <v/>
      </c>
      <c r="D873" s="94" t="str">
        <f>IF(AND(C873&lt;&gt;"", 'Cost Inputs'!$G$198&lt;&gt;""), 'Cost Inputs'!$G$198, "")</f>
        <v/>
      </c>
      <c r="E873" s="94" t="str">
        <f>IF(AND(C873&lt;&gt;"", 'Cost Inputs'!$H$198&lt;&gt;""), 'Cost Inputs'!$H$198, "")</f>
        <v/>
      </c>
      <c r="F873" s="492" t="str">
        <f>IF(AND(C873&lt;&gt;"", 'Cost Inputs'!$I$198&lt;&gt;""), 'Cost Inputs'!$I$198, "")</f>
        <v/>
      </c>
      <c r="G873" s="102" t="str">
        <f t="shared" si="79"/>
        <v/>
      </c>
      <c r="H873" s="492" t="str">
        <f>IF(AND(C873&lt;&gt;"", 'Cost Inputs'!$J$198&lt;&gt;""), 'Cost Inputs'!$J$198, "")</f>
        <v/>
      </c>
      <c r="I873" s="102" t="str">
        <f>IF($C873&lt;&gt;"",IF(AND($E873&lt;&gt;"",H873&lt;&gt;""), H873/$E873, 0),"")</f>
        <v/>
      </c>
      <c r="J873" s="492" t="str">
        <f>IF(AND(C873&lt;&gt;"",('Cost Inputs'!$I$198+'Cost Inputs'!$J$198+'Cost Inputs'!$K$198)&gt;0), 'Cost Inputs'!$I$198+'Cost Inputs'!$J$198+'Cost Inputs'!$K$198, "")</f>
        <v/>
      </c>
      <c r="K873" s="102" t="str">
        <f>IF($C873&lt;&gt;"",IF(AND($E873&lt;&gt;"",J873&lt;&gt;""), J873/$E873, 0),"")</f>
        <v/>
      </c>
      <c r="L873" s="94"/>
      <c r="M873" s="103"/>
      <c r="S873" s="492" t="str">
        <f>IF(ISNUMBER('Model_ of_individuals'!S893), 'Model_ of_individuals'!S893*'Model_ of_individuals'!$K893,"")</f>
        <v/>
      </c>
      <c r="T873" s="492" t="str">
        <f>IF(ISNUMBER('Model_ of_individuals'!T893), 'Model_ of_individuals'!T893*'Model_ of_individuals'!$K893,"")</f>
        <v/>
      </c>
      <c r="U873" s="492" t="str">
        <f>IF(ISNUMBER('Model_ of_individuals'!U893), 'Model_ of_individuals'!U893*'Model_ of_individuals'!$K893,"")</f>
        <v/>
      </c>
      <c r="V873" s="492" t="str">
        <f>IF(ISNUMBER('Model_ of_individuals'!V893), 'Model_ of_individuals'!V893*'Model_ of_individuals'!$K893,"")</f>
        <v/>
      </c>
      <c r="W873" s="492" t="str">
        <f>IF(ISNUMBER('Model_ of_individuals'!W893), 'Model_ of_individuals'!W893*'Model_ of_individuals'!$K893,"")</f>
        <v/>
      </c>
      <c r="X873" s="492" t="str">
        <f>IF(ISNUMBER('Model_ of_individuals'!X893), 'Model_ of_individuals'!X893*'Model_ of_individuals'!$K893,"")</f>
        <v/>
      </c>
      <c r="Y873" s="492" t="str">
        <f>IF(ISNUMBER('Model_ of_individuals'!Y893), 'Model_ of_individuals'!Y893*'Model_ of_individuals'!$K893,"")</f>
        <v/>
      </c>
      <c r="Z873" s="492" t="str">
        <f>IF(ISNUMBER('Model_ of_individuals'!Z893), 'Model_ of_individuals'!Z893*'Model_ of_individuals'!$K893,"")</f>
        <v/>
      </c>
      <c r="AA873" s="492" t="str">
        <f>IF(ISNUMBER('Model_ of_individuals'!AA893), 'Model_ of_individuals'!AA893*'Model_ of_individuals'!$K893,"")</f>
        <v/>
      </c>
      <c r="AB873" s="492" t="str">
        <f>IF(ISNUMBER('Model_ of_individuals'!AB893), 'Model_ of_individuals'!AB893*'Model_ of_individuals'!$K893,"")</f>
        <v/>
      </c>
    </row>
    <row r="874" spans="1:28" x14ac:dyDescent="0.25">
      <c r="A874" s="518"/>
      <c r="B874" s="504"/>
      <c r="C874" s="521"/>
      <c r="D874" s="94" t="str">
        <f>IF(AND(C873&lt;&gt;"", 'Cost Inputs'!$G$199&lt;&gt;""), 'Cost Inputs'!$G$199, "")</f>
        <v/>
      </c>
      <c r="E874" s="94" t="str">
        <f>IF(AND(C873&lt;&gt;"", 'Cost Inputs'!$H$199&lt;&gt;""), 'Cost Inputs'!$H$199, "")</f>
        <v/>
      </c>
      <c r="F874" s="492"/>
      <c r="G874" s="102" t="str">
        <f t="shared" si="79"/>
        <v/>
      </c>
      <c r="H874" s="492"/>
      <c r="I874" s="102" t="str">
        <f>IF($C873&lt;&gt;"", IF(AND($E874&lt;&gt;"", H873&lt;&gt;""), H873/($E873*$E874), 0), "")</f>
        <v/>
      </c>
      <c r="J874" s="492" t="str">
        <f>IF(AND(C874&lt;&gt;"",('Cost Inputs'!$I$86+'Cost Inputs'!$J$86+'Cost Inputs'!$K$86)&gt;0), 'Cost Inputs'!$I$86+'Cost Inputs'!$J$86+'Cost Inputs'!$K$86, "")</f>
        <v/>
      </c>
      <c r="K874" s="102" t="str">
        <f>IF($C873&lt;&gt;"", IF(AND($E874&lt;&gt;"", J873&lt;&gt;""), J873/($E873*$E874), 0), "")</f>
        <v/>
      </c>
      <c r="L874" s="94"/>
      <c r="M874" s="103"/>
      <c r="S874" s="492" t="str">
        <f>IF(ISNUMBER('Model_ of_individuals'!S894), 'Model_ of_individuals'!S894*'Model_ of_individuals'!$K894,"")</f>
        <v/>
      </c>
      <c r="T874" s="492" t="str">
        <f>IF(ISNUMBER('Model_ of_individuals'!T894), 'Model_ of_individuals'!T894*'Model_ of_individuals'!$K894,"")</f>
        <v/>
      </c>
      <c r="U874" s="492" t="str">
        <f>IF(ISNUMBER('Model_ of_individuals'!U894), 'Model_ of_individuals'!U894*'Model_ of_individuals'!$K894,"")</f>
        <v/>
      </c>
      <c r="V874" s="492" t="str">
        <f>IF(ISNUMBER('Model_ of_individuals'!V894), 'Model_ of_individuals'!V894*'Model_ of_individuals'!$K894,"")</f>
        <v/>
      </c>
      <c r="W874" s="492" t="str">
        <f>IF(ISNUMBER('Model_ of_individuals'!W894), 'Model_ of_individuals'!W894*'Model_ of_individuals'!$K894,"")</f>
        <v/>
      </c>
      <c r="X874" s="492" t="str">
        <f>IF(ISNUMBER('Model_ of_individuals'!X894), 'Model_ of_individuals'!X894*'Model_ of_individuals'!$K894,"")</f>
        <v/>
      </c>
      <c r="Y874" s="492" t="str">
        <f>IF(ISNUMBER('Model_ of_individuals'!Y894), 'Model_ of_individuals'!Y894*'Model_ of_individuals'!$K894,"")</f>
        <v/>
      </c>
      <c r="Z874" s="492" t="str">
        <f>IF(ISNUMBER('Model_ of_individuals'!Z894), 'Model_ of_individuals'!Z894*'Model_ of_individuals'!$K894,"")</f>
        <v/>
      </c>
      <c r="AA874" s="492" t="str">
        <f>IF(ISNUMBER('Model_ of_individuals'!AA894), 'Model_ of_individuals'!AA894*'Model_ of_individuals'!$K894,"")</f>
        <v/>
      </c>
      <c r="AB874" s="492" t="str">
        <f>IF(ISNUMBER('Model_ of_individuals'!AB894), 'Model_ of_individuals'!AB894*'Model_ of_individuals'!$K894,"")</f>
        <v/>
      </c>
    </row>
    <row r="875" spans="1:28" x14ac:dyDescent="0.25">
      <c r="A875" s="518"/>
      <c r="B875" s="504"/>
      <c r="C875" s="376" t="str">
        <f>IF(AND(ISNUMBER(B844), C873&lt;&gt;"", OR('Cost Inputs'!$H$200&lt;&gt;"", 'Cost Inputs'!$I$200&lt;&gt;"", 'Cost Inputs'!$J$200&lt;&gt;"")), _6_5_1, "")</f>
        <v/>
      </c>
      <c r="D875" s="17" t="str">
        <f>IF(AND(C875&lt;&gt;"", 'Cost Inputs'!$G$200&lt;&gt;""), 'Cost Inputs'!$G$200, "")</f>
        <v/>
      </c>
      <c r="E875" s="17" t="str">
        <f>IF(AND(C875&lt;&gt;"", 'Cost Inputs'!$H$200&lt;&gt;""), 'Cost Inputs'!$H$200, "")</f>
        <v/>
      </c>
      <c r="F875" s="493" t="str">
        <f>IF(AND(C875&lt;&gt;"", 'Cost Inputs'!$I$200&lt;&gt;""), 'Cost Inputs'!$I$200, "")</f>
        <v/>
      </c>
      <c r="G875" s="105" t="str">
        <f t="shared" si="79"/>
        <v/>
      </c>
      <c r="H875" s="493" t="str">
        <f>IF(AND(C875&lt;&gt;"", 'Cost Inputs'!$J$200&lt;&gt;""), 'Cost Inputs'!$J$200, "")</f>
        <v/>
      </c>
      <c r="I875" s="105" t="str">
        <f>IF($C875&lt;&gt;"",IF(AND($E875&lt;&gt;"",H875&lt;&gt;""), H875/$E875, 0),"")</f>
        <v/>
      </c>
      <c r="J875" s="493" t="str">
        <f>IF(AND(C875&lt;&gt;"",('Cost Inputs'!$I$200+'Cost Inputs'!$J$200+'Cost Inputs'!$K$200)&gt;0), 'Cost Inputs'!$I$200+'Cost Inputs'!$J$200+'Cost Inputs'!$K$200, "")</f>
        <v/>
      </c>
      <c r="K875" s="105" t="str">
        <f>IF($C875&lt;&gt;"",IF(AND($E875&lt;&gt;"",J875&lt;&gt;""), J875/$E875, 0),"")</f>
        <v/>
      </c>
      <c r="M875" s="106"/>
      <c r="S875" s="493" t="str">
        <f>IF(ISNUMBER('Model_ of_individuals'!S895), 'Model_ of_individuals'!S895*'Model_ of_individuals'!$K895,"")</f>
        <v/>
      </c>
      <c r="T875" s="493" t="str">
        <f>IF(ISNUMBER('Model_ of_individuals'!T895), 'Model_ of_individuals'!T895*'Model_ of_individuals'!$K895,"")</f>
        <v/>
      </c>
      <c r="U875" s="493" t="str">
        <f>IF(ISNUMBER('Model_ of_individuals'!U895), 'Model_ of_individuals'!U895*'Model_ of_individuals'!$K895,"")</f>
        <v/>
      </c>
      <c r="V875" s="493" t="str">
        <f>IF(ISNUMBER('Model_ of_individuals'!V895), 'Model_ of_individuals'!V895*'Model_ of_individuals'!$K895,"")</f>
        <v/>
      </c>
      <c r="W875" s="493" t="str">
        <f>IF(ISNUMBER('Model_ of_individuals'!W895), 'Model_ of_individuals'!W895*'Model_ of_individuals'!$K895,"")</f>
        <v/>
      </c>
      <c r="X875" s="493" t="str">
        <f>IF(ISNUMBER('Model_ of_individuals'!X895), 'Model_ of_individuals'!X895*'Model_ of_individuals'!$K895,"")</f>
        <v/>
      </c>
      <c r="Y875" s="493" t="str">
        <f>IF(ISNUMBER('Model_ of_individuals'!Y895), 'Model_ of_individuals'!Y895*'Model_ of_individuals'!$K895,"")</f>
        <v/>
      </c>
      <c r="Z875" s="493" t="str">
        <f>IF(ISNUMBER('Model_ of_individuals'!Z895), 'Model_ of_individuals'!Z895*'Model_ of_individuals'!$K895,"")</f>
        <v/>
      </c>
      <c r="AA875" s="493" t="str">
        <f>IF(ISNUMBER('Model_ of_individuals'!AA895), 'Model_ of_individuals'!AA895*'Model_ of_individuals'!$K895,"")</f>
        <v/>
      </c>
      <c r="AB875" s="493" t="str">
        <f>IF(ISNUMBER('Model_ of_individuals'!AB895), 'Model_ of_individuals'!AB895*'Model_ of_individuals'!$K895,"")</f>
        <v/>
      </c>
    </row>
    <row r="876" spans="1:28" x14ac:dyDescent="0.25">
      <c r="A876" s="518"/>
      <c r="B876" s="504"/>
      <c r="C876" s="376" t="str">
        <f>IF(AND(ISNUMBER(B858), OR('Cost Inputs'!$H$85&lt;&gt;"", 'Cost Inputs'!$I$85&lt;&gt;"", 'Cost Inputs'!$J$85&lt;&gt;"")), _3_5_1, "")</f>
        <v/>
      </c>
      <c r="D876" s="17" t="str">
        <f>IF(AND(C875&lt;&gt;"", 'Cost Inputs'!$G$201&lt;&gt;""), 'Cost Inputs'!$G$201, "")</f>
        <v/>
      </c>
      <c r="E876" s="17" t="str">
        <f>IF(AND(C875&lt;&gt;"", 'Cost Inputs'!$H$201&lt;&gt;""), 'Cost Inputs'!$H$201, "")</f>
        <v/>
      </c>
      <c r="F876" s="493"/>
      <c r="G876" s="105" t="str">
        <f t="shared" si="79"/>
        <v/>
      </c>
      <c r="H876" s="493"/>
      <c r="I876" s="105" t="str">
        <f>IF($C875&lt;&gt;"", IF(AND($E876&lt;&gt;"", H875&lt;&gt;""), H875/($E875*$E876), 0), "")</f>
        <v/>
      </c>
      <c r="J876" s="493" t="str">
        <f>IF(AND(C876&lt;&gt;"",('Cost Inputs'!$I$86+'Cost Inputs'!$J$86+'Cost Inputs'!$K$86)&gt;0), 'Cost Inputs'!$I$86+'Cost Inputs'!$J$86+'Cost Inputs'!$K$86, "")</f>
        <v/>
      </c>
      <c r="K876" s="105" t="str">
        <f>IF($C875&lt;&gt;"", IF(AND($E876&lt;&gt;"", J875&lt;&gt;""), J875/($E875*$E876), 0), "")</f>
        <v/>
      </c>
      <c r="M876" s="106"/>
      <c r="S876" s="493" t="str">
        <f>IF(ISNUMBER('Model_ of_individuals'!S896), 'Model_ of_individuals'!S896*'Model_ of_individuals'!$K896,"")</f>
        <v/>
      </c>
      <c r="T876" s="493" t="str">
        <f>IF(ISNUMBER('Model_ of_individuals'!T896), 'Model_ of_individuals'!T896*'Model_ of_individuals'!$K896,"")</f>
        <v/>
      </c>
      <c r="U876" s="493" t="str">
        <f>IF(ISNUMBER('Model_ of_individuals'!U896), 'Model_ of_individuals'!U896*'Model_ of_individuals'!$K896,"")</f>
        <v/>
      </c>
      <c r="V876" s="493" t="str">
        <f>IF(ISNUMBER('Model_ of_individuals'!V896), 'Model_ of_individuals'!V896*'Model_ of_individuals'!$K896,"")</f>
        <v/>
      </c>
      <c r="W876" s="493" t="str">
        <f>IF(ISNUMBER('Model_ of_individuals'!W896), 'Model_ of_individuals'!W896*'Model_ of_individuals'!$K896,"")</f>
        <v/>
      </c>
      <c r="X876" s="493" t="str">
        <f>IF(ISNUMBER('Model_ of_individuals'!X896), 'Model_ of_individuals'!X896*'Model_ of_individuals'!$K896,"")</f>
        <v/>
      </c>
      <c r="Y876" s="493" t="str">
        <f>IF(ISNUMBER('Model_ of_individuals'!Y896), 'Model_ of_individuals'!Y896*'Model_ of_individuals'!$K896,"")</f>
        <v/>
      </c>
      <c r="Z876" s="493" t="str">
        <f>IF(ISNUMBER('Model_ of_individuals'!Z896), 'Model_ of_individuals'!Z896*'Model_ of_individuals'!$K896,"")</f>
        <v/>
      </c>
      <c r="AA876" s="493" t="str">
        <f>IF(ISNUMBER('Model_ of_individuals'!AA896), 'Model_ of_individuals'!AA896*'Model_ of_individuals'!$K896,"")</f>
        <v/>
      </c>
      <c r="AB876" s="493" t="str">
        <f>IF(ISNUMBER('Model_ of_individuals'!AB896), 'Model_ of_individuals'!AB896*'Model_ of_individuals'!$K896,"")</f>
        <v/>
      </c>
    </row>
    <row r="877" spans="1:28" x14ac:dyDescent="0.25">
      <c r="A877" s="518"/>
      <c r="B877" s="504"/>
      <c r="C877" s="107" t="str">
        <f>IF(AND(ISNUMBER(B844), C873&lt;&gt;"", OR('Cost Inputs'!$H$202&lt;&gt;"", 'Cost Inputs'!$I$202&lt;&gt;"", 'Cost Inputs'!$J$202&lt;&gt;"")), _6_5_2, "")</f>
        <v/>
      </c>
      <c r="D877" s="93" t="str">
        <f>IF(AND(C877&lt;&gt;"", 'Cost Inputs'!$G$202&lt;&gt;""), 'Cost Inputs'!$G$202, "")</f>
        <v/>
      </c>
      <c r="E877" s="93" t="str">
        <f>IF(AND(C877&lt;&gt;"", 'Cost Inputs'!$H$202&lt;&gt;""), 'Cost Inputs'!$H$202, "")</f>
        <v/>
      </c>
      <c r="F877" s="93" t="str">
        <f>IF(AND(C877&lt;&gt;"", 'Cost Inputs'!$I$202&lt;&gt;""), 'Cost Inputs'!$I$202, "")</f>
        <v/>
      </c>
      <c r="G877" s="108" t="str">
        <f t="shared" si="79"/>
        <v/>
      </c>
      <c r="H877" s="93" t="str">
        <f>IF(AND(C877&lt;&gt;"", 'Cost Inputs'!$J$202&lt;&gt;""), 'Cost Inputs'!$J$202, "")</f>
        <v/>
      </c>
      <c r="I877" s="93" t="str">
        <f>IF($C877&lt;&gt;"", IF(AND($E877&lt;&gt;"", H877&lt;&gt;""), H877/$E877, 0),"")</f>
        <v/>
      </c>
      <c r="J877" s="93" t="str">
        <f>IF(AND(C877&lt;&gt;"",('Cost Inputs'!$I$202+'Cost Inputs'!$J$202+'Cost Inputs'!$K$202)&gt;0), 'Cost Inputs'!$I$202+'Cost Inputs'!$J$202+'Cost Inputs'!$K$202, "")</f>
        <v/>
      </c>
      <c r="K877" s="93" t="str">
        <f>IF($C877&lt;&gt;"", IF(AND($E877&lt;&gt;"", J877&lt;&gt;""), J877/$E877, 0),"")</f>
        <v/>
      </c>
      <c r="L877" s="93"/>
      <c r="M877" s="109"/>
      <c r="S877" s="93" t="str">
        <f>IF(ISNUMBER('Model_ of_individuals'!S897), 'Model_ of_individuals'!S897*'Model_ of_individuals'!$K897,"")</f>
        <v/>
      </c>
      <c r="T877" s="93" t="str">
        <f>IF(ISNUMBER('Model_ of_individuals'!T897), 'Model_ of_individuals'!T897*'Model_ of_individuals'!$K897,"")</f>
        <v/>
      </c>
      <c r="U877" s="93" t="str">
        <f>IF(ISNUMBER('Model_ of_individuals'!U897), 'Model_ of_individuals'!U897*'Model_ of_individuals'!$K897,"")</f>
        <v/>
      </c>
      <c r="V877" s="93" t="str">
        <f>IF(ISNUMBER('Model_ of_individuals'!V897), 'Model_ of_individuals'!V897*'Model_ of_individuals'!$K897,"")</f>
        <v/>
      </c>
      <c r="W877" s="93" t="str">
        <f>IF(ISNUMBER('Model_ of_individuals'!W897), 'Model_ of_individuals'!W897*'Model_ of_individuals'!$K897,"")</f>
        <v/>
      </c>
      <c r="X877" s="93" t="str">
        <f>IF(ISNUMBER('Model_ of_individuals'!X897), 'Model_ of_individuals'!X897*'Model_ of_individuals'!$K897,"")</f>
        <v/>
      </c>
      <c r="Y877" s="93" t="str">
        <f>IF(ISNUMBER('Model_ of_individuals'!Y897), 'Model_ of_individuals'!Y897*'Model_ of_individuals'!$K897,"")</f>
        <v/>
      </c>
      <c r="Z877" s="93" t="str">
        <f>IF(ISNUMBER('Model_ of_individuals'!Z897), 'Model_ of_individuals'!Z897*'Model_ of_individuals'!$K897,"")</f>
        <v/>
      </c>
      <c r="AA877" s="93" t="str">
        <f>IF(ISNUMBER('Model_ of_individuals'!AA897), 'Model_ of_individuals'!AA897*'Model_ of_individuals'!$K897,"")</f>
        <v/>
      </c>
      <c r="AB877" s="93" t="str">
        <f>IF(ISNUMBER('Model_ of_individuals'!AB897), 'Model_ of_individuals'!AB897*'Model_ of_individuals'!$K897,"")</f>
        <v/>
      </c>
    </row>
    <row r="878" spans="1:28" x14ac:dyDescent="0.25">
      <c r="A878" s="518"/>
      <c r="B878" s="504"/>
      <c r="C878" s="104" t="str">
        <f>IF(AND(ISNUMBER(B844), C873&lt;&gt;"", OR('Cost Inputs'!$H$203&lt;&gt;"", 'Cost Inputs'!$I$203&lt;&gt;"", 'Cost Inputs'!$J$203&lt;&gt;"")), _6_5_3, "")</f>
        <v/>
      </c>
      <c r="D878" s="17" t="str">
        <f>IF(AND(C878&lt;&gt;"", 'Cost Inputs'!$G$203&lt;&gt;""), 'Cost Inputs'!$G$203, "")</f>
        <v/>
      </c>
      <c r="E878" s="17" t="str">
        <f>IF(AND(C878&lt;&gt;"", 'Cost Inputs'!$H$203&lt;&gt;""), 'Cost Inputs'!$H$203, "")</f>
        <v/>
      </c>
      <c r="F878" s="17" t="str">
        <f>IF(AND(C878&lt;&gt;"", 'Cost Inputs'!$I$203&lt;&gt;""), 'Cost Inputs'!$I$203, "")</f>
        <v/>
      </c>
      <c r="G878" s="105" t="str">
        <f t="shared" si="79"/>
        <v/>
      </c>
      <c r="H878" s="17" t="str">
        <f>IF(AND(C878&lt;&gt;"", 'Cost Inputs'!$J$203&lt;&gt;""), 'Cost Inputs'!$J$203, "")</f>
        <v/>
      </c>
      <c r="I878" s="17" t="str">
        <f>IF($C878&lt;&gt;"", IF(AND($E878&lt;&gt;"", H878&lt;&gt;""), H878/$E878, 0),"")</f>
        <v/>
      </c>
      <c r="J878" s="17" t="str">
        <f>IF(AND(C878&lt;&gt;"",('Cost Inputs'!$I$203+'Cost Inputs'!$J$203+'Cost Inputs'!$K$203)&gt;0), 'Cost Inputs'!$I$203+'Cost Inputs'!$J$203+'Cost Inputs'!$K$203, "")</f>
        <v/>
      </c>
      <c r="K878" s="17" t="str">
        <f>IF($C878&lt;&gt;"", IF(AND($E878&lt;&gt;"", J878&lt;&gt;""), J878/$E878, 0),"")</f>
        <v/>
      </c>
      <c r="M878" s="106"/>
      <c r="S878" s="17" t="str">
        <f>IF(ISNUMBER('Model_ of_individuals'!S898), 'Model_ of_individuals'!S898*'Model_ of_individuals'!$K898,"")</f>
        <v/>
      </c>
      <c r="T878" s="17" t="str">
        <f>IF(ISNUMBER('Model_ of_individuals'!T898), 'Model_ of_individuals'!T898*'Model_ of_individuals'!$K898,"")</f>
        <v/>
      </c>
      <c r="U878" s="17" t="str">
        <f>IF(ISNUMBER('Model_ of_individuals'!U898), 'Model_ of_individuals'!U898*'Model_ of_individuals'!$K898,"")</f>
        <v/>
      </c>
      <c r="V878" s="17" t="str">
        <f>IF(ISNUMBER('Model_ of_individuals'!V898), 'Model_ of_individuals'!V898*'Model_ of_individuals'!$K898,"")</f>
        <v/>
      </c>
      <c r="W878" s="17" t="str">
        <f>IF(ISNUMBER('Model_ of_individuals'!W898), 'Model_ of_individuals'!W898*'Model_ of_individuals'!$K898,"")</f>
        <v/>
      </c>
      <c r="X878" s="17" t="str">
        <f>IF(ISNUMBER('Model_ of_individuals'!X898), 'Model_ of_individuals'!X898*'Model_ of_individuals'!$K898,"")</f>
        <v/>
      </c>
      <c r="Y878" s="17" t="str">
        <f>IF(ISNUMBER('Model_ of_individuals'!Y898), 'Model_ of_individuals'!Y898*'Model_ of_individuals'!$K898,"")</f>
        <v/>
      </c>
      <c r="Z878" s="17" t="str">
        <f>IF(ISNUMBER('Model_ of_individuals'!Z898), 'Model_ of_individuals'!Z898*'Model_ of_individuals'!$K898,"")</f>
        <v/>
      </c>
      <c r="AA878" s="17" t="str">
        <f>IF(ISNUMBER('Model_ of_individuals'!AA898), 'Model_ of_individuals'!AA898*'Model_ of_individuals'!$K898,"")</f>
        <v/>
      </c>
      <c r="AB878" s="17" t="str">
        <f>IF(ISNUMBER('Model_ of_individuals'!AB898), 'Model_ of_individuals'!AB898*'Model_ of_individuals'!$K898,"")</f>
        <v/>
      </c>
    </row>
    <row r="879" spans="1:28" x14ac:dyDescent="0.25">
      <c r="A879" s="518"/>
      <c r="B879" s="504"/>
      <c r="C879" s="107" t="str">
        <f>IF(AND(ISNUMBER(B844), C873&lt;&gt;"", OR('Cost Inputs'!$H$204&lt;&gt;"", 'Cost Inputs'!$I$204&lt;&gt;"", 'Cost Inputs'!$J$204&lt;&gt;"")), _6_5_4, "")</f>
        <v/>
      </c>
      <c r="D879" s="93" t="str">
        <f>IF(AND(C879&lt;&gt;"", 'Cost Inputs'!$G$204&lt;&gt;""), 'Cost Inputs'!$G$204, "")</f>
        <v/>
      </c>
      <c r="E879" s="93" t="str">
        <f>IF(AND(C879&lt;&gt;"", 'Cost Inputs'!$H$204&lt;&gt;""), 'Cost Inputs'!$H$204, "")</f>
        <v/>
      </c>
      <c r="F879" s="93" t="str">
        <f>IF(AND(C879&lt;&gt;"", 'Cost Inputs'!$I$204&lt;&gt;""), 'Cost Inputs'!$I$204, "")</f>
        <v/>
      </c>
      <c r="G879" s="108" t="str">
        <f t="shared" si="79"/>
        <v/>
      </c>
      <c r="H879" s="93" t="str">
        <f>IF(AND(C879&lt;&gt;"", 'Cost Inputs'!$J$204&lt;&gt;""), 'Cost Inputs'!$J$204, "")</f>
        <v/>
      </c>
      <c r="I879" s="93" t="str">
        <f>IF($C879&lt;&gt;"", IF(AND($E879&lt;&gt;"", H879&lt;&gt;""), H879/$E879, 0),"")</f>
        <v/>
      </c>
      <c r="J879" s="93" t="str">
        <f>IF(AND(C879&lt;&gt;"",('Cost Inputs'!$I$204+'Cost Inputs'!$J$204+'Cost Inputs'!$K$204)&gt;0), 'Cost Inputs'!$I$204+'Cost Inputs'!$J$204+'Cost Inputs'!$K$204, "")</f>
        <v/>
      </c>
      <c r="K879" s="93" t="str">
        <f>IF($C879&lt;&gt;"", IF(AND($E879&lt;&gt;"", J879&lt;&gt;""), J879/$E879, 0),"")</f>
        <v/>
      </c>
      <c r="L879" s="93"/>
      <c r="M879" s="109"/>
      <c r="S879" s="93" t="str">
        <f>IF(ISNUMBER('Model_ of_individuals'!S899), 'Model_ of_individuals'!S899*'Model_ of_individuals'!$K899,"")</f>
        <v/>
      </c>
      <c r="T879" s="93" t="str">
        <f>IF(ISNUMBER('Model_ of_individuals'!T899), 'Model_ of_individuals'!T899*'Model_ of_individuals'!$K899,"")</f>
        <v/>
      </c>
      <c r="U879" s="93" t="str">
        <f>IF(ISNUMBER('Model_ of_individuals'!U899), 'Model_ of_individuals'!U899*'Model_ of_individuals'!$K899,"")</f>
        <v/>
      </c>
      <c r="V879" s="93" t="str">
        <f>IF(ISNUMBER('Model_ of_individuals'!V899), 'Model_ of_individuals'!V899*'Model_ of_individuals'!$K899,"")</f>
        <v/>
      </c>
      <c r="W879" s="93" t="str">
        <f>IF(ISNUMBER('Model_ of_individuals'!W899), 'Model_ of_individuals'!W899*'Model_ of_individuals'!$K899,"")</f>
        <v/>
      </c>
      <c r="X879" s="93" t="str">
        <f>IF(ISNUMBER('Model_ of_individuals'!X899), 'Model_ of_individuals'!X899*'Model_ of_individuals'!$K899,"")</f>
        <v/>
      </c>
      <c r="Y879" s="93" t="str">
        <f>IF(ISNUMBER('Model_ of_individuals'!Y899), 'Model_ of_individuals'!Y899*'Model_ of_individuals'!$K899,"")</f>
        <v/>
      </c>
      <c r="Z879" s="93" t="str">
        <f>IF(ISNUMBER('Model_ of_individuals'!Z899), 'Model_ of_individuals'!Z899*'Model_ of_individuals'!$K899,"")</f>
        <v/>
      </c>
      <c r="AA879" s="93" t="str">
        <f>IF(ISNUMBER('Model_ of_individuals'!AA899), 'Model_ of_individuals'!AA899*'Model_ of_individuals'!$K899,"")</f>
        <v/>
      </c>
      <c r="AB879" s="93" t="str">
        <f>IF(ISNUMBER('Model_ of_individuals'!AB899), 'Model_ of_individuals'!AB899*'Model_ of_individuals'!$K899,"")</f>
        <v/>
      </c>
    </row>
    <row r="880" spans="1:28" x14ac:dyDescent="0.25">
      <c r="A880" s="518"/>
      <c r="B880" s="504"/>
      <c r="C880" s="104" t="str">
        <f>IF(AND(ISNUMBER(B844), C873&lt;&gt;"", OR('Cost Inputs'!$H$205&lt;&gt;"", 'Cost Inputs'!$I$205&lt;&gt;"", 'Cost Inputs'!$J$205&lt;&gt;"")), _6_5_5, "")</f>
        <v/>
      </c>
      <c r="D880" s="17" t="str">
        <f>IF(AND(C880&lt;&gt;"", 'Cost Inputs'!$G$205&lt;&gt;""), 'Cost Inputs'!$G$205, "")</f>
        <v/>
      </c>
      <c r="E880" s="17" t="str">
        <f>IF(AND(C880&lt;&gt;"", 'Cost Inputs'!$H$205&lt;&gt;""), 'Cost Inputs'!$H$205, "")</f>
        <v/>
      </c>
      <c r="F880" s="17" t="str">
        <f>IF(AND(C880&lt;&gt;"", 'Cost Inputs'!$I$205&lt;&gt;""), 'Cost Inputs'!$I$205, "")</f>
        <v/>
      </c>
      <c r="G880" s="105" t="str">
        <f t="shared" si="79"/>
        <v/>
      </c>
      <c r="H880" s="17" t="str">
        <f>IF(AND(C880&lt;&gt;"", 'Cost Inputs'!$J$205&lt;&gt;""), 'Cost Inputs'!$J$205, "")</f>
        <v/>
      </c>
      <c r="I880" s="17" t="str">
        <f>IF($C880&lt;&gt;"", IF(AND($E880&lt;&gt;"", H880&lt;&gt;""), H880/$E880, 0),"")</f>
        <v/>
      </c>
      <c r="J880" s="17" t="str">
        <f>IF(AND(C880&lt;&gt;"",('Cost Inputs'!$I$205+'Cost Inputs'!$J$205+'Cost Inputs'!$K$205)&gt;0), 'Cost Inputs'!$I$205+'Cost Inputs'!$J$205+'Cost Inputs'!$K$205, "")</f>
        <v/>
      </c>
      <c r="K880" s="17" t="str">
        <f>IF($C880&lt;&gt;"", IF(AND($E880&lt;&gt;"", J880&lt;&gt;""), J880/$E880, 0),"")</f>
        <v/>
      </c>
      <c r="M880" s="106"/>
      <c r="S880" s="17" t="str">
        <f>IF(ISNUMBER('Model_ of_individuals'!S900), 'Model_ of_individuals'!S900*'Model_ of_individuals'!$K900,"")</f>
        <v/>
      </c>
      <c r="T880" s="17" t="str">
        <f>IF(ISNUMBER('Model_ of_individuals'!T900), 'Model_ of_individuals'!T900*'Model_ of_individuals'!$K900,"")</f>
        <v/>
      </c>
      <c r="U880" s="17" t="str">
        <f>IF(ISNUMBER('Model_ of_individuals'!U900), 'Model_ of_individuals'!U900*'Model_ of_individuals'!$K900,"")</f>
        <v/>
      </c>
      <c r="V880" s="17" t="str">
        <f>IF(ISNUMBER('Model_ of_individuals'!V900), 'Model_ of_individuals'!V900*'Model_ of_individuals'!$K900,"")</f>
        <v/>
      </c>
      <c r="W880" s="17" t="str">
        <f>IF(ISNUMBER('Model_ of_individuals'!W900), 'Model_ of_individuals'!W900*'Model_ of_individuals'!$K900,"")</f>
        <v/>
      </c>
      <c r="X880" s="17" t="str">
        <f>IF(ISNUMBER('Model_ of_individuals'!X900), 'Model_ of_individuals'!X900*'Model_ of_individuals'!$K900,"")</f>
        <v/>
      </c>
      <c r="Y880" s="17" t="str">
        <f>IF(ISNUMBER('Model_ of_individuals'!Y900), 'Model_ of_individuals'!Y900*'Model_ of_individuals'!$K900,"")</f>
        <v/>
      </c>
      <c r="Z880" s="17" t="str">
        <f>IF(ISNUMBER('Model_ of_individuals'!Z900), 'Model_ of_individuals'!Z900*'Model_ of_individuals'!$K900,"")</f>
        <v/>
      </c>
      <c r="AA880" s="17" t="str">
        <f>IF(ISNUMBER('Model_ of_individuals'!AA900), 'Model_ of_individuals'!AA900*'Model_ of_individuals'!$K900,"")</f>
        <v/>
      </c>
      <c r="AB880" s="17" t="str">
        <f>IF(ISNUMBER('Model_ of_individuals'!AB900), 'Model_ of_individuals'!AB900*'Model_ of_individuals'!$K900,"")</f>
        <v/>
      </c>
    </row>
    <row r="881" spans="1:29" x14ac:dyDescent="0.25">
      <c r="A881" s="518"/>
      <c r="B881" s="504"/>
      <c r="C881" s="110" t="str">
        <f>IF(ISNUMBER(B844), _6_6_0, "")</f>
        <v/>
      </c>
      <c r="D881" s="94" t="str">
        <f>IF(AND(C881&lt;&gt;"", 'Cost Inputs'!$G$206&lt;&gt;""), 'Cost Inputs'!$G$206, "")</f>
        <v/>
      </c>
      <c r="E881" s="94" t="str">
        <f>IF(AND(C881&lt;&gt;"", 'Cost Inputs'!$H$206&lt;&gt;""), 'Cost Inputs'!$H$206, "")</f>
        <v/>
      </c>
      <c r="F881" s="94" t="str">
        <f>IF(AND(C881&lt;&gt;"", 'Cost Inputs'!$I$206&lt;&gt;""), 'Cost Inputs'!$I$206, "")</f>
        <v/>
      </c>
      <c r="G881" s="102" t="str">
        <f t="shared" si="79"/>
        <v/>
      </c>
      <c r="H881" s="94" t="str">
        <f>IF(AND(C881&lt;&gt;"", 'Cost Inputs'!$J$206&lt;&gt;""), 'Cost Inputs'!$J$206, "")</f>
        <v/>
      </c>
      <c r="I881" s="102" t="str">
        <f>IF($C881&lt;&gt;"",IF(AND($E881&lt;&gt;"",H881&lt;&gt;""), H881/$E881, 0),"")</f>
        <v/>
      </c>
      <c r="J881" s="94" t="str">
        <f>IF(AND(C881&lt;&gt;"",('Cost Inputs'!$I$206+'Cost Inputs'!$J$206+'Cost Inputs'!$K$206)&gt;0), 'Cost Inputs'!$I$206+'Cost Inputs'!$J$206+'Cost Inputs'!$K$206, "")</f>
        <v/>
      </c>
      <c r="K881" s="102" t="str">
        <f>IF($C881&lt;&gt;"",IF(AND($E881&lt;&gt;"",J881&lt;&gt;""), J881/$E881, 0),"")</f>
        <v/>
      </c>
      <c r="L881" s="94"/>
      <c r="M881" s="103"/>
      <c r="S881" s="94" t="str">
        <f>IF(ISNUMBER('Model_ of_individuals'!S901), 'Model_ of_individuals'!S901*'Model_ of_individuals'!$K901,"")</f>
        <v/>
      </c>
      <c r="T881" s="94" t="str">
        <f>IF(ISNUMBER('Model_ of_individuals'!T901), 'Model_ of_individuals'!T901*'Model_ of_individuals'!$K901,"")</f>
        <v/>
      </c>
      <c r="U881" s="94" t="str">
        <f>IF(ISNUMBER('Model_ of_individuals'!U901), 'Model_ of_individuals'!U901*'Model_ of_individuals'!$K901,"")</f>
        <v/>
      </c>
      <c r="V881" s="94" t="str">
        <f>IF(ISNUMBER('Model_ of_individuals'!V901), 'Model_ of_individuals'!V901*'Model_ of_individuals'!$K901,"")</f>
        <v/>
      </c>
      <c r="W881" s="94" t="str">
        <f>IF(ISNUMBER('Model_ of_individuals'!W901), 'Model_ of_individuals'!W901*'Model_ of_individuals'!$K901,"")</f>
        <v/>
      </c>
      <c r="X881" s="94" t="str">
        <f>IF(ISNUMBER('Model_ of_individuals'!X901), 'Model_ of_individuals'!X901*'Model_ of_individuals'!$K901,"")</f>
        <v/>
      </c>
      <c r="Y881" s="94" t="str">
        <f>IF(ISNUMBER('Model_ of_individuals'!Y901), 'Model_ of_individuals'!Y901*'Model_ of_individuals'!$K901,"")</f>
        <v/>
      </c>
      <c r="Z881" s="94" t="str">
        <f>IF(ISNUMBER('Model_ of_individuals'!Z901), 'Model_ of_individuals'!Z901*'Model_ of_individuals'!$K901,"")</f>
        <v/>
      </c>
      <c r="AA881" s="94" t="str">
        <f>IF(ISNUMBER('Model_ of_individuals'!AA901), 'Model_ of_individuals'!AA901*'Model_ of_individuals'!$K901,"")</f>
        <v/>
      </c>
      <c r="AB881" s="94" t="str">
        <f>IF(ISNUMBER('Model_ of_individuals'!AB901), 'Model_ of_individuals'!AB901*'Model_ of_individuals'!$K901,"")</f>
        <v/>
      </c>
    </row>
    <row r="882" spans="1:29" x14ac:dyDescent="0.25">
      <c r="A882" s="518"/>
      <c r="B882" s="504"/>
      <c r="C882" s="104" t="str">
        <f>IF(AND(ISNUMBER(B844), OR('Cost Inputs'!$H$207&lt;&gt;"", 'Cost Inputs'!$I$207&lt;&gt;"", 'Cost Inputs'!$J$207&lt;&gt;"")), _6_6_1, "")</f>
        <v/>
      </c>
      <c r="D882" s="17" t="str">
        <f>IF(AND(C882&lt;&gt;"", 'Cost Inputs'!$G$207&lt;&gt;""), 'Cost Inputs'!$G$207, "")</f>
        <v/>
      </c>
      <c r="E882" s="17" t="str">
        <f>IF(AND(C882&lt;&gt;"", 'Cost Inputs'!$H$207&lt;&gt;""), 'Cost Inputs'!$H$207, "")</f>
        <v/>
      </c>
      <c r="F882" s="17" t="str">
        <f>IF(AND(C882&lt;&gt;"", 'Cost Inputs'!$I$207&lt;&gt;""), 'Cost Inputs'!$I$207, "")</f>
        <v/>
      </c>
      <c r="G882" s="105" t="str">
        <f t="shared" si="79"/>
        <v/>
      </c>
      <c r="H882" s="17" t="str">
        <f>IF(AND(C882&lt;&gt;"", 'Cost Inputs'!$J$207&lt;&gt;""), 'Cost Inputs'!$J$207, "")</f>
        <v/>
      </c>
      <c r="I882" s="17" t="str">
        <f>IF($C882&lt;&gt;"", IF(AND($E882&lt;&gt;"", H882&lt;&gt;""), H882/$E882, 0),"")</f>
        <v/>
      </c>
      <c r="J882" s="17" t="str">
        <f>IF(AND(C882&lt;&gt;"",('Cost Inputs'!$I$207+'Cost Inputs'!$J$207+'Cost Inputs'!$K$207)&gt;0), 'Cost Inputs'!$I$207+'Cost Inputs'!$J$207+'Cost Inputs'!$K$207, "")</f>
        <v/>
      </c>
      <c r="K882" s="17" t="str">
        <f>IF($C882&lt;&gt;"", IF(AND($E882&lt;&gt;"", J882&lt;&gt;""), J882/$E882, 0),"")</f>
        <v/>
      </c>
      <c r="M882" s="106"/>
      <c r="S882" s="17" t="str">
        <f>IF(ISNUMBER('Model_ of_individuals'!S902), 'Model_ of_individuals'!S902*'Model_ of_individuals'!$K902,"")</f>
        <v/>
      </c>
      <c r="T882" s="17" t="str">
        <f>IF(ISNUMBER('Model_ of_individuals'!T902), 'Model_ of_individuals'!T902*'Model_ of_individuals'!$K902,"")</f>
        <v/>
      </c>
      <c r="U882" s="17" t="str">
        <f>IF(ISNUMBER('Model_ of_individuals'!U902), 'Model_ of_individuals'!U902*'Model_ of_individuals'!$K902,"")</f>
        <v/>
      </c>
      <c r="V882" s="17" t="str">
        <f>IF(ISNUMBER('Model_ of_individuals'!V902), 'Model_ of_individuals'!V902*'Model_ of_individuals'!$K902,"")</f>
        <v/>
      </c>
      <c r="W882" s="17" t="str">
        <f>IF(ISNUMBER('Model_ of_individuals'!W902), 'Model_ of_individuals'!W902*'Model_ of_individuals'!$K902,"")</f>
        <v/>
      </c>
      <c r="X882" s="17" t="str">
        <f>IF(ISNUMBER('Model_ of_individuals'!X902), 'Model_ of_individuals'!X902*'Model_ of_individuals'!$K902,"")</f>
        <v/>
      </c>
      <c r="Y882" s="17" t="str">
        <f>IF(ISNUMBER('Model_ of_individuals'!Y902), 'Model_ of_individuals'!Y902*'Model_ of_individuals'!$K902,"")</f>
        <v/>
      </c>
      <c r="Z882" s="17" t="str">
        <f>IF(ISNUMBER('Model_ of_individuals'!Z902), 'Model_ of_individuals'!Z902*'Model_ of_individuals'!$K902,"")</f>
        <v/>
      </c>
      <c r="AA882" s="17" t="str">
        <f>IF(ISNUMBER('Model_ of_individuals'!AA902), 'Model_ of_individuals'!AA902*'Model_ of_individuals'!$K902,"")</f>
        <v/>
      </c>
      <c r="AB882" s="17" t="str">
        <f>IF(ISNUMBER('Model_ of_individuals'!AB902), 'Model_ of_individuals'!AB902*'Model_ of_individuals'!$K902,"")</f>
        <v/>
      </c>
    </row>
    <row r="883" spans="1:29" ht="15.75" thickBot="1" x14ac:dyDescent="0.3">
      <c r="A883" s="518"/>
      <c r="B883" s="505"/>
      <c r="C883" s="111" t="str">
        <f>IF(AND(ISNUMBER(B844), OR('Cost Inputs'!$H$208&lt;&gt;"", 'Cost Inputs'!$I$208&lt;&gt;"", 'Cost Inputs'!$J$208&lt;&gt;"")), _6_6_2, "")</f>
        <v/>
      </c>
      <c r="D883" s="95" t="str">
        <f>IF(AND(C883&lt;&gt;"", 'Cost Inputs'!$G$208&lt;&gt;""), 'Cost Inputs'!$G$208, "")</f>
        <v/>
      </c>
      <c r="E883" s="95" t="str">
        <f>IF(AND(C883&lt;&gt;"", 'Cost Inputs'!$H$208&lt;&gt;""), 'Cost Inputs'!$H$208, "")</f>
        <v/>
      </c>
      <c r="F883" s="95" t="str">
        <f>IF(AND(C883&lt;&gt;"", 'Cost Inputs'!$I$208&lt;&gt;""), 'Cost Inputs'!$I$208, "")</f>
        <v/>
      </c>
      <c r="G883" s="112" t="str">
        <f t="shared" si="79"/>
        <v/>
      </c>
      <c r="H883" s="95" t="str">
        <f>IF(AND(C883&lt;&gt;"", 'Cost Inputs'!$J$208&lt;&gt;""), 'Cost Inputs'!$J$208, "")</f>
        <v/>
      </c>
      <c r="I883" s="95" t="str">
        <f>IF($C883&lt;&gt;"", IF(AND($E883&lt;&gt;"", H883&lt;&gt;""), H883/$E883, 0),"")</f>
        <v/>
      </c>
      <c r="J883" s="95" t="str">
        <f>IF(AND(C883&lt;&gt;"",('Cost Inputs'!$I$208+'Cost Inputs'!$J$208+'Cost Inputs'!$K$208)&gt;0), 'Cost Inputs'!$I$208+'Cost Inputs'!$J$208+'Cost Inputs'!$K$208, "")</f>
        <v/>
      </c>
      <c r="K883" s="95" t="str">
        <f>IF($C883&lt;&gt;"", IF(AND($E883&lt;&gt;"", J883&lt;&gt;""), J883/$E883, 0),"")</f>
        <v/>
      </c>
      <c r="L883" s="95"/>
      <c r="M883" s="113"/>
      <c r="S883" s="95" t="str">
        <f>IF(ISNUMBER('Model_ of_individuals'!S903), 'Model_ of_individuals'!S903*'Model_ of_individuals'!$K903,"")</f>
        <v/>
      </c>
      <c r="T883" s="95" t="str">
        <f>IF(ISNUMBER('Model_ of_individuals'!T903), 'Model_ of_individuals'!T903*'Model_ of_individuals'!$K903,"")</f>
        <v/>
      </c>
      <c r="U883" s="95" t="str">
        <f>IF(ISNUMBER('Model_ of_individuals'!U903), 'Model_ of_individuals'!U903*'Model_ of_individuals'!$K903,"")</f>
        <v/>
      </c>
      <c r="V883" s="95" t="str">
        <f>IF(ISNUMBER('Model_ of_individuals'!V903), 'Model_ of_individuals'!V903*'Model_ of_individuals'!$K903,"")</f>
        <v/>
      </c>
      <c r="W883" s="95" t="str">
        <f>IF(ISNUMBER('Model_ of_individuals'!W903), 'Model_ of_individuals'!W903*'Model_ of_individuals'!$K903,"")</f>
        <v/>
      </c>
      <c r="X883" s="95" t="str">
        <f>IF(ISNUMBER('Model_ of_individuals'!X903), 'Model_ of_individuals'!X903*'Model_ of_individuals'!$K903,"")</f>
        <v/>
      </c>
      <c r="Y883" s="95" t="str">
        <f>IF(ISNUMBER('Model_ of_individuals'!Y903), 'Model_ of_individuals'!Y903*'Model_ of_individuals'!$K903,"")</f>
        <v/>
      </c>
      <c r="Z883" s="95" t="str">
        <f>IF(ISNUMBER('Model_ of_individuals'!Z903), 'Model_ of_individuals'!Z903*'Model_ of_individuals'!$K903,"")</f>
        <v/>
      </c>
      <c r="AA883" s="95" t="str">
        <f>IF(ISNUMBER('Model_ of_individuals'!AA903), 'Model_ of_individuals'!AA903*'Model_ of_individuals'!$K903,"")</f>
        <v/>
      </c>
      <c r="AB883" s="95" t="str">
        <f>IF(ISNUMBER('Model_ of_individuals'!AB903), 'Model_ of_individuals'!AB903*'Model_ of_individuals'!$K903,"")</f>
        <v/>
      </c>
    </row>
    <row r="884" spans="1:29" x14ac:dyDescent="0.25">
      <c r="A884" s="518" t="str">
        <f>Sixth_Stage</f>
        <v>Stage 4 Grower Trials</v>
      </c>
      <c r="B884" s="503" t="str">
        <f>'Breeding Inputs'!B118</f>
        <v/>
      </c>
      <c r="C884" s="521" t="str">
        <f>IF(ISNUMBER(B866), _6_3_0, "")</f>
        <v/>
      </c>
      <c r="D884" s="94" t="str">
        <f>IF(AND(C884&lt;&gt;"", 'Cost Inputs'!$G$187&lt;&gt;""), 'Cost Inputs'!$G$187, "")</f>
        <v/>
      </c>
      <c r="E884" s="94" t="str">
        <f>IF(AND(C884&lt;&gt;"", 'Cost Inputs'!$H$187&lt;&gt;""), 'Cost Inputs'!$H$187, "")</f>
        <v/>
      </c>
      <c r="F884" s="492" t="str">
        <f>IF(AND(C884&lt;&gt;"", 'Cost Inputs'!$I$187&lt;&gt;""), 'Cost Inputs'!$I$187, "")</f>
        <v/>
      </c>
      <c r="G884" s="102" t="str">
        <f t="shared" si="79"/>
        <v/>
      </c>
      <c r="H884" s="492" t="str">
        <f>IF(AND(C884&lt;&gt;"", 'Cost Inputs'!$J$187&lt;&gt;""), 'Cost Inputs'!$J$187, "")</f>
        <v/>
      </c>
      <c r="I884" s="102" t="str">
        <f>IF($C884&lt;&gt;"",IF(AND($E884&lt;&gt;"",H884&lt;&gt;""), H884/$E884, 0),"")</f>
        <v/>
      </c>
      <c r="J884" s="492" t="str">
        <f>IF(AND(C884&lt;&gt;"",('Cost Inputs'!$I$187+'Cost Inputs'!$J$187+'Cost Inputs'!$K$187)&gt;0), 'Cost Inputs'!$I$187+'Cost Inputs'!$J$187+'Cost Inputs'!$K$187, "")</f>
        <v/>
      </c>
      <c r="K884" s="102" t="str">
        <f>IF($C884&lt;&gt;"",IF(AND($E884&lt;&gt;"",J884&lt;&gt;""), J884/$E884, 0),"")</f>
        <v/>
      </c>
      <c r="L884" s="94"/>
      <c r="M884" s="103"/>
      <c r="T884" s="492" t="str">
        <f>IF(ISNUMBER('Model_ of_individuals'!T904), 'Model_ of_individuals'!T904*'Model_ of_individuals'!$K904,"")</f>
        <v/>
      </c>
      <c r="U884" s="492" t="str">
        <f>IF(ISNUMBER('Model_ of_individuals'!U904), 'Model_ of_individuals'!U904*'Model_ of_individuals'!$K904,"")</f>
        <v/>
      </c>
      <c r="V884" s="492" t="str">
        <f>IF(ISNUMBER('Model_ of_individuals'!V904), 'Model_ of_individuals'!V904*'Model_ of_individuals'!$K904,"")</f>
        <v/>
      </c>
      <c r="W884" s="492" t="str">
        <f>IF(ISNUMBER('Model_ of_individuals'!W904), 'Model_ of_individuals'!W904*'Model_ of_individuals'!$K904,"")</f>
        <v/>
      </c>
      <c r="X884" s="492" t="str">
        <f>IF(ISNUMBER('Model_ of_individuals'!X904), 'Model_ of_individuals'!X904*'Model_ of_individuals'!$K904,"")</f>
        <v/>
      </c>
      <c r="Y884" s="492" t="str">
        <f>IF(ISNUMBER('Model_ of_individuals'!Y904), 'Model_ of_individuals'!Y904*'Model_ of_individuals'!$K904,"")</f>
        <v/>
      </c>
      <c r="Z884" s="492" t="str">
        <f>IF(ISNUMBER('Model_ of_individuals'!Z904), 'Model_ of_individuals'!Z904*'Model_ of_individuals'!$K904,"")</f>
        <v/>
      </c>
      <c r="AA884" s="492" t="str">
        <f>IF(ISNUMBER('Model_ of_individuals'!AA904), 'Model_ of_individuals'!AA904*'Model_ of_individuals'!$K904,"")</f>
        <v/>
      </c>
      <c r="AB884" s="492" t="str">
        <f>IF(ISNUMBER('Model_ of_individuals'!AB904), 'Model_ of_individuals'!AB904*'Model_ of_individuals'!$K904,"")</f>
        <v/>
      </c>
      <c r="AC884" s="492" t="str">
        <f>IF(ISNUMBER('Model_ of_individuals'!AC904), 'Model_ of_individuals'!AC904*'Model_ of_individuals'!$K904,"")</f>
        <v/>
      </c>
    </row>
    <row r="885" spans="1:29" x14ac:dyDescent="0.25">
      <c r="A885" s="518"/>
      <c r="B885" s="504"/>
      <c r="C885" s="521"/>
      <c r="D885" s="94" t="str">
        <f>IF(AND(C884&lt;&gt;"", 'Cost Inputs'!$G$188&lt;&gt;""), 'Cost Inputs'!$G$188, "")</f>
        <v/>
      </c>
      <c r="E885" s="94" t="str">
        <f>IF(AND(C884&lt;&gt;"", 'Cost Inputs'!$H$188&lt;&gt;""), 'Cost Inputs'!$H$188, "")</f>
        <v/>
      </c>
      <c r="F885" s="492"/>
      <c r="G885" s="102" t="str">
        <f t="shared" si="79"/>
        <v/>
      </c>
      <c r="H885" s="492"/>
      <c r="I885" s="102" t="str">
        <f>IF($C884&lt;&gt;"", IF(AND($E885&lt;&gt;"", H884&lt;&gt;""), H884/($E884*$E885), 0), "")</f>
        <v/>
      </c>
      <c r="J885" s="492" t="str">
        <f>IF(AND(C885&lt;&gt;"",('Cost Inputs'!$I$86+'Cost Inputs'!$J$86+'Cost Inputs'!$K$86)&gt;0), 'Cost Inputs'!$I$86+'Cost Inputs'!$J$86+'Cost Inputs'!$K$86, "")</f>
        <v/>
      </c>
      <c r="K885" s="102" t="str">
        <f>IF($C884&lt;&gt;"", IF(AND($E885&lt;&gt;"", J884&lt;&gt;""), J884/($E884*$E885), 0), "")</f>
        <v/>
      </c>
      <c r="L885" s="94"/>
      <c r="M885" s="103"/>
      <c r="T885" s="492" t="str">
        <f>IF(ISNUMBER('Model_ of_individuals'!T905), 'Model_ of_individuals'!T905*'Model_ of_individuals'!$K905,"")</f>
        <v/>
      </c>
      <c r="U885" s="492" t="str">
        <f>IF(ISNUMBER('Model_ of_individuals'!U905), 'Model_ of_individuals'!U905*'Model_ of_individuals'!$K905,"")</f>
        <v/>
      </c>
      <c r="V885" s="492" t="str">
        <f>IF(ISNUMBER('Model_ of_individuals'!V905), 'Model_ of_individuals'!V905*'Model_ of_individuals'!$K905,"")</f>
        <v/>
      </c>
      <c r="W885" s="492" t="str">
        <f>IF(ISNUMBER('Model_ of_individuals'!W905), 'Model_ of_individuals'!W905*'Model_ of_individuals'!$K905,"")</f>
        <v/>
      </c>
      <c r="X885" s="492" t="str">
        <f>IF(ISNUMBER('Model_ of_individuals'!X905), 'Model_ of_individuals'!X905*'Model_ of_individuals'!$K905,"")</f>
        <v/>
      </c>
      <c r="Y885" s="492" t="str">
        <f>IF(ISNUMBER('Model_ of_individuals'!Y905), 'Model_ of_individuals'!Y905*'Model_ of_individuals'!$K905,"")</f>
        <v/>
      </c>
      <c r="Z885" s="492" t="str">
        <f>IF(ISNUMBER('Model_ of_individuals'!Z905), 'Model_ of_individuals'!Z905*'Model_ of_individuals'!$K905,"")</f>
        <v/>
      </c>
      <c r="AA885" s="492" t="str">
        <f>IF(ISNUMBER('Model_ of_individuals'!AA905), 'Model_ of_individuals'!AA905*'Model_ of_individuals'!$K905,"")</f>
        <v/>
      </c>
      <c r="AB885" s="492" t="str">
        <f>IF(ISNUMBER('Model_ of_individuals'!AB905), 'Model_ of_individuals'!AB905*'Model_ of_individuals'!$K905,"")</f>
        <v/>
      </c>
      <c r="AC885" s="492" t="str">
        <f>IF(ISNUMBER('Model_ of_individuals'!AC905), 'Model_ of_individuals'!AC905*'Model_ of_individuals'!$K905,"")</f>
        <v/>
      </c>
    </row>
    <row r="886" spans="1:29" x14ac:dyDescent="0.25">
      <c r="A886" s="518"/>
      <c r="B886" s="504"/>
      <c r="C886" s="104" t="str">
        <f>IF(AND(ISNUMBER(B866), OR('Cost Inputs'!$H$189&lt;&gt;"", 'Cost Inputs'!$I$189&lt;&gt;"", 'Cost Inputs'!$J$189&lt;&gt;"")), _6_3_1, "")</f>
        <v/>
      </c>
      <c r="D886" s="17" t="str">
        <f>IF(AND(C886&lt;&gt;"", 'Cost Inputs'!$G$189&lt;&gt;""), 'Cost Inputs'!$G$189, "")</f>
        <v/>
      </c>
      <c r="E886" s="17" t="str">
        <f>IF(AND(C886&lt;&gt;"", 'Cost Inputs'!$H$189&lt;&gt;""), 'Cost Inputs'!$H$189, "")</f>
        <v/>
      </c>
      <c r="F886" s="17" t="str">
        <f>IF(AND(C886&lt;&gt;"", 'Cost Inputs'!$I$189&lt;&gt;""), 'Cost Inputs'!$I$189, "")</f>
        <v/>
      </c>
      <c r="G886" s="105" t="str">
        <f t="shared" si="79"/>
        <v/>
      </c>
      <c r="H886" s="17" t="str">
        <f>IF(AND(C886&lt;&gt;"", 'Cost Inputs'!$J$189&lt;&gt;""), 'Cost Inputs'!$J$189, "")</f>
        <v/>
      </c>
      <c r="I886" s="17" t="str">
        <f t="shared" ref="I886:I894" si="82">IF($C886&lt;&gt;"", IF(AND($E886&lt;&gt;"", H886&lt;&gt;""), H886/$E886, 0),"")</f>
        <v/>
      </c>
      <c r="J886" s="17" t="str">
        <f>IF(AND(C886&lt;&gt;"",('Cost Inputs'!$I$189+'Cost Inputs'!$J$189+'Cost Inputs'!$K$189)&gt;0), 'Cost Inputs'!$I$189+'Cost Inputs'!$J$189+'Cost Inputs'!$K$189, "")</f>
        <v/>
      </c>
      <c r="K886" s="17" t="str">
        <f t="shared" ref="K886:K894" si="83">IF($C886&lt;&gt;"", IF(AND($E886&lt;&gt;"", J886&lt;&gt;""), J886/$E886, 0),"")</f>
        <v/>
      </c>
      <c r="M886" s="106"/>
      <c r="T886" s="17" t="str">
        <f>IF(ISNUMBER('Model_ of_individuals'!T906), 'Model_ of_individuals'!T906*'Model_ of_individuals'!$K906,"")</f>
        <v/>
      </c>
      <c r="U886" s="17" t="str">
        <f>IF(ISNUMBER('Model_ of_individuals'!U906), 'Model_ of_individuals'!U906*'Model_ of_individuals'!$K906,"")</f>
        <v/>
      </c>
      <c r="V886" s="17" t="str">
        <f>IF(ISNUMBER('Model_ of_individuals'!V906), 'Model_ of_individuals'!V906*'Model_ of_individuals'!$K906,"")</f>
        <v/>
      </c>
      <c r="W886" s="17" t="str">
        <f>IF(ISNUMBER('Model_ of_individuals'!W906), 'Model_ of_individuals'!W906*'Model_ of_individuals'!$K906,"")</f>
        <v/>
      </c>
      <c r="X886" s="17" t="str">
        <f>IF(ISNUMBER('Model_ of_individuals'!X906), 'Model_ of_individuals'!X906*'Model_ of_individuals'!$K906,"")</f>
        <v/>
      </c>
      <c r="Y886" s="17" t="str">
        <f>IF(ISNUMBER('Model_ of_individuals'!Y906), 'Model_ of_individuals'!Y906*'Model_ of_individuals'!$K906,"")</f>
        <v/>
      </c>
      <c r="Z886" s="17" t="str">
        <f>IF(ISNUMBER('Model_ of_individuals'!Z906), 'Model_ of_individuals'!Z906*'Model_ of_individuals'!$K906,"")</f>
        <v/>
      </c>
      <c r="AA886" s="17" t="str">
        <f>IF(ISNUMBER('Model_ of_individuals'!AA906), 'Model_ of_individuals'!AA906*'Model_ of_individuals'!$K906,"")</f>
        <v/>
      </c>
      <c r="AB886" s="17" t="str">
        <f>IF(ISNUMBER('Model_ of_individuals'!AB906), 'Model_ of_individuals'!AB906*'Model_ of_individuals'!$K906,"")</f>
        <v/>
      </c>
      <c r="AC886" s="17" t="str">
        <f>IF(ISNUMBER('Model_ of_individuals'!AC906), 'Model_ of_individuals'!AC906*'Model_ of_individuals'!$K906,"")</f>
        <v/>
      </c>
    </row>
    <row r="887" spans="1:29" x14ac:dyDescent="0.25">
      <c r="A887" s="518"/>
      <c r="B887" s="504"/>
      <c r="C887" s="107" t="str">
        <f>IF(AND(ISNUMBER(B866), OR('Cost Inputs'!$H$190&lt;&gt;"", 'Cost Inputs'!$I$190&lt;&gt;"", 'Cost Inputs'!$J$190&lt;&gt;"")), _6_3_2, "")</f>
        <v/>
      </c>
      <c r="D887" s="93" t="str">
        <f>IF(AND(C887&lt;&gt;"", 'Cost Inputs'!$G$190&lt;&gt;""), 'Cost Inputs'!$G$190, "")</f>
        <v/>
      </c>
      <c r="E887" s="93" t="str">
        <f>IF(AND(C887&lt;&gt;"", 'Cost Inputs'!$H$190&lt;&gt;""), 'Cost Inputs'!$H$190, "")</f>
        <v/>
      </c>
      <c r="F887" s="93" t="str">
        <f>IF(AND(C887&lt;&gt;"", 'Cost Inputs'!$I$190&lt;&gt;""), 'Cost Inputs'!$I$190, "")</f>
        <v/>
      </c>
      <c r="G887" s="108" t="str">
        <f t="shared" si="79"/>
        <v/>
      </c>
      <c r="H887" s="93" t="str">
        <f>IF(AND(C887&lt;&gt;"", 'Cost Inputs'!$J$190&lt;&gt;""), 'Cost Inputs'!$J$190, "")</f>
        <v/>
      </c>
      <c r="I887" s="93" t="str">
        <f t="shared" si="82"/>
        <v/>
      </c>
      <c r="J887" s="93" t="str">
        <f>IF(AND(C887&lt;&gt;"",('Cost Inputs'!$I$190+'Cost Inputs'!$J$190+'Cost Inputs'!$K$190)&gt;0), 'Cost Inputs'!$I$190+'Cost Inputs'!$J$190+'Cost Inputs'!$K$190, "")</f>
        <v/>
      </c>
      <c r="K887" s="93" t="str">
        <f t="shared" si="83"/>
        <v/>
      </c>
      <c r="L887" s="93"/>
      <c r="M887" s="109"/>
      <c r="T887" s="93" t="str">
        <f>IF(ISNUMBER('Model_ of_individuals'!T907), 'Model_ of_individuals'!T907*'Model_ of_individuals'!$K907,"")</f>
        <v/>
      </c>
      <c r="U887" s="93" t="str">
        <f>IF(ISNUMBER('Model_ of_individuals'!U907), 'Model_ of_individuals'!U907*'Model_ of_individuals'!$K907,"")</f>
        <v/>
      </c>
      <c r="V887" s="93" t="str">
        <f>IF(ISNUMBER('Model_ of_individuals'!V907), 'Model_ of_individuals'!V907*'Model_ of_individuals'!$K907,"")</f>
        <v/>
      </c>
      <c r="W887" s="93" t="str">
        <f>IF(ISNUMBER('Model_ of_individuals'!W907), 'Model_ of_individuals'!W907*'Model_ of_individuals'!$K907,"")</f>
        <v/>
      </c>
      <c r="X887" s="93" t="str">
        <f>IF(ISNUMBER('Model_ of_individuals'!X907), 'Model_ of_individuals'!X907*'Model_ of_individuals'!$K907,"")</f>
        <v/>
      </c>
      <c r="Y887" s="93" t="str">
        <f>IF(ISNUMBER('Model_ of_individuals'!Y907), 'Model_ of_individuals'!Y907*'Model_ of_individuals'!$K907,"")</f>
        <v/>
      </c>
      <c r="Z887" s="93" t="str">
        <f>IF(ISNUMBER('Model_ of_individuals'!Z907), 'Model_ of_individuals'!Z907*'Model_ of_individuals'!$K907,"")</f>
        <v/>
      </c>
      <c r="AA887" s="93" t="str">
        <f>IF(ISNUMBER('Model_ of_individuals'!AA907), 'Model_ of_individuals'!AA907*'Model_ of_individuals'!$K907,"")</f>
        <v/>
      </c>
      <c r="AB887" s="93" t="str">
        <f>IF(ISNUMBER('Model_ of_individuals'!AB907), 'Model_ of_individuals'!AB907*'Model_ of_individuals'!$K907,"")</f>
        <v/>
      </c>
      <c r="AC887" s="93" t="str">
        <f>IF(ISNUMBER('Model_ of_individuals'!AC907), 'Model_ of_individuals'!AC907*'Model_ of_individuals'!$K907,"")</f>
        <v/>
      </c>
    </row>
    <row r="888" spans="1:29" x14ac:dyDescent="0.25">
      <c r="A888" s="518"/>
      <c r="B888" s="504"/>
      <c r="C888" s="110" t="str">
        <f>IF(ISNUMBER(B866), _6_4_0, "")</f>
        <v/>
      </c>
      <c r="D888" s="94" t="str">
        <f>IF(AND(C888&lt;&gt;"", 'Cost Inputs'!$G$191&lt;&gt;""), 'Cost Inputs'!$G$191, "")</f>
        <v/>
      </c>
      <c r="E888" s="94" t="str">
        <f>IF(AND(C888&lt;&gt;"", 'Cost Inputs'!$H$191&lt;&gt;""), 'Cost Inputs'!$H$191, "")</f>
        <v/>
      </c>
      <c r="F888" s="94" t="str">
        <f>IF(AND(C888&lt;&gt;"", 'Cost Inputs'!$I$191&lt;&gt;""), 'Cost Inputs'!$I$191, "")</f>
        <v/>
      </c>
      <c r="G888" s="102" t="str">
        <f t="shared" si="79"/>
        <v/>
      </c>
      <c r="H888" s="102" t="str">
        <f>IF(AND(C888&lt;&gt;"", 'Cost Inputs'!$J$191&lt;&gt;""), 'Cost Inputs'!$J$191, "")</f>
        <v/>
      </c>
      <c r="I888" s="102" t="str">
        <f t="shared" si="82"/>
        <v/>
      </c>
      <c r="J888" s="102" t="str">
        <f>IF(AND(C888&lt;&gt;"",('Cost Inputs'!$I$191+'Cost Inputs'!$J$191+'Cost Inputs'!$K$191)&gt;0), 'Cost Inputs'!$I$191+'Cost Inputs'!$J$191+'Cost Inputs'!$K$191, "")</f>
        <v/>
      </c>
      <c r="K888" s="102" t="str">
        <f t="shared" si="83"/>
        <v/>
      </c>
      <c r="L888" s="94"/>
      <c r="M888" s="103"/>
      <c r="T888" s="102" t="str">
        <f>IF(ISNUMBER('Model_ of_individuals'!T908), 'Model_ of_individuals'!T908*'Model_ of_individuals'!$K908,"")</f>
        <v/>
      </c>
      <c r="U888" s="102" t="str">
        <f>IF(ISNUMBER('Model_ of_individuals'!U908), 'Model_ of_individuals'!U908*'Model_ of_individuals'!$K908,"")</f>
        <v/>
      </c>
      <c r="V888" s="102" t="str">
        <f>IF(ISNUMBER('Model_ of_individuals'!V908), 'Model_ of_individuals'!V908*'Model_ of_individuals'!$K908,"")</f>
        <v/>
      </c>
      <c r="W888" s="102" t="str">
        <f>IF(ISNUMBER('Model_ of_individuals'!W908), 'Model_ of_individuals'!W908*'Model_ of_individuals'!$K908,"")</f>
        <v/>
      </c>
      <c r="X888" s="102" t="str">
        <f>IF(ISNUMBER('Model_ of_individuals'!X908), 'Model_ of_individuals'!X908*'Model_ of_individuals'!$K908,"")</f>
        <v/>
      </c>
      <c r="Y888" s="102" t="str">
        <f>IF(ISNUMBER('Model_ of_individuals'!Y908), 'Model_ of_individuals'!Y908*'Model_ of_individuals'!$K908,"")</f>
        <v/>
      </c>
      <c r="Z888" s="102" t="str">
        <f>IF(ISNUMBER('Model_ of_individuals'!Z908), 'Model_ of_individuals'!Z908*'Model_ of_individuals'!$K908,"")</f>
        <v/>
      </c>
      <c r="AA888" s="102" t="str">
        <f>IF(ISNUMBER('Model_ of_individuals'!AA908), 'Model_ of_individuals'!AA908*'Model_ of_individuals'!$K908,"")</f>
        <v/>
      </c>
      <c r="AB888" s="102" t="str">
        <f>IF(ISNUMBER('Model_ of_individuals'!AB908), 'Model_ of_individuals'!AB908*'Model_ of_individuals'!$K908,"")</f>
        <v/>
      </c>
      <c r="AC888" s="102" t="str">
        <f>IF(ISNUMBER('Model_ of_individuals'!AC908), 'Model_ of_individuals'!AC908*'Model_ of_individuals'!$K908,"")</f>
        <v/>
      </c>
    </row>
    <row r="889" spans="1:29" x14ac:dyDescent="0.25">
      <c r="A889" s="518"/>
      <c r="B889" s="504"/>
      <c r="C889" s="104" t="str">
        <f>IF(AND(ISNUMBER(B866), OR('Cost Inputs'!$H$192&lt;&gt;"", 'Cost Inputs'!$I$192&lt;&gt;"", 'Cost Inputs'!$J$192&lt;&gt;"")), _6_4_1, "")</f>
        <v/>
      </c>
      <c r="D889" s="17" t="str">
        <f>IF(AND(C889&lt;&gt;"", 'Cost Inputs'!$G$192&lt;&gt;""), 'Cost Inputs'!$G$192, "")</f>
        <v/>
      </c>
      <c r="E889" s="17" t="str">
        <f>IF(AND(C889&lt;&gt;"", 'Cost Inputs'!$H$192&lt;&gt;""), 'Cost Inputs'!$H$192, "")</f>
        <v/>
      </c>
      <c r="F889" s="17" t="str">
        <f>IF(AND(C889&lt;&gt;"", 'Cost Inputs'!$I$192&lt;&gt;""), 'Cost Inputs'!$I$192, "")</f>
        <v/>
      </c>
      <c r="G889" s="105" t="str">
        <f t="shared" si="79"/>
        <v/>
      </c>
      <c r="H889" s="17" t="str">
        <f>IF(AND(C889&lt;&gt;"", 'Cost Inputs'!$J$192&lt;&gt;""), 'Cost Inputs'!$J$192, "")</f>
        <v/>
      </c>
      <c r="I889" s="17" t="str">
        <f t="shared" si="82"/>
        <v/>
      </c>
      <c r="J889" s="17" t="str">
        <f>IF(AND(C889&lt;&gt;"",('Cost Inputs'!$I$192+'Cost Inputs'!$J$192+'Cost Inputs'!$K$192)&gt;0), 'Cost Inputs'!$I$192+'Cost Inputs'!$J$192+'Cost Inputs'!$K$192, "")</f>
        <v/>
      </c>
      <c r="K889" s="17" t="str">
        <f t="shared" si="83"/>
        <v/>
      </c>
      <c r="M889" s="106"/>
      <c r="T889" s="17" t="str">
        <f>IF(ISNUMBER('Model_ of_individuals'!T909), 'Model_ of_individuals'!T909*'Model_ of_individuals'!$K909,"")</f>
        <v/>
      </c>
      <c r="U889" s="17" t="str">
        <f>IF(ISNUMBER('Model_ of_individuals'!U909), 'Model_ of_individuals'!U909*'Model_ of_individuals'!$K909,"")</f>
        <v/>
      </c>
      <c r="V889" s="17" t="str">
        <f>IF(ISNUMBER('Model_ of_individuals'!V909), 'Model_ of_individuals'!V909*'Model_ of_individuals'!$K909,"")</f>
        <v/>
      </c>
      <c r="W889" s="17" t="str">
        <f>IF(ISNUMBER('Model_ of_individuals'!W909), 'Model_ of_individuals'!W909*'Model_ of_individuals'!$K909,"")</f>
        <v/>
      </c>
      <c r="X889" s="17" t="str">
        <f>IF(ISNUMBER('Model_ of_individuals'!X909), 'Model_ of_individuals'!X909*'Model_ of_individuals'!$K909,"")</f>
        <v/>
      </c>
      <c r="Y889" s="17" t="str">
        <f>IF(ISNUMBER('Model_ of_individuals'!Y909), 'Model_ of_individuals'!Y909*'Model_ of_individuals'!$K909,"")</f>
        <v/>
      </c>
      <c r="Z889" s="17" t="str">
        <f>IF(ISNUMBER('Model_ of_individuals'!Z909), 'Model_ of_individuals'!Z909*'Model_ of_individuals'!$K909,"")</f>
        <v/>
      </c>
      <c r="AA889" s="17" t="str">
        <f>IF(ISNUMBER('Model_ of_individuals'!AA909), 'Model_ of_individuals'!AA909*'Model_ of_individuals'!$K909,"")</f>
        <v/>
      </c>
      <c r="AB889" s="17" t="str">
        <f>IF(ISNUMBER('Model_ of_individuals'!AB909), 'Model_ of_individuals'!AB909*'Model_ of_individuals'!$K909,"")</f>
        <v/>
      </c>
      <c r="AC889" s="17" t="str">
        <f>IF(ISNUMBER('Model_ of_individuals'!AC909), 'Model_ of_individuals'!AC909*'Model_ of_individuals'!$K909,"")</f>
        <v/>
      </c>
    </row>
    <row r="890" spans="1:29" x14ac:dyDescent="0.25">
      <c r="A890" s="518"/>
      <c r="B890" s="504"/>
      <c r="C890" s="107" t="str">
        <f>IF(AND(ISNUMBER(B866), OR('Cost Inputs'!$H$193&lt;&gt;"", 'Cost Inputs'!$I$193&lt;&gt;"", 'Cost Inputs'!$J$193&lt;&gt;"")), _6_4_2, "")</f>
        <v/>
      </c>
      <c r="D890" s="93" t="str">
        <f>IF(AND(C890&lt;&gt;"", 'Cost Inputs'!$G$193&lt;&gt;""), 'Cost Inputs'!$G$193, "")</f>
        <v/>
      </c>
      <c r="E890" s="93" t="str">
        <f>IF(AND(C890&lt;&gt;"", 'Cost Inputs'!$H$193&lt;&gt;""), 'Cost Inputs'!$H$193, "")</f>
        <v/>
      </c>
      <c r="F890" s="93" t="str">
        <f>IF(AND(C890&lt;&gt;"", 'Cost Inputs'!$I$193&lt;&gt;""), 'Cost Inputs'!$I$193, "")</f>
        <v/>
      </c>
      <c r="G890" s="108" t="str">
        <f t="shared" si="79"/>
        <v/>
      </c>
      <c r="H890" s="93" t="str">
        <f>IF(AND(C890&lt;&gt;"", 'Cost Inputs'!$J$193&lt;&gt;""), 'Cost Inputs'!$J$193, "")</f>
        <v/>
      </c>
      <c r="I890" s="93" t="str">
        <f t="shared" si="82"/>
        <v/>
      </c>
      <c r="J890" s="93" t="str">
        <f>IF(AND(C890&lt;&gt;"",('Cost Inputs'!$I$152+'Cost Inputs'!$J$152+'Cost Inputs'!$K$152)&gt;0), 'Cost Inputs'!$I$152+'Cost Inputs'!$J$152+'Cost Inputs'!$K$152, "")</f>
        <v/>
      </c>
      <c r="K890" s="93" t="str">
        <f t="shared" si="83"/>
        <v/>
      </c>
      <c r="L890" s="93"/>
      <c r="M890" s="109"/>
      <c r="T890" s="93" t="str">
        <f>IF(ISNUMBER('Model_ of_individuals'!T910), 'Model_ of_individuals'!T910*'Model_ of_individuals'!$K910,"")</f>
        <v/>
      </c>
      <c r="U890" s="93" t="str">
        <f>IF(ISNUMBER('Model_ of_individuals'!U910), 'Model_ of_individuals'!U910*'Model_ of_individuals'!$K910,"")</f>
        <v/>
      </c>
      <c r="V890" s="93" t="str">
        <f>IF(ISNUMBER('Model_ of_individuals'!V910), 'Model_ of_individuals'!V910*'Model_ of_individuals'!$K910,"")</f>
        <v/>
      </c>
      <c r="W890" s="93" t="str">
        <f>IF(ISNUMBER('Model_ of_individuals'!W910), 'Model_ of_individuals'!W910*'Model_ of_individuals'!$K910,"")</f>
        <v/>
      </c>
      <c r="X890" s="93" t="str">
        <f>IF(ISNUMBER('Model_ of_individuals'!X910), 'Model_ of_individuals'!X910*'Model_ of_individuals'!$K910,"")</f>
        <v/>
      </c>
      <c r="Y890" s="93" t="str">
        <f>IF(ISNUMBER('Model_ of_individuals'!Y910), 'Model_ of_individuals'!Y910*'Model_ of_individuals'!$K910,"")</f>
        <v/>
      </c>
      <c r="Z890" s="93" t="str">
        <f>IF(ISNUMBER('Model_ of_individuals'!Z910), 'Model_ of_individuals'!Z910*'Model_ of_individuals'!$K910,"")</f>
        <v/>
      </c>
      <c r="AA890" s="93" t="str">
        <f>IF(ISNUMBER('Model_ of_individuals'!AA910), 'Model_ of_individuals'!AA910*'Model_ of_individuals'!$K910,"")</f>
        <v/>
      </c>
      <c r="AB890" s="93" t="str">
        <f>IF(ISNUMBER('Model_ of_individuals'!AB910), 'Model_ of_individuals'!AB910*'Model_ of_individuals'!$K910,"")</f>
        <v/>
      </c>
      <c r="AC890" s="93" t="str">
        <f>IF(ISNUMBER('Model_ of_individuals'!AC910), 'Model_ of_individuals'!AC910*'Model_ of_individuals'!$K910,"")</f>
        <v/>
      </c>
    </row>
    <row r="891" spans="1:29" x14ac:dyDescent="0.25">
      <c r="A891" s="518"/>
      <c r="B891" s="504"/>
      <c r="C891" s="104" t="str">
        <f>IF(AND(ISNUMBER(B866), OR('Cost Inputs'!$H$194&lt;&gt;"", 'Cost Inputs'!$I$194&lt;&gt;"", 'Cost Inputs'!$J$194&lt;&gt;"")), _6_4_3, "")</f>
        <v/>
      </c>
      <c r="D891" s="17" t="str">
        <f>IF(AND(C891&lt;&gt;"", 'Cost Inputs'!$G$194&lt;&gt;""), 'Cost Inputs'!$G$194, "")</f>
        <v/>
      </c>
      <c r="E891" s="17" t="str">
        <f>IF(AND(C891&lt;&gt;"", 'Cost Inputs'!$H$194&lt;&gt;""), 'Cost Inputs'!$H$194, "")</f>
        <v/>
      </c>
      <c r="F891" s="17" t="str">
        <f>IF(AND(C891&lt;&gt;"", 'Cost Inputs'!$I$194&lt;&gt;""), 'Cost Inputs'!$I$194, "")</f>
        <v/>
      </c>
      <c r="G891" s="105" t="str">
        <f t="shared" si="79"/>
        <v/>
      </c>
      <c r="H891" s="17" t="str">
        <f>IF(AND(C891&lt;&gt;"", 'Cost Inputs'!$J$194&lt;&gt;""), 'Cost Inputs'!$J$194, "")</f>
        <v/>
      </c>
      <c r="I891" s="17" t="str">
        <f t="shared" si="82"/>
        <v/>
      </c>
      <c r="J891" s="17" t="str">
        <f>IF(AND(C891&lt;&gt;"",('Cost Inputs'!$I$194+'Cost Inputs'!$J$194+'Cost Inputs'!$K$194)&gt;0), 'Cost Inputs'!$I$194+'Cost Inputs'!$J$194+'Cost Inputs'!$K$194, "")</f>
        <v/>
      </c>
      <c r="K891" s="17" t="str">
        <f t="shared" si="83"/>
        <v/>
      </c>
      <c r="M891" s="106"/>
      <c r="T891" s="17" t="str">
        <f>IF(ISNUMBER('Model_ of_individuals'!T911), 'Model_ of_individuals'!T911*'Model_ of_individuals'!$K911,"")</f>
        <v/>
      </c>
      <c r="U891" s="17" t="str">
        <f>IF(ISNUMBER('Model_ of_individuals'!U911), 'Model_ of_individuals'!U911*'Model_ of_individuals'!$K911,"")</f>
        <v/>
      </c>
      <c r="V891" s="17" t="str">
        <f>IF(ISNUMBER('Model_ of_individuals'!V911), 'Model_ of_individuals'!V911*'Model_ of_individuals'!$K911,"")</f>
        <v/>
      </c>
      <c r="W891" s="17" t="str">
        <f>IF(ISNUMBER('Model_ of_individuals'!W911), 'Model_ of_individuals'!W911*'Model_ of_individuals'!$K911,"")</f>
        <v/>
      </c>
      <c r="X891" s="17" t="str">
        <f>IF(ISNUMBER('Model_ of_individuals'!X911), 'Model_ of_individuals'!X911*'Model_ of_individuals'!$K911,"")</f>
        <v/>
      </c>
      <c r="Y891" s="17" t="str">
        <f>IF(ISNUMBER('Model_ of_individuals'!Y911), 'Model_ of_individuals'!Y911*'Model_ of_individuals'!$K911,"")</f>
        <v/>
      </c>
      <c r="Z891" s="17" t="str">
        <f>IF(ISNUMBER('Model_ of_individuals'!Z911), 'Model_ of_individuals'!Z911*'Model_ of_individuals'!$K911,"")</f>
        <v/>
      </c>
      <c r="AA891" s="17" t="str">
        <f>IF(ISNUMBER('Model_ of_individuals'!AA911), 'Model_ of_individuals'!AA911*'Model_ of_individuals'!$K911,"")</f>
        <v/>
      </c>
      <c r="AB891" s="17" t="str">
        <f>IF(ISNUMBER('Model_ of_individuals'!AB911), 'Model_ of_individuals'!AB911*'Model_ of_individuals'!$K911,"")</f>
        <v/>
      </c>
      <c r="AC891" s="17" t="str">
        <f>IF(ISNUMBER('Model_ of_individuals'!AC911), 'Model_ of_individuals'!AC911*'Model_ of_individuals'!$K911,"")</f>
        <v/>
      </c>
    </row>
    <row r="892" spans="1:29" x14ac:dyDescent="0.25">
      <c r="A892" s="518"/>
      <c r="B892" s="504"/>
      <c r="C892" s="107" t="str">
        <f>IF(AND(ISNUMBER(B866), OR('Cost Inputs'!$H$195&lt;&gt;"", 'Cost Inputs'!$I$195&lt;&gt;"", 'Cost Inputs'!$J$195&lt;&gt;"")), _6_4_4, "")</f>
        <v/>
      </c>
      <c r="D892" s="93" t="str">
        <f>IF(AND(C892&lt;&gt;"", 'Cost Inputs'!$G$195&lt;&gt;""), 'Cost Inputs'!$G$195, "")</f>
        <v/>
      </c>
      <c r="E892" s="93" t="str">
        <f>IF(AND(C892&lt;&gt;"", 'Cost Inputs'!$H$195&lt;&gt;""), 'Cost Inputs'!$H$195, "")</f>
        <v/>
      </c>
      <c r="F892" s="93" t="str">
        <f>IF(AND(C892&lt;&gt;"", 'Cost Inputs'!$I$195&lt;&gt;""), 'Cost Inputs'!$I$195, "")</f>
        <v/>
      </c>
      <c r="G892" s="108" t="str">
        <f t="shared" si="79"/>
        <v/>
      </c>
      <c r="H892" s="93" t="str">
        <f>IF(AND(C892&lt;&gt;"", 'Cost Inputs'!$J$195&lt;&gt;""), 'Cost Inputs'!$J$195, "")</f>
        <v/>
      </c>
      <c r="I892" s="93" t="str">
        <f t="shared" si="82"/>
        <v/>
      </c>
      <c r="J892" s="93" t="str">
        <f>IF(AND(C892&lt;&gt;"",('Cost Inputs'!$I$195+'Cost Inputs'!$J$195+'Cost Inputs'!$K$195)&gt;0), 'Cost Inputs'!$I$195+'Cost Inputs'!$J$195+'Cost Inputs'!$K$195, "")</f>
        <v/>
      </c>
      <c r="K892" s="93" t="str">
        <f t="shared" si="83"/>
        <v/>
      </c>
      <c r="L892" s="93"/>
      <c r="M892" s="109"/>
      <c r="T892" s="93" t="str">
        <f>IF(ISNUMBER('Model_ of_individuals'!T912), 'Model_ of_individuals'!T912*'Model_ of_individuals'!$K912,"")</f>
        <v/>
      </c>
      <c r="U892" s="93" t="str">
        <f>IF(ISNUMBER('Model_ of_individuals'!U912), 'Model_ of_individuals'!U912*'Model_ of_individuals'!$K912,"")</f>
        <v/>
      </c>
      <c r="V892" s="93" t="str">
        <f>IF(ISNUMBER('Model_ of_individuals'!V912), 'Model_ of_individuals'!V912*'Model_ of_individuals'!$K912,"")</f>
        <v/>
      </c>
      <c r="W892" s="93" t="str">
        <f>IF(ISNUMBER('Model_ of_individuals'!W912), 'Model_ of_individuals'!W912*'Model_ of_individuals'!$K912,"")</f>
        <v/>
      </c>
      <c r="X892" s="93" t="str">
        <f>IF(ISNUMBER('Model_ of_individuals'!X912), 'Model_ of_individuals'!X912*'Model_ of_individuals'!$K912,"")</f>
        <v/>
      </c>
      <c r="Y892" s="93" t="str">
        <f>IF(ISNUMBER('Model_ of_individuals'!Y912), 'Model_ of_individuals'!Y912*'Model_ of_individuals'!$K912,"")</f>
        <v/>
      </c>
      <c r="Z892" s="93" t="str">
        <f>IF(ISNUMBER('Model_ of_individuals'!Z912), 'Model_ of_individuals'!Z912*'Model_ of_individuals'!$K912,"")</f>
        <v/>
      </c>
      <c r="AA892" s="93" t="str">
        <f>IF(ISNUMBER('Model_ of_individuals'!AA912), 'Model_ of_individuals'!AA912*'Model_ of_individuals'!$K912,"")</f>
        <v/>
      </c>
      <c r="AB892" s="93" t="str">
        <f>IF(ISNUMBER('Model_ of_individuals'!AB912), 'Model_ of_individuals'!AB912*'Model_ of_individuals'!$K912,"")</f>
        <v/>
      </c>
      <c r="AC892" s="93" t="str">
        <f>IF(ISNUMBER('Model_ of_individuals'!AC912), 'Model_ of_individuals'!AC912*'Model_ of_individuals'!$K912,"")</f>
        <v/>
      </c>
    </row>
    <row r="893" spans="1:29" x14ac:dyDescent="0.25">
      <c r="A893" s="518"/>
      <c r="B893" s="504"/>
      <c r="C893" s="104" t="str">
        <f>IF(AND(ISNUMBER(B866), OR('Cost Inputs'!$H$196&lt;&gt;"", 'Cost Inputs'!$I$196&lt;&gt;"", 'Cost Inputs'!$J$196&lt;&gt;"")), _6_4_5, "")</f>
        <v/>
      </c>
      <c r="D893" s="17" t="str">
        <f>IF(AND(C893&lt;&gt;"", 'Cost Inputs'!$G$196&lt;&gt;""), 'Cost Inputs'!$G$196, "")</f>
        <v/>
      </c>
      <c r="E893" s="17" t="str">
        <f>IF(AND(C893&lt;&gt;"", 'Cost Inputs'!$H$196&lt;&gt;""), 'Cost Inputs'!$H$196, "")</f>
        <v/>
      </c>
      <c r="F893" s="17" t="str">
        <f>IF(AND(C893&lt;&gt;"", 'Cost Inputs'!$I$196&lt;&gt;""), 'Cost Inputs'!$I$196, "")</f>
        <v/>
      </c>
      <c r="G893" s="105" t="str">
        <f t="shared" si="79"/>
        <v/>
      </c>
      <c r="H893" s="17" t="str">
        <f>IF(AND(C893&lt;&gt;"", 'Cost Inputs'!$J$196&lt;&gt;""), 'Cost Inputs'!$J$196, "")</f>
        <v/>
      </c>
      <c r="I893" s="17" t="str">
        <f t="shared" si="82"/>
        <v/>
      </c>
      <c r="J893" s="17" t="str">
        <f>IF(AND(C893&lt;&gt;"",('Cost Inputs'!$I$196+'Cost Inputs'!$J$196+'Cost Inputs'!$K$196)&gt;0), 'Cost Inputs'!$I$196+'Cost Inputs'!$J$196+'Cost Inputs'!$K$196, "")</f>
        <v/>
      </c>
      <c r="K893" s="17" t="str">
        <f t="shared" si="83"/>
        <v/>
      </c>
      <c r="M893" s="106"/>
      <c r="T893" s="17" t="str">
        <f>IF(ISNUMBER('Model_ of_individuals'!T913), 'Model_ of_individuals'!T913*'Model_ of_individuals'!$K913,"")</f>
        <v/>
      </c>
      <c r="U893" s="17" t="str">
        <f>IF(ISNUMBER('Model_ of_individuals'!U913), 'Model_ of_individuals'!U913*'Model_ of_individuals'!$K913,"")</f>
        <v/>
      </c>
      <c r="V893" s="17" t="str">
        <f>IF(ISNUMBER('Model_ of_individuals'!V913), 'Model_ of_individuals'!V913*'Model_ of_individuals'!$K913,"")</f>
        <v/>
      </c>
      <c r="W893" s="17" t="str">
        <f>IF(ISNUMBER('Model_ of_individuals'!W913), 'Model_ of_individuals'!W913*'Model_ of_individuals'!$K913,"")</f>
        <v/>
      </c>
      <c r="X893" s="17" t="str">
        <f>IF(ISNUMBER('Model_ of_individuals'!X913), 'Model_ of_individuals'!X913*'Model_ of_individuals'!$K913,"")</f>
        <v/>
      </c>
      <c r="Y893" s="17" t="str">
        <f>IF(ISNUMBER('Model_ of_individuals'!Y913), 'Model_ of_individuals'!Y913*'Model_ of_individuals'!$K913,"")</f>
        <v/>
      </c>
      <c r="Z893" s="17" t="str">
        <f>IF(ISNUMBER('Model_ of_individuals'!Z913), 'Model_ of_individuals'!Z913*'Model_ of_individuals'!$K913,"")</f>
        <v/>
      </c>
      <c r="AA893" s="17" t="str">
        <f>IF(ISNUMBER('Model_ of_individuals'!AA913), 'Model_ of_individuals'!AA913*'Model_ of_individuals'!$K913,"")</f>
        <v/>
      </c>
      <c r="AB893" s="17" t="str">
        <f>IF(ISNUMBER('Model_ of_individuals'!AB913), 'Model_ of_individuals'!AB913*'Model_ of_individuals'!$K913,"")</f>
        <v/>
      </c>
      <c r="AC893" s="17" t="str">
        <f>IF(ISNUMBER('Model_ of_individuals'!AC913), 'Model_ of_individuals'!AC913*'Model_ of_individuals'!$K913,"")</f>
        <v/>
      </c>
    </row>
    <row r="894" spans="1:29" x14ac:dyDescent="0.25">
      <c r="A894" s="518"/>
      <c r="B894" s="504"/>
      <c r="C894" s="107" t="str">
        <f>IF(AND(ISNUMBER(B866), OR('Cost Inputs'!$H$197&lt;&gt;"", 'Cost Inputs'!$I$197&lt;&gt;"", 'Cost Inputs'!$J$197&lt;&gt;"")), _6_4_6, "")</f>
        <v/>
      </c>
      <c r="D894" s="93" t="str">
        <f>IF(AND(C894&lt;&gt;"", 'Cost Inputs'!$G$197&lt;&gt;""), 'Cost Inputs'!$G$197, "")</f>
        <v/>
      </c>
      <c r="E894" s="93" t="str">
        <f>IF(AND(C894&lt;&gt;"", 'Cost Inputs'!$H$197&lt;&gt;""), 'Cost Inputs'!$H$197, "")</f>
        <v/>
      </c>
      <c r="F894" s="93" t="str">
        <f>IF(AND(C894&lt;&gt;"", 'Cost Inputs'!$I$197&lt;&gt;""), 'Cost Inputs'!$I$197, "")</f>
        <v/>
      </c>
      <c r="G894" s="108" t="str">
        <f t="shared" si="79"/>
        <v/>
      </c>
      <c r="H894" s="93" t="str">
        <f>IF(AND(C894&lt;&gt;"", 'Cost Inputs'!$J$197&lt;&gt;""), 'Cost Inputs'!$J$16, "")</f>
        <v/>
      </c>
      <c r="I894" s="93" t="str">
        <f t="shared" si="82"/>
        <v/>
      </c>
      <c r="J894" s="93" t="str">
        <f>IF(AND(C894&lt;&gt;"",('Cost Inputs'!$I$197+'Cost Inputs'!$J$197+'Cost Inputs'!$K$197)&gt;0), 'Cost Inputs'!$I$197+'Cost Inputs'!$J$197+'Cost Inputs'!$K$197, "")</f>
        <v/>
      </c>
      <c r="K894" s="93" t="str">
        <f t="shared" si="83"/>
        <v/>
      </c>
      <c r="L894" s="93"/>
      <c r="M894" s="109"/>
      <c r="T894" s="93" t="str">
        <f>IF(ISNUMBER('Model_ of_individuals'!T914), 'Model_ of_individuals'!T914*'Model_ of_individuals'!$K914,"")</f>
        <v/>
      </c>
      <c r="U894" s="93" t="str">
        <f>IF(ISNUMBER('Model_ of_individuals'!U914), 'Model_ of_individuals'!U914*'Model_ of_individuals'!$K914,"")</f>
        <v/>
      </c>
      <c r="V894" s="93" t="str">
        <f>IF(ISNUMBER('Model_ of_individuals'!V914), 'Model_ of_individuals'!V914*'Model_ of_individuals'!$K914,"")</f>
        <v/>
      </c>
      <c r="W894" s="93" t="str">
        <f>IF(ISNUMBER('Model_ of_individuals'!W914), 'Model_ of_individuals'!W914*'Model_ of_individuals'!$K914,"")</f>
        <v/>
      </c>
      <c r="X894" s="93" t="str">
        <f>IF(ISNUMBER('Model_ of_individuals'!X914), 'Model_ of_individuals'!X914*'Model_ of_individuals'!$K914,"")</f>
        <v/>
      </c>
      <c r="Y894" s="93" t="str">
        <f>IF(ISNUMBER('Model_ of_individuals'!Y914), 'Model_ of_individuals'!Y914*'Model_ of_individuals'!$K914,"")</f>
        <v/>
      </c>
      <c r="Z894" s="93" t="str">
        <f>IF(ISNUMBER('Model_ of_individuals'!Z914), 'Model_ of_individuals'!Z914*'Model_ of_individuals'!$K914,"")</f>
        <v/>
      </c>
      <c r="AA894" s="93" t="str">
        <f>IF(ISNUMBER('Model_ of_individuals'!AA914), 'Model_ of_individuals'!AA914*'Model_ of_individuals'!$K914,"")</f>
        <v/>
      </c>
      <c r="AB894" s="93" t="str">
        <f>IF(ISNUMBER('Model_ of_individuals'!AB914), 'Model_ of_individuals'!AB914*'Model_ of_individuals'!$K914,"")</f>
        <v/>
      </c>
      <c r="AC894" s="93" t="str">
        <f>IF(ISNUMBER('Model_ of_individuals'!AC914), 'Model_ of_individuals'!AC914*'Model_ of_individuals'!$K914,"")</f>
        <v/>
      </c>
    </row>
    <row r="895" spans="1:29" x14ac:dyDescent="0.25">
      <c r="A895" s="518"/>
      <c r="B895" s="504"/>
      <c r="C895" s="521" t="str">
        <f>IF(AND(B884&lt;&gt;"",ISNUMBER(B884),ISNUMBER(Stage4EvaluationBegins)),IF((INDEX(ProgramYearStage4,MATCH(Stage4EvaluationBegins,Years_in_Stage4,0)))=B884,_6_5_0,IF(AND(B884&lt;&gt;"",C873&lt;&gt;""),_6_5_0,IF(AND(B884&lt;&gt;"",ISNUMBER(B884),OR(Stage4EvaluationBegins=0,Stage4EvaluationBegins="")),"",""))),"")</f>
        <v/>
      </c>
      <c r="D895" s="94" t="str">
        <f>IF(AND(C895&lt;&gt;"", 'Cost Inputs'!$G$198&lt;&gt;""), 'Cost Inputs'!$G$198, "")</f>
        <v/>
      </c>
      <c r="E895" s="94" t="str">
        <f>IF(AND(C895&lt;&gt;"", 'Cost Inputs'!$H$198&lt;&gt;""), 'Cost Inputs'!$H$198, "")</f>
        <v/>
      </c>
      <c r="F895" s="492" t="str">
        <f>IF(AND(C895&lt;&gt;"", 'Cost Inputs'!$I$198&lt;&gt;""), 'Cost Inputs'!$I$198, "")</f>
        <v/>
      </c>
      <c r="G895" s="102" t="str">
        <f t="shared" si="79"/>
        <v/>
      </c>
      <c r="H895" s="492" t="str">
        <f>IF(AND(C895&lt;&gt;"", 'Cost Inputs'!$J$198&lt;&gt;""), 'Cost Inputs'!$J$198, "")</f>
        <v/>
      </c>
      <c r="I895" s="102" t="str">
        <f>IF($C895&lt;&gt;"",IF(AND($E895&lt;&gt;"",H895&lt;&gt;""), H895/$E895, 0),"")</f>
        <v/>
      </c>
      <c r="J895" s="492" t="str">
        <f>IF(AND(C895&lt;&gt;"",('Cost Inputs'!$I$198+'Cost Inputs'!$J$198+'Cost Inputs'!$K$198)&gt;0), 'Cost Inputs'!$I$198+'Cost Inputs'!$J$198+'Cost Inputs'!$K$198, "")</f>
        <v/>
      </c>
      <c r="K895" s="102" t="str">
        <f>IF($C895&lt;&gt;"",IF(AND($E895&lt;&gt;"",J895&lt;&gt;""), J895/$E895, 0),"")</f>
        <v/>
      </c>
      <c r="L895" s="94"/>
      <c r="M895" s="103"/>
      <c r="T895" s="492" t="str">
        <f>IF(ISNUMBER('Model_ of_individuals'!T915), 'Model_ of_individuals'!T915*'Model_ of_individuals'!$K915,"")</f>
        <v/>
      </c>
      <c r="U895" s="492" t="str">
        <f>IF(ISNUMBER('Model_ of_individuals'!U915), 'Model_ of_individuals'!U915*'Model_ of_individuals'!$K915,"")</f>
        <v/>
      </c>
      <c r="V895" s="492" t="str">
        <f>IF(ISNUMBER('Model_ of_individuals'!V915), 'Model_ of_individuals'!V915*'Model_ of_individuals'!$K915,"")</f>
        <v/>
      </c>
      <c r="W895" s="492" t="str">
        <f>IF(ISNUMBER('Model_ of_individuals'!W915), 'Model_ of_individuals'!W915*'Model_ of_individuals'!$K915,"")</f>
        <v/>
      </c>
      <c r="X895" s="492" t="str">
        <f>IF(ISNUMBER('Model_ of_individuals'!X915), 'Model_ of_individuals'!X915*'Model_ of_individuals'!$K915,"")</f>
        <v/>
      </c>
      <c r="Y895" s="492" t="str">
        <f>IF(ISNUMBER('Model_ of_individuals'!Y915), 'Model_ of_individuals'!Y915*'Model_ of_individuals'!$K915,"")</f>
        <v/>
      </c>
      <c r="Z895" s="492" t="str">
        <f>IF(ISNUMBER('Model_ of_individuals'!Z915), 'Model_ of_individuals'!Z915*'Model_ of_individuals'!$K915,"")</f>
        <v/>
      </c>
      <c r="AA895" s="492" t="str">
        <f>IF(ISNUMBER('Model_ of_individuals'!AA915), 'Model_ of_individuals'!AA915*'Model_ of_individuals'!$K915,"")</f>
        <v/>
      </c>
      <c r="AB895" s="492" t="str">
        <f>IF(ISNUMBER('Model_ of_individuals'!AB915), 'Model_ of_individuals'!AB915*'Model_ of_individuals'!$K915,"")</f>
        <v/>
      </c>
      <c r="AC895" s="492" t="str">
        <f>IF(ISNUMBER('Model_ of_individuals'!AC915), 'Model_ of_individuals'!AC915*'Model_ of_individuals'!$K915,"")</f>
        <v/>
      </c>
    </row>
    <row r="896" spans="1:29" x14ac:dyDescent="0.25">
      <c r="A896" s="518"/>
      <c r="B896" s="504"/>
      <c r="C896" s="521"/>
      <c r="D896" s="94" t="str">
        <f>IF(AND(C895&lt;&gt;"", 'Cost Inputs'!$G$199&lt;&gt;""), 'Cost Inputs'!$G$199, "")</f>
        <v/>
      </c>
      <c r="E896" s="94" t="str">
        <f>IF(AND(C895&lt;&gt;"", 'Cost Inputs'!$H$199&lt;&gt;""), 'Cost Inputs'!$H$199, "")</f>
        <v/>
      </c>
      <c r="F896" s="492"/>
      <c r="G896" s="102" t="str">
        <f t="shared" si="79"/>
        <v/>
      </c>
      <c r="H896" s="492"/>
      <c r="I896" s="102" t="str">
        <f>IF($C895&lt;&gt;"", IF(AND($E896&lt;&gt;"", H895&lt;&gt;""), H895/($E895*$E896), 0), "")</f>
        <v/>
      </c>
      <c r="J896" s="492" t="str">
        <f>IF(AND(C896&lt;&gt;"",('Cost Inputs'!$I$86+'Cost Inputs'!$J$86+'Cost Inputs'!$K$86)&gt;0), 'Cost Inputs'!$I$86+'Cost Inputs'!$J$86+'Cost Inputs'!$K$86, "")</f>
        <v/>
      </c>
      <c r="K896" s="102" t="str">
        <f>IF($C895&lt;&gt;"", IF(AND($E896&lt;&gt;"", J895&lt;&gt;""), J895/($E895*$E896), 0), "")</f>
        <v/>
      </c>
      <c r="L896" s="94"/>
      <c r="M896" s="103"/>
      <c r="T896" s="492" t="str">
        <f>IF(ISNUMBER('Model_ of_individuals'!T916), 'Model_ of_individuals'!T916*'Model_ of_individuals'!$K916,"")</f>
        <v/>
      </c>
      <c r="U896" s="492" t="str">
        <f>IF(ISNUMBER('Model_ of_individuals'!U916), 'Model_ of_individuals'!U916*'Model_ of_individuals'!$K916,"")</f>
        <v/>
      </c>
      <c r="V896" s="492" t="str">
        <f>IF(ISNUMBER('Model_ of_individuals'!V916), 'Model_ of_individuals'!V916*'Model_ of_individuals'!$K916,"")</f>
        <v/>
      </c>
      <c r="W896" s="492" t="str">
        <f>IF(ISNUMBER('Model_ of_individuals'!W916), 'Model_ of_individuals'!W916*'Model_ of_individuals'!$K916,"")</f>
        <v/>
      </c>
      <c r="X896" s="492" t="str">
        <f>IF(ISNUMBER('Model_ of_individuals'!X916), 'Model_ of_individuals'!X916*'Model_ of_individuals'!$K916,"")</f>
        <v/>
      </c>
      <c r="Y896" s="492" t="str">
        <f>IF(ISNUMBER('Model_ of_individuals'!Y916), 'Model_ of_individuals'!Y916*'Model_ of_individuals'!$K916,"")</f>
        <v/>
      </c>
      <c r="Z896" s="492" t="str">
        <f>IF(ISNUMBER('Model_ of_individuals'!Z916), 'Model_ of_individuals'!Z916*'Model_ of_individuals'!$K916,"")</f>
        <v/>
      </c>
      <c r="AA896" s="492" t="str">
        <f>IF(ISNUMBER('Model_ of_individuals'!AA916), 'Model_ of_individuals'!AA916*'Model_ of_individuals'!$K916,"")</f>
        <v/>
      </c>
      <c r="AB896" s="492" t="str">
        <f>IF(ISNUMBER('Model_ of_individuals'!AB916), 'Model_ of_individuals'!AB916*'Model_ of_individuals'!$K916,"")</f>
        <v/>
      </c>
      <c r="AC896" s="492" t="str">
        <f>IF(ISNUMBER('Model_ of_individuals'!AC916), 'Model_ of_individuals'!AC916*'Model_ of_individuals'!$K916,"")</f>
        <v/>
      </c>
    </row>
    <row r="897" spans="1:30" x14ac:dyDescent="0.25">
      <c r="A897" s="518"/>
      <c r="B897" s="504"/>
      <c r="C897" s="376" t="str">
        <f>IF(AND(ISNUMBER(B866), C895&lt;&gt;"", OR('Cost Inputs'!$H$200&lt;&gt;"", 'Cost Inputs'!$I$200&lt;&gt;"", 'Cost Inputs'!$J$200&lt;&gt;"")), _6_5_1, "")</f>
        <v/>
      </c>
      <c r="D897" s="17" t="str">
        <f>IF(AND(C897&lt;&gt;"", 'Cost Inputs'!$G$200&lt;&gt;""), 'Cost Inputs'!$G$200, "")</f>
        <v/>
      </c>
      <c r="E897" s="17" t="str">
        <f>IF(AND(C897&lt;&gt;"", 'Cost Inputs'!$H$200&lt;&gt;""), 'Cost Inputs'!$H$200, "")</f>
        <v/>
      </c>
      <c r="F897" s="493" t="str">
        <f>IF(AND(C897&lt;&gt;"", 'Cost Inputs'!$I$200&lt;&gt;""), 'Cost Inputs'!$I$200, "")</f>
        <v/>
      </c>
      <c r="G897" s="105" t="str">
        <f t="shared" si="79"/>
        <v/>
      </c>
      <c r="H897" s="493" t="str">
        <f>IF(AND(C897&lt;&gt;"", 'Cost Inputs'!$J$200&lt;&gt;""), 'Cost Inputs'!$J$200, "")</f>
        <v/>
      </c>
      <c r="I897" s="105" t="str">
        <f>IF($C897&lt;&gt;"",IF(AND($E897&lt;&gt;"",H897&lt;&gt;""), H897/$E897, 0),"")</f>
        <v/>
      </c>
      <c r="J897" s="493" t="str">
        <f>IF(AND(C897&lt;&gt;"",('Cost Inputs'!$I$200+'Cost Inputs'!$J$200+'Cost Inputs'!$K$200)&gt;0), 'Cost Inputs'!$I$200+'Cost Inputs'!$J$200+'Cost Inputs'!$K$200, "")</f>
        <v/>
      </c>
      <c r="K897" s="105" t="str">
        <f>IF($C897&lt;&gt;"",IF(AND($E897&lt;&gt;"",J897&lt;&gt;""), J897/$E897, 0),"")</f>
        <v/>
      </c>
      <c r="M897" s="106"/>
      <c r="T897" s="493" t="str">
        <f>IF(ISNUMBER('Model_ of_individuals'!T917), 'Model_ of_individuals'!T917*'Model_ of_individuals'!$K917,"")</f>
        <v/>
      </c>
      <c r="U897" s="493" t="str">
        <f>IF(ISNUMBER('Model_ of_individuals'!U917), 'Model_ of_individuals'!U917*'Model_ of_individuals'!$K917,"")</f>
        <v/>
      </c>
      <c r="V897" s="493" t="str">
        <f>IF(ISNUMBER('Model_ of_individuals'!V917), 'Model_ of_individuals'!V917*'Model_ of_individuals'!$K917,"")</f>
        <v/>
      </c>
      <c r="W897" s="493" t="str">
        <f>IF(ISNUMBER('Model_ of_individuals'!W917), 'Model_ of_individuals'!W917*'Model_ of_individuals'!$K917,"")</f>
        <v/>
      </c>
      <c r="X897" s="493" t="str">
        <f>IF(ISNUMBER('Model_ of_individuals'!X917), 'Model_ of_individuals'!X917*'Model_ of_individuals'!$K917,"")</f>
        <v/>
      </c>
      <c r="Y897" s="493" t="str">
        <f>IF(ISNUMBER('Model_ of_individuals'!Y917), 'Model_ of_individuals'!Y917*'Model_ of_individuals'!$K917,"")</f>
        <v/>
      </c>
      <c r="Z897" s="493" t="str">
        <f>IF(ISNUMBER('Model_ of_individuals'!Z917), 'Model_ of_individuals'!Z917*'Model_ of_individuals'!$K917,"")</f>
        <v/>
      </c>
      <c r="AA897" s="493" t="str">
        <f>IF(ISNUMBER('Model_ of_individuals'!AA917), 'Model_ of_individuals'!AA917*'Model_ of_individuals'!$K917,"")</f>
        <v/>
      </c>
      <c r="AB897" s="493" t="str">
        <f>IF(ISNUMBER('Model_ of_individuals'!AB917), 'Model_ of_individuals'!AB917*'Model_ of_individuals'!$K917,"")</f>
        <v/>
      </c>
      <c r="AC897" s="493" t="str">
        <f>IF(ISNUMBER('Model_ of_individuals'!AC917), 'Model_ of_individuals'!AC917*'Model_ of_individuals'!$K917,"")</f>
        <v/>
      </c>
    </row>
    <row r="898" spans="1:30" x14ac:dyDescent="0.25">
      <c r="A898" s="518"/>
      <c r="B898" s="504"/>
      <c r="C898" s="376" t="str">
        <f>IF(AND(ISNUMBER(B880), OR('Cost Inputs'!$H$85&lt;&gt;"", 'Cost Inputs'!$I$85&lt;&gt;"", 'Cost Inputs'!$J$85&lt;&gt;"")), _3_5_1, "")</f>
        <v/>
      </c>
      <c r="D898" s="17" t="str">
        <f>IF(AND(C897&lt;&gt;"", 'Cost Inputs'!$G$201&lt;&gt;""), 'Cost Inputs'!$G$201, "")</f>
        <v/>
      </c>
      <c r="E898" s="17" t="str">
        <f>IF(AND(C897&lt;&gt;"", 'Cost Inputs'!$H$201&lt;&gt;""), 'Cost Inputs'!$H$201, "")</f>
        <v/>
      </c>
      <c r="F898" s="493"/>
      <c r="G898" s="105" t="str">
        <f t="shared" si="79"/>
        <v/>
      </c>
      <c r="H898" s="493"/>
      <c r="I898" s="105" t="str">
        <f>IF($C897&lt;&gt;"", IF(AND($E898&lt;&gt;"", H897&lt;&gt;""), H897/($E897*$E898), 0), "")</f>
        <v/>
      </c>
      <c r="J898" s="493" t="str">
        <f>IF(AND(C898&lt;&gt;"",('Cost Inputs'!$I$86+'Cost Inputs'!$J$86+'Cost Inputs'!$K$86)&gt;0), 'Cost Inputs'!$I$86+'Cost Inputs'!$J$86+'Cost Inputs'!$K$86, "")</f>
        <v/>
      </c>
      <c r="K898" s="105" t="str">
        <f>IF($C897&lt;&gt;"", IF(AND($E898&lt;&gt;"", J897&lt;&gt;""), J897/($E897*$E898), 0), "")</f>
        <v/>
      </c>
      <c r="M898" s="106"/>
      <c r="T898" s="493" t="str">
        <f>IF(ISNUMBER('Model_ of_individuals'!T918), 'Model_ of_individuals'!T918*'Model_ of_individuals'!$K918,"")</f>
        <v/>
      </c>
      <c r="U898" s="493" t="str">
        <f>IF(ISNUMBER('Model_ of_individuals'!U918), 'Model_ of_individuals'!U918*'Model_ of_individuals'!$K918,"")</f>
        <v/>
      </c>
      <c r="V898" s="493" t="str">
        <f>IF(ISNUMBER('Model_ of_individuals'!V918), 'Model_ of_individuals'!V918*'Model_ of_individuals'!$K918,"")</f>
        <v/>
      </c>
      <c r="W898" s="493" t="str">
        <f>IF(ISNUMBER('Model_ of_individuals'!W918), 'Model_ of_individuals'!W918*'Model_ of_individuals'!$K918,"")</f>
        <v/>
      </c>
      <c r="X898" s="493" t="str">
        <f>IF(ISNUMBER('Model_ of_individuals'!X918), 'Model_ of_individuals'!X918*'Model_ of_individuals'!$K918,"")</f>
        <v/>
      </c>
      <c r="Y898" s="493" t="str">
        <f>IF(ISNUMBER('Model_ of_individuals'!Y918), 'Model_ of_individuals'!Y918*'Model_ of_individuals'!$K918,"")</f>
        <v/>
      </c>
      <c r="Z898" s="493" t="str">
        <f>IF(ISNUMBER('Model_ of_individuals'!Z918), 'Model_ of_individuals'!Z918*'Model_ of_individuals'!$K918,"")</f>
        <v/>
      </c>
      <c r="AA898" s="493" t="str">
        <f>IF(ISNUMBER('Model_ of_individuals'!AA918), 'Model_ of_individuals'!AA918*'Model_ of_individuals'!$K918,"")</f>
        <v/>
      </c>
      <c r="AB898" s="493" t="str">
        <f>IF(ISNUMBER('Model_ of_individuals'!AB918), 'Model_ of_individuals'!AB918*'Model_ of_individuals'!$K918,"")</f>
        <v/>
      </c>
      <c r="AC898" s="493" t="str">
        <f>IF(ISNUMBER('Model_ of_individuals'!AC918), 'Model_ of_individuals'!AC918*'Model_ of_individuals'!$K918,"")</f>
        <v/>
      </c>
    </row>
    <row r="899" spans="1:30" x14ac:dyDescent="0.25">
      <c r="A899" s="518"/>
      <c r="B899" s="504"/>
      <c r="C899" s="107" t="str">
        <f>IF(AND(ISNUMBER(B866), C895&lt;&gt;"", OR('Cost Inputs'!$H$202&lt;&gt;"", 'Cost Inputs'!$I$202&lt;&gt;"", 'Cost Inputs'!$J$202&lt;&gt;"")), _6_5_2, "")</f>
        <v/>
      </c>
      <c r="D899" s="93" t="str">
        <f>IF(AND(C899&lt;&gt;"", 'Cost Inputs'!$G$202&lt;&gt;""), 'Cost Inputs'!$G$202, "")</f>
        <v/>
      </c>
      <c r="E899" s="93" t="str">
        <f>IF(AND(C899&lt;&gt;"", 'Cost Inputs'!$H$202&lt;&gt;""), 'Cost Inputs'!$H$202, "")</f>
        <v/>
      </c>
      <c r="F899" s="93" t="str">
        <f>IF(AND(C899&lt;&gt;"", 'Cost Inputs'!$I$202&lt;&gt;""), 'Cost Inputs'!$I$202, "")</f>
        <v/>
      </c>
      <c r="G899" s="108" t="str">
        <f t="shared" si="79"/>
        <v/>
      </c>
      <c r="H899" s="93" t="str">
        <f>IF(AND(C899&lt;&gt;"", 'Cost Inputs'!$J$202&lt;&gt;""), 'Cost Inputs'!$J$202, "")</f>
        <v/>
      </c>
      <c r="I899" s="93" t="str">
        <f>IF($C899&lt;&gt;"", IF(AND($E899&lt;&gt;"", H899&lt;&gt;""), H899/$E899, 0),"")</f>
        <v/>
      </c>
      <c r="J899" s="93" t="str">
        <f>IF(AND(C899&lt;&gt;"",('Cost Inputs'!$I$202+'Cost Inputs'!$J$202+'Cost Inputs'!$K$202)&gt;0), 'Cost Inputs'!$I$202+'Cost Inputs'!$J$202+'Cost Inputs'!$K$202, "")</f>
        <v/>
      </c>
      <c r="K899" s="93" t="str">
        <f>IF($C899&lt;&gt;"", IF(AND($E899&lt;&gt;"", J899&lt;&gt;""), J899/$E899, 0),"")</f>
        <v/>
      </c>
      <c r="L899" s="93"/>
      <c r="M899" s="109"/>
      <c r="T899" s="93" t="str">
        <f>IF(ISNUMBER('Model_ of_individuals'!T919), 'Model_ of_individuals'!T919*'Model_ of_individuals'!$K919,"")</f>
        <v/>
      </c>
      <c r="U899" s="93" t="str">
        <f>IF(ISNUMBER('Model_ of_individuals'!U919), 'Model_ of_individuals'!U919*'Model_ of_individuals'!$K919,"")</f>
        <v/>
      </c>
      <c r="V899" s="93" t="str">
        <f>IF(ISNUMBER('Model_ of_individuals'!V919), 'Model_ of_individuals'!V919*'Model_ of_individuals'!$K919,"")</f>
        <v/>
      </c>
      <c r="W899" s="93" t="str">
        <f>IF(ISNUMBER('Model_ of_individuals'!W919), 'Model_ of_individuals'!W919*'Model_ of_individuals'!$K919,"")</f>
        <v/>
      </c>
      <c r="X899" s="93" t="str">
        <f>IF(ISNUMBER('Model_ of_individuals'!X919), 'Model_ of_individuals'!X919*'Model_ of_individuals'!$K919,"")</f>
        <v/>
      </c>
      <c r="Y899" s="93" t="str">
        <f>IF(ISNUMBER('Model_ of_individuals'!Y919), 'Model_ of_individuals'!Y919*'Model_ of_individuals'!$K919,"")</f>
        <v/>
      </c>
      <c r="Z899" s="93" t="str">
        <f>IF(ISNUMBER('Model_ of_individuals'!Z919), 'Model_ of_individuals'!Z919*'Model_ of_individuals'!$K919,"")</f>
        <v/>
      </c>
      <c r="AA899" s="93" t="str">
        <f>IF(ISNUMBER('Model_ of_individuals'!AA919), 'Model_ of_individuals'!AA919*'Model_ of_individuals'!$K919,"")</f>
        <v/>
      </c>
      <c r="AB899" s="93" t="str">
        <f>IF(ISNUMBER('Model_ of_individuals'!AB919), 'Model_ of_individuals'!AB919*'Model_ of_individuals'!$K919,"")</f>
        <v/>
      </c>
      <c r="AC899" s="93" t="str">
        <f>IF(ISNUMBER('Model_ of_individuals'!AC919), 'Model_ of_individuals'!AC919*'Model_ of_individuals'!$K919,"")</f>
        <v/>
      </c>
    </row>
    <row r="900" spans="1:30" x14ac:dyDescent="0.25">
      <c r="A900" s="518"/>
      <c r="B900" s="504"/>
      <c r="C900" s="104" t="str">
        <f>IF(AND(ISNUMBER(B866), C895&lt;&gt;"", OR('Cost Inputs'!$H$203&lt;&gt;"", 'Cost Inputs'!$I$203&lt;&gt;"", 'Cost Inputs'!$J$203&lt;&gt;"")), _6_5_3, "")</f>
        <v/>
      </c>
      <c r="D900" s="17" t="str">
        <f>IF(AND(C900&lt;&gt;"", 'Cost Inputs'!$G$203&lt;&gt;""), 'Cost Inputs'!$G$203, "")</f>
        <v/>
      </c>
      <c r="E900" s="17" t="str">
        <f>IF(AND(C900&lt;&gt;"", 'Cost Inputs'!$H$203&lt;&gt;""), 'Cost Inputs'!$H$203, "")</f>
        <v/>
      </c>
      <c r="F900" s="17" t="str">
        <f>IF(AND(C900&lt;&gt;"", 'Cost Inputs'!$I$203&lt;&gt;""), 'Cost Inputs'!$I$203, "")</f>
        <v/>
      </c>
      <c r="G900" s="105" t="str">
        <f t="shared" si="79"/>
        <v/>
      </c>
      <c r="H900" s="17" t="str">
        <f>IF(AND(C900&lt;&gt;"", 'Cost Inputs'!$J$203&lt;&gt;""), 'Cost Inputs'!$J$203, "")</f>
        <v/>
      </c>
      <c r="I900" s="17" t="str">
        <f>IF($C900&lt;&gt;"", IF(AND($E900&lt;&gt;"", H900&lt;&gt;""), H900/$E900, 0),"")</f>
        <v/>
      </c>
      <c r="J900" s="17" t="str">
        <f>IF(AND(C900&lt;&gt;"",('Cost Inputs'!$I$203+'Cost Inputs'!$J$203+'Cost Inputs'!$K$203)&gt;0), 'Cost Inputs'!$I$203+'Cost Inputs'!$J$203+'Cost Inputs'!$K$203, "")</f>
        <v/>
      </c>
      <c r="K900" s="17" t="str">
        <f>IF($C900&lt;&gt;"", IF(AND($E900&lt;&gt;"", J900&lt;&gt;""), J900/$E900, 0),"")</f>
        <v/>
      </c>
      <c r="M900" s="106"/>
      <c r="T900" s="17" t="str">
        <f>IF(ISNUMBER('Model_ of_individuals'!T920), 'Model_ of_individuals'!T920*'Model_ of_individuals'!$K920,"")</f>
        <v/>
      </c>
      <c r="U900" s="17" t="str">
        <f>IF(ISNUMBER('Model_ of_individuals'!U920), 'Model_ of_individuals'!U920*'Model_ of_individuals'!$K920,"")</f>
        <v/>
      </c>
      <c r="V900" s="17" t="str">
        <f>IF(ISNUMBER('Model_ of_individuals'!V920), 'Model_ of_individuals'!V920*'Model_ of_individuals'!$K920,"")</f>
        <v/>
      </c>
      <c r="W900" s="17" t="str">
        <f>IF(ISNUMBER('Model_ of_individuals'!W920), 'Model_ of_individuals'!W920*'Model_ of_individuals'!$K920,"")</f>
        <v/>
      </c>
      <c r="X900" s="17" t="str">
        <f>IF(ISNUMBER('Model_ of_individuals'!X920), 'Model_ of_individuals'!X920*'Model_ of_individuals'!$K920,"")</f>
        <v/>
      </c>
      <c r="Y900" s="17" t="str">
        <f>IF(ISNUMBER('Model_ of_individuals'!Y920), 'Model_ of_individuals'!Y920*'Model_ of_individuals'!$K920,"")</f>
        <v/>
      </c>
      <c r="Z900" s="17" t="str">
        <f>IF(ISNUMBER('Model_ of_individuals'!Z920), 'Model_ of_individuals'!Z920*'Model_ of_individuals'!$K920,"")</f>
        <v/>
      </c>
      <c r="AA900" s="17" t="str">
        <f>IF(ISNUMBER('Model_ of_individuals'!AA920), 'Model_ of_individuals'!AA920*'Model_ of_individuals'!$K920,"")</f>
        <v/>
      </c>
      <c r="AB900" s="17" t="str">
        <f>IF(ISNUMBER('Model_ of_individuals'!AB920), 'Model_ of_individuals'!AB920*'Model_ of_individuals'!$K920,"")</f>
        <v/>
      </c>
      <c r="AC900" s="17" t="str">
        <f>IF(ISNUMBER('Model_ of_individuals'!AC920), 'Model_ of_individuals'!AC920*'Model_ of_individuals'!$K920,"")</f>
        <v/>
      </c>
    </row>
    <row r="901" spans="1:30" x14ac:dyDescent="0.25">
      <c r="A901" s="518"/>
      <c r="B901" s="504"/>
      <c r="C901" s="107" t="str">
        <f>IF(AND(ISNUMBER(B866), C895&lt;&gt;"", OR('Cost Inputs'!$H$204&lt;&gt;"", 'Cost Inputs'!$I$204&lt;&gt;"", 'Cost Inputs'!$J$204&lt;&gt;"")), _6_5_4, "")</f>
        <v/>
      </c>
      <c r="D901" s="93" t="str">
        <f>IF(AND(C901&lt;&gt;"", 'Cost Inputs'!$G$204&lt;&gt;""), 'Cost Inputs'!$G$204, "")</f>
        <v/>
      </c>
      <c r="E901" s="93" t="str">
        <f>IF(AND(C901&lt;&gt;"", 'Cost Inputs'!$H$204&lt;&gt;""), 'Cost Inputs'!$H$204, "")</f>
        <v/>
      </c>
      <c r="F901" s="93" t="str">
        <f>IF(AND(C901&lt;&gt;"", 'Cost Inputs'!$I$204&lt;&gt;""), 'Cost Inputs'!$I$204, "")</f>
        <v/>
      </c>
      <c r="G901" s="108" t="str">
        <f t="shared" si="79"/>
        <v/>
      </c>
      <c r="H901" s="93" t="str">
        <f>IF(AND(C901&lt;&gt;"", 'Cost Inputs'!$J$204&lt;&gt;""), 'Cost Inputs'!$J$204, "")</f>
        <v/>
      </c>
      <c r="I901" s="93" t="str">
        <f>IF($C901&lt;&gt;"", IF(AND($E901&lt;&gt;"", H901&lt;&gt;""), H901/$E901, 0),"")</f>
        <v/>
      </c>
      <c r="J901" s="93" t="str">
        <f>IF(AND(C901&lt;&gt;"",('Cost Inputs'!$I$204+'Cost Inputs'!$J$204+'Cost Inputs'!$K$204)&gt;0), 'Cost Inputs'!$I$204+'Cost Inputs'!$J$204+'Cost Inputs'!$K$204, "")</f>
        <v/>
      </c>
      <c r="K901" s="93" t="str">
        <f>IF($C901&lt;&gt;"", IF(AND($E901&lt;&gt;"", J901&lt;&gt;""), J901/$E901, 0),"")</f>
        <v/>
      </c>
      <c r="L901" s="93"/>
      <c r="M901" s="109"/>
      <c r="T901" s="93" t="str">
        <f>IF(ISNUMBER('Model_ of_individuals'!T921), 'Model_ of_individuals'!T921*'Model_ of_individuals'!$K921,"")</f>
        <v/>
      </c>
      <c r="U901" s="93" t="str">
        <f>IF(ISNUMBER('Model_ of_individuals'!U921), 'Model_ of_individuals'!U921*'Model_ of_individuals'!$K921,"")</f>
        <v/>
      </c>
      <c r="V901" s="93" t="str">
        <f>IF(ISNUMBER('Model_ of_individuals'!V921), 'Model_ of_individuals'!V921*'Model_ of_individuals'!$K921,"")</f>
        <v/>
      </c>
      <c r="W901" s="93" t="str">
        <f>IF(ISNUMBER('Model_ of_individuals'!W921), 'Model_ of_individuals'!W921*'Model_ of_individuals'!$K921,"")</f>
        <v/>
      </c>
      <c r="X901" s="93" t="str">
        <f>IF(ISNUMBER('Model_ of_individuals'!X921), 'Model_ of_individuals'!X921*'Model_ of_individuals'!$K921,"")</f>
        <v/>
      </c>
      <c r="Y901" s="93" t="str">
        <f>IF(ISNUMBER('Model_ of_individuals'!Y921), 'Model_ of_individuals'!Y921*'Model_ of_individuals'!$K921,"")</f>
        <v/>
      </c>
      <c r="Z901" s="93" t="str">
        <f>IF(ISNUMBER('Model_ of_individuals'!Z921), 'Model_ of_individuals'!Z921*'Model_ of_individuals'!$K921,"")</f>
        <v/>
      </c>
      <c r="AA901" s="93" t="str">
        <f>IF(ISNUMBER('Model_ of_individuals'!AA921), 'Model_ of_individuals'!AA921*'Model_ of_individuals'!$K921,"")</f>
        <v/>
      </c>
      <c r="AB901" s="93" t="str">
        <f>IF(ISNUMBER('Model_ of_individuals'!AB921), 'Model_ of_individuals'!AB921*'Model_ of_individuals'!$K921,"")</f>
        <v/>
      </c>
      <c r="AC901" s="93" t="str">
        <f>IF(ISNUMBER('Model_ of_individuals'!AC921), 'Model_ of_individuals'!AC921*'Model_ of_individuals'!$K921,"")</f>
        <v/>
      </c>
    </row>
    <row r="902" spans="1:30" x14ac:dyDescent="0.25">
      <c r="A902" s="518"/>
      <c r="B902" s="504"/>
      <c r="C902" s="104" t="str">
        <f>IF(AND(ISNUMBER(B866), C895&lt;&gt;"", OR('Cost Inputs'!$H$205&lt;&gt;"", 'Cost Inputs'!$I$205&lt;&gt;"", 'Cost Inputs'!$J$205&lt;&gt;"")), _6_5_5, "")</f>
        <v/>
      </c>
      <c r="D902" s="17" t="str">
        <f>IF(AND(C902&lt;&gt;"", 'Cost Inputs'!$G$205&lt;&gt;""), 'Cost Inputs'!$G$205, "")</f>
        <v/>
      </c>
      <c r="E902" s="17" t="str">
        <f>IF(AND(C902&lt;&gt;"", 'Cost Inputs'!$H$205&lt;&gt;""), 'Cost Inputs'!$H$205, "")</f>
        <v/>
      </c>
      <c r="F902" s="17" t="str">
        <f>IF(AND(C902&lt;&gt;"", 'Cost Inputs'!$I$205&lt;&gt;""), 'Cost Inputs'!$I$205, "")</f>
        <v/>
      </c>
      <c r="G902" s="105" t="str">
        <f t="shared" si="79"/>
        <v/>
      </c>
      <c r="H902" s="17" t="str">
        <f>IF(AND(C902&lt;&gt;"", 'Cost Inputs'!$J$205&lt;&gt;""), 'Cost Inputs'!$J$205, "")</f>
        <v/>
      </c>
      <c r="I902" s="17" t="str">
        <f>IF($C902&lt;&gt;"", IF(AND($E902&lt;&gt;"", H902&lt;&gt;""), H902/$E902, 0),"")</f>
        <v/>
      </c>
      <c r="J902" s="17" t="str">
        <f>IF(AND(C902&lt;&gt;"",('Cost Inputs'!$I$205+'Cost Inputs'!$J$205+'Cost Inputs'!$K$205)&gt;0), 'Cost Inputs'!$I$205+'Cost Inputs'!$J$205+'Cost Inputs'!$K$205, "")</f>
        <v/>
      </c>
      <c r="K902" s="17" t="str">
        <f>IF($C902&lt;&gt;"", IF(AND($E902&lt;&gt;"", J902&lt;&gt;""), J902/$E902, 0),"")</f>
        <v/>
      </c>
      <c r="M902" s="106"/>
      <c r="T902" s="17" t="str">
        <f>IF(ISNUMBER('Model_ of_individuals'!T922), 'Model_ of_individuals'!T922*'Model_ of_individuals'!$K922,"")</f>
        <v/>
      </c>
      <c r="U902" s="17" t="str">
        <f>IF(ISNUMBER('Model_ of_individuals'!U922), 'Model_ of_individuals'!U922*'Model_ of_individuals'!$K922,"")</f>
        <v/>
      </c>
      <c r="V902" s="17" t="str">
        <f>IF(ISNUMBER('Model_ of_individuals'!V922), 'Model_ of_individuals'!V922*'Model_ of_individuals'!$K922,"")</f>
        <v/>
      </c>
      <c r="W902" s="17" t="str">
        <f>IF(ISNUMBER('Model_ of_individuals'!W922), 'Model_ of_individuals'!W922*'Model_ of_individuals'!$K922,"")</f>
        <v/>
      </c>
      <c r="X902" s="17" t="str">
        <f>IF(ISNUMBER('Model_ of_individuals'!X922), 'Model_ of_individuals'!X922*'Model_ of_individuals'!$K922,"")</f>
        <v/>
      </c>
      <c r="Y902" s="17" t="str">
        <f>IF(ISNUMBER('Model_ of_individuals'!Y922), 'Model_ of_individuals'!Y922*'Model_ of_individuals'!$K922,"")</f>
        <v/>
      </c>
      <c r="Z902" s="17" t="str">
        <f>IF(ISNUMBER('Model_ of_individuals'!Z922), 'Model_ of_individuals'!Z922*'Model_ of_individuals'!$K922,"")</f>
        <v/>
      </c>
      <c r="AA902" s="17" t="str">
        <f>IF(ISNUMBER('Model_ of_individuals'!AA922), 'Model_ of_individuals'!AA922*'Model_ of_individuals'!$K922,"")</f>
        <v/>
      </c>
      <c r="AB902" s="17" t="str">
        <f>IF(ISNUMBER('Model_ of_individuals'!AB922), 'Model_ of_individuals'!AB922*'Model_ of_individuals'!$K922,"")</f>
        <v/>
      </c>
      <c r="AC902" s="17" t="str">
        <f>IF(ISNUMBER('Model_ of_individuals'!AC922), 'Model_ of_individuals'!AC922*'Model_ of_individuals'!$K922,"")</f>
        <v/>
      </c>
    </row>
    <row r="903" spans="1:30" x14ac:dyDescent="0.25">
      <c r="A903" s="518"/>
      <c r="B903" s="504"/>
      <c r="C903" s="110" t="str">
        <f>IF(ISNUMBER(B866), _6_6_0, "")</f>
        <v/>
      </c>
      <c r="D903" s="94" t="str">
        <f>IF(AND(C903&lt;&gt;"", 'Cost Inputs'!$G$206&lt;&gt;""), 'Cost Inputs'!$G$206, "")</f>
        <v/>
      </c>
      <c r="E903" s="94" t="str">
        <f>IF(AND(C903&lt;&gt;"", 'Cost Inputs'!$H$206&lt;&gt;""), 'Cost Inputs'!$H$206, "")</f>
        <v/>
      </c>
      <c r="F903" s="94" t="str">
        <f>IF(AND(C903&lt;&gt;"", 'Cost Inputs'!$I$206&lt;&gt;""), 'Cost Inputs'!$I$206, "")</f>
        <v/>
      </c>
      <c r="G903" s="102" t="str">
        <f t="shared" si="79"/>
        <v/>
      </c>
      <c r="H903" s="94" t="str">
        <f>IF(AND(C903&lt;&gt;"", 'Cost Inputs'!$J$206&lt;&gt;""), 'Cost Inputs'!$J$206, "")</f>
        <v/>
      </c>
      <c r="I903" s="102" t="str">
        <f>IF($C903&lt;&gt;"",IF(AND($E903&lt;&gt;"",H903&lt;&gt;""), H903/$E903, 0),"")</f>
        <v/>
      </c>
      <c r="J903" s="94" t="str">
        <f>IF(AND(C903&lt;&gt;"",('Cost Inputs'!$I$206+'Cost Inputs'!$J$206+'Cost Inputs'!$K$206)&gt;0), 'Cost Inputs'!$I$206+'Cost Inputs'!$J$206+'Cost Inputs'!$K$206, "")</f>
        <v/>
      </c>
      <c r="K903" s="102" t="str">
        <f>IF($C903&lt;&gt;"",IF(AND($E903&lt;&gt;"",J903&lt;&gt;""), J903/$E903, 0),"")</f>
        <v/>
      </c>
      <c r="L903" s="94"/>
      <c r="M903" s="103"/>
      <c r="T903" s="94" t="str">
        <f>IF(ISNUMBER('Model_ of_individuals'!T923), 'Model_ of_individuals'!T923*'Model_ of_individuals'!$K923,"")</f>
        <v/>
      </c>
      <c r="U903" s="94" t="str">
        <f>IF(ISNUMBER('Model_ of_individuals'!U923), 'Model_ of_individuals'!U923*'Model_ of_individuals'!$K923,"")</f>
        <v/>
      </c>
      <c r="V903" s="94" t="str">
        <f>IF(ISNUMBER('Model_ of_individuals'!V923), 'Model_ of_individuals'!V923*'Model_ of_individuals'!$K923,"")</f>
        <v/>
      </c>
      <c r="W903" s="94" t="str">
        <f>IF(ISNUMBER('Model_ of_individuals'!W923), 'Model_ of_individuals'!W923*'Model_ of_individuals'!$K923,"")</f>
        <v/>
      </c>
      <c r="X903" s="94" t="str">
        <f>IF(ISNUMBER('Model_ of_individuals'!X923), 'Model_ of_individuals'!X923*'Model_ of_individuals'!$K923,"")</f>
        <v/>
      </c>
      <c r="Y903" s="94" t="str">
        <f>IF(ISNUMBER('Model_ of_individuals'!Y923), 'Model_ of_individuals'!Y923*'Model_ of_individuals'!$K923,"")</f>
        <v/>
      </c>
      <c r="Z903" s="94" t="str">
        <f>IF(ISNUMBER('Model_ of_individuals'!Z923), 'Model_ of_individuals'!Z923*'Model_ of_individuals'!$K923,"")</f>
        <v/>
      </c>
      <c r="AA903" s="94" t="str">
        <f>IF(ISNUMBER('Model_ of_individuals'!AA923), 'Model_ of_individuals'!AA923*'Model_ of_individuals'!$K923,"")</f>
        <v/>
      </c>
      <c r="AB903" s="94" t="str">
        <f>IF(ISNUMBER('Model_ of_individuals'!AB923), 'Model_ of_individuals'!AB923*'Model_ of_individuals'!$K923,"")</f>
        <v/>
      </c>
      <c r="AC903" s="94" t="str">
        <f>IF(ISNUMBER('Model_ of_individuals'!AC923), 'Model_ of_individuals'!AC923*'Model_ of_individuals'!$K923,"")</f>
        <v/>
      </c>
    </row>
    <row r="904" spans="1:30" x14ac:dyDescent="0.25">
      <c r="A904" s="518"/>
      <c r="B904" s="504"/>
      <c r="C904" s="104" t="str">
        <f>IF(AND(ISNUMBER(B866), OR('Cost Inputs'!$H$207&lt;&gt;"", 'Cost Inputs'!$I$207&lt;&gt;"", 'Cost Inputs'!$J$207&lt;&gt;"")), _6_6_1, "")</f>
        <v/>
      </c>
      <c r="D904" s="17" t="str">
        <f>IF(AND(C904&lt;&gt;"", 'Cost Inputs'!$G$207&lt;&gt;""), 'Cost Inputs'!$G$207, "")</f>
        <v/>
      </c>
      <c r="E904" s="17" t="str">
        <f>IF(AND(C904&lt;&gt;"", 'Cost Inputs'!$H$207&lt;&gt;""), 'Cost Inputs'!$H$207, "")</f>
        <v/>
      </c>
      <c r="F904" s="17" t="str">
        <f>IF(AND(C904&lt;&gt;"", 'Cost Inputs'!$I$207&lt;&gt;""), 'Cost Inputs'!$I$207, "")</f>
        <v/>
      </c>
      <c r="G904" s="105" t="str">
        <f t="shared" si="79"/>
        <v/>
      </c>
      <c r="H904" s="17" t="str">
        <f>IF(AND(C904&lt;&gt;"", 'Cost Inputs'!$J$207&lt;&gt;""), 'Cost Inputs'!$J$207, "")</f>
        <v/>
      </c>
      <c r="I904" s="17" t="str">
        <f>IF($C904&lt;&gt;"", IF(AND($E904&lt;&gt;"", H904&lt;&gt;""), H904/$E904, 0),"")</f>
        <v/>
      </c>
      <c r="J904" s="17" t="str">
        <f>IF(AND(C904&lt;&gt;"",('Cost Inputs'!$I$207+'Cost Inputs'!$J$207+'Cost Inputs'!$K$207)&gt;0), 'Cost Inputs'!$I$207+'Cost Inputs'!$J$207+'Cost Inputs'!$K$207, "")</f>
        <v/>
      </c>
      <c r="K904" s="17" t="str">
        <f>IF($C904&lt;&gt;"", IF(AND($E904&lt;&gt;"", J904&lt;&gt;""), J904/$E904, 0),"")</f>
        <v/>
      </c>
      <c r="M904" s="106"/>
      <c r="T904" s="17" t="str">
        <f>IF(ISNUMBER('Model_ of_individuals'!T924), 'Model_ of_individuals'!T924*'Model_ of_individuals'!$K924,"")</f>
        <v/>
      </c>
      <c r="U904" s="17" t="str">
        <f>IF(ISNUMBER('Model_ of_individuals'!U924), 'Model_ of_individuals'!U924*'Model_ of_individuals'!$K924,"")</f>
        <v/>
      </c>
      <c r="V904" s="17" t="str">
        <f>IF(ISNUMBER('Model_ of_individuals'!V924), 'Model_ of_individuals'!V924*'Model_ of_individuals'!$K924,"")</f>
        <v/>
      </c>
      <c r="W904" s="17" t="str">
        <f>IF(ISNUMBER('Model_ of_individuals'!W924), 'Model_ of_individuals'!W924*'Model_ of_individuals'!$K924,"")</f>
        <v/>
      </c>
      <c r="X904" s="17" t="str">
        <f>IF(ISNUMBER('Model_ of_individuals'!X924), 'Model_ of_individuals'!X924*'Model_ of_individuals'!$K924,"")</f>
        <v/>
      </c>
      <c r="Y904" s="17" t="str">
        <f>IF(ISNUMBER('Model_ of_individuals'!Y924), 'Model_ of_individuals'!Y924*'Model_ of_individuals'!$K924,"")</f>
        <v/>
      </c>
      <c r="Z904" s="17" t="str">
        <f>IF(ISNUMBER('Model_ of_individuals'!Z924), 'Model_ of_individuals'!Z924*'Model_ of_individuals'!$K924,"")</f>
        <v/>
      </c>
      <c r="AA904" s="17" t="str">
        <f>IF(ISNUMBER('Model_ of_individuals'!AA924), 'Model_ of_individuals'!AA924*'Model_ of_individuals'!$K924,"")</f>
        <v/>
      </c>
      <c r="AB904" s="17" t="str">
        <f>IF(ISNUMBER('Model_ of_individuals'!AB924), 'Model_ of_individuals'!AB924*'Model_ of_individuals'!$K924,"")</f>
        <v/>
      </c>
      <c r="AC904" s="17" t="str">
        <f>IF(ISNUMBER('Model_ of_individuals'!AC924), 'Model_ of_individuals'!AC924*'Model_ of_individuals'!$K924,"")</f>
        <v/>
      </c>
    </row>
    <row r="905" spans="1:30" ht="15.75" thickBot="1" x14ac:dyDescent="0.3">
      <c r="A905" s="518"/>
      <c r="B905" s="505"/>
      <c r="C905" s="111" t="str">
        <f>IF(AND(ISNUMBER(B866), OR('Cost Inputs'!$H$208&lt;&gt;"", 'Cost Inputs'!$I$208&lt;&gt;"", 'Cost Inputs'!$J$208&lt;&gt;"")), _6_6_2, "")</f>
        <v/>
      </c>
      <c r="D905" s="95" t="str">
        <f>IF(AND(C905&lt;&gt;"", 'Cost Inputs'!$G$208&lt;&gt;""), 'Cost Inputs'!$G$208, "")</f>
        <v/>
      </c>
      <c r="E905" s="95" t="str">
        <f>IF(AND(C905&lt;&gt;"", 'Cost Inputs'!$H$208&lt;&gt;""), 'Cost Inputs'!$H$208, "")</f>
        <v/>
      </c>
      <c r="F905" s="95" t="str">
        <f>IF(AND(C905&lt;&gt;"", 'Cost Inputs'!$I$208&lt;&gt;""), 'Cost Inputs'!$I$208, "")</f>
        <v/>
      </c>
      <c r="G905" s="112" t="str">
        <f t="shared" si="79"/>
        <v/>
      </c>
      <c r="H905" s="95" t="str">
        <f>IF(AND(C905&lt;&gt;"", 'Cost Inputs'!$J$208&lt;&gt;""), 'Cost Inputs'!$J$208, "")</f>
        <v/>
      </c>
      <c r="I905" s="95" t="str">
        <f>IF($C905&lt;&gt;"", IF(AND($E905&lt;&gt;"", H905&lt;&gt;""), H905/$E905, 0),"")</f>
        <v/>
      </c>
      <c r="J905" s="95" t="str">
        <f>IF(AND(C905&lt;&gt;"",('Cost Inputs'!$I$208+'Cost Inputs'!$J$208+'Cost Inputs'!$K$208)&gt;0), 'Cost Inputs'!$I$208+'Cost Inputs'!$J$208+'Cost Inputs'!$K$208, "")</f>
        <v/>
      </c>
      <c r="K905" s="95" t="str">
        <f>IF($C905&lt;&gt;"", IF(AND($E905&lt;&gt;"", J905&lt;&gt;""), J905/$E905, 0),"")</f>
        <v/>
      </c>
      <c r="L905" s="95"/>
      <c r="M905" s="113"/>
      <c r="T905" s="95" t="str">
        <f>IF(ISNUMBER('Model_ of_individuals'!T925), 'Model_ of_individuals'!T925*'Model_ of_individuals'!$K925,"")</f>
        <v/>
      </c>
      <c r="U905" s="95" t="str">
        <f>IF(ISNUMBER('Model_ of_individuals'!U925), 'Model_ of_individuals'!U925*'Model_ of_individuals'!$K925,"")</f>
        <v/>
      </c>
      <c r="V905" s="95" t="str">
        <f>IF(ISNUMBER('Model_ of_individuals'!V925), 'Model_ of_individuals'!V925*'Model_ of_individuals'!$K925,"")</f>
        <v/>
      </c>
      <c r="W905" s="95" t="str">
        <f>IF(ISNUMBER('Model_ of_individuals'!W925), 'Model_ of_individuals'!W925*'Model_ of_individuals'!$K925,"")</f>
        <v/>
      </c>
      <c r="X905" s="95" t="str">
        <f>IF(ISNUMBER('Model_ of_individuals'!X925), 'Model_ of_individuals'!X925*'Model_ of_individuals'!$K925,"")</f>
        <v/>
      </c>
      <c r="Y905" s="95" t="str">
        <f>IF(ISNUMBER('Model_ of_individuals'!Y925), 'Model_ of_individuals'!Y925*'Model_ of_individuals'!$K925,"")</f>
        <v/>
      </c>
      <c r="Z905" s="95" t="str">
        <f>IF(ISNUMBER('Model_ of_individuals'!Z925), 'Model_ of_individuals'!Z925*'Model_ of_individuals'!$K925,"")</f>
        <v/>
      </c>
      <c r="AA905" s="95" t="str">
        <f>IF(ISNUMBER('Model_ of_individuals'!AA925), 'Model_ of_individuals'!AA925*'Model_ of_individuals'!$K925,"")</f>
        <v/>
      </c>
      <c r="AB905" s="95" t="str">
        <f>IF(ISNUMBER('Model_ of_individuals'!AB925), 'Model_ of_individuals'!AB925*'Model_ of_individuals'!$K925,"")</f>
        <v/>
      </c>
      <c r="AC905" s="95" t="str">
        <f>IF(ISNUMBER('Model_ of_individuals'!AC925), 'Model_ of_individuals'!AC925*'Model_ of_individuals'!$K925,"")</f>
        <v/>
      </c>
    </row>
    <row r="906" spans="1:30" x14ac:dyDescent="0.25">
      <c r="A906" s="518" t="str">
        <f>Sixth_Stage</f>
        <v>Stage 4 Grower Trials</v>
      </c>
      <c r="B906" s="503" t="str">
        <f>'Breeding Inputs'!B119</f>
        <v/>
      </c>
      <c r="C906" s="521" t="str">
        <f>IF(ISNUMBER(B888), _6_3_0, "")</f>
        <v/>
      </c>
      <c r="D906" s="94" t="str">
        <f>IF(AND(C906&lt;&gt;"", 'Cost Inputs'!$G$187&lt;&gt;""), 'Cost Inputs'!$G$187, "")</f>
        <v/>
      </c>
      <c r="E906" s="94" t="str">
        <f>IF(AND(C906&lt;&gt;"", 'Cost Inputs'!$H$187&lt;&gt;""), 'Cost Inputs'!$H$187, "")</f>
        <v/>
      </c>
      <c r="F906" s="492" t="str">
        <f>IF(AND(C906&lt;&gt;"", 'Cost Inputs'!$I$187&lt;&gt;""), 'Cost Inputs'!$I$187, "")</f>
        <v/>
      </c>
      <c r="G906" s="102" t="str">
        <f t="shared" si="79"/>
        <v/>
      </c>
      <c r="H906" s="492" t="str">
        <f>IF(AND(C906&lt;&gt;"", 'Cost Inputs'!$J$187&lt;&gt;""), 'Cost Inputs'!$J$187, "")</f>
        <v/>
      </c>
      <c r="I906" s="102" t="str">
        <f>IF($C906&lt;&gt;"",IF(AND($E906&lt;&gt;"",H906&lt;&gt;""), H906/$E906, 0),"")</f>
        <v/>
      </c>
      <c r="J906" s="492" t="str">
        <f>IF(AND(C906&lt;&gt;"",('Cost Inputs'!$I$187+'Cost Inputs'!$J$187+'Cost Inputs'!$K$187)&gt;0), 'Cost Inputs'!$I$187+'Cost Inputs'!$J$187+'Cost Inputs'!$K$187, "")</f>
        <v/>
      </c>
      <c r="K906" s="102" t="str">
        <f>IF($C906&lt;&gt;"",IF(AND($E906&lt;&gt;"",J906&lt;&gt;""), J906/$E906, 0),"")</f>
        <v/>
      </c>
      <c r="L906" s="94"/>
      <c r="M906" s="103"/>
      <c r="U906" s="492" t="str">
        <f>IF(ISNUMBER('Model_ of_individuals'!U926), 'Model_ of_individuals'!U926*'Model_ of_individuals'!$K926,"")</f>
        <v/>
      </c>
      <c r="V906" s="492" t="str">
        <f>IF(ISNUMBER('Model_ of_individuals'!V926), 'Model_ of_individuals'!V926*'Model_ of_individuals'!$K926,"")</f>
        <v/>
      </c>
      <c r="W906" s="492" t="str">
        <f>IF(ISNUMBER('Model_ of_individuals'!W926), 'Model_ of_individuals'!W926*'Model_ of_individuals'!$K926,"")</f>
        <v/>
      </c>
      <c r="X906" s="492" t="str">
        <f>IF(ISNUMBER('Model_ of_individuals'!X926), 'Model_ of_individuals'!X926*'Model_ of_individuals'!$K926,"")</f>
        <v/>
      </c>
      <c r="Y906" s="492" t="str">
        <f>IF(ISNUMBER('Model_ of_individuals'!Y926), 'Model_ of_individuals'!Y926*'Model_ of_individuals'!$K926,"")</f>
        <v/>
      </c>
      <c r="Z906" s="492" t="str">
        <f>IF(ISNUMBER('Model_ of_individuals'!Z926), 'Model_ of_individuals'!Z926*'Model_ of_individuals'!$K926,"")</f>
        <v/>
      </c>
      <c r="AA906" s="492" t="str">
        <f>IF(ISNUMBER('Model_ of_individuals'!AA926), 'Model_ of_individuals'!AA926*'Model_ of_individuals'!$K926,"")</f>
        <v/>
      </c>
      <c r="AB906" s="492" t="str">
        <f>IF(ISNUMBER('Model_ of_individuals'!AB926), 'Model_ of_individuals'!AB926*'Model_ of_individuals'!$K926,"")</f>
        <v/>
      </c>
      <c r="AC906" s="492" t="str">
        <f>IF(ISNUMBER('Model_ of_individuals'!AC926), 'Model_ of_individuals'!AC926*'Model_ of_individuals'!$K926,"")</f>
        <v/>
      </c>
      <c r="AD906" s="492" t="str">
        <f>IF(ISNUMBER('Model_ of_individuals'!AD926), 'Model_ of_individuals'!AD926*'Model_ of_individuals'!$K926,"")</f>
        <v/>
      </c>
    </row>
    <row r="907" spans="1:30" x14ac:dyDescent="0.25">
      <c r="A907" s="518"/>
      <c r="B907" s="504"/>
      <c r="C907" s="521"/>
      <c r="D907" s="94" t="str">
        <f>IF(AND(C906&lt;&gt;"", 'Cost Inputs'!$G$188&lt;&gt;""), 'Cost Inputs'!$G$188, "")</f>
        <v/>
      </c>
      <c r="E907" s="94" t="str">
        <f>IF(AND(C906&lt;&gt;"", 'Cost Inputs'!$H$188&lt;&gt;""), 'Cost Inputs'!$H$188, "")</f>
        <v/>
      </c>
      <c r="F907" s="492"/>
      <c r="G907" s="102" t="str">
        <f t="shared" si="79"/>
        <v/>
      </c>
      <c r="H907" s="492"/>
      <c r="I907" s="102" t="str">
        <f>IF($C906&lt;&gt;"", IF(AND($E907&lt;&gt;"", H906&lt;&gt;""), H906/($E906*$E907), 0), "")</f>
        <v/>
      </c>
      <c r="J907" s="492" t="str">
        <f>IF(AND(C907&lt;&gt;"",('Cost Inputs'!$I$86+'Cost Inputs'!$J$86+'Cost Inputs'!$K$86)&gt;0), 'Cost Inputs'!$I$86+'Cost Inputs'!$J$86+'Cost Inputs'!$K$86, "")</f>
        <v/>
      </c>
      <c r="K907" s="102" t="str">
        <f>IF($C906&lt;&gt;"", IF(AND($E907&lt;&gt;"", J906&lt;&gt;""), J906/($E906*$E907), 0), "")</f>
        <v/>
      </c>
      <c r="L907" s="94"/>
      <c r="M907" s="103"/>
      <c r="U907" s="492" t="str">
        <f>IF(ISNUMBER('Model_ of_individuals'!U927), 'Model_ of_individuals'!U927*'Model_ of_individuals'!$K927,"")</f>
        <v/>
      </c>
      <c r="V907" s="492" t="str">
        <f>IF(ISNUMBER('Model_ of_individuals'!V927), 'Model_ of_individuals'!V927*'Model_ of_individuals'!$K927,"")</f>
        <v/>
      </c>
      <c r="W907" s="492" t="str">
        <f>IF(ISNUMBER('Model_ of_individuals'!W927), 'Model_ of_individuals'!W927*'Model_ of_individuals'!$K927,"")</f>
        <v/>
      </c>
      <c r="X907" s="492" t="str">
        <f>IF(ISNUMBER('Model_ of_individuals'!X927), 'Model_ of_individuals'!X927*'Model_ of_individuals'!$K927,"")</f>
        <v/>
      </c>
      <c r="Y907" s="492" t="str">
        <f>IF(ISNUMBER('Model_ of_individuals'!Y927), 'Model_ of_individuals'!Y927*'Model_ of_individuals'!$K927,"")</f>
        <v/>
      </c>
      <c r="Z907" s="492" t="str">
        <f>IF(ISNUMBER('Model_ of_individuals'!Z927), 'Model_ of_individuals'!Z927*'Model_ of_individuals'!$K927,"")</f>
        <v/>
      </c>
      <c r="AA907" s="492" t="str">
        <f>IF(ISNUMBER('Model_ of_individuals'!AA927), 'Model_ of_individuals'!AA927*'Model_ of_individuals'!$K927,"")</f>
        <v/>
      </c>
      <c r="AB907" s="492" t="str">
        <f>IF(ISNUMBER('Model_ of_individuals'!AB927), 'Model_ of_individuals'!AB927*'Model_ of_individuals'!$K927,"")</f>
        <v/>
      </c>
      <c r="AC907" s="492" t="str">
        <f>IF(ISNUMBER('Model_ of_individuals'!AC927), 'Model_ of_individuals'!AC927*'Model_ of_individuals'!$K927,"")</f>
        <v/>
      </c>
      <c r="AD907" s="492" t="str">
        <f>IF(ISNUMBER('Model_ of_individuals'!AD927), 'Model_ of_individuals'!AD927*'Model_ of_individuals'!$K927,"")</f>
        <v/>
      </c>
    </row>
    <row r="908" spans="1:30" x14ac:dyDescent="0.25">
      <c r="A908" s="518"/>
      <c r="B908" s="504"/>
      <c r="C908" s="104" t="str">
        <f>IF(AND(ISNUMBER(B888), OR('Cost Inputs'!$H$189&lt;&gt;"", 'Cost Inputs'!$I$189&lt;&gt;"", 'Cost Inputs'!$J$189&lt;&gt;"")), _6_3_1, "")</f>
        <v/>
      </c>
      <c r="D908" s="17" t="str">
        <f>IF(AND(C908&lt;&gt;"", 'Cost Inputs'!$G$189&lt;&gt;""), 'Cost Inputs'!$G$189, "")</f>
        <v/>
      </c>
      <c r="E908" s="17" t="str">
        <f>IF(AND(C908&lt;&gt;"", 'Cost Inputs'!$H$189&lt;&gt;""), 'Cost Inputs'!$H$189, "")</f>
        <v/>
      </c>
      <c r="F908" s="17" t="str">
        <f>IF(AND(C908&lt;&gt;"", 'Cost Inputs'!$I$189&lt;&gt;""), 'Cost Inputs'!$I$189, "")</f>
        <v/>
      </c>
      <c r="G908" s="105" t="str">
        <f t="shared" si="79"/>
        <v/>
      </c>
      <c r="H908" s="17" t="str">
        <f>IF(AND(C908&lt;&gt;"", 'Cost Inputs'!$J$189&lt;&gt;""), 'Cost Inputs'!$J$189, "")</f>
        <v/>
      </c>
      <c r="I908" s="17" t="str">
        <f t="shared" ref="I908:I916" si="84">IF($C908&lt;&gt;"", IF(AND($E908&lt;&gt;"", H908&lt;&gt;""), H908/$E908, 0),"")</f>
        <v/>
      </c>
      <c r="J908" s="17" t="str">
        <f>IF(AND(C908&lt;&gt;"",('Cost Inputs'!$I$189+'Cost Inputs'!$J$189+'Cost Inputs'!$K$189)&gt;0), 'Cost Inputs'!$I$189+'Cost Inputs'!$J$189+'Cost Inputs'!$K$189, "")</f>
        <v/>
      </c>
      <c r="K908" s="17" t="str">
        <f t="shared" ref="K908:K916" si="85">IF($C908&lt;&gt;"", IF(AND($E908&lt;&gt;"", J908&lt;&gt;""), J908/$E908, 0),"")</f>
        <v/>
      </c>
      <c r="M908" s="106"/>
      <c r="U908" s="17" t="str">
        <f>IF(ISNUMBER('Model_ of_individuals'!U928), 'Model_ of_individuals'!U928*'Model_ of_individuals'!$K928,"")</f>
        <v/>
      </c>
      <c r="V908" s="17" t="str">
        <f>IF(ISNUMBER('Model_ of_individuals'!V928), 'Model_ of_individuals'!V928*'Model_ of_individuals'!$K928,"")</f>
        <v/>
      </c>
      <c r="W908" s="17" t="str">
        <f>IF(ISNUMBER('Model_ of_individuals'!W928), 'Model_ of_individuals'!W928*'Model_ of_individuals'!$K928,"")</f>
        <v/>
      </c>
      <c r="X908" s="17" t="str">
        <f>IF(ISNUMBER('Model_ of_individuals'!X928), 'Model_ of_individuals'!X928*'Model_ of_individuals'!$K928,"")</f>
        <v/>
      </c>
      <c r="Y908" s="17" t="str">
        <f>IF(ISNUMBER('Model_ of_individuals'!Y928), 'Model_ of_individuals'!Y928*'Model_ of_individuals'!$K928,"")</f>
        <v/>
      </c>
      <c r="Z908" s="17" t="str">
        <f>IF(ISNUMBER('Model_ of_individuals'!Z928), 'Model_ of_individuals'!Z928*'Model_ of_individuals'!$K928,"")</f>
        <v/>
      </c>
      <c r="AA908" s="17" t="str">
        <f>IF(ISNUMBER('Model_ of_individuals'!AA928), 'Model_ of_individuals'!AA928*'Model_ of_individuals'!$K928,"")</f>
        <v/>
      </c>
      <c r="AB908" s="17" t="str">
        <f>IF(ISNUMBER('Model_ of_individuals'!AB928), 'Model_ of_individuals'!AB928*'Model_ of_individuals'!$K928,"")</f>
        <v/>
      </c>
      <c r="AC908" s="17" t="str">
        <f>IF(ISNUMBER('Model_ of_individuals'!AC928), 'Model_ of_individuals'!AC928*'Model_ of_individuals'!$K928,"")</f>
        <v/>
      </c>
      <c r="AD908" s="17" t="str">
        <f>IF(ISNUMBER('Model_ of_individuals'!AD928), 'Model_ of_individuals'!AD928*'Model_ of_individuals'!$K928,"")</f>
        <v/>
      </c>
    </row>
    <row r="909" spans="1:30" x14ac:dyDescent="0.25">
      <c r="A909" s="518"/>
      <c r="B909" s="504"/>
      <c r="C909" s="107" t="str">
        <f>IF(AND(ISNUMBER(B888), OR('Cost Inputs'!$H$190&lt;&gt;"", 'Cost Inputs'!$I$190&lt;&gt;"", 'Cost Inputs'!$J$190&lt;&gt;"")), _6_3_2, "")</f>
        <v/>
      </c>
      <c r="D909" s="93" t="str">
        <f>IF(AND(C909&lt;&gt;"", 'Cost Inputs'!$G$190&lt;&gt;""), 'Cost Inputs'!$G$190, "")</f>
        <v/>
      </c>
      <c r="E909" s="93" t="str">
        <f>IF(AND(C909&lt;&gt;"", 'Cost Inputs'!$H$190&lt;&gt;""), 'Cost Inputs'!$H$190, "")</f>
        <v/>
      </c>
      <c r="F909" s="93" t="str">
        <f>IF(AND(C909&lt;&gt;"", 'Cost Inputs'!$I$190&lt;&gt;""), 'Cost Inputs'!$I$190, "")</f>
        <v/>
      </c>
      <c r="G909" s="108" t="str">
        <f t="shared" si="79"/>
        <v/>
      </c>
      <c r="H909" s="93" t="str">
        <f>IF(AND(C909&lt;&gt;"", 'Cost Inputs'!$J$190&lt;&gt;""), 'Cost Inputs'!$J$190, "")</f>
        <v/>
      </c>
      <c r="I909" s="93" t="str">
        <f t="shared" si="84"/>
        <v/>
      </c>
      <c r="J909" s="93" t="str">
        <f>IF(AND(C909&lt;&gt;"",('Cost Inputs'!$I$190+'Cost Inputs'!$J$190+'Cost Inputs'!$K$190)&gt;0), 'Cost Inputs'!$I$190+'Cost Inputs'!$J$190+'Cost Inputs'!$K$190, "")</f>
        <v/>
      </c>
      <c r="K909" s="93" t="str">
        <f t="shared" si="85"/>
        <v/>
      </c>
      <c r="L909" s="93"/>
      <c r="M909" s="109"/>
      <c r="U909" s="93" t="str">
        <f>IF(ISNUMBER('Model_ of_individuals'!U929), 'Model_ of_individuals'!U929*'Model_ of_individuals'!$K929,"")</f>
        <v/>
      </c>
      <c r="V909" s="93" t="str">
        <f>IF(ISNUMBER('Model_ of_individuals'!V929), 'Model_ of_individuals'!V929*'Model_ of_individuals'!$K929,"")</f>
        <v/>
      </c>
      <c r="W909" s="93" t="str">
        <f>IF(ISNUMBER('Model_ of_individuals'!W929), 'Model_ of_individuals'!W929*'Model_ of_individuals'!$K929,"")</f>
        <v/>
      </c>
      <c r="X909" s="93" t="str">
        <f>IF(ISNUMBER('Model_ of_individuals'!X929), 'Model_ of_individuals'!X929*'Model_ of_individuals'!$K929,"")</f>
        <v/>
      </c>
      <c r="Y909" s="93" t="str">
        <f>IF(ISNUMBER('Model_ of_individuals'!Y929), 'Model_ of_individuals'!Y929*'Model_ of_individuals'!$K929,"")</f>
        <v/>
      </c>
      <c r="Z909" s="93" t="str">
        <f>IF(ISNUMBER('Model_ of_individuals'!Z929), 'Model_ of_individuals'!Z929*'Model_ of_individuals'!$K929,"")</f>
        <v/>
      </c>
      <c r="AA909" s="93" t="str">
        <f>IF(ISNUMBER('Model_ of_individuals'!AA929), 'Model_ of_individuals'!AA929*'Model_ of_individuals'!$K929,"")</f>
        <v/>
      </c>
      <c r="AB909" s="93" t="str">
        <f>IF(ISNUMBER('Model_ of_individuals'!AB929), 'Model_ of_individuals'!AB929*'Model_ of_individuals'!$K929,"")</f>
        <v/>
      </c>
      <c r="AC909" s="93" t="str">
        <f>IF(ISNUMBER('Model_ of_individuals'!AC929), 'Model_ of_individuals'!AC929*'Model_ of_individuals'!$K929,"")</f>
        <v/>
      </c>
      <c r="AD909" s="93" t="str">
        <f>IF(ISNUMBER('Model_ of_individuals'!AD929), 'Model_ of_individuals'!AD929*'Model_ of_individuals'!$K929,"")</f>
        <v/>
      </c>
    </row>
    <row r="910" spans="1:30" x14ac:dyDescent="0.25">
      <c r="A910" s="518"/>
      <c r="B910" s="504"/>
      <c r="C910" s="110" t="str">
        <f>IF(ISNUMBER(B888), _6_4_0, "")</f>
        <v/>
      </c>
      <c r="D910" s="94" t="str">
        <f>IF(AND(C910&lt;&gt;"", 'Cost Inputs'!$G$191&lt;&gt;""), 'Cost Inputs'!$G$191, "")</f>
        <v/>
      </c>
      <c r="E910" s="94" t="str">
        <f>IF(AND(C910&lt;&gt;"", 'Cost Inputs'!$H$191&lt;&gt;""), 'Cost Inputs'!$H$191, "")</f>
        <v/>
      </c>
      <c r="F910" s="94" t="str">
        <f>IF(AND(C910&lt;&gt;"", 'Cost Inputs'!$I$191&lt;&gt;""), 'Cost Inputs'!$I$191, "")</f>
        <v/>
      </c>
      <c r="G910" s="102" t="str">
        <f t="shared" si="79"/>
        <v/>
      </c>
      <c r="H910" s="102" t="str">
        <f>IF(AND(C910&lt;&gt;"", 'Cost Inputs'!$J$191&lt;&gt;""), 'Cost Inputs'!$J$191, "")</f>
        <v/>
      </c>
      <c r="I910" s="102" t="str">
        <f t="shared" si="84"/>
        <v/>
      </c>
      <c r="J910" s="102" t="str">
        <f>IF(AND(C910&lt;&gt;"",('Cost Inputs'!$I$191+'Cost Inputs'!$J$191+'Cost Inputs'!$K$191)&gt;0), 'Cost Inputs'!$I$191+'Cost Inputs'!$J$191+'Cost Inputs'!$K$191, "")</f>
        <v/>
      </c>
      <c r="K910" s="102" t="str">
        <f t="shared" si="85"/>
        <v/>
      </c>
      <c r="L910" s="94"/>
      <c r="M910" s="103"/>
      <c r="U910" s="102" t="str">
        <f>IF(ISNUMBER('Model_ of_individuals'!U930), 'Model_ of_individuals'!U930*'Model_ of_individuals'!$K930,"")</f>
        <v/>
      </c>
      <c r="V910" s="102" t="str">
        <f>IF(ISNUMBER('Model_ of_individuals'!V930), 'Model_ of_individuals'!V930*'Model_ of_individuals'!$K930,"")</f>
        <v/>
      </c>
      <c r="W910" s="102" t="str">
        <f>IF(ISNUMBER('Model_ of_individuals'!W930), 'Model_ of_individuals'!W930*'Model_ of_individuals'!$K930,"")</f>
        <v/>
      </c>
      <c r="X910" s="102" t="str">
        <f>IF(ISNUMBER('Model_ of_individuals'!X930), 'Model_ of_individuals'!X930*'Model_ of_individuals'!$K930,"")</f>
        <v/>
      </c>
      <c r="Y910" s="102" t="str">
        <f>IF(ISNUMBER('Model_ of_individuals'!Y930), 'Model_ of_individuals'!Y930*'Model_ of_individuals'!$K930,"")</f>
        <v/>
      </c>
      <c r="Z910" s="102" t="str">
        <f>IF(ISNUMBER('Model_ of_individuals'!Z930), 'Model_ of_individuals'!Z930*'Model_ of_individuals'!$K930,"")</f>
        <v/>
      </c>
      <c r="AA910" s="102" t="str">
        <f>IF(ISNUMBER('Model_ of_individuals'!AA930), 'Model_ of_individuals'!AA930*'Model_ of_individuals'!$K930,"")</f>
        <v/>
      </c>
      <c r="AB910" s="102" t="str">
        <f>IF(ISNUMBER('Model_ of_individuals'!AB930), 'Model_ of_individuals'!AB930*'Model_ of_individuals'!$K930,"")</f>
        <v/>
      </c>
      <c r="AC910" s="102" t="str">
        <f>IF(ISNUMBER('Model_ of_individuals'!AC930), 'Model_ of_individuals'!AC930*'Model_ of_individuals'!$K930,"")</f>
        <v/>
      </c>
      <c r="AD910" s="102" t="str">
        <f>IF(ISNUMBER('Model_ of_individuals'!AD930), 'Model_ of_individuals'!AD930*'Model_ of_individuals'!$K930,"")</f>
        <v/>
      </c>
    </row>
    <row r="911" spans="1:30" x14ac:dyDescent="0.25">
      <c r="A911" s="518"/>
      <c r="B911" s="504"/>
      <c r="C911" s="104" t="str">
        <f>IF(AND(ISNUMBER(B888), OR('Cost Inputs'!$H$192&lt;&gt;"", 'Cost Inputs'!$I$192&lt;&gt;"", 'Cost Inputs'!$J$192&lt;&gt;"")), _6_4_1, "")</f>
        <v/>
      </c>
      <c r="D911" s="17" t="str">
        <f>IF(AND(C911&lt;&gt;"", 'Cost Inputs'!$G$192&lt;&gt;""), 'Cost Inputs'!$G$192, "")</f>
        <v/>
      </c>
      <c r="E911" s="17" t="str">
        <f>IF(AND(C911&lt;&gt;"", 'Cost Inputs'!$H$192&lt;&gt;""), 'Cost Inputs'!$H$192, "")</f>
        <v/>
      </c>
      <c r="F911" s="17" t="str">
        <f>IF(AND(C911&lt;&gt;"", 'Cost Inputs'!$I$192&lt;&gt;""), 'Cost Inputs'!$I$192, "")</f>
        <v/>
      </c>
      <c r="G911" s="105" t="str">
        <f t="shared" ref="G911:G974" si="86">IF(AND($E911&lt;&gt;"", $E911&gt;0, F911&lt;&gt;""), F911/$E911, "")</f>
        <v/>
      </c>
      <c r="H911" s="17" t="str">
        <f>IF(AND(C911&lt;&gt;"", 'Cost Inputs'!$J$192&lt;&gt;""), 'Cost Inputs'!$J$192, "")</f>
        <v/>
      </c>
      <c r="I911" s="17" t="str">
        <f t="shared" si="84"/>
        <v/>
      </c>
      <c r="J911" s="17" t="str">
        <f>IF(AND(C911&lt;&gt;"",('Cost Inputs'!$I$192+'Cost Inputs'!$J$192+'Cost Inputs'!$K$192)&gt;0), 'Cost Inputs'!$I$192+'Cost Inputs'!$J$192+'Cost Inputs'!$K$192, "")</f>
        <v/>
      </c>
      <c r="K911" s="17" t="str">
        <f t="shared" si="85"/>
        <v/>
      </c>
      <c r="M911" s="106"/>
      <c r="U911" s="17" t="str">
        <f>IF(ISNUMBER('Model_ of_individuals'!U931), 'Model_ of_individuals'!U931*'Model_ of_individuals'!$K931,"")</f>
        <v/>
      </c>
      <c r="V911" s="17" t="str">
        <f>IF(ISNUMBER('Model_ of_individuals'!V931), 'Model_ of_individuals'!V931*'Model_ of_individuals'!$K931,"")</f>
        <v/>
      </c>
      <c r="W911" s="17" t="str">
        <f>IF(ISNUMBER('Model_ of_individuals'!W931), 'Model_ of_individuals'!W931*'Model_ of_individuals'!$K931,"")</f>
        <v/>
      </c>
      <c r="X911" s="17" t="str">
        <f>IF(ISNUMBER('Model_ of_individuals'!X931), 'Model_ of_individuals'!X931*'Model_ of_individuals'!$K931,"")</f>
        <v/>
      </c>
      <c r="Y911" s="17" t="str">
        <f>IF(ISNUMBER('Model_ of_individuals'!Y931), 'Model_ of_individuals'!Y931*'Model_ of_individuals'!$K931,"")</f>
        <v/>
      </c>
      <c r="Z911" s="17" t="str">
        <f>IF(ISNUMBER('Model_ of_individuals'!Z931), 'Model_ of_individuals'!Z931*'Model_ of_individuals'!$K931,"")</f>
        <v/>
      </c>
      <c r="AA911" s="17" t="str">
        <f>IF(ISNUMBER('Model_ of_individuals'!AA931), 'Model_ of_individuals'!AA931*'Model_ of_individuals'!$K931,"")</f>
        <v/>
      </c>
      <c r="AB911" s="17" t="str">
        <f>IF(ISNUMBER('Model_ of_individuals'!AB931), 'Model_ of_individuals'!AB931*'Model_ of_individuals'!$K931,"")</f>
        <v/>
      </c>
      <c r="AC911" s="17" t="str">
        <f>IF(ISNUMBER('Model_ of_individuals'!AC931), 'Model_ of_individuals'!AC931*'Model_ of_individuals'!$K931,"")</f>
        <v/>
      </c>
      <c r="AD911" s="17" t="str">
        <f>IF(ISNUMBER('Model_ of_individuals'!AD931), 'Model_ of_individuals'!AD931*'Model_ of_individuals'!$K931,"")</f>
        <v/>
      </c>
    </row>
    <row r="912" spans="1:30" x14ac:dyDescent="0.25">
      <c r="A912" s="518"/>
      <c r="B912" s="504"/>
      <c r="C912" s="107" t="str">
        <f>IF(AND(ISNUMBER(B888), OR('Cost Inputs'!$H$193&lt;&gt;"", 'Cost Inputs'!$I$193&lt;&gt;"", 'Cost Inputs'!$J$193&lt;&gt;"")), _6_4_2, "")</f>
        <v/>
      </c>
      <c r="D912" s="93" t="str">
        <f>IF(AND(C912&lt;&gt;"", 'Cost Inputs'!$G$193&lt;&gt;""), 'Cost Inputs'!$G$193, "")</f>
        <v/>
      </c>
      <c r="E912" s="93" t="str">
        <f>IF(AND(C912&lt;&gt;"", 'Cost Inputs'!$H$193&lt;&gt;""), 'Cost Inputs'!$H$193, "")</f>
        <v/>
      </c>
      <c r="F912" s="93" t="str">
        <f>IF(AND(C912&lt;&gt;"", 'Cost Inputs'!$I$193&lt;&gt;""), 'Cost Inputs'!$I$193, "")</f>
        <v/>
      </c>
      <c r="G912" s="108" t="str">
        <f t="shared" si="86"/>
        <v/>
      </c>
      <c r="H912" s="93" t="str">
        <f>IF(AND(C912&lt;&gt;"", 'Cost Inputs'!$J$193&lt;&gt;""), 'Cost Inputs'!$J$193, "")</f>
        <v/>
      </c>
      <c r="I912" s="93" t="str">
        <f t="shared" si="84"/>
        <v/>
      </c>
      <c r="J912" s="93" t="str">
        <f>IF(AND(C912&lt;&gt;"",('Cost Inputs'!$I$152+'Cost Inputs'!$J$152+'Cost Inputs'!$K$152)&gt;0), 'Cost Inputs'!$I$152+'Cost Inputs'!$J$152+'Cost Inputs'!$K$152, "")</f>
        <v/>
      </c>
      <c r="K912" s="93" t="str">
        <f t="shared" si="85"/>
        <v/>
      </c>
      <c r="L912" s="93"/>
      <c r="M912" s="109"/>
      <c r="U912" s="93" t="str">
        <f>IF(ISNUMBER('Model_ of_individuals'!U932), 'Model_ of_individuals'!U932*'Model_ of_individuals'!$K932,"")</f>
        <v/>
      </c>
      <c r="V912" s="93" t="str">
        <f>IF(ISNUMBER('Model_ of_individuals'!V932), 'Model_ of_individuals'!V932*'Model_ of_individuals'!$K932,"")</f>
        <v/>
      </c>
      <c r="W912" s="93" t="str">
        <f>IF(ISNUMBER('Model_ of_individuals'!W932), 'Model_ of_individuals'!W932*'Model_ of_individuals'!$K932,"")</f>
        <v/>
      </c>
      <c r="X912" s="93" t="str">
        <f>IF(ISNUMBER('Model_ of_individuals'!X932), 'Model_ of_individuals'!X932*'Model_ of_individuals'!$K932,"")</f>
        <v/>
      </c>
      <c r="Y912" s="93" t="str">
        <f>IF(ISNUMBER('Model_ of_individuals'!Y932), 'Model_ of_individuals'!Y932*'Model_ of_individuals'!$K932,"")</f>
        <v/>
      </c>
      <c r="Z912" s="93" t="str">
        <f>IF(ISNUMBER('Model_ of_individuals'!Z932), 'Model_ of_individuals'!Z932*'Model_ of_individuals'!$K932,"")</f>
        <v/>
      </c>
      <c r="AA912" s="93" t="str">
        <f>IF(ISNUMBER('Model_ of_individuals'!AA932), 'Model_ of_individuals'!AA932*'Model_ of_individuals'!$K932,"")</f>
        <v/>
      </c>
      <c r="AB912" s="93" t="str">
        <f>IF(ISNUMBER('Model_ of_individuals'!AB932), 'Model_ of_individuals'!AB932*'Model_ of_individuals'!$K932,"")</f>
        <v/>
      </c>
      <c r="AC912" s="93" t="str">
        <f>IF(ISNUMBER('Model_ of_individuals'!AC932), 'Model_ of_individuals'!AC932*'Model_ of_individuals'!$K932,"")</f>
        <v/>
      </c>
      <c r="AD912" s="93" t="str">
        <f>IF(ISNUMBER('Model_ of_individuals'!AD932), 'Model_ of_individuals'!AD932*'Model_ of_individuals'!$K932,"")</f>
        <v/>
      </c>
    </row>
    <row r="913" spans="1:31" x14ac:dyDescent="0.25">
      <c r="A913" s="518"/>
      <c r="B913" s="504"/>
      <c r="C913" s="104" t="str">
        <f>IF(AND(ISNUMBER(B888), OR('Cost Inputs'!$H$194&lt;&gt;"", 'Cost Inputs'!$I$194&lt;&gt;"", 'Cost Inputs'!$J$194&lt;&gt;"")), _6_4_3, "")</f>
        <v/>
      </c>
      <c r="D913" s="17" t="str">
        <f>IF(AND(C913&lt;&gt;"", 'Cost Inputs'!$G$194&lt;&gt;""), 'Cost Inputs'!$G$194, "")</f>
        <v/>
      </c>
      <c r="E913" s="17" t="str">
        <f>IF(AND(C913&lt;&gt;"", 'Cost Inputs'!$H$194&lt;&gt;""), 'Cost Inputs'!$H$194, "")</f>
        <v/>
      </c>
      <c r="F913" s="17" t="str">
        <f>IF(AND(C913&lt;&gt;"", 'Cost Inputs'!$I$194&lt;&gt;""), 'Cost Inputs'!$I$194, "")</f>
        <v/>
      </c>
      <c r="G913" s="105" t="str">
        <f t="shared" si="86"/>
        <v/>
      </c>
      <c r="H913" s="17" t="str">
        <f>IF(AND(C913&lt;&gt;"", 'Cost Inputs'!$J$194&lt;&gt;""), 'Cost Inputs'!$J$194, "")</f>
        <v/>
      </c>
      <c r="I913" s="17" t="str">
        <f t="shared" si="84"/>
        <v/>
      </c>
      <c r="J913" s="17" t="str">
        <f>IF(AND(C913&lt;&gt;"",('Cost Inputs'!$I$194+'Cost Inputs'!$J$194+'Cost Inputs'!$K$194)&gt;0), 'Cost Inputs'!$I$194+'Cost Inputs'!$J$194+'Cost Inputs'!$K$194, "")</f>
        <v/>
      </c>
      <c r="K913" s="17" t="str">
        <f t="shared" si="85"/>
        <v/>
      </c>
      <c r="M913" s="106"/>
      <c r="U913" s="17" t="str">
        <f>IF(ISNUMBER('Model_ of_individuals'!U933), 'Model_ of_individuals'!U933*'Model_ of_individuals'!$K933,"")</f>
        <v/>
      </c>
      <c r="V913" s="17" t="str">
        <f>IF(ISNUMBER('Model_ of_individuals'!V933), 'Model_ of_individuals'!V933*'Model_ of_individuals'!$K933,"")</f>
        <v/>
      </c>
      <c r="W913" s="17" t="str">
        <f>IF(ISNUMBER('Model_ of_individuals'!W933), 'Model_ of_individuals'!W933*'Model_ of_individuals'!$K933,"")</f>
        <v/>
      </c>
      <c r="X913" s="17" t="str">
        <f>IF(ISNUMBER('Model_ of_individuals'!X933), 'Model_ of_individuals'!X933*'Model_ of_individuals'!$K933,"")</f>
        <v/>
      </c>
      <c r="Y913" s="17" t="str">
        <f>IF(ISNUMBER('Model_ of_individuals'!Y933), 'Model_ of_individuals'!Y933*'Model_ of_individuals'!$K933,"")</f>
        <v/>
      </c>
      <c r="Z913" s="17" t="str">
        <f>IF(ISNUMBER('Model_ of_individuals'!Z933), 'Model_ of_individuals'!Z933*'Model_ of_individuals'!$K933,"")</f>
        <v/>
      </c>
      <c r="AA913" s="17" t="str">
        <f>IF(ISNUMBER('Model_ of_individuals'!AA933), 'Model_ of_individuals'!AA933*'Model_ of_individuals'!$K933,"")</f>
        <v/>
      </c>
      <c r="AB913" s="17" t="str">
        <f>IF(ISNUMBER('Model_ of_individuals'!AB933), 'Model_ of_individuals'!AB933*'Model_ of_individuals'!$K933,"")</f>
        <v/>
      </c>
      <c r="AC913" s="17" t="str">
        <f>IF(ISNUMBER('Model_ of_individuals'!AC933), 'Model_ of_individuals'!AC933*'Model_ of_individuals'!$K933,"")</f>
        <v/>
      </c>
      <c r="AD913" s="17" t="str">
        <f>IF(ISNUMBER('Model_ of_individuals'!AD933), 'Model_ of_individuals'!AD933*'Model_ of_individuals'!$K933,"")</f>
        <v/>
      </c>
    </row>
    <row r="914" spans="1:31" x14ac:dyDescent="0.25">
      <c r="A914" s="518"/>
      <c r="B914" s="504"/>
      <c r="C914" s="107" t="str">
        <f>IF(AND(ISNUMBER(B888), OR('Cost Inputs'!$H$195&lt;&gt;"", 'Cost Inputs'!$I$195&lt;&gt;"", 'Cost Inputs'!$J$195&lt;&gt;"")), _6_4_4, "")</f>
        <v/>
      </c>
      <c r="D914" s="93" t="str">
        <f>IF(AND(C914&lt;&gt;"", 'Cost Inputs'!$G$195&lt;&gt;""), 'Cost Inputs'!$G$195, "")</f>
        <v/>
      </c>
      <c r="E914" s="93" t="str">
        <f>IF(AND(C914&lt;&gt;"", 'Cost Inputs'!$H$195&lt;&gt;""), 'Cost Inputs'!$H$195, "")</f>
        <v/>
      </c>
      <c r="F914" s="93" t="str">
        <f>IF(AND(C914&lt;&gt;"", 'Cost Inputs'!$I$195&lt;&gt;""), 'Cost Inputs'!$I$195, "")</f>
        <v/>
      </c>
      <c r="G914" s="108" t="str">
        <f t="shared" si="86"/>
        <v/>
      </c>
      <c r="H914" s="93" t="str">
        <f>IF(AND(C914&lt;&gt;"", 'Cost Inputs'!$J$195&lt;&gt;""), 'Cost Inputs'!$J$195, "")</f>
        <v/>
      </c>
      <c r="I914" s="93" t="str">
        <f t="shared" si="84"/>
        <v/>
      </c>
      <c r="J914" s="93" t="str">
        <f>IF(AND(C914&lt;&gt;"",('Cost Inputs'!$I$195+'Cost Inputs'!$J$195+'Cost Inputs'!$K$195)&gt;0), 'Cost Inputs'!$I$195+'Cost Inputs'!$J$195+'Cost Inputs'!$K$195, "")</f>
        <v/>
      </c>
      <c r="K914" s="93" t="str">
        <f t="shared" si="85"/>
        <v/>
      </c>
      <c r="L914" s="93"/>
      <c r="M914" s="109"/>
      <c r="U914" s="93" t="str">
        <f>IF(ISNUMBER('Model_ of_individuals'!U934), 'Model_ of_individuals'!U934*'Model_ of_individuals'!$K934,"")</f>
        <v/>
      </c>
      <c r="V914" s="93" t="str">
        <f>IF(ISNUMBER('Model_ of_individuals'!V934), 'Model_ of_individuals'!V934*'Model_ of_individuals'!$K934,"")</f>
        <v/>
      </c>
      <c r="W914" s="93" t="str">
        <f>IF(ISNUMBER('Model_ of_individuals'!W934), 'Model_ of_individuals'!W934*'Model_ of_individuals'!$K934,"")</f>
        <v/>
      </c>
      <c r="X914" s="93" t="str">
        <f>IF(ISNUMBER('Model_ of_individuals'!X934), 'Model_ of_individuals'!X934*'Model_ of_individuals'!$K934,"")</f>
        <v/>
      </c>
      <c r="Y914" s="93" t="str">
        <f>IF(ISNUMBER('Model_ of_individuals'!Y934), 'Model_ of_individuals'!Y934*'Model_ of_individuals'!$K934,"")</f>
        <v/>
      </c>
      <c r="Z914" s="93" t="str">
        <f>IF(ISNUMBER('Model_ of_individuals'!Z934), 'Model_ of_individuals'!Z934*'Model_ of_individuals'!$K934,"")</f>
        <v/>
      </c>
      <c r="AA914" s="93" t="str">
        <f>IF(ISNUMBER('Model_ of_individuals'!AA934), 'Model_ of_individuals'!AA934*'Model_ of_individuals'!$K934,"")</f>
        <v/>
      </c>
      <c r="AB914" s="93" t="str">
        <f>IF(ISNUMBER('Model_ of_individuals'!AB934), 'Model_ of_individuals'!AB934*'Model_ of_individuals'!$K934,"")</f>
        <v/>
      </c>
      <c r="AC914" s="93" t="str">
        <f>IF(ISNUMBER('Model_ of_individuals'!AC934), 'Model_ of_individuals'!AC934*'Model_ of_individuals'!$K934,"")</f>
        <v/>
      </c>
      <c r="AD914" s="93" t="str">
        <f>IF(ISNUMBER('Model_ of_individuals'!AD934), 'Model_ of_individuals'!AD934*'Model_ of_individuals'!$K934,"")</f>
        <v/>
      </c>
    </row>
    <row r="915" spans="1:31" x14ac:dyDescent="0.25">
      <c r="A915" s="518"/>
      <c r="B915" s="504"/>
      <c r="C915" s="104" t="str">
        <f>IF(AND(ISNUMBER(B888), OR('Cost Inputs'!$H$196&lt;&gt;"", 'Cost Inputs'!$I$196&lt;&gt;"", 'Cost Inputs'!$J$196&lt;&gt;"")), _6_4_5, "")</f>
        <v/>
      </c>
      <c r="D915" s="17" t="str">
        <f>IF(AND(C915&lt;&gt;"", 'Cost Inputs'!$G$196&lt;&gt;""), 'Cost Inputs'!$G$196, "")</f>
        <v/>
      </c>
      <c r="E915" s="17" t="str">
        <f>IF(AND(C915&lt;&gt;"", 'Cost Inputs'!$H$196&lt;&gt;""), 'Cost Inputs'!$H$196, "")</f>
        <v/>
      </c>
      <c r="F915" s="17" t="str">
        <f>IF(AND(C915&lt;&gt;"", 'Cost Inputs'!$I$196&lt;&gt;""), 'Cost Inputs'!$I$196, "")</f>
        <v/>
      </c>
      <c r="G915" s="105" t="str">
        <f t="shared" si="86"/>
        <v/>
      </c>
      <c r="H915" s="17" t="str">
        <f>IF(AND(C915&lt;&gt;"", 'Cost Inputs'!$J$196&lt;&gt;""), 'Cost Inputs'!$J$196, "")</f>
        <v/>
      </c>
      <c r="I915" s="17" t="str">
        <f t="shared" si="84"/>
        <v/>
      </c>
      <c r="J915" s="17" t="str">
        <f>IF(AND(C915&lt;&gt;"",('Cost Inputs'!$I$196+'Cost Inputs'!$J$196+'Cost Inputs'!$K$196)&gt;0), 'Cost Inputs'!$I$196+'Cost Inputs'!$J$196+'Cost Inputs'!$K$196, "")</f>
        <v/>
      </c>
      <c r="K915" s="17" t="str">
        <f t="shared" si="85"/>
        <v/>
      </c>
      <c r="M915" s="106"/>
      <c r="U915" s="17" t="str">
        <f>IF(ISNUMBER('Model_ of_individuals'!U935), 'Model_ of_individuals'!U935*'Model_ of_individuals'!$K935,"")</f>
        <v/>
      </c>
      <c r="V915" s="17" t="str">
        <f>IF(ISNUMBER('Model_ of_individuals'!V935), 'Model_ of_individuals'!V935*'Model_ of_individuals'!$K935,"")</f>
        <v/>
      </c>
      <c r="W915" s="17" t="str">
        <f>IF(ISNUMBER('Model_ of_individuals'!W935), 'Model_ of_individuals'!W935*'Model_ of_individuals'!$K935,"")</f>
        <v/>
      </c>
      <c r="X915" s="17" t="str">
        <f>IF(ISNUMBER('Model_ of_individuals'!X935), 'Model_ of_individuals'!X935*'Model_ of_individuals'!$K935,"")</f>
        <v/>
      </c>
      <c r="Y915" s="17" t="str">
        <f>IF(ISNUMBER('Model_ of_individuals'!Y935), 'Model_ of_individuals'!Y935*'Model_ of_individuals'!$K935,"")</f>
        <v/>
      </c>
      <c r="Z915" s="17" t="str">
        <f>IF(ISNUMBER('Model_ of_individuals'!Z935), 'Model_ of_individuals'!Z935*'Model_ of_individuals'!$K935,"")</f>
        <v/>
      </c>
      <c r="AA915" s="17" t="str">
        <f>IF(ISNUMBER('Model_ of_individuals'!AA935), 'Model_ of_individuals'!AA935*'Model_ of_individuals'!$K935,"")</f>
        <v/>
      </c>
      <c r="AB915" s="17" t="str">
        <f>IF(ISNUMBER('Model_ of_individuals'!AB935), 'Model_ of_individuals'!AB935*'Model_ of_individuals'!$K935,"")</f>
        <v/>
      </c>
      <c r="AC915" s="17" t="str">
        <f>IF(ISNUMBER('Model_ of_individuals'!AC935), 'Model_ of_individuals'!AC935*'Model_ of_individuals'!$K935,"")</f>
        <v/>
      </c>
      <c r="AD915" s="17" t="str">
        <f>IF(ISNUMBER('Model_ of_individuals'!AD935), 'Model_ of_individuals'!AD935*'Model_ of_individuals'!$K935,"")</f>
        <v/>
      </c>
    </row>
    <row r="916" spans="1:31" x14ac:dyDescent="0.25">
      <c r="A916" s="518"/>
      <c r="B916" s="504"/>
      <c r="C916" s="107" t="str">
        <f>IF(AND(ISNUMBER(B888), OR('Cost Inputs'!$H$197&lt;&gt;"", 'Cost Inputs'!$I$197&lt;&gt;"", 'Cost Inputs'!$J$197&lt;&gt;"")), _6_4_6, "")</f>
        <v/>
      </c>
      <c r="D916" s="93" t="str">
        <f>IF(AND(C916&lt;&gt;"", 'Cost Inputs'!$G$197&lt;&gt;""), 'Cost Inputs'!$G$197, "")</f>
        <v/>
      </c>
      <c r="E916" s="93" t="str">
        <f>IF(AND(C916&lt;&gt;"", 'Cost Inputs'!$H$197&lt;&gt;""), 'Cost Inputs'!$H$197, "")</f>
        <v/>
      </c>
      <c r="F916" s="93" t="str">
        <f>IF(AND(C916&lt;&gt;"", 'Cost Inputs'!$I$197&lt;&gt;""), 'Cost Inputs'!$I$197, "")</f>
        <v/>
      </c>
      <c r="G916" s="108" t="str">
        <f t="shared" si="86"/>
        <v/>
      </c>
      <c r="H916" s="93" t="str">
        <f>IF(AND(C916&lt;&gt;"", 'Cost Inputs'!$J$197&lt;&gt;""), 'Cost Inputs'!$J$16, "")</f>
        <v/>
      </c>
      <c r="I916" s="93" t="str">
        <f t="shared" si="84"/>
        <v/>
      </c>
      <c r="J916" s="93" t="str">
        <f>IF(AND(C916&lt;&gt;"",('Cost Inputs'!$I$197+'Cost Inputs'!$J$197+'Cost Inputs'!$K$197)&gt;0), 'Cost Inputs'!$I$197+'Cost Inputs'!$J$197+'Cost Inputs'!$K$197, "")</f>
        <v/>
      </c>
      <c r="K916" s="93" t="str">
        <f t="shared" si="85"/>
        <v/>
      </c>
      <c r="L916" s="93"/>
      <c r="M916" s="109"/>
      <c r="U916" s="93" t="str">
        <f>IF(ISNUMBER('Model_ of_individuals'!U936), 'Model_ of_individuals'!U936*'Model_ of_individuals'!$K936,"")</f>
        <v/>
      </c>
      <c r="V916" s="93" t="str">
        <f>IF(ISNUMBER('Model_ of_individuals'!V936), 'Model_ of_individuals'!V936*'Model_ of_individuals'!$K936,"")</f>
        <v/>
      </c>
      <c r="W916" s="93" t="str">
        <f>IF(ISNUMBER('Model_ of_individuals'!W936), 'Model_ of_individuals'!W936*'Model_ of_individuals'!$K936,"")</f>
        <v/>
      </c>
      <c r="X916" s="93" t="str">
        <f>IF(ISNUMBER('Model_ of_individuals'!X936), 'Model_ of_individuals'!X936*'Model_ of_individuals'!$K936,"")</f>
        <v/>
      </c>
      <c r="Y916" s="93" t="str">
        <f>IF(ISNUMBER('Model_ of_individuals'!Y936), 'Model_ of_individuals'!Y936*'Model_ of_individuals'!$K936,"")</f>
        <v/>
      </c>
      <c r="Z916" s="93" t="str">
        <f>IF(ISNUMBER('Model_ of_individuals'!Z936), 'Model_ of_individuals'!Z936*'Model_ of_individuals'!$K936,"")</f>
        <v/>
      </c>
      <c r="AA916" s="93" t="str">
        <f>IF(ISNUMBER('Model_ of_individuals'!AA936), 'Model_ of_individuals'!AA936*'Model_ of_individuals'!$K936,"")</f>
        <v/>
      </c>
      <c r="AB916" s="93" t="str">
        <f>IF(ISNUMBER('Model_ of_individuals'!AB936), 'Model_ of_individuals'!AB936*'Model_ of_individuals'!$K936,"")</f>
        <v/>
      </c>
      <c r="AC916" s="93" t="str">
        <f>IF(ISNUMBER('Model_ of_individuals'!AC936), 'Model_ of_individuals'!AC936*'Model_ of_individuals'!$K936,"")</f>
        <v/>
      </c>
      <c r="AD916" s="93" t="str">
        <f>IF(ISNUMBER('Model_ of_individuals'!AD936), 'Model_ of_individuals'!AD936*'Model_ of_individuals'!$K936,"")</f>
        <v/>
      </c>
    </row>
    <row r="917" spans="1:31" x14ac:dyDescent="0.25">
      <c r="A917" s="518"/>
      <c r="B917" s="504"/>
      <c r="C917" s="521" t="str">
        <f>IF(AND(B906&lt;&gt;"",ISNUMBER(B906),ISNUMBER(Stage4EvaluationBegins)),IF((INDEX(ProgramYearStage4,MATCH(Stage4EvaluationBegins,Years_in_Stage4,0)))=B906,_6_5_0,IF(AND(B906&lt;&gt;"",C895&lt;&gt;""),_6_5_0,IF(AND(B906&lt;&gt;"",ISNUMBER(B906),OR(Stage4EvaluationBegins=0,Stage4EvaluationBegins="")),"",""))),"")</f>
        <v/>
      </c>
      <c r="D917" s="94" t="str">
        <f>IF(AND(C917&lt;&gt;"", 'Cost Inputs'!$G$198&lt;&gt;""), 'Cost Inputs'!$G$198, "")</f>
        <v/>
      </c>
      <c r="E917" s="94" t="str">
        <f>IF(AND(C917&lt;&gt;"", 'Cost Inputs'!$H$198&lt;&gt;""), 'Cost Inputs'!$H$198, "")</f>
        <v/>
      </c>
      <c r="F917" s="492" t="str">
        <f>IF(AND(C917&lt;&gt;"", 'Cost Inputs'!$I$198&lt;&gt;""), 'Cost Inputs'!$I$198, "")</f>
        <v/>
      </c>
      <c r="G917" s="102" t="str">
        <f t="shared" si="86"/>
        <v/>
      </c>
      <c r="H917" s="492" t="str">
        <f>IF(AND(C917&lt;&gt;"", 'Cost Inputs'!$J$198&lt;&gt;""), 'Cost Inputs'!$J$198, "")</f>
        <v/>
      </c>
      <c r="I917" s="102" t="str">
        <f>IF($C917&lt;&gt;"",IF(AND($E917&lt;&gt;"",H917&lt;&gt;""), H917/$E917, 0),"")</f>
        <v/>
      </c>
      <c r="J917" s="492" t="str">
        <f>IF(AND(C917&lt;&gt;"",('Cost Inputs'!$I$198+'Cost Inputs'!$J$198+'Cost Inputs'!$K$198)&gt;0), 'Cost Inputs'!$I$198+'Cost Inputs'!$J$198+'Cost Inputs'!$K$198, "")</f>
        <v/>
      </c>
      <c r="K917" s="102" t="str">
        <f>IF($C917&lt;&gt;"",IF(AND($E917&lt;&gt;"",J917&lt;&gt;""), J917/$E917, 0),"")</f>
        <v/>
      </c>
      <c r="L917" s="94"/>
      <c r="M917" s="103"/>
      <c r="U917" s="492" t="str">
        <f>IF(ISNUMBER('Model_ of_individuals'!U937), 'Model_ of_individuals'!U937*'Model_ of_individuals'!$K937,"")</f>
        <v/>
      </c>
      <c r="V917" s="492" t="str">
        <f>IF(ISNUMBER('Model_ of_individuals'!V937), 'Model_ of_individuals'!V937*'Model_ of_individuals'!$K937,"")</f>
        <v/>
      </c>
      <c r="W917" s="492" t="str">
        <f>IF(ISNUMBER('Model_ of_individuals'!W937), 'Model_ of_individuals'!W937*'Model_ of_individuals'!$K937,"")</f>
        <v/>
      </c>
      <c r="X917" s="492" t="str">
        <f>IF(ISNUMBER('Model_ of_individuals'!X937), 'Model_ of_individuals'!X937*'Model_ of_individuals'!$K937,"")</f>
        <v/>
      </c>
      <c r="Y917" s="492" t="str">
        <f>IF(ISNUMBER('Model_ of_individuals'!Y937), 'Model_ of_individuals'!Y937*'Model_ of_individuals'!$K937,"")</f>
        <v/>
      </c>
      <c r="Z917" s="492" t="str">
        <f>IF(ISNUMBER('Model_ of_individuals'!Z937), 'Model_ of_individuals'!Z937*'Model_ of_individuals'!$K937,"")</f>
        <v/>
      </c>
      <c r="AA917" s="492" t="str">
        <f>IF(ISNUMBER('Model_ of_individuals'!AA937), 'Model_ of_individuals'!AA937*'Model_ of_individuals'!$K937,"")</f>
        <v/>
      </c>
      <c r="AB917" s="492" t="str">
        <f>IF(ISNUMBER('Model_ of_individuals'!AB937), 'Model_ of_individuals'!AB937*'Model_ of_individuals'!$K937,"")</f>
        <v/>
      </c>
      <c r="AC917" s="492" t="str">
        <f>IF(ISNUMBER('Model_ of_individuals'!AC937), 'Model_ of_individuals'!AC937*'Model_ of_individuals'!$K937,"")</f>
        <v/>
      </c>
      <c r="AD917" s="492" t="str">
        <f>IF(ISNUMBER('Model_ of_individuals'!AD937), 'Model_ of_individuals'!AD937*'Model_ of_individuals'!$K937,"")</f>
        <v/>
      </c>
    </row>
    <row r="918" spans="1:31" x14ac:dyDescent="0.25">
      <c r="A918" s="518"/>
      <c r="B918" s="504"/>
      <c r="C918" s="521"/>
      <c r="D918" s="94" t="str">
        <f>IF(AND(C917&lt;&gt;"", 'Cost Inputs'!$G$199&lt;&gt;""), 'Cost Inputs'!$G$199, "")</f>
        <v/>
      </c>
      <c r="E918" s="94" t="str">
        <f>IF(AND(C917&lt;&gt;"", 'Cost Inputs'!$H$199&lt;&gt;""), 'Cost Inputs'!$H$199, "")</f>
        <v/>
      </c>
      <c r="F918" s="492"/>
      <c r="G918" s="102" t="str">
        <f t="shared" si="86"/>
        <v/>
      </c>
      <c r="H918" s="492"/>
      <c r="I918" s="102" t="str">
        <f>IF($C917&lt;&gt;"", IF(AND($E918&lt;&gt;"", H917&lt;&gt;""), H917/($E917*$E918), 0), "")</f>
        <v/>
      </c>
      <c r="J918" s="492" t="str">
        <f>IF(AND(C918&lt;&gt;"",('Cost Inputs'!$I$86+'Cost Inputs'!$J$86+'Cost Inputs'!$K$86)&gt;0), 'Cost Inputs'!$I$86+'Cost Inputs'!$J$86+'Cost Inputs'!$K$86, "")</f>
        <v/>
      </c>
      <c r="K918" s="102" t="str">
        <f>IF($C917&lt;&gt;"", IF(AND($E918&lt;&gt;"", J917&lt;&gt;""), J917/($E917*$E918), 0), "")</f>
        <v/>
      </c>
      <c r="L918" s="94"/>
      <c r="M918" s="103"/>
      <c r="U918" s="492" t="str">
        <f>IF(ISNUMBER('Model_ of_individuals'!U938), 'Model_ of_individuals'!U938*'Model_ of_individuals'!$K938,"")</f>
        <v/>
      </c>
      <c r="V918" s="492" t="str">
        <f>IF(ISNUMBER('Model_ of_individuals'!V938), 'Model_ of_individuals'!V938*'Model_ of_individuals'!$K938,"")</f>
        <v/>
      </c>
      <c r="W918" s="492" t="str">
        <f>IF(ISNUMBER('Model_ of_individuals'!W938), 'Model_ of_individuals'!W938*'Model_ of_individuals'!$K938,"")</f>
        <v/>
      </c>
      <c r="X918" s="492" t="str">
        <f>IF(ISNUMBER('Model_ of_individuals'!X938), 'Model_ of_individuals'!X938*'Model_ of_individuals'!$K938,"")</f>
        <v/>
      </c>
      <c r="Y918" s="492" t="str">
        <f>IF(ISNUMBER('Model_ of_individuals'!Y938), 'Model_ of_individuals'!Y938*'Model_ of_individuals'!$K938,"")</f>
        <v/>
      </c>
      <c r="Z918" s="492" t="str">
        <f>IF(ISNUMBER('Model_ of_individuals'!Z938), 'Model_ of_individuals'!Z938*'Model_ of_individuals'!$K938,"")</f>
        <v/>
      </c>
      <c r="AA918" s="492" t="str">
        <f>IF(ISNUMBER('Model_ of_individuals'!AA938), 'Model_ of_individuals'!AA938*'Model_ of_individuals'!$K938,"")</f>
        <v/>
      </c>
      <c r="AB918" s="492" t="str">
        <f>IF(ISNUMBER('Model_ of_individuals'!AB938), 'Model_ of_individuals'!AB938*'Model_ of_individuals'!$K938,"")</f>
        <v/>
      </c>
      <c r="AC918" s="492" t="str">
        <f>IF(ISNUMBER('Model_ of_individuals'!AC938), 'Model_ of_individuals'!AC938*'Model_ of_individuals'!$K938,"")</f>
        <v/>
      </c>
      <c r="AD918" s="492" t="str">
        <f>IF(ISNUMBER('Model_ of_individuals'!AD938), 'Model_ of_individuals'!AD938*'Model_ of_individuals'!$K938,"")</f>
        <v/>
      </c>
    </row>
    <row r="919" spans="1:31" x14ac:dyDescent="0.25">
      <c r="A919" s="518"/>
      <c r="B919" s="504"/>
      <c r="C919" s="376" t="str">
        <f>IF(AND(ISNUMBER(B888), C917&lt;&gt;"", OR('Cost Inputs'!$H$200&lt;&gt;"", 'Cost Inputs'!$I$200&lt;&gt;"", 'Cost Inputs'!$J$200&lt;&gt;"")), _6_5_1, "")</f>
        <v/>
      </c>
      <c r="D919" s="17" t="str">
        <f>IF(AND(C919&lt;&gt;"", 'Cost Inputs'!$G$200&lt;&gt;""), 'Cost Inputs'!$G$200, "")</f>
        <v/>
      </c>
      <c r="E919" s="17" t="str">
        <f>IF(AND(C919&lt;&gt;"", 'Cost Inputs'!$H$200&lt;&gt;""), 'Cost Inputs'!$H$200, "")</f>
        <v/>
      </c>
      <c r="F919" s="493" t="str">
        <f>IF(AND(C919&lt;&gt;"", 'Cost Inputs'!$I$200&lt;&gt;""), 'Cost Inputs'!$I$200, "")</f>
        <v/>
      </c>
      <c r="G919" s="105" t="str">
        <f t="shared" si="86"/>
        <v/>
      </c>
      <c r="H919" s="493" t="str">
        <f>IF(AND(C919&lt;&gt;"", 'Cost Inputs'!$J$200&lt;&gt;""), 'Cost Inputs'!$J$200, "")</f>
        <v/>
      </c>
      <c r="I919" s="105" t="str">
        <f>IF($C919&lt;&gt;"",IF(AND($E919&lt;&gt;"",H919&lt;&gt;""), H919/$E919, 0),"")</f>
        <v/>
      </c>
      <c r="J919" s="493" t="str">
        <f>IF(AND(C919&lt;&gt;"",('Cost Inputs'!$I$200+'Cost Inputs'!$J$200+'Cost Inputs'!$K$200)&gt;0), 'Cost Inputs'!$I$200+'Cost Inputs'!$J$200+'Cost Inputs'!$K$200, "")</f>
        <v/>
      </c>
      <c r="K919" s="105" t="str">
        <f>IF($C919&lt;&gt;"",IF(AND($E919&lt;&gt;"",J919&lt;&gt;""), J919/$E919, 0),"")</f>
        <v/>
      </c>
      <c r="M919" s="106"/>
      <c r="U919" s="493" t="str">
        <f>IF(ISNUMBER('Model_ of_individuals'!U939), 'Model_ of_individuals'!U939*'Model_ of_individuals'!$K939,"")</f>
        <v/>
      </c>
      <c r="V919" s="493" t="str">
        <f>IF(ISNUMBER('Model_ of_individuals'!V939), 'Model_ of_individuals'!V939*'Model_ of_individuals'!$K939,"")</f>
        <v/>
      </c>
      <c r="W919" s="493" t="str">
        <f>IF(ISNUMBER('Model_ of_individuals'!W939), 'Model_ of_individuals'!W939*'Model_ of_individuals'!$K939,"")</f>
        <v/>
      </c>
      <c r="X919" s="493" t="str">
        <f>IF(ISNUMBER('Model_ of_individuals'!X939), 'Model_ of_individuals'!X939*'Model_ of_individuals'!$K939,"")</f>
        <v/>
      </c>
      <c r="Y919" s="493" t="str">
        <f>IF(ISNUMBER('Model_ of_individuals'!Y939), 'Model_ of_individuals'!Y939*'Model_ of_individuals'!$K939,"")</f>
        <v/>
      </c>
      <c r="Z919" s="493" t="str">
        <f>IF(ISNUMBER('Model_ of_individuals'!Z939), 'Model_ of_individuals'!Z939*'Model_ of_individuals'!$K939,"")</f>
        <v/>
      </c>
      <c r="AA919" s="493" t="str">
        <f>IF(ISNUMBER('Model_ of_individuals'!AA939), 'Model_ of_individuals'!AA939*'Model_ of_individuals'!$K939,"")</f>
        <v/>
      </c>
      <c r="AB919" s="493" t="str">
        <f>IF(ISNUMBER('Model_ of_individuals'!AB939), 'Model_ of_individuals'!AB939*'Model_ of_individuals'!$K939,"")</f>
        <v/>
      </c>
      <c r="AC919" s="493" t="str">
        <f>IF(ISNUMBER('Model_ of_individuals'!AC939), 'Model_ of_individuals'!AC939*'Model_ of_individuals'!$K939,"")</f>
        <v/>
      </c>
      <c r="AD919" s="493" t="str">
        <f>IF(ISNUMBER('Model_ of_individuals'!AD939), 'Model_ of_individuals'!AD939*'Model_ of_individuals'!$K939,"")</f>
        <v/>
      </c>
    </row>
    <row r="920" spans="1:31" x14ac:dyDescent="0.25">
      <c r="A920" s="518"/>
      <c r="B920" s="504"/>
      <c r="C920" s="376" t="str">
        <f>IF(AND(ISNUMBER(B902), OR('Cost Inputs'!$H$85&lt;&gt;"", 'Cost Inputs'!$I$85&lt;&gt;"", 'Cost Inputs'!$J$85&lt;&gt;"")), _3_5_1, "")</f>
        <v/>
      </c>
      <c r="D920" s="17" t="str">
        <f>IF(AND(C919&lt;&gt;"", 'Cost Inputs'!$G$201&lt;&gt;""), 'Cost Inputs'!$G$201, "")</f>
        <v/>
      </c>
      <c r="E920" s="17" t="str">
        <f>IF(AND(C919&lt;&gt;"", 'Cost Inputs'!$H$201&lt;&gt;""), 'Cost Inputs'!$H$201, "")</f>
        <v/>
      </c>
      <c r="F920" s="493"/>
      <c r="G920" s="105" t="str">
        <f t="shared" si="86"/>
        <v/>
      </c>
      <c r="H920" s="493"/>
      <c r="I920" s="105" t="str">
        <f>IF($C919&lt;&gt;"", IF(AND($E920&lt;&gt;"", H919&lt;&gt;""), H919/($E919*$E920), 0), "")</f>
        <v/>
      </c>
      <c r="J920" s="493" t="str">
        <f>IF(AND(C920&lt;&gt;"",('Cost Inputs'!$I$86+'Cost Inputs'!$J$86+'Cost Inputs'!$K$86)&gt;0), 'Cost Inputs'!$I$86+'Cost Inputs'!$J$86+'Cost Inputs'!$K$86, "")</f>
        <v/>
      </c>
      <c r="K920" s="105" t="str">
        <f>IF($C919&lt;&gt;"", IF(AND($E920&lt;&gt;"", J919&lt;&gt;""), J919/($E919*$E920), 0), "")</f>
        <v/>
      </c>
      <c r="M920" s="106"/>
      <c r="U920" s="493" t="str">
        <f>IF(ISNUMBER('Model_ of_individuals'!U940), 'Model_ of_individuals'!U940*'Model_ of_individuals'!$K940,"")</f>
        <v/>
      </c>
      <c r="V920" s="493" t="str">
        <f>IF(ISNUMBER('Model_ of_individuals'!V940), 'Model_ of_individuals'!V940*'Model_ of_individuals'!$K940,"")</f>
        <v/>
      </c>
      <c r="W920" s="493" t="str">
        <f>IF(ISNUMBER('Model_ of_individuals'!W940), 'Model_ of_individuals'!W940*'Model_ of_individuals'!$K940,"")</f>
        <v/>
      </c>
      <c r="X920" s="493" t="str">
        <f>IF(ISNUMBER('Model_ of_individuals'!X940), 'Model_ of_individuals'!X940*'Model_ of_individuals'!$K940,"")</f>
        <v/>
      </c>
      <c r="Y920" s="493" t="str">
        <f>IF(ISNUMBER('Model_ of_individuals'!Y940), 'Model_ of_individuals'!Y940*'Model_ of_individuals'!$K940,"")</f>
        <v/>
      </c>
      <c r="Z920" s="493" t="str">
        <f>IF(ISNUMBER('Model_ of_individuals'!Z940), 'Model_ of_individuals'!Z940*'Model_ of_individuals'!$K940,"")</f>
        <v/>
      </c>
      <c r="AA920" s="493" t="str">
        <f>IF(ISNUMBER('Model_ of_individuals'!AA940), 'Model_ of_individuals'!AA940*'Model_ of_individuals'!$K940,"")</f>
        <v/>
      </c>
      <c r="AB920" s="493" t="str">
        <f>IF(ISNUMBER('Model_ of_individuals'!AB940), 'Model_ of_individuals'!AB940*'Model_ of_individuals'!$K940,"")</f>
        <v/>
      </c>
      <c r="AC920" s="493" t="str">
        <f>IF(ISNUMBER('Model_ of_individuals'!AC940), 'Model_ of_individuals'!AC940*'Model_ of_individuals'!$K940,"")</f>
        <v/>
      </c>
      <c r="AD920" s="493" t="str">
        <f>IF(ISNUMBER('Model_ of_individuals'!AD940), 'Model_ of_individuals'!AD940*'Model_ of_individuals'!$K940,"")</f>
        <v/>
      </c>
    </row>
    <row r="921" spans="1:31" x14ac:dyDescent="0.25">
      <c r="A921" s="518"/>
      <c r="B921" s="504"/>
      <c r="C921" s="107" t="str">
        <f>IF(AND(ISNUMBER(B888), C917&lt;&gt;"", OR('Cost Inputs'!$H$202&lt;&gt;"", 'Cost Inputs'!$I$202&lt;&gt;"", 'Cost Inputs'!$J$202&lt;&gt;"")), _6_5_2, "")</f>
        <v/>
      </c>
      <c r="D921" s="93" t="str">
        <f>IF(AND(C921&lt;&gt;"", 'Cost Inputs'!$G$202&lt;&gt;""), 'Cost Inputs'!$G$202, "")</f>
        <v/>
      </c>
      <c r="E921" s="93" t="str">
        <f>IF(AND(C921&lt;&gt;"", 'Cost Inputs'!$H$202&lt;&gt;""), 'Cost Inputs'!$H$202, "")</f>
        <v/>
      </c>
      <c r="F921" s="93" t="str">
        <f>IF(AND(C921&lt;&gt;"", 'Cost Inputs'!$I$202&lt;&gt;""), 'Cost Inputs'!$I$202, "")</f>
        <v/>
      </c>
      <c r="G921" s="108" t="str">
        <f t="shared" si="86"/>
        <v/>
      </c>
      <c r="H921" s="93" t="str">
        <f>IF(AND(C921&lt;&gt;"", 'Cost Inputs'!$J$202&lt;&gt;""), 'Cost Inputs'!$J$202, "")</f>
        <v/>
      </c>
      <c r="I921" s="93" t="str">
        <f>IF($C921&lt;&gt;"", IF(AND($E921&lt;&gt;"", H921&lt;&gt;""), H921/$E921, 0),"")</f>
        <v/>
      </c>
      <c r="J921" s="93" t="str">
        <f>IF(AND(C921&lt;&gt;"",('Cost Inputs'!$I$202+'Cost Inputs'!$J$202+'Cost Inputs'!$K$202)&gt;0), 'Cost Inputs'!$I$202+'Cost Inputs'!$J$202+'Cost Inputs'!$K$202, "")</f>
        <v/>
      </c>
      <c r="K921" s="93" t="str">
        <f>IF($C921&lt;&gt;"", IF(AND($E921&lt;&gt;"", J921&lt;&gt;""), J921/$E921, 0),"")</f>
        <v/>
      </c>
      <c r="L921" s="93"/>
      <c r="M921" s="109"/>
      <c r="U921" s="93" t="str">
        <f>IF(ISNUMBER('Model_ of_individuals'!U941), 'Model_ of_individuals'!U941*'Model_ of_individuals'!$K941,"")</f>
        <v/>
      </c>
      <c r="V921" s="93" t="str">
        <f>IF(ISNUMBER('Model_ of_individuals'!V941), 'Model_ of_individuals'!V941*'Model_ of_individuals'!$K941,"")</f>
        <v/>
      </c>
      <c r="W921" s="93" t="str">
        <f>IF(ISNUMBER('Model_ of_individuals'!W941), 'Model_ of_individuals'!W941*'Model_ of_individuals'!$K941,"")</f>
        <v/>
      </c>
      <c r="X921" s="93" t="str">
        <f>IF(ISNUMBER('Model_ of_individuals'!X941), 'Model_ of_individuals'!X941*'Model_ of_individuals'!$K941,"")</f>
        <v/>
      </c>
      <c r="Y921" s="93" t="str">
        <f>IF(ISNUMBER('Model_ of_individuals'!Y941), 'Model_ of_individuals'!Y941*'Model_ of_individuals'!$K941,"")</f>
        <v/>
      </c>
      <c r="Z921" s="93" t="str">
        <f>IF(ISNUMBER('Model_ of_individuals'!Z941), 'Model_ of_individuals'!Z941*'Model_ of_individuals'!$K941,"")</f>
        <v/>
      </c>
      <c r="AA921" s="93" t="str">
        <f>IF(ISNUMBER('Model_ of_individuals'!AA941), 'Model_ of_individuals'!AA941*'Model_ of_individuals'!$K941,"")</f>
        <v/>
      </c>
      <c r="AB921" s="93" t="str">
        <f>IF(ISNUMBER('Model_ of_individuals'!AB941), 'Model_ of_individuals'!AB941*'Model_ of_individuals'!$K941,"")</f>
        <v/>
      </c>
      <c r="AC921" s="93" t="str">
        <f>IF(ISNUMBER('Model_ of_individuals'!AC941), 'Model_ of_individuals'!AC941*'Model_ of_individuals'!$K941,"")</f>
        <v/>
      </c>
      <c r="AD921" s="93" t="str">
        <f>IF(ISNUMBER('Model_ of_individuals'!AD941), 'Model_ of_individuals'!AD941*'Model_ of_individuals'!$K941,"")</f>
        <v/>
      </c>
    </row>
    <row r="922" spans="1:31" x14ac:dyDescent="0.25">
      <c r="A922" s="518"/>
      <c r="B922" s="504"/>
      <c r="C922" s="104" t="str">
        <f>IF(AND(ISNUMBER(B888), C917&lt;&gt;"", OR('Cost Inputs'!$H$203&lt;&gt;"", 'Cost Inputs'!$I$203&lt;&gt;"", 'Cost Inputs'!$J$203&lt;&gt;"")), _6_5_3, "")</f>
        <v/>
      </c>
      <c r="D922" s="17" t="str">
        <f>IF(AND(C922&lt;&gt;"", 'Cost Inputs'!$G$203&lt;&gt;""), 'Cost Inputs'!$G$203, "")</f>
        <v/>
      </c>
      <c r="E922" s="17" t="str">
        <f>IF(AND(C922&lt;&gt;"", 'Cost Inputs'!$H$203&lt;&gt;""), 'Cost Inputs'!$H$203, "")</f>
        <v/>
      </c>
      <c r="F922" s="17" t="str">
        <f>IF(AND(C922&lt;&gt;"", 'Cost Inputs'!$I$203&lt;&gt;""), 'Cost Inputs'!$I$203, "")</f>
        <v/>
      </c>
      <c r="G922" s="105" t="str">
        <f t="shared" si="86"/>
        <v/>
      </c>
      <c r="H922" s="17" t="str">
        <f>IF(AND(C922&lt;&gt;"", 'Cost Inputs'!$J$203&lt;&gt;""), 'Cost Inputs'!$J$203, "")</f>
        <v/>
      </c>
      <c r="I922" s="17" t="str">
        <f>IF($C922&lt;&gt;"", IF(AND($E922&lt;&gt;"", H922&lt;&gt;""), H922/$E922, 0),"")</f>
        <v/>
      </c>
      <c r="J922" s="17" t="str">
        <f>IF(AND(C922&lt;&gt;"",('Cost Inputs'!$I$203+'Cost Inputs'!$J$203+'Cost Inputs'!$K$203)&gt;0), 'Cost Inputs'!$I$203+'Cost Inputs'!$J$203+'Cost Inputs'!$K$203, "")</f>
        <v/>
      </c>
      <c r="K922" s="17" t="str">
        <f>IF($C922&lt;&gt;"", IF(AND($E922&lt;&gt;"", J922&lt;&gt;""), J922/$E922, 0),"")</f>
        <v/>
      </c>
      <c r="M922" s="106"/>
      <c r="U922" s="17" t="str">
        <f>IF(ISNUMBER('Model_ of_individuals'!U942), 'Model_ of_individuals'!U942*'Model_ of_individuals'!$K942,"")</f>
        <v/>
      </c>
      <c r="V922" s="17" t="str">
        <f>IF(ISNUMBER('Model_ of_individuals'!V942), 'Model_ of_individuals'!V942*'Model_ of_individuals'!$K942,"")</f>
        <v/>
      </c>
      <c r="W922" s="17" t="str">
        <f>IF(ISNUMBER('Model_ of_individuals'!W942), 'Model_ of_individuals'!W942*'Model_ of_individuals'!$K942,"")</f>
        <v/>
      </c>
      <c r="X922" s="17" t="str">
        <f>IF(ISNUMBER('Model_ of_individuals'!X942), 'Model_ of_individuals'!X942*'Model_ of_individuals'!$K942,"")</f>
        <v/>
      </c>
      <c r="Y922" s="17" t="str">
        <f>IF(ISNUMBER('Model_ of_individuals'!Y942), 'Model_ of_individuals'!Y942*'Model_ of_individuals'!$K942,"")</f>
        <v/>
      </c>
      <c r="Z922" s="17" t="str">
        <f>IF(ISNUMBER('Model_ of_individuals'!Z942), 'Model_ of_individuals'!Z942*'Model_ of_individuals'!$K942,"")</f>
        <v/>
      </c>
      <c r="AA922" s="17" t="str">
        <f>IF(ISNUMBER('Model_ of_individuals'!AA942), 'Model_ of_individuals'!AA942*'Model_ of_individuals'!$K942,"")</f>
        <v/>
      </c>
      <c r="AB922" s="17" t="str">
        <f>IF(ISNUMBER('Model_ of_individuals'!AB942), 'Model_ of_individuals'!AB942*'Model_ of_individuals'!$K942,"")</f>
        <v/>
      </c>
      <c r="AC922" s="17" t="str">
        <f>IF(ISNUMBER('Model_ of_individuals'!AC942), 'Model_ of_individuals'!AC942*'Model_ of_individuals'!$K942,"")</f>
        <v/>
      </c>
      <c r="AD922" s="17" t="str">
        <f>IF(ISNUMBER('Model_ of_individuals'!AD942), 'Model_ of_individuals'!AD942*'Model_ of_individuals'!$K942,"")</f>
        <v/>
      </c>
    </row>
    <row r="923" spans="1:31" x14ac:dyDescent="0.25">
      <c r="A923" s="518"/>
      <c r="B923" s="504"/>
      <c r="C923" s="107" t="str">
        <f>IF(AND(ISNUMBER(B888), C917&lt;&gt;"", OR('Cost Inputs'!$H$204&lt;&gt;"", 'Cost Inputs'!$I$204&lt;&gt;"", 'Cost Inputs'!$J$204&lt;&gt;"")), _6_5_4, "")</f>
        <v/>
      </c>
      <c r="D923" s="93" t="str">
        <f>IF(AND(C923&lt;&gt;"", 'Cost Inputs'!$G$204&lt;&gt;""), 'Cost Inputs'!$G$204, "")</f>
        <v/>
      </c>
      <c r="E923" s="93" t="str">
        <f>IF(AND(C923&lt;&gt;"", 'Cost Inputs'!$H$204&lt;&gt;""), 'Cost Inputs'!$H$204, "")</f>
        <v/>
      </c>
      <c r="F923" s="93" t="str">
        <f>IF(AND(C923&lt;&gt;"", 'Cost Inputs'!$I$204&lt;&gt;""), 'Cost Inputs'!$I$204, "")</f>
        <v/>
      </c>
      <c r="G923" s="108" t="str">
        <f t="shared" si="86"/>
        <v/>
      </c>
      <c r="H923" s="93" t="str">
        <f>IF(AND(C923&lt;&gt;"", 'Cost Inputs'!$J$204&lt;&gt;""), 'Cost Inputs'!$J$204, "")</f>
        <v/>
      </c>
      <c r="I923" s="93" t="str">
        <f>IF($C923&lt;&gt;"", IF(AND($E923&lt;&gt;"", H923&lt;&gt;""), H923/$E923, 0),"")</f>
        <v/>
      </c>
      <c r="J923" s="93" t="str">
        <f>IF(AND(C923&lt;&gt;"",('Cost Inputs'!$I$204+'Cost Inputs'!$J$204+'Cost Inputs'!$K$204)&gt;0), 'Cost Inputs'!$I$204+'Cost Inputs'!$J$204+'Cost Inputs'!$K$204, "")</f>
        <v/>
      </c>
      <c r="K923" s="93" t="str">
        <f>IF($C923&lt;&gt;"", IF(AND($E923&lt;&gt;"", J923&lt;&gt;""), J923/$E923, 0),"")</f>
        <v/>
      </c>
      <c r="L923" s="93"/>
      <c r="M923" s="109"/>
      <c r="U923" s="93" t="str">
        <f>IF(ISNUMBER('Model_ of_individuals'!U943), 'Model_ of_individuals'!U943*'Model_ of_individuals'!$K943,"")</f>
        <v/>
      </c>
      <c r="V923" s="93" t="str">
        <f>IF(ISNUMBER('Model_ of_individuals'!V943), 'Model_ of_individuals'!V943*'Model_ of_individuals'!$K943,"")</f>
        <v/>
      </c>
      <c r="W923" s="93" t="str">
        <f>IF(ISNUMBER('Model_ of_individuals'!W943), 'Model_ of_individuals'!W943*'Model_ of_individuals'!$K943,"")</f>
        <v/>
      </c>
      <c r="X923" s="93" t="str">
        <f>IF(ISNUMBER('Model_ of_individuals'!X943), 'Model_ of_individuals'!X943*'Model_ of_individuals'!$K943,"")</f>
        <v/>
      </c>
      <c r="Y923" s="93" t="str">
        <f>IF(ISNUMBER('Model_ of_individuals'!Y943), 'Model_ of_individuals'!Y943*'Model_ of_individuals'!$K943,"")</f>
        <v/>
      </c>
      <c r="Z923" s="93" t="str">
        <f>IF(ISNUMBER('Model_ of_individuals'!Z943), 'Model_ of_individuals'!Z943*'Model_ of_individuals'!$K943,"")</f>
        <v/>
      </c>
      <c r="AA923" s="93" t="str">
        <f>IF(ISNUMBER('Model_ of_individuals'!AA943), 'Model_ of_individuals'!AA943*'Model_ of_individuals'!$K943,"")</f>
        <v/>
      </c>
      <c r="AB923" s="93" t="str">
        <f>IF(ISNUMBER('Model_ of_individuals'!AB943), 'Model_ of_individuals'!AB943*'Model_ of_individuals'!$K943,"")</f>
        <v/>
      </c>
      <c r="AC923" s="93" t="str">
        <f>IF(ISNUMBER('Model_ of_individuals'!AC943), 'Model_ of_individuals'!AC943*'Model_ of_individuals'!$K943,"")</f>
        <v/>
      </c>
      <c r="AD923" s="93" t="str">
        <f>IF(ISNUMBER('Model_ of_individuals'!AD943), 'Model_ of_individuals'!AD943*'Model_ of_individuals'!$K943,"")</f>
        <v/>
      </c>
    </row>
    <row r="924" spans="1:31" x14ac:dyDescent="0.25">
      <c r="A924" s="518"/>
      <c r="B924" s="504"/>
      <c r="C924" s="104" t="str">
        <f>IF(AND(ISNUMBER(B888), C917&lt;&gt;"", OR('Cost Inputs'!$H$205&lt;&gt;"", 'Cost Inputs'!$I$205&lt;&gt;"", 'Cost Inputs'!$J$205&lt;&gt;"")), _6_5_5, "")</f>
        <v/>
      </c>
      <c r="D924" s="17" t="str">
        <f>IF(AND(C924&lt;&gt;"", 'Cost Inputs'!$G$205&lt;&gt;""), 'Cost Inputs'!$G$205, "")</f>
        <v/>
      </c>
      <c r="E924" s="17" t="str">
        <f>IF(AND(C924&lt;&gt;"", 'Cost Inputs'!$H$205&lt;&gt;""), 'Cost Inputs'!$H$205, "")</f>
        <v/>
      </c>
      <c r="F924" s="17" t="str">
        <f>IF(AND(C924&lt;&gt;"", 'Cost Inputs'!$I$205&lt;&gt;""), 'Cost Inputs'!$I$205, "")</f>
        <v/>
      </c>
      <c r="G924" s="105" t="str">
        <f t="shared" si="86"/>
        <v/>
      </c>
      <c r="H924" s="17" t="str">
        <f>IF(AND(C924&lt;&gt;"", 'Cost Inputs'!$J$205&lt;&gt;""), 'Cost Inputs'!$J$205, "")</f>
        <v/>
      </c>
      <c r="I924" s="17" t="str">
        <f>IF($C924&lt;&gt;"", IF(AND($E924&lt;&gt;"", H924&lt;&gt;""), H924/$E924, 0),"")</f>
        <v/>
      </c>
      <c r="J924" s="17" t="str">
        <f>IF(AND(C924&lt;&gt;"",('Cost Inputs'!$I$205+'Cost Inputs'!$J$205+'Cost Inputs'!$K$205)&gt;0), 'Cost Inputs'!$I$205+'Cost Inputs'!$J$205+'Cost Inputs'!$K$205, "")</f>
        <v/>
      </c>
      <c r="K924" s="17" t="str">
        <f>IF($C924&lt;&gt;"", IF(AND($E924&lt;&gt;"", J924&lt;&gt;""), J924/$E924, 0),"")</f>
        <v/>
      </c>
      <c r="M924" s="106"/>
      <c r="U924" s="17" t="str">
        <f>IF(ISNUMBER('Model_ of_individuals'!U944), 'Model_ of_individuals'!U944*'Model_ of_individuals'!$K944,"")</f>
        <v/>
      </c>
      <c r="V924" s="17" t="str">
        <f>IF(ISNUMBER('Model_ of_individuals'!V944), 'Model_ of_individuals'!V944*'Model_ of_individuals'!$K944,"")</f>
        <v/>
      </c>
      <c r="W924" s="17" t="str">
        <f>IF(ISNUMBER('Model_ of_individuals'!W944), 'Model_ of_individuals'!W944*'Model_ of_individuals'!$K944,"")</f>
        <v/>
      </c>
      <c r="X924" s="17" t="str">
        <f>IF(ISNUMBER('Model_ of_individuals'!X944), 'Model_ of_individuals'!X944*'Model_ of_individuals'!$K944,"")</f>
        <v/>
      </c>
      <c r="Y924" s="17" t="str">
        <f>IF(ISNUMBER('Model_ of_individuals'!Y944), 'Model_ of_individuals'!Y944*'Model_ of_individuals'!$K944,"")</f>
        <v/>
      </c>
      <c r="Z924" s="17" t="str">
        <f>IF(ISNUMBER('Model_ of_individuals'!Z944), 'Model_ of_individuals'!Z944*'Model_ of_individuals'!$K944,"")</f>
        <v/>
      </c>
      <c r="AA924" s="17" t="str">
        <f>IF(ISNUMBER('Model_ of_individuals'!AA944), 'Model_ of_individuals'!AA944*'Model_ of_individuals'!$K944,"")</f>
        <v/>
      </c>
      <c r="AB924" s="17" t="str">
        <f>IF(ISNUMBER('Model_ of_individuals'!AB944), 'Model_ of_individuals'!AB944*'Model_ of_individuals'!$K944,"")</f>
        <v/>
      </c>
      <c r="AC924" s="17" t="str">
        <f>IF(ISNUMBER('Model_ of_individuals'!AC944), 'Model_ of_individuals'!AC944*'Model_ of_individuals'!$K944,"")</f>
        <v/>
      </c>
      <c r="AD924" s="17" t="str">
        <f>IF(ISNUMBER('Model_ of_individuals'!AD944), 'Model_ of_individuals'!AD944*'Model_ of_individuals'!$K944,"")</f>
        <v/>
      </c>
    </row>
    <row r="925" spans="1:31" x14ac:dyDescent="0.25">
      <c r="A925" s="518"/>
      <c r="B925" s="504"/>
      <c r="C925" s="110" t="str">
        <f>IF(ISNUMBER(B888), _6_6_0, "")</f>
        <v/>
      </c>
      <c r="D925" s="94" t="str">
        <f>IF(AND(C925&lt;&gt;"", 'Cost Inputs'!$G$206&lt;&gt;""), 'Cost Inputs'!$G$206, "")</f>
        <v/>
      </c>
      <c r="E925" s="94" t="str">
        <f>IF(AND(C925&lt;&gt;"", 'Cost Inputs'!$H$206&lt;&gt;""), 'Cost Inputs'!$H$206, "")</f>
        <v/>
      </c>
      <c r="F925" s="94" t="str">
        <f>IF(AND(C925&lt;&gt;"", 'Cost Inputs'!$I$206&lt;&gt;""), 'Cost Inputs'!$I$206, "")</f>
        <v/>
      </c>
      <c r="G925" s="102" t="str">
        <f t="shared" si="86"/>
        <v/>
      </c>
      <c r="H925" s="94" t="str">
        <f>IF(AND(C925&lt;&gt;"", 'Cost Inputs'!$J$206&lt;&gt;""), 'Cost Inputs'!$J$206, "")</f>
        <v/>
      </c>
      <c r="I925" s="102" t="str">
        <f>IF($C925&lt;&gt;"",IF(AND($E925&lt;&gt;"",H925&lt;&gt;""), H925/$E925, 0),"")</f>
        <v/>
      </c>
      <c r="J925" s="94" t="str">
        <f>IF(AND(C925&lt;&gt;"",('Cost Inputs'!$I$206+'Cost Inputs'!$J$206+'Cost Inputs'!$K$206)&gt;0), 'Cost Inputs'!$I$206+'Cost Inputs'!$J$206+'Cost Inputs'!$K$206, "")</f>
        <v/>
      </c>
      <c r="K925" s="102" t="str">
        <f>IF($C925&lt;&gt;"",IF(AND($E925&lt;&gt;"",J925&lt;&gt;""), J925/$E925, 0),"")</f>
        <v/>
      </c>
      <c r="L925" s="94"/>
      <c r="M925" s="103"/>
      <c r="U925" s="94" t="str">
        <f>IF(ISNUMBER('Model_ of_individuals'!U945), 'Model_ of_individuals'!U945*'Model_ of_individuals'!$K945,"")</f>
        <v/>
      </c>
      <c r="V925" s="94" t="str">
        <f>IF(ISNUMBER('Model_ of_individuals'!V945), 'Model_ of_individuals'!V945*'Model_ of_individuals'!$K945,"")</f>
        <v/>
      </c>
      <c r="W925" s="94" t="str">
        <f>IF(ISNUMBER('Model_ of_individuals'!W945), 'Model_ of_individuals'!W945*'Model_ of_individuals'!$K945,"")</f>
        <v/>
      </c>
      <c r="X925" s="94" t="str">
        <f>IF(ISNUMBER('Model_ of_individuals'!X945), 'Model_ of_individuals'!X945*'Model_ of_individuals'!$K945,"")</f>
        <v/>
      </c>
      <c r="Y925" s="94" t="str">
        <f>IF(ISNUMBER('Model_ of_individuals'!Y945), 'Model_ of_individuals'!Y945*'Model_ of_individuals'!$K945,"")</f>
        <v/>
      </c>
      <c r="Z925" s="94" t="str">
        <f>IF(ISNUMBER('Model_ of_individuals'!Z945), 'Model_ of_individuals'!Z945*'Model_ of_individuals'!$K945,"")</f>
        <v/>
      </c>
      <c r="AA925" s="94" t="str">
        <f>IF(ISNUMBER('Model_ of_individuals'!AA945), 'Model_ of_individuals'!AA945*'Model_ of_individuals'!$K945,"")</f>
        <v/>
      </c>
      <c r="AB925" s="94" t="str">
        <f>IF(ISNUMBER('Model_ of_individuals'!AB945), 'Model_ of_individuals'!AB945*'Model_ of_individuals'!$K945,"")</f>
        <v/>
      </c>
      <c r="AC925" s="94" t="str">
        <f>IF(ISNUMBER('Model_ of_individuals'!AC945), 'Model_ of_individuals'!AC945*'Model_ of_individuals'!$K945,"")</f>
        <v/>
      </c>
      <c r="AD925" s="94" t="str">
        <f>IF(ISNUMBER('Model_ of_individuals'!AD945), 'Model_ of_individuals'!AD945*'Model_ of_individuals'!$K945,"")</f>
        <v/>
      </c>
    </row>
    <row r="926" spans="1:31" x14ac:dyDescent="0.25">
      <c r="A926" s="518"/>
      <c r="B926" s="504"/>
      <c r="C926" s="104" t="str">
        <f>IF(AND(ISNUMBER(B888), OR('Cost Inputs'!$H$207&lt;&gt;"", 'Cost Inputs'!$I$207&lt;&gt;"", 'Cost Inputs'!$J$207&lt;&gt;"")), _6_6_1, "")</f>
        <v/>
      </c>
      <c r="D926" s="17" t="str">
        <f>IF(AND(C926&lt;&gt;"", 'Cost Inputs'!$G$207&lt;&gt;""), 'Cost Inputs'!$G$207, "")</f>
        <v/>
      </c>
      <c r="E926" s="17" t="str">
        <f>IF(AND(C926&lt;&gt;"", 'Cost Inputs'!$H$207&lt;&gt;""), 'Cost Inputs'!$H$207, "")</f>
        <v/>
      </c>
      <c r="F926" s="17" t="str">
        <f>IF(AND(C926&lt;&gt;"", 'Cost Inputs'!$I$207&lt;&gt;""), 'Cost Inputs'!$I$207, "")</f>
        <v/>
      </c>
      <c r="G926" s="105" t="str">
        <f t="shared" si="86"/>
        <v/>
      </c>
      <c r="H926" s="17" t="str">
        <f>IF(AND(C926&lt;&gt;"", 'Cost Inputs'!$J$207&lt;&gt;""), 'Cost Inputs'!$J$207, "")</f>
        <v/>
      </c>
      <c r="I926" s="17" t="str">
        <f>IF($C926&lt;&gt;"", IF(AND($E926&lt;&gt;"", H926&lt;&gt;""), H926/$E926, 0),"")</f>
        <v/>
      </c>
      <c r="J926" s="17" t="str">
        <f>IF(AND(C926&lt;&gt;"",('Cost Inputs'!$I$207+'Cost Inputs'!$J$207+'Cost Inputs'!$K$207)&gt;0), 'Cost Inputs'!$I$207+'Cost Inputs'!$J$207+'Cost Inputs'!$K$207, "")</f>
        <v/>
      </c>
      <c r="K926" s="17" t="str">
        <f>IF($C926&lt;&gt;"", IF(AND($E926&lt;&gt;"", J926&lt;&gt;""), J926/$E926, 0),"")</f>
        <v/>
      </c>
      <c r="M926" s="106"/>
      <c r="U926" s="17" t="str">
        <f>IF(ISNUMBER('Model_ of_individuals'!U946), 'Model_ of_individuals'!U946*'Model_ of_individuals'!$K946,"")</f>
        <v/>
      </c>
      <c r="V926" s="17" t="str">
        <f>IF(ISNUMBER('Model_ of_individuals'!V946), 'Model_ of_individuals'!V946*'Model_ of_individuals'!$K946,"")</f>
        <v/>
      </c>
      <c r="W926" s="17" t="str">
        <f>IF(ISNUMBER('Model_ of_individuals'!W946), 'Model_ of_individuals'!W946*'Model_ of_individuals'!$K946,"")</f>
        <v/>
      </c>
      <c r="X926" s="17" t="str">
        <f>IF(ISNUMBER('Model_ of_individuals'!X946), 'Model_ of_individuals'!X946*'Model_ of_individuals'!$K946,"")</f>
        <v/>
      </c>
      <c r="Y926" s="17" t="str">
        <f>IF(ISNUMBER('Model_ of_individuals'!Y946), 'Model_ of_individuals'!Y946*'Model_ of_individuals'!$K946,"")</f>
        <v/>
      </c>
      <c r="Z926" s="17" t="str">
        <f>IF(ISNUMBER('Model_ of_individuals'!Z946), 'Model_ of_individuals'!Z946*'Model_ of_individuals'!$K946,"")</f>
        <v/>
      </c>
      <c r="AA926" s="17" t="str">
        <f>IF(ISNUMBER('Model_ of_individuals'!AA946), 'Model_ of_individuals'!AA946*'Model_ of_individuals'!$K946,"")</f>
        <v/>
      </c>
      <c r="AB926" s="17" t="str">
        <f>IF(ISNUMBER('Model_ of_individuals'!AB946), 'Model_ of_individuals'!AB946*'Model_ of_individuals'!$K946,"")</f>
        <v/>
      </c>
      <c r="AC926" s="17" t="str">
        <f>IF(ISNUMBER('Model_ of_individuals'!AC946), 'Model_ of_individuals'!AC946*'Model_ of_individuals'!$K946,"")</f>
        <v/>
      </c>
      <c r="AD926" s="17" t="str">
        <f>IF(ISNUMBER('Model_ of_individuals'!AD946), 'Model_ of_individuals'!AD946*'Model_ of_individuals'!$K946,"")</f>
        <v/>
      </c>
    </row>
    <row r="927" spans="1:31" ht="15.75" thickBot="1" x14ac:dyDescent="0.3">
      <c r="A927" s="518"/>
      <c r="B927" s="505"/>
      <c r="C927" s="111" t="str">
        <f>IF(AND(ISNUMBER(B888), OR('Cost Inputs'!$H$208&lt;&gt;"", 'Cost Inputs'!$I$208&lt;&gt;"", 'Cost Inputs'!$J$208&lt;&gt;"")), _6_6_2, "")</f>
        <v/>
      </c>
      <c r="D927" s="95" t="str">
        <f>IF(AND(C927&lt;&gt;"", 'Cost Inputs'!$G$208&lt;&gt;""), 'Cost Inputs'!$G$208, "")</f>
        <v/>
      </c>
      <c r="E927" s="95" t="str">
        <f>IF(AND(C927&lt;&gt;"", 'Cost Inputs'!$H$208&lt;&gt;""), 'Cost Inputs'!$H$208, "")</f>
        <v/>
      </c>
      <c r="F927" s="95" t="str">
        <f>IF(AND(C927&lt;&gt;"", 'Cost Inputs'!$I$208&lt;&gt;""), 'Cost Inputs'!$I$208, "")</f>
        <v/>
      </c>
      <c r="G927" s="112" t="str">
        <f t="shared" si="86"/>
        <v/>
      </c>
      <c r="H927" s="95" t="str">
        <f>IF(AND(C927&lt;&gt;"", 'Cost Inputs'!$J$208&lt;&gt;""), 'Cost Inputs'!$J$208, "")</f>
        <v/>
      </c>
      <c r="I927" s="95" t="str">
        <f>IF($C927&lt;&gt;"", IF(AND($E927&lt;&gt;"", H927&lt;&gt;""), H927/$E927, 0),"")</f>
        <v/>
      </c>
      <c r="J927" s="95" t="str">
        <f>IF(AND(C927&lt;&gt;"",('Cost Inputs'!$I$208+'Cost Inputs'!$J$208+'Cost Inputs'!$K$208)&gt;0), 'Cost Inputs'!$I$208+'Cost Inputs'!$J$208+'Cost Inputs'!$K$208, "")</f>
        <v/>
      </c>
      <c r="K927" s="95" t="str">
        <f>IF($C927&lt;&gt;"", IF(AND($E927&lt;&gt;"", J927&lt;&gt;""), J927/$E927, 0),"")</f>
        <v/>
      </c>
      <c r="L927" s="95"/>
      <c r="M927" s="113"/>
      <c r="U927" s="95" t="str">
        <f>IF(ISNUMBER('Model_ of_individuals'!U947), 'Model_ of_individuals'!U947*'Model_ of_individuals'!$K947,"")</f>
        <v/>
      </c>
      <c r="V927" s="95" t="str">
        <f>IF(ISNUMBER('Model_ of_individuals'!V947), 'Model_ of_individuals'!V947*'Model_ of_individuals'!$K947,"")</f>
        <v/>
      </c>
      <c r="W927" s="95" t="str">
        <f>IF(ISNUMBER('Model_ of_individuals'!W947), 'Model_ of_individuals'!W947*'Model_ of_individuals'!$K947,"")</f>
        <v/>
      </c>
      <c r="X927" s="95" t="str">
        <f>IF(ISNUMBER('Model_ of_individuals'!X947), 'Model_ of_individuals'!X947*'Model_ of_individuals'!$K947,"")</f>
        <v/>
      </c>
      <c r="Y927" s="95" t="str">
        <f>IF(ISNUMBER('Model_ of_individuals'!Y947), 'Model_ of_individuals'!Y947*'Model_ of_individuals'!$K947,"")</f>
        <v/>
      </c>
      <c r="Z927" s="95" t="str">
        <f>IF(ISNUMBER('Model_ of_individuals'!Z947), 'Model_ of_individuals'!Z947*'Model_ of_individuals'!$K947,"")</f>
        <v/>
      </c>
      <c r="AA927" s="95" t="str">
        <f>IF(ISNUMBER('Model_ of_individuals'!AA947), 'Model_ of_individuals'!AA947*'Model_ of_individuals'!$K947,"")</f>
        <v/>
      </c>
      <c r="AB927" s="95" t="str">
        <f>IF(ISNUMBER('Model_ of_individuals'!AB947), 'Model_ of_individuals'!AB947*'Model_ of_individuals'!$K947,"")</f>
        <v/>
      </c>
      <c r="AC927" s="95" t="str">
        <f>IF(ISNUMBER('Model_ of_individuals'!AC947), 'Model_ of_individuals'!AC947*'Model_ of_individuals'!$K947,"")</f>
        <v/>
      </c>
      <c r="AD927" s="95" t="str">
        <f>IF(ISNUMBER('Model_ of_individuals'!AD947), 'Model_ of_individuals'!AD947*'Model_ of_individuals'!$K947,"")</f>
        <v/>
      </c>
    </row>
    <row r="928" spans="1:31" x14ac:dyDescent="0.25">
      <c r="A928" s="518" t="str">
        <f>Sixth_Stage</f>
        <v>Stage 4 Grower Trials</v>
      </c>
      <c r="B928" s="503" t="str">
        <f>'Breeding Inputs'!B120</f>
        <v/>
      </c>
      <c r="C928" s="521" t="str">
        <f>IF(ISNUMBER(B910), _6_3_0, "")</f>
        <v/>
      </c>
      <c r="D928" s="94" t="str">
        <f>IF(AND(C928&lt;&gt;"", 'Cost Inputs'!$G$187&lt;&gt;""), 'Cost Inputs'!$G$187, "")</f>
        <v/>
      </c>
      <c r="E928" s="94" t="str">
        <f>IF(AND(C928&lt;&gt;"", 'Cost Inputs'!$H$187&lt;&gt;""), 'Cost Inputs'!$H$187, "")</f>
        <v/>
      </c>
      <c r="F928" s="492" t="str">
        <f>IF(AND(C928&lt;&gt;"", 'Cost Inputs'!$I$187&lt;&gt;""), 'Cost Inputs'!$I$187, "")</f>
        <v/>
      </c>
      <c r="G928" s="102" t="str">
        <f t="shared" si="86"/>
        <v/>
      </c>
      <c r="H928" s="492" t="str">
        <f>IF(AND(C928&lt;&gt;"", 'Cost Inputs'!$J$187&lt;&gt;""), 'Cost Inputs'!$J$187, "")</f>
        <v/>
      </c>
      <c r="I928" s="102" t="str">
        <f>IF($C928&lt;&gt;"",IF(AND($E928&lt;&gt;"",H928&lt;&gt;""), H928/$E928, 0),"")</f>
        <v/>
      </c>
      <c r="J928" s="492" t="str">
        <f>IF(AND(C928&lt;&gt;"",('Cost Inputs'!$I$187+'Cost Inputs'!$J$187+'Cost Inputs'!$K$187)&gt;0), 'Cost Inputs'!$I$187+'Cost Inputs'!$J$187+'Cost Inputs'!$K$187, "")</f>
        <v/>
      </c>
      <c r="K928" s="102" t="str">
        <f>IF($C928&lt;&gt;"",IF(AND($E928&lt;&gt;"",J928&lt;&gt;""), J928/$E928, 0),"")</f>
        <v/>
      </c>
      <c r="L928" s="94"/>
      <c r="M928" s="103"/>
      <c r="V928" s="492" t="str">
        <f>IF(ISNUMBER('Model_ of_individuals'!V948), 'Model_ of_individuals'!V948*'Model_ of_individuals'!$K948,"")</f>
        <v/>
      </c>
      <c r="W928" s="492" t="str">
        <f>IF(ISNUMBER('Model_ of_individuals'!W948), 'Model_ of_individuals'!W948*'Model_ of_individuals'!$K948,"")</f>
        <v/>
      </c>
      <c r="X928" s="492" t="str">
        <f>IF(ISNUMBER('Model_ of_individuals'!X948), 'Model_ of_individuals'!X948*'Model_ of_individuals'!$K948,"")</f>
        <v/>
      </c>
      <c r="Y928" s="492" t="str">
        <f>IF(ISNUMBER('Model_ of_individuals'!Y948), 'Model_ of_individuals'!Y948*'Model_ of_individuals'!$K948,"")</f>
        <v/>
      </c>
      <c r="Z928" s="492" t="str">
        <f>IF(ISNUMBER('Model_ of_individuals'!Z948), 'Model_ of_individuals'!Z948*'Model_ of_individuals'!$K948,"")</f>
        <v/>
      </c>
      <c r="AA928" s="492" t="str">
        <f>IF(ISNUMBER('Model_ of_individuals'!AA948), 'Model_ of_individuals'!AA948*'Model_ of_individuals'!$K948,"")</f>
        <v/>
      </c>
      <c r="AB928" s="492" t="str">
        <f>IF(ISNUMBER('Model_ of_individuals'!AB948), 'Model_ of_individuals'!AB948*'Model_ of_individuals'!$K948,"")</f>
        <v/>
      </c>
      <c r="AC928" s="492" t="str">
        <f>IF(ISNUMBER('Model_ of_individuals'!AC948), 'Model_ of_individuals'!AC948*'Model_ of_individuals'!$K948,"")</f>
        <v/>
      </c>
      <c r="AD928" s="492" t="str">
        <f>IF(ISNUMBER('Model_ of_individuals'!AD948), 'Model_ of_individuals'!AD948*'Model_ of_individuals'!$K948,"")</f>
        <v/>
      </c>
      <c r="AE928" s="492" t="str">
        <f>IF(ISNUMBER('Model_ of_individuals'!AE948), 'Model_ of_individuals'!AE948*'Model_ of_individuals'!$K948,"")</f>
        <v/>
      </c>
    </row>
    <row r="929" spans="1:31" x14ac:dyDescent="0.25">
      <c r="A929" s="518"/>
      <c r="B929" s="504"/>
      <c r="C929" s="521"/>
      <c r="D929" s="94" t="str">
        <f>IF(AND(C928&lt;&gt;"", 'Cost Inputs'!$G$188&lt;&gt;""), 'Cost Inputs'!$G$188, "")</f>
        <v/>
      </c>
      <c r="E929" s="94" t="str">
        <f>IF(AND(C928&lt;&gt;"", 'Cost Inputs'!$H$188&lt;&gt;""), 'Cost Inputs'!$H$188, "")</f>
        <v/>
      </c>
      <c r="F929" s="492"/>
      <c r="G929" s="102" t="str">
        <f t="shared" si="86"/>
        <v/>
      </c>
      <c r="H929" s="492"/>
      <c r="I929" s="102" t="str">
        <f>IF($C928&lt;&gt;"", IF(AND($E929&lt;&gt;"", H928&lt;&gt;""), H928/($E928*$E929), 0), "")</f>
        <v/>
      </c>
      <c r="J929" s="492" t="str">
        <f>IF(AND(C929&lt;&gt;"",('Cost Inputs'!$I$86+'Cost Inputs'!$J$86+'Cost Inputs'!$K$86)&gt;0), 'Cost Inputs'!$I$86+'Cost Inputs'!$J$86+'Cost Inputs'!$K$86, "")</f>
        <v/>
      </c>
      <c r="K929" s="102" t="str">
        <f>IF($C928&lt;&gt;"", IF(AND($E929&lt;&gt;"", J928&lt;&gt;""), J928/($E928*$E929), 0), "")</f>
        <v/>
      </c>
      <c r="L929" s="94"/>
      <c r="M929" s="103"/>
      <c r="V929" s="492" t="str">
        <f>IF(ISNUMBER('Model_ of_individuals'!V949), 'Model_ of_individuals'!V949*'Model_ of_individuals'!$K949,"")</f>
        <v/>
      </c>
      <c r="W929" s="492" t="str">
        <f>IF(ISNUMBER('Model_ of_individuals'!W949), 'Model_ of_individuals'!W949*'Model_ of_individuals'!$K949,"")</f>
        <v/>
      </c>
      <c r="X929" s="492" t="str">
        <f>IF(ISNUMBER('Model_ of_individuals'!X949), 'Model_ of_individuals'!X949*'Model_ of_individuals'!$K949,"")</f>
        <v/>
      </c>
      <c r="Y929" s="492" t="str">
        <f>IF(ISNUMBER('Model_ of_individuals'!Y949), 'Model_ of_individuals'!Y949*'Model_ of_individuals'!$K949,"")</f>
        <v/>
      </c>
      <c r="Z929" s="492" t="str">
        <f>IF(ISNUMBER('Model_ of_individuals'!Z949), 'Model_ of_individuals'!Z949*'Model_ of_individuals'!$K949,"")</f>
        <v/>
      </c>
      <c r="AA929" s="492" t="str">
        <f>IF(ISNUMBER('Model_ of_individuals'!AA949), 'Model_ of_individuals'!AA949*'Model_ of_individuals'!$K949,"")</f>
        <v/>
      </c>
      <c r="AB929" s="492" t="str">
        <f>IF(ISNUMBER('Model_ of_individuals'!AB949), 'Model_ of_individuals'!AB949*'Model_ of_individuals'!$K949,"")</f>
        <v/>
      </c>
      <c r="AC929" s="492" t="str">
        <f>IF(ISNUMBER('Model_ of_individuals'!AC949), 'Model_ of_individuals'!AC949*'Model_ of_individuals'!$K949,"")</f>
        <v/>
      </c>
      <c r="AD929" s="492" t="str">
        <f>IF(ISNUMBER('Model_ of_individuals'!AD949), 'Model_ of_individuals'!AD949*'Model_ of_individuals'!$K949,"")</f>
        <v/>
      </c>
      <c r="AE929" s="492" t="str">
        <f>IF(ISNUMBER('Model_ of_individuals'!AE949), 'Model_ of_individuals'!AE949*'Model_ of_individuals'!$K949,"")</f>
        <v/>
      </c>
    </row>
    <row r="930" spans="1:31" x14ac:dyDescent="0.25">
      <c r="A930" s="518"/>
      <c r="B930" s="504"/>
      <c r="C930" s="104" t="str">
        <f>IF(AND(ISNUMBER(B910), OR('Cost Inputs'!$H$189&lt;&gt;"", 'Cost Inputs'!$I$189&lt;&gt;"", 'Cost Inputs'!$J$189&lt;&gt;"")), _6_3_1, "")</f>
        <v/>
      </c>
      <c r="D930" s="17" t="str">
        <f>IF(AND(C930&lt;&gt;"", 'Cost Inputs'!$G$189&lt;&gt;""), 'Cost Inputs'!$G$189, "")</f>
        <v/>
      </c>
      <c r="E930" s="17" t="str">
        <f>IF(AND(C930&lt;&gt;"", 'Cost Inputs'!$H$189&lt;&gt;""), 'Cost Inputs'!$H$189, "")</f>
        <v/>
      </c>
      <c r="F930" s="17" t="str">
        <f>IF(AND(C930&lt;&gt;"", 'Cost Inputs'!$I$189&lt;&gt;""), 'Cost Inputs'!$I$189, "")</f>
        <v/>
      </c>
      <c r="G930" s="105" t="str">
        <f t="shared" si="86"/>
        <v/>
      </c>
      <c r="H930" s="17" t="str">
        <f>IF(AND(C930&lt;&gt;"", 'Cost Inputs'!$J$189&lt;&gt;""), 'Cost Inputs'!$J$189, "")</f>
        <v/>
      </c>
      <c r="I930" s="17" t="str">
        <f t="shared" ref="I930:I938" si="87">IF($C930&lt;&gt;"", IF(AND($E930&lt;&gt;"", H930&lt;&gt;""), H930/$E930, 0),"")</f>
        <v/>
      </c>
      <c r="J930" s="17" t="str">
        <f>IF(AND(C930&lt;&gt;"",('Cost Inputs'!$I$189+'Cost Inputs'!$J$189+'Cost Inputs'!$K$189)&gt;0), 'Cost Inputs'!$I$189+'Cost Inputs'!$J$189+'Cost Inputs'!$K$189, "")</f>
        <v/>
      </c>
      <c r="K930" s="17" t="str">
        <f t="shared" ref="K930:K938" si="88">IF($C930&lt;&gt;"", IF(AND($E930&lt;&gt;"", J930&lt;&gt;""), J930/$E930, 0),"")</f>
        <v/>
      </c>
      <c r="M930" s="106"/>
      <c r="V930" s="17" t="str">
        <f>IF(ISNUMBER('Model_ of_individuals'!V950), 'Model_ of_individuals'!V950*'Model_ of_individuals'!$K950,"")</f>
        <v/>
      </c>
      <c r="W930" s="17" t="str">
        <f>IF(ISNUMBER('Model_ of_individuals'!W950), 'Model_ of_individuals'!W950*'Model_ of_individuals'!$K950,"")</f>
        <v/>
      </c>
      <c r="X930" s="17" t="str">
        <f>IF(ISNUMBER('Model_ of_individuals'!X950), 'Model_ of_individuals'!X950*'Model_ of_individuals'!$K950,"")</f>
        <v/>
      </c>
      <c r="Y930" s="17" t="str">
        <f>IF(ISNUMBER('Model_ of_individuals'!Y950), 'Model_ of_individuals'!Y950*'Model_ of_individuals'!$K950,"")</f>
        <v/>
      </c>
      <c r="Z930" s="17" t="str">
        <f>IF(ISNUMBER('Model_ of_individuals'!Z950), 'Model_ of_individuals'!Z950*'Model_ of_individuals'!$K950,"")</f>
        <v/>
      </c>
      <c r="AA930" s="17" t="str">
        <f>IF(ISNUMBER('Model_ of_individuals'!AA950), 'Model_ of_individuals'!AA950*'Model_ of_individuals'!$K950,"")</f>
        <v/>
      </c>
      <c r="AB930" s="17" t="str">
        <f>IF(ISNUMBER('Model_ of_individuals'!AB950), 'Model_ of_individuals'!AB950*'Model_ of_individuals'!$K950,"")</f>
        <v/>
      </c>
      <c r="AC930" s="17" t="str">
        <f>IF(ISNUMBER('Model_ of_individuals'!AC950), 'Model_ of_individuals'!AC950*'Model_ of_individuals'!$K950,"")</f>
        <v/>
      </c>
      <c r="AD930" s="17" t="str">
        <f>IF(ISNUMBER('Model_ of_individuals'!AD950), 'Model_ of_individuals'!AD950*'Model_ of_individuals'!$K950,"")</f>
        <v/>
      </c>
      <c r="AE930" s="17" t="str">
        <f>IF(ISNUMBER('Model_ of_individuals'!AE950), 'Model_ of_individuals'!AE950*'Model_ of_individuals'!$K950,"")</f>
        <v/>
      </c>
    </row>
    <row r="931" spans="1:31" x14ac:dyDescent="0.25">
      <c r="A931" s="518"/>
      <c r="B931" s="504"/>
      <c r="C931" s="107" t="str">
        <f>IF(AND(ISNUMBER(B910), OR('Cost Inputs'!$H$190&lt;&gt;"", 'Cost Inputs'!$I$190&lt;&gt;"", 'Cost Inputs'!$J$190&lt;&gt;"")), _6_3_2, "")</f>
        <v/>
      </c>
      <c r="D931" s="93" t="str">
        <f>IF(AND(C931&lt;&gt;"", 'Cost Inputs'!$G$190&lt;&gt;""), 'Cost Inputs'!$G$190, "")</f>
        <v/>
      </c>
      <c r="E931" s="93" t="str">
        <f>IF(AND(C931&lt;&gt;"", 'Cost Inputs'!$H$190&lt;&gt;""), 'Cost Inputs'!$H$190, "")</f>
        <v/>
      </c>
      <c r="F931" s="93" t="str">
        <f>IF(AND(C931&lt;&gt;"", 'Cost Inputs'!$I$190&lt;&gt;""), 'Cost Inputs'!$I$190, "")</f>
        <v/>
      </c>
      <c r="G931" s="108" t="str">
        <f t="shared" si="86"/>
        <v/>
      </c>
      <c r="H931" s="93" t="str">
        <f>IF(AND(C931&lt;&gt;"", 'Cost Inputs'!$J$190&lt;&gt;""), 'Cost Inputs'!$J$190, "")</f>
        <v/>
      </c>
      <c r="I931" s="93" t="str">
        <f t="shared" si="87"/>
        <v/>
      </c>
      <c r="J931" s="93" t="str">
        <f>IF(AND(C931&lt;&gt;"",('Cost Inputs'!$I$190+'Cost Inputs'!$J$190+'Cost Inputs'!$K$190)&gt;0), 'Cost Inputs'!$I$190+'Cost Inputs'!$J$190+'Cost Inputs'!$K$190, "")</f>
        <v/>
      </c>
      <c r="K931" s="93" t="str">
        <f t="shared" si="88"/>
        <v/>
      </c>
      <c r="L931" s="93"/>
      <c r="M931" s="109"/>
      <c r="V931" s="93" t="str">
        <f>IF(ISNUMBER('Model_ of_individuals'!V951), 'Model_ of_individuals'!V951*'Model_ of_individuals'!$K951,"")</f>
        <v/>
      </c>
      <c r="W931" s="93" t="str">
        <f>IF(ISNUMBER('Model_ of_individuals'!W951), 'Model_ of_individuals'!W951*'Model_ of_individuals'!$K951,"")</f>
        <v/>
      </c>
      <c r="X931" s="93" t="str">
        <f>IF(ISNUMBER('Model_ of_individuals'!X951), 'Model_ of_individuals'!X951*'Model_ of_individuals'!$K951,"")</f>
        <v/>
      </c>
      <c r="Y931" s="93" t="str">
        <f>IF(ISNUMBER('Model_ of_individuals'!Y951), 'Model_ of_individuals'!Y951*'Model_ of_individuals'!$K951,"")</f>
        <v/>
      </c>
      <c r="Z931" s="93" t="str">
        <f>IF(ISNUMBER('Model_ of_individuals'!Z951), 'Model_ of_individuals'!Z951*'Model_ of_individuals'!$K951,"")</f>
        <v/>
      </c>
      <c r="AA931" s="93" t="str">
        <f>IF(ISNUMBER('Model_ of_individuals'!AA951), 'Model_ of_individuals'!AA951*'Model_ of_individuals'!$K951,"")</f>
        <v/>
      </c>
      <c r="AB931" s="93" t="str">
        <f>IF(ISNUMBER('Model_ of_individuals'!AB951), 'Model_ of_individuals'!AB951*'Model_ of_individuals'!$K951,"")</f>
        <v/>
      </c>
      <c r="AC931" s="93" t="str">
        <f>IF(ISNUMBER('Model_ of_individuals'!AC951), 'Model_ of_individuals'!AC951*'Model_ of_individuals'!$K951,"")</f>
        <v/>
      </c>
      <c r="AD931" s="93" t="str">
        <f>IF(ISNUMBER('Model_ of_individuals'!AD951), 'Model_ of_individuals'!AD951*'Model_ of_individuals'!$K951,"")</f>
        <v/>
      </c>
      <c r="AE931" s="93" t="str">
        <f>IF(ISNUMBER('Model_ of_individuals'!AE951), 'Model_ of_individuals'!AE951*'Model_ of_individuals'!$K951,"")</f>
        <v/>
      </c>
    </row>
    <row r="932" spans="1:31" x14ac:dyDescent="0.25">
      <c r="A932" s="518"/>
      <c r="B932" s="504"/>
      <c r="C932" s="110" t="str">
        <f>IF(ISNUMBER(B910), _6_4_0, "")</f>
        <v/>
      </c>
      <c r="D932" s="94" t="str">
        <f>IF(AND(C932&lt;&gt;"", 'Cost Inputs'!$G$191&lt;&gt;""), 'Cost Inputs'!$G$191, "")</f>
        <v/>
      </c>
      <c r="E932" s="94" t="str">
        <f>IF(AND(C932&lt;&gt;"", 'Cost Inputs'!$H$191&lt;&gt;""), 'Cost Inputs'!$H$191, "")</f>
        <v/>
      </c>
      <c r="F932" s="94" t="str">
        <f>IF(AND(C932&lt;&gt;"", 'Cost Inputs'!$I$191&lt;&gt;""), 'Cost Inputs'!$I$191, "")</f>
        <v/>
      </c>
      <c r="G932" s="102" t="str">
        <f t="shared" si="86"/>
        <v/>
      </c>
      <c r="H932" s="102" t="str">
        <f>IF(AND(C932&lt;&gt;"", 'Cost Inputs'!$J$191&lt;&gt;""), 'Cost Inputs'!$J$191, "")</f>
        <v/>
      </c>
      <c r="I932" s="102" t="str">
        <f t="shared" si="87"/>
        <v/>
      </c>
      <c r="J932" s="102" t="str">
        <f>IF(AND(C932&lt;&gt;"",('Cost Inputs'!$I$191+'Cost Inputs'!$J$191+'Cost Inputs'!$K$191)&gt;0), 'Cost Inputs'!$I$191+'Cost Inputs'!$J$191+'Cost Inputs'!$K$191, "")</f>
        <v/>
      </c>
      <c r="K932" s="102" t="str">
        <f t="shared" si="88"/>
        <v/>
      </c>
      <c r="L932" s="94"/>
      <c r="M932" s="103"/>
      <c r="V932" s="102" t="str">
        <f>IF(ISNUMBER('Model_ of_individuals'!V952), 'Model_ of_individuals'!V952*'Model_ of_individuals'!$K952,"")</f>
        <v/>
      </c>
      <c r="W932" s="102" t="str">
        <f>IF(ISNUMBER('Model_ of_individuals'!W952), 'Model_ of_individuals'!W952*'Model_ of_individuals'!$K952,"")</f>
        <v/>
      </c>
      <c r="X932" s="102" t="str">
        <f>IF(ISNUMBER('Model_ of_individuals'!X952), 'Model_ of_individuals'!X952*'Model_ of_individuals'!$K952,"")</f>
        <v/>
      </c>
      <c r="Y932" s="102" t="str">
        <f>IF(ISNUMBER('Model_ of_individuals'!Y952), 'Model_ of_individuals'!Y952*'Model_ of_individuals'!$K952,"")</f>
        <v/>
      </c>
      <c r="Z932" s="102" t="str">
        <f>IF(ISNUMBER('Model_ of_individuals'!Z952), 'Model_ of_individuals'!Z952*'Model_ of_individuals'!$K952,"")</f>
        <v/>
      </c>
      <c r="AA932" s="102" t="str">
        <f>IF(ISNUMBER('Model_ of_individuals'!AA952), 'Model_ of_individuals'!AA952*'Model_ of_individuals'!$K952,"")</f>
        <v/>
      </c>
      <c r="AB932" s="102" t="str">
        <f>IF(ISNUMBER('Model_ of_individuals'!AB952), 'Model_ of_individuals'!AB952*'Model_ of_individuals'!$K952,"")</f>
        <v/>
      </c>
      <c r="AC932" s="102" t="str">
        <f>IF(ISNUMBER('Model_ of_individuals'!AC952), 'Model_ of_individuals'!AC952*'Model_ of_individuals'!$K952,"")</f>
        <v/>
      </c>
      <c r="AD932" s="102" t="str">
        <f>IF(ISNUMBER('Model_ of_individuals'!AD952), 'Model_ of_individuals'!AD952*'Model_ of_individuals'!$K952,"")</f>
        <v/>
      </c>
      <c r="AE932" s="102" t="str">
        <f>IF(ISNUMBER('Model_ of_individuals'!AE952), 'Model_ of_individuals'!AE952*'Model_ of_individuals'!$K952,"")</f>
        <v/>
      </c>
    </row>
    <row r="933" spans="1:31" x14ac:dyDescent="0.25">
      <c r="A933" s="518"/>
      <c r="B933" s="504"/>
      <c r="C933" s="104" t="str">
        <f>IF(AND(ISNUMBER(B910), OR('Cost Inputs'!$H$192&lt;&gt;"", 'Cost Inputs'!$I$192&lt;&gt;"", 'Cost Inputs'!$J$192&lt;&gt;"")), _6_4_1, "")</f>
        <v/>
      </c>
      <c r="D933" s="17" t="str">
        <f>IF(AND(C933&lt;&gt;"", 'Cost Inputs'!$G$192&lt;&gt;""), 'Cost Inputs'!$G$192, "")</f>
        <v/>
      </c>
      <c r="E933" s="17" t="str">
        <f>IF(AND(C933&lt;&gt;"", 'Cost Inputs'!$H$192&lt;&gt;""), 'Cost Inputs'!$H$192, "")</f>
        <v/>
      </c>
      <c r="F933" s="17" t="str">
        <f>IF(AND(C933&lt;&gt;"", 'Cost Inputs'!$I$192&lt;&gt;""), 'Cost Inputs'!$I$192, "")</f>
        <v/>
      </c>
      <c r="G933" s="105" t="str">
        <f t="shared" si="86"/>
        <v/>
      </c>
      <c r="H933" s="17" t="str">
        <f>IF(AND(C933&lt;&gt;"", 'Cost Inputs'!$J$192&lt;&gt;""), 'Cost Inputs'!$J$192, "")</f>
        <v/>
      </c>
      <c r="I933" s="17" t="str">
        <f t="shared" si="87"/>
        <v/>
      </c>
      <c r="J933" s="17" t="str">
        <f>IF(AND(C933&lt;&gt;"",('Cost Inputs'!$I$192+'Cost Inputs'!$J$192+'Cost Inputs'!$K$192)&gt;0), 'Cost Inputs'!$I$192+'Cost Inputs'!$J$192+'Cost Inputs'!$K$192, "")</f>
        <v/>
      </c>
      <c r="K933" s="17" t="str">
        <f t="shared" si="88"/>
        <v/>
      </c>
      <c r="M933" s="106"/>
      <c r="V933" s="17" t="str">
        <f>IF(ISNUMBER('Model_ of_individuals'!V953), 'Model_ of_individuals'!V953*'Model_ of_individuals'!$K953,"")</f>
        <v/>
      </c>
      <c r="W933" s="17" t="str">
        <f>IF(ISNUMBER('Model_ of_individuals'!W953), 'Model_ of_individuals'!W953*'Model_ of_individuals'!$K953,"")</f>
        <v/>
      </c>
      <c r="X933" s="17" t="str">
        <f>IF(ISNUMBER('Model_ of_individuals'!X953), 'Model_ of_individuals'!X953*'Model_ of_individuals'!$K953,"")</f>
        <v/>
      </c>
      <c r="Y933" s="17" t="str">
        <f>IF(ISNUMBER('Model_ of_individuals'!Y953), 'Model_ of_individuals'!Y953*'Model_ of_individuals'!$K953,"")</f>
        <v/>
      </c>
      <c r="Z933" s="17" t="str">
        <f>IF(ISNUMBER('Model_ of_individuals'!Z953), 'Model_ of_individuals'!Z953*'Model_ of_individuals'!$K953,"")</f>
        <v/>
      </c>
      <c r="AA933" s="17" t="str">
        <f>IF(ISNUMBER('Model_ of_individuals'!AA953), 'Model_ of_individuals'!AA953*'Model_ of_individuals'!$K953,"")</f>
        <v/>
      </c>
      <c r="AB933" s="17" t="str">
        <f>IF(ISNUMBER('Model_ of_individuals'!AB953), 'Model_ of_individuals'!AB953*'Model_ of_individuals'!$K953,"")</f>
        <v/>
      </c>
      <c r="AC933" s="17" t="str">
        <f>IF(ISNUMBER('Model_ of_individuals'!AC953), 'Model_ of_individuals'!AC953*'Model_ of_individuals'!$K953,"")</f>
        <v/>
      </c>
      <c r="AD933" s="17" t="str">
        <f>IF(ISNUMBER('Model_ of_individuals'!AD953), 'Model_ of_individuals'!AD953*'Model_ of_individuals'!$K953,"")</f>
        <v/>
      </c>
      <c r="AE933" s="17" t="str">
        <f>IF(ISNUMBER('Model_ of_individuals'!AE953), 'Model_ of_individuals'!AE953*'Model_ of_individuals'!$K953,"")</f>
        <v/>
      </c>
    </row>
    <row r="934" spans="1:31" x14ac:dyDescent="0.25">
      <c r="A934" s="518"/>
      <c r="B934" s="504"/>
      <c r="C934" s="107" t="str">
        <f>IF(AND(ISNUMBER(B910), OR('Cost Inputs'!$H$193&lt;&gt;"", 'Cost Inputs'!$I$193&lt;&gt;"", 'Cost Inputs'!$J$193&lt;&gt;"")), _6_4_2, "")</f>
        <v/>
      </c>
      <c r="D934" s="93" t="str">
        <f>IF(AND(C934&lt;&gt;"", 'Cost Inputs'!$G$193&lt;&gt;""), 'Cost Inputs'!$G$193, "")</f>
        <v/>
      </c>
      <c r="E934" s="93" t="str">
        <f>IF(AND(C934&lt;&gt;"", 'Cost Inputs'!$H$193&lt;&gt;""), 'Cost Inputs'!$H$193, "")</f>
        <v/>
      </c>
      <c r="F934" s="93" t="str">
        <f>IF(AND(C934&lt;&gt;"", 'Cost Inputs'!$I$193&lt;&gt;""), 'Cost Inputs'!$I$193, "")</f>
        <v/>
      </c>
      <c r="G934" s="108" t="str">
        <f t="shared" si="86"/>
        <v/>
      </c>
      <c r="H934" s="93" t="str">
        <f>IF(AND(C934&lt;&gt;"", 'Cost Inputs'!$J$193&lt;&gt;""), 'Cost Inputs'!$J$193, "")</f>
        <v/>
      </c>
      <c r="I934" s="93" t="str">
        <f t="shared" si="87"/>
        <v/>
      </c>
      <c r="J934" s="93" t="str">
        <f>IF(AND(C934&lt;&gt;"",('Cost Inputs'!$I$152+'Cost Inputs'!$J$152+'Cost Inputs'!$K$152)&gt;0), 'Cost Inputs'!$I$152+'Cost Inputs'!$J$152+'Cost Inputs'!$K$152, "")</f>
        <v/>
      </c>
      <c r="K934" s="93" t="str">
        <f t="shared" si="88"/>
        <v/>
      </c>
      <c r="L934" s="93"/>
      <c r="M934" s="109"/>
      <c r="V934" s="93" t="str">
        <f>IF(ISNUMBER('Model_ of_individuals'!V954), 'Model_ of_individuals'!V954*'Model_ of_individuals'!$K954,"")</f>
        <v/>
      </c>
      <c r="W934" s="93" t="str">
        <f>IF(ISNUMBER('Model_ of_individuals'!W954), 'Model_ of_individuals'!W954*'Model_ of_individuals'!$K954,"")</f>
        <v/>
      </c>
      <c r="X934" s="93" t="str">
        <f>IF(ISNUMBER('Model_ of_individuals'!X954), 'Model_ of_individuals'!X954*'Model_ of_individuals'!$K954,"")</f>
        <v/>
      </c>
      <c r="Y934" s="93" t="str">
        <f>IF(ISNUMBER('Model_ of_individuals'!Y954), 'Model_ of_individuals'!Y954*'Model_ of_individuals'!$K954,"")</f>
        <v/>
      </c>
      <c r="Z934" s="93" t="str">
        <f>IF(ISNUMBER('Model_ of_individuals'!Z954), 'Model_ of_individuals'!Z954*'Model_ of_individuals'!$K954,"")</f>
        <v/>
      </c>
      <c r="AA934" s="93" t="str">
        <f>IF(ISNUMBER('Model_ of_individuals'!AA954), 'Model_ of_individuals'!AA954*'Model_ of_individuals'!$K954,"")</f>
        <v/>
      </c>
      <c r="AB934" s="93" t="str">
        <f>IF(ISNUMBER('Model_ of_individuals'!AB954), 'Model_ of_individuals'!AB954*'Model_ of_individuals'!$K954,"")</f>
        <v/>
      </c>
      <c r="AC934" s="93" t="str">
        <f>IF(ISNUMBER('Model_ of_individuals'!AC954), 'Model_ of_individuals'!AC954*'Model_ of_individuals'!$K954,"")</f>
        <v/>
      </c>
      <c r="AD934" s="93" t="str">
        <f>IF(ISNUMBER('Model_ of_individuals'!AD954), 'Model_ of_individuals'!AD954*'Model_ of_individuals'!$K954,"")</f>
        <v/>
      </c>
      <c r="AE934" s="93" t="str">
        <f>IF(ISNUMBER('Model_ of_individuals'!AE954), 'Model_ of_individuals'!AE954*'Model_ of_individuals'!$K954,"")</f>
        <v/>
      </c>
    </row>
    <row r="935" spans="1:31" x14ac:dyDescent="0.25">
      <c r="A935" s="518"/>
      <c r="B935" s="504"/>
      <c r="C935" s="104" t="str">
        <f>IF(AND(ISNUMBER(B910), OR('Cost Inputs'!$H$194&lt;&gt;"", 'Cost Inputs'!$I$194&lt;&gt;"", 'Cost Inputs'!$J$194&lt;&gt;"")), _6_4_3, "")</f>
        <v/>
      </c>
      <c r="D935" s="17" t="str">
        <f>IF(AND(C935&lt;&gt;"", 'Cost Inputs'!$G$194&lt;&gt;""), 'Cost Inputs'!$G$194, "")</f>
        <v/>
      </c>
      <c r="E935" s="17" t="str">
        <f>IF(AND(C935&lt;&gt;"", 'Cost Inputs'!$H$194&lt;&gt;""), 'Cost Inputs'!$H$194, "")</f>
        <v/>
      </c>
      <c r="F935" s="17" t="str">
        <f>IF(AND(C935&lt;&gt;"", 'Cost Inputs'!$I$194&lt;&gt;""), 'Cost Inputs'!$I$194, "")</f>
        <v/>
      </c>
      <c r="G935" s="105" t="str">
        <f t="shared" si="86"/>
        <v/>
      </c>
      <c r="H935" s="17" t="str">
        <f>IF(AND(C935&lt;&gt;"", 'Cost Inputs'!$J$194&lt;&gt;""), 'Cost Inputs'!$J$194, "")</f>
        <v/>
      </c>
      <c r="I935" s="17" t="str">
        <f t="shared" si="87"/>
        <v/>
      </c>
      <c r="J935" s="17" t="str">
        <f>IF(AND(C935&lt;&gt;"",('Cost Inputs'!$I$194+'Cost Inputs'!$J$194+'Cost Inputs'!$K$194)&gt;0), 'Cost Inputs'!$I$194+'Cost Inputs'!$J$194+'Cost Inputs'!$K$194, "")</f>
        <v/>
      </c>
      <c r="K935" s="17" t="str">
        <f t="shared" si="88"/>
        <v/>
      </c>
      <c r="M935" s="106"/>
      <c r="V935" s="17" t="str">
        <f>IF(ISNUMBER('Model_ of_individuals'!V955), 'Model_ of_individuals'!V955*'Model_ of_individuals'!$K955,"")</f>
        <v/>
      </c>
      <c r="W935" s="17" t="str">
        <f>IF(ISNUMBER('Model_ of_individuals'!W955), 'Model_ of_individuals'!W955*'Model_ of_individuals'!$K955,"")</f>
        <v/>
      </c>
      <c r="X935" s="17" t="str">
        <f>IF(ISNUMBER('Model_ of_individuals'!X955), 'Model_ of_individuals'!X955*'Model_ of_individuals'!$K955,"")</f>
        <v/>
      </c>
      <c r="Y935" s="17" t="str">
        <f>IF(ISNUMBER('Model_ of_individuals'!Y955), 'Model_ of_individuals'!Y955*'Model_ of_individuals'!$K955,"")</f>
        <v/>
      </c>
      <c r="Z935" s="17" t="str">
        <f>IF(ISNUMBER('Model_ of_individuals'!Z955), 'Model_ of_individuals'!Z955*'Model_ of_individuals'!$K955,"")</f>
        <v/>
      </c>
      <c r="AA935" s="17" t="str">
        <f>IF(ISNUMBER('Model_ of_individuals'!AA955), 'Model_ of_individuals'!AA955*'Model_ of_individuals'!$K955,"")</f>
        <v/>
      </c>
      <c r="AB935" s="17" t="str">
        <f>IF(ISNUMBER('Model_ of_individuals'!AB955), 'Model_ of_individuals'!AB955*'Model_ of_individuals'!$K955,"")</f>
        <v/>
      </c>
      <c r="AC935" s="17" t="str">
        <f>IF(ISNUMBER('Model_ of_individuals'!AC955), 'Model_ of_individuals'!AC955*'Model_ of_individuals'!$K955,"")</f>
        <v/>
      </c>
      <c r="AD935" s="17" t="str">
        <f>IF(ISNUMBER('Model_ of_individuals'!AD955), 'Model_ of_individuals'!AD955*'Model_ of_individuals'!$K955,"")</f>
        <v/>
      </c>
      <c r="AE935" s="17" t="str">
        <f>IF(ISNUMBER('Model_ of_individuals'!AE955), 'Model_ of_individuals'!AE955*'Model_ of_individuals'!$K955,"")</f>
        <v/>
      </c>
    </row>
    <row r="936" spans="1:31" x14ac:dyDescent="0.25">
      <c r="A936" s="518"/>
      <c r="B936" s="504"/>
      <c r="C936" s="107" t="str">
        <f>IF(AND(ISNUMBER(B910), OR('Cost Inputs'!$H$195&lt;&gt;"", 'Cost Inputs'!$I$195&lt;&gt;"", 'Cost Inputs'!$J$195&lt;&gt;"")), _6_4_4, "")</f>
        <v/>
      </c>
      <c r="D936" s="93" t="str">
        <f>IF(AND(C936&lt;&gt;"", 'Cost Inputs'!$G$195&lt;&gt;""), 'Cost Inputs'!$G$195, "")</f>
        <v/>
      </c>
      <c r="E936" s="93" t="str">
        <f>IF(AND(C936&lt;&gt;"", 'Cost Inputs'!$H$195&lt;&gt;""), 'Cost Inputs'!$H$195, "")</f>
        <v/>
      </c>
      <c r="F936" s="93" t="str">
        <f>IF(AND(C936&lt;&gt;"", 'Cost Inputs'!$I$195&lt;&gt;""), 'Cost Inputs'!$I$195, "")</f>
        <v/>
      </c>
      <c r="G936" s="108" t="str">
        <f t="shared" si="86"/>
        <v/>
      </c>
      <c r="H936" s="93" t="str">
        <f>IF(AND(C936&lt;&gt;"", 'Cost Inputs'!$J$195&lt;&gt;""), 'Cost Inputs'!$J$195, "")</f>
        <v/>
      </c>
      <c r="I936" s="93" t="str">
        <f t="shared" si="87"/>
        <v/>
      </c>
      <c r="J936" s="93" t="str">
        <f>IF(AND(C936&lt;&gt;"",('Cost Inputs'!$I$195+'Cost Inputs'!$J$195+'Cost Inputs'!$K$195)&gt;0), 'Cost Inputs'!$I$195+'Cost Inputs'!$J$195+'Cost Inputs'!$K$195, "")</f>
        <v/>
      </c>
      <c r="K936" s="93" t="str">
        <f t="shared" si="88"/>
        <v/>
      </c>
      <c r="L936" s="93"/>
      <c r="M936" s="109"/>
      <c r="V936" s="93" t="str">
        <f>IF(ISNUMBER('Model_ of_individuals'!V956), 'Model_ of_individuals'!V956*'Model_ of_individuals'!$K956,"")</f>
        <v/>
      </c>
      <c r="W936" s="93" t="str">
        <f>IF(ISNUMBER('Model_ of_individuals'!W956), 'Model_ of_individuals'!W956*'Model_ of_individuals'!$K956,"")</f>
        <v/>
      </c>
      <c r="X936" s="93" t="str">
        <f>IF(ISNUMBER('Model_ of_individuals'!X956), 'Model_ of_individuals'!X956*'Model_ of_individuals'!$K956,"")</f>
        <v/>
      </c>
      <c r="Y936" s="93" t="str">
        <f>IF(ISNUMBER('Model_ of_individuals'!Y956), 'Model_ of_individuals'!Y956*'Model_ of_individuals'!$K956,"")</f>
        <v/>
      </c>
      <c r="Z936" s="93" t="str">
        <f>IF(ISNUMBER('Model_ of_individuals'!Z956), 'Model_ of_individuals'!Z956*'Model_ of_individuals'!$K956,"")</f>
        <v/>
      </c>
      <c r="AA936" s="93" t="str">
        <f>IF(ISNUMBER('Model_ of_individuals'!AA956), 'Model_ of_individuals'!AA956*'Model_ of_individuals'!$K956,"")</f>
        <v/>
      </c>
      <c r="AB936" s="93" t="str">
        <f>IF(ISNUMBER('Model_ of_individuals'!AB956), 'Model_ of_individuals'!AB956*'Model_ of_individuals'!$K956,"")</f>
        <v/>
      </c>
      <c r="AC936" s="93" t="str">
        <f>IF(ISNUMBER('Model_ of_individuals'!AC956), 'Model_ of_individuals'!AC956*'Model_ of_individuals'!$K956,"")</f>
        <v/>
      </c>
      <c r="AD936" s="93" t="str">
        <f>IF(ISNUMBER('Model_ of_individuals'!AD956), 'Model_ of_individuals'!AD956*'Model_ of_individuals'!$K956,"")</f>
        <v/>
      </c>
      <c r="AE936" s="93" t="str">
        <f>IF(ISNUMBER('Model_ of_individuals'!AE956), 'Model_ of_individuals'!AE956*'Model_ of_individuals'!$K956,"")</f>
        <v/>
      </c>
    </row>
    <row r="937" spans="1:31" x14ac:dyDescent="0.25">
      <c r="A937" s="518"/>
      <c r="B937" s="504"/>
      <c r="C937" s="104" t="str">
        <f>IF(AND(ISNUMBER(B910), OR('Cost Inputs'!$H$196&lt;&gt;"", 'Cost Inputs'!$I$196&lt;&gt;"", 'Cost Inputs'!$J$196&lt;&gt;"")), _6_4_5, "")</f>
        <v/>
      </c>
      <c r="D937" s="17" t="str">
        <f>IF(AND(C937&lt;&gt;"", 'Cost Inputs'!$G$196&lt;&gt;""), 'Cost Inputs'!$G$196, "")</f>
        <v/>
      </c>
      <c r="E937" s="17" t="str">
        <f>IF(AND(C937&lt;&gt;"", 'Cost Inputs'!$H$196&lt;&gt;""), 'Cost Inputs'!$H$196, "")</f>
        <v/>
      </c>
      <c r="F937" s="17" t="str">
        <f>IF(AND(C937&lt;&gt;"", 'Cost Inputs'!$I$196&lt;&gt;""), 'Cost Inputs'!$I$196, "")</f>
        <v/>
      </c>
      <c r="G937" s="105" t="str">
        <f t="shared" si="86"/>
        <v/>
      </c>
      <c r="H937" s="17" t="str">
        <f>IF(AND(C937&lt;&gt;"", 'Cost Inputs'!$J$196&lt;&gt;""), 'Cost Inputs'!$J$196, "")</f>
        <v/>
      </c>
      <c r="I937" s="17" t="str">
        <f t="shared" si="87"/>
        <v/>
      </c>
      <c r="J937" s="17" t="str">
        <f>IF(AND(C937&lt;&gt;"",('Cost Inputs'!$I$196+'Cost Inputs'!$J$196+'Cost Inputs'!$K$196)&gt;0), 'Cost Inputs'!$I$196+'Cost Inputs'!$J$196+'Cost Inputs'!$K$196, "")</f>
        <v/>
      </c>
      <c r="K937" s="17" t="str">
        <f t="shared" si="88"/>
        <v/>
      </c>
      <c r="M937" s="106"/>
      <c r="V937" s="17" t="str">
        <f>IF(ISNUMBER('Model_ of_individuals'!V957), 'Model_ of_individuals'!V957*'Model_ of_individuals'!$K957,"")</f>
        <v/>
      </c>
      <c r="W937" s="17" t="str">
        <f>IF(ISNUMBER('Model_ of_individuals'!W957), 'Model_ of_individuals'!W957*'Model_ of_individuals'!$K957,"")</f>
        <v/>
      </c>
      <c r="X937" s="17" t="str">
        <f>IF(ISNUMBER('Model_ of_individuals'!X957), 'Model_ of_individuals'!X957*'Model_ of_individuals'!$K957,"")</f>
        <v/>
      </c>
      <c r="Y937" s="17" t="str">
        <f>IF(ISNUMBER('Model_ of_individuals'!Y957), 'Model_ of_individuals'!Y957*'Model_ of_individuals'!$K957,"")</f>
        <v/>
      </c>
      <c r="Z937" s="17" t="str">
        <f>IF(ISNUMBER('Model_ of_individuals'!Z957), 'Model_ of_individuals'!Z957*'Model_ of_individuals'!$K957,"")</f>
        <v/>
      </c>
      <c r="AA937" s="17" t="str">
        <f>IF(ISNUMBER('Model_ of_individuals'!AA957), 'Model_ of_individuals'!AA957*'Model_ of_individuals'!$K957,"")</f>
        <v/>
      </c>
      <c r="AB937" s="17" t="str">
        <f>IF(ISNUMBER('Model_ of_individuals'!AB957), 'Model_ of_individuals'!AB957*'Model_ of_individuals'!$K957,"")</f>
        <v/>
      </c>
      <c r="AC937" s="17" t="str">
        <f>IF(ISNUMBER('Model_ of_individuals'!AC957), 'Model_ of_individuals'!AC957*'Model_ of_individuals'!$K957,"")</f>
        <v/>
      </c>
      <c r="AD937" s="17" t="str">
        <f>IF(ISNUMBER('Model_ of_individuals'!AD957), 'Model_ of_individuals'!AD957*'Model_ of_individuals'!$K957,"")</f>
        <v/>
      </c>
      <c r="AE937" s="17" t="str">
        <f>IF(ISNUMBER('Model_ of_individuals'!AE957), 'Model_ of_individuals'!AE957*'Model_ of_individuals'!$K957,"")</f>
        <v/>
      </c>
    </row>
    <row r="938" spans="1:31" x14ac:dyDescent="0.25">
      <c r="A938" s="518"/>
      <c r="B938" s="504"/>
      <c r="C938" s="107" t="str">
        <f>IF(AND(ISNUMBER(B910), OR('Cost Inputs'!$H$197&lt;&gt;"", 'Cost Inputs'!$I$197&lt;&gt;"", 'Cost Inputs'!$J$197&lt;&gt;"")), _6_4_6, "")</f>
        <v/>
      </c>
      <c r="D938" s="93" t="str">
        <f>IF(AND(C938&lt;&gt;"", 'Cost Inputs'!$G$197&lt;&gt;""), 'Cost Inputs'!$G$197, "")</f>
        <v/>
      </c>
      <c r="E938" s="93" t="str">
        <f>IF(AND(C938&lt;&gt;"", 'Cost Inputs'!$H$197&lt;&gt;""), 'Cost Inputs'!$H$197, "")</f>
        <v/>
      </c>
      <c r="F938" s="93" t="str">
        <f>IF(AND(C938&lt;&gt;"", 'Cost Inputs'!$I$197&lt;&gt;""), 'Cost Inputs'!$I$197, "")</f>
        <v/>
      </c>
      <c r="G938" s="108" t="str">
        <f t="shared" si="86"/>
        <v/>
      </c>
      <c r="H938" s="93" t="str">
        <f>IF(AND(C938&lt;&gt;"", 'Cost Inputs'!$J$197&lt;&gt;""), 'Cost Inputs'!$J$16, "")</f>
        <v/>
      </c>
      <c r="I938" s="93" t="str">
        <f t="shared" si="87"/>
        <v/>
      </c>
      <c r="J938" s="93" t="str">
        <f>IF(AND(C938&lt;&gt;"",('Cost Inputs'!$I$197+'Cost Inputs'!$J$197+'Cost Inputs'!$K$197)&gt;0), 'Cost Inputs'!$I$197+'Cost Inputs'!$J$197+'Cost Inputs'!$K$197, "")</f>
        <v/>
      </c>
      <c r="K938" s="93" t="str">
        <f t="shared" si="88"/>
        <v/>
      </c>
      <c r="L938" s="93"/>
      <c r="M938" s="109"/>
      <c r="V938" s="93" t="str">
        <f>IF(ISNUMBER('Model_ of_individuals'!V958), 'Model_ of_individuals'!V958*'Model_ of_individuals'!$K958,"")</f>
        <v/>
      </c>
      <c r="W938" s="93" t="str">
        <f>IF(ISNUMBER('Model_ of_individuals'!W958), 'Model_ of_individuals'!W958*'Model_ of_individuals'!$K958,"")</f>
        <v/>
      </c>
      <c r="X938" s="93" t="str">
        <f>IF(ISNUMBER('Model_ of_individuals'!X958), 'Model_ of_individuals'!X958*'Model_ of_individuals'!$K958,"")</f>
        <v/>
      </c>
      <c r="Y938" s="93" t="str">
        <f>IF(ISNUMBER('Model_ of_individuals'!Y958), 'Model_ of_individuals'!Y958*'Model_ of_individuals'!$K958,"")</f>
        <v/>
      </c>
      <c r="Z938" s="93" t="str">
        <f>IF(ISNUMBER('Model_ of_individuals'!Z958), 'Model_ of_individuals'!Z958*'Model_ of_individuals'!$K958,"")</f>
        <v/>
      </c>
      <c r="AA938" s="93" t="str">
        <f>IF(ISNUMBER('Model_ of_individuals'!AA958), 'Model_ of_individuals'!AA958*'Model_ of_individuals'!$K958,"")</f>
        <v/>
      </c>
      <c r="AB938" s="93" t="str">
        <f>IF(ISNUMBER('Model_ of_individuals'!AB958), 'Model_ of_individuals'!AB958*'Model_ of_individuals'!$K958,"")</f>
        <v/>
      </c>
      <c r="AC938" s="93" t="str">
        <f>IF(ISNUMBER('Model_ of_individuals'!AC958), 'Model_ of_individuals'!AC958*'Model_ of_individuals'!$K958,"")</f>
        <v/>
      </c>
      <c r="AD938" s="93" t="str">
        <f>IF(ISNUMBER('Model_ of_individuals'!AD958), 'Model_ of_individuals'!AD958*'Model_ of_individuals'!$K958,"")</f>
        <v/>
      </c>
      <c r="AE938" s="93" t="str">
        <f>IF(ISNUMBER('Model_ of_individuals'!AE958), 'Model_ of_individuals'!AE958*'Model_ of_individuals'!$K958,"")</f>
        <v/>
      </c>
    </row>
    <row r="939" spans="1:31" x14ac:dyDescent="0.25">
      <c r="A939" s="518"/>
      <c r="B939" s="504"/>
      <c r="C939" s="521" t="str">
        <f>IF(AND(B928&lt;&gt;"",ISNUMBER(B928),ISNUMBER(Stage4EvaluationBegins)),IF((INDEX(ProgramYearStage4,MATCH(Stage4EvaluationBegins,Years_in_Stage4,0)))=B928,_6_5_0,IF(AND(B928&lt;&gt;"",C917&lt;&gt;""),_6_5_0,IF(AND(B928&lt;&gt;"",ISNUMBER(B928),OR(Stage4EvaluationBegins=0,Stage4EvaluationBegins="")),"",""))),"")</f>
        <v/>
      </c>
      <c r="D939" s="94" t="str">
        <f>IF(AND(C939&lt;&gt;"", 'Cost Inputs'!$G$198&lt;&gt;""), 'Cost Inputs'!$G$198, "")</f>
        <v/>
      </c>
      <c r="E939" s="94" t="str">
        <f>IF(AND(C939&lt;&gt;"", 'Cost Inputs'!$H$198&lt;&gt;""), 'Cost Inputs'!$H$198, "")</f>
        <v/>
      </c>
      <c r="F939" s="492" t="str">
        <f>IF(AND(C939&lt;&gt;"", 'Cost Inputs'!$I$198&lt;&gt;""), 'Cost Inputs'!$I$198, "")</f>
        <v/>
      </c>
      <c r="G939" s="102" t="str">
        <f t="shared" si="86"/>
        <v/>
      </c>
      <c r="H939" s="492" t="str">
        <f>IF(AND(C939&lt;&gt;"", 'Cost Inputs'!$J$198&lt;&gt;""), 'Cost Inputs'!$J$198, "")</f>
        <v/>
      </c>
      <c r="I939" s="102" t="str">
        <f>IF($C939&lt;&gt;"",IF(AND($E939&lt;&gt;"",H939&lt;&gt;""), H939/$E939, 0),"")</f>
        <v/>
      </c>
      <c r="J939" s="492" t="str">
        <f>IF(AND(C939&lt;&gt;"",('Cost Inputs'!$I$198+'Cost Inputs'!$J$198+'Cost Inputs'!$K$198)&gt;0), 'Cost Inputs'!$I$198+'Cost Inputs'!$J$198+'Cost Inputs'!$K$198, "")</f>
        <v/>
      </c>
      <c r="K939" s="102" t="str">
        <f>IF($C939&lt;&gt;"",IF(AND($E939&lt;&gt;"",J939&lt;&gt;""), J939/$E939, 0),"")</f>
        <v/>
      </c>
      <c r="L939" s="94"/>
      <c r="M939" s="103"/>
      <c r="V939" s="492" t="str">
        <f>IF(ISNUMBER('Model_ of_individuals'!V959), 'Model_ of_individuals'!V959*'Model_ of_individuals'!$K959,"")</f>
        <v/>
      </c>
      <c r="W939" s="492" t="str">
        <f>IF(ISNUMBER('Model_ of_individuals'!W959), 'Model_ of_individuals'!W959*'Model_ of_individuals'!$K959,"")</f>
        <v/>
      </c>
      <c r="X939" s="492" t="str">
        <f>IF(ISNUMBER('Model_ of_individuals'!X959), 'Model_ of_individuals'!X959*'Model_ of_individuals'!$K959,"")</f>
        <v/>
      </c>
      <c r="Y939" s="492" t="str">
        <f>IF(ISNUMBER('Model_ of_individuals'!Y959), 'Model_ of_individuals'!Y959*'Model_ of_individuals'!$K959,"")</f>
        <v/>
      </c>
      <c r="Z939" s="492" t="str">
        <f>IF(ISNUMBER('Model_ of_individuals'!Z959), 'Model_ of_individuals'!Z959*'Model_ of_individuals'!$K959,"")</f>
        <v/>
      </c>
      <c r="AA939" s="492" t="str">
        <f>IF(ISNUMBER('Model_ of_individuals'!AA959), 'Model_ of_individuals'!AA959*'Model_ of_individuals'!$K959,"")</f>
        <v/>
      </c>
      <c r="AB939" s="492" t="str">
        <f>IF(ISNUMBER('Model_ of_individuals'!AB959), 'Model_ of_individuals'!AB959*'Model_ of_individuals'!$K959,"")</f>
        <v/>
      </c>
      <c r="AC939" s="492" t="str">
        <f>IF(ISNUMBER('Model_ of_individuals'!AC959), 'Model_ of_individuals'!AC959*'Model_ of_individuals'!$K959,"")</f>
        <v/>
      </c>
      <c r="AD939" s="492" t="str">
        <f>IF(ISNUMBER('Model_ of_individuals'!AD959), 'Model_ of_individuals'!AD959*'Model_ of_individuals'!$K959,"")</f>
        <v/>
      </c>
      <c r="AE939" s="492" t="str">
        <f>IF(ISNUMBER('Model_ of_individuals'!AE959), 'Model_ of_individuals'!AE959*'Model_ of_individuals'!$K959,"")</f>
        <v/>
      </c>
    </row>
    <row r="940" spans="1:31" x14ac:dyDescent="0.25">
      <c r="A940" s="518"/>
      <c r="B940" s="504"/>
      <c r="C940" s="521"/>
      <c r="D940" s="94" t="str">
        <f>IF(AND(C939&lt;&gt;"", 'Cost Inputs'!$G$199&lt;&gt;""), 'Cost Inputs'!$G$199, "")</f>
        <v/>
      </c>
      <c r="E940" s="94" t="str">
        <f>IF(AND(C939&lt;&gt;"", 'Cost Inputs'!$H$199&lt;&gt;""), 'Cost Inputs'!$H$199, "")</f>
        <v/>
      </c>
      <c r="F940" s="492"/>
      <c r="G940" s="102" t="str">
        <f t="shared" si="86"/>
        <v/>
      </c>
      <c r="H940" s="492"/>
      <c r="I940" s="102" t="str">
        <f>IF($C939&lt;&gt;"", IF(AND($E940&lt;&gt;"", H939&lt;&gt;""), H939/($E939*$E940), 0), "")</f>
        <v/>
      </c>
      <c r="J940" s="492" t="str">
        <f>IF(AND(C940&lt;&gt;"",('Cost Inputs'!$I$86+'Cost Inputs'!$J$86+'Cost Inputs'!$K$86)&gt;0), 'Cost Inputs'!$I$86+'Cost Inputs'!$J$86+'Cost Inputs'!$K$86, "")</f>
        <v/>
      </c>
      <c r="K940" s="102" t="str">
        <f>IF($C939&lt;&gt;"", IF(AND($E940&lt;&gt;"", J939&lt;&gt;""), J939/($E939*$E940), 0), "")</f>
        <v/>
      </c>
      <c r="L940" s="94"/>
      <c r="M940" s="103"/>
      <c r="V940" s="492" t="str">
        <f>IF(ISNUMBER('Model_ of_individuals'!V960), 'Model_ of_individuals'!V960*'Model_ of_individuals'!$K960,"")</f>
        <v/>
      </c>
      <c r="W940" s="492" t="str">
        <f>IF(ISNUMBER('Model_ of_individuals'!W960), 'Model_ of_individuals'!W960*'Model_ of_individuals'!$K960,"")</f>
        <v/>
      </c>
      <c r="X940" s="492" t="str">
        <f>IF(ISNUMBER('Model_ of_individuals'!X960), 'Model_ of_individuals'!X960*'Model_ of_individuals'!$K960,"")</f>
        <v/>
      </c>
      <c r="Y940" s="492" t="str">
        <f>IF(ISNUMBER('Model_ of_individuals'!Y960), 'Model_ of_individuals'!Y960*'Model_ of_individuals'!$K960,"")</f>
        <v/>
      </c>
      <c r="Z940" s="492" t="str">
        <f>IF(ISNUMBER('Model_ of_individuals'!Z960), 'Model_ of_individuals'!Z960*'Model_ of_individuals'!$K960,"")</f>
        <v/>
      </c>
      <c r="AA940" s="492" t="str">
        <f>IF(ISNUMBER('Model_ of_individuals'!AA960), 'Model_ of_individuals'!AA960*'Model_ of_individuals'!$K960,"")</f>
        <v/>
      </c>
      <c r="AB940" s="492" t="str">
        <f>IF(ISNUMBER('Model_ of_individuals'!AB960), 'Model_ of_individuals'!AB960*'Model_ of_individuals'!$K960,"")</f>
        <v/>
      </c>
      <c r="AC940" s="492" t="str">
        <f>IF(ISNUMBER('Model_ of_individuals'!AC960), 'Model_ of_individuals'!AC960*'Model_ of_individuals'!$K960,"")</f>
        <v/>
      </c>
      <c r="AD940" s="492" t="str">
        <f>IF(ISNUMBER('Model_ of_individuals'!AD960), 'Model_ of_individuals'!AD960*'Model_ of_individuals'!$K960,"")</f>
        <v/>
      </c>
      <c r="AE940" s="492" t="str">
        <f>IF(ISNUMBER('Model_ of_individuals'!AE960), 'Model_ of_individuals'!AE960*'Model_ of_individuals'!$K960,"")</f>
        <v/>
      </c>
    </row>
    <row r="941" spans="1:31" x14ac:dyDescent="0.25">
      <c r="A941" s="518"/>
      <c r="B941" s="504"/>
      <c r="C941" s="376" t="str">
        <f>IF(AND(ISNUMBER(B910), C939&lt;&gt;"", OR('Cost Inputs'!$H$200&lt;&gt;"", 'Cost Inputs'!$I$200&lt;&gt;"", 'Cost Inputs'!$J$200&lt;&gt;"")), _6_5_1, "")</f>
        <v/>
      </c>
      <c r="D941" s="17" t="str">
        <f>IF(AND(C941&lt;&gt;"", 'Cost Inputs'!$G$200&lt;&gt;""), 'Cost Inputs'!$G$200, "")</f>
        <v/>
      </c>
      <c r="E941" s="17" t="str">
        <f>IF(AND(C941&lt;&gt;"", 'Cost Inputs'!$H$200&lt;&gt;""), 'Cost Inputs'!$H$200, "")</f>
        <v/>
      </c>
      <c r="F941" s="493" t="str">
        <f>IF(AND(C941&lt;&gt;"", 'Cost Inputs'!$I$200&lt;&gt;""), 'Cost Inputs'!$I$200, "")</f>
        <v/>
      </c>
      <c r="G941" s="105" t="str">
        <f t="shared" si="86"/>
        <v/>
      </c>
      <c r="H941" s="493" t="str">
        <f>IF(AND(C941&lt;&gt;"", 'Cost Inputs'!$J$200&lt;&gt;""), 'Cost Inputs'!$J$200, "")</f>
        <v/>
      </c>
      <c r="I941" s="105" t="str">
        <f>IF($C941&lt;&gt;"",IF(AND($E941&lt;&gt;"",H941&lt;&gt;""), H941/$E941, 0),"")</f>
        <v/>
      </c>
      <c r="J941" s="493" t="str">
        <f>IF(AND(C941&lt;&gt;"",('Cost Inputs'!$I$200+'Cost Inputs'!$J$200+'Cost Inputs'!$K$200)&gt;0), 'Cost Inputs'!$I$200+'Cost Inputs'!$J$200+'Cost Inputs'!$K$200, "")</f>
        <v/>
      </c>
      <c r="K941" s="105" t="str">
        <f>IF($C941&lt;&gt;"",IF(AND($E941&lt;&gt;"",J941&lt;&gt;""), J941/$E941, 0),"")</f>
        <v/>
      </c>
      <c r="M941" s="106"/>
      <c r="V941" s="493" t="str">
        <f>IF(ISNUMBER('Model_ of_individuals'!V961), 'Model_ of_individuals'!V961*'Model_ of_individuals'!$K961,"")</f>
        <v/>
      </c>
      <c r="W941" s="493" t="str">
        <f>IF(ISNUMBER('Model_ of_individuals'!W961), 'Model_ of_individuals'!W961*'Model_ of_individuals'!$K961,"")</f>
        <v/>
      </c>
      <c r="X941" s="493" t="str">
        <f>IF(ISNUMBER('Model_ of_individuals'!X961), 'Model_ of_individuals'!X961*'Model_ of_individuals'!$K961,"")</f>
        <v/>
      </c>
      <c r="Y941" s="493" t="str">
        <f>IF(ISNUMBER('Model_ of_individuals'!Y961), 'Model_ of_individuals'!Y961*'Model_ of_individuals'!$K961,"")</f>
        <v/>
      </c>
      <c r="Z941" s="493" t="str">
        <f>IF(ISNUMBER('Model_ of_individuals'!Z961), 'Model_ of_individuals'!Z961*'Model_ of_individuals'!$K961,"")</f>
        <v/>
      </c>
      <c r="AA941" s="493" t="str">
        <f>IF(ISNUMBER('Model_ of_individuals'!AA961), 'Model_ of_individuals'!AA961*'Model_ of_individuals'!$K961,"")</f>
        <v/>
      </c>
      <c r="AB941" s="493" t="str">
        <f>IF(ISNUMBER('Model_ of_individuals'!AB961), 'Model_ of_individuals'!AB961*'Model_ of_individuals'!$K961,"")</f>
        <v/>
      </c>
      <c r="AC941" s="493" t="str">
        <f>IF(ISNUMBER('Model_ of_individuals'!AC961), 'Model_ of_individuals'!AC961*'Model_ of_individuals'!$K961,"")</f>
        <v/>
      </c>
      <c r="AD941" s="493" t="str">
        <f>IF(ISNUMBER('Model_ of_individuals'!AD961), 'Model_ of_individuals'!AD961*'Model_ of_individuals'!$K961,"")</f>
        <v/>
      </c>
      <c r="AE941" s="493" t="str">
        <f>IF(ISNUMBER('Model_ of_individuals'!AE961), 'Model_ of_individuals'!AE961*'Model_ of_individuals'!$K961,"")</f>
        <v/>
      </c>
    </row>
    <row r="942" spans="1:31" x14ac:dyDescent="0.25">
      <c r="A942" s="518"/>
      <c r="B942" s="504"/>
      <c r="C942" s="376" t="str">
        <f>IF(AND(ISNUMBER(B924), OR('Cost Inputs'!$H$85&lt;&gt;"", 'Cost Inputs'!$I$85&lt;&gt;"", 'Cost Inputs'!$J$85&lt;&gt;"")), _3_5_1, "")</f>
        <v/>
      </c>
      <c r="D942" s="17" t="str">
        <f>IF(AND(C941&lt;&gt;"", 'Cost Inputs'!$G$201&lt;&gt;""), 'Cost Inputs'!$G$201, "")</f>
        <v/>
      </c>
      <c r="E942" s="17" t="str">
        <f>IF(AND(C941&lt;&gt;"", 'Cost Inputs'!$H$201&lt;&gt;""), 'Cost Inputs'!$H$201, "")</f>
        <v/>
      </c>
      <c r="F942" s="493"/>
      <c r="G942" s="105" t="str">
        <f t="shared" si="86"/>
        <v/>
      </c>
      <c r="H942" s="493"/>
      <c r="I942" s="105" t="str">
        <f>IF($C941&lt;&gt;"", IF(AND($E942&lt;&gt;"", H941&lt;&gt;""), H941/($E941*$E942), 0), "")</f>
        <v/>
      </c>
      <c r="J942" s="493" t="str">
        <f>IF(AND(C942&lt;&gt;"",('Cost Inputs'!$I$86+'Cost Inputs'!$J$86+'Cost Inputs'!$K$86)&gt;0), 'Cost Inputs'!$I$86+'Cost Inputs'!$J$86+'Cost Inputs'!$K$86, "")</f>
        <v/>
      </c>
      <c r="K942" s="105" t="str">
        <f>IF($C941&lt;&gt;"", IF(AND($E942&lt;&gt;"", J941&lt;&gt;""), J941/($E941*$E942), 0), "")</f>
        <v/>
      </c>
      <c r="M942" s="106"/>
      <c r="V942" s="493" t="str">
        <f>IF(ISNUMBER('Model_ of_individuals'!V962), 'Model_ of_individuals'!V962*'Model_ of_individuals'!$K962,"")</f>
        <v/>
      </c>
      <c r="W942" s="493" t="str">
        <f>IF(ISNUMBER('Model_ of_individuals'!W962), 'Model_ of_individuals'!W962*'Model_ of_individuals'!$K962,"")</f>
        <v/>
      </c>
      <c r="X942" s="493" t="str">
        <f>IF(ISNUMBER('Model_ of_individuals'!X962), 'Model_ of_individuals'!X962*'Model_ of_individuals'!$K962,"")</f>
        <v/>
      </c>
      <c r="Y942" s="493" t="str">
        <f>IF(ISNUMBER('Model_ of_individuals'!Y962), 'Model_ of_individuals'!Y962*'Model_ of_individuals'!$K962,"")</f>
        <v/>
      </c>
      <c r="Z942" s="493" t="str">
        <f>IF(ISNUMBER('Model_ of_individuals'!Z962), 'Model_ of_individuals'!Z962*'Model_ of_individuals'!$K962,"")</f>
        <v/>
      </c>
      <c r="AA942" s="493" t="str">
        <f>IF(ISNUMBER('Model_ of_individuals'!AA962), 'Model_ of_individuals'!AA962*'Model_ of_individuals'!$K962,"")</f>
        <v/>
      </c>
      <c r="AB942" s="493" t="str">
        <f>IF(ISNUMBER('Model_ of_individuals'!AB962), 'Model_ of_individuals'!AB962*'Model_ of_individuals'!$K962,"")</f>
        <v/>
      </c>
      <c r="AC942" s="493" t="str">
        <f>IF(ISNUMBER('Model_ of_individuals'!AC962), 'Model_ of_individuals'!AC962*'Model_ of_individuals'!$K962,"")</f>
        <v/>
      </c>
      <c r="AD942" s="493" t="str">
        <f>IF(ISNUMBER('Model_ of_individuals'!AD962), 'Model_ of_individuals'!AD962*'Model_ of_individuals'!$K962,"")</f>
        <v/>
      </c>
      <c r="AE942" s="493" t="str">
        <f>IF(ISNUMBER('Model_ of_individuals'!AE962), 'Model_ of_individuals'!AE962*'Model_ of_individuals'!$K962,"")</f>
        <v/>
      </c>
    </row>
    <row r="943" spans="1:31" x14ac:dyDescent="0.25">
      <c r="A943" s="518"/>
      <c r="B943" s="504"/>
      <c r="C943" s="107" t="str">
        <f>IF(AND(ISNUMBER(B910), C939&lt;&gt;"", OR('Cost Inputs'!$H$202&lt;&gt;"", 'Cost Inputs'!$I$202&lt;&gt;"", 'Cost Inputs'!$J$202&lt;&gt;"")), _6_5_2, "")</f>
        <v/>
      </c>
      <c r="D943" s="93" t="str">
        <f>IF(AND(C943&lt;&gt;"", 'Cost Inputs'!$G$202&lt;&gt;""), 'Cost Inputs'!$G$202, "")</f>
        <v/>
      </c>
      <c r="E943" s="93" t="str">
        <f>IF(AND(C943&lt;&gt;"", 'Cost Inputs'!$H$202&lt;&gt;""), 'Cost Inputs'!$H$202, "")</f>
        <v/>
      </c>
      <c r="F943" s="93" t="str">
        <f>IF(AND(C943&lt;&gt;"", 'Cost Inputs'!$I$202&lt;&gt;""), 'Cost Inputs'!$I$202, "")</f>
        <v/>
      </c>
      <c r="G943" s="108" t="str">
        <f t="shared" si="86"/>
        <v/>
      </c>
      <c r="H943" s="93" t="str">
        <f>IF(AND(C943&lt;&gt;"", 'Cost Inputs'!$J$202&lt;&gt;""), 'Cost Inputs'!$J$202, "")</f>
        <v/>
      </c>
      <c r="I943" s="93" t="str">
        <f>IF($C943&lt;&gt;"", IF(AND($E943&lt;&gt;"", H943&lt;&gt;""), H943/$E943, 0),"")</f>
        <v/>
      </c>
      <c r="J943" s="93" t="str">
        <f>IF(AND(C943&lt;&gt;"",('Cost Inputs'!$I$202+'Cost Inputs'!$J$202+'Cost Inputs'!$K$202)&gt;0), 'Cost Inputs'!$I$202+'Cost Inputs'!$J$202+'Cost Inputs'!$K$202, "")</f>
        <v/>
      </c>
      <c r="K943" s="93" t="str">
        <f>IF($C943&lt;&gt;"", IF(AND($E943&lt;&gt;"", J943&lt;&gt;""), J943/$E943, 0),"")</f>
        <v/>
      </c>
      <c r="L943" s="93"/>
      <c r="M943" s="109"/>
      <c r="V943" s="93" t="str">
        <f>IF(ISNUMBER('Model_ of_individuals'!V963), 'Model_ of_individuals'!V963*'Model_ of_individuals'!$K963,"")</f>
        <v/>
      </c>
      <c r="W943" s="93" t="str">
        <f>IF(ISNUMBER('Model_ of_individuals'!W963), 'Model_ of_individuals'!W963*'Model_ of_individuals'!$K963,"")</f>
        <v/>
      </c>
      <c r="X943" s="93" t="str">
        <f>IF(ISNUMBER('Model_ of_individuals'!X963), 'Model_ of_individuals'!X963*'Model_ of_individuals'!$K963,"")</f>
        <v/>
      </c>
      <c r="Y943" s="93" t="str">
        <f>IF(ISNUMBER('Model_ of_individuals'!Y963), 'Model_ of_individuals'!Y963*'Model_ of_individuals'!$K963,"")</f>
        <v/>
      </c>
      <c r="Z943" s="93" t="str">
        <f>IF(ISNUMBER('Model_ of_individuals'!Z963), 'Model_ of_individuals'!Z963*'Model_ of_individuals'!$K963,"")</f>
        <v/>
      </c>
      <c r="AA943" s="93" t="str">
        <f>IF(ISNUMBER('Model_ of_individuals'!AA963), 'Model_ of_individuals'!AA963*'Model_ of_individuals'!$K963,"")</f>
        <v/>
      </c>
      <c r="AB943" s="93" t="str">
        <f>IF(ISNUMBER('Model_ of_individuals'!AB963), 'Model_ of_individuals'!AB963*'Model_ of_individuals'!$K963,"")</f>
        <v/>
      </c>
      <c r="AC943" s="93" t="str">
        <f>IF(ISNUMBER('Model_ of_individuals'!AC963), 'Model_ of_individuals'!AC963*'Model_ of_individuals'!$K963,"")</f>
        <v/>
      </c>
      <c r="AD943" s="93" t="str">
        <f>IF(ISNUMBER('Model_ of_individuals'!AD963), 'Model_ of_individuals'!AD963*'Model_ of_individuals'!$K963,"")</f>
        <v/>
      </c>
      <c r="AE943" s="93" t="str">
        <f>IF(ISNUMBER('Model_ of_individuals'!AE963), 'Model_ of_individuals'!AE963*'Model_ of_individuals'!$K963,"")</f>
        <v/>
      </c>
    </row>
    <row r="944" spans="1:31" x14ac:dyDescent="0.25">
      <c r="A944" s="518"/>
      <c r="B944" s="504"/>
      <c r="C944" s="104" t="str">
        <f>IF(AND(ISNUMBER(B910), C939&lt;&gt;"", OR('Cost Inputs'!$H$203&lt;&gt;"", 'Cost Inputs'!$I$203&lt;&gt;"", 'Cost Inputs'!$J$203&lt;&gt;"")), _6_5_3, "")</f>
        <v/>
      </c>
      <c r="D944" s="17" t="str">
        <f>IF(AND(C944&lt;&gt;"", 'Cost Inputs'!$G$203&lt;&gt;""), 'Cost Inputs'!$G$203, "")</f>
        <v/>
      </c>
      <c r="E944" s="17" t="str">
        <f>IF(AND(C944&lt;&gt;"", 'Cost Inputs'!$H$203&lt;&gt;""), 'Cost Inputs'!$H$203, "")</f>
        <v/>
      </c>
      <c r="F944" s="17" t="str">
        <f>IF(AND(C944&lt;&gt;"", 'Cost Inputs'!$I$203&lt;&gt;""), 'Cost Inputs'!$I$203, "")</f>
        <v/>
      </c>
      <c r="G944" s="105" t="str">
        <f t="shared" si="86"/>
        <v/>
      </c>
      <c r="H944" s="17" t="str">
        <f>IF(AND(C944&lt;&gt;"", 'Cost Inputs'!$J$203&lt;&gt;""), 'Cost Inputs'!$J$203, "")</f>
        <v/>
      </c>
      <c r="I944" s="17" t="str">
        <f>IF($C944&lt;&gt;"", IF(AND($E944&lt;&gt;"", H944&lt;&gt;""), H944/$E944, 0),"")</f>
        <v/>
      </c>
      <c r="J944" s="17" t="str">
        <f>IF(AND(C944&lt;&gt;"",('Cost Inputs'!$I$203+'Cost Inputs'!$J$203+'Cost Inputs'!$K$203)&gt;0), 'Cost Inputs'!$I$203+'Cost Inputs'!$J$203+'Cost Inputs'!$K$203, "")</f>
        <v/>
      </c>
      <c r="K944" s="17" t="str">
        <f>IF($C944&lt;&gt;"", IF(AND($E944&lt;&gt;"", J944&lt;&gt;""), J944/$E944, 0),"")</f>
        <v/>
      </c>
      <c r="M944" s="106"/>
      <c r="V944" s="17" t="str">
        <f>IF(ISNUMBER('Model_ of_individuals'!V964), 'Model_ of_individuals'!V964*'Model_ of_individuals'!$K964,"")</f>
        <v/>
      </c>
      <c r="W944" s="17" t="str">
        <f>IF(ISNUMBER('Model_ of_individuals'!W964), 'Model_ of_individuals'!W964*'Model_ of_individuals'!$K964,"")</f>
        <v/>
      </c>
      <c r="X944" s="17" t="str">
        <f>IF(ISNUMBER('Model_ of_individuals'!X964), 'Model_ of_individuals'!X964*'Model_ of_individuals'!$K964,"")</f>
        <v/>
      </c>
      <c r="Y944" s="17" t="str">
        <f>IF(ISNUMBER('Model_ of_individuals'!Y964), 'Model_ of_individuals'!Y964*'Model_ of_individuals'!$K964,"")</f>
        <v/>
      </c>
      <c r="Z944" s="17" t="str">
        <f>IF(ISNUMBER('Model_ of_individuals'!Z964), 'Model_ of_individuals'!Z964*'Model_ of_individuals'!$K964,"")</f>
        <v/>
      </c>
      <c r="AA944" s="17" t="str">
        <f>IF(ISNUMBER('Model_ of_individuals'!AA964), 'Model_ of_individuals'!AA964*'Model_ of_individuals'!$K964,"")</f>
        <v/>
      </c>
      <c r="AB944" s="17" t="str">
        <f>IF(ISNUMBER('Model_ of_individuals'!AB964), 'Model_ of_individuals'!AB964*'Model_ of_individuals'!$K964,"")</f>
        <v/>
      </c>
      <c r="AC944" s="17" t="str">
        <f>IF(ISNUMBER('Model_ of_individuals'!AC964), 'Model_ of_individuals'!AC964*'Model_ of_individuals'!$K964,"")</f>
        <v/>
      </c>
      <c r="AD944" s="17" t="str">
        <f>IF(ISNUMBER('Model_ of_individuals'!AD964), 'Model_ of_individuals'!AD964*'Model_ of_individuals'!$K964,"")</f>
        <v/>
      </c>
      <c r="AE944" s="17" t="str">
        <f>IF(ISNUMBER('Model_ of_individuals'!AE964), 'Model_ of_individuals'!AE964*'Model_ of_individuals'!$K964,"")</f>
        <v/>
      </c>
    </row>
    <row r="945" spans="1:32" x14ac:dyDescent="0.25">
      <c r="A945" s="518"/>
      <c r="B945" s="504"/>
      <c r="C945" s="107" t="str">
        <f>IF(AND(ISNUMBER(B910), C939&lt;&gt;"", OR('Cost Inputs'!$H$204&lt;&gt;"", 'Cost Inputs'!$I$204&lt;&gt;"", 'Cost Inputs'!$J$204&lt;&gt;"")), _6_5_4, "")</f>
        <v/>
      </c>
      <c r="D945" s="93" t="str">
        <f>IF(AND(C945&lt;&gt;"", 'Cost Inputs'!$G$204&lt;&gt;""), 'Cost Inputs'!$G$204, "")</f>
        <v/>
      </c>
      <c r="E945" s="93" t="str">
        <f>IF(AND(C945&lt;&gt;"", 'Cost Inputs'!$H$204&lt;&gt;""), 'Cost Inputs'!$H$204, "")</f>
        <v/>
      </c>
      <c r="F945" s="93" t="str">
        <f>IF(AND(C945&lt;&gt;"", 'Cost Inputs'!$I$204&lt;&gt;""), 'Cost Inputs'!$I$204, "")</f>
        <v/>
      </c>
      <c r="G945" s="108" t="str">
        <f t="shared" si="86"/>
        <v/>
      </c>
      <c r="H945" s="93" t="str">
        <f>IF(AND(C945&lt;&gt;"", 'Cost Inputs'!$J$204&lt;&gt;""), 'Cost Inputs'!$J$204, "")</f>
        <v/>
      </c>
      <c r="I945" s="93" t="str">
        <f>IF($C945&lt;&gt;"", IF(AND($E945&lt;&gt;"", H945&lt;&gt;""), H945/$E945, 0),"")</f>
        <v/>
      </c>
      <c r="J945" s="93" t="str">
        <f>IF(AND(C945&lt;&gt;"",('Cost Inputs'!$I$204+'Cost Inputs'!$J$204+'Cost Inputs'!$K$204)&gt;0), 'Cost Inputs'!$I$204+'Cost Inputs'!$J$204+'Cost Inputs'!$K$204, "")</f>
        <v/>
      </c>
      <c r="K945" s="93" t="str">
        <f>IF($C945&lt;&gt;"", IF(AND($E945&lt;&gt;"", J945&lt;&gt;""), J945/$E945, 0),"")</f>
        <v/>
      </c>
      <c r="L945" s="93"/>
      <c r="M945" s="109"/>
      <c r="V945" s="93" t="str">
        <f>IF(ISNUMBER('Model_ of_individuals'!V965), 'Model_ of_individuals'!V965*'Model_ of_individuals'!$K965,"")</f>
        <v/>
      </c>
      <c r="W945" s="93" t="str">
        <f>IF(ISNUMBER('Model_ of_individuals'!W965), 'Model_ of_individuals'!W965*'Model_ of_individuals'!$K965,"")</f>
        <v/>
      </c>
      <c r="X945" s="93" t="str">
        <f>IF(ISNUMBER('Model_ of_individuals'!X965), 'Model_ of_individuals'!X965*'Model_ of_individuals'!$K965,"")</f>
        <v/>
      </c>
      <c r="Y945" s="93" t="str">
        <f>IF(ISNUMBER('Model_ of_individuals'!Y965), 'Model_ of_individuals'!Y965*'Model_ of_individuals'!$K965,"")</f>
        <v/>
      </c>
      <c r="Z945" s="93" t="str">
        <f>IF(ISNUMBER('Model_ of_individuals'!Z965), 'Model_ of_individuals'!Z965*'Model_ of_individuals'!$K965,"")</f>
        <v/>
      </c>
      <c r="AA945" s="93" t="str">
        <f>IF(ISNUMBER('Model_ of_individuals'!AA965), 'Model_ of_individuals'!AA965*'Model_ of_individuals'!$K965,"")</f>
        <v/>
      </c>
      <c r="AB945" s="93" t="str">
        <f>IF(ISNUMBER('Model_ of_individuals'!AB965), 'Model_ of_individuals'!AB965*'Model_ of_individuals'!$K965,"")</f>
        <v/>
      </c>
      <c r="AC945" s="93" t="str">
        <f>IF(ISNUMBER('Model_ of_individuals'!AC965), 'Model_ of_individuals'!AC965*'Model_ of_individuals'!$K965,"")</f>
        <v/>
      </c>
      <c r="AD945" s="93" t="str">
        <f>IF(ISNUMBER('Model_ of_individuals'!AD965), 'Model_ of_individuals'!AD965*'Model_ of_individuals'!$K965,"")</f>
        <v/>
      </c>
      <c r="AE945" s="93" t="str">
        <f>IF(ISNUMBER('Model_ of_individuals'!AE965), 'Model_ of_individuals'!AE965*'Model_ of_individuals'!$K965,"")</f>
        <v/>
      </c>
    </row>
    <row r="946" spans="1:32" x14ac:dyDescent="0.25">
      <c r="A946" s="518"/>
      <c r="B946" s="504"/>
      <c r="C946" s="104" t="str">
        <f>IF(AND(ISNUMBER(B910), C939&lt;&gt;"", OR('Cost Inputs'!$H$205&lt;&gt;"", 'Cost Inputs'!$I$205&lt;&gt;"", 'Cost Inputs'!$J$205&lt;&gt;"")), _6_5_5, "")</f>
        <v/>
      </c>
      <c r="D946" s="17" t="str">
        <f>IF(AND(C946&lt;&gt;"", 'Cost Inputs'!$G$205&lt;&gt;""), 'Cost Inputs'!$G$205, "")</f>
        <v/>
      </c>
      <c r="E946" s="17" t="str">
        <f>IF(AND(C946&lt;&gt;"", 'Cost Inputs'!$H$205&lt;&gt;""), 'Cost Inputs'!$H$205, "")</f>
        <v/>
      </c>
      <c r="F946" s="17" t="str">
        <f>IF(AND(C946&lt;&gt;"", 'Cost Inputs'!$I$205&lt;&gt;""), 'Cost Inputs'!$I$205, "")</f>
        <v/>
      </c>
      <c r="G946" s="105" t="str">
        <f t="shared" si="86"/>
        <v/>
      </c>
      <c r="H946" s="17" t="str">
        <f>IF(AND(C946&lt;&gt;"", 'Cost Inputs'!$J$205&lt;&gt;""), 'Cost Inputs'!$J$205, "")</f>
        <v/>
      </c>
      <c r="I946" s="17" t="str">
        <f>IF($C946&lt;&gt;"", IF(AND($E946&lt;&gt;"", H946&lt;&gt;""), H946/$E946, 0),"")</f>
        <v/>
      </c>
      <c r="J946" s="17" t="str">
        <f>IF(AND(C946&lt;&gt;"",('Cost Inputs'!$I$205+'Cost Inputs'!$J$205+'Cost Inputs'!$K$205)&gt;0), 'Cost Inputs'!$I$205+'Cost Inputs'!$J$205+'Cost Inputs'!$K$205, "")</f>
        <v/>
      </c>
      <c r="K946" s="17" t="str">
        <f>IF($C946&lt;&gt;"", IF(AND($E946&lt;&gt;"", J946&lt;&gt;""), J946/$E946, 0),"")</f>
        <v/>
      </c>
      <c r="M946" s="106"/>
      <c r="V946" s="17" t="str">
        <f>IF(ISNUMBER('Model_ of_individuals'!V966), 'Model_ of_individuals'!V966*'Model_ of_individuals'!$K966,"")</f>
        <v/>
      </c>
      <c r="W946" s="17" t="str">
        <f>IF(ISNUMBER('Model_ of_individuals'!W966), 'Model_ of_individuals'!W966*'Model_ of_individuals'!$K966,"")</f>
        <v/>
      </c>
      <c r="X946" s="17" t="str">
        <f>IF(ISNUMBER('Model_ of_individuals'!X966), 'Model_ of_individuals'!X966*'Model_ of_individuals'!$K966,"")</f>
        <v/>
      </c>
      <c r="Y946" s="17" t="str">
        <f>IF(ISNUMBER('Model_ of_individuals'!Y966), 'Model_ of_individuals'!Y966*'Model_ of_individuals'!$K966,"")</f>
        <v/>
      </c>
      <c r="Z946" s="17" t="str">
        <f>IF(ISNUMBER('Model_ of_individuals'!Z966), 'Model_ of_individuals'!Z966*'Model_ of_individuals'!$K966,"")</f>
        <v/>
      </c>
      <c r="AA946" s="17" t="str">
        <f>IF(ISNUMBER('Model_ of_individuals'!AA966), 'Model_ of_individuals'!AA966*'Model_ of_individuals'!$K966,"")</f>
        <v/>
      </c>
      <c r="AB946" s="17" t="str">
        <f>IF(ISNUMBER('Model_ of_individuals'!AB966), 'Model_ of_individuals'!AB966*'Model_ of_individuals'!$K966,"")</f>
        <v/>
      </c>
      <c r="AC946" s="17" t="str">
        <f>IF(ISNUMBER('Model_ of_individuals'!AC966), 'Model_ of_individuals'!AC966*'Model_ of_individuals'!$K966,"")</f>
        <v/>
      </c>
      <c r="AD946" s="17" t="str">
        <f>IF(ISNUMBER('Model_ of_individuals'!AD966), 'Model_ of_individuals'!AD966*'Model_ of_individuals'!$K966,"")</f>
        <v/>
      </c>
      <c r="AE946" s="17" t="str">
        <f>IF(ISNUMBER('Model_ of_individuals'!AE966), 'Model_ of_individuals'!AE966*'Model_ of_individuals'!$K966,"")</f>
        <v/>
      </c>
    </row>
    <row r="947" spans="1:32" x14ac:dyDescent="0.25">
      <c r="A947" s="518"/>
      <c r="B947" s="504"/>
      <c r="C947" s="110" t="str">
        <f>IF(ISNUMBER(B910), _6_6_0, "")</f>
        <v/>
      </c>
      <c r="D947" s="94" t="str">
        <f>IF(AND(C947&lt;&gt;"", 'Cost Inputs'!$G$206&lt;&gt;""), 'Cost Inputs'!$G$206, "")</f>
        <v/>
      </c>
      <c r="E947" s="94" t="str">
        <f>IF(AND(C947&lt;&gt;"", 'Cost Inputs'!$H$206&lt;&gt;""), 'Cost Inputs'!$H$206, "")</f>
        <v/>
      </c>
      <c r="F947" s="94" t="str">
        <f>IF(AND(C947&lt;&gt;"", 'Cost Inputs'!$I$206&lt;&gt;""), 'Cost Inputs'!$I$206, "")</f>
        <v/>
      </c>
      <c r="G947" s="102" t="str">
        <f t="shared" si="86"/>
        <v/>
      </c>
      <c r="H947" s="94" t="str">
        <f>IF(AND(C947&lt;&gt;"", 'Cost Inputs'!$J$206&lt;&gt;""), 'Cost Inputs'!$J$206, "")</f>
        <v/>
      </c>
      <c r="I947" s="102" t="str">
        <f>IF($C947&lt;&gt;"",IF(AND($E947&lt;&gt;"",H947&lt;&gt;""), H947/$E947, 0),"")</f>
        <v/>
      </c>
      <c r="J947" s="94" t="str">
        <f>IF(AND(C947&lt;&gt;"",('Cost Inputs'!$I$206+'Cost Inputs'!$J$206+'Cost Inputs'!$K$206)&gt;0), 'Cost Inputs'!$I$206+'Cost Inputs'!$J$206+'Cost Inputs'!$K$206, "")</f>
        <v/>
      </c>
      <c r="K947" s="102" t="str">
        <f>IF($C947&lt;&gt;"",IF(AND($E947&lt;&gt;"",J947&lt;&gt;""), J947/$E947, 0),"")</f>
        <v/>
      </c>
      <c r="L947" s="94"/>
      <c r="M947" s="103"/>
      <c r="V947" s="94" t="str">
        <f>IF(ISNUMBER('Model_ of_individuals'!V967), 'Model_ of_individuals'!V967*'Model_ of_individuals'!$K967,"")</f>
        <v/>
      </c>
      <c r="W947" s="94" t="str">
        <f>IF(ISNUMBER('Model_ of_individuals'!W967), 'Model_ of_individuals'!W967*'Model_ of_individuals'!$K967,"")</f>
        <v/>
      </c>
      <c r="X947" s="94" t="str">
        <f>IF(ISNUMBER('Model_ of_individuals'!X967), 'Model_ of_individuals'!X967*'Model_ of_individuals'!$K967,"")</f>
        <v/>
      </c>
      <c r="Y947" s="94" t="str">
        <f>IF(ISNUMBER('Model_ of_individuals'!Y967), 'Model_ of_individuals'!Y967*'Model_ of_individuals'!$K967,"")</f>
        <v/>
      </c>
      <c r="Z947" s="94" t="str">
        <f>IF(ISNUMBER('Model_ of_individuals'!Z967), 'Model_ of_individuals'!Z967*'Model_ of_individuals'!$K967,"")</f>
        <v/>
      </c>
      <c r="AA947" s="94" t="str">
        <f>IF(ISNUMBER('Model_ of_individuals'!AA967), 'Model_ of_individuals'!AA967*'Model_ of_individuals'!$K967,"")</f>
        <v/>
      </c>
      <c r="AB947" s="94" t="str">
        <f>IF(ISNUMBER('Model_ of_individuals'!AB967), 'Model_ of_individuals'!AB967*'Model_ of_individuals'!$K967,"")</f>
        <v/>
      </c>
      <c r="AC947" s="94" t="str">
        <f>IF(ISNUMBER('Model_ of_individuals'!AC967), 'Model_ of_individuals'!AC967*'Model_ of_individuals'!$K967,"")</f>
        <v/>
      </c>
      <c r="AD947" s="94" t="str">
        <f>IF(ISNUMBER('Model_ of_individuals'!AD967), 'Model_ of_individuals'!AD967*'Model_ of_individuals'!$K967,"")</f>
        <v/>
      </c>
      <c r="AE947" s="94" t="str">
        <f>IF(ISNUMBER('Model_ of_individuals'!AE967), 'Model_ of_individuals'!AE967*'Model_ of_individuals'!$K967,"")</f>
        <v/>
      </c>
    </row>
    <row r="948" spans="1:32" x14ac:dyDescent="0.25">
      <c r="A948" s="518"/>
      <c r="B948" s="504"/>
      <c r="C948" s="104" t="str">
        <f>IF(AND(ISNUMBER(B910), OR('Cost Inputs'!$H$207&lt;&gt;"", 'Cost Inputs'!$I$207&lt;&gt;"", 'Cost Inputs'!$J$207&lt;&gt;"")), _6_6_1, "")</f>
        <v/>
      </c>
      <c r="D948" s="17" t="str">
        <f>IF(AND(C948&lt;&gt;"", 'Cost Inputs'!$G$207&lt;&gt;""), 'Cost Inputs'!$G$207, "")</f>
        <v/>
      </c>
      <c r="E948" s="17" t="str">
        <f>IF(AND(C948&lt;&gt;"", 'Cost Inputs'!$H$207&lt;&gt;""), 'Cost Inputs'!$H$207, "")</f>
        <v/>
      </c>
      <c r="F948" s="17" t="str">
        <f>IF(AND(C948&lt;&gt;"", 'Cost Inputs'!$I$207&lt;&gt;""), 'Cost Inputs'!$I$207, "")</f>
        <v/>
      </c>
      <c r="G948" s="105" t="str">
        <f t="shared" si="86"/>
        <v/>
      </c>
      <c r="H948" s="17" t="str">
        <f>IF(AND(C948&lt;&gt;"", 'Cost Inputs'!$J$207&lt;&gt;""), 'Cost Inputs'!$J$207, "")</f>
        <v/>
      </c>
      <c r="I948" s="17" t="str">
        <f>IF($C948&lt;&gt;"", IF(AND($E948&lt;&gt;"", H948&lt;&gt;""), H948/$E948, 0),"")</f>
        <v/>
      </c>
      <c r="J948" s="17" t="str">
        <f>IF(AND(C948&lt;&gt;"",('Cost Inputs'!$I$207+'Cost Inputs'!$J$207+'Cost Inputs'!$K$207)&gt;0), 'Cost Inputs'!$I$207+'Cost Inputs'!$J$207+'Cost Inputs'!$K$207, "")</f>
        <v/>
      </c>
      <c r="K948" s="17" t="str">
        <f>IF($C948&lt;&gt;"", IF(AND($E948&lt;&gt;"", J948&lt;&gt;""), J948/$E948, 0),"")</f>
        <v/>
      </c>
      <c r="M948" s="106"/>
      <c r="V948" s="17" t="str">
        <f>IF(ISNUMBER('Model_ of_individuals'!V968), 'Model_ of_individuals'!V968*'Model_ of_individuals'!$K968,"")</f>
        <v/>
      </c>
      <c r="W948" s="17" t="str">
        <f>IF(ISNUMBER('Model_ of_individuals'!W968), 'Model_ of_individuals'!W968*'Model_ of_individuals'!$K968,"")</f>
        <v/>
      </c>
      <c r="X948" s="17" t="str">
        <f>IF(ISNUMBER('Model_ of_individuals'!X968), 'Model_ of_individuals'!X968*'Model_ of_individuals'!$K968,"")</f>
        <v/>
      </c>
      <c r="Y948" s="17" t="str">
        <f>IF(ISNUMBER('Model_ of_individuals'!Y968), 'Model_ of_individuals'!Y968*'Model_ of_individuals'!$K968,"")</f>
        <v/>
      </c>
      <c r="Z948" s="17" t="str">
        <f>IF(ISNUMBER('Model_ of_individuals'!Z968), 'Model_ of_individuals'!Z968*'Model_ of_individuals'!$K968,"")</f>
        <v/>
      </c>
      <c r="AA948" s="17" t="str">
        <f>IF(ISNUMBER('Model_ of_individuals'!AA968), 'Model_ of_individuals'!AA968*'Model_ of_individuals'!$K968,"")</f>
        <v/>
      </c>
      <c r="AB948" s="17" t="str">
        <f>IF(ISNUMBER('Model_ of_individuals'!AB968), 'Model_ of_individuals'!AB968*'Model_ of_individuals'!$K968,"")</f>
        <v/>
      </c>
      <c r="AC948" s="17" t="str">
        <f>IF(ISNUMBER('Model_ of_individuals'!AC968), 'Model_ of_individuals'!AC968*'Model_ of_individuals'!$K968,"")</f>
        <v/>
      </c>
      <c r="AD948" s="17" t="str">
        <f>IF(ISNUMBER('Model_ of_individuals'!AD968), 'Model_ of_individuals'!AD968*'Model_ of_individuals'!$K968,"")</f>
        <v/>
      </c>
      <c r="AE948" s="17" t="str">
        <f>IF(ISNUMBER('Model_ of_individuals'!AE968), 'Model_ of_individuals'!AE968*'Model_ of_individuals'!$K968,"")</f>
        <v/>
      </c>
    </row>
    <row r="949" spans="1:32" ht="15.75" thickBot="1" x14ac:dyDescent="0.3">
      <c r="A949" s="518"/>
      <c r="B949" s="505"/>
      <c r="C949" s="111" t="str">
        <f>IF(AND(ISNUMBER(B910), OR('Cost Inputs'!$H$208&lt;&gt;"", 'Cost Inputs'!$I$208&lt;&gt;"", 'Cost Inputs'!$J$208&lt;&gt;"")), _6_6_2, "")</f>
        <v/>
      </c>
      <c r="D949" s="95" t="str">
        <f>IF(AND(C949&lt;&gt;"", 'Cost Inputs'!$G$208&lt;&gt;""), 'Cost Inputs'!$G$208, "")</f>
        <v/>
      </c>
      <c r="E949" s="95" t="str">
        <f>IF(AND(C949&lt;&gt;"", 'Cost Inputs'!$H$208&lt;&gt;""), 'Cost Inputs'!$H$208, "")</f>
        <v/>
      </c>
      <c r="F949" s="95" t="str">
        <f>IF(AND(C949&lt;&gt;"", 'Cost Inputs'!$I$208&lt;&gt;""), 'Cost Inputs'!$I$208, "")</f>
        <v/>
      </c>
      <c r="G949" s="112" t="str">
        <f t="shared" si="86"/>
        <v/>
      </c>
      <c r="H949" s="95" t="str">
        <f>IF(AND(C949&lt;&gt;"", 'Cost Inputs'!$J$208&lt;&gt;""), 'Cost Inputs'!$J$208, "")</f>
        <v/>
      </c>
      <c r="I949" s="95" t="str">
        <f>IF($C949&lt;&gt;"", IF(AND($E949&lt;&gt;"", H949&lt;&gt;""), H949/$E949, 0),"")</f>
        <v/>
      </c>
      <c r="J949" s="95" t="str">
        <f>IF(AND(C949&lt;&gt;"",('Cost Inputs'!$I$208+'Cost Inputs'!$J$208+'Cost Inputs'!$K$208)&gt;0), 'Cost Inputs'!$I$208+'Cost Inputs'!$J$208+'Cost Inputs'!$K$208, "")</f>
        <v/>
      </c>
      <c r="K949" s="95" t="str">
        <f>IF($C949&lt;&gt;"", IF(AND($E949&lt;&gt;"", J949&lt;&gt;""), J949/$E949, 0),"")</f>
        <v/>
      </c>
      <c r="L949" s="95"/>
      <c r="M949" s="113"/>
      <c r="V949" s="95" t="str">
        <f>IF(ISNUMBER('Model_ of_individuals'!V969), 'Model_ of_individuals'!V969*'Model_ of_individuals'!$K969,"")</f>
        <v/>
      </c>
      <c r="W949" s="95" t="str">
        <f>IF(ISNUMBER('Model_ of_individuals'!W969), 'Model_ of_individuals'!W969*'Model_ of_individuals'!$K969,"")</f>
        <v/>
      </c>
      <c r="X949" s="95" t="str">
        <f>IF(ISNUMBER('Model_ of_individuals'!X969), 'Model_ of_individuals'!X969*'Model_ of_individuals'!$K969,"")</f>
        <v/>
      </c>
      <c r="Y949" s="95" t="str">
        <f>IF(ISNUMBER('Model_ of_individuals'!Y969), 'Model_ of_individuals'!Y969*'Model_ of_individuals'!$K969,"")</f>
        <v/>
      </c>
      <c r="Z949" s="95" t="str">
        <f>IF(ISNUMBER('Model_ of_individuals'!Z969), 'Model_ of_individuals'!Z969*'Model_ of_individuals'!$K969,"")</f>
        <v/>
      </c>
      <c r="AA949" s="95" t="str">
        <f>IF(ISNUMBER('Model_ of_individuals'!AA969), 'Model_ of_individuals'!AA969*'Model_ of_individuals'!$K969,"")</f>
        <v/>
      </c>
      <c r="AB949" s="95" t="str">
        <f>IF(ISNUMBER('Model_ of_individuals'!AB969), 'Model_ of_individuals'!AB969*'Model_ of_individuals'!$K969,"")</f>
        <v/>
      </c>
      <c r="AC949" s="95" t="str">
        <f>IF(ISNUMBER('Model_ of_individuals'!AC969), 'Model_ of_individuals'!AC969*'Model_ of_individuals'!$K969,"")</f>
        <v/>
      </c>
      <c r="AD949" s="95" t="str">
        <f>IF(ISNUMBER('Model_ of_individuals'!AD969), 'Model_ of_individuals'!AD969*'Model_ of_individuals'!$K969,"")</f>
        <v/>
      </c>
      <c r="AE949" s="95" t="str">
        <f>IF(ISNUMBER('Model_ of_individuals'!AE969), 'Model_ of_individuals'!AE969*'Model_ of_individuals'!$K969,"")</f>
        <v/>
      </c>
    </row>
    <row r="950" spans="1:32" x14ac:dyDescent="0.25">
      <c r="A950" s="518" t="str">
        <f>Sixth_Stage</f>
        <v>Stage 4 Grower Trials</v>
      </c>
      <c r="B950" s="503" t="str">
        <f>'Breeding Inputs'!B121</f>
        <v/>
      </c>
      <c r="C950" s="521" t="str">
        <f>IF(ISNUMBER(B932), _6_3_0, "")</f>
        <v/>
      </c>
      <c r="D950" s="94" t="str">
        <f>IF(AND(C950&lt;&gt;"", 'Cost Inputs'!$G$187&lt;&gt;""), 'Cost Inputs'!$G$187, "")</f>
        <v/>
      </c>
      <c r="E950" s="94" t="str">
        <f>IF(AND(C950&lt;&gt;"", 'Cost Inputs'!$H$187&lt;&gt;""), 'Cost Inputs'!$H$187, "")</f>
        <v/>
      </c>
      <c r="F950" s="492" t="str">
        <f>IF(AND(C950&lt;&gt;"", 'Cost Inputs'!$I$187&lt;&gt;""), 'Cost Inputs'!$I$187, "")</f>
        <v/>
      </c>
      <c r="G950" s="102" t="str">
        <f t="shared" si="86"/>
        <v/>
      </c>
      <c r="H950" s="492" t="str">
        <f>IF(AND(C950&lt;&gt;"", 'Cost Inputs'!$J$187&lt;&gt;""), 'Cost Inputs'!$J$187, "")</f>
        <v/>
      </c>
      <c r="I950" s="102" t="str">
        <f>IF($C950&lt;&gt;"",IF(AND($E950&lt;&gt;"",H950&lt;&gt;""), H950/$E950, 0),"")</f>
        <v/>
      </c>
      <c r="J950" s="492" t="str">
        <f>IF(AND(C950&lt;&gt;"",('Cost Inputs'!$I$187+'Cost Inputs'!$J$187+'Cost Inputs'!$K$187)&gt;0), 'Cost Inputs'!$I$187+'Cost Inputs'!$J$187+'Cost Inputs'!$K$187, "")</f>
        <v/>
      </c>
      <c r="K950" s="102" t="str">
        <f>IF($C950&lt;&gt;"",IF(AND($E950&lt;&gt;"",J950&lt;&gt;""), J950/$E950, 0),"")</f>
        <v/>
      </c>
      <c r="L950" s="94"/>
      <c r="M950" s="103"/>
      <c r="W950" s="492" t="str">
        <f>IF(ISNUMBER('Model_ of_individuals'!W970), 'Model_ of_individuals'!W970*'Model_ of_individuals'!$K970,"")</f>
        <v/>
      </c>
      <c r="X950" s="492" t="str">
        <f>IF(ISNUMBER('Model_ of_individuals'!X970), 'Model_ of_individuals'!X970*'Model_ of_individuals'!$K970,"")</f>
        <v/>
      </c>
      <c r="Y950" s="492" t="str">
        <f>IF(ISNUMBER('Model_ of_individuals'!Y970), 'Model_ of_individuals'!Y970*'Model_ of_individuals'!$K970,"")</f>
        <v/>
      </c>
      <c r="Z950" s="492" t="str">
        <f>IF(ISNUMBER('Model_ of_individuals'!Z970), 'Model_ of_individuals'!Z970*'Model_ of_individuals'!$K970,"")</f>
        <v/>
      </c>
      <c r="AA950" s="492" t="str">
        <f>IF(ISNUMBER('Model_ of_individuals'!AA970), 'Model_ of_individuals'!AA970*'Model_ of_individuals'!$K970,"")</f>
        <v/>
      </c>
      <c r="AB950" s="492" t="str">
        <f>IF(ISNUMBER('Model_ of_individuals'!AB970), 'Model_ of_individuals'!AB970*'Model_ of_individuals'!$K970,"")</f>
        <v/>
      </c>
      <c r="AC950" s="492" t="str">
        <f>IF(ISNUMBER('Model_ of_individuals'!AC970), 'Model_ of_individuals'!AC970*'Model_ of_individuals'!$K970,"")</f>
        <v/>
      </c>
      <c r="AD950" s="492" t="str">
        <f>IF(ISNUMBER('Model_ of_individuals'!AD970), 'Model_ of_individuals'!AD970*'Model_ of_individuals'!$K970,"")</f>
        <v/>
      </c>
      <c r="AE950" s="492" t="str">
        <f>IF(ISNUMBER('Model_ of_individuals'!AE970), 'Model_ of_individuals'!AE970*'Model_ of_individuals'!$K970,"")</f>
        <v/>
      </c>
      <c r="AF950" s="492" t="str">
        <f>IF(ISNUMBER('Model_ of_individuals'!AF970), 'Model_ of_individuals'!AF970*'Model_ of_individuals'!$K970,"")</f>
        <v/>
      </c>
    </row>
    <row r="951" spans="1:32" x14ac:dyDescent="0.25">
      <c r="A951" s="518"/>
      <c r="B951" s="504"/>
      <c r="C951" s="521"/>
      <c r="D951" s="94" t="str">
        <f>IF(AND(C950&lt;&gt;"", 'Cost Inputs'!$G$188&lt;&gt;""), 'Cost Inputs'!$G$188, "")</f>
        <v/>
      </c>
      <c r="E951" s="94" t="str">
        <f>IF(AND(C950&lt;&gt;"", 'Cost Inputs'!$H$188&lt;&gt;""), 'Cost Inputs'!$H$188, "")</f>
        <v/>
      </c>
      <c r="F951" s="492"/>
      <c r="G951" s="102" t="str">
        <f t="shared" si="86"/>
        <v/>
      </c>
      <c r="H951" s="492"/>
      <c r="I951" s="102" t="str">
        <f>IF($C950&lt;&gt;"", IF(AND($E951&lt;&gt;"", H950&lt;&gt;""), H950/($E950*$E951), 0), "")</f>
        <v/>
      </c>
      <c r="J951" s="492" t="str">
        <f>IF(AND(C951&lt;&gt;"",('Cost Inputs'!$I$86+'Cost Inputs'!$J$86+'Cost Inputs'!$K$86)&gt;0), 'Cost Inputs'!$I$86+'Cost Inputs'!$J$86+'Cost Inputs'!$K$86, "")</f>
        <v/>
      </c>
      <c r="K951" s="102" t="str">
        <f>IF($C950&lt;&gt;"", IF(AND($E951&lt;&gt;"", J950&lt;&gt;""), J950/($E950*$E951), 0), "")</f>
        <v/>
      </c>
      <c r="L951" s="94"/>
      <c r="M951" s="103"/>
      <c r="W951" s="492" t="str">
        <f>IF(ISNUMBER('Model_ of_individuals'!W971), 'Model_ of_individuals'!W971*'Model_ of_individuals'!$K971,"")</f>
        <v/>
      </c>
      <c r="X951" s="492" t="str">
        <f>IF(ISNUMBER('Model_ of_individuals'!X971), 'Model_ of_individuals'!X971*'Model_ of_individuals'!$K971,"")</f>
        <v/>
      </c>
      <c r="Y951" s="492" t="str">
        <f>IF(ISNUMBER('Model_ of_individuals'!Y971), 'Model_ of_individuals'!Y971*'Model_ of_individuals'!$K971,"")</f>
        <v/>
      </c>
      <c r="Z951" s="492" t="str">
        <f>IF(ISNUMBER('Model_ of_individuals'!Z971), 'Model_ of_individuals'!Z971*'Model_ of_individuals'!$K971,"")</f>
        <v/>
      </c>
      <c r="AA951" s="492" t="str">
        <f>IF(ISNUMBER('Model_ of_individuals'!AA971), 'Model_ of_individuals'!AA971*'Model_ of_individuals'!$K971,"")</f>
        <v/>
      </c>
      <c r="AB951" s="492" t="str">
        <f>IF(ISNUMBER('Model_ of_individuals'!AB971), 'Model_ of_individuals'!AB971*'Model_ of_individuals'!$K971,"")</f>
        <v/>
      </c>
      <c r="AC951" s="492" t="str">
        <f>IF(ISNUMBER('Model_ of_individuals'!AC971), 'Model_ of_individuals'!AC971*'Model_ of_individuals'!$K971,"")</f>
        <v/>
      </c>
      <c r="AD951" s="492" t="str">
        <f>IF(ISNUMBER('Model_ of_individuals'!AD971), 'Model_ of_individuals'!AD971*'Model_ of_individuals'!$K971,"")</f>
        <v/>
      </c>
      <c r="AE951" s="492" t="str">
        <f>IF(ISNUMBER('Model_ of_individuals'!AE971), 'Model_ of_individuals'!AE971*'Model_ of_individuals'!$K971,"")</f>
        <v/>
      </c>
      <c r="AF951" s="492" t="str">
        <f>IF(ISNUMBER('Model_ of_individuals'!AF971), 'Model_ of_individuals'!AF971*'Model_ of_individuals'!$K971,"")</f>
        <v/>
      </c>
    </row>
    <row r="952" spans="1:32" x14ac:dyDescent="0.25">
      <c r="A952" s="518"/>
      <c r="B952" s="504"/>
      <c r="C952" s="104" t="str">
        <f>IF(AND(ISNUMBER(B932), OR('Cost Inputs'!$H$189&lt;&gt;"", 'Cost Inputs'!$I$189&lt;&gt;"", 'Cost Inputs'!$J$189&lt;&gt;"")), _6_3_1, "")</f>
        <v/>
      </c>
      <c r="D952" s="17" t="str">
        <f>IF(AND(C952&lt;&gt;"", 'Cost Inputs'!$G$189&lt;&gt;""), 'Cost Inputs'!$G$189, "")</f>
        <v/>
      </c>
      <c r="E952" s="17" t="str">
        <f>IF(AND(C952&lt;&gt;"", 'Cost Inputs'!$H$189&lt;&gt;""), 'Cost Inputs'!$H$189, "")</f>
        <v/>
      </c>
      <c r="F952" s="17" t="str">
        <f>IF(AND(C952&lt;&gt;"", 'Cost Inputs'!$I$189&lt;&gt;""), 'Cost Inputs'!$I$189, "")</f>
        <v/>
      </c>
      <c r="G952" s="105" t="str">
        <f t="shared" si="86"/>
        <v/>
      </c>
      <c r="H952" s="17" t="str">
        <f>IF(AND(C952&lt;&gt;"", 'Cost Inputs'!$J$189&lt;&gt;""), 'Cost Inputs'!$J$189, "")</f>
        <v/>
      </c>
      <c r="I952" s="17" t="str">
        <f t="shared" ref="I952:I960" si="89">IF($C952&lt;&gt;"", IF(AND($E952&lt;&gt;"", H952&lt;&gt;""), H952/$E952, 0),"")</f>
        <v/>
      </c>
      <c r="J952" s="17" t="str">
        <f>IF(AND(C952&lt;&gt;"",('Cost Inputs'!$I$189+'Cost Inputs'!$J$189+'Cost Inputs'!$K$189)&gt;0), 'Cost Inputs'!$I$189+'Cost Inputs'!$J$189+'Cost Inputs'!$K$189, "")</f>
        <v/>
      </c>
      <c r="K952" s="17" t="str">
        <f t="shared" ref="K952:K960" si="90">IF($C952&lt;&gt;"", IF(AND($E952&lt;&gt;"", J952&lt;&gt;""), J952/$E952, 0),"")</f>
        <v/>
      </c>
      <c r="M952" s="106"/>
      <c r="W952" s="17" t="str">
        <f>IF(ISNUMBER('Model_ of_individuals'!W972), 'Model_ of_individuals'!W972*'Model_ of_individuals'!$K972,"")</f>
        <v/>
      </c>
      <c r="X952" s="17" t="str">
        <f>IF(ISNUMBER('Model_ of_individuals'!X972), 'Model_ of_individuals'!X972*'Model_ of_individuals'!$K972,"")</f>
        <v/>
      </c>
      <c r="Y952" s="17" t="str">
        <f>IF(ISNUMBER('Model_ of_individuals'!Y972), 'Model_ of_individuals'!Y972*'Model_ of_individuals'!$K972,"")</f>
        <v/>
      </c>
      <c r="Z952" s="17" t="str">
        <f>IF(ISNUMBER('Model_ of_individuals'!Z972), 'Model_ of_individuals'!Z972*'Model_ of_individuals'!$K972,"")</f>
        <v/>
      </c>
      <c r="AA952" s="17" t="str">
        <f>IF(ISNUMBER('Model_ of_individuals'!AA972), 'Model_ of_individuals'!AA972*'Model_ of_individuals'!$K972,"")</f>
        <v/>
      </c>
      <c r="AB952" s="17" t="str">
        <f>IF(ISNUMBER('Model_ of_individuals'!AB972), 'Model_ of_individuals'!AB972*'Model_ of_individuals'!$K972,"")</f>
        <v/>
      </c>
      <c r="AC952" s="17" t="str">
        <f>IF(ISNUMBER('Model_ of_individuals'!AC972), 'Model_ of_individuals'!AC972*'Model_ of_individuals'!$K972,"")</f>
        <v/>
      </c>
      <c r="AD952" s="17" t="str">
        <f>IF(ISNUMBER('Model_ of_individuals'!AD972), 'Model_ of_individuals'!AD972*'Model_ of_individuals'!$K972,"")</f>
        <v/>
      </c>
      <c r="AE952" s="17" t="str">
        <f>IF(ISNUMBER('Model_ of_individuals'!AE972), 'Model_ of_individuals'!AE972*'Model_ of_individuals'!$K972,"")</f>
        <v/>
      </c>
      <c r="AF952" s="17" t="str">
        <f>IF(ISNUMBER('Model_ of_individuals'!AF972), 'Model_ of_individuals'!AF972*'Model_ of_individuals'!$K972,"")</f>
        <v/>
      </c>
    </row>
    <row r="953" spans="1:32" x14ac:dyDescent="0.25">
      <c r="A953" s="518"/>
      <c r="B953" s="504"/>
      <c r="C953" s="107" t="str">
        <f>IF(AND(ISNUMBER(B932), OR('Cost Inputs'!$H$190&lt;&gt;"", 'Cost Inputs'!$I$190&lt;&gt;"", 'Cost Inputs'!$J$190&lt;&gt;"")), _6_3_2, "")</f>
        <v/>
      </c>
      <c r="D953" s="93" t="str">
        <f>IF(AND(C953&lt;&gt;"", 'Cost Inputs'!$G$190&lt;&gt;""), 'Cost Inputs'!$G$190, "")</f>
        <v/>
      </c>
      <c r="E953" s="93" t="str">
        <f>IF(AND(C953&lt;&gt;"", 'Cost Inputs'!$H$190&lt;&gt;""), 'Cost Inputs'!$H$190, "")</f>
        <v/>
      </c>
      <c r="F953" s="93" t="str">
        <f>IF(AND(C953&lt;&gt;"", 'Cost Inputs'!$I$190&lt;&gt;""), 'Cost Inputs'!$I$190, "")</f>
        <v/>
      </c>
      <c r="G953" s="108" t="str">
        <f t="shared" si="86"/>
        <v/>
      </c>
      <c r="H953" s="93" t="str">
        <f>IF(AND(C953&lt;&gt;"", 'Cost Inputs'!$J$190&lt;&gt;""), 'Cost Inputs'!$J$190, "")</f>
        <v/>
      </c>
      <c r="I953" s="93" t="str">
        <f t="shared" si="89"/>
        <v/>
      </c>
      <c r="J953" s="93" t="str">
        <f>IF(AND(C953&lt;&gt;"",('Cost Inputs'!$I$190+'Cost Inputs'!$J$190+'Cost Inputs'!$K$190)&gt;0), 'Cost Inputs'!$I$190+'Cost Inputs'!$J$190+'Cost Inputs'!$K$190, "")</f>
        <v/>
      </c>
      <c r="K953" s="93" t="str">
        <f t="shared" si="90"/>
        <v/>
      </c>
      <c r="L953" s="93"/>
      <c r="M953" s="109"/>
      <c r="W953" s="93" t="str">
        <f>IF(ISNUMBER('Model_ of_individuals'!W973), 'Model_ of_individuals'!W973*'Model_ of_individuals'!$K973,"")</f>
        <v/>
      </c>
      <c r="X953" s="93" t="str">
        <f>IF(ISNUMBER('Model_ of_individuals'!X973), 'Model_ of_individuals'!X973*'Model_ of_individuals'!$K973,"")</f>
        <v/>
      </c>
      <c r="Y953" s="93" t="str">
        <f>IF(ISNUMBER('Model_ of_individuals'!Y973), 'Model_ of_individuals'!Y973*'Model_ of_individuals'!$K973,"")</f>
        <v/>
      </c>
      <c r="Z953" s="93" t="str">
        <f>IF(ISNUMBER('Model_ of_individuals'!Z973), 'Model_ of_individuals'!Z973*'Model_ of_individuals'!$K973,"")</f>
        <v/>
      </c>
      <c r="AA953" s="93" t="str">
        <f>IF(ISNUMBER('Model_ of_individuals'!AA973), 'Model_ of_individuals'!AA973*'Model_ of_individuals'!$K973,"")</f>
        <v/>
      </c>
      <c r="AB953" s="93" t="str">
        <f>IF(ISNUMBER('Model_ of_individuals'!AB973), 'Model_ of_individuals'!AB973*'Model_ of_individuals'!$K973,"")</f>
        <v/>
      </c>
      <c r="AC953" s="93" t="str">
        <f>IF(ISNUMBER('Model_ of_individuals'!AC973), 'Model_ of_individuals'!AC973*'Model_ of_individuals'!$K973,"")</f>
        <v/>
      </c>
      <c r="AD953" s="93" t="str">
        <f>IF(ISNUMBER('Model_ of_individuals'!AD973), 'Model_ of_individuals'!AD973*'Model_ of_individuals'!$K973,"")</f>
        <v/>
      </c>
      <c r="AE953" s="93" t="str">
        <f>IF(ISNUMBER('Model_ of_individuals'!AE973), 'Model_ of_individuals'!AE973*'Model_ of_individuals'!$K973,"")</f>
        <v/>
      </c>
      <c r="AF953" s="93" t="str">
        <f>IF(ISNUMBER('Model_ of_individuals'!AF973), 'Model_ of_individuals'!AF973*'Model_ of_individuals'!$K973,"")</f>
        <v/>
      </c>
    </row>
    <row r="954" spans="1:32" x14ac:dyDescent="0.25">
      <c r="A954" s="518"/>
      <c r="B954" s="504"/>
      <c r="C954" s="110" t="str">
        <f>IF(ISNUMBER(B932), _6_4_0, "")</f>
        <v/>
      </c>
      <c r="D954" s="94" t="str">
        <f>IF(AND(C954&lt;&gt;"", 'Cost Inputs'!$G$191&lt;&gt;""), 'Cost Inputs'!$G$191, "")</f>
        <v/>
      </c>
      <c r="E954" s="94" t="str">
        <f>IF(AND(C954&lt;&gt;"", 'Cost Inputs'!$H$191&lt;&gt;""), 'Cost Inputs'!$H$191, "")</f>
        <v/>
      </c>
      <c r="F954" s="94" t="str">
        <f>IF(AND(C954&lt;&gt;"", 'Cost Inputs'!$I$191&lt;&gt;""), 'Cost Inputs'!$I$191, "")</f>
        <v/>
      </c>
      <c r="G954" s="102" t="str">
        <f t="shared" si="86"/>
        <v/>
      </c>
      <c r="H954" s="102" t="str">
        <f>IF(AND(C954&lt;&gt;"", 'Cost Inputs'!$J$191&lt;&gt;""), 'Cost Inputs'!$J$191, "")</f>
        <v/>
      </c>
      <c r="I954" s="102" t="str">
        <f t="shared" si="89"/>
        <v/>
      </c>
      <c r="J954" s="102" t="str">
        <f>IF(AND(C954&lt;&gt;"",('Cost Inputs'!$I$191+'Cost Inputs'!$J$191+'Cost Inputs'!$K$191)&gt;0), 'Cost Inputs'!$I$191+'Cost Inputs'!$J$191+'Cost Inputs'!$K$191, "")</f>
        <v/>
      </c>
      <c r="K954" s="102" t="str">
        <f t="shared" si="90"/>
        <v/>
      </c>
      <c r="L954" s="94"/>
      <c r="M954" s="103"/>
      <c r="W954" s="102" t="str">
        <f>IF(ISNUMBER('Model_ of_individuals'!W974), 'Model_ of_individuals'!W974*'Model_ of_individuals'!$K974,"")</f>
        <v/>
      </c>
      <c r="X954" s="102" t="str">
        <f>IF(ISNUMBER('Model_ of_individuals'!X974), 'Model_ of_individuals'!X974*'Model_ of_individuals'!$K974,"")</f>
        <v/>
      </c>
      <c r="Y954" s="102" t="str">
        <f>IF(ISNUMBER('Model_ of_individuals'!Y974), 'Model_ of_individuals'!Y974*'Model_ of_individuals'!$K974,"")</f>
        <v/>
      </c>
      <c r="Z954" s="102" t="str">
        <f>IF(ISNUMBER('Model_ of_individuals'!Z974), 'Model_ of_individuals'!Z974*'Model_ of_individuals'!$K974,"")</f>
        <v/>
      </c>
      <c r="AA954" s="102" t="str">
        <f>IF(ISNUMBER('Model_ of_individuals'!AA974), 'Model_ of_individuals'!AA974*'Model_ of_individuals'!$K974,"")</f>
        <v/>
      </c>
      <c r="AB954" s="102" t="str">
        <f>IF(ISNUMBER('Model_ of_individuals'!AB974), 'Model_ of_individuals'!AB974*'Model_ of_individuals'!$K974,"")</f>
        <v/>
      </c>
      <c r="AC954" s="102" t="str">
        <f>IF(ISNUMBER('Model_ of_individuals'!AC974), 'Model_ of_individuals'!AC974*'Model_ of_individuals'!$K974,"")</f>
        <v/>
      </c>
      <c r="AD954" s="102" t="str">
        <f>IF(ISNUMBER('Model_ of_individuals'!AD974), 'Model_ of_individuals'!AD974*'Model_ of_individuals'!$K974,"")</f>
        <v/>
      </c>
      <c r="AE954" s="102" t="str">
        <f>IF(ISNUMBER('Model_ of_individuals'!AE974), 'Model_ of_individuals'!AE974*'Model_ of_individuals'!$K974,"")</f>
        <v/>
      </c>
      <c r="AF954" s="102" t="str">
        <f>IF(ISNUMBER('Model_ of_individuals'!AF974), 'Model_ of_individuals'!AF974*'Model_ of_individuals'!$K974,"")</f>
        <v/>
      </c>
    </row>
    <row r="955" spans="1:32" x14ac:dyDescent="0.25">
      <c r="A955" s="518"/>
      <c r="B955" s="504"/>
      <c r="C955" s="104" t="str">
        <f>IF(AND(ISNUMBER(B932), OR('Cost Inputs'!$H$192&lt;&gt;"", 'Cost Inputs'!$I$192&lt;&gt;"", 'Cost Inputs'!$J$192&lt;&gt;"")), _6_4_1, "")</f>
        <v/>
      </c>
      <c r="D955" s="17" t="str">
        <f>IF(AND(C955&lt;&gt;"", 'Cost Inputs'!$G$192&lt;&gt;""), 'Cost Inputs'!$G$192, "")</f>
        <v/>
      </c>
      <c r="E955" s="17" t="str">
        <f>IF(AND(C955&lt;&gt;"", 'Cost Inputs'!$H$192&lt;&gt;""), 'Cost Inputs'!$H$192, "")</f>
        <v/>
      </c>
      <c r="F955" s="17" t="str">
        <f>IF(AND(C955&lt;&gt;"", 'Cost Inputs'!$I$192&lt;&gt;""), 'Cost Inputs'!$I$192, "")</f>
        <v/>
      </c>
      <c r="G955" s="105" t="str">
        <f t="shared" si="86"/>
        <v/>
      </c>
      <c r="H955" s="17" t="str">
        <f>IF(AND(C955&lt;&gt;"", 'Cost Inputs'!$J$192&lt;&gt;""), 'Cost Inputs'!$J$192, "")</f>
        <v/>
      </c>
      <c r="I955" s="17" t="str">
        <f t="shared" si="89"/>
        <v/>
      </c>
      <c r="J955" s="17" t="str">
        <f>IF(AND(C955&lt;&gt;"",('Cost Inputs'!$I$192+'Cost Inputs'!$J$192+'Cost Inputs'!$K$192)&gt;0), 'Cost Inputs'!$I$192+'Cost Inputs'!$J$192+'Cost Inputs'!$K$192, "")</f>
        <v/>
      </c>
      <c r="K955" s="17" t="str">
        <f t="shared" si="90"/>
        <v/>
      </c>
      <c r="M955" s="106"/>
      <c r="W955" s="17" t="str">
        <f>IF(ISNUMBER('Model_ of_individuals'!W975), 'Model_ of_individuals'!W975*'Model_ of_individuals'!$K975,"")</f>
        <v/>
      </c>
      <c r="X955" s="17" t="str">
        <f>IF(ISNUMBER('Model_ of_individuals'!X975), 'Model_ of_individuals'!X975*'Model_ of_individuals'!$K975,"")</f>
        <v/>
      </c>
      <c r="Y955" s="17" t="str">
        <f>IF(ISNUMBER('Model_ of_individuals'!Y975), 'Model_ of_individuals'!Y975*'Model_ of_individuals'!$K975,"")</f>
        <v/>
      </c>
      <c r="Z955" s="17" t="str">
        <f>IF(ISNUMBER('Model_ of_individuals'!Z975), 'Model_ of_individuals'!Z975*'Model_ of_individuals'!$K975,"")</f>
        <v/>
      </c>
      <c r="AA955" s="17" t="str">
        <f>IF(ISNUMBER('Model_ of_individuals'!AA975), 'Model_ of_individuals'!AA975*'Model_ of_individuals'!$K975,"")</f>
        <v/>
      </c>
      <c r="AB955" s="17" t="str">
        <f>IF(ISNUMBER('Model_ of_individuals'!AB975), 'Model_ of_individuals'!AB975*'Model_ of_individuals'!$K975,"")</f>
        <v/>
      </c>
      <c r="AC955" s="17" t="str">
        <f>IF(ISNUMBER('Model_ of_individuals'!AC975), 'Model_ of_individuals'!AC975*'Model_ of_individuals'!$K975,"")</f>
        <v/>
      </c>
      <c r="AD955" s="17" t="str">
        <f>IF(ISNUMBER('Model_ of_individuals'!AD975), 'Model_ of_individuals'!AD975*'Model_ of_individuals'!$K975,"")</f>
        <v/>
      </c>
      <c r="AE955" s="17" t="str">
        <f>IF(ISNUMBER('Model_ of_individuals'!AE975), 'Model_ of_individuals'!AE975*'Model_ of_individuals'!$K975,"")</f>
        <v/>
      </c>
      <c r="AF955" s="17" t="str">
        <f>IF(ISNUMBER('Model_ of_individuals'!AF975), 'Model_ of_individuals'!AF975*'Model_ of_individuals'!$K975,"")</f>
        <v/>
      </c>
    </row>
    <row r="956" spans="1:32" x14ac:dyDescent="0.25">
      <c r="A956" s="518"/>
      <c r="B956" s="504"/>
      <c r="C956" s="107" t="str">
        <f>IF(AND(ISNUMBER(B932), OR('Cost Inputs'!$H$193&lt;&gt;"", 'Cost Inputs'!$I$193&lt;&gt;"", 'Cost Inputs'!$J$193&lt;&gt;"")), _6_4_2, "")</f>
        <v/>
      </c>
      <c r="D956" s="93" t="str">
        <f>IF(AND(C956&lt;&gt;"", 'Cost Inputs'!$G$193&lt;&gt;""), 'Cost Inputs'!$G$193, "")</f>
        <v/>
      </c>
      <c r="E956" s="93" t="str">
        <f>IF(AND(C956&lt;&gt;"", 'Cost Inputs'!$H$193&lt;&gt;""), 'Cost Inputs'!$H$193, "")</f>
        <v/>
      </c>
      <c r="F956" s="93" t="str">
        <f>IF(AND(C956&lt;&gt;"", 'Cost Inputs'!$I$193&lt;&gt;""), 'Cost Inputs'!$I$193, "")</f>
        <v/>
      </c>
      <c r="G956" s="108" t="str">
        <f t="shared" si="86"/>
        <v/>
      </c>
      <c r="H956" s="93" t="str">
        <f>IF(AND(C956&lt;&gt;"", 'Cost Inputs'!$J$193&lt;&gt;""), 'Cost Inputs'!$J$193, "")</f>
        <v/>
      </c>
      <c r="I956" s="93" t="str">
        <f t="shared" si="89"/>
        <v/>
      </c>
      <c r="J956" s="93" t="str">
        <f>IF(AND(C956&lt;&gt;"",('Cost Inputs'!$I$152+'Cost Inputs'!$J$152+'Cost Inputs'!$K$152)&gt;0), 'Cost Inputs'!$I$152+'Cost Inputs'!$J$152+'Cost Inputs'!$K$152, "")</f>
        <v/>
      </c>
      <c r="K956" s="93" t="str">
        <f t="shared" si="90"/>
        <v/>
      </c>
      <c r="L956" s="93"/>
      <c r="M956" s="109"/>
      <c r="W956" s="93" t="str">
        <f>IF(ISNUMBER('Model_ of_individuals'!W976), 'Model_ of_individuals'!W976*'Model_ of_individuals'!$K976,"")</f>
        <v/>
      </c>
      <c r="X956" s="93" t="str">
        <f>IF(ISNUMBER('Model_ of_individuals'!X976), 'Model_ of_individuals'!X976*'Model_ of_individuals'!$K976,"")</f>
        <v/>
      </c>
      <c r="Y956" s="93" t="str">
        <f>IF(ISNUMBER('Model_ of_individuals'!Y976), 'Model_ of_individuals'!Y976*'Model_ of_individuals'!$K976,"")</f>
        <v/>
      </c>
      <c r="Z956" s="93" t="str">
        <f>IF(ISNUMBER('Model_ of_individuals'!Z976), 'Model_ of_individuals'!Z976*'Model_ of_individuals'!$K976,"")</f>
        <v/>
      </c>
      <c r="AA956" s="93" t="str">
        <f>IF(ISNUMBER('Model_ of_individuals'!AA976), 'Model_ of_individuals'!AA976*'Model_ of_individuals'!$K976,"")</f>
        <v/>
      </c>
      <c r="AB956" s="93" t="str">
        <f>IF(ISNUMBER('Model_ of_individuals'!AB976), 'Model_ of_individuals'!AB976*'Model_ of_individuals'!$K976,"")</f>
        <v/>
      </c>
      <c r="AC956" s="93" t="str">
        <f>IF(ISNUMBER('Model_ of_individuals'!AC976), 'Model_ of_individuals'!AC976*'Model_ of_individuals'!$K976,"")</f>
        <v/>
      </c>
      <c r="AD956" s="93" t="str">
        <f>IF(ISNUMBER('Model_ of_individuals'!AD976), 'Model_ of_individuals'!AD976*'Model_ of_individuals'!$K976,"")</f>
        <v/>
      </c>
      <c r="AE956" s="93" t="str">
        <f>IF(ISNUMBER('Model_ of_individuals'!AE976), 'Model_ of_individuals'!AE976*'Model_ of_individuals'!$K976,"")</f>
        <v/>
      </c>
      <c r="AF956" s="93" t="str">
        <f>IF(ISNUMBER('Model_ of_individuals'!AF976), 'Model_ of_individuals'!AF976*'Model_ of_individuals'!$K976,"")</f>
        <v/>
      </c>
    </row>
    <row r="957" spans="1:32" x14ac:dyDescent="0.25">
      <c r="A957" s="518"/>
      <c r="B957" s="504"/>
      <c r="C957" s="104" t="str">
        <f>IF(AND(ISNUMBER(B932), OR('Cost Inputs'!$H$194&lt;&gt;"", 'Cost Inputs'!$I$194&lt;&gt;"", 'Cost Inputs'!$J$194&lt;&gt;"")), _6_4_3, "")</f>
        <v/>
      </c>
      <c r="D957" s="17" t="str">
        <f>IF(AND(C957&lt;&gt;"", 'Cost Inputs'!$G$194&lt;&gt;""), 'Cost Inputs'!$G$194, "")</f>
        <v/>
      </c>
      <c r="E957" s="17" t="str">
        <f>IF(AND(C957&lt;&gt;"", 'Cost Inputs'!$H$194&lt;&gt;""), 'Cost Inputs'!$H$194, "")</f>
        <v/>
      </c>
      <c r="F957" s="17" t="str">
        <f>IF(AND(C957&lt;&gt;"", 'Cost Inputs'!$I$194&lt;&gt;""), 'Cost Inputs'!$I$194, "")</f>
        <v/>
      </c>
      <c r="G957" s="105" t="str">
        <f t="shared" si="86"/>
        <v/>
      </c>
      <c r="H957" s="17" t="str">
        <f>IF(AND(C957&lt;&gt;"", 'Cost Inputs'!$J$194&lt;&gt;""), 'Cost Inputs'!$J$194, "")</f>
        <v/>
      </c>
      <c r="I957" s="17" t="str">
        <f t="shared" si="89"/>
        <v/>
      </c>
      <c r="J957" s="17" t="str">
        <f>IF(AND(C957&lt;&gt;"",('Cost Inputs'!$I$194+'Cost Inputs'!$J$194+'Cost Inputs'!$K$194)&gt;0), 'Cost Inputs'!$I$194+'Cost Inputs'!$J$194+'Cost Inputs'!$K$194, "")</f>
        <v/>
      </c>
      <c r="K957" s="17" t="str">
        <f t="shared" si="90"/>
        <v/>
      </c>
      <c r="M957" s="106"/>
      <c r="W957" s="17" t="str">
        <f>IF(ISNUMBER('Model_ of_individuals'!W977), 'Model_ of_individuals'!W977*'Model_ of_individuals'!$K977,"")</f>
        <v/>
      </c>
      <c r="X957" s="17" t="str">
        <f>IF(ISNUMBER('Model_ of_individuals'!X977), 'Model_ of_individuals'!X977*'Model_ of_individuals'!$K977,"")</f>
        <v/>
      </c>
      <c r="Y957" s="17" t="str">
        <f>IF(ISNUMBER('Model_ of_individuals'!Y977), 'Model_ of_individuals'!Y977*'Model_ of_individuals'!$K977,"")</f>
        <v/>
      </c>
      <c r="Z957" s="17" t="str">
        <f>IF(ISNUMBER('Model_ of_individuals'!Z977), 'Model_ of_individuals'!Z977*'Model_ of_individuals'!$K977,"")</f>
        <v/>
      </c>
      <c r="AA957" s="17" t="str">
        <f>IF(ISNUMBER('Model_ of_individuals'!AA977), 'Model_ of_individuals'!AA977*'Model_ of_individuals'!$K977,"")</f>
        <v/>
      </c>
      <c r="AB957" s="17" t="str">
        <f>IF(ISNUMBER('Model_ of_individuals'!AB977), 'Model_ of_individuals'!AB977*'Model_ of_individuals'!$K977,"")</f>
        <v/>
      </c>
      <c r="AC957" s="17" t="str">
        <f>IF(ISNUMBER('Model_ of_individuals'!AC977), 'Model_ of_individuals'!AC977*'Model_ of_individuals'!$K977,"")</f>
        <v/>
      </c>
      <c r="AD957" s="17" t="str">
        <f>IF(ISNUMBER('Model_ of_individuals'!AD977), 'Model_ of_individuals'!AD977*'Model_ of_individuals'!$K977,"")</f>
        <v/>
      </c>
      <c r="AE957" s="17" t="str">
        <f>IF(ISNUMBER('Model_ of_individuals'!AE977), 'Model_ of_individuals'!AE977*'Model_ of_individuals'!$K977,"")</f>
        <v/>
      </c>
      <c r="AF957" s="17" t="str">
        <f>IF(ISNUMBER('Model_ of_individuals'!AF977), 'Model_ of_individuals'!AF977*'Model_ of_individuals'!$K977,"")</f>
        <v/>
      </c>
    </row>
    <row r="958" spans="1:32" x14ac:dyDescent="0.25">
      <c r="A958" s="518"/>
      <c r="B958" s="504"/>
      <c r="C958" s="107" t="str">
        <f>IF(AND(ISNUMBER(B932), OR('Cost Inputs'!$H$195&lt;&gt;"", 'Cost Inputs'!$I$195&lt;&gt;"", 'Cost Inputs'!$J$195&lt;&gt;"")), _6_4_4, "")</f>
        <v/>
      </c>
      <c r="D958" s="93" t="str">
        <f>IF(AND(C958&lt;&gt;"", 'Cost Inputs'!$G$195&lt;&gt;""), 'Cost Inputs'!$G$195, "")</f>
        <v/>
      </c>
      <c r="E958" s="93" t="str">
        <f>IF(AND(C958&lt;&gt;"", 'Cost Inputs'!$H$195&lt;&gt;""), 'Cost Inputs'!$H$195, "")</f>
        <v/>
      </c>
      <c r="F958" s="93" t="str">
        <f>IF(AND(C958&lt;&gt;"", 'Cost Inputs'!$I$195&lt;&gt;""), 'Cost Inputs'!$I$195, "")</f>
        <v/>
      </c>
      <c r="G958" s="108" t="str">
        <f t="shared" si="86"/>
        <v/>
      </c>
      <c r="H958" s="93" t="str">
        <f>IF(AND(C958&lt;&gt;"", 'Cost Inputs'!$J$195&lt;&gt;""), 'Cost Inputs'!$J$195, "")</f>
        <v/>
      </c>
      <c r="I958" s="93" t="str">
        <f t="shared" si="89"/>
        <v/>
      </c>
      <c r="J958" s="93" t="str">
        <f>IF(AND(C958&lt;&gt;"",('Cost Inputs'!$I$195+'Cost Inputs'!$J$195+'Cost Inputs'!$K$195)&gt;0), 'Cost Inputs'!$I$195+'Cost Inputs'!$J$195+'Cost Inputs'!$K$195, "")</f>
        <v/>
      </c>
      <c r="K958" s="93" t="str">
        <f t="shared" si="90"/>
        <v/>
      </c>
      <c r="L958" s="93"/>
      <c r="M958" s="109"/>
      <c r="W958" s="93" t="str">
        <f>IF(ISNUMBER('Model_ of_individuals'!W978), 'Model_ of_individuals'!W978*'Model_ of_individuals'!$K978,"")</f>
        <v/>
      </c>
      <c r="X958" s="93" t="str">
        <f>IF(ISNUMBER('Model_ of_individuals'!X978), 'Model_ of_individuals'!X978*'Model_ of_individuals'!$K978,"")</f>
        <v/>
      </c>
      <c r="Y958" s="93" t="str">
        <f>IF(ISNUMBER('Model_ of_individuals'!Y978), 'Model_ of_individuals'!Y978*'Model_ of_individuals'!$K978,"")</f>
        <v/>
      </c>
      <c r="Z958" s="93" t="str">
        <f>IF(ISNUMBER('Model_ of_individuals'!Z978), 'Model_ of_individuals'!Z978*'Model_ of_individuals'!$K978,"")</f>
        <v/>
      </c>
      <c r="AA958" s="93" t="str">
        <f>IF(ISNUMBER('Model_ of_individuals'!AA978), 'Model_ of_individuals'!AA978*'Model_ of_individuals'!$K978,"")</f>
        <v/>
      </c>
      <c r="AB958" s="93" t="str">
        <f>IF(ISNUMBER('Model_ of_individuals'!AB978), 'Model_ of_individuals'!AB978*'Model_ of_individuals'!$K978,"")</f>
        <v/>
      </c>
      <c r="AC958" s="93" t="str">
        <f>IF(ISNUMBER('Model_ of_individuals'!AC978), 'Model_ of_individuals'!AC978*'Model_ of_individuals'!$K978,"")</f>
        <v/>
      </c>
      <c r="AD958" s="93" t="str">
        <f>IF(ISNUMBER('Model_ of_individuals'!AD978), 'Model_ of_individuals'!AD978*'Model_ of_individuals'!$K978,"")</f>
        <v/>
      </c>
      <c r="AE958" s="93" t="str">
        <f>IF(ISNUMBER('Model_ of_individuals'!AE978), 'Model_ of_individuals'!AE978*'Model_ of_individuals'!$K978,"")</f>
        <v/>
      </c>
      <c r="AF958" s="93" t="str">
        <f>IF(ISNUMBER('Model_ of_individuals'!AF978), 'Model_ of_individuals'!AF978*'Model_ of_individuals'!$K978,"")</f>
        <v/>
      </c>
    </row>
    <row r="959" spans="1:32" x14ac:dyDescent="0.25">
      <c r="A959" s="518"/>
      <c r="B959" s="504"/>
      <c r="C959" s="104" t="str">
        <f>IF(AND(ISNUMBER(B932), OR('Cost Inputs'!$H$196&lt;&gt;"", 'Cost Inputs'!$I$196&lt;&gt;"", 'Cost Inputs'!$J$196&lt;&gt;"")), _6_4_5, "")</f>
        <v/>
      </c>
      <c r="D959" s="17" t="str">
        <f>IF(AND(C959&lt;&gt;"", 'Cost Inputs'!$G$196&lt;&gt;""), 'Cost Inputs'!$G$196, "")</f>
        <v/>
      </c>
      <c r="E959" s="17" t="str">
        <f>IF(AND(C959&lt;&gt;"", 'Cost Inputs'!$H$196&lt;&gt;""), 'Cost Inputs'!$H$196, "")</f>
        <v/>
      </c>
      <c r="F959" s="17" t="str">
        <f>IF(AND(C959&lt;&gt;"", 'Cost Inputs'!$I$196&lt;&gt;""), 'Cost Inputs'!$I$196, "")</f>
        <v/>
      </c>
      <c r="G959" s="105" t="str">
        <f t="shared" si="86"/>
        <v/>
      </c>
      <c r="H959" s="17" t="str">
        <f>IF(AND(C959&lt;&gt;"", 'Cost Inputs'!$J$196&lt;&gt;""), 'Cost Inputs'!$J$196, "")</f>
        <v/>
      </c>
      <c r="I959" s="17" t="str">
        <f t="shared" si="89"/>
        <v/>
      </c>
      <c r="J959" s="17" t="str">
        <f>IF(AND(C959&lt;&gt;"",('Cost Inputs'!$I$196+'Cost Inputs'!$J$196+'Cost Inputs'!$K$196)&gt;0), 'Cost Inputs'!$I$196+'Cost Inputs'!$J$196+'Cost Inputs'!$K$196, "")</f>
        <v/>
      </c>
      <c r="K959" s="17" t="str">
        <f t="shared" si="90"/>
        <v/>
      </c>
      <c r="M959" s="106"/>
      <c r="W959" s="17" t="str">
        <f>IF(ISNUMBER('Model_ of_individuals'!W979), 'Model_ of_individuals'!W979*'Model_ of_individuals'!$K979,"")</f>
        <v/>
      </c>
      <c r="X959" s="17" t="str">
        <f>IF(ISNUMBER('Model_ of_individuals'!X979), 'Model_ of_individuals'!X979*'Model_ of_individuals'!$K979,"")</f>
        <v/>
      </c>
      <c r="Y959" s="17" t="str">
        <f>IF(ISNUMBER('Model_ of_individuals'!Y979), 'Model_ of_individuals'!Y979*'Model_ of_individuals'!$K979,"")</f>
        <v/>
      </c>
      <c r="Z959" s="17" t="str">
        <f>IF(ISNUMBER('Model_ of_individuals'!Z979), 'Model_ of_individuals'!Z979*'Model_ of_individuals'!$K979,"")</f>
        <v/>
      </c>
      <c r="AA959" s="17" t="str">
        <f>IF(ISNUMBER('Model_ of_individuals'!AA979), 'Model_ of_individuals'!AA979*'Model_ of_individuals'!$K979,"")</f>
        <v/>
      </c>
      <c r="AB959" s="17" t="str">
        <f>IF(ISNUMBER('Model_ of_individuals'!AB979), 'Model_ of_individuals'!AB979*'Model_ of_individuals'!$K979,"")</f>
        <v/>
      </c>
      <c r="AC959" s="17" t="str">
        <f>IF(ISNUMBER('Model_ of_individuals'!AC979), 'Model_ of_individuals'!AC979*'Model_ of_individuals'!$K979,"")</f>
        <v/>
      </c>
      <c r="AD959" s="17" t="str">
        <f>IF(ISNUMBER('Model_ of_individuals'!AD979), 'Model_ of_individuals'!AD979*'Model_ of_individuals'!$K979,"")</f>
        <v/>
      </c>
      <c r="AE959" s="17" t="str">
        <f>IF(ISNUMBER('Model_ of_individuals'!AE979), 'Model_ of_individuals'!AE979*'Model_ of_individuals'!$K979,"")</f>
        <v/>
      </c>
      <c r="AF959" s="17" t="str">
        <f>IF(ISNUMBER('Model_ of_individuals'!AF979), 'Model_ of_individuals'!AF979*'Model_ of_individuals'!$K979,"")</f>
        <v/>
      </c>
    </row>
    <row r="960" spans="1:32" x14ac:dyDescent="0.25">
      <c r="A960" s="518"/>
      <c r="B960" s="504"/>
      <c r="C960" s="107" t="str">
        <f>IF(AND(ISNUMBER(B932), OR('Cost Inputs'!$H$197&lt;&gt;"", 'Cost Inputs'!$I$197&lt;&gt;"", 'Cost Inputs'!$J$197&lt;&gt;"")), _6_4_6, "")</f>
        <v/>
      </c>
      <c r="D960" s="93" t="str">
        <f>IF(AND(C960&lt;&gt;"", 'Cost Inputs'!$G$197&lt;&gt;""), 'Cost Inputs'!$G$197, "")</f>
        <v/>
      </c>
      <c r="E960" s="93" t="str">
        <f>IF(AND(C960&lt;&gt;"", 'Cost Inputs'!$H$197&lt;&gt;""), 'Cost Inputs'!$H$197, "")</f>
        <v/>
      </c>
      <c r="F960" s="93" t="str">
        <f>IF(AND(C960&lt;&gt;"", 'Cost Inputs'!$I$197&lt;&gt;""), 'Cost Inputs'!$I$197, "")</f>
        <v/>
      </c>
      <c r="G960" s="108" t="str">
        <f t="shared" si="86"/>
        <v/>
      </c>
      <c r="H960" s="93" t="str">
        <f>IF(AND(C960&lt;&gt;"", 'Cost Inputs'!$J$197&lt;&gt;""), 'Cost Inputs'!$J$16, "")</f>
        <v/>
      </c>
      <c r="I960" s="93" t="str">
        <f t="shared" si="89"/>
        <v/>
      </c>
      <c r="J960" s="93" t="str">
        <f>IF(AND(C960&lt;&gt;"",('Cost Inputs'!$I$197+'Cost Inputs'!$J$197+'Cost Inputs'!$K$197)&gt;0), 'Cost Inputs'!$I$197+'Cost Inputs'!$J$197+'Cost Inputs'!$K$197, "")</f>
        <v/>
      </c>
      <c r="K960" s="93" t="str">
        <f t="shared" si="90"/>
        <v/>
      </c>
      <c r="L960" s="93"/>
      <c r="M960" s="109"/>
      <c r="W960" s="93" t="str">
        <f>IF(ISNUMBER('Model_ of_individuals'!W980), 'Model_ of_individuals'!W980*'Model_ of_individuals'!$K980,"")</f>
        <v/>
      </c>
      <c r="X960" s="93" t="str">
        <f>IF(ISNUMBER('Model_ of_individuals'!X980), 'Model_ of_individuals'!X980*'Model_ of_individuals'!$K980,"")</f>
        <v/>
      </c>
      <c r="Y960" s="93" t="str">
        <f>IF(ISNUMBER('Model_ of_individuals'!Y980), 'Model_ of_individuals'!Y980*'Model_ of_individuals'!$K980,"")</f>
        <v/>
      </c>
      <c r="Z960" s="93" t="str">
        <f>IF(ISNUMBER('Model_ of_individuals'!Z980), 'Model_ of_individuals'!Z980*'Model_ of_individuals'!$K980,"")</f>
        <v/>
      </c>
      <c r="AA960" s="93" t="str">
        <f>IF(ISNUMBER('Model_ of_individuals'!AA980), 'Model_ of_individuals'!AA980*'Model_ of_individuals'!$K980,"")</f>
        <v/>
      </c>
      <c r="AB960" s="93" t="str">
        <f>IF(ISNUMBER('Model_ of_individuals'!AB980), 'Model_ of_individuals'!AB980*'Model_ of_individuals'!$K980,"")</f>
        <v/>
      </c>
      <c r="AC960" s="93" t="str">
        <f>IF(ISNUMBER('Model_ of_individuals'!AC980), 'Model_ of_individuals'!AC980*'Model_ of_individuals'!$K980,"")</f>
        <v/>
      </c>
      <c r="AD960" s="93" t="str">
        <f>IF(ISNUMBER('Model_ of_individuals'!AD980), 'Model_ of_individuals'!AD980*'Model_ of_individuals'!$K980,"")</f>
        <v/>
      </c>
      <c r="AE960" s="93" t="str">
        <f>IF(ISNUMBER('Model_ of_individuals'!AE980), 'Model_ of_individuals'!AE980*'Model_ of_individuals'!$K980,"")</f>
        <v/>
      </c>
      <c r="AF960" s="93" t="str">
        <f>IF(ISNUMBER('Model_ of_individuals'!AF980), 'Model_ of_individuals'!AF980*'Model_ of_individuals'!$K980,"")</f>
        <v/>
      </c>
    </row>
    <row r="961" spans="1:33" x14ac:dyDescent="0.25">
      <c r="A961" s="518"/>
      <c r="B961" s="504"/>
      <c r="C961" s="521" t="str">
        <f>IF(AND(B950&lt;&gt;"",ISNUMBER(B950),ISNUMBER(Stage4EvaluationBegins)),IF((INDEX(ProgramYearStage4,MATCH(Stage4EvaluationBegins,Years_in_Stage4,0)))=B950,_6_5_0,IF(AND(B950&lt;&gt;"",C939&lt;&gt;""),_6_5_0,IF(AND(B950&lt;&gt;"",ISNUMBER(B950),OR(Stage4EvaluationBegins=0,Stage4EvaluationBegins="")),"",""))),"")</f>
        <v/>
      </c>
      <c r="D961" s="94" t="str">
        <f>IF(AND(C961&lt;&gt;"", 'Cost Inputs'!$G$198&lt;&gt;""), 'Cost Inputs'!$G$198, "")</f>
        <v/>
      </c>
      <c r="E961" s="94" t="str">
        <f>IF(AND(C961&lt;&gt;"", 'Cost Inputs'!$H$198&lt;&gt;""), 'Cost Inputs'!$H$198, "")</f>
        <v/>
      </c>
      <c r="F961" s="492" t="str">
        <f>IF(AND(C961&lt;&gt;"", 'Cost Inputs'!$I$198&lt;&gt;""), 'Cost Inputs'!$I$198, "")</f>
        <v/>
      </c>
      <c r="G961" s="102" t="str">
        <f t="shared" si="86"/>
        <v/>
      </c>
      <c r="H961" s="492" t="str">
        <f>IF(AND(C961&lt;&gt;"", 'Cost Inputs'!$J$198&lt;&gt;""), 'Cost Inputs'!$J$198, "")</f>
        <v/>
      </c>
      <c r="I961" s="102" t="str">
        <f>IF($C961&lt;&gt;"",IF(AND($E961&lt;&gt;"",H961&lt;&gt;""), H961/$E961, 0),"")</f>
        <v/>
      </c>
      <c r="J961" s="492" t="str">
        <f>IF(AND(C961&lt;&gt;"",('Cost Inputs'!$I$198+'Cost Inputs'!$J$198+'Cost Inputs'!$K$198)&gt;0), 'Cost Inputs'!$I$198+'Cost Inputs'!$J$198+'Cost Inputs'!$K$198, "")</f>
        <v/>
      </c>
      <c r="K961" s="102" t="str">
        <f>IF($C961&lt;&gt;"",IF(AND($E961&lt;&gt;"",J961&lt;&gt;""), J961/$E961, 0),"")</f>
        <v/>
      </c>
      <c r="L961" s="94"/>
      <c r="M961" s="103"/>
      <c r="W961" s="492" t="str">
        <f>IF(ISNUMBER('Model_ of_individuals'!W981), 'Model_ of_individuals'!W981*'Model_ of_individuals'!$K981,"")</f>
        <v/>
      </c>
      <c r="X961" s="492" t="str">
        <f>IF(ISNUMBER('Model_ of_individuals'!X981), 'Model_ of_individuals'!X981*'Model_ of_individuals'!$K981,"")</f>
        <v/>
      </c>
      <c r="Y961" s="492" t="str">
        <f>IF(ISNUMBER('Model_ of_individuals'!Y981), 'Model_ of_individuals'!Y981*'Model_ of_individuals'!$K981,"")</f>
        <v/>
      </c>
      <c r="Z961" s="492" t="str">
        <f>IF(ISNUMBER('Model_ of_individuals'!Z981), 'Model_ of_individuals'!Z981*'Model_ of_individuals'!$K981,"")</f>
        <v/>
      </c>
      <c r="AA961" s="492" t="str">
        <f>IF(ISNUMBER('Model_ of_individuals'!AA981), 'Model_ of_individuals'!AA981*'Model_ of_individuals'!$K981,"")</f>
        <v/>
      </c>
      <c r="AB961" s="492" t="str">
        <f>IF(ISNUMBER('Model_ of_individuals'!AB981), 'Model_ of_individuals'!AB981*'Model_ of_individuals'!$K981,"")</f>
        <v/>
      </c>
      <c r="AC961" s="492" t="str">
        <f>IF(ISNUMBER('Model_ of_individuals'!AC981), 'Model_ of_individuals'!AC981*'Model_ of_individuals'!$K981,"")</f>
        <v/>
      </c>
      <c r="AD961" s="492" t="str">
        <f>IF(ISNUMBER('Model_ of_individuals'!AD981), 'Model_ of_individuals'!AD981*'Model_ of_individuals'!$K981,"")</f>
        <v/>
      </c>
      <c r="AE961" s="492" t="str">
        <f>IF(ISNUMBER('Model_ of_individuals'!AE981), 'Model_ of_individuals'!AE981*'Model_ of_individuals'!$K981,"")</f>
        <v/>
      </c>
      <c r="AF961" s="492" t="str">
        <f>IF(ISNUMBER('Model_ of_individuals'!AF981), 'Model_ of_individuals'!AF981*'Model_ of_individuals'!$K981,"")</f>
        <v/>
      </c>
    </row>
    <row r="962" spans="1:33" x14ac:dyDescent="0.25">
      <c r="A962" s="518"/>
      <c r="B962" s="504"/>
      <c r="C962" s="521"/>
      <c r="D962" s="94" t="str">
        <f>IF(AND(C961&lt;&gt;"", 'Cost Inputs'!$G$199&lt;&gt;""), 'Cost Inputs'!$G$199, "")</f>
        <v/>
      </c>
      <c r="E962" s="94" t="str">
        <f>IF(AND(C961&lt;&gt;"", 'Cost Inputs'!$H$199&lt;&gt;""), 'Cost Inputs'!$H$199, "")</f>
        <v/>
      </c>
      <c r="F962" s="492"/>
      <c r="G962" s="102" t="str">
        <f t="shared" si="86"/>
        <v/>
      </c>
      <c r="H962" s="492"/>
      <c r="I962" s="102" t="str">
        <f>IF($C961&lt;&gt;"", IF(AND($E962&lt;&gt;"", H961&lt;&gt;""), H961/($E961*$E962), 0), "")</f>
        <v/>
      </c>
      <c r="J962" s="492" t="str">
        <f>IF(AND(C962&lt;&gt;"",('Cost Inputs'!$I$86+'Cost Inputs'!$J$86+'Cost Inputs'!$K$86)&gt;0), 'Cost Inputs'!$I$86+'Cost Inputs'!$J$86+'Cost Inputs'!$K$86, "")</f>
        <v/>
      </c>
      <c r="K962" s="102" t="str">
        <f>IF($C961&lt;&gt;"", IF(AND($E962&lt;&gt;"", J961&lt;&gt;""), J961/($E961*$E962), 0), "")</f>
        <v/>
      </c>
      <c r="L962" s="94"/>
      <c r="M962" s="103"/>
      <c r="W962" s="492" t="str">
        <f>IF(ISNUMBER('Model_ of_individuals'!W982), 'Model_ of_individuals'!W982*'Model_ of_individuals'!$K982,"")</f>
        <v/>
      </c>
      <c r="X962" s="492" t="str">
        <f>IF(ISNUMBER('Model_ of_individuals'!X982), 'Model_ of_individuals'!X982*'Model_ of_individuals'!$K982,"")</f>
        <v/>
      </c>
      <c r="Y962" s="492" t="str">
        <f>IF(ISNUMBER('Model_ of_individuals'!Y982), 'Model_ of_individuals'!Y982*'Model_ of_individuals'!$K982,"")</f>
        <v/>
      </c>
      <c r="Z962" s="492" t="str">
        <f>IF(ISNUMBER('Model_ of_individuals'!Z982), 'Model_ of_individuals'!Z982*'Model_ of_individuals'!$K982,"")</f>
        <v/>
      </c>
      <c r="AA962" s="492" t="str">
        <f>IF(ISNUMBER('Model_ of_individuals'!AA982), 'Model_ of_individuals'!AA982*'Model_ of_individuals'!$K982,"")</f>
        <v/>
      </c>
      <c r="AB962" s="492" t="str">
        <f>IF(ISNUMBER('Model_ of_individuals'!AB982), 'Model_ of_individuals'!AB982*'Model_ of_individuals'!$K982,"")</f>
        <v/>
      </c>
      <c r="AC962" s="492" t="str">
        <f>IF(ISNUMBER('Model_ of_individuals'!AC982), 'Model_ of_individuals'!AC982*'Model_ of_individuals'!$K982,"")</f>
        <v/>
      </c>
      <c r="AD962" s="492" t="str">
        <f>IF(ISNUMBER('Model_ of_individuals'!AD982), 'Model_ of_individuals'!AD982*'Model_ of_individuals'!$K982,"")</f>
        <v/>
      </c>
      <c r="AE962" s="492" t="str">
        <f>IF(ISNUMBER('Model_ of_individuals'!AE982), 'Model_ of_individuals'!AE982*'Model_ of_individuals'!$K982,"")</f>
        <v/>
      </c>
      <c r="AF962" s="492" t="str">
        <f>IF(ISNUMBER('Model_ of_individuals'!AF982), 'Model_ of_individuals'!AF982*'Model_ of_individuals'!$K982,"")</f>
        <v/>
      </c>
    </row>
    <row r="963" spans="1:33" x14ac:dyDescent="0.25">
      <c r="A963" s="518"/>
      <c r="B963" s="504"/>
      <c r="C963" s="376" t="str">
        <f>IF(AND(ISNUMBER(B932), C961&lt;&gt;"", OR('Cost Inputs'!$H$200&lt;&gt;"", 'Cost Inputs'!$I$200&lt;&gt;"", 'Cost Inputs'!$J$200&lt;&gt;"")), _6_5_1, "")</f>
        <v/>
      </c>
      <c r="D963" s="17" t="str">
        <f>IF(AND(C963&lt;&gt;"", 'Cost Inputs'!$G$200&lt;&gt;""), 'Cost Inputs'!$G$200, "")</f>
        <v/>
      </c>
      <c r="E963" s="17" t="str">
        <f>IF(AND(C963&lt;&gt;"", 'Cost Inputs'!$H$200&lt;&gt;""), 'Cost Inputs'!$H$200, "")</f>
        <v/>
      </c>
      <c r="F963" s="493" t="str">
        <f>IF(AND(C963&lt;&gt;"", 'Cost Inputs'!$I$200&lt;&gt;""), 'Cost Inputs'!$I$200, "")</f>
        <v/>
      </c>
      <c r="G963" s="105" t="str">
        <f t="shared" si="86"/>
        <v/>
      </c>
      <c r="H963" s="493" t="str">
        <f>IF(AND(C963&lt;&gt;"", 'Cost Inputs'!$J$200&lt;&gt;""), 'Cost Inputs'!$J$200, "")</f>
        <v/>
      </c>
      <c r="I963" s="105" t="str">
        <f>IF($C963&lt;&gt;"",IF(AND($E963&lt;&gt;"",H963&lt;&gt;""), H963/$E963, 0),"")</f>
        <v/>
      </c>
      <c r="J963" s="493" t="str">
        <f>IF(AND(C963&lt;&gt;"",('Cost Inputs'!$I$200+'Cost Inputs'!$J$200+'Cost Inputs'!$K$200)&gt;0), 'Cost Inputs'!$I$200+'Cost Inputs'!$J$200+'Cost Inputs'!$K$200, "")</f>
        <v/>
      </c>
      <c r="K963" s="105" t="str">
        <f>IF($C963&lt;&gt;"",IF(AND($E963&lt;&gt;"",J963&lt;&gt;""), J963/$E963, 0),"")</f>
        <v/>
      </c>
      <c r="M963" s="106"/>
      <c r="W963" s="493" t="str">
        <f>IF(ISNUMBER('Model_ of_individuals'!W983), 'Model_ of_individuals'!W983*'Model_ of_individuals'!$K983,"")</f>
        <v/>
      </c>
      <c r="X963" s="493" t="str">
        <f>IF(ISNUMBER('Model_ of_individuals'!X983), 'Model_ of_individuals'!X983*'Model_ of_individuals'!$K983,"")</f>
        <v/>
      </c>
      <c r="Y963" s="493" t="str">
        <f>IF(ISNUMBER('Model_ of_individuals'!Y983), 'Model_ of_individuals'!Y983*'Model_ of_individuals'!$K983,"")</f>
        <v/>
      </c>
      <c r="Z963" s="493" t="str">
        <f>IF(ISNUMBER('Model_ of_individuals'!Z983), 'Model_ of_individuals'!Z983*'Model_ of_individuals'!$K983,"")</f>
        <v/>
      </c>
      <c r="AA963" s="493" t="str">
        <f>IF(ISNUMBER('Model_ of_individuals'!AA983), 'Model_ of_individuals'!AA983*'Model_ of_individuals'!$K983,"")</f>
        <v/>
      </c>
      <c r="AB963" s="493" t="str">
        <f>IF(ISNUMBER('Model_ of_individuals'!AB983), 'Model_ of_individuals'!AB983*'Model_ of_individuals'!$K983,"")</f>
        <v/>
      </c>
      <c r="AC963" s="493" t="str">
        <f>IF(ISNUMBER('Model_ of_individuals'!AC983), 'Model_ of_individuals'!AC983*'Model_ of_individuals'!$K983,"")</f>
        <v/>
      </c>
      <c r="AD963" s="493" t="str">
        <f>IF(ISNUMBER('Model_ of_individuals'!AD983), 'Model_ of_individuals'!AD983*'Model_ of_individuals'!$K983,"")</f>
        <v/>
      </c>
      <c r="AE963" s="493" t="str">
        <f>IF(ISNUMBER('Model_ of_individuals'!AE983), 'Model_ of_individuals'!AE983*'Model_ of_individuals'!$K983,"")</f>
        <v/>
      </c>
      <c r="AF963" s="493" t="str">
        <f>IF(ISNUMBER('Model_ of_individuals'!AF983), 'Model_ of_individuals'!AF983*'Model_ of_individuals'!$K983,"")</f>
        <v/>
      </c>
    </row>
    <row r="964" spans="1:33" x14ac:dyDescent="0.25">
      <c r="A964" s="518"/>
      <c r="B964" s="504"/>
      <c r="C964" s="376" t="str">
        <f>IF(AND(ISNUMBER(B946), OR('Cost Inputs'!$H$85&lt;&gt;"", 'Cost Inputs'!$I$85&lt;&gt;"", 'Cost Inputs'!$J$85&lt;&gt;"")), _3_5_1, "")</f>
        <v/>
      </c>
      <c r="D964" s="17" t="str">
        <f>IF(AND(C963&lt;&gt;"", 'Cost Inputs'!$G$201&lt;&gt;""), 'Cost Inputs'!$G$201, "")</f>
        <v/>
      </c>
      <c r="E964" s="17" t="str">
        <f>IF(AND(C963&lt;&gt;"", 'Cost Inputs'!$H$201&lt;&gt;""), 'Cost Inputs'!$H$201, "")</f>
        <v/>
      </c>
      <c r="F964" s="493"/>
      <c r="G964" s="105" t="str">
        <f t="shared" si="86"/>
        <v/>
      </c>
      <c r="H964" s="493"/>
      <c r="I964" s="105" t="str">
        <f>IF($C963&lt;&gt;"", IF(AND($E964&lt;&gt;"", H963&lt;&gt;""), H963/($E963*$E964), 0), "")</f>
        <v/>
      </c>
      <c r="J964" s="493" t="str">
        <f>IF(AND(C964&lt;&gt;"",('Cost Inputs'!$I$86+'Cost Inputs'!$J$86+'Cost Inputs'!$K$86)&gt;0), 'Cost Inputs'!$I$86+'Cost Inputs'!$J$86+'Cost Inputs'!$K$86, "")</f>
        <v/>
      </c>
      <c r="K964" s="105" t="str">
        <f>IF($C963&lt;&gt;"", IF(AND($E964&lt;&gt;"", J963&lt;&gt;""), J963/($E963*$E964), 0), "")</f>
        <v/>
      </c>
      <c r="M964" s="106"/>
      <c r="W964" s="493" t="str">
        <f>IF(ISNUMBER('Model_ of_individuals'!W984), 'Model_ of_individuals'!W984*'Model_ of_individuals'!$K984,"")</f>
        <v/>
      </c>
      <c r="X964" s="493" t="str">
        <f>IF(ISNUMBER('Model_ of_individuals'!X984), 'Model_ of_individuals'!X984*'Model_ of_individuals'!$K984,"")</f>
        <v/>
      </c>
      <c r="Y964" s="493" t="str">
        <f>IF(ISNUMBER('Model_ of_individuals'!Y984), 'Model_ of_individuals'!Y984*'Model_ of_individuals'!$K984,"")</f>
        <v/>
      </c>
      <c r="Z964" s="493" t="str">
        <f>IF(ISNUMBER('Model_ of_individuals'!Z984), 'Model_ of_individuals'!Z984*'Model_ of_individuals'!$K984,"")</f>
        <v/>
      </c>
      <c r="AA964" s="493" t="str">
        <f>IF(ISNUMBER('Model_ of_individuals'!AA984), 'Model_ of_individuals'!AA984*'Model_ of_individuals'!$K984,"")</f>
        <v/>
      </c>
      <c r="AB964" s="493" t="str">
        <f>IF(ISNUMBER('Model_ of_individuals'!AB984), 'Model_ of_individuals'!AB984*'Model_ of_individuals'!$K984,"")</f>
        <v/>
      </c>
      <c r="AC964" s="493" t="str">
        <f>IF(ISNUMBER('Model_ of_individuals'!AC984), 'Model_ of_individuals'!AC984*'Model_ of_individuals'!$K984,"")</f>
        <v/>
      </c>
      <c r="AD964" s="493" t="str">
        <f>IF(ISNUMBER('Model_ of_individuals'!AD984), 'Model_ of_individuals'!AD984*'Model_ of_individuals'!$K984,"")</f>
        <v/>
      </c>
      <c r="AE964" s="493" t="str">
        <f>IF(ISNUMBER('Model_ of_individuals'!AE984), 'Model_ of_individuals'!AE984*'Model_ of_individuals'!$K984,"")</f>
        <v/>
      </c>
      <c r="AF964" s="493" t="str">
        <f>IF(ISNUMBER('Model_ of_individuals'!AF984), 'Model_ of_individuals'!AF984*'Model_ of_individuals'!$K984,"")</f>
        <v/>
      </c>
    </row>
    <row r="965" spans="1:33" x14ac:dyDescent="0.25">
      <c r="A965" s="518"/>
      <c r="B965" s="504"/>
      <c r="C965" s="107" t="str">
        <f>IF(AND(ISNUMBER(B932), C961&lt;&gt;"", OR('Cost Inputs'!$H$202&lt;&gt;"", 'Cost Inputs'!$I$202&lt;&gt;"", 'Cost Inputs'!$J$202&lt;&gt;"")), _6_5_2, "")</f>
        <v/>
      </c>
      <c r="D965" s="93" t="str">
        <f>IF(AND(C965&lt;&gt;"", 'Cost Inputs'!$G$202&lt;&gt;""), 'Cost Inputs'!$G$202, "")</f>
        <v/>
      </c>
      <c r="E965" s="93" t="str">
        <f>IF(AND(C965&lt;&gt;"", 'Cost Inputs'!$H$202&lt;&gt;""), 'Cost Inputs'!$H$202, "")</f>
        <v/>
      </c>
      <c r="F965" s="93" t="str">
        <f>IF(AND(C965&lt;&gt;"", 'Cost Inputs'!$I$202&lt;&gt;""), 'Cost Inputs'!$I$202, "")</f>
        <v/>
      </c>
      <c r="G965" s="108" t="str">
        <f t="shared" si="86"/>
        <v/>
      </c>
      <c r="H965" s="93" t="str">
        <f>IF(AND(C965&lt;&gt;"", 'Cost Inputs'!$J$202&lt;&gt;""), 'Cost Inputs'!$J$202, "")</f>
        <v/>
      </c>
      <c r="I965" s="93" t="str">
        <f>IF($C965&lt;&gt;"", IF(AND($E965&lt;&gt;"", H965&lt;&gt;""), H965/$E965, 0),"")</f>
        <v/>
      </c>
      <c r="J965" s="93" t="str">
        <f>IF(AND(C965&lt;&gt;"",('Cost Inputs'!$I$202+'Cost Inputs'!$J$202+'Cost Inputs'!$K$202)&gt;0), 'Cost Inputs'!$I$202+'Cost Inputs'!$J$202+'Cost Inputs'!$K$202, "")</f>
        <v/>
      </c>
      <c r="K965" s="93" t="str">
        <f>IF($C965&lt;&gt;"", IF(AND($E965&lt;&gt;"", J965&lt;&gt;""), J965/$E965, 0),"")</f>
        <v/>
      </c>
      <c r="L965" s="93"/>
      <c r="M965" s="109"/>
      <c r="W965" s="93" t="str">
        <f>IF(ISNUMBER('Model_ of_individuals'!W985), 'Model_ of_individuals'!W985*'Model_ of_individuals'!$K985,"")</f>
        <v/>
      </c>
      <c r="X965" s="93" t="str">
        <f>IF(ISNUMBER('Model_ of_individuals'!X985), 'Model_ of_individuals'!X985*'Model_ of_individuals'!$K985,"")</f>
        <v/>
      </c>
      <c r="Y965" s="93" t="str">
        <f>IF(ISNUMBER('Model_ of_individuals'!Y985), 'Model_ of_individuals'!Y985*'Model_ of_individuals'!$K985,"")</f>
        <v/>
      </c>
      <c r="Z965" s="93" t="str">
        <f>IF(ISNUMBER('Model_ of_individuals'!Z985), 'Model_ of_individuals'!Z985*'Model_ of_individuals'!$K985,"")</f>
        <v/>
      </c>
      <c r="AA965" s="93" t="str">
        <f>IF(ISNUMBER('Model_ of_individuals'!AA985), 'Model_ of_individuals'!AA985*'Model_ of_individuals'!$K985,"")</f>
        <v/>
      </c>
      <c r="AB965" s="93" t="str">
        <f>IF(ISNUMBER('Model_ of_individuals'!AB985), 'Model_ of_individuals'!AB985*'Model_ of_individuals'!$K985,"")</f>
        <v/>
      </c>
      <c r="AC965" s="93" t="str">
        <f>IF(ISNUMBER('Model_ of_individuals'!AC985), 'Model_ of_individuals'!AC985*'Model_ of_individuals'!$K985,"")</f>
        <v/>
      </c>
      <c r="AD965" s="93" t="str">
        <f>IF(ISNUMBER('Model_ of_individuals'!AD985), 'Model_ of_individuals'!AD985*'Model_ of_individuals'!$K985,"")</f>
        <v/>
      </c>
      <c r="AE965" s="93" t="str">
        <f>IF(ISNUMBER('Model_ of_individuals'!AE985), 'Model_ of_individuals'!AE985*'Model_ of_individuals'!$K985,"")</f>
        <v/>
      </c>
      <c r="AF965" s="93" t="str">
        <f>IF(ISNUMBER('Model_ of_individuals'!AF985), 'Model_ of_individuals'!AF985*'Model_ of_individuals'!$K985,"")</f>
        <v/>
      </c>
    </row>
    <row r="966" spans="1:33" x14ac:dyDescent="0.25">
      <c r="A966" s="518"/>
      <c r="B966" s="504"/>
      <c r="C966" s="104" t="str">
        <f>IF(AND(ISNUMBER(B932), C961&lt;&gt;"", OR('Cost Inputs'!$H$203&lt;&gt;"", 'Cost Inputs'!$I$203&lt;&gt;"", 'Cost Inputs'!$J$203&lt;&gt;"")), _6_5_3, "")</f>
        <v/>
      </c>
      <c r="D966" s="17" t="str">
        <f>IF(AND(C966&lt;&gt;"", 'Cost Inputs'!$G$203&lt;&gt;""), 'Cost Inputs'!$G$203, "")</f>
        <v/>
      </c>
      <c r="E966" s="17" t="str">
        <f>IF(AND(C966&lt;&gt;"", 'Cost Inputs'!$H$203&lt;&gt;""), 'Cost Inputs'!$H$203, "")</f>
        <v/>
      </c>
      <c r="F966" s="17" t="str">
        <f>IF(AND(C966&lt;&gt;"", 'Cost Inputs'!$I$203&lt;&gt;""), 'Cost Inputs'!$I$203, "")</f>
        <v/>
      </c>
      <c r="G966" s="105" t="str">
        <f t="shared" si="86"/>
        <v/>
      </c>
      <c r="H966" s="17" t="str">
        <f>IF(AND(C966&lt;&gt;"", 'Cost Inputs'!$J$203&lt;&gt;""), 'Cost Inputs'!$J$203, "")</f>
        <v/>
      </c>
      <c r="I966" s="17" t="str">
        <f>IF($C966&lt;&gt;"", IF(AND($E966&lt;&gt;"", H966&lt;&gt;""), H966/$E966, 0),"")</f>
        <v/>
      </c>
      <c r="J966" s="17" t="str">
        <f>IF(AND(C966&lt;&gt;"",('Cost Inputs'!$I$203+'Cost Inputs'!$J$203+'Cost Inputs'!$K$203)&gt;0), 'Cost Inputs'!$I$203+'Cost Inputs'!$J$203+'Cost Inputs'!$K$203, "")</f>
        <v/>
      </c>
      <c r="K966" s="17" t="str">
        <f>IF($C966&lt;&gt;"", IF(AND($E966&lt;&gt;"", J966&lt;&gt;""), J966/$E966, 0),"")</f>
        <v/>
      </c>
      <c r="M966" s="106"/>
      <c r="W966" s="17" t="str">
        <f>IF(ISNUMBER('Model_ of_individuals'!W986), 'Model_ of_individuals'!W986*'Model_ of_individuals'!$K986,"")</f>
        <v/>
      </c>
      <c r="X966" s="17" t="str">
        <f>IF(ISNUMBER('Model_ of_individuals'!X986), 'Model_ of_individuals'!X986*'Model_ of_individuals'!$K986,"")</f>
        <v/>
      </c>
      <c r="Y966" s="17" t="str">
        <f>IF(ISNUMBER('Model_ of_individuals'!Y986), 'Model_ of_individuals'!Y986*'Model_ of_individuals'!$K986,"")</f>
        <v/>
      </c>
      <c r="Z966" s="17" t="str">
        <f>IF(ISNUMBER('Model_ of_individuals'!Z986), 'Model_ of_individuals'!Z986*'Model_ of_individuals'!$K986,"")</f>
        <v/>
      </c>
      <c r="AA966" s="17" t="str">
        <f>IF(ISNUMBER('Model_ of_individuals'!AA986), 'Model_ of_individuals'!AA986*'Model_ of_individuals'!$K986,"")</f>
        <v/>
      </c>
      <c r="AB966" s="17" t="str">
        <f>IF(ISNUMBER('Model_ of_individuals'!AB986), 'Model_ of_individuals'!AB986*'Model_ of_individuals'!$K986,"")</f>
        <v/>
      </c>
      <c r="AC966" s="17" t="str">
        <f>IF(ISNUMBER('Model_ of_individuals'!AC986), 'Model_ of_individuals'!AC986*'Model_ of_individuals'!$K986,"")</f>
        <v/>
      </c>
      <c r="AD966" s="17" t="str">
        <f>IF(ISNUMBER('Model_ of_individuals'!AD986), 'Model_ of_individuals'!AD986*'Model_ of_individuals'!$K986,"")</f>
        <v/>
      </c>
      <c r="AE966" s="17" t="str">
        <f>IF(ISNUMBER('Model_ of_individuals'!AE986), 'Model_ of_individuals'!AE986*'Model_ of_individuals'!$K986,"")</f>
        <v/>
      </c>
      <c r="AF966" s="17" t="str">
        <f>IF(ISNUMBER('Model_ of_individuals'!AF986), 'Model_ of_individuals'!AF986*'Model_ of_individuals'!$K986,"")</f>
        <v/>
      </c>
    </row>
    <row r="967" spans="1:33" x14ac:dyDescent="0.25">
      <c r="A967" s="518"/>
      <c r="B967" s="504"/>
      <c r="C967" s="107" t="str">
        <f>IF(AND(ISNUMBER(B932), C961&lt;&gt;"", OR('Cost Inputs'!$H$204&lt;&gt;"", 'Cost Inputs'!$I$204&lt;&gt;"", 'Cost Inputs'!$J$204&lt;&gt;"")), _6_5_4, "")</f>
        <v/>
      </c>
      <c r="D967" s="93" t="str">
        <f>IF(AND(C967&lt;&gt;"", 'Cost Inputs'!$G$204&lt;&gt;""), 'Cost Inputs'!$G$204, "")</f>
        <v/>
      </c>
      <c r="E967" s="93" t="str">
        <f>IF(AND(C967&lt;&gt;"", 'Cost Inputs'!$H$204&lt;&gt;""), 'Cost Inputs'!$H$204, "")</f>
        <v/>
      </c>
      <c r="F967" s="93" t="str">
        <f>IF(AND(C967&lt;&gt;"", 'Cost Inputs'!$I$204&lt;&gt;""), 'Cost Inputs'!$I$204, "")</f>
        <v/>
      </c>
      <c r="G967" s="108" t="str">
        <f t="shared" si="86"/>
        <v/>
      </c>
      <c r="H967" s="93" t="str">
        <f>IF(AND(C967&lt;&gt;"", 'Cost Inputs'!$J$204&lt;&gt;""), 'Cost Inputs'!$J$204, "")</f>
        <v/>
      </c>
      <c r="I967" s="93" t="str">
        <f>IF($C967&lt;&gt;"", IF(AND($E967&lt;&gt;"", H967&lt;&gt;""), H967/$E967, 0),"")</f>
        <v/>
      </c>
      <c r="J967" s="93" t="str">
        <f>IF(AND(C967&lt;&gt;"",('Cost Inputs'!$I$204+'Cost Inputs'!$J$204+'Cost Inputs'!$K$204)&gt;0), 'Cost Inputs'!$I$204+'Cost Inputs'!$J$204+'Cost Inputs'!$K$204, "")</f>
        <v/>
      </c>
      <c r="K967" s="93" t="str">
        <f>IF($C967&lt;&gt;"", IF(AND($E967&lt;&gt;"", J967&lt;&gt;""), J967/$E967, 0),"")</f>
        <v/>
      </c>
      <c r="L967" s="93"/>
      <c r="M967" s="109"/>
      <c r="W967" s="93" t="str">
        <f>IF(ISNUMBER('Model_ of_individuals'!W987), 'Model_ of_individuals'!W987*'Model_ of_individuals'!$K987,"")</f>
        <v/>
      </c>
      <c r="X967" s="93" t="str">
        <f>IF(ISNUMBER('Model_ of_individuals'!X987), 'Model_ of_individuals'!X987*'Model_ of_individuals'!$K987,"")</f>
        <v/>
      </c>
      <c r="Y967" s="93" t="str">
        <f>IF(ISNUMBER('Model_ of_individuals'!Y987), 'Model_ of_individuals'!Y987*'Model_ of_individuals'!$K987,"")</f>
        <v/>
      </c>
      <c r="Z967" s="93" t="str">
        <f>IF(ISNUMBER('Model_ of_individuals'!Z987), 'Model_ of_individuals'!Z987*'Model_ of_individuals'!$K987,"")</f>
        <v/>
      </c>
      <c r="AA967" s="93" t="str">
        <f>IF(ISNUMBER('Model_ of_individuals'!AA987), 'Model_ of_individuals'!AA987*'Model_ of_individuals'!$K987,"")</f>
        <v/>
      </c>
      <c r="AB967" s="93" t="str">
        <f>IF(ISNUMBER('Model_ of_individuals'!AB987), 'Model_ of_individuals'!AB987*'Model_ of_individuals'!$K987,"")</f>
        <v/>
      </c>
      <c r="AC967" s="93" t="str">
        <f>IF(ISNUMBER('Model_ of_individuals'!AC987), 'Model_ of_individuals'!AC987*'Model_ of_individuals'!$K987,"")</f>
        <v/>
      </c>
      <c r="AD967" s="93" t="str">
        <f>IF(ISNUMBER('Model_ of_individuals'!AD987), 'Model_ of_individuals'!AD987*'Model_ of_individuals'!$K987,"")</f>
        <v/>
      </c>
      <c r="AE967" s="93" t="str">
        <f>IF(ISNUMBER('Model_ of_individuals'!AE987), 'Model_ of_individuals'!AE987*'Model_ of_individuals'!$K987,"")</f>
        <v/>
      </c>
      <c r="AF967" s="93" t="str">
        <f>IF(ISNUMBER('Model_ of_individuals'!AF987), 'Model_ of_individuals'!AF987*'Model_ of_individuals'!$K987,"")</f>
        <v/>
      </c>
    </row>
    <row r="968" spans="1:33" x14ac:dyDescent="0.25">
      <c r="A968" s="518"/>
      <c r="B968" s="504"/>
      <c r="C968" s="104" t="str">
        <f>IF(AND(ISNUMBER(B932), C961&lt;&gt;"", OR('Cost Inputs'!$H$205&lt;&gt;"", 'Cost Inputs'!$I$205&lt;&gt;"", 'Cost Inputs'!$J$205&lt;&gt;"")), _6_5_5, "")</f>
        <v/>
      </c>
      <c r="D968" s="17" t="str">
        <f>IF(AND(C968&lt;&gt;"", 'Cost Inputs'!$G$205&lt;&gt;""), 'Cost Inputs'!$G$205, "")</f>
        <v/>
      </c>
      <c r="E968" s="17" t="str">
        <f>IF(AND(C968&lt;&gt;"", 'Cost Inputs'!$H$205&lt;&gt;""), 'Cost Inputs'!$H$205, "")</f>
        <v/>
      </c>
      <c r="F968" s="17" t="str">
        <f>IF(AND(C968&lt;&gt;"", 'Cost Inputs'!$I$205&lt;&gt;""), 'Cost Inputs'!$I$205, "")</f>
        <v/>
      </c>
      <c r="G968" s="105" t="str">
        <f t="shared" si="86"/>
        <v/>
      </c>
      <c r="H968" s="17" t="str">
        <f>IF(AND(C968&lt;&gt;"", 'Cost Inputs'!$J$205&lt;&gt;""), 'Cost Inputs'!$J$205, "")</f>
        <v/>
      </c>
      <c r="I968" s="17" t="str">
        <f>IF($C968&lt;&gt;"", IF(AND($E968&lt;&gt;"", H968&lt;&gt;""), H968/$E968, 0),"")</f>
        <v/>
      </c>
      <c r="J968" s="17" t="str">
        <f>IF(AND(C968&lt;&gt;"",('Cost Inputs'!$I$205+'Cost Inputs'!$J$205+'Cost Inputs'!$K$205)&gt;0), 'Cost Inputs'!$I$205+'Cost Inputs'!$J$205+'Cost Inputs'!$K$205, "")</f>
        <v/>
      </c>
      <c r="K968" s="17" t="str">
        <f>IF($C968&lt;&gt;"", IF(AND($E968&lt;&gt;"", J968&lt;&gt;""), J968/$E968, 0),"")</f>
        <v/>
      </c>
      <c r="M968" s="106"/>
      <c r="W968" s="17" t="str">
        <f>IF(ISNUMBER('Model_ of_individuals'!W988), 'Model_ of_individuals'!W988*'Model_ of_individuals'!$K988,"")</f>
        <v/>
      </c>
      <c r="X968" s="17" t="str">
        <f>IF(ISNUMBER('Model_ of_individuals'!X988), 'Model_ of_individuals'!X988*'Model_ of_individuals'!$K988,"")</f>
        <v/>
      </c>
      <c r="Y968" s="17" t="str">
        <f>IF(ISNUMBER('Model_ of_individuals'!Y988), 'Model_ of_individuals'!Y988*'Model_ of_individuals'!$K988,"")</f>
        <v/>
      </c>
      <c r="Z968" s="17" t="str">
        <f>IF(ISNUMBER('Model_ of_individuals'!Z988), 'Model_ of_individuals'!Z988*'Model_ of_individuals'!$K988,"")</f>
        <v/>
      </c>
      <c r="AA968" s="17" t="str">
        <f>IF(ISNUMBER('Model_ of_individuals'!AA988), 'Model_ of_individuals'!AA988*'Model_ of_individuals'!$K988,"")</f>
        <v/>
      </c>
      <c r="AB968" s="17" t="str">
        <f>IF(ISNUMBER('Model_ of_individuals'!AB988), 'Model_ of_individuals'!AB988*'Model_ of_individuals'!$K988,"")</f>
        <v/>
      </c>
      <c r="AC968" s="17" t="str">
        <f>IF(ISNUMBER('Model_ of_individuals'!AC988), 'Model_ of_individuals'!AC988*'Model_ of_individuals'!$K988,"")</f>
        <v/>
      </c>
      <c r="AD968" s="17" t="str">
        <f>IF(ISNUMBER('Model_ of_individuals'!AD988), 'Model_ of_individuals'!AD988*'Model_ of_individuals'!$K988,"")</f>
        <v/>
      </c>
      <c r="AE968" s="17" t="str">
        <f>IF(ISNUMBER('Model_ of_individuals'!AE988), 'Model_ of_individuals'!AE988*'Model_ of_individuals'!$K988,"")</f>
        <v/>
      </c>
      <c r="AF968" s="17" t="str">
        <f>IF(ISNUMBER('Model_ of_individuals'!AF988), 'Model_ of_individuals'!AF988*'Model_ of_individuals'!$K988,"")</f>
        <v/>
      </c>
    </row>
    <row r="969" spans="1:33" x14ac:dyDescent="0.25">
      <c r="A969" s="518"/>
      <c r="B969" s="504"/>
      <c r="C969" s="110" t="str">
        <f>IF(ISNUMBER(B932), _6_6_0, "")</f>
        <v/>
      </c>
      <c r="D969" s="94" t="str">
        <f>IF(AND(C969&lt;&gt;"", 'Cost Inputs'!$G$206&lt;&gt;""), 'Cost Inputs'!$G$206, "")</f>
        <v/>
      </c>
      <c r="E969" s="94" t="str">
        <f>IF(AND(C969&lt;&gt;"", 'Cost Inputs'!$H$206&lt;&gt;""), 'Cost Inputs'!$H$206, "")</f>
        <v/>
      </c>
      <c r="F969" s="94" t="str">
        <f>IF(AND(C969&lt;&gt;"", 'Cost Inputs'!$I$206&lt;&gt;""), 'Cost Inputs'!$I$206, "")</f>
        <v/>
      </c>
      <c r="G969" s="102" t="str">
        <f t="shared" si="86"/>
        <v/>
      </c>
      <c r="H969" s="94" t="str">
        <f>IF(AND(C969&lt;&gt;"", 'Cost Inputs'!$J$206&lt;&gt;""), 'Cost Inputs'!$J$206, "")</f>
        <v/>
      </c>
      <c r="I969" s="102" t="str">
        <f>IF($C969&lt;&gt;"",IF(AND($E969&lt;&gt;"",H969&lt;&gt;""), H969/$E969, 0),"")</f>
        <v/>
      </c>
      <c r="J969" s="94" t="str">
        <f>IF(AND(C969&lt;&gt;"",('Cost Inputs'!$I$206+'Cost Inputs'!$J$206+'Cost Inputs'!$K$206)&gt;0), 'Cost Inputs'!$I$206+'Cost Inputs'!$J$206+'Cost Inputs'!$K$206, "")</f>
        <v/>
      </c>
      <c r="K969" s="102" t="str">
        <f>IF($C969&lt;&gt;"",IF(AND($E969&lt;&gt;"",J969&lt;&gt;""), J969/$E969, 0),"")</f>
        <v/>
      </c>
      <c r="L969" s="94"/>
      <c r="M969" s="103"/>
      <c r="W969" s="94" t="str">
        <f>IF(ISNUMBER('Model_ of_individuals'!W989), 'Model_ of_individuals'!W989*'Model_ of_individuals'!$K989,"")</f>
        <v/>
      </c>
      <c r="X969" s="94" t="str">
        <f>IF(ISNUMBER('Model_ of_individuals'!X989), 'Model_ of_individuals'!X989*'Model_ of_individuals'!$K989,"")</f>
        <v/>
      </c>
      <c r="Y969" s="94" t="str">
        <f>IF(ISNUMBER('Model_ of_individuals'!Y989), 'Model_ of_individuals'!Y989*'Model_ of_individuals'!$K989,"")</f>
        <v/>
      </c>
      <c r="Z969" s="94" t="str">
        <f>IF(ISNUMBER('Model_ of_individuals'!Z989), 'Model_ of_individuals'!Z989*'Model_ of_individuals'!$K989,"")</f>
        <v/>
      </c>
      <c r="AA969" s="94" t="str">
        <f>IF(ISNUMBER('Model_ of_individuals'!AA989), 'Model_ of_individuals'!AA989*'Model_ of_individuals'!$K989,"")</f>
        <v/>
      </c>
      <c r="AB969" s="94" t="str">
        <f>IF(ISNUMBER('Model_ of_individuals'!AB989), 'Model_ of_individuals'!AB989*'Model_ of_individuals'!$K989,"")</f>
        <v/>
      </c>
      <c r="AC969" s="94" t="str">
        <f>IF(ISNUMBER('Model_ of_individuals'!AC989), 'Model_ of_individuals'!AC989*'Model_ of_individuals'!$K989,"")</f>
        <v/>
      </c>
      <c r="AD969" s="94" t="str">
        <f>IF(ISNUMBER('Model_ of_individuals'!AD989), 'Model_ of_individuals'!AD989*'Model_ of_individuals'!$K989,"")</f>
        <v/>
      </c>
      <c r="AE969" s="94" t="str">
        <f>IF(ISNUMBER('Model_ of_individuals'!AE989), 'Model_ of_individuals'!AE989*'Model_ of_individuals'!$K989,"")</f>
        <v/>
      </c>
      <c r="AF969" s="94" t="str">
        <f>IF(ISNUMBER('Model_ of_individuals'!AF989), 'Model_ of_individuals'!AF989*'Model_ of_individuals'!$K989,"")</f>
        <v/>
      </c>
    </row>
    <row r="970" spans="1:33" x14ac:dyDescent="0.25">
      <c r="A970" s="518"/>
      <c r="B970" s="504"/>
      <c r="C970" s="104" t="str">
        <f>IF(AND(ISNUMBER(B932), OR('Cost Inputs'!$H$207&lt;&gt;"", 'Cost Inputs'!$I$207&lt;&gt;"", 'Cost Inputs'!$J$207&lt;&gt;"")), _6_6_1, "")</f>
        <v/>
      </c>
      <c r="D970" s="17" t="str">
        <f>IF(AND(C970&lt;&gt;"", 'Cost Inputs'!$G$207&lt;&gt;""), 'Cost Inputs'!$G$207, "")</f>
        <v/>
      </c>
      <c r="E970" s="17" t="str">
        <f>IF(AND(C970&lt;&gt;"", 'Cost Inputs'!$H$207&lt;&gt;""), 'Cost Inputs'!$H$207, "")</f>
        <v/>
      </c>
      <c r="F970" s="17" t="str">
        <f>IF(AND(C970&lt;&gt;"", 'Cost Inputs'!$I$207&lt;&gt;""), 'Cost Inputs'!$I$207, "")</f>
        <v/>
      </c>
      <c r="G970" s="105" t="str">
        <f t="shared" si="86"/>
        <v/>
      </c>
      <c r="H970" s="17" t="str">
        <f>IF(AND(C970&lt;&gt;"", 'Cost Inputs'!$J$207&lt;&gt;""), 'Cost Inputs'!$J$207, "")</f>
        <v/>
      </c>
      <c r="I970" s="17" t="str">
        <f>IF($C970&lt;&gt;"", IF(AND($E970&lt;&gt;"", H970&lt;&gt;""), H970/$E970, 0),"")</f>
        <v/>
      </c>
      <c r="J970" s="17" t="str">
        <f>IF(AND(C970&lt;&gt;"",('Cost Inputs'!$I$207+'Cost Inputs'!$J$207+'Cost Inputs'!$K$207)&gt;0), 'Cost Inputs'!$I$207+'Cost Inputs'!$J$207+'Cost Inputs'!$K$207, "")</f>
        <v/>
      </c>
      <c r="K970" s="17" t="str">
        <f>IF($C970&lt;&gt;"", IF(AND($E970&lt;&gt;"", J970&lt;&gt;""), J970/$E970, 0),"")</f>
        <v/>
      </c>
      <c r="M970" s="106"/>
      <c r="W970" s="17" t="str">
        <f>IF(ISNUMBER('Model_ of_individuals'!W990), 'Model_ of_individuals'!W990*'Model_ of_individuals'!$K990,"")</f>
        <v/>
      </c>
      <c r="X970" s="17" t="str">
        <f>IF(ISNUMBER('Model_ of_individuals'!X990), 'Model_ of_individuals'!X990*'Model_ of_individuals'!$K990,"")</f>
        <v/>
      </c>
      <c r="Y970" s="17" t="str">
        <f>IF(ISNUMBER('Model_ of_individuals'!Y990), 'Model_ of_individuals'!Y990*'Model_ of_individuals'!$K990,"")</f>
        <v/>
      </c>
      <c r="Z970" s="17" t="str">
        <f>IF(ISNUMBER('Model_ of_individuals'!Z990), 'Model_ of_individuals'!Z990*'Model_ of_individuals'!$K990,"")</f>
        <v/>
      </c>
      <c r="AA970" s="17" t="str">
        <f>IF(ISNUMBER('Model_ of_individuals'!AA990), 'Model_ of_individuals'!AA990*'Model_ of_individuals'!$K990,"")</f>
        <v/>
      </c>
      <c r="AB970" s="17" t="str">
        <f>IF(ISNUMBER('Model_ of_individuals'!AB990), 'Model_ of_individuals'!AB990*'Model_ of_individuals'!$K990,"")</f>
        <v/>
      </c>
      <c r="AC970" s="17" t="str">
        <f>IF(ISNUMBER('Model_ of_individuals'!AC990), 'Model_ of_individuals'!AC990*'Model_ of_individuals'!$K990,"")</f>
        <v/>
      </c>
      <c r="AD970" s="17" t="str">
        <f>IF(ISNUMBER('Model_ of_individuals'!AD990), 'Model_ of_individuals'!AD990*'Model_ of_individuals'!$K990,"")</f>
        <v/>
      </c>
      <c r="AE970" s="17" t="str">
        <f>IF(ISNUMBER('Model_ of_individuals'!AE990), 'Model_ of_individuals'!AE990*'Model_ of_individuals'!$K990,"")</f>
        <v/>
      </c>
      <c r="AF970" s="17" t="str">
        <f>IF(ISNUMBER('Model_ of_individuals'!AF990), 'Model_ of_individuals'!AF990*'Model_ of_individuals'!$K990,"")</f>
        <v/>
      </c>
    </row>
    <row r="971" spans="1:33" ht="15.75" thickBot="1" x14ac:dyDescent="0.3">
      <c r="A971" s="518"/>
      <c r="B971" s="505"/>
      <c r="C971" s="111" t="str">
        <f>IF(AND(ISNUMBER(B932), OR('Cost Inputs'!$H$208&lt;&gt;"", 'Cost Inputs'!$I$208&lt;&gt;"", 'Cost Inputs'!$J$208&lt;&gt;"")), _6_6_2, "")</f>
        <v/>
      </c>
      <c r="D971" s="95" t="str">
        <f>IF(AND(C971&lt;&gt;"", 'Cost Inputs'!$G$208&lt;&gt;""), 'Cost Inputs'!$G$208, "")</f>
        <v/>
      </c>
      <c r="E971" s="95" t="str">
        <f>IF(AND(C971&lt;&gt;"", 'Cost Inputs'!$H$208&lt;&gt;""), 'Cost Inputs'!$H$208, "")</f>
        <v/>
      </c>
      <c r="F971" s="95" t="str">
        <f>IF(AND(C971&lt;&gt;"", 'Cost Inputs'!$I$208&lt;&gt;""), 'Cost Inputs'!$I$208, "")</f>
        <v/>
      </c>
      <c r="G971" s="112" t="str">
        <f t="shared" si="86"/>
        <v/>
      </c>
      <c r="H971" s="95" t="str">
        <f>IF(AND(C971&lt;&gt;"", 'Cost Inputs'!$J$208&lt;&gt;""), 'Cost Inputs'!$J$208, "")</f>
        <v/>
      </c>
      <c r="I971" s="95" t="str">
        <f>IF($C971&lt;&gt;"", IF(AND($E971&lt;&gt;"", H971&lt;&gt;""), H971/$E971, 0),"")</f>
        <v/>
      </c>
      <c r="J971" s="95" t="str">
        <f>IF(AND(C971&lt;&gt;"",('Cost Inputs'!$I$208+'Cost Inputs'!$J$208+'Cost Inputs'!$K$208)&gt;0), 'Cost Inputs'!$I$208+'Cost Inputs'!$J$208+'Cost Inputs'!$K$208, "")</f>
        <v/>
      </c>
      <c r="K971" s="95" t="str">
        <f>IF($C971&lt;&gt;"", IF(AND($E971&lt;&gt;"", J971&lt;&gt;""), J971/$E971, 0),"")</f>
        <v/>
      </c>
      <c r="L971" s="95"/>
      <c r="M971" s="113"/>
      <c r="W971" s="95" t="str">
        <f>IF(ISNUMBER('Model_ of_individuals'!W991), 'Model_ of_individuals'!W991*'Model_ of_individuals'!$K991,"")</f>
        <v/>
      </c>
      <c r="X971" s="95" t="str">
        <f>IF(ISNUMBER('Model_ of_individuals'!X991), 'Model_ of_individuals'!X991*'Model_ of_individuals'!$K991,"")</f>
        <v/>
      </c>
      <c r="Y971" s="95" t="str">
        <f>IF(ISNUMBER('Model_ of_individuals'!Y991), 'Model_ of_individuals'!Y991*'Model_ of_individuals'!$K991,"")</f>
        <v/>
      </c>
      <c r="Z971" s="95" t="str">
        <f>IF(ISNUMBER('Model_ of_individuals'!Z991), 'Model_ of_individuals'!Z991*'Model_ of_individuals'!$K991,"")</f>
        <v/>
      </c>
      <c r="AA971" s="95" t="str">
        <f>IF(ISNUMBER('Model_ of_individuals'!AA991), 'Model_ of_individuals'!AA991*'Model_ of_individuals'!$K991,"")</f>
        <v/>
      </c>
      <c r="AB971" s="95" t="str">
        <f>IF(ISNUMBER('Model_ of_individuals'!AB991), 'Model_ of_individuals'!AB991*'Model_ of_individuals'!$K991,"")</f>
        <v/>
      </c>
      <c r="AC971" s="95" t="str">
        <f>IF(ISNUMBER('Model_ of_individuals'!AC991), 'Model_ of_individuals'!AC991*'Model_ of_individuals'!$K991,"")</f>
        <v/>
      </c>
      <c r="AD971" s="95" t="str">
        <f>IF(ISNUMBER('Model_ of_individuals'!AD991), 'Model_ of_individuals'!AD991*'Model_ of_individuals'!$K991,"")</f>
        <v/>
      </c>
      <c r="AE971" s="95" t="str">
        <f>IF(ISNUMBER('Model_ of_individuals'!AE991), 'Model_ of_individuals'!AE991*'Model_ of_individuals'!$K991,"")</f>
        <v/>
      </c>
      <c r="AF971" s="95" t="str">
        <f>IF(ISNUMBER('Model_ of_individuals'!AF991), 'Model_ of_individuals'!AF991*'Model_ of_individuals'!$K991,"")</f>
        <v/>
      </c>
    </row>
    <row r="972" spans="1:33" x14ac:dyDescent="0.25">
      <c r="A972" s="518" t="str">
        <f>Sixth_Stage</f>
        <v>Stage 4 Grower Trials</v>
      </c>
      <c r="B972" s="503" t="str">
        <f>'Breeding Inputs'!B122</f>
        <v/>
      </c>
      <c r="C972" s="521" t="str">
        <f>IF(ISNUMBER(B954), _6_3_0, "")</f>
        <v/>
      </c>
      <c r="D972" s="94" t="str">
        <f>IF(AND(C972&lt;&gt;"", 'Cost Inputs'!$G$187&lt;&gt;""), 'Cost Inputs'!$G$187, "")</f>
        <v/>
      </c>
      <c r="E972" s="94" t="str">
        <f>IF(AND(C972&lt;&gt;"", 'Cost Inputs'!$H$187&lt;&gt;""), 'Cost Inputs'!$H$187, "")</f>
        <v/>
      </c>
      <c r="F972" s="492" t="str">
        <f>IF(AND(C972&lt;&gt;"", 'Cost Inputs'!$I$187&lt;&gt;""), 'Cost Inputs'!$I$187, "")</f>
        <v/>
      </c>
      <c r="G972" s="102" t="str">
        <f t="shared" si="86"/>
        <v/>
      </c>
      <c r="H972" s="492" t="str">
        <f>IF(AND(C972&lt;&gt;"", 'Cost Inputs'!$J$187&lt;&gt;""), 'Cost Inputs'!$J$187, "")</f>
        <v/>
      </c>
      <c r="I972" s="102" t="str">
        <f>IF($C972&lt;&gt;"",IF(AND($E972&lt;&gt;"",H972&lt;&gt;""), H972/$E972, 0),"")</f>
        <v/>
      </c>
      <c r="J972" s="492" t="str">
        <f>IF(AND(C972&lt;&gt;"",('Cost Inputs'!$I$187+'Cost Inputs'!$J$187+'Cost Inputs'!$K$187)&gt;0), 'Cost Inputs'!$I$187+'Cost Inputs'!$J$187+'Cost Inputs'!$K$187, "")</f>
        <v/>
      </c>
      <c r="K972" s="102" t="str">
        <f>IF($C972&lt;&gt;"",IF(AND($E972&lt;&gt;"",J972&lt;&gt;""), J972/$E972, 0),"")</f>
        <v/>
      </c>
      <c r="L972" s="94"/>
      <c r="M972" s="103"/>
      <c r="X972" s="492" t="str">
        <f>IF(ISNUMBER('Model_ of_individuals'!X992), 'Model_ of_individuals'!X992*'Model_ of_individuals'!$K992,"")</f>
        <v/>
      </c>
      <c r="Y972" s="492" t="str">
        <f>IF(ISNUMBER('Model_ of_individuals'!Y992), 'Model_ of_individuals'!Y992*'Model_ of_individuals'!$K992,"")</f>
        <v/>
      </c>
      <c r="Z972" s="492" t="str">
        <f>IF(ISNUMBER('Model_ of_individuals'!Z992), 'Model_ of_individuals'!Z992*'Model_ of_individuals'!$K992,"")</f>
        <v/>
      </c>
      <c r="AA972" s="492" t="str">
        <f>IF(ISNUMBER('Model_ of_individuals'!AA992), 'Model_ of_individuals'!AA992*'Model_ of_individuals'!$K992,"")</f>
        <v/>
      </c>
      <c r="AB972" s="492" t="str">
        <f>IF(ISNUMBER('Model_ of_individuals'!AB992), 'Model_ of_individuals'!AB992*'Model_ of_individuals'!$K992,"")</f>
        <v/>
      </c>
      <c r="AC972" s="492" t="str">
        <f>IF(ISNUMBER('Model_ of_individuals'!AC992), 'Model_ of_individuals'!AC992*'Model_ of_individuals'!$K992,"")</f>
        <v/>
      </c>
      <c r="AD972" s="492" t="str">
        <f>IF(ISNUMBER('Model_ of_individuals'!AD992), 'Model_ of_individuals'!AD992*'Model_ of_individuals'!$K992,"")</f>
        <v/>
      </c>
      <c r="AE972" s="492" t="str">
        <f>IF(ISNUMBER('Model_ of_individuals'!AE992), 'Model_ of_individuals'!AE992*'Model_ of_individuals'!$K992,"")</f>
        <v/>
      </c>
      <c r="AF972" s="492" t="str">
        <f>IF(ISNUMBER('Model_ of_individuals'!AF992), 'Model_ of_individuals'!AF992*'Model_ of_individuals'!$K992,"")</f>
        <v/>
      </c>
      <c r="AG972" s="492" t="str">
        <f>IF(ISNUMBER('Model_ of_individuals'!AG992), 'Model_ of_individuals'!AG992*'Model_ of_individuals'!$K992,"")</f>
        <v/>
      </c>
    </row>
    <row r="973" spans="1:33" x14ac:dyDescent="0.25">
      <c r="A973" s="518"/>
      <c r="B973" s="504"/>
      <c r="C973" s="521"/>
      <c r="D973" s="94" t="str">
        <f>IF(AND(C972&lt;&gt;"", 'Cost Inputs'!$G$188&lt;&gt;""), 'Cost Inputs'!$G$188, "")</f>
        <v/>
      </c>
      <c r="E973" s="94" t="str">
        <f>IF(AND(C972&lt;&gt;"", 'Cost Inputs'!$H$188&lt;&gt;""), 'Cost Inputs'!$H$188, "")</f>
        <v/>
      </c>
      <c r="F973" s="492"/>
      <c r="G973" s="102" t="str">
        <f t="shared" si="86"/>
        <v/>
      </c>
      <c r="H973" s="492"/>
      <c r="I973" s="102" t="str">
        <f>IF($C972&lt;&gt;"", IF(AND($E973&lt;&gt;"", H972&lt;&gt;""), H972/($E972*$E973), 0), "")</f>
        <v/>
      </c>
      <c r="J973" s="492" t="str">
        <f>IF(AND(C973&lt;&gt;"",('Cost Inputs'!$I$86+'Cost Inputs'!$J$86+'Cost Inputs'!$K$86)&gt;0), 'Cost Inputs'!$I$86+'Cost Inputs'!$J$86+'Cost Inputs'!$K$86, "")</f>
        <v/>
      </c>
      <c r="K973" s="102" t="str">
        <f>IF($C972&lt;&gt;"", IF(AND($E973&lt;&gt;"", J972&lt;&gt;""), J972/($E972*$E973), 0), "")</f>
        <v/>
      </c>
      <c r="L973" s="94"/>
      <c r="M973" s="103"/>
      <c r="X973" s="492" t="str">
        <f>IF(ISNUMBER('Model_ of_individuals'!X993), 'Model_ of_individuals'!X993*'Model_ of_individuals'!$K993,"")</f>
        <v/>
      </c>
      <c r="Y973" s="492" t="str">
        <f>IF(ISNUMBER('Model_ of_individuals'!Y993), 'Model_ of_individuals'!Y993*'Model_ of_individuals'!$K993,"")</f>
        <v/>
      </c>
      <c r="Z973" s="492" t="str">
        <f>IF(ISNUMBER('Model_ of_individuals'!Z993), 'Model_ of_individuals'!Z993*'Model_ of_individuals'!$K993,"")</f>
        <v/>
      </c>
      <c r="AA973" s="492" t="str">
        <f>IF(ISNUMBER('Model_ of_individuals'!AA993), 'Model_ of_individuals'!AA993*'Model_ of_individuals'!$K993,"")</f>
        <v/>
      </c>
      <c r="AB973" s="492" t="str">
        <f>IF(ISNUMBER('Model_ of_individuals'!AB993), 'Model_ of_individuals'!AB993*'Model_ of_individuals'!$K993,"")</f>
        <v/>
      </c>
      <c r="AC973" s="492" t="str">
        <f>IF(ISNUMBER('Model_ of_individuals'!AC993), 'Model_ of_individuals'!AC993*'Model_ of_individuals'!$K993,"")</f>
        <v/>
      </c>
      <c r="AD973" s="492" t="str">
        <f>IF(ISNUMBER('Model_ of_individuals'!AD993), 'Model_ of_individuals'!AD993*'Model_ of_individuals'!$K993,"")</f>
        <v/>
      </c>
      <c r="AE973" s="492" t="str">
        <f>IF(ISNUMBER('Model_ of_individuals'!AE993), 'Model_ of_individuals'!AE993*'Model_ of_individuals'!$K993,"")</f>
        <v/>
      </c>
      <c r="AF973" s="492" t="str">
        <f>IF(ISNUMBER('Model_ of_individuals'!AF993), 'Model_ of_individuals'!AF993*'Model_ of_individuals'!$K993,"")</f>
        <v/>
      </c>
      <c r="AG973" s="492" t="str">
        <f>IF(ISNUMBER('Model_ of_individuals'!AG993), 'Model_ of_individuals'!AG993*'Model_ of_individuals'!$K993,"")</f>
        <v/>
      </c>
    </row>
    <row r="974" spans="1:33" x14ac:dyDescent="0.25">
      <c r="A974" s="518"/>
      <c r="B974" s="504"/>
      <c r="C974" s="104" t="str">
        <f>IF(AND(ISNUMBER(B954), OR('Cost Inputs'!$H$189&lt;&gt;"", 'Cost Inputs'!$I$189&lt;&gt;"", 'Cost Inputs'!$J$189&lt;&gt;"")), _6_3_1, "")</f>
        <v/>
      </c>
      <c r="D974" s="17" t="str">
        <f>IF(AND(C974&lt;&gt;"", 'Cost Inputs'!$G$189&lt;&gt;""), 'Cost Inputs'!$G$189, "")</f>
        <v/>
      </c>
      <c r="E974" s="17" t="str">
        <f>IF(AND(C974&lt;&gt;"", 'Cost Inputs'!$H$189&lt;&gt;""), 'Cost Inputs'!$H$189, "")</f>
        <v/>
      </c>
      <c r="F974" s="17" t="str">
        <f>IF(AND(C974&lt;&gt;"", 'Cost Inputs'!$I$189&lt;&gt;""), 'Cost Inputs'!$I$189, "")</f>
        <v/>
      </c>
      <c r="G974" s="105" t="str">
        <f t="shared" si="86"/>
        <v/>
      </c>
      <c r="H974" s="17" t="str">
        <f>IF(AND(C974&lt;&gt;"", 'Cost Inputs'!$J$189&lt;&gt;""), 'Cost Inputs'!$J$189, "")</f>
        <v/>
      </c>
      <c r="I974" s="17" t="str">
        <f t="shared" ref="I974:I982" si="91">IF($C974&lt;&gt;"", IF(AND($E974&lt;&gt;"", H974&lt;&gt;""), H974/$E974, 0),"")</f>
        <v/>
      </c>
      <c r="J974" s="17" t="str">
        <f>IF(AND(C974&lt;&gt;"",('Cost Inputs'!$I$189+'Cost Inputs'!$J$189+'Cost Inputs'!$K$189)&gt;0), 'Cost Inputs'!$I$189+'Cost Inputs'!$J$189+'Cost Inputs'!$K$189, "")</f>
        <v/>
      </c>
      <c r="K974" s="17" t="str">
        <f t="shared" ref="K974:K982" si="92">IF($C974&lt;&gt;"", IF(AND($E974&lt;&gt;"", J974&lt;&gt;""), J974/$E974, 0),"")</f>
        <v/>
      </c>
      <c r="M974" s="106"/>
      <c r="X974" s="17" t="str">
        <f>IF(ISNUMBER('Model_ of_individuals'!X994), 'Model_ of_individuals'!X994*'Model_ of_individuals'!$K994,"")</f>
        <v/>
      </c>
      <c r="Y974" s="17" t="str">
        <f>IF(ISNUMBER('Model_ of_individuals'!Y994), 'Model_ of_individuals'!Y994*'Model_ of_individuals'!$K994,"")</f>
        <v/>
      </c>
      <c r="Z974" s="17" t="str">
        <f>IF(ISNUMBER('Model_ of_individuals'!Z994), 'Model_ of_individuals'!Z994*'Model_ of_individuals'!$K994,"")</f>
        <v/>
      </c>
      <c r="AA974" s="17" t="str">
        <f>IF(ISNUMBER('Model_ of_individuals'!AA994), 'Model_ of_individuals'!AA994*'Model_ of_individuals'!$K994,"")</f>
        <v/>
      </c>
      <c r="AB974" s="17" t="str">
        <f>IF(ISNUMBER('Model_ of_individuals'!AB994), 'Model_ of_individuals'!AB994*'Model_ of_individuals'!$K994,"")</f>
        <v/>
      </c>
      <c r="AC974" s="17" t="str">
        <f>IF(ISNUMBER('Model_ of_individuals'!AC994), 'Model_ of_individuals'!AC994*'Model_ of_individuals'!$K994,"")</f>
        <v/>
      </c>
      <c r="AD974" s="17" t="str">
        <f>IF(ISNUMBER('Model_ of_individuals'!AD994), 'Model_ of_individuals'!AD994*'Model_ of_individuals'!$K994,"")</f>
        <v/>
      </c>
      <c r="AE974" s="17" t="str">
        <f>IF(ISNUMBER('Model_ of_individuals'!AE994), 'Model_ of_individuals'!AE994*'Model_ of_individuals'!$K994,"")</f>
        <v/>
      </c>
      <c r="AF974" s="17" t="str">
        <f>IF(ISNUMBER('Model_ of_individuals'!AF994), 'Model_ of_individuals'!AF994*'Model_ of_individuals'!$K994,"")</f>
        <v/>
      </c>
      <c r="AG974" s="17" t="str">
        <f>IF(ISNUMBER('Model_ of_individuals'!AG994), 'Model_ of_individuals'!AG994*'Model_ of_individuals'!$K994,"")</f>
        <v/>
      </c>
    </row>
    <row r="975" spans="1:33" x14ac:dyDescent="0.25">
      <c r="A975" s="518"/>
      <c r="B975" s="504"/>
      <c r="C975" s="107" t="str">
        <f>IF(AND(ISNUMBER(B954), OR('Cost Inputs'!$H$190&lt;&gt;"", 'Cost Inputs'!$I$190&lt;&gt;"", 'Cost Inputs'!$J$190&lt;&gt;"")), _6_3_2, "")</f>
        <v/>
      </c>
      <c r="D975" s="93" t="str">
        <f>IF(AND(C975&lt;&gt;"", 'Cost Inputs'!$G$190&lt;&gt;""), 'Cost Inputs'!$G$190, "")</f>
        <v/>
      </c>
      <c r="E975" s="93" t="str">
        <f>IF(AND(C975&lt;&gt;"", 'Cost Inputs'!$H$190&lt;&gt;""), 'Cost Inputs'!$H$190, "")</f>
        <v/>
      </c>
      <c r="F975" s="93" t="str">
        <f>IF(AND(C975&lt;&gt;"", 'Cost Inputs'!$I$190&lt;&gt;""), 'Cost Inputs'!$I$190, "")</f>
        <v/>
      </c>
      <c r="G975" s="108" t="str">
        <f t="shared" ref="G975:G993" si="93">IF(AND($E975&lt;&gt;"", $E975&gt;0, F975&lt;&gt;""), F975/$E975, "")</f>
        <v/>
      </c>
      <c r="H975" s="93" t="str">
        <f>IF(AND(C975&lt;&gt;"", 'Cost Inputs'!$J$190&lt;&gt;""), 'Cost Inputs'!$J$190, "")</f>
        <v/>
      </c>
      <c r="I975" s="93" t="str">
        <f t="shared" si="91"/>
        <v/>
      </c>
      <c r="J975" s="93" t="str">
        <f>IF(AND(C975&lt;&gt;"",('Cost Inputs'!$I$190+'Cost Inputs'!$J$190+'Cost Inputs'!$K$190)&gt;0), 'Cost Inputs'!$I$190+'Cost Inputs'!$J$190+'Cost Inputs'!$K$190, "")</f>
        <v/>
      </c>
      <c r="K975" s="93" t="str">
        <f t="shared" si="92"/>
        <v/>
      </c>
      <c r="L975" s="93"/>
      <c r="M975" s="109"/>
      <c r="X975" s="93" t="str">
        <f>IF(ISNUMBER('Model_ of_individuals'!X995), 'Model_ of_individuals'!X995*'Model_ of_individuals'!$K995,"")</f>
        <v/>
      </c>
      <c r="Y975" s="93" t="str">
        <f>IF(ISNUMBER('Model_ of_individuals'!Y995), 'Model_ of_individuals'!Y995*'Model_ of_individuals'!$K995,"")</f>
        <v/>
      </c>
      <c r="Z975" s="93" t="str">
        <f>IF(ISNUMBER('Model_ of_individuals'!Z995), 'Model_ of_individuals'!Z995*'Model_ of_individuals'!$K995,"")</f>
        <v/>
      </c>
      <c r="AA975" s="93" t="str">
        <f>IF(ISNUMBER('Model_ of_individuals'!AA995), 'Model_ of_individuals'!AA995*'Model_ of_individuals'!$K995,"")</f>
        <v/>
      </c>
      <c r="AB975" s="93" t="str">
        <f>IF(ISNUMBER('Model_ of_individuals'!AB995), 'Model_ of_individuals'!AB995*'Model_ of_individuals'!$K995,"")</f>
        <v/>
      </c>
      <c r="AC975" s="93" t="str">
        <f>IF(ISNUMBER('Model_ of_individuals'!AC995), 'Model_ of_individuals'!AC995*'Model_ of_individuals'!$K995,"")</f>
        <v/>
      </c>
      <c r="AD975" s="93" t="str">
        <f>IF(ISNUMBER('Model_ of_individuals'!AD995), 'Model_ of_individuals'!AD995*'Model_ of_individuals'!$K995,"")</f>
        <v/>
      </c>
      <c r="AE975" s="93" t="str">
        <f>IF(ISNUMBER('Model_ of_individuals'!AE995), 'Model_ of_individuals'!AE995*'Model_ of_individuals'!$K995,"")</f>
        <v/>
      </c>
      <c r="AF975" s="93" t="str">
        <f>IF(ISNUMBER('Model_ of_individuals'!AF995), 'Model_ of_individuals'!AF995*'Model_ of_individuals'!$K995,"")</f>
        <v/>
      </c>
      <c r="AG975" s="93" t="str">
        <f>IF(ISNUMBER('Model_ of_individuals'!AG995), 'Model_ of_individuals'!AG995*'Model_ of_individuals'!$K995,"")</f>
        <v/>
      </c>
    </row>
    <row r="976" spans="1:33" x14ac:dyDescent="0.25">
      <c r="A976" s="518"/>
      <c r="B976" s="504"/>
      <c r="C976" s="110" t="str">
        <f>IF(ISNUMBER(B954), _6_4_0, "")</f>
        <v/>
      </c>
      <c r="D976" s="94" t="str">
        <f>IF(AND(C976&lt;&gt;"", 'Cost Inputs'!$G$191&lt;&gt;""), 'Cost Inputs'!$G$191, "")</f>
        <v/>
      </c>
      <c r="E976" s="94" t="str">
        <f>IF(AND(C976&lt;&gt;"", 'Cost Inputs'!$H$191&lt;&gt;""), 'Cost Inputs'!$H$191, "")</f>
        <v/>
      </c>
      <c r="F976" s="94" t="str">
        <f>IF(AND(C976&lt;&gt;"", 'Cost Inputs'!$I$191&lt;&gt;""), 'Cost Inputs'!$I$191, "")</f>
        <v/>
      </c>
      <c r="G976" s="102" t="str">
        <f t="shared" si="93"/>
        <v/>
      </c>
      <c r="H976" s="102" t="str">
        <f>IF(AND(C976&lt;&gt;"", 'Cost Inputs'!$J$191&lt;&gt;""), 'Cost Inputs'!$J$191, "")</f>
        <v/>
      </c>
      <c r="I976" s="102" t="str">
        <f t="shared" si="91"/>
        <v/>
      </c>
      <c r="J976" s="102" t="str">
        <f>IF(AND(C976&lt;&gt;"",('Cost Inputs'!$I$191+'Cost Inputs'!$J$191+'Cost Inputs'!$K$191)&gt;0), 'Cost Inputs'!$I$191+'Cost Inputs'!$J$191+'Cost Inputs'!$K$191, "")</f>
        <v/>
      </c>
      <c r="K976" s="102" t="str">
        <f t="shared" si="92"/>
        <v/>
      </c>
      <c r="L976" s="94"/>
      <c r="M976" s="103"/>
      <c r="X976" s="102" t="str">
        <f>IF(ISNUMBER('Model_ of_individuals'!X996), 'Model_ of_individuals'!X996*'Model_ of_individuals'!$K996,"")</f>
        <v/>
      </c>
      <c r="Y976" s="102" t="str">
        <f>IF(ISNUMBER('Model_ of_individuals'!Y996), 'Model_ of_individuals'!Y996*'Model_ of_individuals'!$K996,"")</f>
        <v/>
      </c>
      <c r="Z976" s="102" t="str">
        <f>IF(ISNUMBER('Model_ of_individuals'!Z996), 'Model_ of_individuals'!Z996*'Model_ of_individuals'!$K996,"")</f>
        <v/>
      </c>
      <c r="AA976" s="102" t="str">
        <f>IF(ISNUMBER('Model_ of_individuals'!AA996), 'Model_ of_individuals'!AA996*'Model_ of_individuals'!$K996,"")</f>
        <v/>
      </c>
      <c r="AB976" s="102" t="str">
        <f>IF(ISNUMBER('Model_ of_individuals'!AB996), 'Model_ of_individuals'!AB996*'Model_ of_individuals'!$K996,"")</f>
        <v/>
      </c>
      <c r="AC976" s="102" t="str">
        <f>IF(ISNUMBER('Model_ of_individuals'!AC996), 'Model_ of_individuals'!AC996*'Model_ of_individuals'!$K996,"")</f>
        <v/>
      </c>
      <c r="AD976" s="102" t="str">
        <f>IF(ISNUMBER('Model_ of_individuals'!AD996), 'Model_ of_individuals'!AD996*'Model_ of_individuals'!$K996,"")</f>
        <v/>
      </c>
      <c r="AE976" s="102" t="str">
        <f>IF(ISNUMBER('Model_ of_individuals'!AE996), 'Model_ of_individuals'!AE996*'Model_ of_individuals'!$K996,"")</f>
        <v/>
      </c>
      <c r="AF976" s="102" t="str">
        <f>IF(ISNUMBER('Model_ of_individuals'!AF996), 'Model_ of_individuals'!AF996*'Model_ of_individuals'!$K996,"")</f>
        <v/>
      </c>
      <c r="AG976" s="102" t="str">
        <f>IF(ISNUMBER('Model_ of_individuals'!AG996), 'Model_ of_individuals'!AG996*'Model_ of_individuals'!$K996,"")</f>
        <v/>
      </c>
    </row>
    <row r="977" spans="1:33" x14ac:dyDescent="0.25">
      <c r="A977" s="518"/>
      <c r="B977" s="504"/>
      <c r="C977" s="104" t="str">
        <f>IF(AND(ISNUMBER(B954), OR('Cost Inputs'!$H$192&lt;&gt;"", 'Cost Inputs'!$I$192&lt;&gt;"", 'Cost Inputs'!$J$192&lt;&gt;"")), _6_4_1, "")</f>
        <v/>
      </c>
      <c r="D977" s="17" t="str">
        <f>IF(AND(C977&lt;&gt;"", 'Cost Inputs'!$G$192&lt;&gt;""), 'Cost Inputs'!$G$192, "")</f>
        <v/>
      </c>
      <c r="E977" s="17" t="str">
        <f>IF(AND(C977&lt;&gt;"", 'Cost Inputs'!$H$192&lt;&gt;""), 'Cost Inputs'!$H$192, "")</f>
        <v/>
      </c>
      <c r="F977" s="17" t="str">
        <f>IF(AND(C977&lt;&gt;"", 'Cost Inputs'!$I$192&lt;&gt;""), 'Cost Inputs'!$I$192, "")</f>
        <v/>
      </c>
      <c r="G977" s="105" t="str">
        <f t="shared" si="93"/>
        <v/>
      </c>
      <c r="H977" s="17" t="str">
        <f>IF(AND(C977&lt;&gt;"", 'Cost Inputs'!$J$192&lt;&gt;""), 'Cost Inputs'!$J$192, "")</f>
        <v/>
      </c>
      <c r="I977" s="17" t="str">
        <f t="shared" si="91"/>
        <v/>
      </c>
      <c r="J977" s="17" t="str">
        <f>IF(AND(C977&lt;&gt;"",('Cost Inputs'!$I$192+'Cost Inputs'!$J$192+'Cost Inputs'!$K$192)&gt;0), 'Cost Inputs'!$I$192+'Cost Inputs'!$J$192+'Cost Inputs'!$K$192, "")</f>
        <v/>
      </c>
      <c r="K977" s="17" t="str">
        <f t="shared" si="92"/>
        <v/>
      </c>
      <c r="M977" s="106"/>
      <c r="X977" s="17" t="str">
        <f>IF(ISNUMBER('Model_ of_individuals'!X997), 'Model_ of_individuals'!X997*'Model_ of_individuals'!$K997,"")</f>
        <v/>
      </c>
      <c r="Y977" s="17" t="str">
        <f>IF(ISNUMBER('Model_ of_individuals'!Y997), 'Model_ of_individuals'!Y997*'Model_ of_individuals'!$K997,"")</f>
        <v/>
      </c>
      <c r="Z977" s="17" t="str">
        <f>IF(ISNUMBER('Model_ of_individuals'!Z997), 'Model_ of_individuals'!Z997*'Model_ of_individuals'!$K997,"")</f>
        <v/>
      </c>
      <c r="AA977" s="17" t="str">
        <f>IF(ISNUMBER('Model_ of_individuals'!AA997), 'Model_ of_individuals'!AA997*'Model_ of_individuals'!$K997,"")</f>
        <v/>
      </c>
      <c r="AB977" s="17" t="str">
        <f>IF(ISNUMBER('Model_ of_individuals'!AB997), 'Model_ of_individuals'!AB997*'Model_ of_individuals'!$K997,"")</f>
        <v/>
      </c>
      <c r="AC977" s="17" t="str">
        <f>IF(ISNUMBER('Model_ of_individuals'!AC997), 'Model_ of_individuals'!AC997*'Model_ of_individuals'!$K997,"")</f>
        <v/>
      </c>
      <c r="AD977" s="17" t="str">
        <f>IF(ISNUMBER('Model_ of_individuals'!AD997), 'Model_ of_individuals'!AD997*'Model_ of_individuals'!$K997,"")</f>
        <v/>
      </c>
      <c r="AE977" s="17" t="str">
        <f>IF(ISNUMBER('Model_ of_individuals'!AE997), 'Model_ of_individuals'!AE997*'Model_ of_individuals'!$K997,"")</f>
        <v/>
      </c>
      <c r="AF977" s="17" t="str">
        <f>IF(ISNUMBER('Model_ of_individuals'!AF997), 'Model_ of_individuals'!AF997*'Model_ of_individuals'!$K997,"")</f>
        <v/>
      </c>
      <c r="AG977" s="17" t="str">
        <f>IF(ISNUMBER('Model_ of_individuals'!AG997), 'Model_ of_individuals'!AG997*'Model_ of_individuals'!$K997,"")</f>
        <v/>
      </c>
    </row>
    <row r="978" spans="1:33" x14ac:dyDescent="0.25">
      <c r="A978" s="518"/>
      <c r="B978" s="504"/>
      <c r="C978" s="107" t="str">
        <f>IF(AND(ISNUMBER(B954), OR('Cost Inputs'!$H$193&lt;&gt;"", 'Cost Inputs'!$I$193&lt;&gt;"", 'Cost Inputs'!$J$193&lt;&gt;"")), _6_4_2, "")</f>
        <v/>
      </c>
      <c r="D978" s="93" t="str">
        <f>IF(AND(C978&lt;&gt;"", 'Cost Inputs'!$G$193&lt;&gt;""), 'Cost Inputs'!$G$193, "")</f>
        <v/>
      </c>
      <c r="E978" s="93" t="str">
        <f>IF(AND(C978&lt;&gt;"", 'Cost Inputs'!$H$193&lt;&gt;""), 'Cost Inputs'!$H$193, "")</f>
        <v/>
      </c>
      <c r="F978" s="93" t="str">
        <f>IF(AND(C978&lt;&gt;"", 'Cost Inputs'!$I$193&lt;&gt;""), 'Cost Inputs'!$I$193, "")</f>
        <v/>
      </c>
      <c r="G978" s="108" t="str">
        <f t="shared" si="93"/>
        <v/>
      </c>
      <c r="H978" s="93" t="str">
        <f>IF(AND(C978&lt;&gt;"", 'Cost Inputs'!$J$193&lt;&gt;""), 'Cost Inputs'!$J$193, "")</f>
        <v/>
      </c>
      <c r="I978" s="93" t="str">
        <f t="shared" si="91"/>
        <v/>
      </c>
      <c r="J978" s="93" t="str">
        <f>IF(AND(C978&lt;&gt;"",('Cost Inputs'!$I$152+'Cost Inputs'!$J$152+'Cost Inputs'!$K$152)&gt;0), 'Cost Inputs'!$I$152+'Cost Inputs'!$J$152+'Cost Inputs'!$K$152, "")</f>
        <v/>
      </c>
      <c r="K978" s="93" t="str">
        <f t="shared" si="92"/>
        <v/>
      </c>
      <c r="L978" s="93"/>
      <c r="M978" s="109"/>
      <c r="X978" s="93" t="str">
        <f>IF(ISNUMBER('Model_ of_individuals'!X998), 'Model_ of_individuals'!X998*'Model_ of_individuals'!$K998,"")</f>
        <v/>
      </c>
      <c r="Y978" s="93" t="str">
        <f>IF(ISNUMBER('Model_ of_individuals'!Y998), 'Model_ of_individuals'!Y998*'Model_ of_individuals'!$K998,"")</f>
        <v/>
      </c>
      <c r="Z978" s="93" t="str">
        <f>IF(ISNUMBER('Model_ of_individuals'!Z998), 'Model_ of_individuals'!Z998*'Model_ of_individuals'!$K998,"")</f>
        <v/>
      </c>
      <c r="AA978" s="93" t="str">
        <f>IF(ISNUMBER('Model_ of_individuals'!AA998), 'Model_ of_individuals'!AA998*'Model_ of_individuals'!$K998,"")</f>
        <v/>
      </c>
      <c r="AB978" s="93" t="str">
        <f>IF(ISNUMBER('Model_ of_individuals'!AB998), 'Model_ of_individuals'!AB998*'Model_ of_individuals'!$K998,"")</f>
        <v/>
      </c>
      <c r="AC978" s="93" t="str">
        <f>IF(ISNUMBER('Model_ of_individuals'!AC998), 'Model_ of_individuals'!AC998*'Model_ of_individuals'!$K998,"")</f>
        <v/>
      </c>
      <c r="AD978" s="93" t="str">
        <f>IF(ISNUMBER('Model_ of_individuals'!AD998), 'Model_ of_individuals'!AD998*'Model_ of_individuals'!$K998,"")</f>
        <v/>
      </c>
      <c r="AE978" s="93" t="str">
        <f>IF(ISNUMBER('Model_ of_individuals'!AE998), 'Model_ of_individuals'!AE998*'Model_ of_individuals'!$K998,"")</f>
        <v/>
      </c>
      <c r="AF978" s="93" t="str">
        <f>IF(ISNUMBER('Model_ of_individuals'!AF998), 'Model_ of_individuals'!AF998*'Model_ of_individuals'!$K998,"")</f>
        <v/>
      </c>
      <c r="AG978" s="93" t="str">
        <f>IF(ISNUMBER('Model_ of_individuals'!AG998), 'Model_ of_individuals'!AG998*'Model_ of_individuals'!$K998,"")</f>
        <v/>
      </c>
    </row>
    <row r="979" spans="1:33" x14ac:dyDescent="0.25">
      <c r="A979" s="518"/>
      <c r="B979" s="504"/>
      <c r="C979" s="104" t="str">
        <f>IF(AND(ISNUMBER(B954), OR('Cost Inputs'!$H$194&lt;&gt;"", 'Cost Inputs'!$I$194&lt;&gt;"", 'Cost Inputs'!$J$194&lt;&gt;"")), _6_4_3, "")</f>
        <v/>
      </c>
      <c r="D979" s="17" t="str">
        <f>IF(AND(C979&lt;&gt;"", 'Cost Inputs'!$G$194&lt;&gt;""), 'Cost Inputs'!$G$194, "")</f>
        <v/>
      </c>
      <c r="E979" s="17" t="str">
        <f>IF(AND(C979&lt;&gt;"", 'Cost Inputs'!$H$194&lt;&gt;""), 'Cost Inputs'!$H$194, "")</f>
        <v/>
      </c>
      <c r="F979" s="17" t="str">
        <f>IF(AND(C979&lt;&gt;"", 'Cost Inputs'!$I$194&lt;&gt;""), 'Cost Inputs'!$I$194, "")</f>
        <v/>
      </c>
      <c r="G979" s="105" t="str">
        <f t="shared" si="93"/>
        <v/>
      </c>
      <c r="H979" s="17" t="str">
        <f>IF(AND(C979&lt;&gt;"", 'Cost Inputs'!$J$194&lt;&gt;""), 'Cost Inputs'!$J$194, "")</f>
        <v/>
      </c>
      <c r="I979" s="17" t="str">
        <f t="shared" si="91"/>
        <v/>
      </c>
      <c r="J979" s="17" t="str">
        <f>IF(AND(C979&lt;&gt;"",('Cost Inputs'!$I$194+'Cost Inputs'!$J$194+'Cost Inputs'!$K$194)&gt;0), 'Cost Inputs'!$I$194+'Cost Inputs'!$J$194+'Cost Inputs'!$K$194, "")</f>
        <v/>
      </c>
      <c r="K979" s="17" t="str">
        <f t="shared" si="92"/>
        <v/>
      </c>
      <c r="M979" s="106"/>
      <c r="X979" s="17" t="str">
        <f>IF(ISNUMBER('Model_ of_individuals'!X999), 'Model_ of_individuals'!X999*'Model_ of_individuals'!$K999,"")</f>
        <v/>
      </c>
      <c r="Y979" s="17" t="str">
        <f>IF(ISNUMBER('Model_ of_individuals'!Y999), 'Model_ of_individuals'!Y999*'Model_ of_individuals'!$K999,"")</f>
        <v/>
      </c>
      <c r="Z979" s="17" t="str">
        <f>IF(ISNUMBER('Model_ of_individuals'!Z999), 'Model_ of_individuals'!Z999*'Model_ of_individuals'!$K999,"")</f>
        <v/>
      </c>
      <c r="AA979" s="17" t="str">
        <f>IF(ISNUMBER('Model_ of_individuals'!AA999), 'Model_ of_individuals'!AA999*'Model_ of_individuals'!$K999,"")</f>
        <v/>
      </c>
      <c r="AB979" s="17" t="str">
        <f>IF(ISNUMBER('Model_ of_individuals'!AB999), 'Model_ of_individuals'!AB999*'Model_ of_individuals'!$K999,"")</f>
        <v/>
      </c>
      <c r="AC979" s="17" t="str">
        <f>IF(ISNUMBER('Model_ of_individuals'!AC999), 'Model_ of_individuals'!AC999*'Model_ of_individuals'!$K999,"")</f>
        <v/>
      </c>
      <c r="AD979" s="17" t="str">
        <f>IF(ISNUMBER('Model_ of_individuals'!AD999), 'Model_ of_individuals'!AD999*'Model_ of_individuals'!$K999,"")</f>
        <v/>
      </c>
      <c r="AE979" s="17" t="str">
        <f>IF(ISNUMBER('Model_ of_individuals'!AE999), 'Model_ of_individuals'!AE999*'Model_ of_individuals'!$K999,"")</f>
        <v/>
      </c>
      <c r="AF979" s="17" t="str">
        <f>IF(ISNUMBER('Model_ of_individuals'!AF999), 'Model_ of_individuals'!AF999*'Model_ of_individuals'!$K999,"")</f>
        <v/>
      </c>
      <c r="AG979" s="17" t="str">
        <f>IF(ISNUMBER('Model_ of_individuals'!AG999), 'Model_ of_individuals'!AG999*'Model_ of_individuals'!$K999,"")</f>
        <v/>
      </c>
    </row>
    <row r="980" spans="1:33" x14ac:dyDescent="0.25">
      <c r="A980" s="518"/>
      <c r="B980" s="504"/>
      <c r="C980" s="107" t="str">
        <f>IF(AND(ISNUMBER(B954), OR('Cost Inputs'!$H$195&lt;&gt;"", 'Cost Inputs'!$I$195&lt;&gt;"", 'Cost Inputs'!$J$195&lt;&gt;"")), _6_4_4, "")</f>
        <v/>
      </c>
      <c r="D980" s="93" t="str">
        <f>IF(AND(C980&lt;&gt;"", 'Cost Inputs'!$G$195&lt;&gt;""), 'Cost Inputs'!$G$195, "")</f>
        <v/>
      </c>
      <c r="E980" s="93" t="str">
        <f>IF(AND(C980&lt;&gt;"", 'Cost Inputs'!$H$195&lt;&gt;""), 'Cost Inputs'!$H$195, "")</f>
        <v/>
      </c>
      <c r="F980" s="93" t="str">
        <f>IF(AND(C980&lt;&gt;"", 'Cost Inputs'!$I$195&lt;&gt;""), 'Cost Inputs'!$I$195, "")</f>
        <v/>
      </c>
      <c r="G980" s="108" t="str">
        <f t="shared" si="93"/>
        <v/>
      </c>
      <c r="H980" s="93" t="str">
        <f>IF(AND(C980&lt;&gt;"", 'Cost Inputs'!$J$195&lt;&gt;""), 'Cost Inputs'!$J$195, "")</f>
        <v/>
      </c>
      <c r="I980" s="93" t="str">
        <f t="shared" si="91"/>
        <v/>
      </c>
      <c r="J980" s="93" t="str">
        <f>IF(AND(C980&lt;&gt;"",('Cost Inputs'!$I$195+'Cost Inputs'!$J$195+'Cost Inputs'!$K$195)&gt;0), 'Cost Inputs'!$I$195+'Cost Inputs'!$J$195+'Cost Inputs'!$K$195, "")</f>
        <v/>
      </c>
      <c r="K980" s="93" t="str">
        <f t="shared" si="92"/>
        <v/>
      </c>
      <c r="L980" s="93"/>
      <c r="M980" s="109"/>
      <c r="X980" s="93" t="str">
        <f>IF(ISNUMBER('Model_ of_individuals'!X1000), 'Model_ of_individuals'!X1000*'Model_ of_individuals'!$K1000,"")</f>
        <v/>
      </c>
      <c r="Y980" s="93" t="str">
        <f>IF(ISNUMBER('Model_ of_individuals'!Y1000), 'Model_ of_individuals'!Y1000*'Model_ of_individuals'!$K1000,"")</f>
        <v/>
      </c>
      <c r="Z980" s="93" t="str">
        <f>IF(ISNUMBER('Model_ of_individuals'!Z1000), 'Model_ of_individuals'!Z1000*'Model_ of_individuals'!$K1000,"")</f>
        <v/>
      </c>
      <c r="AA980" s="93" t="str">
        <f>IF(ISNUMBER('Model_ of_individuals'!AA1000), 'Model_ of_individuals'!AA1000*'Model_ of_individuals'!$K1000,"")</f>
        <v/>
      </c>
      <c r="AB980" s="93" t="str">
        <f>IF(ISNUMBER('Model_ of_individuals'!AB1000), 'Model_ of_individuals'!AB1000*'Model_ of_individuals'!$K1000,"")</f>
        <v/>
      </c>
      <c r="AC980" s="93" t="str">
        <f>IF(ISNUMBER('Model_ of_individuals'!AC1000), 'Model_ of_individuals'!AC1000*'Model_ of_individuals'!$K1000,"")</f>
        <v/>
      </c>
      <c r="AD980" s="93" t="str">
        <f>IF(ISNUMBER('Model_ of_individuals'!AD1000), 'Model_ of_individuals'!AD1000*'Model_ of_individuals'!$K1000,"")</f>
        <v/>
      </c>
      <c r="AE980" s="93" t="str">
        <f>IF(ISNUMBER('Model_ of_individuals'!AE1000), 'Model_ of_individuals'!AE1000*'Model_ of_individuals'!$K1000,"")</f>
        <v/>
      </c>
      <c r="AF980" s="93" t="str">
        <f>IF(ISNUMBER('Model_ of_individuals'!AF1000), 'Model_ of_individuals'!AF1000*'Model_ of_individuals'!$K1000,"")</f>
        <v/>
      </c>
      <c r="AG980" s="93" t="str">
        <f>IF(ISNUMBER('Model_ of_individuals'!AG1000), 'Model_ of_individuals'!AG1000*'Model_ of_individuals'!$K1000,"")</f>
        <v/>
      </c>
    </row>
    <row r="981" spans="1:33" x14ac:dyDescent="0.25">
      <c r="A981" s="518"/>
      <c r="B981" s="504"/>
      <c r="C981" s="104" t="str">
        <f>IF(AND(ISNUMBER(B954), OR('Cost Inputs'!$H$196&lt;&gt;"", 'Cost Inputs'!$I$196&lt;&gt;"", 'Cost Inputs'!$J$196&lt;&gt;"")), _6_4_5, "")</f>
        <v/>
      </c>
      <c r="D981" s="17" t="str">
        <f>IF(AND(C981&lt;&gt;"", 'Cost Inputs'!$G$196&lt;&gt;""), 'Cost Inputs'!$G$196, "")</f>
        <v/>
      </c>
      <c r="E981" s="17" t="str">
        <f>IF(AND(C981&lt;&gt;"", 'Cost Inputs'!$H$196&lt;&gt;""), 'Cost Inputs'!$H$196, "")</f>
        <v/>
      </c>
      <c r="F981" s="17" t="str">
        <f>IF(AND(C981&lt;&gt;"", 'Cost Inputs'!$I$196&lt;&gt;""), 'Cost Inputs'!$I$196, "")</f>
        <v/>
      </c>
      <c r="G981" s="105" t="str">
        <f t="shared" si="93"/>
        <v/>
      </c>
      <c r="H981" s="17" t="str">
        <f>IF(AND(C981&lt;&gt;"", 'Cost Inputs'!$J$196&lt;&gt;""), 'Cost Inputs'!$J$196, "")</f>
        <v/>
      </c>
      <c r="I981" s="17" t="str">
        <f t="shared" si="91"/>
        <v/>
      </c>
      <c r="J981" s="17" t="str">
        <f>IF(AND(C981&lt;&gt;"",('Cost Inputs'!$I$196+'Cost Inputs'!$J$196+'Cost Inputs'!$K$196)&gt;0), 'Cost Inputs'!$I$196+'Cost Inputs'!$J$196+'Cost Inputs'!$K$196, "")</f>
        <v/>
      </c>
      <c r="K981" s="17" t="str">
        <f t="shared" si="92"/>
        <v/>
      </c>
      <c r="M981" s="106"/>
      <c r="X981" s="17" t="str">
        <f>IF(ISNUMBER('Model_ of_individuals'!X1001), 'Model_ of_individuals'!X1001*'Model_ of_individuals'!$K1001,"")</f>
        <v/>
      </c>
      <c r="Y981" s="17" t="str">
        <f>IF(ISNUMBER('Model_ of_individuals'!Y1001), 'Model_ of_individuals'!Y1001*'Model_ of_individuals'!$K1001,"")</f>
        <v/>
      </c>
      <c r="Z981" s="17" t="str">
        <f>IF(ISNUMBER('Model_ of_individuals'!Z1001), 'Model_ of_individuals'!Z1001*'Model_ of_individuals'!$K1001,"")</f>
        <v/>
      </c>
      <c r="AA981" s="17" t="str">
        <f>IF(ISNUMBER('Model_ of_individuals'!AA1001), 'Model_ of_individuals'!AA1001*'Model_ of_individuals'!$K1001,"")</f>
        <v/>
      </c>
      <c r="AB981" s="17" t="str">
        <f>IF(ISNUMBER('Model_ of_individuals'!AB1001), 'Model_ of_individuals'!AB1001*'Model_ of_individuals'!$K1001,"")</f>
        <v/>
      </c>
      <c r="AC981" s="17" t="str">
        <f>IF(ISNUMBER('Model_ of_individuals'!AC1001), 'Model_ of_individuals'!AC1001*'Model_ of_individuals'!$K1001,"")</f>
        <v/>
      </c>
      <c r="AD981" s="17" t="str">
        <f>IF(ISNUMBER('Model_ of_individuals'!AD1001), 'Model_ of_individuals'!AD1001*'Model_ of_individuals'!$K1001,"")</f>
        <v/>
      </c>
      <c r="AE981" s="17" t="str">
        <f>IF(ISNUMBER('Model_ of_individuals'!AE1001), 'Model_ of_individuals'!AE1001*'Model_ of_individuals'!$K1001,"")</f>
        <v/>
      </c>
      <c r="AF981" s="17" t="str">
        <f>IF(ISNUMBER('Model_ of_individuals'!AF1001), 'Model_ of_individuals'!AF1001*'Model_ of_individuals'!$K1001,"")</f>
        <v/>
      </c>
      <c r="AG981" s="17" t="str">
        <f>IF(ISNUMBER('Model_ of_individuals'!AG1001), 'Model_ of_individuals'!AG1001*'Model_ of_individuals'!$K1001,"")</f>
        <v/>
      </c>
    </row>
    <row r="982" spans="1:33" x14ac:dyDescent="0.25">
      <c r="A982" s="518"/>
      <c r="B982" s="504"/>
      <c r="C982" s="107" t="str">
        <f>IF(AND(ISNUMBER(B954), OR('Cost Inputs'!$H$197&lt;&gt;"", 'Cost Inputs'!$I$197&lt;&gt;"", 'Cost Inputs'!$J$197&lt;&gt;"")), _6_4_6, "")</f>
        <v/>
      </c>
      <c r="D982" s="93" t="str">
        <f>IF(AND(C982&lt;&gt;"", 'Cost Inputs'!$G$197&lt;&gt;""), 'Cost Inputs'!$G$197, "")</f>
        <v/>
      </c>
      <c r="E982" s="93" t="str">
        <f>IF(AND(C982&lt;&gt;"", 'Cost Inputs'!$H$197&lt;&gt;""), 'Cost Inputs'!$H$197, "")</f>
        <v/>
      </c>
      <c r="F982" s="93" t="str">
        <f>IF(AND(C982&lt;&gt;"", 'Cost Inputs'!$I$197&lt;&gt;""), 'Cost Inputs'!$I$197, "")</f>
        <v/>
      </c>
      <c r="G982" s="108" t="str">
        <f t="shared" si="93"/>
        <v/>
      </c>
      <c r="H982" s="93" t="str">
        <f>IF(AND(C982&lt;&gt;"", 'Cost Inputs'!$J$197&lt;&gt;""), 'Cost Inputs'!$J$16, "")</f>
        <v/>
      </c>
      <c r="I982" s="93" t="str">
        <f t="shared" si="91"/>
        <v/>
      </c>
      <c r="J982" s="93" t="str">
        <f>IF(AND(C982&lt;&gt;"",('Cost Inputs'!$I$197+'Cost Inputs'!$J$197+'Cost Inputs'!$K$197)&gt;0), 'Cost Inputs'!$I$197+'Cost Inputs'!$J$197+'Cost Inputs'!$K$197, "")</f>
        <v/>
      </c>
      <c r="K982" s="93" t="str">
        <f t="shared" si="92"/>
        <v/>
      </c>
      <c r="L982" s="93"/>
      <c r="M982" s="109"/>
      <c r="X982" s="93" t="str">
        <f>IF(ISNUMBER('Model_ of_individuals'!X1002), 'Model_ of_individuals'!X1002*'Model_ of_individuals'!$K1002,"")</f>
        <v/>
      </c>
      <c r="Y982" s="93" t="str">
        <f>IF(ISNUMBER('Model_ of_individuals'!Y1002), 'Model_ of_individuals'!Y1002*'Model_ of_individuals'!$K1002,"")</f>
        <v/>
      </c>
      <c r="Z982" s="93" t="str">
        <f>IF(ISNUMBER('Model_ of_individuals'!Z1002), 'Model_ of_individuals'!Z1002*'Model_ of_individuals'!$K1002,"")</f>
        <v/>
      </c>
      <c r="AA982" s="93" t="str">
        <f>IF(ISNUMBER('Model_ of_individuals'!AA1002), 'Model_ of_individuals'!AA1002*'Model_ of_individuals'!$K1002,"")</f>
        <v/>
      </c>
      <c r="AB982" s="93" t="str">
        <f>IF(ISNUMBER('Model_ of_individuals'!AB1002), 'Model_ of_individuals'!AB1002*'Model_ of_individuals'!$K1002,"")</f>
        <v/>
      </c>
      <c r="AC982" s="93" t="str">
        <f>IF(ISNUMBER('Model_ of_individuals'!AC1002), 'Model_ of_individuals'!AC1002*'Model_ of_individuals'!$K1002,"")</f>
        <v/>
      </c>
      <c r="AD982" s="93" t="str">
        <f>IF(ISNUMBER('Model_ of_individuals'!AD1002), 'Model_ of_individuals'!AD1002*'Model_ of_individuals'!$K1002,"")</f>
        <v/>
      </c>
      <c r="AE982" s="93" t="str">
        <f>IF(ISNUMBER('Model_ of_individuals'!AE1002), 'Model_ of_individuals'!AE1002*'Model_ of_individuals'!$K1002,"")</f>
        <v/>
      </c>
      <c r="AF982" s="93" t="str">
        <f>IF(ISNUMBER('Model_ of_individuals'!AF1002), 'Model_ of_individuals'!AF1002*'Model_ of_individuals'!$K1002,"")</f>
        <v/>
      </c>
      <c r="AG982" s="93" t="str">
        <f>IF(ISNUMBER('Model_ of_individuals'!AG1002), 'Model_ of_individuals'!AG1002*'Model_ of_individuals'!$K1002,"")</f>
        <v/>
      </c>
    </row>
    <row r="983" spans="1:33" x14ac:dyDescent="0.25">
      <c r="A983" s="518"/>
      <c r="B983" s="504"/>
      <c r="C983" s="521" t="str">
        <f>IF(AND(B972&lt;&gt;"",ISNUMBER(B972),ISNUMBER(Stage4EvaluationBegins)),IF((INDEX(ProgramYearStage4,MATCH(Stage4EvaluationBegins,Years_in_Stage4,0)))=B972,_6_5_0,IF(AND(B972&lt;&gt;"",C961&lt;&gt;""),_6_5_0,IF(AND(B972&lt;&gt;"",ISNUMBER(B972),OR(Stage4EvaluationBegins=0,Stage4EvaluationBegins="")),"",""))),"")</f>
        <v/>
      </c>
      <c r="D983" s="94" t="str">
        <f>IF(AND(C983&lt;&gt;"", 'Cost Inputs'!$G$198&lt;&gt;""), 'Cost Inputs'!$G$198, "")</f>
        <v/>
      </c>
      <c r="E983" s="94" t="str">
        <f>IF(AND(C983&lt;&gt;"", 'Cost Inputs'!$H$198&lt;&gt;""), 'Cost Inputs'!$H$198, "")</f>
        <v/>
      </c>
      <c r="F983" s="492" t="str">
        <f>IF(AND(C983&lt;&gt;"", 'Cost Inputs'!$I$198&lt;&gt;""), 'Cost Inputs'!$I$198, "")</f>
        <v/>
      </c>
      <c r="G983" s="102" t="str">
        <f t="shared" si="93"/>
        <v/>
      </c>
      <c r="H983" s="492" t="str">
        <f>IF(AND(C983&lt;&gt;"", 'Cost Inputs'!$J$198&lt;&gt;""), 'Cost Inputs'!$J$198, "")</f>
        <v/>
      </c>
      <c r="I983" s="102" t="str">
        <f>IF($C983&lt;&gt;"",IF(AND($E983&lt;&gt;"",H983&lt;&gt;""), H983/$E983, 0),"")</f>
        <v/>
      </c>
      <c r="J983" s="492" t="str">
        <f>IF(AND(C983&lt;&gt;"",('Cost Inputs'!$I$198+'Cost Inputs'!$J$198+'Cost Inputs'!$K$198)&gt;0), 'Cost Inputs'!$I$198+'Cost Inputs'!$J$198+'Cost Inputs'!$K$198, "")</f>
        <v/>
      </c>
      <c r="K983" s="102" t="str">
        <f>IF($C983&lt;&gt;"",IF(AND($E983&lt;&gt;"",J983&lt;&gt;""), J983/$E983, 0),"")</f>
        <v/>
      </c>
      <c r="L983" s="94"/>
      <c r="M983" s="103"/>
      <c r="X983" s="492" t="str">
        <f>IF(ISNUMBER('Model_ of_individuals'!X1003), 'Model_ of_individuals'!X1003*'Model_ of_individuals'!$K1003,"")</f>
        <v/>
      </c>
      <c r="Y983" s="492" t="str">
        <f>IF(ISNUMBER('Model_ of_individuals'!Y1003), 'Model_ of_individuals'!Y1003*'Model_ of_individuals'!$K1003,"")</f>
        <v/>
      </c>
      <c r="Z983" s="492" t="str">
        <f>IF(ISNUMBER('Model_ of_individuals'!Z1003), 'Model_ of_individuals'!Z1003*'Model_ of_individuals'!$K1003,"")</f>
        <v/>
      </c>
      <c r="AA983" s="492" t="str">
        <f>IF(ISNUMBER('Model_ of_individuals'!AA1003), 'Model_ of_individuals'!AA1003*'Model_ of_individuals'!$K1003,"")</f>
        <v/>
      </c>
      <c r="AB983" s="492" t="str">
        <f>IF(ISNUMBER('Model_ of_individuals'!AB1003), 'Model_ of_individuals'!AB1003*'Model_ of_individuals'!$K1003,"")</f>
        <v/>
      </c>
      <c r="AC983" s="492" t="str">
        <f>IF(ISNUMBER('Model_ of_individuals'!AC1003), 'Model_ of_individuals'!AC1003*'Model_ of_individuals'!$K1003,"")</f>
        <v/>
      </c>
      <c r="AD983" s="492" t="str">
        <f>IF(ISNUMBER('Model_ of_individuals'!AD1003), 'Model_ of_individuals'!AD1003*'Model_ of_individuals'!$K1003,"")</f>
        <v/>
      </c>
      <c r="AE983" s="492" t="str">
        <f>IF(ISNUMBER('Model_ of_individuals'!AE1003), 'Model_ of_individuals'!AE1003*'Model_ of_individuals'!$K1003,"")</f>
        <v/>
      </c>
      <c r="AF983" s="492" t="str">
        <f>IF(ISNUMBER('Model_ of_individuals'!AF1003), 'Model_ of_individuals'!AF1003*'Model_ of_individuals'!$K1003,"")</f>
        <v/>
      </c>
      <c r="AG983" s="492" t="str">
        <f>IF(ISNUMBER('Model_ of_individuals'!AG1003), 'Model_ of_individuals'!AG1003*'Model_ of_individuals'!$K1003,"")</f>
        <v/>
      </c>
    </row>
    <row r="984" spans="1:33" x14ac:dyDescent="0.25">
      <c r="A984" s="518"/>
      <c r="B984" s="504"/>
      <c r="C984" s="521"/>
      <c r="D984" s="94" t="str">
        <f>IF(AND(C983&lt;&gt;"", 'Cost Inputs'!$G$199&lt;&gt;""), 'Cost Inputs'!$G$199, "")</f>
        <v/>
      </c>
      <c r="E984" s="94" t="str">
        <f>IF(AND(C983&lt;&gt;"", 'Cost Inputs'!$H$199&lt;&gt;""), 'Cost Inputs'!$H$199, "")</f>
        <v/>
      </c>
      <c r="F984" s="492"/>
      <c r="G984" s="102" t="str">
        <f t="shared" si="93"/>
        <v/>
      </c>
      <c r="H984" s="492"/>
      <c r="I984" s="102" t="str">
        <f>IF($C983&lt;&gt;"", IF(AND($E984&lt;&gt;"", H983&lt;&gt;""), H983/($E983*$E984), 0), "")</f>
        <v/>
      </c>
      <c r="J984" s="492" t="str">
        <f>IF(AND(C984&lt;&gt;"",('Cost Inputs'!$I$86+'Cost Inputs'!$J$86+'Cost Inputs'!$K$86)&gt;0), 'Cost Inputs'!$I$86+'Cost Inputs'!$J$86+'Cost Inputs'!$K$86, "")</f>
        <v/>
      </c>
      <c r="K984" s="102" t="str">
        <f>IF($C983&lt;&gt;"", IF(AND($E984&lt;&gt;"", J983&lt;&gt;""), J983/($E983*$E984), 0), "")</f>
        <v/>
      </c>
      <c r="L984" s="94"/>
      <c r="M984" s="103"/>
      <c r="X984" s="492" t="str">
        <f>IF(ISNUMBER('Model_ of_individuals'!X1004), 'Model_ of_individuals'!X1004*'Model_ of_individuals'!$K1004,"")</f>
        <v/>
      </c>
      <c r="Y984" s="492" t="str">
        <f>IF(ISNUMBER('Model_ of_individuals'!Y1004), 'Model_ of_individuals'!Y1004*'Model_ of_individuals'!$K1004,"")</f>
        <v/>
      </c>
      <c r="Z984" s="492" t="str">
        <f>IF(ISNUMBER('Model_ of_individuals'!Z1004), 'Model_ of_individuals'!Z1004*'Model_ of_individuals'!$K1004,"")</f>
        <v/>
      </c>
      <c r="AA984" s="492" t="str">
        <f>IF(ISNUMBER('Model_ of_individuals'!AA1004), 'Model_ of_individuals'!AA1004*'Model_ of_individuals'!$K1004,"")</f>
        <v/>
      </c>
      <c r="AB984" s="492" t="str">
        <f>IF(ISNUMBER('Model_ of_individuals'!AB1004), 'Model_ of_individuals'!AB1004*'Model_ of_individuals'!$K1004,"")</f>
        <v/>
      </c>
      <c r="AC984" s="492" t="str">
        <f>IF(ISNUMBER('Model_ of_individuals'!AC1004), 'Model_ of_individuals'!AC1004*'Model_ of_individuals'!$K1004,"")</f>
        <v/>
      </c>
      <c r="AD984" s="492" t="str">
        <f>IF(ISNUMBER('Model_ of_individuals'!AD1004), 'Model_ of_individuals'!AD1004*'Model_ of_individuals'!$K1004,"")</f>
        <v/>
      </c>
      <c r="AE984" s="492" t="str">
        <f>IF(ISNUMBER('Model_ of_individuals'!AE1004), 'Model_ of_individuals'!AE1004*'Model_ of_individuals'!$K1004,"")</f>
        <v/>
      </c>
      <c r="AF984" s="492" t="str">
        <f>IF(ISNUMBER('Model_ of_individuals'!AF1004), 'Model_ of_individuals'!AF1004*'Model_ of_individuals'!$K1004,"")</f>
        <v/>
      </c>
      <c r="AG984" s="492" t="str">
        <f>IF(ISNUMBER('Model_ of_individuals'!AG1004), 'Model_ of_individuals'!AG1004*'Model_ of_individuals'!$K1004,"")</f>
        <v/>
      </c>
    </row>
    <row r="985" spans="1:33" x14ac:dyDescent="0.25">
      <c r="A985" s="518"/>
      <c r="B985" s="504"/>
      <c r="C985" s="376" t="str">
        <f>IF(AND(ISNUMBER(B954), C983&lt;&gt;"", OR('Cost Inputs'!$H$200&lt;&gt;"", 'Cost Inputs'!$I$200&lt;&gt;"", 'Cost Inputs'!$J$200&lt;&gt;"")), _6_5_1, "")</f>
        <v/>
      </c>
      <c r="D985" s="17" t="str">
        <f>IF(AND(C985&lt;&gt;"", 'Cost Inputs'!$G$200&lt;&gt;""), 'Cost Inputs'!$G$200, "")</f>
        <v/>
      </c>
      <c r="E985" s="17" t="str">
        <f>IF(AND(C985&lt;&gt;"", 'Cost Inputs'!$H$200&lt;&gt;""), 'Cost Inputs'!$H$200, "")</f>
        <v/>
      </c>
      <c r="F985" s="493" t="str">
        <f>IF(AND(C985&lt;&gt;"", 'Cost Inputs'!$I$200&lt;&gt;""), 'Cost Inputs'!$I$200, "")</f>
        <v/>
      </c>
      <c r="G985" s="105" t="str">
        <f t="shared" si="93"/>
        <v/>
      </c>
      <c r="H985" s="493" t="str">
        <f>IF(AND(C985&lt;&gt;"", 'Cost Inputs'!$J$200&lt;&gt;""), 'Cost Inputs'!$J$200, "")</f>
        <v/>
      </c>
      <c r="I985" s="105" t="str">
        <f>IF($C985&lt;&gt;"",IF(AND($E985&lt;&gt;"",H985&lt;&gt;""), H985/$E985, 0),"")</f>
        <v/>
      </c>
      <c r="J985" s="493" t="str">
        <f>IF(AND(C985&lt;&gt;"",('Cost Inputs'!$I$200+'Cost Inputs'!$J$200+'Cost Inputs'!$K$200)&gt;0), 'Cost Inputs'!$I$200+'Cost Inputs'!$J$200+'Cost Inputs'!$K$200, "")</f>
        <v/>
      </c>
      <c r="K985" s="105" t="str">
        <f>IF($C985&lt;&gt;"",IF(AND($E985&lt;&gt;"",J985&lt;&gt;""), J985/$E985, 0),"")</f>
        <v/>
      </c>
      <c r="M985" s="106"/>
      <c r="X985" s="493" t="str">
        <f>IF(ISNUMBER('Model_ of_individuals'!X1005), 'Model_ of_individuals'!X1005*'Model_ of_individuals'!$K1005,"")</f>
        <v/>
      </c>
      <c r="Y985" s="493" t="str">
        <f>IF(ISNUMBER('Model_ of_individuals'!Y1005), 'Model_ of_individuals'!Y1005*'Model_ of_individuals'!$K1005,"")</f>
        <v/>
      </c>
      <c r="Z985" s="493" t="str">
        <f>IF(ISNUMBER('Model_ of_individuals'!Z1005), 'Model_ of_individuals'!Z1005*'Model_ of_individuals'!$K1005,"")</f>
        <v/>
      </c>
      <c r="AA985" s="493" t="str">
        <f>IF(ISNUMBER('Model_ of_individuals'!AA1005), 'Model_ of_individuals'!AA1005*'Model_ of_individuals'!$K1005,"")</f>
        <v/>
      </c>
      <c r="AB985" s="493" t="str">
        <f>IF(ISNUMBER('Model_ of_individuals'!AB1005), 'Model_ of_individuals'!AB1005*'Model_ of_individuals'!$K1005,"")</f>
        <v/>
      </c>
      <c r="AC985" s="493" t="str">
        <f>IF(ISNUMBER('Model_ of_individuals'!AC1005), 'Model_ of_individuals'!AC1005*'Model_ of_individuals'!$K1005,"")</f>
        <v/>
      </c>
      <c r="AD985" s="493" t="str">
        <f>IF(ISNUMBER('Model_ of_individuals'!AD1005), 'Model_ of_individuals'!AD1005*'Model_ of_individuals'!$K1005,"")</f>
        <v/>
      </c>
      <c r="AE985" s="493" t="str">
        <f>IF(ISNUMBER('Model_ of_individuals'!AE1005), 'Model_ of_individuals'!AE1005*'Model_ of_individuals'!$K1005,"")</f>
        <v/>
      </c>
      <c r="AF985" s="493" t="str">
        <f>IF(ISNUMBER('Model_ of_individuals'!AF1005), 'Model_ of_individuals'!AF1005*'Model_ of_individuals'!$K1005,"")</f>
        <v/>
      </c>
      <c r="AG985" s="493" t="str">
        <f>IF(ISNUMBER('Model_ of_individuals'!AG1005), 'Model_ of_individuals'!AG1005*'Model_ of_individuals'!$K1005,"")</f>
        <v/>
      </c>
    </row>
    <row r="986" spans="1:33" x14ac:dyDescent="0.25">
      <c r="A986" s="518"/>
      <c r="B986" s="504"/>
      <c r="C986" s="376" t="str">
        <f>IF(AND(ISNUMBER(B968), OR('Cost Inputs'!$H$85&lt;&gt;"", 'Cost Inputs'!$I$85&lt;&gt;"", 'Cost Inputs'!$J$85&lt;&gt;"")), _3_5_1, "")</f>
        <v/>
      </c>
      <c r="D986" s="17" t="str">
        <f>IF(AND(C985&lt;&gt;"", 'Cost Inputs'!$G$201&lt;&gt;""), 'Cost Inputs'!$G$201, "")</f>
        <v/>
      </c>
      <c r="E986" s="17" t="str">
        <f>IF(AND(C985&lt;&gt;"", 'Cost Inputs'!$H$201&lt;&gt;""), 'Cost Inputs'!$H$201, "")</f>
        <v/>
      </c>
      <c r="F986" s="493"/>
      <c r="G986" s="105" t="str">
        <f t="shared" si="93"/>
        <v/>
      </c>
      <c r="H986" s="493"/>
      <c r="I986" s="105" t="str">
        <f>IF($C985&lt;&gt;"", IF(AND($E986&lt;&gt;"", H985&lt;&gt;""), H985/($E985*$E986), 0), "")</f>
        <v/>
      </c>
      <c r="J986" s="493" t="str">
        <f>IF(AND(C986&lt;&gt;"",('Cost Inputs'!$I$86+'Cost Inputs'!$J$86+'Cost Inputs'!$K$86)&gt;0), 'Cost Inputs'!$I$86+'Cost Inputs'!$J$86+'Cost Inputs'!$K$86, "")</f>
        <v/>
      </c>
      <c r="K986" s="105" t="str">
        <f>IF($C985&lt;&gt;"", IF(AND($E986&lt;&gt;"", J985&lt;&gt;""), J985/($E985*$E986), 0), "")</f>
        <v/>
      </c>
      <c r="M986" s="106"/>
      <c r="X986" s="493" t="str">
        <f>IF(ISNUMBER('Model_ of_individuals'!X1006), 'Model_ of_individuals'!X1006*'Model_ of_individuals'!$K1006,"")</f>
        <v/>
      </c>
      <c r="Y986" s="493" t="str">
        <f>IF(ISNUMBER('Model_ of_individuals'!Y1006), 'Model_ of_individuals'!Y1006*'Model_ of_individuals'!$K1006,"")</f>
        <v/>
      </c>
      <c r="Z986" s="493" t="str">
        <f>IF(ISNUMBER('Model_ of_individuals'!Z1006), 'Model_ of_individuals'!Z1006*'Model_ of_individuals'!$K1006,"")</f>
        <v/>
      </c>
      <c r="AA986" s="493" t="str">
        <f>IF(ISNUMBER('Model_ of_individuals'!AA1006), 'Model_ of_individuals'!AA1006*'Model_ of_individuals'!$K1006,"")</f>
        <v/>
      </c>
      <c r="AB986" s="493" t="str">
        <f>IF(ISNUMBER('Model_ of_individuals'!AB1006), 'Model_ of_individuals'!AB1006*'Model_ of_individuals'!$K1006,"")</f>
        <v/>
      </c>
      <c r="AC986" s="493" t="str">
        <f>IF(ISNUMBER('Model_ of_individuals'!AC1006), 'Model_ of_individuals'!AC1006*'Model_ of_individuals'!$K1006,"")</f>
        <v/>
      </c>
      <c r="AD986" s="493" t="str">
        <f>IF(ISNUMBER('Model_ of_individuals'!AD1006), 'Model_ of_individuals'!AD1006*'Model_ of_individuals'!$K1006,"")</f>
        <v/>
      </c>
      <c r="AE986" s="493" t="str">
        <f>IF(ISNUMBER('Model_ of_individuals'!AE1006), 'Model_ of_individuals'!AE1006*'Model_ of_individuals'!$K1006,"")</f>
        <v/>
      </c>
      <c r="AF986" s="493" t="str">
        <f>IF(ISNUMBER('Model_ of_individuals'!AF1006), 'Model_ of_individuals'!AF1006*'Model_ of_individuals'!$K1006,"")</f>
        <v/>
      </c>
      <c r="AG986" s="493" t="str">
        <f>IF(ISNUMBER('Model_ of_individuals'!AG1006), 'Model_ of_individuals'!AG1006*'Model_ of_individuals'!$K1006,"")</f>
        <v/>
      </c>
    </row>
    <row r="987" spans="1:33" x14ac:dyDescent="0.25">
      <c r="A987" s="518"/>
      <c r="B987" s="504"/>
      <c r="C987" s="107" t="str">
        <f>IF(AND(ISNUMBER(B954), C983&lt;&gt;"", OR('Cost Inputs'!$H$202&lt;&gt;"", 'Cost Inputs'!$I$202&lt;&gt;"", 'Cost Inputs'!$J$202&lt;&gt;"")), _6_5_2, "")</f>
        <v/>
      </c>
      <c r="D987" s="93" t="str">
        <f>IF(AND(C987&lt;&gt;"", 'Cost Inputs'!$G$202&lt;&gt;""), 'Cost Inputs'!$G$202, "")</f>
        <v/>
      </c>
      <c r="E987" s="93" t="str">
        <f>IF(AND(C987&lt;&gt;"", 'Cost Inputs'!$H$202&lt;&gt;""), 'Cost Inputs'!$H$202, "")</f>
        <v/>
      </c>
      <c r="F987" s="93" t="str">
        <f>IF(AND(C987&lt;&gt;"", 'Cost Inputs'!$I$202&lt;&gt;""), 'Cost Inputs'!$I$202, "")</f>
        <v/>
      </c>
      <c r="G987" s="108" t="str">
        <f t="shared" si="93"/>
        <v/>
      </c>
      <c r="H987" s="93" t="str">
        <f>IF(AND(C987&lt;&gt;"", 'Cost Inputs'!$J$202&lt;&gt;""), 'Cost Inputs'!$J$202, "")</f>
        <v/>
      </c>
      <c r="I987" s="93" t="str">
        <f>IF($C987&lt;&gt;"", IF(AND($E987&lt;&gt;"", H987&lt;&gt;""), H987/$E987, 0),"")</f>
        <v/>
      </c>
      <c r="J987" s="93" t="str">
        <f>IF(AND(C987&lt;&gt;"",('Cost Inputs'!$I$202+'Cost Inputs'!$J$202+'Cost Inputs'!$K$202)&gt;0), 'Cost Inputs'!$I$202+'Cost Inputs'!$J$202+'Cost Inputs'!$K$202, "")</f>
        <v/>
      </c>
      <c r="K987" s="93" t="str">
        <f>IF($C987&lt;&gt;"", IF(AND($E987&lt;&gt;"", J987&lt;&gt;""), J987/$E987, 0),"")</f>
        <v/>
      </c>
      <c r="L987" s="93"/>
      <c r="M987" s="109"/>
      <c r="X987" s="93" t="str">
        <f>IF(ISNUMBER('Model_ of_individuals'!X1007), 'Model_ of_individuals'!X1007*'Model_ of_individuals'!$K1007,"")</f>
        <v/>
      </c>
      <c r="Y987" s="93" t="str">
        <f>IF(ISNUMBER('Model_ of_individuals'!Y1007), 'Model_ of_individuals'!Y1007*'Model_ of_individuals'!$K1007,"")</f>
        <v/>
      </c>
      <c r="Z987" s="93" t="str">
        <f>IF(ISNUMBER('Model_ of_individuals'!Z1007), 'Model_ of_individuals'!Z1007*'Model_ of_individuals'!$K1007,"")</f>
        <v/>
      </c>
      <c r="AA987" s="93" t="str">
        <f>IF(ISNUMBER('Model_ of_individuals'!AA1007), 'Model_ of_individuals'!AA1007*'Model_ of_individuals'!$K1007,"")</f>
        <v/>
      </c>
      <c r="AB987" s="93" t="str">
        <f>IF(ISNUMBER('Model_ of_individuals'!AB1007), 'Model_ of_individuals'!AB1007*'Model_ of_individuals'!$K1007,"")</f>
        <v/>
      </c>
      <c r="AC987" s="93" t="str">
        <f>IF(ISNUMBER('Model_ of_individuals'!AC1007), 'Model_ of_individuals'!AC1007*'Model_ of_individuals'!$K1007,"")</f>
        <v/>
      </c>
      <c r="AD987" s="93" t="str">
        <f>IF(ISNUMBER('Model_ of_individuals'!AD1007), 'Model_ of_individuals'!AD1007*'Model_ of_individuals'!$K1007,"")</f>
        <v/>
      </c>
      <c r="AE987" s="93" t="str">
        <f>IF(ISNUMBER('Model_ of_individuals'!AE1007), 'Model_ of_individuals'!AE1007*'Model_ of_individuals'!$K1007,"")</f>
        <v/>
      </c>
      <c r="AF987" s="93" t="str">
        <f>IF(ISNUMBER('Model_ of_individuals'!AF1007), 'Model_ of_individuals'!AF1007*'Model_ of_individuals'!$K1007,"")</f>
        <v/>
      </c>
      <c r="AG987" s="93" t="str">
        <f>IF(ISNUMBER('Model_ of_individuals'!AG1007), 'Model_ of_individuals'!AG1007*'Model_ of_individuals'!$K1007,"")</f>
        <v/>
      </c>
    </row>
    <row r="988" spans="1:33" x14ac:dyDescent="0.25">
      <c r="A988" s="518"/>
      <c r="B988" s="504"/>
      <c r="C988" s="104" t="str">
        <f>IF(AND(ISNUMBER(B954), C983&lt;&gt;"", OR('Cost Inputs'!$H$203&lt;&gt;"", 'Cost Inputs'!$I$203&lt;&gt;"", 'Cost Inputs'!$J$203&lt;&gt;"")), _6_5_3, "")</f>
        <v/>
      </c>
      <c r="D988" s="17" t="str">
        <f>IF(AND(C988&lt;&gt;"", 'Cost Inputs'!$G$203&lt;&gt;""), 'Cost Inputs'!$G$203, "")</f>
        <v/>
      </c>
      <c r="E988" s="17" t="str">
        <f>IF(AND(C988&lt;&gt;"", 'Cost Inputs'!$H$203&lt;&gt;""), 'Cost Inputs'!$H$203, "")</f>
        <v/>
      </c>
      <c r="F988" s="17" t="str">
        <f>IF(AND(C988&lt;&gt;"", 'Cost Inputs'!$I$203&lt;&gt;""), 'Cost Inputs'!$I$203, "")</f>
        <v/>
      </c>
      <c r="G988" s="105" t="str">
        <f t="shared" si="93"/>
        <v/>
      </c>
      <c r="H988" s="17" t="str">
        <f>IF(AND(C988&lt;&gt;"", 'Cost Inputs'!$J$203&lt;&gt;""), 'Cost Inputs'!$J$203, "")</f>
        <v/>
      </c>
      <c r="I988" s="17" t="str">
        <f>IF($C988&lt;&gt;"", IF(AND($E988&lt;&gt;"", H988&lt;&gt;""), H988/$E988, 0),"")</f>
        <v/>
      </c>
      <c r="J988" s="17" t="str">
        <f>IF(AND(C988&lt;&gt;"",('Cost Inputs'!$I$203+'Cost Inputs'!$J$203+'Cost Inputs'!$K$203)&gt;0), 'Cost Inputs'!$I$203+'Cost Inputs'!$J$203+'Cost Inputs'!$K$203, "")</f>
        <v/>
      </c>
      <c r="K988" s="17" t="str">
        <f>IF($C988&lt;&gt;"", IF(AND($E988&lt;&gt;"", J988&lt;&gt;""), J988/$E988, 0),"")</f>
        <v/>
      </c>
      <c r="M988" s="106"/>
      <c r="X988" s="17" t="str">
        <f>IF(ISNUMBER('Model_ of_individuals'!X1008), 'Model_ of_individuals'!X1008*'Model_ of_individuals'!$K1008,"")</f>
        <v/>
      </c>
      <c r="Y988" s="17" t="str">
        <f>IF(ISNUMBER('Model_ of_individuals'!Y1008), 'Model_ of_individuals'!Y1008*'Model_ of_individuals'!$K1008,"")</f>
        <v/>
      </c>
      <c r="Z988" s="17" t="str">
        <f>IF(ISNUMBER('Model_ of_individuals'!Z1008), 'Model_ of_individuals'!Z1008*'Model_ of_individuals'!$K1008,"")</f>
        <v/>
      </c>
      <c r="AA988" s="17" t="str">
        <f>IF(ISNUMBER('Model_ of_individuals'!AA1008), 'Model_ of_individuals'!AA1008*'Model_ of_individuals'!$K1008,"")</f>
        <v/>
      </c>
      <c r="AB988" s="17" t="str">
        <f>IF(ISNUMBER('Model_ of_individuals'!AB1008), 'Model_ of_individuals'!AB1008*'Model_ of_individuals'!$K1008,"")</f>
        <v/>
      </c>
      <c r="AC988" s="17" t="str">
        <f>IF(ISNUMBER('Model_ of_individuals'!AC1008), 'Model_ of_individuals'!AC1008*'Model_ of_individuals'!$K1008,"")</f>
        <v/>
      </c>
      <c r="AD988" s="17" t="str">
        <f>IF(ISNUMBER('Model_ of_individuals'!AD1008), 'Model_ of_individuals'!AD1008*'Model_ of_individuals'!$K1008,"")</f>
        <v/>
      </c>
      <c r="AE988" s="17" t="str">
        <f>IF(ISNUMBER('Model_ of_individuals'!AE1008), 'Model_ of_individuals'!AE1008*'Model_ of_individuals'!$K1008,"")</f>
        <v/>
      </c>
      <c r="AF988" s="17" t="str">
        <f>IF(ISNUMBER('Model_ of_individuals'!AF1008), 'Model_ of_individuals'!AF1008*'Model_ of_individuals'!$K1008,"")</f>
        <v/>
      </c>
      <c r="AG988" s="17" t="str">
        <f>IF(ISNUMBER('Model_ of_individuals'!AG1008), 'Model_ of_individuals'!AG1008*'Model_ of_individuals'!$K1008,"")</f>
        <v/>
      </c>
    </row>
    <row r="989" spans="1:33" x14ac:dyDescent="0.25">
      <c r="A989" s="518"/>
      <c r="B989" s="504"/>
      <c r="C989" s="107" t="str">
        <f>IF(AND(ISNUMBER(B954), C983&lt;&gt;"", OR('Cost Inputs'!$H$204&lt;&gt;"", 'Cost Inputs'!$I$204&lt;&gt;"", 'Cost Inputs'!$J$204&lt;&gt;"")), _6_5_4, "")</f>
        <v/>
      </c>
      <c r="D989" s="93" t="str">
        <f>IF(AND(C989&lt;&gt;"", 'Cost Inputs'!$G$204&lt;&gt;""), 'Cost Inputs'!$G$204, "")</f>
        <v/>
      </c>
      <c r="E989" s="93" t="str">
        <f>IF(AND(C989&lt;&gt;"", 'Cost Inputs'!$H$204&lt;&gt;""), 'Cost Inputs'!$H$204, "")</f>
        <v/>
      </c>
      <c r="F989" s="93" t="str">
        <f>IF(AND(C989&lt;&gt;"", 'Cost Inputs'!$I$204&lt;&gt;""), 'Cost Inputs'!$I$204, "")</f>
        <v/>
      </c>
      <c r="G989" s="108" t="str">
        <f t="shared" si="93"/>
        <v/>
      </c>
      <c r="H989" s="93" t="str">
        <f>IF(AND(C989&lt;&gt;"", 'Cost Inputs'!$J$204&lt;&gt;""), 'Cost Inputs'!$J$204, "")</f>
        <v/>
      </c>
      <c r="I989" s="93" t="str">
        <f>IF($C989&lt;&gt;"", IF(AND($E989&lt;&gt;"", H989&lt;&gt;""), H989/$E989, 0),"")</f>
        <v/>
      </c>
      <c r="J989" s="93" t="str">
        <f>IF(AND(C989&lt;&gt;"",('Cost Inputs'!$I$204+'Cost Inputs'!$J$204+'Cost Inputs'!$K$204)&gt;0), 'Cost Inputs'!$I$204+'Cost Inputs'!$J$204+'Cost Inputs'!$K$204, "")</f>
        <v/>
      </c>
      <c r="K989" s="93" t="str">
        <f>IF($C989&lt;&gt;"", IF(AND($E989&lt;&gt;"", J989&lt;&gt;""), J989/$E989, 0),"")</f>
        <v/>
      </c>
      <c r="L989" s="93"/>
      <c r="M989" s="109"/>
      <c r="X989" s="93" t="str">
        <f>IF(ISNUMBER('Model_ of_individuals'!X1009), 'Model_ of_individuals'!X1009*'Model_ of_individuals'!$K1009,"")</f>
        <v/>
      </c>
      <c r="Y989" s="93" t="str">
        <f>IF(ISNUMBER('Model_ of_individuals'!Y1009), 'Model_ of_individuals'!Y1009*'Model_ of_individuals'!$K1009,"")</f>
        <v/>
      </c>
      <c r="Z989" s="93" t="str">
        <f>IF(ISNUMBER('Model_ of_individuals'!Z1009), 'Model_ of_individuals'!Z1009*'Model_ of_individuals'!$K1009,"")</f>
        <v/>
      </c>
      <c r="AA989" s="93" t="str">
        <f>IF(ISNUMBER('Model_ of_individuals'!AA1009), 'Model_ of_individuals'!AA1009*'Model_ of_individuals'!$K1009,"")</f>
        <v/>
      </c>
      <c r="AB989" s="93" t="str">
        <f>IF(ISNUMBER('Model_ of_individuals'!AB1009), 'Model_ of_individuals'!AB1009*'Model_ of_individuals'!$K1009,"")</f>
        <v/>
      </c>
      <c r="AC989" s="93" t="str">
        <f>IF(ISNUMBER('Model_ of_individuals'!AC1009), 'Model_ of_individuals'!AC1009*'Model_ of_individuals'!$K1009,"")</f>
        <v/>
      </c>
      <c r="AD989" s="93" t="str">
        <f>IF(ISNUMBER('Model_ of_individuals'!AD1009), 'Model_ of_individuals'!AD1009*'Model_ of_individuals'!$K1009,"")</f>
        <v/>
      </c>
      <c r="AE989" s="93" t="str">
        <f>IF(ISNUMBER('Model_ of_individuals'!AE1009), 'Model_ of_individuals'!AE1009*'Model_ of_individuals'!$K1009,"")</f>
        <v/>
      </c>
      <c r="AF989" s="93" t="str">
        <f>IF(ISNUMBER('Model_ of_individuals'!AF1009), 'Model_ of_individuals'!AF1009*'Model_ of_individuals'!$K1009,"")</f>
        <v/>
      </c>
      <c r="AG989" s="93" t="str">
        <f>IF(ISNUMBER('Model_ of_individuals'!AG1009), 'Model_ of_individuals'!AG1009*'Model_ of_individuals'!$K1009,"")</f>
        <v/>
      </c>
    </row>
    <row r="990" spans="1:33" x14ac:dyDescent="0.25">
      <c r="A990" s="518"/>
      <c r="B990" s="504"/>
      <c r="C990" s="104" t="str">
        <f>IF(AND(ISNUMBER(B954), C983&lt;&gt;"", OR('Cost Inputs'!$H$205&lt;&gt;"", 'Cost Inputs'!$I$205&lt;&gt;"", 'Cost Inputs'!$J$205&lt;&gt;"")), _6_5_5, "")</f>
        <v/>
      </c>
      <c r="D990" s="17" t="str">
        <f>IF(AND(C990&lt;&gt;"", 'Cost Inputs'!$G$205&lt;&gt;""), 'Cost Inputs'!$G$205, "")</f>
        <v/>
      </c>
      <c r="E990" s="17" t="str">
        <f>IF(AND(C990&lt;&gt;"", 'Cost Inputs'!$H$205&lt;&gt;""), 'Cost Inputs'!$H$205, "")</f>
        <v/>
      </c>
      <c r="F990" s="17" t="str">
        <f>IF(AND(C990&lt;&gt;"", 'Cost Inputs'!$I$205&lt;&gt;""), 'Cost Inputs'!$I$205, "")</f>
        <v/>
      </c>
      <c r="G990" s="105" t="str">
        <f t="shared" si="93"/>
        <v/>
      </c>
      <c r="H990" s="17" t="str">
        <f>IF(AND(C990&lt;&gt;"", 'Cost Inputs'!$J$205&lt;&gt;""), 'Cost Inputs'!$J$205, "")</f>
        <v/>
      </c>
      <c r="I990" s="17" t="str">
        <f>IF($C990&lt;&gt;"", IF(AND($E990&lt;&gt;"", H990&lt;&gt;""), H990/$E990, 0),"")</f>
        <v/>
      </c>
      <c r="J990" s="17" t="str">
        <f>IF(AND(C990&lt;&gt;"",('Cost Inputs'!$I$205+'Cost Inputs'!$J$205+'Cost Inputs'!$K$205)&gt;0), 'Cost Inputs'!$I$205+'Cost Inputs'!$J$205+'Cost Inputs'!$K$205, "")</f>
        <v/>
      </c>
      <c r="K990" s="17" t="str">
        <f>IF($C990&lt;&gt;"", IF(AND($E990&lt;&gt;"", J990&lt;&gt;""), J990/$E990, 0),"")</f>
        <v/>
      </c>
      <c r="M990" s="106"/>
      <c r="X990" s="17" t="str">
        <f>IF(ISNUMBER('Model_ of_individuals'!X1010), 'Model_ of_individuals'!X1010*'Model_ of_individuals'!$K1010,"")</f>
        <v/>
      </c>
      <c r="Y990" s="17" t="str">
        <f>IF(ISNUMBER('Model_ of_individuals'!Y1010), 'Model_ of_individuals'!Y1010*'Model_ of_individuals'!$K1010,"")</f>
        <v/>
      </c>
      <c r="Z990" s="17" t="str">
        <f>IF(ISNUMBER('Model_ of_individuals'!Z1010), 'Model_ of_individuals'!Z1010*'Model_ of_individuals'!$K1010,"")</f>
        <v/>
      </c>
      <c r="AA990" s="17" t="str">
        <f>IF(ISNUMBER('Model_ of_individuals'!AA1010), 'Model_ of_individuals'!AA1010*'Model_ of_individuals'!$K1010,"")</f>
        <v/>
      </c>
      <c r="AB990" s="17" t="str">
        <f>IF(ISNUMBER('Model_ of_individuals'!AB1010), 'Model_ of_individuals'!AB1010*'Model_ of_individuals'!$K1010,"")</f>
        <v/>
      </c>
      <c r="AC990" s="17" t="str">
        <f>IF(ISNUMBER('Model_ of_individuals'!AC1010), 'Model_ of_individuals'!AC1010*'Model_ of_individuals'!$K1010,"")</f>
        <v/>
      </c>
      <c r="AD990" s="17" t="str">
        <f>IF(ISNUMBER('Model_ of_individuals'!AD1010), 'Model_ of_individuals'!AD1010*'Model_ of_individuals'!$K1010,"")</f>
        <v/>
      </c>
      <c r="AE990" s="17" t="str">
        <f>IF(ISNUMBER('Model_ of_individuals'!AE1010), 'Model_ of_individuals'!AE1010*'Model_ of_individuals'!$K1010,"")</f>
        <v/>
      </c>
      <c r="AF990" s="17" t="str">
        <f>IF(ISNUMBER('Model_ of_individuals'!AF1010), 'Model_ of_individuals'!AF1010*'Model_ of_individuals'!$K1010,"")</f>
        <v/>
      </c>
      <c r="AG990" s="17" t="str">
        <f>IF(ISNUMBER('Model_ of_individuals'!AG1010), 'Model_ of_individuals'!AG1010*'Model_ of_individuals'!$K1010,"")</f>
        <v/>
      </c>
    </row>
    <row r="991" spans="1:33" x14ac:dyDescent="0.25">
      <c r="A991" s="518"/>
      <c r="B991" s="504"/>
      <c r="C991" s="110" t="str">
        <f>IF(ISNUMBER(B954), _6_6_0, "")</f>
        <v/>
      </c>
      <c r="D991" s="94" t="str">
        <f>IF(AND(C991&lt;&gt;"", 'Cost Inputs'!$G$206&lt;&gt;""), 'Cost Inputs'!$G$206, "")</f>
        <v/>
      </c>
      <c r="E991" s="94" t="str">
        <f>IF(AND(C991&lt;&gt;"", 'Cost Inputs'!$H$206&lt;&gt;""), 'Cost Inputs'!$H$206, "")</f>
        <v/>
      </c>
      <c r="F991" s="94" t="str">
        <f>IF(AND(C991&lt;&gt;"", 'Cost Inputs'!$I$206&lt;&gt;""), 'Cost Inputs'!$I$206, "")</f>
        <v/>
      </c>
      <c r="G991" s="102" t="str">
        <f t="shared" si="93"/>
        <v/>
      </c>
      <c r="H991" s="94" t="str">
        <f>IF(AND(C991&lt;&gt;"", 'Cost Inputs'!$J$206&lt;&gt;""), 'Cost Inputs'!$J$206, "")</f>
        <v/>
      </c>
      <c r="I991" s="102" t="str">
        <f>IF($C991&lt;&gt;"",IF(AND($E991&lt;&gt;"",H991&lt;&gt;""), H991/$E991, 0),"")</f>
        <v/>
      </c>
      <c r="J991" s="94" t="str">
        <f>IF(AND(C991&lt;&gt;"",('Cost Inputs'!$I$206+'Cost Inputs'!$J$206+'Cost Inputs'!$K$206)&gt;0), 'Cost Inputs'!$I$206+'Cost Inputs'!$J$206+'Cost Inputs'!$K$206, "")</f>
        <v/>
      </c>
      <c r="K991" s="102" t="str">
        <f>IF($C991&lt;&gt;"",IF(AND($E991&lt;&gt;"",J991&lt;&gt;""), J991/$E991, 0),"")</f>
        <v/>
      </c>
      <c r="L991" s="94"/>
      <c r="M991" s="103"/>
      <c r="X991" s="94" t="str">
        <f>IF(ISNUMBER('Model_ of_individuals'!X1011), 'Model_ of_individuals'!X1011*'Model_ of_individuals'!$K1011,"")</f>
        <v/>
      </c>
      <c r="Y991" s="94" t="str">
        <f>IF(ISNUMBER('Model_ of_individuals'!Y1011), 'Model_ of_individuals'!Y1011*'Model_ of_individuals'!$K1011,"")</f>
        <v/>
      </c>
      <c r="Z991" s="94" t="str">
        <f>IF(ISNUMBER('Model_ of_individuals'!Z1011), 'Model_ of_individuals'!Z1011*'Model_ of_individuals'!$K1011,"")</f>
        <v/>
      </c>
      <c r="AA991" s="94" t="str">
        <f>IF(ISNUMBER('Model_ of_individuals'!AA1011), 'Model_ of_individuals'!AA1011*'Model_ of_individuals'!$K1011,"")</f>
        <v/>
      </c>
      <c r="AB991" s="94" t="str">
        <f>IF(ISNUMBER('Model_ of_individuals'!AB1011), 'Model_ of_individuals'!AB1011*'Model_ of_individuals'!$K1011,"")</f>
        <v/>
      </c>
      <c r="AC991" s="94" t="str">
        <f>IF(ISNUMBER('Model_ of_individuals'!AC1011), 'Model_ of_individuals'!AC1011*'Model_ of_individuals'!$K1011,"")</f>
        <v/>
      </c>
      <c r="AD991" s="94" t="str">
        <f>IF(ISNUMBER('Model_ of_individuals'!AD1011), 'Model_ of_individuals'!AD1011*'Model_ of_individuals'!$K1011,"")</f>
        <v/>
      </c>
      <c r="AE991" s="94" t="str">
        <f>IF(ISNUMBER('Model_ of_individuals'!AE1011), 'Model_ of_individuals'!AE1011*'Model_ of_individuals'!$K1011,"")</f>
        <v/>
      </c>
      <c r="AF991" s="94" t="str">
        <f>IF(ISNUMBER('Model_ of_individuals'!AF1011), 'Model_ of_individuals'!AF1011*'Model_ of_individuals'!$K1011,"")</f>
        <v/>
      </c>
      <c r="AG991" s="94" t="str">
        <f>IF(ISNUMBER('Model_ of_individuals'!AG1011), 'Model_ of_individuals'!AG1011*'Model_ of_individuals'!$K1011,"")</f>
        <v/>
      </c>
    </row>
    <row r="992" spans="1:33" x14ac:dyDescent="0.25">
      <c r="A992" s="518"/>
      <c r="B992" s="504"/>
      <c r="C992" s="104" t="str">
        <f>IF(AND(ISNUMBER(B954), OR('Cost Inputs'!$H$207&lt;&gt;"", 'Cost Inputs'!$I$207&lt;&gt;"", 'Cost Inputs'!$J$207&lt;&gt;"")), _6_6_1, "")</f>
        <v/>
      </c>
      <c r="D992" s="17" t="str">
        <f>IF(AND(C992&lt;&gt;"", 'Cost Inputs'!$G$207&lt;&gt;""), 'Cost Inputs'!$G$207, "")</f>
        <v/>
      </c>
      <c r="E992" s="17" t="str">
        <f>IF(AND(C992&lt;&gt;"", 'Cost Inputs'!$H$207&lt;&gt;""), 'Cost Inputs'!$H$207, "")</f>
        <v/>
      </c>
      <c r="F992" s="17" t="str">
        <f>IF(AND(C992&lt;&gt;"", 'Cost Inputs'!$I$207&lt;&gt;""), 'Cost Inputs'!$I$207, "")</f>
        <v/>
      </c>
      <c r="G992" s="105" t="str">
        <f t="shared" si="93"/>
        <v/>
      </c>
      <c r="H992" s="17" t="str">
        <f>IF(AND(C992&lt;&gt;"", 'Cost Inputs'!$J$207&lt;&gt;""), 'Cost Inputs'!$J$207, "")</f>
        <v/>
      </c>
      <c r="I992" s="17" t="str">
        <f>IF($C992&lt;&gt;"", IF(AND($E992&lt;&gt;"", H992&lt;&gt;""), H992/$E992, 0),"")</f>
        <v/>
      </c>
      <c r="J992" s="17" t="str">
        <f>IF(AND(C992&lt;&gt;"",('Cost Inputs'!$I$207+'Cost Inputs'!$J$207+'Cost Inputs'!$K$207)&gt;0), 'Cost Inputs'!$I$207+'Cost Inputs'!$J$207+'Cost Inputs'!$K$207, "")</f>
        <v/>
      </c>
      <c r="K992" s="17" t="str">
        <f>IF($C992&lt;&gt;"", IF(AND($E992&lt;&gt;"", J992&lt;&gt;""), J992/$E992, 0),"")</f>
        <v/>
      </c>
      <c r="M992" s="106"/>
      <c r="X992" s="17" t="str">
        <f>IF(ISNUMBER('Model_ of_individuals'!X1012), 'Model_ of_individuals'!X1012*'Model_ of_individuals'!$K1012,"")</f>
        <v/>
      </c>
      <c r="Y992" s="17" t="str">
        <f>IF(ISNUMBER('Model_ of_individuals'!Y1012), 'Model_ of_individuals'!Y1012*'Model_ of_individuals'!$K1012,"")</f>
        <v/>
      </c>
      <c r="Z992" s="17" t="str">
        <f>IF(ISNUMBER('Model_ of_individuals'!Z1012), 'Model_ of_individuals'!Z1012*'Model_ of_individuals'!$K1012,"")</f>
        <v/>
      </c>
      <c r="AA992" s="17" t="str">
        <f>IF(ISNUMBER('Model_ of_individuals'!AA1012), 'Model_ of_individuals'!AA1012*'Model_ of_individuals'!$K1012,"")</f>
        <v/>
      </c>
      <c r="AB992" s="17" t="str">
        <f>IF(ISNUMBER('Model_ of_individuals'!AB1012), 'Model_ of_individuals'!AB1012*'Model_ of_individuals'!$K1012,"")</f>
        <v/>
      </c>
      <c r="AC992" s="17" t="str">
        <f>IF(ISNUMBER('Model_ of_individuals'!AC1012), 'Model_ of_individuals'!AC1012*'Model_ of_individuals'!$K1012,"")</f>
        <v/>
      </c>
      <c r="AD992" s="17" t="str">
        <f>IF(ISNUMBER('Model_ of_individuals'!AD1012), 'Model_ of_individuals'!AD1012*'Model_ of_individuals'!$K1012,"")</f>
        <v/>
      </c>
      <c r="AE992" s="17" t="str">
        <f>IF(ISNUMBER('Model_ of_individuals'!AE1012), 'Model_ of_individuals'!AE1012*'Model_ of_individuals'!$K1012,"")</f>
        <v/>
      </c>
      <c r="AF992" s="17" t="str">
        <f>IF(ISNUMBER('Model_ of_individuals'!AF1012), 'Model_ of_individuals'!AF1012*'Model_ of_individuals'!$K1012,"")</f>
        <v/>
      </c>
      <c r="AG992" s="17" t="str">
        <f>IF(ISNUMBER('Model_ of_individuals'!AG1012), 'Model_ of_individuals'!AG1012*'Model_ of_individuals'!$K1012,"")</f>
        <v/>
      </c>
    </row>
    <row r="993" spans="1:44" ht="15.75" thickBot="1" x14ac:dyDescent="0.3">
      <c r="A993" s="518"/>
      <c r="B993" s="504"/>
      <c r="C993" s="107" t="str">
        <f>IF(AND(ISNUMBER(B954), OR('Cost Inputs'!$H$208&lt;&gt;"", 'Cost Inputs'!$I$208&lt;&gt;"", 'Cost Inputs'!$J$208&lt;&gt;"")), _6_6_2, "")</f>
        <v/>
      </c>
      <c r="D993" s="93" t="str">
        <f>IF(AND(C993&lt;&gt;"", 'Cost Inputs'!$G$208&lt;&gt;""), 'Cost Inputs'!$G$208, "")</f>
        <v/>
      </c>
      <c r="E993" s="93" t="str">
        <f>IF(AND(C993&lt;&gt;"", 'Cost Inputs'!$H$208&lt;&gt;""), 'Cost Inputs'!$H$208, "")</f>
        <v/>
      </c>
      <c r="F993" s="93" t="str">
        <f>IF(AND(C993&lt;&gt;"", 'Cost Inputs'!$I$208&lt;&gt;""), 'Cost Inputs'!$I$208, "")</f>
        <v/>
      </c>
      <c r="G993" s="108" t="str">
        <f t="shared" si="93"/>
        <v/>
      </c>
      <c r="H993" s="93" t="str">
        <f>IF(AND(C993&lt;&gt;"", 'Cost Inputs'!$J$208&lt;&gt;""), 'Cost Inputs'!$J$208, "")</f>
        <v/>
      </c>
      <c r="I993" s="93" t="str">
        <f>IF($C993&lt;&gt;"", IF(AND($E993&lt;&gt;"", H993&lt;&gt;""), H993/$E993, 0),"")</f>
        <v/>
      </c>
      <c r="J993" s="93" t="str">
        <f>IF(AND(C993&lt;&gt;"",('Cost Inputs'!$I$208+'Cost Inputs'!$J$208+'Cost Inputs'!$K$208)&gt;0), 'Cost Inputs'!$I$208+'Cost Inputs'!$J$208+'Cost Inputs'!$K$208, "")</f>
        <v/>
      </c>
      <c r="K993" s="93" t="str">
        <f>IF($C993&lt;&gt;"", IF(AND($E993&lt;&gt;"", J993&lt;&gt;""), J993/$E993, 0),"")</f>
        <v/>
      </c>
      <c r="L993" s="93"/>
      <c r="M993" s="109"/>
      <c r="X993" s="95" t="str">
        <f>IF(ISNUMBER('Model_ of_individuals'!X1013), 'Model_ of_individuals'!X1013*'Model_ of_individuals'!$K1013,"")</f>
        <v/>
      </c>
      <c r="Y993" s="95" t="str">
        <f>IF(ISNUMBER('Model_ of_individuals'!Y1013), 'Model_ of_individuals'!Y1013*'Model_ of_individuals'!$K1013,"")</f>
        <v/>
      </c>
      <c r="Z993" s="95" t="str">
        <f>IF(ISNUMBER('Model_ of_individuals'!Z1013), 'Model_ of_individuals'!Z1013*'Model_ of_individuals'!$K1013,"")</f>
        <v/>
      </c>
      <c r="AA993" s="95" t="str">
        <f>IF(ISNUMBER('Model_ of_individuals'!AA1013), 'Model_ of_individuals'!AA1013*'Model_ of_individuals'!$K1013,"")</f>
        <v/>
      </c>
      <c r="AB993" s="95" t="str">
        <f>IF(ISNUMBER('Model_ of_individuals'!AB1013), 'Model_ of_individuals'!AB1013*'Model_ of_individuals'!$K1013,"")</f>
        <v/>
      </c>
      <c r="AC993" s="95" t="str">
        <f>IF(ISNUMBER('Model_ of_individuals'!AC1013), 'Model_ of_individuals'!AC1013*'Model_ of_individuals'!$K1013,"")</f>
        <v/>
      </c>
      <c r="AD993" s="95" t="str">
        <f>IF(ISNUMBER('Model_ of_individuals'!AD1013), 'Model_ of_individuals'!AD1013*'Model_ of_individuals'!$K1013,"")</f>
        <v/>
      </c>
      <c r="AE993" s="95" t="str">
        <f>IF(ISNUMBER('Model_ of_individuals'!AE1013), 'Model_ of_individuals'!AE1013*'Model_ of_individuals'!$K1013,"")</f>
        <v/>
      </c>
      <c r="AF993" s="95" t="str">
        <f>IF(ISNUMBER('Model_ of_individuals'!AF1013), 'Model_ of_individuals'!AF1013*'Model_ of_individuals'!$K1013,"")</f>
        <v/>
      </c>
      <c r="AG993" s="95" t="str">
        <f>IF(ISNUMBER('Model_ of_individuals'!AG1013), 'Model_ of_individuals'!AG1013*'Model_ of_individuals'!$K1013,"")</f>
        <v/>
      </c>
    </row>
    <row r="994" spans="1:44" ht="15.75" thickBot="1" x14ac:dyDescent="0.3">
      <c r="A994" s="98"/>
      <c r="B994" s="99"/>
      <c r="C994" s="114"/>
      <c r="D994" s="114"/>
      <c r="E994" s="114"/>
      <c r="F994" s="114"/>
      <c r="G994" s="114"/>
      <c r="H994" s="114"/>
      <c r="I994" s="114"/>
      <c r="J994" s="114"/>
      <c r="K994" s="114"/>
      <c r="L994" s="114"/>
      <c r="M994" s="115"/>
      <c r="N994" s="99"/>
      <c r="O994" s="99"/>
      <c r="P994" s="99"/>
      <c r="Q994" s="99"/>
      <c r="R994" s="99"/>
      <c r="S994" s="99"/>
      <c r="T994" s="99"/>
      <c r="U994" s="99"/>
      <c r="V994" s="99"/>
      <c r="W994" s="99"/>
      <c r="X994" s="99"/>
      <c r="Y994" s="99"/>
      <c r="Z994" s="99"/>
      <c r="AA994" s="99"/>
      <c r="AB994" s="99"/>
      <c r="AC994" s="99"/>
      <c r="AD994" s="99"/>
      <c r="AE994" s="99"/>
      <c r="AF994" s="99"/>
      <c r="AG994" s="290"/>
      <c r="AH994" s="99"/>
      <c r="AI994" s="99"/>
      <c r="AJ994" s="99"/>
      <c r="AK994" s="99"/>
      <c r="AL994" s="99"/>
      <c r="AM994" s="99"/>
      <c r="AN994" s="99"/>
      <c r="AO994" s="99"/>
      <c r="AP994" s="99"/>
      <c r="AQ994" s="99"/>
      <c r="AR994" s="286"/>
    </row>
  </sheetData>
  <mergeCells count="2560">
    <mergeCell ref="M1:M2"/>
    <mergeCell ref="N1:N2"/>
    <mergeCell ref="A4:A40"/>
    <mergeCell ref="B4:B40"/>
    <mergeCell ref="A42:A58"/>
    <mergeCell ref="B42:B58"/>
    <mergeCell ref="G1:G2"/>
    <mergeCell ref="H1:H2"/>
    <mergeCell ref="I1:I2"/>
    <mergeCell ref="J1:J2"/>
    <mergeCell ref="K1:K2"/>
    <mergeCell ref="L1:L2"/>
    <mergeCell ref="A1:A2"/>
    <mergeCell ref="B1:B2"/>
    <mergeCell ref="C1:C2"/>
    <mergeCell ref="D1:D2"/>
    <mergeCell ref="E1:E2"/>
    <mergeCell ref="F1:F2"/>
    <mergeCell ref="A188:A207"/>
    <mergeCell ref="B188:B207"/>
    <mergeCell ref="A208:A227"/>
    <mergeCell ref="B208:B227"/>
    <mergeCell ref="A228:A247"/>
    <mergeCell ref="B228:B247"/>
    <mergeCell ref="A128:A147"/>
    <mergeCell ref="B128:B147"/>
    <mergeCell ref="A148:A167"/>
    <mergeCell ref="B148:B167"/>
    <mergeCell ref="A168:A187"/>
    <mergeCell ref="B168:B187"/>
    <mergeCell ref="A60:A87"/>
    <mergeCell ref="B60:B87"/>
    <mergeCell ref="A88:A107"/>
    <mergeCell ref="B88:B107"/>
    <mergeCell ref="A108:A127"/>
    <mergeCell ref="B108:B127"/>
    <mergeCell ref="U270:U271"/>
    <mergeCell ref="V270:V271"/>
    <mergeCell ref="H270:H271"/>
    <mergeCell ref="J270:J271"/>
    <mergeCell ref="L270:L308"/>
    <mergeCell ref="M270:M308"/>
    <mergeCell ref="O270:O271"/>
    <mergeCell ref="P270:P271"/>
    <mergeCell ref="P281:P282"/>
    <mergeCell ref="P283:P284"/>
    <mergeCell ref="P300:P301"/>
    <mergeCell ref="A248:A267"/>
    <mergeCell ref="B248:B267"/>
    <mergeCell ref="A270:A308"/>
    <mergeCell ref="B270:B308"/>
    <mergeCell ref="C270:C271"/>
    <mergeCell ref="F270:F271"/>
    <mergeCell ref="Q283:Q284"/>
    <mergeCell ref="R283:R284"/>
    <mergeCell ref="S283:S284"/>
    <mergeCell ref="T283:T284"/>
    <mergeCell ref="U283:U284"/>
    <mergeCell ref="V283:V284"/>
    <mergeCell ref="S287:S288"/>
    <mergeCell ref="T287:T288"/>
    <mergeCell ref="U287:U288"/>
    <mergeCell ref="V287:V288"/>
    <mergeCell ref="C287:C288"/>
    <mergeCell ref="F287:F288"/>
    <mergeCell ref="H287:H288"/>
    <mergeCell ref="J287:J288"/>
    <mergeCell ref="O287:O288"/>
    <mergeCell ref="AO270:AO271"/>
    <mergeCell ref="AP270:AP271"/>
    <mergeCell ref="AQ270:AQ271"/>
    <mergeCell ref="AR270:AR271"/>
    <mergeCell ref="C272:C273"/>
    <mergeCell ref="F272:F273"/>
    <mergeCell ref="H272:H273"/>
    <mergeCell ref="J272:J273"/>
    <mergeCell ref="O272:O273"/>
    <mergeCell ref="P272:P273"/>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Q270:Q271"/>
    <mergeCell ref="R270:R271"/>
    <mergeCell ref="S270:S271"/>
    <mergeCell ref="T270:T271"/>
    <mergeCell ref="AR272:AR273"/>
    <mergeCell ref="C274:C275"/>
    <mergeCell ref="F274:F275"/>
    <mergeCell ref="H274:H275"/>
    <mergeCell ref="J274:J275"/>
    <mergeCell ref="O274:O275"/>
    <mergeCell ref="P274:P275"/>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Q272:Q273"/>
    <mergeCell ref="R272:R273"/>
    <mergeCell ref="S272:S273"/>
    <mergeCell ref="T272:T273"/>
    <mergeCell ref="U272:U273"/>
    <mergeCell ref="V272:V273"/>
    <mergeCell ref="AG274:AG275"/>
    <mergeCell ref="AO272:AO273"/>
    <mergeCell ref="AP272:AP273"/>
    <mergeCell ref="AQ272:AQ273"/>
    <mergeCell ref="W276:W277"/>
    <mergeCell ref="X276:X277"/>
    <mergeCell ref="Y276:Y277"/>
    <mergeCell ref="Z276:Z277"/>
    <mergeCell ref="AA276:AA277"/>
    <mergeCell ref="AB276:AB277"/>
    <mergeCell ref="Q276:Q277"/>
    <mergeCell ref="R276:R277"/>
    <mergeCell ref="S276:S277"/>
    <mergeCell ref="T276:T277"/>
    <mergeCell ref="U276:U277"/>
    <mergeCell ref="V276:V277"/>
    <mergeCell ref="AO274:AO275"/>
    <mergeCell ref="AP274:AP275"/>
    <mergeCell ref="AQ274:AQ275"/>
    <mergeCell ref="AR274:AR275"/>
    <mergeCell ref="C276:C277"/>
    <mergeCell ref="F276:F277"/>
    <mergeCell ref="H276:H277"/>
    <mergeCell ref="J276:J277"/>
    <mergeCell ref="O276:O277"/>
    <mergeCell ref="P276:P277"/>
    <mergeCell ref="AI274:AI275"/>
    <mergeCell ref="AJ274:AJ275"/>
    <mergeCell ref="AK274:AK275"/>
    <mergeCell ref="AL274:AL275"/>
    <mergeCell ref="AM274:AM275"/>
    <mergeCell ref="AN274:AN275"/>
    <mergeCell ref="AC274:AC275"/>
    <mergeCell ref="AD274:AD275"/>
    <mergeCell ref="AE274:AE275"/>
    <mergeCell ref="AF274:AF275"/>
    <mergeCell ref="AH274:AH275"/>
    <mergeCell ref="W274:W275"/>
    <mergeCell ref="X274:X275"/>
    <mergeCell ref="Y274:Y275"/>
    <mergeCell ref="Z274:Z275"/>
    <mergeCell ref="AA274:AA275"/>
    <mergeCell ref="AB274:AB275"/>
    <mergeCell ref="Q274:Q275"/>
    <mergeCell ref="R274:R275"/>
    <mergeCell ref="S274:S275"/>
    <mergeCell ref="T274:T275"/>
    <mergeCell ref="U274:U275"/>
    <mergeCell ref="V274:V275"/>
    <mergeCell ref="AA279:AA280"/>
    <mergeCell ref="AB279:AB280"/>
    <mergeCell ref="Q279:Q280"/>
    <mergeCell ref="R279:R280"/>
    <mergeCell ref="S279:S280"/>
    <mergeCell ref="T279:T280"/>
    <mergeCell ref="U279:U280"/>
    <mergeCell ref="V279:V280"/>
    <mergeCell ref="AO276:AO277"/>
    <mergeCell ref="AP276:AP277"/>
    <mergeCell ref="AQ276:AQ277"/>
    <mergeCell ref="AR276:AR277"/>
    <mergeCell ref="C279:C280"/>
    <mergeCell ref="F279:F280"/>
    <mergeCell ref="H279:H280"/>
    <mergeCell ref="J279:J280"/>
    <mergeCell ref="O279:O280"/>
    <mergeCell ref="P279:P280"/>
    <mergeCell ref="AI276:AI277"/>
    <mergeCell ref="AJ276:AJ277"/>
    <mergeCell ref="AK276:AK277"/>
    <mergeCell ref="AL276:AL277"/>
    <mergeCell ref="AM276:AM277"/>
    <mergeCell ref="AN276:AN277"/>
    <mergeCell ref="AC276:AC277"/>
    <mergeCell ref="AD276:AD277"/>
    <mergeCell ref="AE276:AE277"/>
    <mergeCell ref="AF276:AF277"/>
    <mergeCell ref="AG276:AG277"/>
    <mergeCell ref="AH276:AH277"/>
    <mergeCell ref="Q281:Q282"/>
    <mergeCell ref="R281:R282"/>
    <mergeCell ref="S281:S282"/>
    <mergeCell ref="T281:T282"/>
    <mergeCell ref="U281:U282"/>
    <mergeCell ref="V281:V282"/>
    <mergeCell ref="AO279:AO280"/>
    <mergeCell ref="AP279:AP280"/>
    <mergeCell ref="AQ279:AQ280"/>
    <mergeCell ref="AR279:AR280"/>
    <mergeCell ref="AS279:AS280"/>
    <mergeCell ref="C281:C282"/>
    <mergeCell ref="F281:F282"/>
    <mergeCell ref="H281:H282"/>
    <mergeCell ref="J281:J282"/>
    <mergeCell ref="O281:O282"/>
    <mergeCell ref="AI279:AI280"/>
    <mergeCell ref="AJ279:AJ280"/>
    <mergeCell ref="AK279:AK280"/>
    <mergeCell ref="AL279:AL280"/>
    <mergeCell ref="AM279:AM280"/>
    <mergeCell ref="AN279:AN280"/>
    <mergeCell ref="AC279:AC280"/>
    <mergeCell ref="AD279:AD280"/>
    <mergeCell ref="AE279:AE280"/>
    <mergeCell ref="AF279:AF280"/>
    <mergeCell ref="AG279:AG280"/>
    <mergeCell ref="AH279:AH280"/>
    <mergeCell ref="W279:W280"/>
    <mergeCell ref="X279:X280"/>
    <mergeCell ref="Y279:Y280"/>
    <mergeCell ref="Z279:Z280"/>
    <mergeCell ref="AO281:AO282"/>
    <mergeCell ref="AP281:AP282"/>
    <mergeCell ref="AQ281:AQ282"/>
    <mergeCell ref="AR281:AR282"/>
    <mergeCell ref="AS281:AS282"/>
    <mergeCell ref="C283:C284"/>
    <mergeCell ref="F283:F284"/>
    <mergeCell ref="H283:H284"/>
    <mergeCell ref="J283:J284"/>
    <mergeCell ref="O283:O284"/>
    <mergeCell ref="AI281:AI282"/>
    <mergeCell ref="AJ281:AJ282"/>
    <mergeCell ref="AK281:AK282"/>
    <mergeCell ref="AL281:AL282"/>
    <mergeCell ref="AM281:AM282"/>
    <mergeCell ref="AN281:AN282"/>
    <mergeCell ref="AC281:AC282"/>
    <mergeCell ref="AD281:AD282"/>
    <mergeCell ref="AE281:AE282"/>
    <mergeCell ref="AF281:AF282"/>
    <mergeCell ref="AG281:AG282"/>
    <mergeCell ref="AH281:AH282"/>
    <mergeCell ref="W281:W282"/>
    <mergeCell ref="X281:X282"/>
    <mergeCell ref="Y281:Y282"/>
    <mergeCell ref="Z281:Z282"/>
    <mergeCell ref="AO283:AO284"/>
    <mergeCell ref="AP283:AP284"/>
    <mergeCell ref="AQ283:AQ284"/>
    <mergeCell ref="AR283:AR284"/>
    <mergeCell ref="AA281:AA282"/>
    <mergeCell ref="AB281:AB282"/>
    <mergeCell ref="P287:P288"/>
    <mergeCell ref="AI283:AI284"/>
    <mergeCell ref="AJ283:AJ284"/>
    <mergeCell ref="AK283:AK284"/>
    <mergeCell ref="AL283:AL284"/>
    <mergeCell ref="AM283:AM284"/>
    <mergeCell ref="AN283:AN284"/>
    <mergeCell ref="AC283:AC284"/>
    <mergeCell ref="AD283:AD284"/>
    <mergeCell ref="AE283:AE284"/>
    <mergeCell ref="AF283:AF284"/>
    <mergeCell ref="AG283:AG284"/>
    <mergeCell ref="AH283:AH284"/>
    <mergeCell ref="W283:W284"/>
    <mergeCell ref="X283:X284"/>
    <mergeCell ref="Y283:Y284"/>
    <mergeCell ref="Z283:Z284"/>
    <mergeCell ref="AA283:AA284"/>
    <mergeCell ref="AB283:AB284"/>
    <mergeCell ref="U298:U299"/>
    <mergeCell ref="V298:V299"/>
    <mergeCell ref="AO287:AO288"/>
    <mergeCell ref="AP287:AP288"/>
    <mergeCell ref="AQ287:AQ288"/>
    <mergeCell ref="AR287:AR288"/>
    <mergeCell ref="C298:C299"/>
    <mergeCell ref="F298:F299"/>
    <mergeCell ref="H298:H299"/>
    <mergeCell ref="J298:J299"/>
    <mergeCell ref="O298:O299"/>
    <mergeCell ref="P298:P299"/>
    <mergeCell ref="AI287:AI288"/>
    <mergeCell ref="AJ287:AJ288"/>
    <mergeCell ref="AK287:AK288"/>
    <mergeCell ref="AL287:AL288"/>
    <mergeCell ref="AM287:AM288"/>
    <mergeCell ref="AN287:AN288"/>
    <mergeCell ref="AC287:AC288"/>
    <mergeCell ref="AD287:AD288"/>
    <mergeCell ref="AE287:AE288"/>
    <mergeCell ref="AF287:AF288"/>
    <mergeCell ref="AG287:AG288"/>
    <mergeCell ref="AH287:AH288"/>
    <mergeCell ref="W287:W288"/>
    <mergeCell ref="X287:X288"/>
    <mergeCell ref="Y287:Y288"/>
    <mergeCell ref="Z287:Z288"/>
    <mergeCell ref="AA287:AA288"/>
    <mergeCell ref="AB287:AB288"/>
    <mergeCell ref="Q287:Q288"/>
    <mergeCell ref="R287:R288"/>
    <mergeCell ref="AO298:AO299"/>
    <mergeCell ref="AP298:AP299"/>
    <mergeCell ref="AQ298:AQ299"/>
    <mergeCell ref="AR298:AR299"/>
    <mergeCell ref="AS298:AS299"/>
    <mergeCell ref="C300:C301"/>
    <mergeCell ref="F300:F301"/>
    <mergeCell ref="H300:H301"/>
    <mergeCell ref="J300:J301"/>
    <mergeCell ref="O300:O301"/>
    <mergeCell ref="AI298:AI299"/>
    <mergeCell ref="AJ298:AJ299"/>
    <mergeCell ref="AK298:AK299"/>
    <mergeCell ref="AL298:AL299"/>
    <mergeCell ref="AM298:AM299"/>
    <mergeCell ref="AN298:AN299"/>
    <mergeCell ref="AC298:AC299"/>
    <mergeCell ref="AD298:AD299"/>
    <mergeCell ref="AE298:AE299"/>
    <mergeCell ref="AF298:AF299"/>
    <mergeCell ref="AG298:AG299"/>
    <mergeCell ref="AH298:AH299"/>
    <mergeCell ref="W298:W299"/>
    <mergeCell ref="X298:X299"/>
    <mergeCell ref="Y298:Y299"/>
    <mergeCell ref="Z298:Z299"/>
    <mergeCell ref="AA298:AA299"/>
    <mergeCell ref="AB298:AB299"/>
    <mergeCell ref="Q298:Q299"/>
    <mergeCell ref="R298:R299"/>
    <mergeCell ref="S298:S299"/>
    <mergeCell ref="T298:T299"/>
    <mergeCell ref="AP300:AP301"/>
    <mergeCell ref="AQ300:AQ301"/>
    <mergeCell ref="AR300:AR301"/>
    <mergeCell ref="A310:A331"/>
    <mergeCell ref="B310:B331"/>
    <mergeCell ref="C310:C311"/>
    <mergeCell ref="F310:F311"/>
    <mergeCell ref="H310:H311"/>
    <mergeCell ref="J310:J311"/>
    <mergeCell ref="AI300:AI301"/>
    <mergeCell ref="AJ300:AJ301"/>
    <mergeCell ref="AK300:AK301"/>
    <mergeCell ref="AL300:AL301"/>
    <mergeCell ref="AM300:AM301"/>
    <mergeCell ref="AN300:AN301"/>
    <mergeCell ref="AC300:AC301"/>
    <mergeCell ref="AD300:AD301"/>
    <mergeCell ref="AE300:AE301"/>
    <mergeCell ref="AF300:AF301"/>
    <mergeCell ref="AG300:AG301"/>
    <mergeCell ref="AH300:AH301"/>
    <mergeCell ref="W300:W301"/>
    <mergeCell ref="X300:X301"/>
    <mergeCell ref="Y300:Y301"/>
    <mergeCell ref="Z300:Z301"/>
    <mergeCell ref="AA300:AA301"/>
    <mergeCell ref="AB300:AB301"/>
    <mergeCell ref="Q300:Q301"/>
    <mergeCell ref="R300:R301"/>
    <mergeCell ref="S300:S301"/>
    <mergeCell ref="T300:T301"/>
    <mergeCell ref="U300:U301"/>
    <mergeCell ref="AD310:AD311"/>
    <mergeCell ref="AE310:AE311"/>
    <mergeCell ref="T310:T311"/>
    <mergeCell ref="U310:U311"/>
    <mergeCell ref="V310:V311"/>
    <mergeCell ref="W310:W311"/>
    <mergeCell ref="X310:X311"/>
    <mergeCell ref="Y310:Y311"/>
    <mergeCell ref="L310:L331"/>
    <mergeCell ref="M310:M331"/>
    <mergeCell ref="P310:P311"/>
    <mergeCell ref="Q310:Q311"/>
    <mergeCell ref="R310:R311"/>
    <mergeCell ref="S310:S311"/>
    <mergeCell ref="R323:R324"/>
    <mergeCell ref="S323:S324"/>
    <mergeCell ref="AO300:AO301"/>
    <mergeCell ref="V300:V301"/>
    <mergeCell ref="U321:U322"/>
    <mergeCell ref="V321:V322"/>
    <mergeCell ref="W321:W322"/>
    <mergeCell ref="X321:X322"/>
    <mergeCell ref="Y321:Y322"/>
    <mergeCell ref="Z321:Z322"/>
    <mergeCell ref="AG321:AG322"/>
    <mergeCell ref="AH321:AH322"/>
    <mergeCell ref="AI321:AI322"/>
    <mergeCell ref="AJ321:AJ322"/>
    <mergeCell ref="AK321:AK322"/>
    <mergeCell ref="AL321:AL322"/>
    <mergeCell ref="AA321:AA322"/>
    <mergeCell ref="AB321:AB322"/>
    <mergeCell ref="AR310:AR311"/>
    <mergeCell ref="C321:C322"/>
    <mergeCell ref="F321:F322"/>
    <mergeCell ref="H321:H322"/>
    <mergeCell ref="J321:J322"/>
    <mergeCell ref="P321:P322"/>
    <mergeCell ref="Q321:Q322"/>
    <mergeCell ref="R321:R322"/>
    <mergeCell ref="S321:S322"/>
    <mergeCell ref="T321:T322"/>
    <mergeCell ref="AL310:AL311"/>
    <mergeCell ref="AM310:AM311"/>
    <mergeCell ref="AN310:AN311"/>
    <mergeCell ref="AO310:AO311"/>
    <mergeCell ref="AP310:AP311"/>
    <mergeCell ref="AQ310:AQ311"/>
    <mergeCell ref="AF310:AF311"/>
    <mergeCell ref="AG310:AG311"/>
    <mergeCell ref="AH310:AH311"/>
    <mergeCell ref="AI310:AI311"/>
    <mergeCell ref="AJ310:AJ311"/>
    <mergeCell ref="AK310:AK311"/>
    <mergeCell ref="Z310:Z311"/>
    <mergeCell ref="AA310:AA311"/>
    <mergeCell ref="AB310:AB311"/>
    <mergeCell ref="AC310:AC311"/>
    <mergeCell ref="AM321:AM322"/>
    <mergeCell ref="AN321:AN322"/>
    <mergeCell ref="AO321:AO322"/>
    <mergeCell ref="AP321:AP322"/>
    <mergeCell ref="AQ321:AQ322"/>
    <mergeCell ref="AR321:AR322"/>
    <mergeCell ref="AC321:AC322"/>
    <mergeCell ref="AD321:AD322"/>
    <mergeCell ref="AE321:AE322"/>
    <mergeCell ref="AF321:AF322"/>
    <mergeCell ref="Z323:Z324"/>
    <mergeCell ref="AA323:AA324"/>
    <mergeCell ref="AB323:AB324"/>
    <mergeCell ref="AC323:AC324"/>
    <mergeCell ref="AD323:AD324"/>
    <mergeCell ref="AE323:AE324"/>
    <mergeCell ref="T323:T324"/>
    <mergeCell ref="U323:U324"/>
    <mergeCell ref="V323:V324"/>
    <mergeCell ref="W323:W324"/>
    <mergeCell ref="X323:X324"/>
    <mergeCell ref="Y323:Y324"/>
    <mergeCell ref="C323:C324"/>
    <mergeCell ref="F323:F324"/>
    <mergeCell ref="H323:H324"/>
    <mergeCell ref="J323:J324"/>
    <mergeCell ref="P323:P324"/>
    <mergeCell ref="Q323:Q324"/>
    <mergeCell ref="Z333:Z334"/>
    <mergeCell ref="AA333:AA334"/>
    <mergeCell ref="AB333:AB334"/>
    <mergeCell ref="AC333:AC334"/>
    <mergeCell ref="R333:R334"/>
    <mergeCell ref="S333:S334"/>
    <mergeCell ref="T333:T334"/>
    <mergeCell ref="U333:U334"/>
    <mergeCell ref="V333:V334"/>
    <mergeCell ref="W333:W334"/>
    <mergeCell ref="AR323:AR324"/>
    <mergeCell ref="A333:A354"/>
    <mergeCell ref="B333:B354"/>
    <mergeCell ref="C333:C334"/>
    <mergeCell ref="F333:F334"/>
    <mergeCell ref="H333:H334"/>
    <mergeCell ref="J333:J334"/>
    <mergeCell ref="L333:L354"/>
    <mergeCell ref="M333:M354"/>
    <mergeCell ref="Q333:Q334"/>
    <mergeCell ref="AL323:AL324"/>
    <mergeCell ref="AM323:AM324"/>
    <mergeCell ref="AN323:AN324"/>
    <mergeCell ref="AO323:AO324"/>
    <mergeCell ref="AP323:AP324"/>
    <mergeCell ref="AQ323:AQ324"/>
    <mergeCell ref="AF323:AF324"/>
    <mergeCell ref="AG323:AG324"/>
    <mergeCell ref="AH323:AH324"/>
    <mergeCell ref="AI323:AI324"/>
    <mergeCell ref="AJ323:AJ324"/>
    <mergeCell ref="AK323:AK324"/>
    <mergeCell ref="AC344:AC345"/>
    <mergeCell ref="AD344:AD345"/>
    <mergeCell ref="S344:S345"/>
    <mergeCell ref="T344:T345"/>
    <mergeCell ref="U344:U345"/>
    <mergeCell ref="V344:V345"/>
    <mergeCell ref="W344:W345"/>
    <mergeCell ref="X344:X345"/>
    <mergeCell ref="AP333:AP334"/>
    <mergeCell ref="AQ333:AQ334"/>
    <mergeCell ref="AR333:AR334"/>
    <mergeCell ref="AS333:AS334"/>
    <mergeCell ref="C344:C345"/>
    <mergeCell ref="F344:F345"/>
    <mergeCell ref="H344:H345"/>
    <mergeCell ref="J344:J345"/>
    <mergeCell ref="Q344:Q345"/>
    <mergeCell ref="R344:R345"/>
    <mergeCell ref="AJ333:AJ334"/>
    <mergeCell ref="AK333:AK334"/>
    <mergeCell ref="AL333:AL334"/>
    <mergeCell ref="AM333:AM334"/>
    <mergeCell ref="AN333:AN334"/>
    <mergeCell ref="AO333:AO334"/>
    <mergeCell ref="AD333:AD334"/>
    <mergeCell ref="AE333:AE334"/>
    <mergeCell ref="AF333:AF334"/>
    <mergeCell ref="AG333:AG334"/>
    <mergeCell ref="AH333:AH334"/>
    <mergeCell ref="AI333:AI334"/>
    <mergeCell ref="X333:X334"/>
    <mergeCell ref="Y333:Y334"/>
    <mergeCell ref="U346:U347"/>
    <mergeCell ref="V346:V347"/>
    <mergeCell ref="W346:W347"/>
    <mergeCell ref="X346:X347"/>
    <mergeCell ref="Y346:Y347"/>
    <mergeCell ref="Z346:Z347"/>
    <mergeCell ref="AQ344:AQ345"/>
    <mergeCell ref="AR344:AR345"/>
    <mergeCell ref="C346:C347"/>
    <mergeCell ref="F346:F347"/>
    <mergeCell ref="H346:H347"/>
    <mergeCell ref="J346:J347"/>
    <mergeCell ref="Q346:Q347"/>
    <mergeCell ref="R346:R347"/>
    <mergeCell ref="S346:S347"/>
    <mergeCell ref="T346:T347"/>
    <mergeCell ref="AK344:AK345"/>
    <mergeCell ref="AL344:AL345"/>
    <mergeCell ref="AM344:AM345"/>
    <mergeCell ref="AN344:AN345"/>
    <mergeCell ref="AO344:AO345"/>
    <mergeCell ref="AP344:AP345"/>
    <mergeCell ref="AE344:AE345"/>
    <mergeCell ref="AF344:AF345"/>
    <mergeCell ref="AG344:AG345"/>
    <mergeCell ref="AH344:AH345"/>
    <mergeCell ref="AI344:AI345"/>
    <mergeCell ref="AJ344:AJ345"/>
    <mergeCell ref="Y344:Y345"/>
    <mergeCell ref="Z344:Z345"/>
    <mergeCell ref="AA344:AA345"/>
    <mergeCell ref="AB344:AB345"/>
    <mergeCell ref="U356:U357"/>
    <mergeCell ref="V356:V357"/>
    <mergeCell ref="W356:W357"/>
    <mergeCell ref="X356:X357"/>
    <mergeCell ref="AS346:AS347"/>
    <mergeCell ref="A356:A377"/>
    <mergeCell ref="B356:B377"/>
    <mergeCell ref="C356:C357"/>
    <mergeCell ref="F356:F357"/>
    <mergeCell ref="H356:H357"/>
    <mergeCell ref="J356:J357"/>
    <mergeCell ref="L356:L377"/>
    <mergeCell ref="M356:M377"/>
    <mergeCell ref="R356:R357"/>
    <mergeCell ref="AM346:AM347"/>
    <mergeCell ref="AN346:AN347"/>
    <mergeCell ref="AO346:AO347"/>
    <mergeCell ref="AP346:AP347"/>
    <mergeCell ref="AQ346:AQ347"/>
    <mergeCell ref="AR346:AR347"/>
    <mergeCell ref="AG346:AG347"/>
    <mergeCell ref="AH346:AH347"/>
    <mergeCell ref="AI346:AI347"/>
    <mergeCell ref="AJ346:AJ347"/>
    <mergeCell ref="AK346:AK347"/>
    <mergeCell ref="AL346:AL347"/>
    <mergeCell ref="AA346:AA347"/>
    <mergeCell ref="AB346:AB347"/>
    <mergeCell ref="AC346:AC347"/>
    <mergeCell ref="AD346:AD347"/>
    <mergeCell ref="AE346:AE347"/>
    <mergeCell ref="AF346:AF347"/>
    <mergeCell ref="Y367:Y368"/>
    <mergeCell ref="Z367:Z368"/>
    <mergeCell ref="AQ356:AQ357"/>
    <mergeCell ref="AR356:AR357"/>
    <mergeCell ref="AS356:AS357"/>
    <mergeCell ref="C367:C368"/>
    <mergeCell ref="F367:F368"/>
    <mergeCell ref="H367:H368"/>
    <mergeCell ref="J367:J368"/>
    <mergeCell ref="R367:R368"/>
    <mergeCell ref="S367:S368"/>
    <mergeCell ref="T367:T368"/>
    <mergeCell ref="AK356:AK357"/>
    <mergeCell ref="AL356:AL357"/>
    <mergeCell ref="AM356:AM357"/>
    <mergeCell ref="AN356:AN357"/>
    <mergeCell ref="AO356:AO357"/>
    <mergeCell ref="AP356:AP357"/>
    <mergeCell ref="AE356:AE357"/>
    <mergeCell ref="AF356:AF357"/>
    <mergeCell ref="AG356:AG357"/>
    <mergeCell ref="AH356:AH357"/>
    <mergeCell ref="AI356:AI357"/>
    <mergeCell ref="AJ356:AJ357"/>
    <mergeCell ref="Y356:Y357"/>
    <mergeCell ref="Z356:Z357"/>
    <mergeCell ref="AA356:AA357"/>
    <mergeCell ref="AB356:AB357"/>
    <mergeCell ref="AC356:AC357"/>
    <mergeCell ref="AD356:AD357"/>
    <mergeCell ref="S356:S357"/>
    <mergeCell ref="T356:T357"/>
    <mergeCell ref="AS367:AS368"/>
    <mergeCell ref="C369:C370"/>
    <mergeCell ref="F369:F370"/>
    <mergeCell ref="H369:H370"/>
    <mergeCell ref="J369:J370"/>
    <mergeCell ref="R369:R370"/>
    <mergeCell ref="S369:S370"/>
    <mergeCell ref="T369:T370"/>
    <mergeCell ref="U369:U370"/>
    <mergeCell ref="V369:V370"/>
    <mergeCell ref="AM367:AM368"/>
    <mergeCell ref="AN367:AN368"/>
    <mergeCell ref="AO367:AO368"/>
    <mergeCell ref="AP367:AP368"/>
    <mergeCell ref="AQ367:AQ368"/>
    <mergeCell ref="AR367:AR368"/>
    <mergeCell ref="AG367:AG368"/>
    <mergeCell ref="AH367:AH368"/>
    <mergeCell ref="AI367:AI368"/>
    <mergeCell ref="AJ367:AJ368"/>
    <mergeCell ref="AK367:AK368"/>
    <mergeCell ref="AL367:AL368"/>
    <mergeCell ref="AA367:AA368"/>
    <mergeCell ref="AB367:AB368"/>
    <mergeCell ref="AC367:AC368"/>
    <mergeCell ref="AD367:AD368"/>
    <mergeCell ref="AE367:AE368"/>
    <mergeCell ref="AF367:AF368"/>
    <mergeCell ref="U367:U368"/>
    <mergeCell ref="V367:V368"/>
    <mergeCell ref="W367:W368"/>
    <mergeCell ref="X367:X368"/>
    <mergeCell ref="A379:A400"/>
    <mergeCell ref="B379:B400"/>
    <mergeCell ref="C379:C380"/>
    <mergeCell ref="F379:F380"/>
    <mergeCell ref="H379:H380"/>
    <mergeCell ref="AI369:AI370"/>
    <mergeCell ref="AJ369:AJ370"/>
    <mergeCell ref="AK369:AK370"/>
    <mergeCell ref="AL369:AL370"/>
    <mergeCell ref="AM369:AM370"/>
    <mergeCell ref="AN369:AN370"/>
    <mergeCell ref="AC369:AC370"/>
    <mergeCell ref="AD369:AD370"/>
    <mergeCell ref="AE369:AE370"/>
    <mergeCell ref="AF369:AF370"/>
    <mergeCell ref="AG369:AG370"/>
    <mergeCell ref="AH369:AH370"/>
    <mergeCell ref="W369:W370"/>
    <mergeCell ref="X369:X370"/>
    <mergeCell ref="Y369:Y370"/>
    <mergeCell ref="Z369:Z370"/>
    <mergeCell ref="AA369:AA370"/>
    <mergeCell ref="AB369:AB370"/>
    <mergeCell ref="X379:X380"/>
    <mergeCell ref="Y379:Y380"/>
    <mergeCell ref="Z379:Z380"/>
    <mergeCell ref="AA379:AA380"/>
    <mergeCell ref="J379:J380"/>
    <mergeCell ref="L379:L400"/>
    <mergeCell ref="M379:M400"/>
    <mergeCell ref="S379:S380"/>
    <mergeCell ref="T379:T380"/>
    <mergeCell ref="U379:U380"/>
    <mergeCell ref="T392:T393"/>
    <mergeCell ref="U392:U393"/>
    <mergeCell ref="AO369:AO370"/>
    <mergeCell ref="AP369:AP370"/>
    <mergeCell ref="AQ369:AQ370"/>
    <mergeCell ref="AR369:AR370"/>
    <mergeCell ref="AS369:AS370"/>
    <mergeCell ref="AB390:AB391"/>
    <mergeCell ref="AC390:AC391"/>
    <mergeCell ref="AT379:AT380"/>
    <mergeCell ref="C390:C391"/>
    <mergeCell ref="F390:F391"/>
    <mergeCell ref="H390:H391"/>
    <mergeCell ref="J390:J391"/>
    <mergeCell ref="S390:S391"/>
    <mergeCell ref="T390:T391"/>
    <mergeCell ref="U390:U391"/>
    <mergeCell ref="V390:V391"/>
    <mergeCell ref="W390:W391"/>
    <mergeCell ref="AN379:AN380"/>
    <mergeCell ref="AO379:AO380"/>
    <mergeCell ref="AP379:AP380"/>
    <mergeCell ref="AQ379:AQ380"/>
    <mergeCell ref="AR379:AR380"/>
    <mergeCell ref="AS379:AS380"/>
    <mergeCell ref="AH379:AH380"/>
    <mergeCell ref="AI379:AI380"/>
    <mergeCell ref="AJ379:AJ380"/>
    <mergeCell ref="AK379:AK380"/>
    <mergeCell ref="AL379:AL380"/>
    <mergeCell ref="AM379:AM380"/>
    <mergeCell ref="AB379:AB380"/>
    <mergeCell ref="AC379:AC380"/>
    <mergeCell ref="AD379:AD380"/>
    <mergeCell ref="AE379:AE380"/>
    <mergeCell ref="AF379:AF380"/>
    <mergeCell ref="AG379:AG380"/>
    <mergeCell ref="V379:V380"/>
    <mergeCell ref="W379:W380"/>
    <mergeCell ref="V392:V393"/>
    <mergeCell ref="W392:W393"/>
    <mergeCell ref="X392:X393"/>
    <mergeCell ref="Y392:Y393"/>
    <mergeCell ref="Z392:Z393"/>
    <mergeCell ref="AA392:AA393"/>
    <mergeCell ref="AP390:AP391"/>
    <mergeCell ref="AQ390:AQ391"/>
    <mergeCell ref="AR390:AR391"/>
    <mergeCell ref="AS390:AS391"/>
    <mergeCell ref="AT390:AT391"/>
    <mergeCell ref="C392:C393"/>
    <mergeCell ref="F392:F393"/>
    <mergeCell ref="H392:H393"/>
    <mergeCell ref="J392:J393"/>
    <mergeCell ref="S392:S393"/>
    <mergeCell ref="AJ390:AJ391"/>
    <mergeCell ref="AK390:AK391"/>
    <mergeCell ref="AL390:AL391"/>
    <mergeCell ref="AM390:AM391"/>
    <mergeCell ref="AN390:AN391"/>
    <mergeCell ref="AO390:AO391"/>
    <mergeCell ref="AD390:AD391"/>
    <mergeCell ref="AE390:AE391"/>
    <mergeCell ref="AF390:AF391"/>
    <mergeCell ref="AG390:AG391"/>
    <mergeCell ref="AH390:AH391"/>
    <mergeCell ref="AI390:AI391"/>
    <mergeCell ref="X390:X391"/>
    <mergeCell ref="Y390:Y391"/>
    <mergeCell ref="Z390:Z391"/>
    <mergeCell ref="AA390:AA391"/>
    <mergeCell ref="W402:W403"/>
    <mergeCell ref="X402:X403"/>
    <mergeCell ref="Y402:Y403"/>
    <mergeCell ref="Z402:Z403"/>
    <mergeCell ref="AT392:AT393"/>
    <mergeCell ref="A402:A423"/>
    <mergeCell ref="B402:B423"/>
    <mergeCell ref="C402:C403"/>
    <mergeCell ref="F402:F403"/>
    <mergeCell ref="H402:H403"/>
    <mergeCell ref="J402:J403"/>
    <mergeCell ref="L402:L423"/>
    <mergeCell ref="M402:M423"/>
    <mergeCell ref="T402:T403"/>
    <mergeCell ref="AN392:AN393"/>
    <mergeCell ref="AO392:AO393"/>
    <mergeCell ref="AP392:AP393"/>
    <mergeCell ref="AQ392:AQ393"/>
    <mergeCell ref="AR392:AR393"/>
    <mergeCell ref="AS392:AS393"/>
    <mergeCell ref="AH392:AH393"/>
    <mergeCell ref="AI392:AI393"/>
    <mergeCell ref="AJ392:AJ393"/>
    <mergeCell ref="AK392:AK393"/>
    <mergeCell ref="AL392:AL393"/>
    <mergeCell ref="AM392:AM393"/>
    <mergeCell ref="AB392:AB393"/>
    <mergeCell ref="AC392:AC393"/>
    <mergeCell ref="AD392:AD393"/>
    <mergeCell ref="AE392:AE393"/>
    <mergeCell ref="AF392:AF393"/>
    <mergeCell ref="AG392:AG393"/>
    <mergeCell ref="AA413:AA414"/>
    <mergeCell ref="AB413:AB414"/>
    <mergeCell ref="AS402:AS403"/>
    <mergeCell ref="AT402:AT403"/>
    <mergeCell ref="AU402:AU403"/>
    <mergeCell ref="C413:C414"/>
    <mergeCell ref="F413:F414"/>
    <mergeCell ref="H413:H414"/>
    <mergeCell ref="J413:J414"/>
    <mergeCell ref="T413:T414"/>
    <mergeCell ref="U413:U414"/>
    <mergeCell ref="V413:V414"/>
    <mergeCell ref="AM402:AM403"/>
    <mergeCell ref="AN402:AN403"/>
    <mergeCell ref="AO402:AO403"/>
    <mergeCell ref="AP402:AP403"/>
    <mergeCell ref="AQ402:AQ403"/>
    <mergeCell ref="AR402:AR403"/>
    <mergeCell ref="AG402:AG403"/>
    <mergeCell ref="AH402:AH403"/>
    <mergeCell ref="AI402:AI403"/>
    <mergeCell ref="AJ402:AJ403"/>
    <mergeCell ref="AK402:AK403"/>
    <mergeCell ref="AL402:AL403"/>
    <mergeCell ref="AA402:AA403"/>
    <mergeCell ref="AB402:AB403"/>
    <mergeCell ref="AC402:AC403"/>
    <mergeCell ref="AD402:AD403"/>
    <mergeCell ref="AE402:AE403"/>
    <mergeCell ref="AF402:AF403"/>
    <mergeCell ref="U402:U403"/>
    <mergeCell ref="V402:V403"/>
    <mergeCell ref="AU413:AU414"/>
    <mergeCell ref="C415:C416"/>
    <mergeCell ref="F415:F416"/>
    <mergeCell ref="H415:H416"/>
    <mergeCell ref="J415:J416"/>
    <mergeCell ref="T415:T416"/>
    <mergeCell ref="U415:U416"/>
    <mergeCell ref="V415:V416"/>
    <mergeCell ref="W415:W416"/>
    <mergeCell ref="X415:X416"/>
    <mergeCell ref="AO413:AO414"/>
    <mergeCell ref="AP413:AP414"/>
    <mergeCell ref="AQ413:AQ414"/>
    <mergeCell ref="AR413:AR414"/>
    <mergeCell ref="AS413:AS414"/>
    <mergeCell ref="AT413:AT414"/>
    <mergeCell ref="AI413:AI414"/>
    <mergeCell ref="AJ413:AJ414"/>
    <mergeCell ref="AK413:AK414"/>
    <mergeCell ref="AL413:AL414"/>
    <mergeCell ref="AM413:AM414"/>
    <mergeCell ref="AN413:AN414"/>
    <mergeCell ref="AC413:AC414"/>
    <mergeCell ref="AD413:AD414"/>
    <mergeCell ref="AE413:AE414"/>
    <mergeCell ref="AF413:AF414"/>
    <mergeCell ref="AG413:AG414"/>
    <mergeCell ref="AH413:AH414"/>
    <mergeCell ref="W413:W414"/>
    <mergeCell ref="X413:X414"/>
    <mergeCell ref="Y413:Y414"/>
    <mergeCell ref="Z413:Z414"/>
    <mergeCell ref="A425:A446"/>
    <mergeCell ref="B425:B446"/>
    <mergeCell ref="C425:C426"/>
    <mergeCell ref="F425:F426"/>
    <mergeCell ref="H425:H426"/>
    <mergeCell ref="AK415:AK416"/>
    <mergeCell ref="AL415:AL416"/>
    <mergeCell ref="AM415:AM416"/>
    <mergeCell ref="AN415:AN416"/>
    <mergeCell ref="AO415:AO416"/>
    <mergeCell ref="AP415:AP416"/>
    <mergeCell ref="AE415:AE416"/>
    <mergeCell ref="AF415:AF416"/>
    <mergeCell ref="AG415:AG416"/>
    <mergeCell ref="AH415:AH416"/>
    <mergeCell ref="AI415:AI416"/>
    <mergeCell ref="AJ415:AJ416"/>
    <mergeCell ref="Y415:Y416"/>
    <mergeCell ref="Z415:Z416"/>
    <mergeCell ref="AA415:AA416"/>
    <mergeCell ref="AB415:AB416"/>
    <mergeCell ref="AC415:AC416"/>
    <mergeCell ref="AD415:AD416"/>
    <mergeCell ref="Z425:Z426"/>
    <mergeCell ref="AA425:AA426"/>
    <mergeCell ref="AB425:AB426"/>
    <mergeCell ref="AC425:AC426"/>
    <mergeCell ref="J425:J426"/>
    <mergeCell ref="L425:L446"/>
    <mergeCell ref="M425:M446"/>
    <mergeCell ref="U425:U426"/>
    <mergeCell ref="V425:V426"/>
    <mergeCell ref="W425:W426"/>
    <mergeCell ref="V438:V439"/>
    <mergeCell ref="W438:W439"/>
    <mergeCell ref="AQ415:AQ416"/>
    <mergeCell ref="AR415:AR416"/>
    <mergeCell ref="AS415:AS416"/>
    <mergeCell ref="AT415:AT416"/>
    <mergeCell ref="AU415:AU416"/>
    <mergeCell ref="AD436:AD437"/>
    <mergeCell ref="AE436:AE437"/>
    <mergeCell ref="AV425:AV426"/>
    <mergeCell ref="C436:C437"/>
    <mergeCell ref="F436:F437"/>
    <mergeCell ref="H436:H437"/>
    <mergeCell ref="J436:J437"/>
    <mergeCell ref="U436:U437"/>
    <mergeCell ref="V436:V437"/>
    <mergeCell ref="W436:W437"/>
    <mergeCell ref="X436:X437"/>
    <mergeCell ref="Y436:Y437"/>
    <mergeCell ref="AP425:AP426"/>
    <mergeCell ref="AQ425:AQ426"/>
    <mergeCell ref="AR425:AR426"/>
    <mergeCell ref="AS425:AS426"/>
    <mergeCell ref="AT425:AT426"/>
    <mergeCell ref="AU425:AU426"/>
    <mergeCell ref="AJ425:AJ426"/>
    <mergeCell ref="AK425:AK426"/>
    <mergeCell ref="AL425:AL426"/>
    <mergeCell ref="AM425:AM426"/>
    <mergeCell ref="AN425:AN426"/>
    <mergeCell ref="AO425:AO426"/>
    <mergeCell ref="AD425:AD426"/>
    <mergeCell ref="AE425:AE426"/>
    <mergeCell ref="AF425:AF426"/>
    <mergeCell ref="AG425:AG426"/>
    <mergeCell ref="AH425:AH426"/>
    <mergeCell ref="AI425:AI426"/>
    <mergeCell ref="X425:X426"/>
    <mergeCell ref="Y425:Y426"/>
    <mergeCell ref="X438:X439"/>
    <mergeCell ref="Y438:Y439"/>
    <mergeCell ref="Z438:Z439"/>
    <mergeCell ref="AA438:AA439"/>
    <mergeCell ref="AB438:AB439"/>
    <mergeCell ref="AC438:AC439"/>
    <mergeCell ref="AR436:AR437"/>
    <mergeCell ref="AS436:AS437"/>
    <mergeCell ref="AT436:AT437"/>
    <mergeCell ref="AU436:AU437"/>
    <mergeCell ref="AV436:AV437"/>
    <mergeCell ref="C438:C439"/>
    <mergeCell ref="F438:F439"/>
    <mergeCell ref="H438:H439"/>
    <mergeCell ref="J438:J439"/>
    <mergeCell ref="U438:U439"/>
    <mergeCell ref="AL436:AL437"/>
    <mergeCell ref="AM436:AM437"/>
    <mergeCell ref="AN436:AN437"/>
    <mergeCell ref="AO436:AO437"/>
    <mergeCell ref="AP436:AP437"/>
    <mergeCell ref="AQ436:AQ437"/>
    <mergeCell ref="AF436:AF437"/>
    <mergeCell ref="AG436:AG437"/>
    <mergeCell ref="AH436:AH437"/>
    <mergeCell ref="AI436:AI437"/>
    <mergeCell ref="AJ436:AJ437"/>
    <mergeCell ref="AK436:AK437"/>
    <mergeCell ref="Z436:Z437"/>
    <mergeCell ref="AA436:AA437"/>
    <mergeCell ref="AB436:AB437"/>
    <mergeCell ref="AC436:AC437"/>
    <mergeCell ref="Y448:Y449"/>
    <mergeCell ref="Z448:Z449"/>
    <mergeCell ref="AA448:AA449"/>
    <mergeCell ref="AB448:AB449"/>
    <mergeCell ref="AV438:AV439"/>
    <mergeCell ref="A448:A469"/>
    <mergeCell ref="B448:B469"/>
    <mergeCell ref="C448:C449"/>
    <mergeCell ref="F448:F449"/>
    <mergeCell ref="H448:H449"/>
    <mergeCell ref="J448:J449"/>
    <mergeCell ref="L448:L469"/>
    <mergeCell ref="M448:M469"/>
    <mergeCell ref="V448:V449"/>
    <mergeCell ref="AP438:AP439"/>
    <mergeCell ref="AQ438:AQ439"/>
    <mergeCell ref="AR438:AR439"/>
    <mergeCell ref="AS438:AS439"/>
    <mergeCell ref="AT438:AT439"/>
    <mergeCell ref="AU438:AU439"/>
    <mergeCell ref="AJ438:AJ439"/>
    <mergeCell ref="AK438:AK439"/>
    <mergeCell ref="AL438:AL439"/>
    <mergeCell ref="AM438:AM439"/>
    <mergeCell ref="AN438:AN439"/>
    <mergeCell ref="AO438:AO439"/>
    <mergeCell ref="AD438:AD439"/>
    <mergeCell ref="AE438:AE439"/>
    <mergeCell ref="AF438:AF439"/>
    <mergeCell ref="AG438:AG439"/>
    <mergeCell ref="AH438:AH439"/>
    <mergeCell ref="AI438:AI439"/>
    <mergeCell ref="AC459:AC460"/>
    <mergeCell ref="AD459:AD460"/>
    <mergeCell ref="AU448:AU449"/>
    <mergeCell ref="AV448:AV449"/>
    <mergeCell ref="AW448:AW449"/>
    <mergeCell ref="C459:C460"/>
    <mergeCell ref="F459:F460"/>
    <mergeCell ref="H459:H460"/>
    <mergeCell ref="J459:J460"/>
    <mergeCell ref="V459:V460"/>
    <mergeCell ref="W459:W460"/>
    <mergeCell ref="X459:X460"/>
    <mergeCell ref="AO448:AO449"/>
    <mergeCell ref="AP448:AP449"/>
    <mergeCell ref="AQ448:AQ449"/>
    <mergeCell ref="AR448:AR449"/>
    <mergeCell ref="AS448:AS449"/>
    <mergeCell ref="AT448:AT449"/>
    <mergeCell ref="AI448:AI449"/>
    <mergeCell ref="AJ448:AJ449"/>
    <mergeCell ref="AK448:AK449"/>
    <mergeCell ref="AL448:AL449"/>
    <mergeCell ref="AM448:AM449"/>
    <mergeCell ref="AN448:AN449"/>
    <mergeCell ref="AC448:AC449"/>
    <mergeCell ref="AD448:AD449"/>
    <mergeCell ref="AE448:AE449"/>
    <mergeCell ref="AF448:AF449"/>
    <mergeCell ref="AG448:AG449"/>
    <mergeCell ref="AH448:AH449"/>
    <mergeCell ref="W448:W449"/>
    <mergeCell ref="X448:X449"/>
    <mergeCell ref="AW459:AW460"/>
    <mergeCell ref="C461:C462"/>
    <mergeCell ref="F461:F462"/>
    <mergeCell ref="H461:H462"/>
    <mergeCell ref="J461:J462"/>
    <mergeCell ref="V461:V462"/>
    <mergeCell ref="W461:W462"/>
    <mergeCell ref="X461:X462"/>
    <mergeCell ref="Y461:Y462"/>
    <mergeCell ref="Z461:Z462"/>
    <mergeCell ref="AQ459:AQ460"/>
    <mergeCell ref="AR459:AR460"/>
    <mergeCell ref="AS459:AS460"/>
    <mergeCell ref="AT459:AT460"/>
    <mergeCell ref="AU459:AU460"/>
    <mergeCell ref="AV459:AV460"/>
    <mergeCell ref="AK459:AK460"/>
    <mergeCell ref="AL459:AL460"/>
    <mergeCell ref="AM459:AM460"/>
    <mergeCell ref="AN459:AN460"/>
    <mergeCell ref="AO459:AO460"/>
    <mergeCell ref="AP459:AP460"/>
    <mergeCell ref="AE459:AE460"/>
    <mergeCell ref="AF459:AF460"/>
    <mergeCell ref="AG459:AG460"/>
    <mergeCell ref="AH459:AH460"/>
    <mergeCell ref="AI459:AI460"/>
    <mergeCell ref="AJ459:AJ460"/>
    <mergeCell ref="Y459:Y460"/>
    <mergeCell ref="Z459:Z460"/>
    <mergeCell ref="AA459:AA460"/>
    <mergeCell ref="AB459:AB460"/>
    <mergeCell ref="A471:A492"/>
    <mergeCell ref="B471:B492"/>
    <mergeCell ref="C471:C472"/>
    <mergeCell ref="F471:F472"/>
    <mergeCell ref="H471:H472"/>
    <mergeCell ref="AM461:AM462"/>
    <mergeCell ref="AN461:AN462"/>
    <mergeCell ref="AO461:AO462"/>
    <mergeCell ref="AP461:AP462"/>
    <mergeCell ref="AQ461:AQ462"/>
    <mergeCell ref="AR461:AR462"/>
    <mergeCell ref="AG461:AG462"/>
    <mergeCell ref="AH461:AH462"/>
    <mergeCell ref="AI461:AI462"/>
    <mergeCell ref="AJ461:AJ462"/>
    <mergeCell ref="AK461:AK462"/>
    <mergeCell ref="AL461:AL462"/>
    <mergeCell ref="AA461:AA462"/>
    <mergeCell ref="AB461:AB462"/>
    <mergeCell ref="AC461:AC462"/>
    <mergeCell ref="AD461:AD462"/>
    <mergeCell ref="AE461:AE462"/>
    <mergeCell ref="AF461:AF462"/>
    <mergeCell ref="AB471:AB472"/>
    <mergeCell ref="AC471:AC472"/>
    <mergeCell ref="AD471:AD472"/>
    <mergeCell ref="AE471:AE472"/>
    <mergeCell ref="J471:J472"/>
    <mergeCell ref="L471:L492"/>
    <mergeCell ref="M471:M492"/>
    <mergeCell ref="W471:W472"/>
    <mergeCell ref="X471:X472"/>
    <mergeCell ref="Y471:Y472"/>
    <mergeCell ref="X484:X485"/>
    <mergeCell ref="Y484:Y485"/>
    <mergeCell ref="AS461:AS462"/>
    <mergeCell ref="AT461:AT462"/>
    <mergeCell ref="AU461:AU462"/>
    <mergeCell ref="AV461:AV462"/>
    <mergeCell ref="AW461:AW462"/>
    <mergeCell ref="AF482:AF483"/>
    <mergeCell ref="AG482:AG483"/>
    <mergeCell ref="AX471:AX472"/>
    <mergeCell ref="C482:C483"/>
    <mergeCell ref="F482:F483"/>
    <mergeCell ref="H482:H483"/>
    <mergeCell ref="J482:J483"/>
    <mergeCell ref="W482:W483"/>
    <mergeCell ref="X482:X483"/>
    <mergeCell ref="Y482:Y483"/>
    <mergeCell ref="Z482:Z483"/>
    <mergeCell ref="AA482:AA483"/>
    <mergeCell ref="AR471:AR472"/>
    <mergeCell ref="AS471:AS472"/>
    <mergeCell ref="AT471:AT472"/>
    <mergeCell ref="AU471:AU472"/>
    <mergeCell ref="AV471:AV472"/>
    <mergeCell ref="AW471:AW472"/>
    <mergeCell ref="AL471:AL472"/>
    <mergeCell ref="AM471:AM472"/>
    <mergeCell ref="AN471:AN472"/>
    <mergeCell ref="AO471:AO472"/>
    <mergeCell ref="AP471:AP472"/>
    <mergeCell ref="AQ471:AQ472"/>
    <mergeCell ref="AF471:AF472"/>
    <mergeCell ref="AG471:AG472"/>
    <mergeCell ref="AH471:AH472"/>
    <mergeCell ref="AI471:AI472"/>
    <mergeCell ref="AJ471:AJ472"/>
    <mergeCell ref="AK471:AK472"/>
    <mergeCell ref="Z471:Z472"/>
    <mergeCell ref="AA471:AA472"/>
    <mergeCell ref="Z484:Z485"/>
    <mergeCell ref="AA484:AA485"/>
    <mergeCell ref="AB484:AB485"/>
    <mergeCell ref="AC484:AC485"/>
    <mergeCell ref="AD484:AD485"/>
    <mergeCell ref="AE484:AE485"/>
    <mergeCell ref="AT482:AT483"/>
    <mergeCell ref="AU482:AU483"/>
    <mergeCell ref="AV482:AV483"/>
    <mergeCell ref="AW482:AW483"/>
    <mergeCell ref="AX482:AX483"/>
    <mergeCell ref="C484:C485"/>
    <mergeCell ref="F484:F485"/>
    <mergeCell ref="H484:H485"/>
    <mergeCell ref="J484:J485"/>
    <mergeCell ref="W484:W485"/>
    <mergeCell ref="AN482:AN483"/>
    <mergeCell ref="AO482:AO483"/>
    <mergeCell ref="AP482:AP483"/>
    <mergeCell ref="AQ482:AQ483"/>
    <mergeCell ref="AR482:AR483"/>
    <mergeCell ref="AS482:AS483"/>
    <mergeCell ref="AH482:AH483"/>
    <mergeCell ref="AI482:AI483"/>
    <mergeCell ref="AJ482:AJ483"/>
    <mergeCell ref="AK482:AK483"/>
    <mergeCell ref="AL482:AL483"/>
    <mergeCell ref="AM482:AM483"/>
    <mergeCell ref="AB482:AB483"/>
    <mergeCell ref="AC482:AC483"/>
    <mergeCell ref="AD482:AD483"/>
    <mergeCell ref="AE482:AE483"/>
    <mergeCell ref="AA494:AA495"/>
    <mergeCell ref="AB494:AB495"/>
    <mergeCell ref="AC494:AC495"/>
    <mergeCell ref="AD494:AD495"/>
    <mergeCell ref="AX484:AX485"/>
    <mergeCell ref="A494:A515"/>
    <mergeCell ref="B494:B515"/>
    <mergeCell ref="C494:C495"/>
    <mergeCell ref="F494:F495"/>
    <mergeCell ref="H494:H495"/>
    <mergeCell ref="J494:J495"/>
    <mergeCell ref="L494:L515"/>
    <mergeCell ref="M494:M515"/>
    <mergeCell ref="X494:X495"/>
    <mergeCell ref="AR484:AR485"/>
    <mergeCell ref="AS484:AS485"/>
    <mergeCell ref="AT484:AT485"/>
    <mergeCell ref="AU484:AU485"/>
    <mergeCell ref="AV484:AV485"/>
    <mergeCell ref="AW484:AW485"/>
    <mergeCell ref="AL484:AL485"/>
    <mergeCell ref="AM484:AM485"/>
    <mergeCell ref="AN484:AN485"/>
    <mergeCell ref="AO484:AO485"/>
    <mergeCell ref="AP484:AP485"/>
    <mergeCell ref="AQ484:AQ485"/>
    <mergeCell ref="AF484:AF485"/>
    <mergeCell ref="AG484:AG485"/>
    <mergeCell ref="AH484:AH485"/>
    <mergeCell ref="AI484:AI485"/>
    <mergeCell ref="AJ484:AJ485"/>
    <mergeCell ref="AK484:AK485"/>
    <mergeCell ref="AE505:AE506"/>
    <mergeCell ref="AF505:AF506"/>
    <mergeCell ref="AW494:AW495"/>
    <mergeCell ref="AX494:AX495"/>
    <mergeCell ref="AY494:AY495"/>
    <mergeCell ref="C505:C506"/>
    <mergeCell ref="F505:F506"/>
    <mergeCell ref="H505:H506"/>
    <mergeCell ref="J505:J506"/>
    <mergeCell ref="X505:X506"/>
    <mergeCell ref="Y505:Y506"/>
    <mergeCell ref="Z505:Z506"/>
    <mergeCell ref="AQ494:AQ495"/>
    <mergeCell ref="AR494:AR495"/>
    <mergeCell ref="AS494:AS495"/>
    <mergeCell ref="AT494:AT495"/>
    <mergeCell ref="AU494:AU495"/>
    <mergeCell ref="AV494:AV495"/>
    <mergeCell ref="AK494:AK495"/>
    <mergeCell ref="AL494:AL495"/>
    <mergeCell ref="AM494:AM495"/>
    <mergeCell ref="AN494:AN495"/>
    <mergeCell ref="AO494:AO495"/>
    <mergeCell ref="AP494:AP495"/>
    <mergeCell ref="AE494:AE495"/>
    <mergeCell ref="AF494:AF495"/>
    <mergeCell ref="AG494:AG495"/>
    <mergeCell ref="AH494:AH495"/>
    <mergeCell ref="AI494:AI495"/>
    <mergeCell ref="AJ494:AJ495"/>
    <mergeCell ref="Y494:Y495"/>
    <mergeCell ref="Z494:Z495"/>
    <mergeCell ref="AY505:AY506"/>
    <mergeCell ref="C507:C508"/>
    <mergeCell ref="F507:F508"/>
    <mergeCell ref="H507:H508"/>
    <mergeCell ref="J507:J508"/>
    <mergeCell ref="X507:X508"/>
    <mergeCell ref="Y507:Y508"/>
    <mergeCell ref="Z507:Z508"/>
    <mergeCell ref="AA507:AA508"/>
    <mergeCell ref="AB507:AB508"/>
    <mergeCell ref="AS505:AS506"/>
    <mergeCell ref="AT505:AT506"/>
    <mergeCell ref="AU505:AU506"/>
    <mergeCell ref="AV505:AV506"/>
    <mergeCell ref="AW505:AW506"/>
    <mergeCell ref="AX505:AX506"/>
    <mergeCell ref="AM505:AM506"/>
    <mergeCell ref="AN505:AN506"/>
    <mergeCell ref="AO505:AO506"/>
    <mergeCell ref="AP505:AP506"/>
    <mergeCell ref="AQ505:AQ506"/>
    <mergeCell ref="AR505:AR506"/>
    <mergeCell ref="AG505:AG506"/>
    <mergeCell ref="AH505:AH506"/>
    <mergeCell ref="AI505:AI506"/>
    <mergeCell ref="AJ505:AJ506"/>
    <mergeCell ref="AK505:AK506"/>
    <mergeCell ref="AL505:AL506"/>
    <mergeCell ref="AA505:AA506"/>
    <mergeCell ref="AB505:AB506"/>
    <mergeCell ref="AC505:AC506"/>
    <mergeCell ref="AD505:AD506"/>
    <mergeCell ref="A517:A556"/>
    <mergeCell ref="B517:B556"/>
    <mergeCell ref="C517:C518"/>
    <mergeCell ref="F517:F518"/>
    <mergeCell ref="H517:H518"/>
    <mergeCell ref="AO507:AO508"/>
    <mergeCell ref="AP507:AP508"/>
    <mergeCell ref="AQ507:AQ508"/>
    <mergeCell ref="AR507:AR508"/>
    <mergeCell ref="AS507:AS508"/>
    <mergeCell ref="AT507:AT508"/>
    <mergeCell ref="AI507:AI508"/>
    <mergeCell ref="AJ507:AJ508"/>
    <mergeCell ref="AK507:AK508"/>
    <mergeCell ref="AL507:AL508"/>
    <mergeCell ref="AM507:AM508"/>
    <mergeCell ref="AN507:AN508"/>
    <mergeCell ref="AC507:AC508"/>
    <mergeCell ref="AD507:AD508"/>
    <mergeCell ref="AE507:AE508"/>
    <mergeCell ref="AF507:AF508"/>
    <mergeCell ref="AG507:AG508"/>
    <mergeCell ref="AH507:AH508"/>
    <mergeCell ref="T517:T518"/>
    <mergeCell ref="U517:U518"/>
    <mergeCell ref="V517:V518"/>
    <mergeCell ref="W517:W518"/>
    <mergeCell ref="X517:X518"/>
    <mergeCell ref="Y517:Y518"/>
    <mergeCell ref="J517:J518"/>
    <mergeCell ref="O517:O518"/>
    <mergeCell ref="P517:P518"/>
    <mergeCell ref="Q517:Q518"/>
    <mergeCell ref="R517:R518"/>
    <mergeCell ref="S517:S518"/>
    <mergeCell ref="AU507:AU508"/>
    <mergeCell ref="AV507:AV508"/>
    <mergeCell ref="AW507:AW508"/>
    <mergeCell ref="AX507:AX508"/>
    <mergeCell ref="AY507:AY508"/>
    <mergeCell ref="AL517:AL518"/>
    <mergeCell ref="AM517:AM518"/>
    <mergeCell ref="AN517:AN518"/>
    <mergeCell ref="AO517:AO518"/>
    <mergeCell ref="AP517:AP518"/>
    <mergeCell ref="AQ517:AQ518"/>
    <mergeCell ref="AF517:AF518"/>
    <mergeCell ref="AG517:AG518"/>
    <mergeCell ref="AH517:AH518"/>
    <mergeCell ref="AI517:AI518"/>
    <mergeCell ref="AJ517:AJ518"/>
    <mergeCell ref="AK517:AK518"/>
    <mergeCell ref="Z517:Z518"/>
    <mergeCell ref="AA517:AA518"/>
    <mergeCell ref="AB517:AB518"/>
    <mergeCell ref="AC517:AC518"/>
    <mergeCell ref="AD517:AD518"/>
    <mergeCell ref="AE517:AE518"/>
    <mergeCell ref="W519:W520"/>
    <mergeCell ref="X519:X520"/>
    <mergeCell ref="Y519:Y520"/>
    <mergeCell ref="Z519:Z520"/>
    <mergeCell ref="AA519:AA520"/>
    <mergeCell ref="AB519:AB520"/>
    <mergeCell ref="Q519:Q520"/>
    <mergeCell ref="R519:R520"/>
    <mergeCell ref="S519:S520"/>
    <mergeCell ref="T519:T520"/>
    <mergeCell ref="U519:U520"/>
    <mergeCell ref="V519:V520"/>
    <mergeCell ref="C519:C520"/>
    <mergeCell ref="F519:F520"/>
    <mergeCell ref="H519:H520"/>
    <mergeCell ref="J519:J520"/>
    <mergeCell ref="O519:O520"/>
    <mergeCell ref="P519:P520"/>
    <mergeCell ref="Z521:Z522"/>
    <mergeCell ref="AA521:AA522"/>
    <mergeCell ref="AB521:AB522"/>
    <mergeCell ref="AC521:AC522"/>
    <mergeCell ref="R521:R522"/>
    <mergeCell ref="S521:S522"/>
    <mergeCell ref="T521:T522"/>
    <mergeCell ref="U521:U522"/>
    <mergeCell ref="V521:V522"/>
    <mergeCell ref="W521:W522"/>
    <mergeCell ref="AO519:AO520"/>
    <mergeCell ref="AP519:AP520"/>
    <mergeCell ref="AQ519:AQ520"/>
    <mergeCell ref="C521:C522"/>
    <mergeCell ref="F521:F522"/>
    <mergeCell ref="H521:H522"/>
    <mergeCell ref="J521:J522"/>
    <mergeCell ref="O521:O522"/>
    <mergeCell ref="P521:P522"/>
    <mergeCell ref="Q521:Q522"/>
    <mergeCell ref="AI519:AI520"/>
    <mergeCell ref="AJ519:AJ520"/>
    <mergeCell ref="AK519:AK520"/>
    <mergeCell ref="AL519:AL520"/>
    <mergeCell ref="AM519:AM520"/>
    <mergeCell ref="AN519:AN520"/>
    <mergeCell ref="AC519:AC520"/>
    <mergeCell ref="AD519:AD520"/>
    <mergeCell ref="AE519:AE520"/>
    <mergeCell ref="AF519:AF520"/>
    <mergeCell ref="AG519:AG520"/>
    <mergeCell ref="AH519:AH520"/>
    <mergeCell ref="AC523:AC524"/>
    <mergeCell ref="AD523:AD524"/>
    <mergeCell ref="S523:S524"/>
    <mergeCell ref="T523:T524"/>
    <mergeCell ref="U523:U524"/>
    <mergeCell ref="V523:V524"/>
    <mergeCell ref="W523:W524"/>
    <mergeCell ref="X523:X524"/>
    <mergeCell ref="AP521:AP522"/>
    <mergeCell ref="AQ521:AQ522"/>
    <mergeCell ref="C523:C524"/>
    <mergeCell ref="F523:F524"/>
    <mergeCell ref="H523:H524"/>
    <mergeCell ref="J523:J524"/>
    <mergeCell ref="O523:O524"/>
    <mergeCell ref="P523:P524"/>
    <mergeCell ref="Q523:Q524"/>
    <mergeCell ref="R523:R524"/>
    <mergeCell ref="AJ521:AJ522"/>
    <mergeCell ref="AK521:AK522"/>
    <mergeCell ref="AL521:AL522"/>
    <mergeCell ref="AM521:AM522"/>
    <mergeCell ref="AN521:AN522"/>
    <mergeCell ref="AO521:AO522"/>
    <mergeCell ref="AD521:AD522"/>
    <mergeCell ref="AE521:AE522"/>
    <mergeCell ref="AF521:AF522"/>
    <mergeCell ref="AG521:AG522"/>
    <mergeCell ref="AH521:AH522"/>
    <mergeCell ref="AI521:AI522"/>
    <mergeCell ref="X521:X522"/>
    <mergeCell ref="Y521:Y522"/>
    <mergeCell ref="T527:T528"/>
    <mergeCell ref="U527:U528"/>
    <mergeCell ref="V527:V528"/>
    <mergeCell ref="W527:W528"/>
    <mergeCell ref="X527:X528"/>
    <mergeCell ref="Y527:Y528"/>
    <mergeCell ref="AQ523:AQ524"/>
    <mergeCell ref="C527:C528"/>
    <mergeCell ref="F527:F528"/>
    <mergeCell ref="H527:H528"/>
    <mergeCell ref="J527:J528"/>
    <mergeCell ref="O527:O528"/>
    <mergeCell ref="P527:P528"/>
    <mergeCell ref="Q527:Q528"/>
    <mergeCell ref="R527:R528"/>
    <mergeCell ref="S527:S528"/>
    <mergeCell ref="AK523:AK524"/>
    <mergeCell ref="AL523:AL524"/>
    <mergeCell ref="AM523:AM524"/>
    <mergeCell ref="AN523:AN524"/>
    <mergeCell ref="AO523:AO524"/>
    <mergeCell ref="AP523:AP524"/>
    <mergeCell ref="AE523:AE524"/>
    <mergeCell ref="AF523:AF524"/>
    <mergeCell ref="AG523:AG524"/>
    <mergeCell ref="AH523:AH524"/>
    <mergeCell ref="AI523:AI524"/>
    <mergeCell ref="AJ523:AJ524"/>
    <mergeCell ref="Y523:Y524"/>
    <mergeCell ref="Z523:Z524"/>
    <mergeCell ref="AA523:AA524"/>
    <mergeCell ref="AB523:AB524"/>
    <mergeCell ref="AL527:AL528"/>
    <mergeCell ref="AM527:AM528"/>
    <mergeCell ref="AN527:AN528"/>
    <mergeCell ref="AO527:AO528"/>
    <mergeCell ref="AP527:AP528"/>
    <mergeCell ref="AQ527:AQ528"/>
    <mergeCell ref="AF527:AF528"/>
    <mergeCell ref="AG527:AG528"/>
    <mergeCell ref="AH527:AH528"/>
    <mergeCell ref="AI527:AI528"/>
    <mergeCell ref="AJ527:AJ528"/>
    <mergeCell ref="AK527:AK528"/>
    <mergeCell ref="Z527:Z528"/>
    <mergeCell ref="AA527:AA528"/>
    <mergeCell ref="AB527:AB528"/>
    <mergeCell ref="AC527:AC528"/>
    <mergeCell ref="AD527:AD528"/>
    <mergeCell ref="AE527:AE528"/>
    <mergeCell ref="W529:W530"/>
    <mergeCell ref="X529:X530"/>
    <mergeCell ref="Y529:Y530"/>
    <mergeCell ref="Z529:Z530"/>
    <mergeCell ref="AA529:AA530"/>
    <mergeCell ref="AB529:AB530"/>
    <mergeCell ref="Q529:Q530"/>
    <mergeCell ref="R529:R530"/>
    <mergeCell ref="S529:S530"/>
    <mergeCell ref="T529:T530"/>
    <mergeCell ref="U529:U530"/>
    <mergeCell ref="V529:V530"/>
    <mergeCell ref="C529:C530"/>
    <mergeCell ref="F529:F530"/>
    <mergeCell ref="H529:H530"/>
    <mergeCell ref="J529:J530"/>
    <mergeCell ref="O529:O530"/>
    <mergeCell ref="P529:P530"/>
    <mergeCell ref="Z531:Z532"/>
    <mergeCell ref="AA531:AA532"/>
    <mergeCell ref="AB531:AB532"/>
    <mergeCell ref="AC531:AC532"/>
    <mergeCell ref="R531:R532"/>
    <mergeCell ref="S531:S532"/>
    <mergeCell ref="T531:T532"/>
    <mergeCell ref="U531:U532"/>
    <mergeCell ref="V531:V532"/>
    <mergeCell ref="W531:W532"/>
    <mergeCell ref="AO529:AO530"/>
    <mergeCell ref="AP529:AP530"/>
    <mergeCell ref="AQ529:AQ530"/>
    <mergeCell ref="C531:C532"/>
    <mergeCell ref="F531:F532"/>
    <mergeCell ref="H531:H532"/>
    <mergeCell ref="J531:J532"/>
    <mergeCell ref="O531:O532"/>
    <mergeCell ref="P531:P532"/>
    <mergeCell ref="Q531:Q532"/>
    <mergeCell ref="AI529:AI530"/>
    <mergeCell ref="AJ529:AJ530"/>
    <mergeCell ref="AK529:AK530"/>
    <mergeCell ref="AL529:AL530"/>
    <mergeCell ref="AM529:AM530"/>
    <mergeCell ref="AN529:AN530"/>
    <mergeCell ref="AC529:AC530"/>
    <mergeCell ref="AD529:AD530"/>
    <mergeCell ref="AE529:AE530"/>
    <mergeCell ref="AF529:AF530"/>
    <mergeCell ref="AG529:AG530"/>
    <mergeCell ref="AH529:AH530"/>
    <mergeCell ref="AC535:AC536"/>
    <mergeCell ref="AD535:AD536"/>
    <mergeCell ref="S535:S536"/>
    <mergeCell ref="T535:T536"/>
    <mergeCell ref="U535:U536"/>
    <mergeCell ref="V535:V536"/>
    <mergeCell ref="W535:W536"/>
    <mergeCell ref="X535:X536"/>
    <mergeCell ref="AP531:AP532"/>
    <mergeCell ref="AQ531:AQ532"/>
    <mergeCell ref="C535:C536"/>
    <mergeCell ref="F535:F536"/>
    <mergeCell ref="H535:H536"/>
    <mergeCell ref="J535:J536"/>
    <mergeCell ref="O535:O536"/>
    <mergeCell ref="P535:P536"/>
    <mergeCell ref="Q535:Q536"/>
    <mergeCell ref="R535:R536"/>
    <mergeCell ref="AJ531:AJ532"/>
    <mergeCell ref="AK531:AK532"/>
    <mergeCell ref="AL531:AL532"/>
    <mergeCell ref="AM531:AM532"/>
    <mergeCell ref="AN531:AN532"/>
    <mergeCell ref="AO531:AO532"/>
    <mergeCell ref="AD531:AD532"/>
    <mergeCell ref="AE531:AE532"/>
    <mergeCell ref="AF531:AF532"/>
    <mergeCell ref="AG531:AG532"/>
    <mergeCell ref="AH531:AH532"/>
    <mergeCell ref="AI531:AI532"/>
    <mergeCell ref="X531:X532"/>
    <mergeCell ref="Y531:Y532"/>
    <mergeCell ref="T546:T547"/>
    <mergeCell ref="U546:U547"/>
    <mergeCell ref="V546:V547"/>
    <mergeCell ref="W546:W547"/>
    <mergeCell ref="X546:X547"/>
    <mergeCell ref="Y546:Y547"/>
    <mergeCell ref="AQ535:AQ536"/>
    <mergeCell ref="C546:C547"/>
    <mergeCell ref="F546:F547"/>
    <mergeCell ref="H546:H547"/>
    <mergeCell ref="J546:J547"/>
    <mergeCell ref="O546:O547"/>
    <mergeCell ref="P546:P547"/>
    <mergeCell ref="Q546:Q547"/>
    <mergeCell ref="R546:R547"/>
    <mergeCell ref="S546:S547"/>
    <mergeCell ref="AK535:AK536"/>
    <mergeCell ref="AL535:AL536"/>
    <mergeCell ref="AM535:AM536"/>
    <mergeCell ref="AN535:AN536"/>
    <mergeCell ref="AO535:AO536"/>
    <mergeCell ref="AP535:AP536"/>
    <mergeCell ref="AE535:AE536"/>
    <mergeCell ref="AF535:AF536"/>
    <mergeCell ref="AG535:AG536"/>
    <mergeCell ref="AH535:AH536"/>
    <mergeCell ref="AI535:AI536"/>
    <mergeCell ref="AJ535:AJ536"/>
    <mergeCell ref="Y535:Y536"/>
    <mergeCell ref="Z535:Z536"/>
    <mergeCell ref="AA535:AA536"/>
    <mergeCell ref="AB535:AB536"/>
    <mergeCell ref="AL546:AL547"/>
    <mergeCell ref="AM546:AM547"/>
    <mergeCell ref="AN546:AN547"/>
    <mergeCell ref="AO546:AO547"/>
    <mergeCell ref="AP546:AP547"/>
    <mergeCell ref="AQ546:AQ547"/>
    <mergeCell ref="AF546:AF547"/>
    <mergeCell ref="AG546:AG547"/>
    <mergeCell ref="AH546:AH547"/>
    <mergeCell ref="AI546:AI547"/>
    <mergeCell ref="AJ546:AJ547"/>
    <mergeCell ref="AK546:AK547"/>
    <mergeCell ref="Z546:Z547"/>
    <mergeCell ref="AA546:AA547"/>
    <mergeCell ref="AB546:AB547"/>
    <mergeCell ref="AC546:AC547"/>
    <mergeCell ref="AD546:AD547"/>
    <mergeCell ref="AE546:AE547"/>
    <mergeCell ref="AP548:AP549"/>
    <mergeCell ref="AQ548:AQ549"/>
    <mergeCell ref="A557:A578"/>
    <mergeCell ref="B557:B578"/>
    <mergeCell ref="C557:C558"/>
    <mergeCell ref="F557:F558"/>
    <mergeCell ref="H557:H558"/>
    <mergeCell ref="J557:J558"/>
    <mergeCell ref="P557:P558"/>
    <mergeCell ref="AI548:AI549"/>
    <mergeCell ref="AJ548:AJ549"/>
    <mergeCell ref="AK548:AK549"/>
    <mergeCell ref="AL548:AL549"/>
    <mergeCell ref="AM548:AM549"/>
    <mergeCell ref="AN548:AN549"/>
    <mergeCell ref="AC548:AC549"/>
    <mergeCell ref="AD548:AD549"/>
    <mergeCell ref="AE548:AE549"/>
    <mergeCell ref="AF548:AF549"/>
    <mergeCell ref="AG548:AG549"/>
    <mergeCell ref="AH548:AH549"/>
    <mergeCell ref="W548:W549"/>
    <mergeCell ref="X548:X549"/>
    <mergeCell ref="Y548:Y549"/>
    <mergeCell ref="Z548:Z549"/>
    <mergeCell ref="AA548:AA549"/>
    <mergeCell ref="AB548:AB549"/>
    <mergeCell ref="Q548:Q549"/>
    <mergeCell ref="R548:R549"/>
    <mergeCell ref="S548:S549"/>
    <mergeCell ref="T548:T549"/>
    <mergeCell ref="U548:U549"/>
    <mergeCell ref="W557:W558"/>
    <mergeCell ref="X557:X558"/>
    <mergeCell ref="Y557:Y558"/>
    <mergeCell ref="C568:C569"/>
    <mergeCell ref="F568:F569"/>
    <mergeCell ref="H568:H569"/>
    <mergeCell ref="J568:J569"/>
    <mergeCell ref="P568:P569"/>
    <mergeCell ref="Q568:Q569"/>
    <mergeCell ref="R568:R569"/>
    <mergeCell ref="Q557:Q558"/>
    <mergeCell ref="R557:R558"/>
    <mergeCell ref="S557:S558"/>
    <mergeCell ref="T557:T558"/>
    <mergeCell ref="U557:U558"/>
    <mergeCell ref="V557:V558"/>
    <mergeCell ref="AO548:AO549"/>
    <mergeCell ref="V548:V549"/>
    <mergeCell ref="C548:C549"/>
    <mergeCell ref="F548:F549"/>
    <mergeCell ref="H548:H549"/>
    <mergeCell ref="J548:J549"/>
    <mergeCell ref="O548:O549"/>
    <mergeCell ref="P548:P549"/>
    <mergeCell ref="A579:A600"/>
    <mergeCell ref="B579:B600"/>
    <mergeCell ref="C579:C580"/>
    <mergeCell ref="F579:F580"/>
    <mergeCell ref="H579:H580"/>
    <mergeCell ref="Y568:Y569"/>
    <mergeCell ref="C570:C571"/>
    <mergeCell ref="F570:F571"/>
    <mergeCell ref="H570:H571"/>
    <mergeCell ref="J570:J571"/>
    <mergeCell ref="P570:P571"/>
    <mergeCell ref="Q570:Q571"/>
    <mergeCell ref="R570:R571"/>
    <mergeCell ref="S570:S571"/>
    <mergeCell ref="T570:T571"/>
    <mergeCell ref="S568:S569"/>
    <mergeCell ref="T568:T569"/>
    <mergeCell ref="U568:U569"/>
    <mergeCell ref="V568:V569"/>
    <mergeCell ref="W568:W569"/>
    <mergeCell ref="X568:X569"/>
    <mergeCell ref="V579:V580"/>
    <mergeCell ref="W579:W580"/>
    <mergeCell ref="X579:X580"/>
    <mergeCell ref="Y579:Y580"/>
    <mergeCell ref="Z579:Z580"/>
    <mergeCell ref="C590:C591"/>
    <mergeCell ref="F590:F591"/>
    <mergeCell ref="H590:H591"/>
    <mergeCell ref="J590:J591"/>
    <mergeCell ref="Q590:Q591"/>
    <mergeCell ref="J579:J580"/>
    <mergeCell ref="Q579:Q580"/>
    <mergeCell ref="R579:R580"/>
    <mergeCell ref="S579:S580"/>
    <mergeCell ref="T579:T580"/>
    <mergeCell ref="U579:U580"/>
    <mergeCell ref="U570:U571"/>
    <mergeCell ref="V570:V571"/>
    <mergeCell ref="W570:W571"/>
    <mergeCell ref="X570:X571"/>
    <mergeCell ref="Y570:Y571"/>
    <mergeCell ref="Z592:Z593"/>
    <mergeCell ref="A601:A622"/>
    <mergeCell ref="B601:B622"/>
    <mergeCell ref="C601:C602"/>
    <mergeCell ref="F601:F602"/>
    <mergeCell ref="H601:H602"/>
    <mergeCell ref="J601:J602"/>
    <mergeCell ref="R601:R602"/>
    <mergeCell ref="S601:S602"/>
    <mergeCell ref="T601:T602"/>
    <mergeCell ref="T592:T593"/>
    <mergeCell ref="U592:U593"/>
    <mergeCell ref="V592:V593"/>
    <mergeCell ref="W592:W593"/>
    <mergeCell ref="X592:X593"/>
    <mergeCell ref="Y592:Y593"/>
    <mergeCell ref="X590:X591"/>
    <mergeCell ref="Y590:Y591"/>
    <mergeCell ref="Z590:Z591"/>
    <mergeCell ref="C592:C593"/>
    <mergeCell ref="F592:F593"/>
    <mergeCell ref="H592:H593"/>
    <mergeCell ref="J592:J593"/>
    <mergeCell ref="Q592:Q593"/>
    <mergeCell ref="R592:R593"/>
    <mergeCell ref="S592:S593"/>
    <mergeCell ref="R590:R591"/>
    <mergeCell ref="S590:S591"/>
    <mergeCell ref="T590:T591"/>
    <mergeCell ref="U590:U591"/>
    <mergeCell ref="V590:V591"/>
    <mergeCell ref="W590:W591"/>
    <mergeCell ref="W612:W613"/>
    <mergeCell ref="X612:X613"/>
    <mergeCell ref="Y612:Y613"/>
    <mergeCell ref="Z612:Z613"/>
    <mergeCell ref="AA612:AA613"/>
    <mergeCell ref="C614:C615"/>
    <mergeCell ref="F614:F615"/>
    <mergeCell ref="H614:H615"/>
    <mergeCell ref="J614:J615"/>
    <mergeCell ref="R614:R615"/>
    <mergeCell ref="AA601:AA602"/>
    <mergeCell ref="C612:C613"/>
    <mergeCell ref="F612:F613"/>
    <mergeCell ref="H612:H613"/>
    <mergeCell ref="J612:J613"/>
    <mergeCell ref="R612:R613"/>
    <mergeCell ref="S612:S613"/>
    <mergeCell ref="T612:T613"/>
    <mergeCell ref="U612:U613"/>
    <mergeCell ref="V612:V613"/>
    <mergeCell ref="U601:U602"/>
    <mergeCell ref="V601:V602"/>
    <mergeCell ref="W601:W602"/>
    <mergeCell ref="X601:X602"/>
    <mergeCell ref="Y601:Y602"/>
    <mergeCell ref="Z601:Z602"/>
    <mergeCell ref="H634:H635"/>
    <mergeCell ref="J634:J635"/>
    <mergeCell ref="S634:S635"/>
    <mergeCell ref="T634:T635"/>
    <mergeCell ref="U634:U635"/>
    <mergeCell ref="T623:T624"/>
    <mergeCell ref="U623:U624"/>
    <mergeCell ref="V623:V624"/>
    <mergeCell ref="W623:W624"/>
    <mergeCell ref="X623:X624"/>
    <mergeCell ref="Y623:Y624"/>
    <mergeCell ref="Y614:Y615"/>
    <mergeCell ref="Z614:Z615"/>
    <mergeCell ref="AA614:AA615"/>
    <mergeCell ref="C623:C624"/>
    <mergeCell ref="F623:F624"/>
    <mergeCell ref="H623:H624"/>
    <mergeCell ref="J623:J624"/>
    <mergeCell ref="S623:S624"/>
    <mergeCell ref="S614:S615"/>
    <mergeCell ref="T614:T615"/>
    <mergeCell ref="U614:U615"/>
    <mergeCell ref="V614:V615"/>
    <mergeCell ref="W614:W615"/>
    <mergeCell ref="X614:X615"/>
    <mergeCell ref="A645:A666"/>
    <mergeCell ref="B645:B666"/>
    <mergeCell ref="C645:C646"/>
    <mergeCell ref="F645:F646"/>
    <mergeCell ref="H645:H646"/>
    <mergeCell ref="AB634:AB635"/>
    <mergeCell ref="C636:C637"/>
    <mergeCell ref="F636:F637"/>
    <mergeCell ref="H636:H637"/>
    <mergeCell ref="J636:J637"/>
    <mergeCell ref="S636:S637"/>
    <mergeCell ref="T636:T637"/>
    <mergeCell ref="U636:U637"/>
    <mergeCell ref="V636:V637"/>
    <mergeCell ref="W636:W637"/>
    <mergeCell ref="V634:V635"/>
    <mergeCell ref="W634:W635"/>
    <mergeCell ref="X634:X635"/>
    <mergeCell ref="Y634:Y635"/>
    <mergeCell ref="Z634:Z635"/>
    <mergeCell ref="AA634:AA635"/>
    <mergeCell ref="A623:A644"/>
    <mergeCell ref="B623:B644"/>
    <mergeCell ref="Y645:Y646"/>
    <mergeCell ref="Z645:Z646"/>
    <mergeCell ref="AA645:AA646"/>
    <mergeCell ref="AB645:AB646"/>
    <mergeCell ref="Z623:Z624"/>
    <mergeCell ref="AA623:AA624"/>
    <mergeCell ref="AB623:AB624"/>
    <mergeCell ref="C634:C635"/>
    <mergeCell ref="F634:F635"/>
    <mergeCell ref="AC645:AC646"/>
    <mergeCell ref="C656:C657"/>
    <mergeCell ref="F656:F657"/>
    <mergeCell ref="H656:H657"/>
    <mergeCell ref="J656:J657"/>
    <mergeCell ref="T656:T657"/>
    <mergeCell ref="J645:J646"/>
    <mergeCell ref="T645:T646"/>
    <mergeCell ref="U645:U646"/>
    <mergeCell ref="V645:V646"/>
    <mergeCell ref="W645:W646"/>
    <mergeCell ref="X645:X646"/>
    <mergeCell ref="X636:X637"/>
    <mergeCell ref="Y636:Y637"/>
    <mergeCell ref="Z636:Z637"/>
    <mergeCell ref="AA636:AA637"/>
    <mergeCell ref="AB636:AB637"/>
    <mergeCell ref="AC658:AC659"/>
    <mergeCell ref="A667:A688"/>
    <mergeCell ref="B667:B688"/>
    <mergeCell ref="C667:C668"/>
    <mergeCell ref="F667:F668"/>
    <mergeCell ref="H667:H668"/>
    <mergeCell ref="J667:J668"/>
    <mergeCell ref="U667:U668"/>
    <mergeCell ref="V667:V668"/>
    <mergeCell ref="W667:W668"/>
    <mergeCell ref="W658:W659"/>
    <mergeCell ref="X658:X659"/>
    <mergeCell ref="Y658:Y659"/>
    <mergeCell ref="Z658:Z659"/>
    <mergeCell ref="AA658:AA659"/>
    <mergeCell ref="AB658:AB659"/>
    <mergeCell ref="AA656:AA657"/>
    <mergeCell ref="AB656:AB657"/>
    <mergeCell ref="AC656:AC657"/>
    <mergeCell ref="C658:C659"/>
    <mergeCell ref="F658:F659"/>
    <mergeCell ref="H658:H659"/>
    <mergeCell ref="J658:J659"/>
    <mergeCell ref="T658:T659"/>
    <mergeCell ref="U658:U659"/>
    <mergeCell ref="V658:V659"/>
    <mergeCell ref="U656:U657"/>
    <mergeCell ref="V656:V657"/>
    <mergeCell ref="W656:W657"/>
    <mergeCell ref="X656:X657"/>
    <mergeCell ref="Y656:Y657"/>
    <mergeCell ref="Z656:Z657"/>
    <mergeCell ref="Z678:Z679"/>
    <mergeCell ref="AA678:AA679"/>
    <mergeCell ref="AB678:AB679"/>
    <mergeCell ref="AC678:AC679"/>
    <mergeCell ref="AD678:AD679"/>
    <mergeCell ref="C680:C681"/>
    <mergeCell ref="F680:F681"/>
    <mergeCell ref="H680:H681"/>
    <mergeCell ref="J680:J681"/>
    <mergeCell ref="U680:U681"/>
    <mergeCell ref="AD667:AD668"/>
    <mergeCell ref="C678:C679"/>
    <mergeCell ref="F678:F679"/>
    <mergeCell ref="H678:H679"/>
    <mergeCell ref="J678:J679"/>
    <mergeCell ref="U678:U679"/>
    <mergeCell ref="V678:V679"/>
    <mergeCell ref="W678:W679"/>
    <mergeCell ref="X678:X679"/>
    <mergeCell ref="Y678:Y679"/>
    <mergeCell ref="X667:X668"/>
    <mergeCell ref="Y667:Y668"/>
    <mergeCell ref="Z667:Z668"/>
    <mergeCell ref="AA667:AA668"/>
    <mergeCell ref="AB667:AB668"/>
    <mergeCell ref="AC667:AC668"/>
    <mergeCell ref="V700:V701"/>
    <mergeCell ref="W700:W701"/>
    <mergeCell ref="X700:X701"/>
    <mergeCell ref="W689:W690"/>
    <mergeCell ref="X689:X690"/>
    <mergeCell ref="Y689:Y690"/>
    <mergeCell ref="Z689:Z690"/>
    <mergeCell ref="AA689:AA690"/>
    <mergeCell ref="AB689:AB690"/>
    <mergeCell ref="AB680:AB681"/>
    <mergeCell ref="AC680:AC681"/>
    <mergeCell ref="AD680:AD681"/>
    <mergeCell ref="C689:C690"/>
    <mergeCell ref="F689:F690"/>
    <mergeCell ref="H689:H690"/>
    <mergeCell ref="J689:J690"/>
    <mergeCell ref="V689:V690"/>
    <mergeCell ref="V680:V681"/>
    <mergeCell ref="W680:W681"/>
    <mergeCell ref="X680:X681"/>
    <mergeCell ref="Y680:Y681"/>
    <mergeCell ref="Z680:Z681"/>
    <mergeCell ref="AA680:AA681"/>
    <mergeCell ref="A711:A732"/>
    <mergeCell ref="B711:B732"/>
    <mergeCell ref="C711:C712"/>
    <mergeCell ref="F711:F712"/>
    <mergeCell ref="H711:H712"/>
    <mergeCell ref="AE700:AE701"/>
    <mergeCell ref="C702:C703"/>
    <mergeCell ref="F702:F703"/>
    <mergeCell ref="H702:H703"/>
    <mergeCell ref="J702:J703"/>
    <mergeCell ref="V702:V703"/>
    <mergeCell ref="W702:W703"/>
    <mergeCell ref="X702:X703"/>
    <mergeCell ref="Y702:Y703"/>
    <mergeCell ref="Z702:Z703"/>
    <mergeCell ref="Y700:Y701"/>
    <mergeCell ref="Z700:Z701"/>
    <mergeCell ref="AA700:AA701"/>
    <mergeCell ref="AB700:AB701"/>
    <mergeCell ref="AC700:AC701"/>
    <mergeCell ref="AD700:AD701"/>
    <mergeCell ref="A689:A710"/>
    <mergeCell ref="B689:B710"/>
    <mergeCell ref="AD722:AD723"/>
    <mergeCell ref="AE722:AE723"/>
    <mergeCell ref="AC689:AC690"/>
    <mergeCell ref="AD689:AD690"/>
    <mergeCell ref="AE689:AE690"/>
    <mergeCell ref="C700:C701"/>
    <mergeCell ref="F700:F701"/>
    <mergeCell ref="H700:H701"/>
    <mergeCell ref="J700:J701"/>
    <mergeCell ref="AB711:AB712"/>
    <mergeCell ref="AC711:AC712"/>
    <mergeCell ref="AD711:AD712"/>
    <mergeCell ref="AE711:AE712"/>
    <mergeCell ref="AF711:AF712"/>
    <mergeCell ref="C722:C723"/>
    <mergeCell ref="F722:F723"/>
    <mergeCell ref="H722:H723"/>
    <mergeCell ref="J722:J723"/>
    <mergeCell ref="W722:W723"/>
    <mergeCell ref="J711:J712"/>
    <mergeCell ref="W711:W712"/>
    <mergeCell ref="X711:X712"/>
    <mergeCell ref="Y711:Y712"/>
    <mergeCell ref="Z711:Z712"/>
    <mergeCell ref="AA711:AA712"/>
    <mergeCell ref="AA702:AA703"/>
    <mergeCell ref="AB702:AB703"/>
    <mergeCell ref="AC702:AC703"/>
    <mergeCell ref="AD702:AD703"/>
    <mergeCell ref="AE702:AE703"/>
    <mergeCell ref="AF733:AF734"/>
    <mergeCell ref="AF724:AF725"/>
    <mergeCell ref="C733:C734"/>
    <mergeCell ref="F733:F734"/>
    <mergeCell ref="H733:H734"/>
    <mergeCell ref="J733:J734"/>
    <mergeCell ref="X733:X734"/>
    <mergeCell ref="Y733:Y734"/>
    <mergeCell ref="Z733:Z734"/>
    <mergeCell ref="Z724:Z725"/>
    <mergeCell ref="AA724:AA725"/>
    <mergeCell ref="AB724:AB725"/>
    <mergeCell ref="AC724:AC725"/>
    <mergeCell ref="AD724:AD725"/>
    <mergeCell ref="AE724:AE725"/>
    <mergeCell ref="AF722:AF723"/>
    <mergeCell ref="C724:C725"/>
    <mergeCell ref="F724:F725"/>
    <mergeCell ref="H724:H725"/>
    <mergeCell ref="J724:J725"/>
    <mergeCell ref="W724:W725"/>
    <mergeCell ref="X724:X725"/>
    <mergeCell ref="Y724:Y725"/>
    <mergeCell ref="X722:X723"/>
    <mergeCell ref="Y722:Y723"/>
    <mergeCell ref="Z722:Z723"/>
    <mergeCell ref="AA722:AA723"/>
    <mergeCell ref="AB722:AB723"/>
    <mergeCell ref="AC722:AC723"/>
    <mergeCell ref="AC744:AC745"/>
    <mergeCell ref="AD744:AD745"/>
    <mergeCell ref="AE744:AE745"/>
    <mergeCell ref="AF744:AF745"/>
    <mergeCell ref="AG744:AG745"/>
    <mergeCell ref="C746:C747"/>
    <mergeCell ref="F746:F747"/>
    <mergeCell ref="H746:H747"/>
    <mergeCell ref="J746:J747"/>
    <mergeCell ref="X746:X747"/>
    <mergeCell ref="A733:A754"/>
    <mergeCell ref="B733:B754"/>
    <mergeCell ref="V756:V757"/>
    <mergeCell ref="W756:W757"/>
    <mergeCell ref="X756:X757"/>
    <mergeCell ref="C758:C759"/>
    <mergeCell ref="F758:F759"/>
    <mergeCell ref="AG733:AG734"/>
    <mergeCell ref="C744:C745"/>
    <mergeCell ref="F744:F745"/>
    <mergeCell ref="H744:H745"/>
    <mergeCell ref="J744:J745"/>
    <mergeCell ref="X744:X745"/>
    <mergeCell ref="Y744:Y745"/>
    <mergeCell ref="Z744:Z745"/>
    <mergeCell ref="AA744:AA745"/>
    <mergeCell ref="AB744:AB745"/>
    <mergeCell ref="AA733:AA734"/>
    <mergeCell ref="AB733:AB734"/>
    <mergeCell ref="AC733:AC734"/>
    <mergeCell ref="AD733:AD734"/>
    <mergeCell ref="AE733:AE734"/>
    <mergeCell ref="P756:P757"/>
    <mergeCell ref="Q756:Q757"/>
    <mergeCell ref="R756:R757"/>
    <mergeCell ref="S756:S757"/>
    <mergeCell ref="T756:T757"/>
    <mergeCell ref="U756:U757"/>
    <mergeCell ref="AE746:AE747"/>
    <mergeCell ref="T760:T761"/>
    <mergeCell ref="U760:U761"/>
    <mergeCell ref="V760:V761"/>
    <mergeCell ref="W760:W761"/>
    <mergeCell ref="X760:X761"/>
    <mergeCell ref="AF746:AF747"/>
    <mergeCell ref="AG746:AG747"/>
    <mergeCell ref="A756:A795"/>
    <mergeCell ref="B756:B795"/>
    <mergeCell ref="C756:C757"/>
    <mergeCell ref="F756:F757"/>
    <mergeCell ref="H756:H757"/>
    <mergeCell ref="J756:J757"/>
    <mergeCell ref="O756:O757"/>
    <mergeCell ref="Y746:Y747"/>
    <mergeCell ref="Z746:Z747"/>
    <mergeCell ref="AA746:AA747"/>
    <mergeCell ref="AB746:AB747"/>
    <mergeCell ref="AC746:AC747"/>
    <mergeCell ref="AD746:AD747"/>
    <mergeCell ref="C762:C763"/>
    <mergeCell ref="F762:F763"/>
    <mergeCell ref="H762:H763"/>
    <mergeCell ref="J762:J763"/>
    <mergeCell ref="O762:O763"/>
    <mergeCell ref="X758:X759"/>
    <mergeCell ref="C760:C761"/>
    <mergeCell ref="F760:F761"/>
    <mergeCell ref="H760:H761"/>
    <mergeCell ref="J760:J761"/>
    <mergeCell ref="O760:O761"/>
    <mergeCell ref="P760:P761"/>
    <mergeCell ref="Q760:Q761"/>
    <mergeCell ref="R760:R761"/>
    <mergeCell ref="S760:S761"/>
    <mergeCell ref="R758:R759"/>
    <mergeCell ref="S758:S759"/>
    <mergeCell ref="T758:T759"/>
    <mergeCell ref="U758:U759"/>
    <mergeCell ref="V758:V759"/>
    <mergeCell ref="W758:W759"/>
    <mergeCell ref="H758:H759"/>
    <mergeCell ref="J758:J759"/>
    <mergeCell ref="O758:O759"/>
    <mergeCell ref="P758:P759"/>
    <mergeCell ref="Q758:Q759"/>
    <mergeCell ref="X766:X767"/>
    <mergeCell ref="C768:C769"/>
    <mergeCell ref="F768:F769"/>
    <mergeCell ref="H768:H769"/>
    <mergeCell ref="J768:J769"/>
    <mergeCell ref="O768:O769"/>
    <mergeCell ref="P768:P769"/>
    <mergeCell ref="Q768:Q769"/>
    <mergeCell ref="R768:R769"/>
    <mergeCell ref="S768:S769"/>
    <mergeCell ref="R766:R767"/>
    <mergeCell ref="S766:S767"/>
    <mergeCell ref="T766:T767"/>
    <mergeCell ref="U766:U767"/>
    <mergeCell ref="V766:V767"/>
    <mergeCell ref="W766:W767"/>
    <mergeCell ref="V762:V763"/>
    <mergeCell ref="W762:W763"/>
    <mergeCell ref="X762:X763"/>
    <mergeCell ref="C766:C767"/>
    <mergeCell ref="F766:F767"/>
    <mergeCell ref="H766:H767"/>
    <mergeCell ref="J766:J767"/>
    <mergeCell ref="O766:O767"/>
    <mergeCell ref="P766:P767"/>
    <mergeCell ref="Q766:Q767"/>
    <mergeCell ref="P762:P763"/>
    <mergeCell ref="Q762:Q763"/>
    <mergeCell ref="R762:R763"/>
    <mergeCell ref="S762:S763"/>
    <mergeCell ref="T762:T763"/>
    <mergeCell ref="U762:U763"/>
    <mergeCell ref="V770:V771"/>
    <mergeCell ref="W770:W771"/>
    <mergeCell ref="X770:X771"/>
    <mergeCell ref="C774:C775"/>
    <mergeCell ref="F774:F775"/>
    <mergeCell ref="H774:H775"/>
    <mergeCell ref="J774:J775"/>
    <mergeCell ref="O774:O775"/>
    <mergeCell ref="P774:P775"/>
    <mergeCell ref="Q774:Q775"/>
    <mergeCell ref="P770:P771"/>
    <mergeCell ref="Q770:Q771"/>
    <mergeCell ref="R770:R771"/>
    <mergeCell ref="S770:S771"/>
    <mergeCell ref="T770:T771"/>
    <mergeCell ref="U770:U771"/>
    <mergeCell ref="T768:T769"/>
    <mergeCell ref="U768:U769"/>
    <mergeCell ref="V768:V769"/>
    <mergeCell ref="W768:W769"/>
    <mergeCell ref="X768:X769"/>
    <mergeCell ref="C770:C771"/>
    <mergeCell ref="F770:F771"/>
    <mergeCell ref="H770:H771"/>
    <mergeCell ref="J770:J771"/>
    <mergeCell ref="O770:O771"/>
    <mergeCell ref="T785:T786"/>
    <mergeCell ref="U785:U786"/>
    <mergeCell ref="V785:V786"/>
    <mergeCell ref="W785:W786"/>
    <mergeCell ref="X785:X786"/>
    <mergeCell ref="C787:C788"/>
    <mergeCell ref="F787:F788"/>
    <mergeCell ref="H787:H788"/>
    <mergeCell ref="J787:J788"/>
    <mergeCell ref="O787:O788"/>
    <mergeCell ref="X774:X775"/>
    <mergeCell ref="C785:C786"/>
    <mergeCell ref="F785:F786"/>
    <mergeCell ref="H785:H786"/>
    <mergeCell ref="J785:J786"/>
    <mergeCell ref="O785:O786"/>
    <mergeCell ref="P785:P786"/>
    <mergeCell ref="Q785:Q786"/>
    <mergeCell ref="R785:R786"/>
    <mergeCell ref="S785:S786"/>
    <mergeCell ref="R774:R775"/>
    <mergeCell ref="S774:S775"/>
    <mergeCell ref="T774:T775"/>
    <mergeCell ref="U774:U775"/>
    <mergeCell ref="V774:V775"/>
    <mergeCell ref="W774:W775"/>
    <mergeCell ref="H807:H808"/>
    <mergeCell ref="J807:J808"/>
    <mergeCell ref="P807:P808"/>
    <mergeCell ref="Q807:Q808"/>
    <mergeCell ref="R807:R808"/>
    <mergeCell ref="Q796:Q797"/>
    <mergeCell ref="R796:R797"/>
    <mergeCell ref="S796:S797"/>
    <mergeCell ref="T796:T797"/>
    <mergeCell ref="U796:U797"/>
    <mergeCell ref="V796:V797"/>
    <mergeCell ref="V787:V788"/>
    <mergeCell ref="W787:W788"/>
    <mergeCell ref="X787:X788"/>
    <mergeCell ref="C796:C797"/>
    <mergeCell ref="F796:F797"/>
    <mergeCell ref="H796:H797"/>
    <mergeCell ref="J796:J797"/>
    <mergeCell ref="P796:P797"/>
    <mergeCell ref="P787:P788"/>
    <mergeCell ref="Q787:Q788"/>
    <mergeCell ref="R787:R788"/>
    <mergeCell ref="S787:S788"/>
    <mergeCell ref="T787:T788"/>
    <mergeCell ref="U787:U788"/>
    <mergeCell ref="A818:A839"/>
    <mergeCell ref="B818:B839"/>
    <mergeCell ref="C818:C819"/>
    <mergeCell ref="F818:F819"/>
    <mergeCell ref="H818:H819"/>
    <mergeCell ref="Y807:Y808"/>
    <mergeCell ref="C809:C810"/>
    <mergeCell ref="F809:F810"/>
    <mergeCell ref="H809:H810"/>
    <mergeCell ref="J809:J810"/>
    <mergeCell ref="P809:P810"/>
    <mergeCell ref="Q809:Q810"/>
    <mergeCell ref="R809:R810"/>
    <mergeCell ref="S809:S810"/>
    <mergeCell ref="T809:T810"/>
    <mergeCell ref="S807:S808"/>
    <mergeCell ref="T807:T808"/>
    <mergeCell ref="U807:U808"/>
    <mergeCell ref="V807:V808"/>
    <mergeCell ref="W807:W808"/>
    <mergeCell ref="X807:X808"/>
    <mergeCell ref="A796:A817"/>
    <mergeCell ref="B796:B817"/>
    <mergeCell ref="V818:V819"/>
    <mergeCell ref="W818:W819"/>
    <mergeCell ref="X818:X819"/>
    <mergeCell ref="Y818:Y819"/>
    <mergeCell ref="W796:W797"/>
    <mergeCell ref="X796:X797"/>
    <mergeCell ref="Y796:Y797"/>
    <mergeCell ref="C807:C808"/>
    <mergeCell ref="F807:F808"/>
    <mergeCell ref="Z818:Z819"/>
    <mergeCell ref="C829:C830"/>
    <mergeCell ref="F829:F830"/>
    <mergeCell ref="H829:H830"/>
    <mergeCell ref="J829:J830"/>
    <mergeCell ref="Q829:Q830"/>
    <mergeCell ref="J818:J819"/>
    <mergeCell ref="Q818:Q819"/>
    <mergeCell ref="R818:R819"/>
    <mergeCell ref="S818:S819"/>
    <mergeCell ref="T818:T819"/>
    <mergeCell ref="U818:U819"/>
    <mergeCell ref="U809:U810"/>
    <mergeCell ref="V809:V810"/>
    <mergeCell ref="W809:W810"/>
    <mergeCell ref="X809:X810"/>
    <mergeCell ref="Y809:Y810"/>
    <mergeCell ref="Z831:Z832"/>
    <mergeCell ref="A840:A861"/>
    <mergeCell ref="B840:B861"/>
    <mergeCell ref="C840:C841"/>
    <mergeCell ref="F840:F841"/>
    <mergeCell ref="H840:H841"/>
    <mergeCell ref="J840:J841"/>
    <mergeCell ref="R840:R841"/>
    <mergeCell ref="S840:S841"/>
    <mergeCell ref="T840:T841"/>
    <mergeCell ref="T831:T832"/>
    <mergeCell ref="U831:U832"/>
    <mergeCell ref="V831:V832"/>
    <mergeCell ref="W831:W832"/>
    <mergeCell ref="X831:X832"/>
    <mergeCell ref="Y831:Y832"/>
    <mergeCell ref="X829:X830"/>
    <mergeCell ref="Y829:Y830"/>
    <mergeCell ref="Z829:Z830"/>
    <mergeCell ref="C831:C832"/>
    <mergeCell ref="F831:F832"/>
    <mergeCell ref="H831:H832"/>
    <mergeCell ref="J831:J832"/>
    <mergeCell ref="Q831:Q832"/>
    <mergeCell ref="R831:R832"/>
    <mergeCell ref="S831:S832"/>
    <mergeCell ref="R829:R830"/>
    <mergeCell ref="S829:S830"/>
    <mergeCell ref="T829:T830"/>
    <mergeCell ref="U829:U830"/>
    <mergeCell ref="V829:V830"/>
    <mergeCell ref="W829:W830"/>
    <mergeCell ref="W851:W852"/>
    <mergeCell ref="X851:X852"/>
    <mergeCell ref="Y851:Y852"/>
    <mergeCell ref="Z851:Z852"/>
    <mergeCell ref="AA851:AA852"/>
    <mergeCell ref="C853:C854"/>
    <mergeCell ref="F853:F854"/>
    <mergeCell ref="H853:H854"/>
    <mergeCell ref="J853:J854"/>
    <mergeCell ref="R853:R854"/>
    <mergeCell ref="AA840:AA841"/>
    <mergeCell ref="C851:C852"/>
    <mergeCell ref="F851:F852"/>
    <mergeCell ref="H851:H852"/>
    <mergeCell ref="J851:J852"/>
    <mergeCell ref="R851:R852"/>
    <mergeCell ref="S851:S852"/>
    <mergeCell ref="T851:T852"/>
    <mergeCell ref="U851:U852"/>
    <mergeCell ref="V851:V852"/>
    <mergeCell ref="U840:U841"/>
    <mergeCell ref="V840:V841"/>
    <mergeCell ref="W840:W841"/>
    <mergeCell ref="X840:X841"/>
    <mergeCell ref="Y840:Y841"/>
    <mergeCell ref="Z840:Z841"/>
    <mergeCell ref="H873:H874"/>
    <mergeCell ref="J873:J874"/>
    <mergeCell ref="S873:S874"/>
    <mergeCell ref="T873:T874"/>
    <mergeCell ref="U873:U874"/>
    <mergeCell ref="T862:T863"/>
    <mergeCell ref="U862:U863"/>
    <mergeCell ref="V862:V863"/>
    <mergeCell ref="W862:W863"/>
    <mergeCell ref="X862:X863"/>
    <mergeCell ref="Y862:Y863"/>
    <mergeCell ref="Y853:Y854"/>
    <mergeCell ref="Z853:Z854"/>
    <mergeCell ref="AA853:AA854"/>
    <mergeCell ref="C862:C863"/>
    <mergeCell ref="F862:F863"/>
    <mergeCell ref="H862:H863"/>
    <mergeCell ref="J862:J863"/>
    <mergeCell ref="S862:S863"/>
    <mergeCell ref="S853:S854"/>
    <mergeCell ref="T853:T854"/>
    <mergeCell ref="U853:U854"/>
    <mergeCell ref="V853:V854"/>
    <mergeCell ref="W853:W854"/>
    <mergeCell ref="X853:X854"/>
    <mergeCell ref="A884:A905"/>
    <mergeCell ref="B884:B905"/>
    <mergeCell ref="C884:C885"/>
    <mergeCell ref="F884:F885"/>
    <mergeCell ref="H884:H885"/>
    <mergeCell ref="AB873:AB874"/>
    <mergeCell ref="C875:C876"/>
    <mergeCell ref="F875:F876"/>
    <mergeCell ref="H875:H876"/>
    <mergeCell ref="J875:J876"/>
    <mergeCell ref="S875:S876"/>
    <mergeCell ref="T875:T876"/>
    <mergeCell ref="U875:U876"/>
    <mergeCell ref="V875:V876"/>
    <mergeCell ref="W875:W876"/>
    <mergeCell ref="V873:V874"/>
    <mergeCell ref="W873:W874"/>
    <mergeCell ref="X873:X874"/>
    <mergeCell ref="Y873:Y874"/>
    <mergeCell ref="Z873:Z874"/>
    <mergeCell ref="AA873:AA874"/>
    <mergeCell ref="A862:A883"/>
    <mergeCell ref="B862:B883"/>
    <mergeCell ref="Y884:Y885"/>
    <mergeCell ref="Z884:Z885"/>
    <mergeCell ref="AA884:AA885"/>
    <mergeCell ref="AB884:AB885"/>
    <mergeCell ref="Z862:Z863"/>
    <mergeCell ref="AA862:AA863"/>
    <mergeCell ref="AB862:AB863"/>
    <mergeCell ref="C873:C874"/>
    <mergeCell ref="F873:F874"/>
    <mergeCell ref="AC884:AC885"/>
    <mergeCell ref="C895:C896"/>
    <mergeCell ref="F895:F896"/>
    <mergeCell ref="H895:H896"/>
    <mergeCell ref="J895:J896"/>
    <mergeCell ref="T895:T896"/>
    <mergeCell ref="J884:J885"/>
    <mergeCell ref="T884:T885"/>
    <mergeCell ref="U884:U885"/>
    <mergeCell ref="V884:V885"/>
    <mergeCell ref="W884:W885"/>
    <mergeCell ref="X884:X885"/>
    <mergeCell ref="X875:X876"/>
    <mergeCell ref="Y875:Y876"/>
    <mergeCell ref="Z875:Z876"/>
    <mergeCell ref="AA875:AA876"/>
    <mergeCell ref="AB875:AB876"/>
    <mergeCell ref="AC897:AC898"/>
    <mergeCell ref="A906:A927"/>
    <mergeCell ref="B906:B927"/>
    <mergeCell ref="C906:C907"/>
    <mergeCell ref="F906:F907"/>
    <mergeCell ref="H906:H907"/>
    <mergeCell ref="J906:J907"/>
    <mergeCell ref="U906:U907"/>
    <mergeCell ref="V906:V907"/>
    <mergeCell ref="W906:W907"/>
    <mergeCell ref="W897:W898"/>
    <mergeCell ref="X897:X898"/>
    <mergeCell ref="Y897:Y898"/>
    <mergeCell ref="Z897:Z898"/>
    <mergeCell ref="AA897:AA898"/>
    <mergeCell ref="AB897:AB898"/>
    <mergeCell ref="AA895:AA896"/>
    <mergeCell ref="AB895:AB896"/>
    <mergeCell ref="AC895:AC896"/>
    <mergeCell ref="C897:C898"/>
    <mergeCell ref="F897:F898"/>
    <mergeCell ref="H897:H898"/>
    <mergeCell ref="J897:J898"/>
    <mergeCell ref="T897:T898"/>
    <mergeCell ref="U897:U898"/>
    <mergeCell ref="V897:V898"/>
    <mergeCell ref="U895:U896"/>
    <mergeCell ref="V895:V896"/>
    <mergeCell ref="W895:W896"/>
    <mergeCell ref="X895:X896"/>
    <mergeCell ref="Y895:Y896"/>
    <mergeCell ref="Z895:Z896"/>
    <mergeCell ref="AB917:AB918"/>
    <mergeCell ref="AC917:AC918"/>
    <mergeCell ref="AD917:AD918"/>
    <mergeCell ref="C919:C920"/>
    <mergeCell ref="F919:F920"/>
    <mergeCell ref="H919:H920"/>
    <mergeCell ref="J919:J920"/>
    <mergeCell ref="U919:U920"/>
    <mergeCell ref="AD906:AD907"/>
    <mergeCell ref="C917:C918"/>
    <mergeCell ref="F917:F918"/>
    <mergeCell ref="H917:H918"/>
    <mergeCell ref="J917:J918"/>
    <mergeCell ref="U917:U918"/>
    <mergeCell ref="V917:V918"/>
    <mergeCell ref="W917:W918"/>
    <mergeCell ref="X917:X918"/>
    <mergeCell ref="Y917:Y918"/>
    <mergeCell ref="X906:X907"/>
    <mergeCell ref="Y906:Y907"/>
    <mergeCell ref="Z906:Z907"/>
    <mergeCell ref="AA906:AA907"/>
    <mergeCell ref="AB906:AB907"/>
    <mergeCell ref="AC906:AC907"/>
    <mergeCell ref="C939:C940"/>
    <mergeCell ref="F939:F940"/>
    <mergeCell ref="H939:H940"/>
    <mergeCell ref="J939:J940"/>
    <mergeCell ref="V939:V940"/>
    <mergeCell ref="W939:W940"/>
    <mergeCell ref="X939:X940"/>
    <mergeCell ref="W928:W929"/>
    <mergeCell ref="X928:X929"/>
    <mergeCell ref="Y928:Y929"/>
    <mergeCell ref="Z928:Z929"/>
    <mergeCell ref="AA928:AA929"/>
    <mergeCell ref="AB928:AB929"/>
    <mergeCell ref="AB919:AB920"/>
    <mergeCell ref="AC919:AC920"/>
    <mergeCell ref="AD919:AD920"/>
    <mergeCell ref="C928:C929"/>
    <mergeCell ref="F928:F929"/>
    <mergeCell ref="H928:H929"/>
    <mergeCell ref="J928:J929"/>
    <mergeCell ref="V928:V929"/>
    <mergeCell ref="V919:V920"/>
    <mergeCell ref="W919:W920"/>
    <mergeCell ref="X919:X920"/>
    <mergeCell ref="Y919:Y920"/>
    <mergeCell ref="Z919:Z920"/>
    <mergeCell ref="AA919:AA920"/>
    <mergeCell ref="H961:H962"/>
    <mergeCell ref="J961:J962"/>
    <mergeCell ref="W961:W962"/>
    <mergeCell ref="J950:J951"/>
    <mergeCell ref="W950:W951"/>
    <mergeCell ref="X950:X951"/>
    <mergeCell ref="Y950:Y951"/>
    <mergeCell ref="Z950:Z951"/>
    <mergeCell ref="AA950:AA951"/>
    <mergeCell ref="AA941:AA942"/>
    <mergeCell ref="AB941:AB942"/>
    <mergeCell ref="AC941:AC942"/>
    <mergeCell ref="AD941:AD942"/>
    <mergeCell ref="AE941:AE942"/>
    <mergeCell ref="A950:A971"/>
    <mergeCell ref="B950:B971"/>
    <mergeCell ref="C950:C951"/>
    <mergeCell ref="F950:F951"/>
    <mergeCell ref="H950:H951"/>
    <mergeCell ref="C941:C942"/>
    <mergeCell ref="F941:F942"/>
    <mergeCell ref="H941:H942"/>
    <mergeCell ref="J941:J942"/>
    <mergeCell ref="V941:V942"/>
    <mergeCell ref="W941:W942"/>
    <mergeCell ref="X941:X942"/>
    <mergeCell ref="Y941:Y942"/>
    <mergeCell ref="Z941:Z942"/>
    <mergeCell ref="A928:A949"/>
    <mergeCell ref="B928:B949"/>
    <mergeCell ref="AC928:AC929"/>
    <mergeCell ref="AD928:AD929"/>
    <mergeCell ref="A972:A993"/>
    <mergeCell ref="B972:B993"/>
    <mergeCell ref="C972:C973"/>
    <mergeCell ref="F972:F973"/>
    <mergeCell ref="H972:H973"/>
    <mergeCell ref="J972:J973"/>
    <mergeCell ref="X972:X973"/>
    <mergeCell ref="Y972:Y973"/>
    <mergeCell ref="Z972:Z973"/>
    <mergeCell ref="Z963:Z964"/>
    <mergeCell ref="AA963:AA964"/>
    <mergeCell ref="AB963:AB964"/>
    <mergeCell ref="AC963:AC964"/>
    <mergeCell ref="AD963:AD964"/>
    <mergeCell ref="AE963:AE964"/>
    <mergeCell ref="AD961:AD962"/>
    <mergeCell ref="AE961:AE962"/>
    <mergeCell ref="C963:C964"/>
    <mergeCell ref="F963:F964"/>
    <mergeCell ref="H963:H964"/>
    <mergeCell ref="J963:J964"/>
    <mergeCell ref="W963:W964"/>
    <mergeCell ref="X963:X964"/>
    <mergeCell ref="Y963:Y964"/>
    <mergeCell ref="X961:X962"/>
    <mergeCell ref="Y961:Y962"/>
    <mergeCell ref="Z961:Z962"/>
    <mergeCell ref="AA961:AA962"/>
    <mergeCell ref="AB961:AB962"/>
    <mergeCell ref="AC961:AC962"/>
    <mergeCell ref="C961:C962"/>
    <mergeCell ref="F961:F962"/>
    <mergeCell ref="C985:C986"/>
    <mergeCell ref="F985:F986"/>
    <mergeCell ref="H985:H986"/>
    <mergeCell ref="J985:J986"/>
    <mergeCell ref="X985:X986"/>
    <mergeCell ref="AG972:AG973"/>
    <mergeCell ref="C983:C984"/>
    <mergeCell ref="F983:F984"/>
    <mergeCell ref="H983:H984"/>
    <mergeCell ref="J983:J984"/>
    <mergeCell ref="X983:X984"/>
    <mergeCell ref="Y983:Y984"/>
    <mergeCell ref="Z983:Z984"/>
    <mergeCell ref="AA983:AA984"/>
    <mergeCell ref="AB983:AB984"/>
    <mergeCell ref="AA972:AA973"/>
    <mergeCell ref="AB972:AB973"/>
    <mergeCell ref="AC972:AC973"/>
    <mergeCell ref="AD972:AD973"/>
    <mergeCell ref="AE972:AE973"/>
    <mergeCell ref="AF972:AF973"/>
    <mergeCell ref="AE985:AE986"/>
    <mergeCell ref="AF985:AF986"/>
    <mergeCell ref="AG985:AG986"/>
    <mergeCell ref="AT333:AT334"/>
    <mergeCell ref="AS344:AS345"/>
    <mergeCell ref="AT344:AT345"/>
    <mergeCell ref="AT346:AT347"/>
    <mergeCell ref="Y985:Y986"/>
    <mergeCell ref="Z985:Z986"/>
    <mergeCell ref="AA985:AA986"/>
    <mergeCell ref="AB985:AB986"/>
    <mergeCell ref="AC985:AC986"/>
    <mergeCell ref="AD985:AD986"/>
    <mergeCell ref="AC983:AC984"/>
    <mergeCell ref="AD983:AD984"/>
    <mergeCell ref="AE983:AE984"/>
    <mergeCell ref="AF983:AF984"/>
    <mergeCell ref="AG983:AG984"/>
    <mergeCell ref="AF963:AF964"/>
    <mergeCell ref="AF961:AF962"/>
    <mergeCell ref="AB950:AB951"/>
    <mergeCell ref="AC950:AC951"/>
    <mergeCell ref="AD950:AD951"/>
    <mergeCell ref="AE950:AE951"/>
    <mergeCell ref="AF950:AF951"/>
    <mergeCell ref="AE939:AE940"/>
    <mergeCell ref="Y939:Y940"/>
    <mergeCell ref="Z939:Z940"/>
    <mergeCell ref="AA939:AA940"/>
    <mergeCell ref="AB939:AB940"/>
    <mergeCell ref="AC939:AC940"/>
    <mergeCell ref="AD939:AD940"/>
    <mergeCell ref="AE928:AE929"/>
    <mergeCell ref="Z917:Z918"/>
    <mergeCell ref="AA917:AA918"/>
  </mergeCells>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AE46"/>
  <sheetViews>
    <sheetView zoomScale="90" zoomScaleNormal="90" workbookViewId="0">
      <selection activeCell="C33" sqref="C33"/>
    </sheetView>
  </sheetViews>
  <sheetFormatPr defaultColWidth="8.85546875" defaultRowHeight="15" x14ac:dyDescent="0.25"/>
  <cols>
    <col min="1" max="1" width="11" style="4" customWidth="1"/>
    <col min="2" max="2" width="12.85546875" style="4" bestFit="1" customWidth="1"/>
    <col min="3" max="3" width="11.28515625" style="4" bestFit="1" customWidth="1"/>
    <col min="4" max="4" width="12.85546875" style="4" bestFit="1" customWidth="1"/>
    <col min="5" max="5" width="25.5703125" style="4" customWidth="1"/>
    <col min="6" max="6" width="11.7109375" style="4" customWidth="1"/>
    <col min="7" max="9" width="14.5703125" style="4" customWidth="1"/>
    <col min="10" max="10" width="14.85546875" style="4" customWidth="1"/>
    <col min="11" max="11" width="8.85546875" style="4"/>
    <col min="12" max="15" width="14.5703125" style="4" customWidth="1"/>
    <col min="16" max="16" width="8.85546875" style="4"/>
    <col min="17" max="18" width="14.5703125" style="4" customWidth="1"/>
    <col min="19" max="19" width="16.140625" style="4" customWidth="1"/>
    <col min="20" max="24" width="15.140625" style="4" customWidth="1"/>
    <col min="25" max="25" width="8.85546875" style="4"/>
    <col min="26" max="29" width="15.140625" style="4" customWidth="1"/>
    <col min="30" max="30" width="8.85546875" style="4"/>
    <col min="31" max="31" width="16.28515625" style="4" customWidth="1"/>
    <col min="32" max="16384" width="8.85546875" style="4"/>
  </cols>
  <sheetData>
    <row r="1" spans="1:31" ht="15.75" thickBot="1" x14ac:dyDescent="0.3"/>
    <row r="2" spans="1:31" ht="113.45" customHeight="1" x14ac:dyDescent="0.25">
      <c r="A2" s="539" t="s">
        <v>256</v>
      </c>
      <c r="B2" s="507"/>
      <c r="C2" s="498"/>
      <c r="E2" s="397"/>
      <c r="G2" s="397"/>
      <c r="H2" s="397"/>
      <c r="I2" s="397"/>
      <c r="J2" s="397"/>
      <c r="L2" s="397"/>
      <c r="M2" s="397"/>
      <c r="N2" s="397"/>
      <c r="O2" s="397"/>
      <c r="Q2" s="529"/>
      <c r="R2" s="529"/>
      <c r="S2" s="529"/>
      <c r="T2" s="529"/>
      <c r="U2" s="529"/>
      <c r="V2" s="529"/>
      <c r="W2" s="529"/>
      <c r="X2" s="529"/>
      <c r="Z2" s="529"/>
      <c r="AA2" s="529"/>
      <c r="AB2" s="529"/>
      <c r="AC2" s="529"/>
      <c r="AE2" s="529"/>
    </row>
    <row r="3" spans="1:31" ht="15.75" thickBot="1" x14ac:dyDescent="0.3">
      <c r="A3" s="540"/>
      <c r="B3" s="508"/>
      <c r="C3" s="499"/>
      <c r="E3" s="397"/>
      <c r="G3" s="334"/>
      <c r="H3" s="334"/>
      <c r="I3" s="334"/>
      <c r="J3" s="334"/>
      <c r="L3" s="351"/>
      <c r="M3" s="351"/>
      <c r="N3" s="351"/>
      <c r="O3" s="334"/>
      <c r="Q3" s="334"/>
      <c r="R3" s="351"/>
      <c r="S3" s="351"/>
      <c r="T3" s="351"/>
      <c r="U3" s="334"/>
      <c r="V3" s="351"/>
      <c r="W3" s="351"/>
      <c r="X3" s="351"/>
      <c r="Z3" s="334"/>
      <c r="AA3" s="351"/>
      <c r="AB3" s="351"/>
      <c r="AC3" s="351"/>
      <c r="AE3" s="529"/>
    </row>
    <row r="4" spans="1:31" ht="15.75" thickBot="1" x14ac:dyDescent="0.3">
      <c r="A4" s="532" t="s">
        <v>3</v>
      </c>
      <c r="B4" s="533"/>
      <c r="C4" s="304">
        <f>SUM('Model_ of_individuals_costs'!O4:X40)</f>
        <v>0</v>
      </c>
      <c r="E4" s="352"/>
      <c r="G4" s="352"/>
      <c r="H4" s="352"/>
      <c r="I4" s="352"/>
      <c r="J4" s="352"/>
      <c r="L4" s="352"/>
      <c r="M4" s="352"/>
      <c r="N4" s="352"/>
      <c r="O4" s="352"/>
      <c r="Q4" s="352"/>
      <c r="R4" s="352"/>
      <c r="S4" s="352"/>
      <c r="T4" s="352"/>
      <c r="U4" s="352"/>
      <c r="V4" s="352"/>
      <c r="W4" s="352"/>
      <c r="X4" s="352"/>
      <c r="Z4" s="352"/>
      <c r="AA4" s="352"/>
      <c r="AB4" s="352"/>
      <c r="AC4" s="352"/>
      <c r="AE4" s="352"/>
    </row>
    <row r="5" spans="1:31" ht="15.75" thickBot="1" x14ac:dyDescent="0.3">
      <c r="A5" s="534" t="s">
        <v>18</v>
      </c>
      <c r="B5" s="535"/>
      <c r="C5" s="305">
        <f>SUM('Model_ of_individuals_costs'!P42:Y58)</f>
        <v>0</v>
      </c>
      <c r="E5" s="353"/>
      <c r="G5" s="353"/>
      <c r="H5" s="352"/>
      <c r="I5" s="352"/>
      <c r="J5" s="352"/>
      <c r="L5" s="352"/>
      <c r="M5" s="352"/>
      <c r="N5" s="352"/>
      <c r="O5" s="352"/>
      <c r="Q5" s="352"/>
      <c r="R5" s="352"/>
      <c r="S5" s="352"/>
      <c r="T5" s="352"/>
      <c r="U5" s="352"/>
      <c r="V5" s="352"/>
      <c r="W5" s="352"/>
      <c r="X5" s="352"/>
      <c r="Z5" s="352"/>
      <c r="AA5" s="352"/>
      <c r="AB5" s="352"/>
      <c r="AC5" s="352"/>
      <c r="AE5" s="352"/>
    </row>
    <row r="6" spans="1:31" x14ac:dyDescent="0.25">
      <c r="A6" s="536" t="s">
        <v>4</v>
      </c>
      <c r="B6" s="179" t="s">
        <v>244</v>
      </c>
      <c r="C6" s="306">
        <f>SUM('Model_ of_individuals_costs'!Q60:Z87)</f>
        <v>0</v>
      </c>
      <c r="E6" s="352"/>
      <c r="G6" s="352"/>
      <c r="H6" s="352"/>
      <c r="I6" s="352"/>
      <c r="J6" s="352"/>
      <c r="L6" s="352"/>
      <c r="M6" s="352"/>
      <c r="N6" s="352"/>
      <c r="O6" s="352"/>
      <c r="Q6" s="352"/>
      <c r="R6" s="352"/>
      <c r="S6" s="352"/>
      <c r="T6" s="352"/>
      <c r="U6" s="352"/>
      <c r="V6" s="352"/>
      <c r="W6" s="352"/>
      <c r="X6" s="352"/>
      <c r="Z6" s="352"/>
      <c r="AA6" s="352"/>
      <c r="AB6" s="352"/>
      <c r="AC6" s="352"/>
      <c r="AE6" s="352"/>
    </row>
    <row r="7" spans="1:31" x14ac:dyDescent="0.25">
      <c r="A7" s="537"/>
      <c r="B7" s="93" t="s">
        <v>245</v>
      </c>
      <c r="C7" s="307">
        <f>SUM('Model_ of_individuals_costs'!R88:AA107)</f>
        <v>0</v>
      </c>
      <c r="E7" s="332"/>
      <c r="G7" s="332"/>
      <c r="H7" s="332"/>
      <c r="I7" s="332"/>
      <c r="J7" s="332"/>
      <c r="L7" s="332"/>
      <c r="M7" s="332"/>
      <c r="N7" s="332"/>
      <c r="O7" s="332"/>
      <c r="Q7" s="332"/>
      <c r="R7" s="332"/>
      <c r="S7" s="332"/>
      <c r="T7" s="332"/>
      <c r="U7" s="332"/>
      <c r="V7" s="332"/>
      <c r="W7" s="332"/>
      <c r="X7" s="332"/>
      <c r="Z7" s="332"/>
      <c r="AA7" s="332"/>
      <c r="AB7" s="332"/>
      <c r="AC7" s="332"/>
      <c r="AE7" s="332"/>
    </row>
    <row r="8" spans="1:31" x14ac:dyDescent="0.25">
      <c r="A8" s="537"/>
      <c r="B8" s="17" t="s">
        <v>246</v>
      </c>
      <c r="C8" s="308">
        <f>SUM('Model_ of_individuals_costs'!S108:AB127)</f>
        <v>0</v>
      </c>
      <c r="E8" s="332"/>
      <c r="G8" s="332"/>
      <c r="H8" s="332"/>
      <c r="I8" s="332"/>
      <c r="J8" s="332"/>
      <c r="L8" s="332"/>
      <c r="M8" s="332"/>
      <c r="N8" s="332"/>
      <c r="O8" s="332"/>
      <c r="Q8" s="332"/>
      <c r="R8" s="332"/>
      <c r="S8" s="332"/>
      <c r="T8" s="332"/>
      <c r="U8" s="332"/>
      <c r="V8" s="332"/>
      <c r="W8" s="332"/>
      <c r="X8" s="332"/>
      <c r="Z8" s="332"/>
      <c r="AA8" s="332"/>
      <c r="AB8" s="332"/>
      <c r="AC8" s="332"/>
      <c r="AE8" s="332"/>
    </row>
    <row r="9" spans="1:31" x14ac:dyDescent="0.25">
      <c r="A9" s="537"/>
      <c r="B9" s="93" t="s">
        <v>247</v>
      </c>
      <c r="C9" s="307">
        <f>SUM('Model_ of_individuals_costs'!T128:AC147)</f>
        <v>0</v>
      </c>
      <c r="E9" s="332"/>
      <c r="G9" s="332"/>
      <c r="H9" s="332"/>
      <c r="I9" s="332"/>
      <c r="J9" s="332"/>
      <c r="L9" s="332"/>
      <c r="M9" s="332"/>
      <c r="N9" s="332"/>
      <c r="O9" s="332"/>
      <c r="Q9" s="332"/>
      <c r="R9" s="332"/>
      <c r="S9" s="332"/>
      <c r="T9" s="332"/>
      <c r="U9" s="332"/>
      <c r="V9" s="332"/>
      <c r="W9" s="332"/>
      <c r="X9" s="332"/>
      <c r="Z9" s="332"/>
      <c r="AA9" s="332"/>
      <c r="AB9" s="332"/>
      <c r="AC9" s="332"/>
      <c r="AE9" s="332"/>
    </row>
    <row r="10" spans="1:31" x14ac:dyDescent="0.25">
      <c r="A10" s="537"/>
      <c r="B10" s="17" t="s">
        <v>248</v>
      </c>
      <c r="C10" s="308">
        <f>SUM('Model_ of_individuals_costs'!U148:AD167)</f>
        <v>0</v>
      </c>
      <c r="E10" s="332"/>
      <c r="G10" s="332"/>
      <c r="H10" s="332"/>
      <c r="I10" s="332"/>
      <c r="J10" s="332"/>
      <c r="L10" s="332"/>
      <c r="M10" s="332"/>
      <c r="N10" s="332"/>
      <c r="O10" s="332"/>
      <c r="Q10" s="332"/>
      <c r="R10" s="332"/>
      <c r="S10" s="332"/>
      <c r="T10" s="332"/>
      <c r="U10" s="332"/>
      <c r="V10" s="332"/>
      <c r="W10" s="332"/>
      <c r="X10" s="332"/>
      <c r="Z10" s="332"/>
      <c r="AA10" s="332"/>
      <c r="AB10" s="332"/>
      <c r="AC10" s="332"/>
      <c r="AE10" s="332"/>
    </row>
    <row r="11" spans="1:31" x14ac:dyDescent="0.25">
      <c r="A11" s="537"/>
      <c r="B11" s="93" t="s">
        <v>249</v>
      </c>
      <c r="C11" s="307">
        <f>SUM('Model_ of_individuals_costs'!V168:AE187)</f>
        <v>0</v>
      </c>
      <c r="E11" s="332"/>
      <c r="G11" s="332"/>
      <c r="H11" s="332"/>
      <c r="I11" s="332"/>
      <c r="J11" s="332"/>
      <c r="L11" s="332"/>
      <c r="M11" s="332"/>
      <c r="N11" s="332"/>
      <c r="O11" s="332"/>
      <c r="Q11" s="332"/>
      <c r="R11" s="332"/>
      <c r="S11" s="332"/>
      <c r="T11" s="332"/>
      <c r="U11" s="332"/>
      <c r="V11" s="332"/>
      <c r="W11" s="332"/>
      <c r="X11" s="332"/>
      <c r="Z11" s="332"/>
      <c r="AA11" s="332"/>
      <c r="AB11" s="332"/>
      <c r="AC11" s="332"/>
      <c r="AE11" s="332"/>
    </row>
    <row r="12" spans="1:31" x14ac:dyDescent="0.25">
      <c r="A12" s="537"/>
      <c r="B12" s="17" t="s">
        <v>250</v>
      </c>
      <c r="C12" s="308">
        <f>SUM('Model_ of_individuals_costs'!W188:AF207)</f>
        <v>0</v>
      </c>
      <c r="E12" s="332"/>
      <c r="G12" s="332"/>
      <c r="H12" s="332"/>
      <c r="I12" s="332"/>
      <c r="J12" s="332"/>
      <c r="L12" s="332"/>
      <c r="M12" s="332"/>
      <c r="N12" s="332"/>
      <c r="O12" s="332"/>
      <c r="Q12" s="332"/>
      <c r="R12" s="332"/>
      <c r="S12" s="332"/>
      <c r="T12" s="332"/>
      <c r="U12" s="332"/>
      <c r="V12" s="332"/>
      <c r="W12" s="332"/>
      <c r="X12" s="332"/>
      <c r="Z12" s="332"/>
      <c r="AA12" s="332"/>
      <c r="AB12" s="332"/>
      <c r="AC12" s="332"/>
      <c r="AE12" s="332"/>
    </row>
    <row r="13" spans="1:31" x14ac:dyDescent="0.25">
      <c r="A13" s="537"/>
      <c r="B13" s="93" t="s">
        <v>251</v>
      </c>
      <c r="C13" s="307">
        <f>SUM('Model_ of_individuals_costs'!X208:AG227)</f>
        <v>0</v>
      </c>
      <c r="E13" s="332"/>
      <c r="G13" s="332"/>
      <c r="H13" s="332"/>
      <c r="I13" s="332"/>
      <c r="J13" s="332"/>
      <c r="L13" s="332"/>
      <c r="M13" s="332"/>
      <c r="N13" s="332"/>
      <c r="O13" s="332"/>
      <c r="Q13" s="332"/>
      <c r="R13" s="332"/>
      <c r="S13" s="332"/>
      <c r="T13" s="332"/>
      <c r="U13" s="332"/>
      <c r="V13" s="332"/>
      <c r="W13" s="332"/>
      <c r="X13" s="332"/>
      <c r="Z13" s="332"/>
      <c r="AA13" s="332"/>
      <c r="AB13" s="332"/>
      <c r="AC13" s="332"/>
      <c r="AE13" s="332"/>
    </row>
    <row r="14" spans="1:31" x14ac:dyDescent="0.25">
      <c r="A14" s="537"/>
      <c r="B14" s="17" t="s">
        <v>252</v>
      </c>
      <c r="C14" s="308">
        <f>SUM('Model_ of_individuals_costs'!Y228:AH247)</f>
        <v>0</v>
      </c>
      <c r="E14" s="332"/>
      <c r="G14" s="332"/>
      <c r="H14" s="332"/>
      <c r="I14" s="332"/>
      <c r="J14" s="332"/>
      <c r="L14" s="332"/>
      <c r="M14" s="332"/>
      <c r="N14" s="332"/>
      <c r="O14" s="332"/>
      <c r="Q14" s="332"/>
      <c r="R14" s="332"/>
      <c r="S14" s="332"/>
      <c r="T14" s="332"/>
      <c r="U14" s="332"/>
      <c r="V14" s="332"/>
      <c r="W14" s="332"/>
      <c r="X14" s="332"/>
      <c r="Z14" s="332"/>
      <c r="AA14" s="332"/>
      <c r="AB14" s="332"/>
      <c r="AC14" s="332"/>
      <c r="AE14" s="332"/>
    </row>
    <row r="15" spans="1:31" ht="15.75" thickBot="1" x14ac:dyDescent="0.3">
      <c r="A15" s="538"/>
      <c r="B15" s="95" t="s">
        <v>253</v>
      </c>
      <c r="C15" s="309">
        <f>SUM('Model_ of_individuals_costs'!Z248:AI267)</f>
        <v>0</v>
      </c>
      <c r="E15" s="332"/>
      <c r="G15" s="332"/>
      <c r="H15" s="332"/>
      <c r="I15" s="332"/>
      <c r="J15" s="332"/>
      <c r="L15" s="332"/>
      <c r="M15" s="332"/>
      <c r="N15" s="332"/>
      <c r="O15" s="332"/>
      <c r="Q15" s="332"/>
      <c r="R15" s="332"/>
      <c r="S15" s="332"/>
      <c r="T15" s="332"/>
      <c r="U15" s="332"/>
      <c r="V15" s="332"/>
      <c r="W15" s="332"/>
      <c r="X15" s="332"/>
      <c r="Z15" s="332"/>
      <c r="AA15" s="332"/>
      <c r="AB15" s="332"/>
      <c r="AC15" s="332"/>
      <c r="AE15" s="332"/>
    </row>
    <row r="16" spans="1:31" x14ac:dyDescent="0.25">
      <c r="A16" s="541" t="s">
        <v>7</v>
      </c>
      <c r="B16" s="179" t="s">
        <v>244</v>
      </c>
      <c r="C16" s="310">
        <f>SUM('Model_ of_individuals_costs'!O270:AR308)</f>
        <v>0</v>
      </c>
      <c r="E16" s="332"/>
      <c r="G16" s="332"/>
      <c r="H16" s="332"/>
      <c r="I16" s="332"/>
      <c r="J16" s="332"/>
      <c r="L16" s="332"/>
      <c r="M16" s="332"/>
      <c r="N16" s="332"/>
      <c r="O16" s="332"/>
      <c r="Q16" s="332"/>
      <c r="R16" s="332"/>
      <c r="S16" s="332"/>
      <c r="T16" s="332"/>
      <c r="U16" s="332"/>
      <c r="V16" s="332"/>
      <c r="W16" s="332"/>
      <c r="X16" s="332"/>
      <c r="Z16" s="332"/>
      <c r="AA16" s="332"/>
      <c r="AB16" s="332"/>
      <c r="AC16" s="332"/>
      <c r="AE16" s="332"/>
    </row>
    <row r="17" spans="1:31" x14ac:dyDescent="0.25">
      <c r="A17" s="542"/>
      <c r="B17" s="93" t="s">
        <v>245</v>
      </c>
      <c r="C17" s="307">
        <f>SUM('Model_ of_individuals_costs'!P310:AR331)</f>
        <v>0</v>
      </c>
      <c r="E17" s="332"/>
      <c r="G17" s="332"/>
      <c r="H17" s="332"/>
      <c r="I17" s="332"/>
      <c r="J17" s="332"/>
      <c r="L17" s="332"/>
      <c r="M17" s="332"/>
      <c r="N17" s="332"/>
      <c r="O17" s="332"/>
      <c r="Q17" s="332"/>
      <c r="R17" s="332"/>
      <c r="S17" s="332"/>
      <c r="T17" s="332"/>
      <c r="U17" s="332"/>
      <c r="V17" s="332"/>
      <c r="W17" s="332"/>
      <c r="X17" s="332"/>
      <c r="Z17" s="332"/>
      <c r="AA17" s="332"/>
      <c r="AB17" s="332"/>
      <c r="AC17" s="332"/>
      <c r="AE17" s="332"/>
    </row>
    <row r="18" spans="1:31" x14ac:dyDescent="0.25">
      <c r="A18" s="542"/>
      <c r="B18" s="17" t="s">
        <v>246</v>
      </c>
      <c r="C18" s="308">
        <f>SUM('Model_ of_individuals_costs'!Q333:AR354)</f>
        <v>0</v>
      </c>
      <c r="E18" s="332"/>
      <c r="G18" s="332"/>
      <c r="H18" s="332"/>
      <c r="I18" s="332"/>
      <c r="J18" s="332"/>
      <c r="L18" s="332"/>
      <c r="M18" s="332"/>
      <c r="N18" s="332"/>
      <c r="O18" s="332"/>
      <c r="Q18" s="332"/>
      <c r="R18" s="332"/>
      <c r="S18" s="332"/>
      <c r="T18" s="332"/>
      <c r="U18" s="332"/>
      <c r="V18" s="332"/>
      <c r="W18" s="332"/>
      <c r="X18" s="332"/>
      <c r="Z18" s="332"/>
      <c r="AA18" s="332"/>
      <c r="AB18" s="332"/>
      <c r="AC18" s="332"/>
      <c r="AE18" s="332"/>
    </row>
    <row r="19" spans="1:31" x14ac:dyDescent="0.25">
      <c r="A19" s="542"/>
      <c r="B19" s="93" t="s">
        <v>247</v>
      </c>
      <c r="C19" s="307">
        <f>SUM('Model_ of_individuals_costs'!R356:AS377)</f>
        <v>0</v>
      </c>
      <c r="E19" s="332"/>
      <c r="G19" s="332"/>
      <c r="H19" s="332"/>
      <c r="I19" s="332"/>
      <c r="J19" s="332"/>
      <c r="L19" s="332"/>
      <c r="M19" s="332"/>
      <c r="N19" s="332"/>
      <c r="O19" s="332"/>
      <c r="Q19" s="332"/>
      <c r="R19" s="332"/>
      <c r="S19" s="332"/>
      <c r="T19" s="332"/>
      <c r="U19" s="332"/>
      <c r="V19" s="332"/>
      <c r="W19" s="332"/>
      <c r="X19" s="332"/>
      <c r="Z19" s="332"/>
      <c r="AA19" s="332"/>
      <c r="AB19" s="332"/>
      <c r="AC19" s="332"/>
      <c r="AE19" s="332"/>
    </row>
    <row r="20" spans="1:31" x14ac:dyDescent="0.25">
      <c r="A20" s="542"/>
      <c r="B20" s="17" t="s">
        <v>248</v>
      </c>
      <c r="C20" s="308">
        <f>SUM('Model_ of_individuals_costs'!S379:AT400)</f>
        <v>0</v>
      </c>
      <c r="E20" s="332"/>
      <c r="G20" s="332"/>
      <c r="H20" s="332"/>
      <c r="I20" s="332"/>
      <c r="J20" s="332"/>
      <c r="L20" s="332"/>
      <c r="M20" s="332"/>
      <c r="N20" s="332"/>
      <c r="O20" s="332"/>
      <c r="Q20" s="332"/>
      <c r="R20" s="332"/>
      <c r="S20" s="332"/>
      <c r="T20" s="332"/>
      <c r="U20" s="332"/>
      <c r="V20" s="332"/>
      <c r="W20" s="332"/>
      <c r="X20" s="332"/>
      <c r="Z20" s="332"/>
      <c r="AA20" s="332"/>
      <c r="AB20" s="332"/>
      <c r="AC20" s="332"/>
      <c r="AE20" s="332"/>
    </row>
    <row r="21" spans="1:31" x14ac:dyDescent="0.25">
      <c r="A21" s="542"/>
      <c r="B21" s="93" t="s">
        <v>249</v>
      </c>
      <c r="C21" s="307">
        <f>SUM('Model_ of_individuals_costs'!T402:AU423)</f>
        <v>0</v>
      </c>
      <c r="E21" s="332"/>
      <c r="G21" s="332"/>
      <c r="H21" s="332"/>
      <c r="I21" s="332"/>
      <c r="J21" s="332"/>
      <c r="L21" s="332"/>
      <c r="M21" s="332"/>
      <c r="N21" s="332"/>
      <c r="O21" s="332"/>
      <c r="Q21" s="332"/>
      <c r="R21" s="332"/>
      <c r="S21" s="332"/>
      <c r="T21" s="332"/>
      <c r="U21" s="332"/>
      <c r="V21" s="332"/>
      <c r="W21" s="332"/>
      <c r="X21" s="332"/>
      <c r="Z21" s="332"/>
      <c r="AA21" s="332"/>
      <c r="AB21" s="332"/>
      <c r="AC21" s="332"/>
      <c r="AE21" s="332"/>
    </row>
    <row r="22" spans="1:31" x14ac:dyDescent="0.25">
      <c r="A22" s="542"/>
      <c r="B22" s="17" t="s">
        <v>250</v>
      </c>
      <c r="C22" s="308">
        <f>SUM('Model_ of_individuals_costs'!U425:AV446)</f>
        <v>0</v>
      </c>
      <c r="E22" s="332"/>
      <c r="G22" s="332"/>
      <c r="H22" s="332"/>
      <c r="I22" s="332"/>
      <c r="J22" s="332"/>
      <c r="L22" s="332"/>
      <c r="M22" s="332"/>
      <c r="N22" s="332"/>
      <c r="O22" s="332"/>
      <c r="Q22" s="332"/>
      <c r="R22" s="332"/>
      <c r="S22" s="332"/>
      <c r="T22" s="332"/>
      <c r="U22" s="332"/>
      <c r="V22" s="332"/>
      <c r="W22" s="332"/>
      <c r="X22" s="332"/>
      <c r="Z22" s="332"/>
      <c r="AA22" s="332"/>
      <c r="AB22" s="332"/>
      <c r="AC22" s="332"/>
      <c r="AE22" s="332"/>
    </row>
    <row r="23" spans="1:31" x14ac:dyDescent="0.25">
      <c r="A23" s="542"/>
      <c r="B23" s="93" t="s">
        <v>251</v>
      </c>
      <c r="C23" s="307">
        <f>SUM('Model_ of_individuals_costs'!V448:AW469)</f>
        <v>0</v>
      </c>
      <c r="E23" s="332"/>
      <c r="G23" s="332"/>
      <c r="H23" s="332"/>
      <c r="I23" s="332"/>
      <c r="J23" s="332"/>
      <c r="L23" s="332"/>
      <c r="M23" s="332"/>
      <c r="N23" s="332"/>
      <c r="O23" s="332"/>
      <c r="Q23" s="332"/>
      <c r="R23" s="332"/>
      <c r="S23" s="332"/>
      <c r="T23" s="332"/>
      <c r="U23" s="332"/>
      <c r="V23" s="332"/>
      <c r="W23" s="332"/>
      <c r="X23" s="332"/>
      <c r="Z23" s="332"/>
      <c r="AA23" s="332"/>
      <c r="AB23" s="332"/>
      <c r="AC23" s="332"/>
      <c r="AE23" s="332"/>
    </row>
    <row r="24" spans="1:31" x14ac:dyDescent="0.25">
      <c r="A24" s="542"/>
      <c r="B24" s="17" t="s">
        <v>252</v>
      </c>
      <c r="C24" s="308">
        <f>SUM('Model_ of_individuals_costs'!W471:AX492)</f>
        <v>0</v>
      </c>
      <c r="E24" s="332"/>
      <c r="G24" s="332"/>
      <c r="H24" s="332"/>
      <c r="I24" s="332"/>
      <c r="J24" s="332"/>
      <c r="L24" s="332"/>
      <c r="M24" s="332"/>
      <c r="N24" s="332"/>
      <c r="O24" s="332"/>
      <c r="Q24" s="332"/>
      <c r="R24" s="332"/>
      <c r="S24" s="332"/>
      <c r="T24" s="332"/>
      <c r="U24" s="332"/>
      <c r="V24" s="332"/>
      <c r="W24" s="332"/>
      <c r="X24" s="332"/>
      <c r="Z24" s="332"/>
      <c r="AA24" s="332"/>
      <c r="AB24" s="332"/>
      <c r="AC24" s="332"/>
      <c r="AE24" s="332"/>
    </row>
    <row r="25" spans="1:31" ht="15.75" thickBot="1" x14ac:dyDescent="0.3">
      <c r="A25" s="543"/>
      <c r="B25" s="95" t="s">
        <v>253</v>
      </c>
      <c r="C25" s="309">
        <f>SUM('Model_ of_individuals_costs'!X494:AY515)</f>
        <v>0</v>
      </c>
      <c r="E25" s="332"/>
      <c r="G25" s="332"/>
      <c r="H25" s="332"/>
      <c r="I25" s="332"/>
      <c r="J25" s="332"/>
      <c r="L25" s="332"/>
      <c r="M25" s="332"/>
      <c r="N25" s="332"/>
      <c r="O25" s="332"/>
      <c r="Q25" s="332"/>
      <c r="R25" s="332"/>
      <c r="S25" s="332"/>
      <c r="T25" s="332"/>
      <c r="U25" s="332"/>
      <c r="V25" s="332"/>
      <c r="W25" s="332"/>
      <c r="X25" s="332"/>
      <c r="Z25" s="332"/>
      <c r="AA25" s="332"/>
      <c r="AB25" s="332"/>
      <c r="AC25" s="332"/>
      <c r="AE25" s="332"/>
    </row>
    <row r="26" spans="1:31" x14ac:dyDescent="0.25">
      <c r="A26" s="536" t="s">
        <v>13</v>
      </c>
      <c r="B26" s="179" t="s">
        <v>244</v>
      </c>
      <c r="C26" s="306">
        <f>SUM('Model_ of_individuals_costs'!O517:X556)</f>
        <v>0</v>
      </c>
      <c r="E26" s="352"/>
      <c r="G26" s="352"/>
      <c r="H26" s="352"/>
      <c r="I26" s="352"/>
      <c r="J26" s="352"/>
      <c r="L26" s="352"/>
      <c r="M26" s="352"/>
      <c r="N26" s="352"/>
      <c r="O26" s="352"/>
      <c r="Q26" s="352"/>
      <c r="R26" s="352"/>
      <c r="S26" s="352"/>
      <c r="T26" s="352"/>
      <c r="U26" s="352"/>
      <c r="V26" s="352"/>
      <c r="W26" s="352"/>
      <c r="X26" s="352"/>
      <c r="Z26" s="352"/>
      <c r="AA26" s="352"/>
      <c r="AB26" s="352"/>
      <c r="AC26" s="352"/>
      <c r="AE26" s="352"/>
    </row>
    <row r="27" spans="1:31" x14ac:dyDescent="0.25">
      <c r="A27" s="537"/>
      <c r="B27" s="93" t="s">
        <v>245</v>
      </c>
      <c r="C27" s="307">
        <f>SUM('Model_ of_individuals_costs'!P557:Y578)</f>
        <v>0</v>
      </c>
      <c r="E27" s="332"/>
      <c r="G27" s="332"/>
      <c r="H27" s="332"/>
      <c r="I27" s="332"/>
      <c r="J27" s="332"/>
      <c r="L27" s="332"/>
      <c r="M27" s="332"/>
      <c r="N27" s="332"/>
      <c r="O27" s="332"/>
      <c r="Q27" s="332"/>
      <c r="R27" s="332"/>
      <c r="S27" s="332"/>
      <c r="T27" s="332"/>
      <c r="U27" s="332"/>
      <c r="V27" s="332"/>
      <c r="W27" s="332"/>
      <c r="X27" s="332"/>
      <c r="Z27" s="332"/>
      <c r="AA27" s="332"/>
      <c r="AB27" s="332"/>
      <c r="AC27" s="332"/>
      <c r="AE27" s="332"/>
    </row>
    <row r="28" spans="1:31" x14ac:dyDescent="0.25">
      <c r="A28" s="537"/>
      <c r="B28" s="17" t="s">
        <v>246</v>
      </c>
      <c r="C28" s="308">
        <f>SUM('Model_ of_individuals_costs'!Q579:Z600)</f>
        <v>0</v>
      </c>
      <c r="E28" s="332"/>
      <c r="G28" s="332"/>
      <c r="H28" s="332"/>
      <c r="I28" s="332"/>
      <c r="J28" s="332"/>
      <c r="L28" s="332"/>
      <c r="M28" s="332"/>
      <c r="N28" s="332"/>
      <c r="O28" s="332"/>
      <c r="Q28" s="332"/>
      <c r="R28" s="332"/>
      <c r="S28" s="332"/>
      <c r="T28" s="332"/>
      <c r="U28" s="332"/>
      <c r="V28" s="332"/>
      <c r="W28" s="332"/>
      <c r="X28" s="332"/>
      <c r="Z28" s="332"/>
      <c r="AA28" s="332"/>
      <c r="AB28" s="332"/>
      <c r="AC28" s="332"/>
      <c r="AE28" s="332"/>
    </row>
    <row r="29" spans="1:31" x14ac:dyDescent="0.25">
      <c r="A29" s="537"/>
      <c r="B29" s="93" t="s">
        <v>247</v>
      </c>
      <c r="C29" s="307">
        <f>SUM('Model_ of_individuals_costs'!R601:AA622)</f>
        <v>0</v>
      </c>
      <c r="E29" s="332"/>
      <c r="G29" s="332"/>
      <c r="H29" s="332"/>
      <c r="I29" s="332"/>
      <c r="J29" s="332"/>
      <c r="L29" s="332"/>
      <c r="M29" s="332"/>
      <c r="N29" s="332"/>
      <c r="O29" s="332"/>
      <c r="Q29" s="332"/>
      <c r="R29" s="332"/>
      <c r="S29" s="332"/>
      <c r="T29" s="332"/>
      <c r="U29" s="332"/>
      <c r="V29" s="332"/>
      <c r="W29" s="332"/>
      <c r="X29" s="332"/>
      <c r="Z29" s="332"/>
      <c r="AA29" s="332"/>
      <c r="AB29" s="332"/>
      <c r="AC29" s="332"/>
      <c r="AE29" s="332"/>
    </row>
    <row r="30" spans="1:31" x14ac:dyDescent="0.25">
      <c r="A30" s="537"/>
      <c r="B30" s="17" t="s">
        <v>248</v>
      </c>
      <c r="C30" s="308">
        <f>SUM('Model_ of_individuals_costs'!S623:AB644)</f>
        <v>0</v>
      </c>
      <c r="E30" s="332"/>
      <c r="G30" s="332"/>
      <c r="H30" s="332"/>
      <c r="I30" s="332"/>
      <c r="J30" s="332"/>
      <c r="L30" s="332"/>
      <c r="M30" s="332"/>
      <c r="N30" s="332"/>
      <c r="O30" s="332"/>
      <c r="Q30" s="332"/>
      <c r="R30" s="332"/>
      <c r="S30" s="332"/>
      <c r="T30" s="332"/>
      <c r="U30" s="332"/>
      <c r="V30" s="332"/>
      <c r="W30" s="332"/>
      <c r="X30" s="332"/>
      <c r="Z30" s="332"/>
      <c r="AA30" s="332"/>
      <c r="AB30" s="332"/>
      <c r="AC30" s="332"/>
      <c r="AE30" s="332"/>
    </row>
    <row r="31" spans="1:31" x14ac:dyDescent="0.25">
      <c r="A31" s="537"/>
      <c r="B31" s="93" t="s">
        <v>249</v>
      </c>
      <c r="C31" s="307">
        <f>SUM('Model_ of_individuals_costs'!T645:AC666)</f>
        <v>0</v>
      </c>
      <c r="E31" s="332"/>
      <c r="G31" s="332"/>
      <c r="H31" s="332"/>
      <c r="I31" s="332"/>
      <c r="J31" s="332"/>
      <c r="L31" s="332"/>
      <c r="M31" s="332"/>
      <c r="N31" s="332"/>
      <c r="O31" s="332"/>
      <c r="Q31" s="332"/>
      <c r="R31" s="332"/>
      <c r="S31" s="332"/>
      <c r="T31" s="332"/>
      <c r="U31" s="332"/>
      <c r="V31" s="332"/>
      <c r="W31" s="332"/>
      <c r="X31" s="332"/>
      <c r="Z31" s="332"/>
      <c r="AA31" s="332"/>
      <c r="AB31" s="332"/>
      <c r="AC31" s="332"/>
      <c r="AE31" s="332"/>
    </row>
    <row r="32" spans="1:31" x14ac:dyDescent="0.25">
      <c r="A32" s="537"/>
      <c r="B32" s="17" t="s">
        <v>250</v>
      </c>
      <c r="C32" s="308">
        <f>SUM('Model_ of_individuals_costs'!U667:AD688)</f>
        <v>0</v>
      </c>
      <c r="E32" s="332"/>
      <c r="G32" s="332"/>
      <c r="H32" s="332"/>
      <c r="I32" s="332"/>
      <c r="J32" s="332"/>
      <c r="L32" s="332"/>
      <c r="M32" s="332"/>
      <c r="N32" s="332"/>
      <c r="O32" s="332"/>
      <c r="Q32" s="332"/>
      <c r="R32" s="332"/>
      <c r="S32" s="332"/>
      <c r="T32" s="332"/>
      <c r="U32" s="332"/>
      <c r="V32" s="332"/>
      <c r="W32" s="332"/>
      <c r="X32" s="332"/>
      <c r="Z32" s="332"/>
      <c r="AA32" s="332"/>
      <c r="AB32" s="332"/>
      <c r="AC32" s="332"/>
      <c r="AE32" s="332"/>
    </row>
    <row r="33" spans="1:31" x14ac:dyDescent="0.25">
      <c r="A33" s="537"/>
      <c r="B33" s="93" t="s">
        <v>251</v>
      </c>
      <c r="C33" s="307">
        <f>SUM('Model_ of_individuals_costs'!V689:AE710)</f>
        <v>0</v>
      </c>
      <c r="E33" s="332"/>
      <c r="G33" s="332"/>
      <c r="H33" s="332"/>
      <c r="I33" s="332"/>
      <c r="J33" s="332"/>
      <c r="L33" s="332"/>
      <c r="M33" s="332"/>
      <c r="N33" s="332"/>
      <c r="O33" s="332"/>
      <c r="Q33" s="332"/>
      <c r="R33" s="332"/>
      <c r="S33" s="332"/>
      <c r="T33" s="332"/>
      <c r="U33" s="332"/>
      <c r="V33" s="332"/>
      <c r="W33" s="332"/>
      <c r="X33" s="332"/>
      <c r="Z33" s="332"/>
      <c r="AA33" s="332"/>
      <c r="AB33" s="332"/>
      <c r="AC33" s="332"/>
      <c r="AE33" s="332"/>
    </row>
    <row r="34" spans="1:31" x14ac:dyDescent="0.25">
      <c r="A34" s="537"/>
      <c r="B34" s="17" t="s">
        <v>252</v>
      </c>
      <c r="C34" s="308">
        <f>SUM('Model_ of_individuals_costs'!W711:AF732)</f>
        <v>0</v>
      </c>
      <c r="E34" s="332"/>
      <c r="G34" s="332"/>
      <c r="H34" s="332"/>
      <c r="I34" s="332"/>
      <c r="J34" s="332"/>
      <c r="L34" s="332"/>
      <c r="M34" s="332"/>
      <c r="N34" s="332"/>
      <c r="O34" s="332"/>
      <c r="Q34" s="332"/>
      <c r="R34" s="332"/>
      <c r="S34" s="332"/>
      <c r="T34" s="332"/>
      <c r="U34" s="332"/>
      <c r="V34" s="332"/>
      <c r="W34" s="332"/>
      <c r="X34" s="332"/>
      <c r="Z34" s="332"/>
      <c r="AA34" s="332"/>
      <c r="AB34" s="332"/>
      <c r="AC34" s="332"/>
      <c r="AE34" s="332"/>
    </row>
    <row r="35" spans="1:31" ht="15.75" thickBot="1" x14ac:dyDescent="0.3">
      <c r="A35" s="538"/>
      <c r="B35" s="95" t="s">
        <v>253</v>
      </c>
      <c r="C35" s="309">
        <f>SUM('Model_ of_individuals_costs'!X733:AG754)</f>
        <v>0</v>
      </c>
      <c r="E35" s="332"/>
      <c r="G35" s="332"/>
      <c r="H35" s="332"/>
      <c r="I35" s="332"/>
      <c r="J35" s="332"/>
      <c r="L35" s="332"/>
      <c r="M35" s="332"/>
      <c r="N35" s="332"/>
      <c r="O35" s="332"/>
      <c r="Q35" s="332"/>
      <c r="R35" s="332"/>
      <c r="S35" s="332"/>
      <c r="T35" s="332"/>
      <c r="U35" s="332"/>
      <c r="V35" s="332"/>
      <c r="W35" s="332"/>
      <c r="X35" s="332"/>
      <c r="Z35" s="332"/>
      <c r="AA35" s="332"/>
      <c r="AB35" s="332"/>
      <c r="AC35" s="332"/>
      <c r="AE35" s="332"/>
    </row>
    <row r="36" spans="1:31" x14ac:dyDescent="0.25">
      <c r="A36" s="541" t="s">
        <v>152</v>
      </c>
      <c r="B36" s="179" t="s">
        <v>244</v>
      </c>
      <c r="C36" s="310">
        <f>SUM('Model_ of_individuals_costs'!O756:X795)</f>
        <v>0</v>
      </c>
      <c r="E36" s="332"/>
      <c r="G36" s="332"/>
      <c r="H36" s="332"/>
      <c r="I36" s="332"/>
      <c r="J36" s="332"/>
      <c r="L36" s="332"/>
      <c r="M36" s="332"/>
      <c r="N36" s="332"/>
      <c r="O36" s="332"/>
      <c r="Q36" s="332"/>
      <c r="R36" s="332"/>
      <c r="S36" s="332"/>
      <c r="T36" s="332"/>
      <c r="U36" s="332"/>
      <c r="V36" s="332"/>
      <c r="W36" s="332"/>
      <c r="X36" s="332"/>
      <c r="Z36" s="332"/>
      <c r="AA36" s="332"/>
      <c r="AB36" s="332"/>
      <c r="AC36" s="332"/>
      <c r="AE36" s="332"/>
    </row>
    <row r="37" spans="1:31" x14ac:dyDescent="0.25">
      <c r="A37" s="542"/>
      <c r="B37" s="93" t="s">
        <v>245</v>
      </c>
      <c r="C37" s="307">
        <f>SUM('Model_ of_individuals_costs'!P796:Y817)</f>
        <v>0</v>
      </c>
      <c r="E37" s="332"/>
      <c r="G37" s="332"/>
      <c r="H37" s="332"/>
      <c r="I37" s="332"/>
      <c r="J37" s="332"/>
      <c r="L37" s="332"/>
      <c r="M37" s="332"/>
      <c r="N37" s="332"/>
      <c r="O37" s="332"/>
      <c r="Q37" s="332"/>
      <c r="R37" s="332"/>
      <c r="S37" s="332"/>
      <c r="T37" s="332"/>
      <c r="U37" s="332"/>
      <c r="V37" s="332"/>
      <c r="W37" s="332"/>
      <c r="X37" s="332"/>
      <c r="Z37" s="332"/>
      <c r="AA37" s="332"/>
      <c r="AB37" s="332"/>
      <c r="AC37" s="332"/>
      <c r="AE37" s="332"/>
    </row>
    <row r="38" spans="1:31" x14ac:dyDescent="0.25">
      <c r="A38" s="542"/>
      <c r="B38" s="17" t="s">
        <v>246</v>
      </c>
      <c r="C38" s="308">
        <f>SUM('Model_ of_individuals_costs'!Q818:Z839)</f>
        <v>0</v>
      </c>
      <c r="E38" s="332"/>
      <c r="G38" s="332"/>
      <c r="H38" s="332"/>
      <c r="I38" s="332"/>
      <c r="J38" s="332"/>
      <c r="L38" s="332"/>
      <c r="M38" s="332"/>
      <c r="N38" s="332"/>
      <c r="O38" s="332"/>
      <c r="Q38" s="332"/>
      <c r="R38" s="332"/>
      <c r="S38" s="332"/>
      <c r="T38" s="332"/>
      <c r="U38" s="332"/>
      <c r="V38" s="332"/>
      <c r="W38" s="332"/>
      <c r="X38" s="332"/>
      <c r="Z38" s="332"/>
      <c r="AA38" s="332"/>
      <c r="AB38" s="332"/>
      <c r="AC38" s="332"/>
      <c r="AE38" s="332"/>
    </row>
    <row r="39" spans="1:31" x14ac:dyDescent="0.25">
      <c r="A39" s="542"/>
      <c r="B39" s="93" t="s">
        <v>247</v>
      </c>
      <c r="C39" s="307">
        <f>SUM('Model_ of_individuals_costs'!R840:AA861)</f>
        <v>0</v>
      </c>
      <c r="E39" s="332"/>
      <c r="G39" s="332"/>
      <c r="H39" s="332"/>
      <c r="I39" s="332"/>
      <c r="J39" s="332"/>
      <c r="L39" s="332"/>
      <c r="M39" s="332"/>
      <c r="N39" s="332"/>
      <c r="O39" s="332"/>
      <c r="Q39" s="332"/>
      <c r="R39" s="332"/>
      <c r="S39" s="332"/>
      <c r="T39" s="332"/>
      <c r="U39" s="332"/>
      <c r="V39" s="332"/>
      <c r="W39" s="332"/>
      <c r="X39" s="332"/>
      <c r="Z39" s="332"/>
      <c r="AA39" s="332"/>
      <c r="AB39" s="332"/>
      <c r="AC39" s="332"/>
      <c r="AE39" s="332"/>
    </row>
    <row r="40" spans="1:31" x14ac:dyDescent="0.25">
      <c r="A40" s="542"/>
      <c r="B40" s="17" t="s">
        <v>248</v>
      </c>
      <c r="C40" s="308">
        <f>SUM('Model_ of_individuals_costs'!S862:AB883)</f>
        <v>0</v>
      </c>
      <c r="E40" s="332"/>
      <c r="G40" s="332"/>
      <c r="H40" s="332"/>
      <c r="I40" s="332"/>
      <c r="J40" s="332"/>
      <c r="L40" s="332"/>
      <c r="M40" s="332"/>
      <c r="N40" s="332"/>
      <c r="O40" s="332"/>
      <c r="Q40" s="332"/>
      <c r="R40" s="332"/>
      <c r="S40" s="332"/>
      <c r="T40" s="332"/>
      <c r="U40" s="332"/>
      <c r="V40" s="332"/>
      <c r="W40" s="332"/>
      <c r="X40" s="332"/>
      <c r="Z40" s="332"/>
      <c r="AA40" s="332"/>
      <c r="AB40" s="332"/>
      <c r="AC40" s="332"/>
      <c r="AE40" s="332"/>
    </row>
    <row r="41" spans="1:31" x14ac:dyDescent="0.25">
      <c r="A41" s="542"/>
      <c r="B41" s="93" t="s">
        <v>249</v>
      </c>
      <c r="C41" s="307">
        <f>SUM('Model_ of_individuals_costs'!T884:AC905)</f>
        <v>0</v>
      </c>
      <c r="E41" s="332"/>
      <c r="G41" s="332"/>
      <c r="H41" s="332"/>
      <c r="I41" s="332"/>
      <c r="J41" s="332"/>
      <c r="L41" s="332"/>
      <c r="M41" s="332"/>
      <c r="N41" s="332"/>
      <c r="O41" s="332"/>
      <c r="Q41" s="332"/>
      <c r="R41" s="332"/>
      <c r="S41" s="332"/>
      <c r="T41" s="332"/>
      <c r="U41" s="332"/>
      <c r="V41" s="332"/>
      <c r="W41" s="332"/>
      <c r="X41" s="332"/>
      <c r="Z41" s="332"/>
      <c r="AA41" s="332"/>
      <c r="AB41" s="332"/>
      <c r="AC41" s="332"/>
      <c r="AE41" s="332"/>
    </row>
    <row r="42" spans="1:31" x14ac:dyDescent="0.25">
      <c r="A42" s="542"/>
      <c r="B42" s="17" t="s">
        <v>250</v>
      </c>
      <c r="C42" s="308">
        <f>SUM('Model_ of_individuals_costs'!U906:AD927)</f>
        <v>0</v>
      </c>
      <c r="E42" s="332"/>
      <c r="G42" s="332"/>
      <c r="H42" s="332"/>
      <c r="I42" s="332"/>
      <c r="J42" s="332"/>
      <c r="L42" s="332"/>
      <c r="M42" s="332"/>
      <c r="N42" s="332"/>
      <c r="O42" s="332"/>
      <c r="Q42" s="332"/>
      <c r="R42" s="332"/>
      <c r="S42" s="332"/>
      <c r="T42" s="332"/>
      <c r="U42" s="332"/>
      <c r="V42" s="332"/>
      <c r="W42" s="332"/>
      <c r="X42" s="332"/>
      <c r="Z42" s="332"/>
      <c r="AA42" s="332"/>
      <c r="AB42" s="332"/>
      <c r="AC42" s="332"/>
      <c r="AE42" s="332"/>
    </row>
    <row r="43" spans="1:31" x14ac:dyDescent="0.25">
      <c r="A43" s="542"/>
      <c r="B43" s="93" t="s">
        <v>251</v>
      </c>
      <c r="C43" s="307">
        <f>SUM('Model_ of_individuals_costs'!V928:AE949)</f>
        <v>0</v>
      </c>
      <c r="E43" s="332"/>
      <c r="G43" s="332"/>
      <c r="H43" s="332"/>
      <c r="I43" s="332"/>
      <c r="J43" s="332"/>
      <c r="L43" s="332"/>
      <c r="M43" s="332"/>
      <c r="N43" s="332"/>
      <c r="O43" s="332"/>
      <c r="Q43" s="332"/>
      <c r="R43" s="332"/>
      <c r="S43" s="332"/>
      <c r="T43" s="332"/>
      <c r="U43" s="332"/>
      <c r="V43" s="332"/>
      <c r="W43" s="332"/>
      <c r="X43" s="332"/>
      <c r="Z43" s="332"/>
      <c r="AA43" s="332"/>
      <c r="AB43" s="332"/>
      <c r="AC43" s="332"/>
      <c r="AE43" s="332"/>
    </row>
    <row r="44" spans="1:31" x14ac:dyDescent="0.25">
      <c r="A44" s="542"/>
      <c r="B44" s="17" t="s">
        <v>252</v>
      </c>
      <c r="C44" s="308">
        <f>SUM('Model_ of_individuals_costs'!W950:AF971)</f>
        <v>0</v>
      </c>
      <c r="E44" s="332"/>
      <c r="G44" s="332"/>
      <c r="H44" s="332"/>
      <c r="I44" s="332"/>
      <c r="J44" s="332"/>
      <c r="L44" s="332"/>
      <c r="M44" s="332"/>
      <c r="N44" s="332"/>
      <c r="O44" s="332"/>
      <c r="Q44" s="332"/>
      <c r="R44" s="332"/>
      <c r="S44" s="332"/>
      <c r="T44" s="332"/>
      <c r="U44" s="332"/>
      <c r="V44" s="332"/>
      <c r="W44" s="332"/>
      <c r="X44" s="332"/>
      <c r="Z44" s="332"/>
      <c r="AA44" s="332"/>
      <c r="AB44" s="332"/>
      <c r="AC44" s="332"/>
      <c r="AE44" s="332"/>
    </row>
    <row r="45" spans="1:31" ht="15.75" thickBot="1" x14ac:dyDescent="0.3">
      <c r="A45" s="543"/>
      <c r="B45" s="95" t="s">
        <v>253</v>
      </c>
      <c r="C45" s="309">
        <f>SUM('Model_ of_individuals_costs'!X972:AG993)</f>
        <v>0</v>
      </c>
      <c r="E45" s="332"/>
      <c r="G45" s="332"/>
      <c r="H45" s="332"/>
      <c r="I45" s="332"/>
      <c r="J45" s="332"/>
      <c r="L45" s="332"/>
      <c r="M45" s="332"/>
      <c r="N45" s="332"/>
      <c r="O45" s="332"/>
      <c r="Q45" s="332"/>
      <c r="R45" s="332"/>
      <c r="S45" s="332"/>
      <c r="T45" s="332"/>
      <c r="U45" s="332"/>
      <c r="V45" s="332"/>
      <c r="W45" s="332"/>
      <c r="X45" s="332"/>
      <c r="Z45" s="332"/>
      <c r="AA45" s="332"/>
      <c r="AB45" s="332"/>
      <c r="AC45" s="332"/>
      <c r="AE45" s="332"/>
    </row>
    <row r="46" spans="1:31" ht="15.75" thickBot="1" x14ac:dyDescent="0.3">
      <c r="A46" s="530" t="s">
        <v>8</v>
      </c>
      <c r="B46" s="531"/>
      <c r="C46" s="303">
        <f>SUM(C4:C45)</f>
        <v>0</v>
      </c>
      <c r="E46" s="353"/>
      <c r="G46" s="354"/>
      <c r="H46" s="354"/>
      <c r="I46" s="354"/>
      <c r="J46" s="354"/>
      <c r="L46" s="354"/>
      <c r="M46" s="354"/>
      <c r="N46" s="354"/>
      <c r="O46" s="354"/>
      <c r="Q46" s="354"/>
      <c r="R46" s="354"/>
      <c r="S46" s="354"/>
      <c r="T46" s="354"/>
      <c r="U46" s="354"/>
      <c r="V46" s="354"/>
      <c r="W46" s="354"/>
      <c r="X46" s="354"/>
      <c r="Z46" s="354"/>
      <c r="AA46" s="354"/>
      <c r="AB46" s="354"/>
      <c r="AC46" s="354"/>
      <c r="AE46" s="355"/>
    </row>
  </sheetData>
  <mergeCells count="14">
    <mergeCell ref="Z2:AC2"/>
    <mergeCell ref="AE2:AE3"/>
    <mergeCell ref="A46:B46"/>
    <mergeCell ref="A4:B4"/>
    <mergeCell ref="A5:B5"/>
    <mergeCell ref="A6:A15"/>
    <mergeCell ref="E2:E3"/>
    <mergeCell ref="A2:C3"/>
    <mergeCell ref="Q2:X2"/>
    <mergeCell ref="A16:A25"/>
    <mergeCell ref="A26:A35"/>
    <mergeCell ref="A36:A45"/>
    <mergeCell ref="L2:O2"/>
    <mergeCell ref="G2:J2"/>
  </mergeCells>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P198"/>
  <sheetViews>
    <sheetView topLeftCell="A22" workbookViewId="0">
      <selection activeCell="G29" sqref="G29"/>
    </sheetView>
  </sheetViews>
  <sheetFormatPr defaultRowHeight="15" x14ac:dyDescent="0.25"/>
  <sheetData>
    <row r="1" spans="1:16" ht="15.75" thickTop="1" x14ac:dyDescent="0.25">
      <c r="A1" s="544" t="s">
        <v>19</v>
      </c>
      <c r="B1" s="545"/>
      <c r="C1" s="545"/>
      <c r="D1" s="545"/>
      <c r="E1" s="545"/>
      <c r="F1" s="546"/>
    </row>
    <row r="2" spans="1:16" ht="15.75" thickBot="1" x14ac:dyDescent="0.3">
      <c r="A2" s="547"/>
      <c r="B2" s="548"/>
      <c r="C2" s="548"/>
      <c r="D2" s="548"/>
      <c r="E2" s="548"/>
      <c r="F2" s="549"/>
    </row>
    <row r="3" spans="1:16" ht="27" thickTop="1" x14ac:dyDescent="0.25">
      <c r="A3" s="9"/>
      <c r="B3" s="9"/>
      <c r="C3" s="9"/>
      <c r="D3" s="9"/>
      <c r="E3" s="9"/>
      <c r="F3" s="9"/>
      <c r="G3">
        <v>1</v>
      </c>
      <c r="H3">
        <v>2</v>
      </c>
      <c r="I3">
        <v>3</v>
      </c>
      <c r="J3">
        <v>4</v>
      </c>
      <c r="K3">
        <v>5</v>
      </c>
      <c r="L3">
        <v>6</v>
      </c>
      <c r="M3">
        <v>7</v>
      </c>
      <c r="N3">
        <v>8</v>
      </c>
      <c r="O3">
        <v>9</v>
      </c>
      <c r="P3">
        <v>10</v>
      </c>
    </row>
    <row r="4" spans="1:16" x14ac:dyDescent="0.25">
      <c r="A4" s="550" t="s">
        <v>21</v>
      </c>
      <c r="B4" s="550"/>
      <c r="C4" s="550"/>
      <c r="D4" s="550"/>
      <c r="E4" s="550"/>
      <c r="F4" s="550"/>
      <c r="G4" t="str">
        <f>IF('Cost Inputs'!L4="Y", 1, IF('Cost Inputs'!$M4&gt;0, 1, ""))</f>
        <v/>
      </c>
      <c r="H4" t="str">
        <f>IF('Cost Inputs'!$L4="Y", 1, IF('Cost Inputs'!$M4=1, 1, ""))</f>
        <v/>
      </c>
      <c r="I4" t="str">
        <f>IF('Cost Inputs'!$L4="Y", 1, IF('Cost Inputs'!$M4=2, 1, ""))</f>
        <v/>
      </c>
      <c r="J4" t="str">
        <f>IF('Cost Inputs'!$L4="Y", 1, IF('Cost Inputs'!$M4=3, 1, ""))</f>
        <v/>
      </c>
      <c r="K4" t="str">
        <f>IF('Cost Inputs'!$L4="Y", 1, IF(OR('Cost Inputs'!$M4=4, 'Cost Inputs'!$M4=2), 1, ""))</f>
        <v/>
      </c>
      <c r="L4" t="str">
        <f>IF('Cost Inputs'!$L4="Y", 1, IF('Cost Inputs'!$M4=5, 1, ""))</f>
        <v/>
      </c>
      <c r="M4" t="str">
        <f>IF('Cost Inputs'!$L4="Y", 1, IF(OR('Cost Inputs'!$M4=6, 'Cost Inputs'!$M4=3, 'Cost Inputs'!$M4=2), 1, ""))</f>
        <v/>
      </c>
      <c r="N4" t="str">
        <f>IF('Cost Inputs'!$L4="Y", 1, IF('Cost Inputs'!$M4=7, 1, ""))</f>
        <v/>
      </c>
      <c r="O4" t="str">
        <f>IF('Cost Inputs'!$L4="Y", 1, IF(OR('Cost Inputs'!$M4=8, 'Cost Inputs'!$M4=4, 'Cost Inputs'!$M4=2), 1, ""))</f>
        <v/>
      </c>
      <c r="P4" t="str">
        <f>IF('Cost Inputs'!$L4="Y", 1, IF(OR('Cost Inputs'!$M4=9, 'Cost Inputs'!$M4=3), 1, ""))</f>
        <v/>
      </c>
    </row>
    <row r="5" spans="1:16" x14ac:dyDescent="0.25">
      <c r="A5" s="551" t="s">
        <v>22</v>
      </c>
      <c r="B5" s="551"/>
      <c r="C5" s="551"/>
      <c r="D5" s="551"/>
      <c r="E5" s="551"/>
      <c r="F5" s="551"/>
      <c r="G5" t="str">
        <f>IF('Cost Inputs'!L5="Y", 1, IF('Cost Inputs'!$M5&gt;0, 1, ""))</f>
        <v/>
      </c>
      <c r="H5" t="str">
        <f>IF('Cost Inputs'!$L5="Y", 1, IF('Cost Inputs'!$M5=1, 1, ""))</f>
        <v/>
      </c>
      <c r="I5" t="str">
        <f>IF('Cost Inputs'!$L5="Y", 1, IF('Cost Inputs'!$M5=2, 1, ""))</f>
        <v/>
      </c>
      <c r="J5" t="str">
        <f>IF('Cost Inputs'!$L5="Y", 1, IF('Cost Inputs'!$M5=3, 1, ""))</f>
        <v/>
      </c>
      <c r="K5" t="str">
        <f>IF('Cost Inputs'!$L5="Y", 1, IF(OR('Cost Inputs'!$M5=4, 'Cost Inputs'!$M5=2), 1, ""))</f>
        <v/>
      </c>
      <c r="L5" t="str">
        <f>IF('Cost Inputs'!$L5="Y", 1, IF('Cost Inputs'!$M5=5, 1, ""))</f>
        <v/>
      </c>
      <c r="M5" t="str">
        <f>IF('Cost Inputs'!$L5="Y", 1, IF(OR('Cost Inputs'!$M5=6, 'Cost Inputs'!$M5=3, 'Cost Inputs'!$M5=2), 1, ""))</f>
        <v/>
      </c>
      <c r="N5" t="str">
        <f>IF('Cost Inputs'!$L5="Y", 1, IF('Cost Inputs'!$M5=7, 1, ""))</f>
        <v/>
      </c>
      <c r="O5" t="str">
        <f>IF('Cost Inputs'!$L5="Y", 1, IF(OR('Cost Inputs'!$M5=8, 'Cost Inputs'!$M5=4, 'Cost Inputs'!$M5=2), 1, ""))</f>
        <v/>
      </c>
      <c r="P5" t="str">
        <f>IF('Cost Inputs'!$L5="Y", 1, IF(OR('Cost Inputs'!$M5=9, 'Cost Inputs'!$M5=3), 1, ""))</f>
        <v/>
      </c>
    </row>
    <row r="6" spans="1:16" x14ac:dyDescent="0.25">
      <c r="A6" s="551" t="s">
        <v>23</v>
      </c>
      <c r="B6" s="551"/>
      <c r="C6" s="551"/>
      <c r="D6" s="551"/>
      <c r="E6" s="551"/>
      <c r="F6" s="551"/>
      <c r="G6" t="str">
        <f>IF('Cost Inputs'!L6="Y", 1, IF('Cost Inputs'!$M6&gt;0, 1, ""))</f>
        <v/>
      </c>
      <c r="H6" t="str">
        <f>IF('Cost Inputs'!$L6="Y", 1, IF('Cost Inputs'!$M6=1, 1, ""))</f>
        <v/>
      </c>
      <c r="I6" t="str">
        <f>IF('Cost Inputs'!$L6="Y", 1, IF('Cost Inputs'!$M6=2, 1, ""))</f>
        <v/>
      </c>
      <c r="J6" t="str">
        <f>IF('Cost Inputs'!$L6="Y", 1, IF('Cost Inputs'!$M6=3, 1, ""))</f>
        <v/>
      </c>
      <c r="K6" t="str">
        <f>IF('Cost Inputs'!$L6="Y", 1, IF(OR('Cost Inputs'!$M6=4, 'Cost Inputs'!$M6=2), 1, ""))</f>
        <v/>
      </c>
      <c r="L6" t="str">
        <f>IF('Cost Inputs'!$L6="Y", 1, IF('Cost Inputs'!$M6=5, 1, ""))</f>
        <v/>
      </c>
      <c r="M6" t="str">
        <f>IF('Cost Inputs'!$L6="Y", 1, IF(OR('Cost Inputs'!$M6=6, 'Cost Inputs'!$M6=3, 'Cost Inputs'!$M6=2), 1, ""))</f>
        <v/>
      </c>
      <c r="N6" t="str">
        <f>IF('Cost Inputs'!$L6="Y", 1, IF('Cost Inputs'!$M6=7, 1, ""))</f>
        <v/>
      </c>
      <c r="O6" t="str">
        <f>IF('Cost Inputs'!$L6="Y", 1, IF(OR('Cost Inputs'!$M6=8, 'Cost Inputs'!$M6=4, 'Cost Inputs'!$M6=2), 1, ""))</f>
        <v/>
      </c>
      <c r="P6" t="str">
        <f>IF('Cost Inputs'!$L6="Y", 1, IF(OR('Cost Inputs'!$M6=9, 'Cost Inputs'!$M6=3), 1, ""))</f>
        <v/>
      </c>
    </row>
    <row r="7" spans="1:16" x14ac:dyDescent="0.25">
      <c r="A7" s="551" t="s">
        <v>24</v>
      </c>
      <c r="B7" s="551"/>
      <c r="C7" s="551"/>
      <c r="D7" s="551"/>
      <c r="E7" s="551"/>
      <c r="F7" s="551"/>
      <c r="G7" t="str">
        <f>IF('Cost Inputs'!L7="Y", 1, IF('Cost Inputs'!$M7&gt;0, 1, ""))</f>
        <v/>
      </c>
      <c r="H7" t="str">
        <f>IF('Cost Inputs'!$L7="Y", 1, IF('Cost Inputs'!$M7=1, 1, ""))</f>
        <v/>
      </c>
      <c r="I7" t="str">
        <f>IF('Cost Inputs'!$L7="Y", 1, IF('Cost Inputs'!$M7=2, 1, ""))</f>
        <v/>
      </c>
      <c r="J7" t="str">
        <f>IF('Cost Inputs'!$L7="Y", 1, IF('Cost Inputs'!$M7=3, 1, ""))</f>
        <v/>
      </c>
      <c r="K7" t="str">
        <f>IF('Cost Inputs'!$L7="Y", 1, IF(OR('Cost Inputs'!$M7=4, 'Cost Inputs'!$M7=2), 1, ""))</f>
        <v/>
      </c>
      <c r="L7" t="str">
        <f>IF('Cost Inputs'!$L7="Y", 1, IF('Cost Inputs'!$M7=5, 1, ""))</f>
        <v/>
      </c>
      <c r="M7" t="str">
        <f>IF('Cost Inputs'!$L7="Y", 1, IF(OR('Cost Inputs'!$M7=6, 'Cost Inputs'!$M7=3, 'Cost Inputs'!$M7=2), 1, ""))</f>
        <v/>
      </c>
      <c r="N7" t="str">
        <f>IF('Cost Inputs'!$L7="Y", 1, IF('Cost Inputs'!$M7=7, 1, ""))</f>
        <v/>
      </c>
      <c r="O7" t="str">
        <f>IF('Cost Inputs'!$L7="Y", 1, IF(OR('Cost Inputs'!$M7=8, 'Cost Inputs'!$M7=4, 'Cost Inputs'!$M7=2), 1, ""))</f>
        <v/>
      </c>
      <c r="P7" t="str">
        <f>IF('Cost Inputs'!$L7="Y", 1, IF(OR('Cost Inputs'!$M7=9, 'Cost Inputs'!$M7=3), 1, ""))</f>
        <v/>
      </c>
    </row>
    <row r="8" spans="1:16" x14ac:dyDescent="0.25">
      <c r="A8" s="552" t="s">
        <v>116</v>
      </c>
      <c r="B8" s="553"/>
      <c r="C8" s="553"/>
      <c r="D8" s="553"/>
      <c r="E8" s="553"/>
      <c r="F8" s="554"/>
      <c r="G8" t="str">
        <f>IF('Cost Inputs'!L8="Y", 1, IF('Cost Inputs'!$M8&gt;0, 1, ""))</f>
        <v/>
      </c>
      <c r="H8" t="str">
        <f>IF('Cost Inputs'!$L8="Y", 1, IF('Cost Inputs'!$M8=1, 1, ""))</f>
        <v/>
      </c>
      <c r="I8" t="str">
        <f>IF('Cost Inputs'!$L8="Y", 1, IF('Cost Inputs'!$M8=2, 1, ""))</f>
        <v/>
      </c>
      <c r="J8" t="str">
        <f>IF('Cost Inputs'!$L8="Y", 1, IF('Cost Inputs'!$M8=3, 1, ""))</f>
        <v/>
      </c>
      <c r="K8" t="str">
        <f>IF('Cost Inputs'!$L8="Y", 1, IF(OR('Cost Inputs'!$M8=4, 'Cost Inputs'!$M8=2), 1, ""))</f>
        <v/>
      </c>
      <c r="L8" t="str">
        <f>IF('Cost Inputs'!$L8="Y", 1, IF('Cost Inputs'!$M8=5, 1, ""))</f>
        <v/>
      </c>
      <c r="M8" t="str">
        <f>IF('Cost Inputs'!$L8="Y", 1, IF(OR('Cost Inputs'!$M8=6, 'Cost Inputs'!$M8=3, 'Cost Inputs'!$M8=2), 1, ""))</f>
        <v/>
      </c>
      <c r="N8" t="str">
        <f>IF('Cost Inputs'!$L8="Y", 1, IF('Cost Inputs'!$M8=7, 1, ""))</f>
        <v/>
      </c>
      <c r="O8" t="str">
        <f>IF('Cost Inputs'!$L8="Y", 1, IF(OR('Cost Inputs'!$M8=8, 'Cost Inputs'!$M8=4, 'Cost Inputs'!$M8=2), 1, ""))</f>
        <v/>
      </c>
      <c r="P8" t="str">
        <f>IF('Cost Inputs'!$L8="Y", 1, IF(OR('Cost Inputs'!$M8=9, 'Cost Inputs'!$M8=3), 1, ""))</f>
        <v/>
      </c>
    </row>
    <row r="9" spans="1:16" x14ac:dyDescent="0.25">
      <c r="A9" s="559"/>
      <c r="B9" s="559"/>
      <c r="C9" s="559"/>
      <c r="D9" s="559"/>
      <c r="E9" s="559"/>
      <c r="F9" s="559"/>
      <c r="G9" t="str">
        <f>IF('Cost Inputs'!L9="Y", 1, IF('Cost Inputs'!$M9&gt;0, 1, ""))</f>
        <v/>
      </c>
      <c r="H9" t="str">
        <f>IF('Cost Inputs'!$L9="Y", 1, IF('Cost Inputs'!$M9=1, 1, ""))</f>
        <v/>
      </c>
      <c r="I9" t="str">
        <f>IF('Cost Inputs'!$L9="Y", 1, IF('Cost Inputs'!$M9=2, 1, ""))</f>
        <v/>
      </c>
      <c r="J9" t="str">
        <f>IF('Cost Inputs'!$L9="Y", 1, IF('Cost Inputs'!$M9=3, 1, ""))</f>
        <v/>
      </c>
      <c r="K9" t="str">
        <f>IF('Cost Inputs'!$L9="Y", 1, IF(OR('Cost Inputs'!$M9=4, 'Cost Inputs'!$M9=2), 1, ""))</f>
        <v/>
      </c>
      <c r="L9" t="str">
        <f>IF('Cost Inputs'!$L9="Y", 1, IF('Cost Inputs'!$M9=5, 1, ""))</f>
        <v/>
      </c>
      <c r="M9" t="str">
        <f>IF('Cost Inputs'!$L9="Y", 1, IF(OR('Cost Inputs'!$M9=6, 'Cost Inputs'!$M9=3, 'Cost Inputs'!$M9=2), 1, ""))</f>
        <v/>
      </c>
      <c r="N9" t="str">
        <f>IF('Cost Inputs'!$L9="Y", 1, IF('Cost Inputs'!$M9=7, 1, ""))</f>
        <v/>
      </c>
      <c r="O9" t="str">
        <f>IF('Cost Inputs'!$L9="Y", 1, IF(OR('Cost Inputs'!$M9=8, 'Cost Inputs'!$M9=4, 'Cost Inputs'!$M9=2), 1, ""))</f>
        <v/>
      </c>
      <c r="P9" t="str">
        <f>IF('Cost Inputs'!$L9="Y", 1, IF(OR('Cost Inputs'!$M9=9, 'Cost Inputs'!$M9=3), 1, ""))</f>
        <v/>
      </c>
    </row>
    <row r="10" spans="1:16" x14ac:dyDescent="0.25">
      <c r="A10" s="556"/>
      <c r="B10" s="557"/>
      <c r="C10" s="557"/>
      <c r="D10" s="557"/>
      <c r="E10" s="557"/>
      <c r="F10" s="558"/>
      <c r="G10" t="str">
        <f>IF('Cost Inputs'!L10="Y", 1, IF('Cost Inputs'!$M10&gt;0, 1, ""))</f>
        <v/>
      </c>
      <c r="H10" t="str">
        <f>IF('Cost Inputs'!$L10="Y", 1, IF('Cost Inputs'!$M10=1, 1, ""))</f>
        <v/>
      </c>
      <c r="I10" t="str">
        <f>IF('Cost Inputs'!$L10="Y", 1, IF('Cost Inputs'!$M10=2, 1, ""))</f>
        <v/>
      </c>
      <c r="J10" t="str">
        <f>IF('Cost Inputs'!$L10="Y", 1, IF('Cost Inputs'!$M10=3, 1, ""))</f>
        <v/>
      </c>
      <c r="K10" t="str">
        <f>IF('Cost Inputs'!$L10="Y", 1, IF(OR('Cost Inputs'!$M10=4, 'Cost Inputs'!$M10=2), 1, ""))</f>
        <v/>
      </c>
      <c r="L10" t="str">
        <f>IF('Cost Inputs'!$L10="Y", 1, IF('Cost Inputs'!$M10=5, 1, ""))</f>
        <v/>
      </c>
      <c r="M10" t="str">
        <f>IF('Cost Inputs'!$L10="Y", 1, IF(OR('Cost Inputs'!$M10=6, 'Cost Inputs'!$M10=3, 'Cost Inputs'!$M10=2), 1, ""))</f>
        <v/>
      </c>
      <c r="N10" t="str">
        <f>IF('Cost Inputs'!$L10="Y", 1, IF('Cost Inputs'!$M10=7, 1, ""))</f>
        <v/>
      </c>
      <c r="O10" t="str">
        <f>IF('Cost Inputs'!$L10="Y", 1, IF(OR('Cost Inputs'!$M10=8, 'Cost Inputs'!$M10=4, 'Cost Inputs'!$M10=2), 1, ""))</f>
        <v/>
      </c>
      <c r="P10" t="str">
        <f>IF('Cost Inputs'!$L10="Y", 1, IF(OR('Cost Inputs'!$M10=9, 'Cost Inputs'!$M10=3), 1, ""))</f>
        <v/>
      </c>
    </row>
    <row r="11" spans="1:16" x14ac:dyDescent="0.25">
      <c r="A11" s="560" t="s">
        <v>25</v>
      </c>
      <c r="B11" s="560"/>
      <c r="C11" s="560"/>
      <c r="D11" s="560"/>
      <c r="E11" s="560"/>
      <c r="F11" s="560"/>
      <c r="G11" t="str">
        <f>IF('Cost Inputs'!L11="Y", 1, IF('Cost Inputs'!$M11&gt;0, 1, ""))</f>
        <v/>
      </c>
      <c r="H11" t="str">
        <f>IF('Cost Inputs'!$L11="Y", 1, IF('Cost Inputs'!$M11=1, 1, ""))</f>
        <v/>
      </c>
      <c r="I11" t="str">
        <f>IF('Cost Inputs'!$L11="Y", 1, IF('Cost Inputs'!$M11=2, 1, ""))</f>
        <v/>
      </c>
      <c r="J11" t="str">
        <f>IF('Cost Inputs'!$L11="Y", 1, IF('Cost Inputs'!$M11=3, 1, ""))</f>
        <v/>
      </c>
      <c r="K11" t="str">
        <f>IF('Cost Inputs'!$L11="Y", 1, IF(OR('Cost Inputs'!$M11=4, 'Cost Inputs'!$M11=2), 1, ""))</f>
        <v/>
      </c>
      <c r="L11" t="str">
        <f>IF('Cost Inputs'!$L11="Y", 1, IF('Cost Inputs'!$M11=5, 1, ""))</f>
        <v/>
      </c>
      <c r="M11" t="str">
        <f>IF('Cost Inputs'!$L11="Y", 1, IF(OR('Cost Inputs'!$M11=6, 'Cost Inputs'!$M11=3, 'Cost Inputs'!$M11=2), 1, ""))</f>
        <v/>
      </c>
      <c r="N11" t="str">
        <f>IF('Cost Inputs'!$L11="Y", 1, IF('Cost Inputs'!$M11=7, 1, ""))</f>
        <v/>
      </c>
      <c r="O11" t="str">
        <f>IF('Cost Inputs'!$L11="Y", 1, IF(OR('Cost Inputs'!$M11=8, 'Cost Inputs'!$M11=4, 'Cost Inputs'!$M11=2), 1, ""))</f>
        <v/>
      </c>
      <c r="P11" t="str">
        <f>IF('Cost Inputs'!$L11="Y", 1, IF(OR('Cost Inputs'!$M11=9, 'Cost Inputs'!$M11=3), 1, ""))</f>
        <v/>
      </c>
    </row>
    <row r="12" spans="1:16" x14ac:dyDescent="0.25">
      <c r="A12" s="561"/>
      <c r="B12" s="561"/>
      <c r="C12" s="561"/>
      <c r="D12" s="561"/>
      <c r="E12" s="561"/>
      <c r="F12" s="561"/>
      <c r="G12" t="str">
        <f>IF('Cost Inputs'!L12="Y", 1, IF('Cost Inputs'!$M12&gt;0, 1, ""))</f>
        <v/>
      </c>
      <c r="H12" t="str">
        <f>IF('Cost Inputs'!$L12="Y", 1, IF('Cost Inputs'!$M12=1, 1, ""))</f>
        <v/>
      </c>
      <c r="I12" t="str">
        <f>IF('Cost Inputs'!$L12="Y", 1, IF('Cost Inputs'!$M12=2, 1, ""))</f>
        <v/>
      </c>
      <c r="J12" t="str">
        <f>IF('Cost Inputs'!$L12="Y", 1, IF('Cost Inputs'!$M12=3, 1, ""))</f>
        <v/>
      </c>
      <c r="K12" t="str">
        <f>IF('Cost Inputs'!$L12="Y", 1, IF(OR('Cost Inputs'!$M12=4, 'Cost Inputs'!$M12=2), 1, ""))</f>
        <v/>
      </c>
      <c r="L12" t="str">
        <f>IF('Cost Inputs'!$L12="Y", 1, IF('Cost Inputs'!$M12=5, 1, ""))</f>
        <v/>
      </c>
      <c r="M12" t="str">
        <f>IF('Cost Inputs'!$L12="Y", 1, IF(OR('Cost Inputs'!$M12=6, 'Cost Inputs'!$M12=3, 'Cost Inputs'!$M12=2), 1, ""))</f>
        <v/>
      </c>
      <c r="N12" t="str">
        <f>IF('Cost Inputs'!$L12="Y", 1, IF('Cost Inputs'!$M12=7, 1, ""))</f>
        <v/>
      </c>
      <c r="O12" t="str">
        <f>IF('Cost Inputs'!$L12="Y", 1, IF(OR('Cost Inputs'!$M12=8, 'Cost Inputs'!$M12=4, 'Cost Inputs'!$M12=2), 1, ""))</f>
        <v/>
      </c>
      <c r="P12" t="str">
        <f>IF('Cost Inputs'!$L12="Y", 1, IF(OR('Cost Inputs'!$M12=9, 'Cost Inputs'!$M12=3), 1, ""))</f>
        <v/>
      </c>
    </row>
    <row r="13" spans="1:16" x14ac:dyDescent="0.25">
      <c r="A13" s="556"/>
      <c r="B13" s="557"/>
      <c r="C13" s="557"/>
      <c r="D13" s="557"/>
      <c r="E13" s="557"/>
      <c r="F13" s="558"/>
      <c r="G13" t="str">
        <f>IF('Cost Inputs'!L13="Y", 1, IF('Cost Inputs'!$M13&gt;0, 1, ""))</f>
        <v/>
      </c>
      <c r="H13" t="str">
        <f>IF('Cost Inputs'!$L13="Y", 1, IF('Cost Inputs'!$M13=1, 1, ""))</f>
        <v/>
      </c>
      <c r="I13" t="str">
        <f>IF('Cost Inputs'!$L13="Y", 1, IF('Cost Inputs'!$M13=2, 1, ""))</f>
        <v/>
      </c>
      <c r="J13" t="str">
        <f>IF('Cost Inputs'!$L13="Y", 1, IF('Cost Inputs'!$M13=3, 1, ""))</f>
        <v/>
      </c>
      <c r="K13" t="str">
        <f>IF('Cost Inputs'!$L13="Y", 1, IF(OR('Cost Inputs'!$M13=4, 'Cost Inputs'!$M13=2), 1, ""))</f>
        <v/>
      </c>
      <c r="L13" t="str">
        <f>IF('Cost Inputs'!$L13="Y", 1, IF('Cost Inputs'!$M13=5, 1, ""))</f>
        <v/>
      </c>
      <c r="M13" t="str">
        <f>IF('Cost Inputs'!$L13="Y", 1, IF(OR('Cost Inputs'!$M13=6, 'Cost Inputs'!$M13=3, 'Cost Inputs'!$M13=2), 1, ""))</f>
        <v/>
      </c>
      <c r="N13" t="str">
        <f>IF('Cost Inputs'!$L13="Y", 1, IF('Cost Inputs'!$M13=7, 1, ""))</f>
        <v/>
      </c>
      <c r="O13" t="str">
        <f>IF('Cost Inputs'!$L13="Y", 1, IF(OR('Cost Inputs'!$M13=8, 'Cost Inputs'!$M13=4, 'Cost Inputs'!$M13=2), 1, ""))</f>
        <v/>
      </c>
      <c r="P13" t="str">
        <f>IF('Cost Inputs'!$L13="Y", 1, IF(OR('Cost Inputs'!$M13=9, 'Cost Inputs'!$M13=3), 1, ""))</f>
        <v/>
      </c>
    </row>
    <row r="14" spans="1:16" x14ac:dyDescent="0.25">
      <c r="A14" s="560" t="s">
        <v>75</v>
      </c>
      <c r="B14" s="560"/>
      <c r="C14" s="560"/>
      <c r="D14" s="560"/>
      <c r="E14" s="560"/>
      <c r="F14" s="560"/>
      <c r="G14" t="str">
        <f>IF('Cost Inputs'!L14="Y", 1, IF('Cost Inputs'!$M14&gt;0, 1, ""))</f>
        <v/>
      </c>
      <c r="H14" t="str">
        <f>IF('Cost Inputs'!$L14="Y", 1, IF('Cost Inputs'!$M14=1, 1, ""))</f>
        <v/>
      </c>
      <c r="I14" t="str">
        <f>IF('Cost Inputs'!$L14="Y", 1, IF('Cost Inputs'!$M14=2, 1, ""))</f>
        <v/>
      </c>
      <c r="J14" t="str">
        <f>IF('Cost Inputs'!$L14="Y", 1, IF('Cost Inputs'!$M14=3, 1, ""))</f>
        <v/>
      </c>
      <c r="K14" t="str">
        <f>IF('Cost Inputs'!$L14="Y", 1, IF(OR('Cost Inputs'!$M14=4, 'Cost Inputs'!$M14=2), 1, ""))</f>
        <v/>
      </c>
      <c r="L14" t="str">
        <f>IF('Cost Inputs'!$L14="Y", 1, IF('Cost Inputs'!$M14=5, 1, ""))</f>
        <v/>
      </c>
      <c r="M14" t="str">
        <f>IF('Cost Inputs'!$L14="Y", 1, IF(OR('Cost Inputs'!$M14=6, 'Cost Inputs'!$M14=3, 'Cost Inputs'!$M14=2), 1, ""))</f>
        <v/>
      </c>
      <c r="N14" t="str">
        <f>IF('Cost Inputs'!$L14="Y", 1, IF('Cost Inputs'!$M14=7, 1, ""))</f>
        <v/>
      </c>
      <c r="O14" t="str">
        <f>IF('Cost Inputs'!$L14="Y", 1, IF(OR('Cost Inputs'!$M14=8, 'Cost Inputs'!$M14=4, 'Cost Inputs'!$M14=2), 1, ""))</f>
        <v/>
      </c>
      <c r="P14" t="str">
        <f>IF('Cost Inputs'!$L14="Y", 1, IF(OR('Cost Inputs'!$M14=9, 'Cost Inputs'!$M14=3), 1, ""))</f>
        <v/>
      </c>
    </row>
    <row r="15" spans="1:16" x14ac:dyDescent="0.25">
      <c r="A15" s="555" t="s">
        <v>78</v>
      </c>
      <c r="B15" s="555"/>
      <c r="C15" s="555"/>
      <c r="D15" s="555"/>
      <c r="E15" s="555"/>
      <c r="F15" s="555"/>
      <c r="G15" t="str">
        <f>IF('Cost Inputs'!L15="Y", 1, IF('Cost Inputs'!$M15&gt;0, 1, ""))</f>
        <v/>
      </c>
      <c r="H15" t="str">
        <f>IF('Cost Inputs'!$L15="Y", 1, IF('Cost Inputs'!$M15=1, 1, ""))</f>
        <v/>
      </c>
      <c r="I15" t="str">
        <f>IF('Cost Inputs'!$L15="Y", 1, IF('Cost Inputs'!$M15=2, 1, ""))</f>
        <v/>
      </c>
      <c r="J15" t="str">
        <f>IF('Cost Inputs'!$L15="Y", 1, IF('Cost Inputs'!$M15=3, 1, ""))</f>
        <v/>
      </c>
      <c r="K15" t="str">
        <f>IF('Cost Inputs'!$L15="Y", 1, IF(OR('Cost Inputs'!$M15=4, 'Cost Inputs'!$M15=2), 1, ""))</f>
        <v/>
      </c>
      <c r="L15" t="str">
        <f>IF('Cost Inputs'!$L15="Y", 1, IF('Cost Inputs'!$M15=5, 1, ""))</f>
        <v/>
      </c>
      <c r="M15" t="str">
        <f>IF('Cost Inputs'!$L15="Y", 1, IF(OR('Cost Inputs'!$M15=6, 'Cost Inputs'!$M15=3, 'Cost Inputs'!$M15=2), 1, ""))</f>
        <v/>
      </c>
      <c r="N15" t="str">
        <f>IF('Cost Inputs'!$L15="Y", 1, IF('Cost Inputs'!$M15=7, 1, ""))</f>
        <v/>
      </c>
      <c r="O15" t="str">
        <f>IF('Cost Inputs'!$L15="Y", 1, IF(OR('Cost Inputs'!$M15=8, 'Cost Inputs'!$M15=4, 'Cost Inputs'!$M15=2), 1, ""))</f>
        <v/>
      </c>
      <c r="P15" t="str">
        <f>IF('Cost Inputs'!$L15="Y", 1, IF(OR('Cost Inputs'!$M15=9, 'Cost Inputs'!$M15=3), 1, ""))</f>
        <v/>
      </c>
    </row>
    <row r="16" spans="1:16" x14ac:dyDescent="0.25">
      <c r="A16" s="555" t="s">
        <v>79</v>
      </c>
      <c r="B16" s="555"/>
      <c r="C16" s="555"/>
      <c r="D16" s="555"/>
      <c r="E16" s="555"/>
      <c r="F16" s="555"/>
      <c r="G16" t="str">
        <f>IF('Cost Inputs'!L16="Y", 1, IF('Cost Inputs'!$M16&gt;0, 1, ""))</f>
        <v/>
      </c>
      <c r="H16" t="str">
        <f>IF('Cost Inputs'!$L16="Y", 1, IF('Cost Inputs'!$M16=1, 1, ""))</f>
        <v/>
      </c>
      <c r="I16" t="str">
        <f>IF('Cost Inputs'!$L16="Y", 1, IF('Cost Inputs'!$M16=2, 1, ""))</f>
        <v/>
      </c>
      <c r="J16" t="str">
        <f>IF('Cost Inputs'!$L16="Y", 1, IF('Cost Inputs'!$M16=3, 1, ""))</f>
        <v/>
      </c>
      <c r="K16" t="str">
        <f>IF('Cost Inputs'!$L16="Y", 1, IF(OR('Cost Inputs'!$M16=4, 'Cost Inputs'!$M16=2), 1, ""))</f>
        <v/>
      </c>
      <c r="L16" t="str">
        <f>IF('Cost Inputs'!$L16="Y", 1, IF('Cost Inputs'!$M16=5, 1, ""))</f>
        <v/>
      </c>
      <c r="M16" t="str">
        <f>IF('Cost Inputs'!$L16="Y", 1, IF(OR('Cost Inputs'!$M16=6, 'Cost Inputs'!$M16=3, 'Cost Inputs'!$M16=2), 1, ""))</f>
        <v/>
      </c>
      <c r="N16" t="str">
        <f>IF('Cost Inputs'!$L16="Y", 1, IF('Cost Inputs'!$M16=7, 1, ""))</f>
        <v/>
      </c>
      <c r="O16" t="str">
        <f>IF('Cost Inputs'!$L16="Y", 1, IF(OR('Cost Inputs'!$M16=8, 'Cost Inputs'!$M16=4, 'Cost Inputs'!$M16=2), 1, ""))</f>
        <v/>
      </c>
      <c r="P16" t="str">
        <f>IF('Cost Inputs'!$L16="Y", 1, IF(OR('Cost Inputs'!$M16=9, 'Cost Inputs'!$M16=3), 1, ""))</f>
        <v/>
      </c>
    </row>
    <row r="17" spans="1:16" x14ac:dyDescent="0.25">
      <c r="A17" s="555" t="s">
        <v>80</v>
      </c>
      <c r="B17" s="555"/>
      <c r="C17" s="555"/>
      <c r="D17" s="555"/>
      <c r="E17" s="555"/>
      <c r="F17" s="555"/>
      <c r="G17" t="str">
        <f>IF('Cost Inputs'!L17="Y", 1, IF('Cost Inputs'!$M17&gt;0, 1, ""))</f>
        <v/>
      </c>
      <c r="H17" t="str">
        <f>IF('Cost Inputs'!$L17="Y", 1, IF('Cost Inputs'!$M17=1, 1, ""))</f>
        <v/>
      </c>
      <c r="I17" t="str">
        <f>IF('Cost Inputs'!$L17="Y", 1, IF('Cost Inputs'!$M17=2, 1, ""))</f>
        <v/>
      </c>
      <c r="J17" t="str">
        <f>IF('Cost Inputs'!$L17="Y", 1, IF('Cost Inputs'!$M17=3, 1, ""))</f>
        <v/>
      </c>
      <c r="K17" t="str">
        <f>IF('Cost Inputs'!$L17="Y", 1, IF(OR('Cost Inputs'!$M17=4, 'Cost Inputs'!$M17=2), 1, ""))</f>
        <v/>
      </c>
      <c r="L17" t="str">
        <f>IF('Cost Inputs'!$L17="Y", 1, IF('Cost Inputs'!$M17=5, 1, ""))</f>
        <v/>
      </c>
      <c r="M17" t="str">
        <f>IF('Cost Inputs'!$L17="Y", 1, IF(OR('Cost Inputs'!$M17=6, 'Cost Inputs'!$M17=3, 'Cost Inputs'!$M17=2), 1, ""))</f>
        <v/>
      </c>
      <c r="N17" t="str">
        <f>IF('Cost Inputs'!$L17="Y", 1, IF('Cost Inputs'!$M17=7, 1, ""))</f>
        <v/>
      </c>
      <c r="O17" t="str">
        <f>IF('Cost Inputs'!$L17="Y", 1, IF(OR('Cost Inputs'!$M17=8, 'Cost Inputs'!$M17=4, 'Cost Inputs'!$M17=2), 1, ""))</f>
        <v/>
      </c>
      <c r="P17" t="str">
        <f>IF('Cost Inputs'!$L17="Y", 1, IF(OR('Cost Inputs'!$M17=9, 'Cost Inputs'!$M17=3), 1, ""))</f>
        <v/>
      </c>
    </row>
    <row r="18" spans="1:16" x14ac:dyDescent="0.25">
      <c r="A18" s="555" t="s">
        <v>81</v>
      </c>
      <c r="B18" s="555"/>
      <c r="C18" s="555"/>
      <c r="D18" s="555"/>
      <c r="E18" s="555"/>
      <c r="F18" s="555"/>
      <c r="G18" t="str">
        <f>IF('Cost Inputs'!L18="Y", 1, IF('Cost Inputs'!$M18&gt;0, 1, ""))</f>
        <v/>
      </c>
      <c r="H18" t="str">
        <f>IF('Cost Inputs'!$L18="Y", 1, IF('Cost Inputs'!$M18=1, 1, ""))</f>
        <v/>
      </c>
      <c r="I18" t="str">
        <f>IF('Cost Inputs'!$L18="Y", 1, IF('Cost Inputs'!$M18=2, 1, ""))</f>
        <v/>
      </c>
      <c r="J18" t="str">
        <f>IF('Cost Inputs'!$L18="Y", 1, IF('Cost Inputs'!$M18=3, 1, ""))</f>
        <v/>
      </c>
      <c r="K18" t="str">
        <f>IF('Cost Inputs'!$L18="Y", 1, IF(OR('Cost Inputs'!$M18=4, 'Cost Inputs'!$M18=2), 1, ""))</f>
        <v/>
      </c>
      <c r="L18" t="str">
        <f>IF('Cost Inputs'!$L18="Y", 1, IF('Cost Inputs'!$M18=5, 1, ""))</f>
        <v/>
      </c>
      <c r="M18" t="str">
        <f>IF('Cost Inputs'!$L18="Y", 1, IF(OR('Cost Inputs'!$M18=6, 'Cost Inputs'!$M18=3, 'Cost Inputs'!$M18=2), 1, ""))</f>
        <v/>
      </c>
      <c r="N18" t="str">
        <f>IF('Cost Inputs'!$L18="Y", 1, IF('Cost Inputs'!$M18=7, 1, ""))</f>
        <v/>
      </c>
      <c r="O18" t="str">
        <f>IF('Cost Inputs'!$L18="Y", 1, IF(OR('Cost Inputs'!$M18=8, 'Cost Inputs'!$M18=4, 'Cost Inputs'!$M18=2), 1, ""))</f>
        <v/>
      </c>
      <c r="P18" t="str">
        <f>IF('Cost Inputs'!$L18="Y", 1, IF(OR('Cost Inputs'!$M18=9, 'Cost Inputs'!$M18=3), 1, ""))</f>
        <v/>
      </c>
    </row>
    <row r="19" spans="1:16" x14ac:dyDescent="0.25">
      <c r="A19" s="556"/>
      <c r="B19" s="557"/>
      <c r="C19" s="557"/>
      <c r="D19" s="557"/>
      <c r="E19" s="557"/>
      <c r="F19" s="558"/>
      <c r="G19" t="str">
        <f>IF('Cost Inputs'!L19="Y", 1, IF('Cost Inputs'!$M19&gt;0, 1, ""))</f>
        <v/>
      </c>
      <c r="H19" t="str">
        <f>IF('Cost Inputs'!$L19="Y", 1, IF('Cost Inputs'!$M19=1, 1, ""))</f>
        <v/>
      </c>
      <c r="I19" t="str">
        <f>IF('Cost Inputs'!$L19="Y", 1, IF('Cost Inputs'!$M19=2, 1, ""))</f>
        <v/>
      </c>
      <c r="J19" t="str">
        <f>IF('Cost Inputs'!$L19="Y", 1, IF('Cost Inputs'!$M19=3, 1, ""))</f>
        <v/>
      </c>
      <c r="K19" t="str">
        <f>IF('Cost Inputs'!$L19="Y", 1, IF(OR('Cost Inputs'!$M19=4, 'Cost Inputs'!$M19=2), 1, ""))</f>
        <v/>
      </c>
      <c r="L19" t="str">
        <f>IF('Cost Inputs'!$L19="Y", 1, IF('Cost Inputs'!$M19=5, 1, ""))</f>
        <v/>
      </c>
      <c r="M19" t="str">
        <f>IF('Cost Inputs'!$L19="Y", 1, IF(OR('Cost Inputs'!$M19=6, 'Cost Inputs'!$M19=3, 'Cost Inputs'!$M19=2), 1, ""))</f>
        <v/>
      </c>
      <c r="N19" t="str">
        <f>IF('Cost Inputs'!$L19="Y", 1, IF('Cost Inputs'!$M19=7, 1, ""))</f>
        <v/>
      </c>
      <c r="O19" t="str">
        <f>IF('Cost Inputs'!$L19="Y", 1, IF(OR('Cost Inputs'!$M19=8, 'Cost Inputs'!$M19=4, 'Cost Inputs'!$M19=2), 1, ""))</f>
        <v/>
      </c>
      <c r="P19" t="str">
        <f>IF('Cost Inputs'!$L19="Y", 1, IF(OR('Cost Inputs'!$M19=9, 'Cost Inputs'!$M19=3), 1, ""))</f>
        <v/>
      </c>
    </row>
    <row r="20" spans="1:16" x14ac:dyDescent="0.25">
      <c r="A20" s="556"/>
      <c r="B20" s="557"/>
      <c r="C20" s="557"/>
      <c r="D20" s="557"/>
      <c r="E20" s="557"/>
      <c r="F20" s="558"/>
      <c r="G20" t="str">
        <f>IF('Cost Inputs'!L20="Y", 1, IF('Cost Inputs'!$M20&gt;0, 1, ""))</f>
        <v/>
      </c>
      <c r="H20" t="str">
        <f>IF('Cost Inputs'!$L20="Y", 1, IF('Cost Inputs'!$M20=1, 1, ""))</f>
        <v/>
      </c>
      <c r="I20" t="str">
        <f>IF('Cost Inputs'!$L20="Y", 1, IF('Cost Inputs'!$M20=2, 1, ""))</f>
        <v/>
      </c>
      <c r="J20" t="str">
        <f>IF('Cost Inputs'!$L20="Y", 1, IF('Cost Inputs'!$M20=3, 1, ""))</f>
        <v/>
      </c>
      <c r="K20" t="str">
        <f>IF('Cost Inputs'!$L20="Y", 1, IF(OR('Cost Inputs'!$M20=4, 'Cost Inputs'!$M20=2), 1, ""))</f>
        <v/>
      </c>
      <c r="L20" t="str">
        <f>IF('Cost Inputs'!$L20="Y", 1, IF('Cost Inputs'!$M20=5, 1, ""))</f>
        <v/>
      </c>
      <c r="M20" t="str">
        <f>IF('Cost Inputs'!$L20="Y", 1, IF(OR('Cost Inputs'!$M20=6, 'Cost Inputs'!$M20=3, 'Cost Inputs'!$M20=2), 1, ""))</f>
        <v/>
      </c>
      <c r="N20" t="str">
        <f>IF('Cost Inputs'!$L20="Y", 1, IF('Cost Inputs'!$M20=7, 1, ""))</f>
        <v/>
      </c>
      <c r="O20" t="str">
        <f>IF('Cost Inputs'!$L20="Y", 1, IF(OR('Cost Inputs'!$M20=8, 'Cost Inputs'!$M20=4, 'Cost Inputs'!$M20=2), 1, ""))</f>
        <v/>
      </c>
      <c r="P20" t="str">
        <f>IF('Cost Inputs'!$L20="Y", 1, IF(OR('Cost Inputs'!$M20=9, 'Cost Inputs'!$M20=3), 1, ""))</f>
        <v/>
      </c>
    </row>
    <row r="21" spans="1:16" x14ac:dyDescent="0.25">
      <c r="A21" s="560" t="s">
        <v>76</v>
      </c>
      <c r="B21" s="560"/>
      <c r="C21" s="560"/>
      <c r="D21" s="560"/>
      <c r="E21" s="560"/>
      <c r="F21" s="560"/>
      <c r="G21" t="str">
        <f>IF('Cost Inputs'!L21="Y", 1, IF('Cost Inputs'!$M21&gt;0, 1, ""))</f>
        <v/>
      </c>
      <c r="H21" t="str">
        <f>IF('Cost Inputs'!$L21="Y", 1, IF('Cost Inputs'!$M21=1, 1, ""))</f>
        <v/>
      </c>
      <c r="I21" t="str">
        <f>IF('Cost Inputs'!$L21="Y", 1, IF('Cost Inputs'!$M21=2, 1, ""))</f>
        <v/>
      </c>
      <c r="J21" t="str">
        <f>IF('Cost Inputs'!$L21="Y", 1, IF('Cost Inputs'!$M21=3, 1, ""))</f>
        <v/>
      </c>
      <c r="K21" t="str">
        <f>IF('Cost Inputs'!$L21="Y", 1, IF(OR('Cost Inputs'!$M21=4, 'Cost Inputs'!$M21=2), 1, ""))</f>
        <v/>
      </c>
      <c r="L21" t="str">
        <f>IF('Cost Inputs'!$L21="Y", 1, IF('Cost Inputs'!$M21=5, 1, ""))</f>
        <v/>
      </c>
      <c r="M21" t="str">
        <f>IF('Cost Inputs'!$L21="Y", 1, IF(OR('Cost Inputs'!$M21=6, 'Cost Inputs'!$M21=3, 'Cost Inputs'!$M21=2), 1, ""))</f>
        <v/>
      </c>
      <c r="N21" t="str">
        <f>IF('Cost Inputs'!$L21="Y", 1, IF('Cost Inputs'!$M21=7, 1, ""))</f>
        <v/>
      </c>
      <c r="O21" t="str">
        <f>IF('Cost Inputs'!$L21="Y", 1, IF(OR('Cost Inputs'!$M21=8, 'Cost Inputs'!$M21=4, 'Cost Inputs'!$M21=2), 1, ""))</f>
        <v/>
      </c>
      <c r="P21" t="str">
        <f>IF('Cost Inputs'!$L21="Y", 1, IF(OR('Cost Inputs'!$M21=9, 'Cost Inputs'!$M21=3), 1, ""))</f>
        <v/>
      </c>
    </row>
    <row r="22" spans="1:16" x14ac:dyDescent="0.25">
      <c r="A22" s="551" t="s">
        <v>26</v>
      </c>
      <c r="B22" s="551"/>
      <c r="C22" s="551"/>
      <c r="D22" s="551"/>
      <c r="E22" s="551"/>
      <c r="F22" s="551"/>
      <c r="G22" t="str">
        <f>IF('Cost Inputs'!L22="Y", 1, IF('Cost Inputs'!$M22&gt;0, 1, ""))</f>
        <v/>
      </c>
      <c r="H22" t="str">
        <f>IF('Cost Inputs'!$L22="Y", 1, IF('Cost Inputs'!$M22=1, 1, ""))</f>
        <v/>
      </c>
      <c r="I22" t="str">
        <f>IF('Cost Inputs'!$L22="Y", 1, IF('Cost Inputs'!$M22=2, 1, ""))</f>
        <v/>
      </c>
      <c r="J22" t="str">
        <f>IF('Cost Inputs'!$L22="Y", 1, IF('Cost Inputs'!$M22=3, 1, ""))</f>
        <v/>
      </c>
      <c r="K22" t="str">
        <f>IF('Cost Inputs'!$L22="Y", 1, IF(OR('Cost Inputs'!$M22=4, 'Cost Inputs'!$M22=2), 1, ""))</f>
        <v/>
      </c>
      <c r="L22" t="str">
        <f>IF('Cost Inputs'!$L22="Y", 1, IF('Cost Inputs'!$M22=5, 1, ""))</f>
        <v/>
      </c>
      <c r="M22" t="str">
        <f>IF('Cost Inputs'!$L22="Y", 1, IF(OR('Cost Inputs'!$M22=6, 'Cost Inputs'!$M22=3, 'Cost Inputs'!$M22=2), 1, ""))</f>
        <v/>
      </c>
      <c r="N22" t="str">
        <f>IF('Cost Inputs'!$L22="Y", 1, IF('Cost Inputs'!$M22=7, 1, ""))</f>
        <v/>
      </c>
      <c r="O22" t="str">
        <f>IF('Cost Inputs'!$L22="Y", 1, IF(OR('Cost Inputs'!$M22=8, 'Cost Inputs'!$M22=4, 'Cost Inputs'!$M22=2), 1, ""))</f>
        <v/>
      </c>
      <c r="P22" t="str">
        <f>IF('Cost Inputs'!$L22="Y", 1, IF(OR('Cost Inputs'!$M22=9, 'Cost Inputs'!$M22=3), 1, ""))</f>
        <v/>
      </c>
    </row>
    <row r="23" spans="1:16" x14ac:dyDescent="0.25">
      <c r="A23" s="551" t="s">
        <v>27</v>
      </c>
      <c r="B23" s="551"/>
      <c r="C23" s="551"/>
      <c r="D23" s="551"/>
      <c r="E23" s="551"/>
      <c r="F23" s="551"/>
      <c r="G23" t="str">
        <f>IF('Cost Inputs'!L23="Y", 1, IF('Cost Inputs'!$M23&gt;0, 1, ""))</f>
        <v/>
      </c>
      <c r="H23" t="str">
        <f>IF('Cost Inputs'!$L23="Y", 1, IF('Cost Inputs'!$M23=1, 1, ""))</f>
        <v/>
      </c>
      <c r="I23" t="str">
        <f>IF('Cost Inputs'!$L23="Y", 1, IF('Cost Inputs'!$M23=2, 1, ""))</f>
        <v/>
      </c>
      <c r="J23" t="str">
        <f>IF('Cost Inputs'!$L23="Y", 1, IF('Cost Inputs'!$M23=3, 1, ""))</f>
        <v/>
      </c>
      <c r="K23" t="str">
        <f>IF('Cost Inputs'!$L23="Y", 1, IF(OR('Cost Inputs'!$M23=4, 'Cost Inputs'!$M23=2), 1, ""))</f>
        <v/>
      </c>
      <c r="L23" t="str">
        <f>IF('Cost Inputs'!$L23="Y", 1, IF('Cost Inputs'!$M23=5, 1, ""))</f>
        <v/>
      </c>
      <c r="M23" t="str">
        <f>IF('Cost Inputs'!$L23="Y", 1, IF(OR('Cost Inputs'!$M23=6, 'Cost Inputs'!$M23=3, 'Cost Inputs'!$M23=2), 1, ""))</f>
        <v/>
      </c>
      <c r="N23" t="str">
        <f>IF('Cost Inputs'!$L23="Y", 1, IF('Cost Inputs'!$M23=7, 1, ""))</f>
        <v/>
      </c>
      <c r="O23" t="str">
        <f>IF('Cost Inputs'!$L23="Y", 1, IF(OR('Cost Inputs'!$M23=8, 'Cost Inputs'!$M23=4, 'Cost Inputs'!$M23=2), 1, ""))</f>
        <v/>
      </c>
      <c r="P23" t="str">
        <f>IF('Cost Inputs'!$L23="Y", 1, IF(OR('Cost Inputs'!$M23=9, 'Cost Inputs'!$M23=3), 1, ""))</f>
        <v/>
      </c>
    </row>
    <row r="24" spans="1:16" x14ac:dyDescent="0.25">
      <c r="A24" s="551" t="s">
        <v>28</v>
      </c>
      <c r="B24" s="551"/>
      <c r="C24" s="551"/>
      <c r="D24" s="551"/>
      <c r="E24" s="551"/>
      <c r="F24" s="551"/>
      <c r="G24" t="str">
        <f>IF('Cost Inputs'!L24="Y", 1, IF('Cost Inputs'!$M24&gt;0, 1, ""))</f>
        <v/>
      </c>
      <c r="H24" t="str">
        <f>IF('Cost Inputs'!$L24="Y", 1, IF('Cost Inputs'!$M24=1, 1, ""))</f>
        <v/>
      </c>
      <c r="I24" t="str">
        <f>IF('Cost Inputs'!$L24="Y", 1, IF('Cost Inputs'!$M24=2, 1, ""))</f>
        <v/>
      </c>
      <c r="J24" t="str">
        <f>IF('Cost Inputs'!$L24="Y", 1, IF('Cost Inputs'!$M24=3, 1, ""))</f>
        <v/>
      </c>
      <c r="K24" t="str">
        <f>IF('Cost Inputs'!$L24="Y", 1, IF(OR('Cost Inputs'!$M24=4, 'Cost Inputs'!$M24=2), 1, ""))</f>
        <v/>
      </c>
      <c r="L24" t="str">
        <f>IF('Cost Inputs'!$L24="Y", 1, IF('Cost Inputs'!$M24=5, 1, ""))</f>
        <v/>
      </c>
      <c r="M24" t="str">
        <f>IF('Cost Inputs'!$L24="Y", 1, IF(OR('Cost Inputs'!$M24=6, 'Cost Inputs'!$M24=3, 'Cost Inputs'!$M24=2), 1, ""))</f>
        <v/>
      </c>
      <c r="N24" t="str">
        <f>IF('Cost Inputs'!$L24="Y", 1, IF('Cost Inputs'!$M24=7, 1, ""))</f>
        <v/>
      </c>
      <c r="O24" t="str">
        <f>IF('Cost Inputs'!$L24="Y", 1, IF(OR('Cost Inputs'!$M24=8, 'Cost Inputs'!$M24=4, 'Cost Inputs'!$M24=2), 1, ""))</f>
        <v/>
      </c>
      <c r="P24" t="str">
        <f>IF('Cost Inputs'!$L24="Y", 1, IF(OR('Cost Inputs'!$M24=9, 'Cost Inputs'!$M24=3), 1, ""))</f>
        <v/>
      </c>
    </row>
    <row r="25" spans="1:16" x14ac:dyDescent="0.25">
      <c r="A25" s="559"/>
      <c r="B25" s="559"/>
      <c r="C25" s="559"/>
      <c r="D25" s="559"/>
      <c r="E25" s="559"/>
      <c r="F25" s="559"/>
      <c r="G25" t="str">
        <f>IF('Cost Inputs'!L25="Y", 1, IF('Cost Inputs'!$M25&gt;0, 1, ""))</f>
        <v/>
      </c>
      <c r="H25" t="str">
        <f>IF('Cost Inputs'!$L25="Y", 1, IF('Cost Inputs'!$M25=1, 1, ""))</f>
        <v/>
      </c>
      <c r="I25" t="str">
        <f>IF('Cost Inputs'!$L25="Y", 1, IF('Cost Inputs'!$M25=2, 1, ""))</f>
        <v/>
      </c>
      <c r="J25" t="str">
        <f>IF('Cost Inputs'!$L25="Y", 1, IF('Cost Inputs'!$M25=3, 1, ""))</f>
        <v/>
      </c>
      <c r="K25" t="str">
        <f>IF('Cost Inputs'!$L25="Y", 1, IF(OR('Cost Inputs'!$M25=4, 'Cost Inputs'!$M25=2), 1, ""))</f>
        <v/>
      </c>
      <c r="L25" t="str">
        <f>IF('Cost Inputs'!$L25="Y", 1, IF('Cost Inputs'!$M25=5, 1, ""))</f>
        <v/>
      </c>
      <c r="M25" t="str">
        <f>IF('Cost Inputs'!$L25="Y", 1, IF(OR('Cost Inputs'!$M25=6, 'Cost Inputs'!$M25=3, 'Cost Inputs'!$M25=2), 1, ""))</f>
        <v/>
      </c>
      <c r="N25" t="str">
        <f>IF('Cost Inputs'!$L25="Y", 1, IF('Cost Inputs'!$M25=7, 1, ""))</f>
        <v/>
      </c>
      <c r="O25" t="str">
        <f>IF('Cost Inputs'!$L25="Y", 1, IF(OR('Cost Inputs'!$M25=8, 'Cost Inputs'!$M25=4, 'Cost Inputs'!$M25=2), 1, ""))</f>
        <v/>
      </c>
      <c r="P25" t="str">
        <f>IF('Cost Inputs'!$L25="Y", 1, IF(OR('Cost Inputs'!$M25=9, 'Cost Inputs'!$M25=3), 1, ""))</f>
        <v/>
      </c>
    </row>
    <row r="26" spans="1:16" x14ac:dyDescent="0.25">
      <c r="A26" s="556"/>
      <c r="B26" s="557"/>
      <c r="C26" s="557"/>
      <c r="D26" s="557"/>
      <c r="E26" s="557"/>
      <c r="F26" s="558"/>
      <c r="G26" t="str">
        <f>IF('Cost Inputs'!L26="Y", 1, IF('Cost Inputs'!$M26&gt;0, 1, ""))</f>
        <v/>
      </c>
      <c r="H26" t="str">
        <f>IF('Cost Inputs'!$L26="Y", 1, IF('Cost Inputs'!$M26=1, 1, ""))</f>
        <v/>
      </c>
      <c r="I26" t="str">
        <f>IF('Cost Inputs'!$L26="Y", 1, IF('Cost Inputs'!$M26=2, 1, ""))</f>
        <v/>
      </c>
      <c r="J26" t="str">
        <f>IF('Cost Inputs'!$L26="Y", 1, IF('Cost Inputs'!$M26=3, 1, ""))</f>
        <v/>
      </c>
      <c r="K26" t="str">
        <f>IF('Cost Inputs'!$L26="Y", 1, IF(OR('Cost Inputs'!$M26=4, 'Cost Inputs'!$M26=2), 1, ""))</f>
        <v/>
      </c>
      <c r="L26" t="str">
        <f>IF('Cost Inputs'!$L26="Y", 1, IF('Cost Inputs'!$M26=5, 1, ""))</f>
        <v/>
      </c>
      <c r="M26" t="str">
        <f>IF('Cost Inputs'!$L26="Y", 1, IF(OR('Cost Inputs'!$M26=6, 'Cost Inputs'!$M26=3, 'Cost Inputs'!$M26=2), 1, ""))</f>
        <v/>
      </c>
      <c r="N26" t="str">
        <f>IF('Cost Inputs'!$L26="Y", 1, IF('Cost Inputs'!$M26=7, 1, ""))</f>
        <v/>
      </c>
      <c r="O26" t="str">
        <f>IF('Cost Inputs'!$L26="Y", 1, IF(OR('Cost Inputs'!$M26=8, 'Cost Inputs'!$M26=4, 'Cost Inputs'!$M26=2), 1, ""))</f>
        <v/>
      </c>
      <c r="P26" t="str">
        <f>IF('Cost Inputs'!$L26="Y", 1, IF(OR('Cost Inputs'!$M26=9, 'Cost Inputs'!$M26=3), 1, ""))</f>
        <v/>
      </c>
    </row>
    <row r="27" spans="1:16" x14ac:dyDescent="0.25">
      <c r="A27" s="556"/>
      <c r="B27" s="557"/>
      <c r="C27" s="557"/>
      <c r="D27" s="557"/>
      <c r="E27" s="557"/>
      <c r="F27" s="558"/>
      <c r="G27" t="str">
        <f>IF('Cost Inputs'!L27="Y", 1, IF('Cost Inputs'!$M27&gt;0, 1, ""))</f>
        <v/>
      </c>
      <c r="H27" t="str">
        <f>IF('Cost Inputs'!$L27="Y", 1, IF('Cost Inputs'!$M27=1, 1, ""))</f>
        <v/>
      </c>
      <c r="I27" t="str">
        <f>IF('Cost Inputs'!$L27="Y", 1, IF('Cost Inputs'!$M27=2, 1, ""))</f>
        <v/>
      </c>
      <c r="J27" t="str">
        <f>IF('Cost Inputs'!$L27="Y", 1, IF('Cost Inputs'!$M27=3, 1, ""))</f>
        <v/>
      </c>
      <c r="K27" t="str">
        <f>IF('Cost Inputs'!$L27="Y", 1, IF(OR('Cost Inputs'!$M27=4, 'Cost Inputs'!$M27=2), 1, ""))</f>
        <v/>
      </c>
      <c r="L27" t="str">
        <f>IF('Cost Inputs'!$L27="Y", 1, IF('Cost Inputs'!$M27=5, 1, ""))</f>
        <v/>
      </c>
      <c r="M27" t="str">
        <f>IF('Cost Inputs'!$L27="Y", 1, IF(OR('Cost Inputs'!$M27=6, 'Cost Inputs'!$M27=3, 'Cost Inputs'!$M27=2), 1, ""))</f>
        <v/>
      </c>
      <c r="N27" t="str">
        <f>IF('Cost Inputs'!$L27="Y", 1, IF('Cost Inputs'!$M27=7, 1, ""))</f>
        <v/>
      </c>
      <c r="O27" t="str">
        <f>IF('Cost Inputs'!$L27="Y", 1, IF(OR('Cost Inputs'!$M27=8, 'Cost Inputs'!$M27=4, 'Cost Inputs'!$M27=2), 1, ""))</f>
        <v/>
      </c>
      <c r="P27" t="str">
        <f>IF('Cost Inputs'!$L27="Y", 1, IF(OR('Cost Inputs'!$M27=9, 'Cost Inputs'!$M27=3), 1, ""))</f>
        <v/>
      </c>
    </row>
    <row r="28" spans="1:16" x14ac:dyDescent="0.25">
      <c r="A28" s="560" t="s">
        <v>77</v>
      </c>
      <c r="B28" s="560"/>
      <c r="C28" s="560"/>
      <c r="D28" s="560"/>
      <c r="E28" s="560"/>
      <c r="F28" s="560"/>
      <c r="G28" t="str">
        <f>IF('Cost Inputs'!L28="Y", 1, IF('Cost Inputs'!$M28&gt;0, 1, ""))</f>
        <v/>
      </c>
      <c r="H28" t="str">
        <f>IF('Cost Inputs'!$L28="Y", 1, IF('Cost Inputs'!$M28=1, 1, ""))</f>
        <v/>
      </c>
      <c r="I28" t="str">
        <f>IF('Cost Inputs'!$L28="Y", 1, IF('Cost Inputs'!$M28=2, 1, ""))</f>
        <v/>
      </c>
      <c r="J28" t="str">
        <f>IF('Cost Inputs'!$L28="Y", 1, IF('Cost Inputs'!$M28=3, 1, ""))</f>
        <v/>
      </c>
      <c r="K28" t="str">
        <f>IF('Cost Inputs'!$L28="Y", 1, IF(OR('Cost Inputs'!$M28=4, 'Cost Inputs'!$M28=2), 1, ""))</f>
        <v/>
      </c>
      <c r="L28" t="str">
        <f>IF('Cost Inputs'!$L28="Y", 1, IF('Cost Inputs'!$M28=5, 1, ""))</f>
        <v/>
      </c>
      <c r="M28" t="str">
        <f>IF('Cost Inputs'!$L28="Y", 1, IF(OR('Cost Inputs'!$M28=6, 'Cost Inputs'!$M28=3, 'Cost Inputs'!$M28=2), 1, ""))</f>
        <v/>
      </c>
      <c r="N28" t="str">
        <f>IF('Cost Inputs'!$L28="Y", 1, IF('Cost Inputs'!$M28=7, 1, ""))</f>
        <v/>
      </c>
      <c r="O28" t="str">
        <f>IF('Cost Inputs'!$L28="Y", 1, IF(OR('Cost Inputs'!$M28=8, 'Cost Inputs'!$M28=4, 'Cost Inputs'!$M28=2), 1, ""))</f>
        <v/>
      </c>
      <c r="P28" t="str">
        <f>IF('Cost Inputs'!$L28="Y", 1, IF(OR('Cost Inputs'!$M28=9, 'Cost Inputs'!$M28=3), 1, ""))</f>
        <v/>
      </c>
    </row>
    <row r="29" spans="1:16" x14ac:dyDescent="0.25">
      <c r="A29" s="551" t="s">
        <v>83</v>
      </c>
      <c r="B29" s="551"/>
      <c r="C29" s="551"/>
      <c r="D29" s="551"/>
      <c r="E29" s="551"/>
      <c r="F29" s="551"/>
      <c r="G29" t="str">
        <f>IF('Cost Inputs'!L29="Y", 1, IF('Cost Inputs'!$M29&gt;0, 1, ""))</f>
        <v/>
      </c>
      <c r="H29" t="str">
        <f>IF('Cost Inputs'!$L29="Y", 1, IF('Cost Inputs'!$M29=1, 1, ""))</f>
        <v/>
      </c>
      <c r="I29" t="str">
        <f>IF('Cost Inputs'!$L29="Y", 1, IF('Cost Inputs'!$M29=2, 1, ""))</f>
        <v/>
      </c>
      <c r="J29" t="str">
        <f>IF('Cost Inputs'!$L29="Y", 1, IF('Cost Inputs'!$M29=3, 1, ""))</f>
        <v/>
      </c>
      <c r="K29" t="str">
        <f>IF('Cost Inputs'!$L29="Y", 1, IF(OR('Cost Inputs'!$M29=4, 'Cost Inputs'!$M29=2), 1, ""))</f>
        <v/>
      </c>
      <c r="L29" t="str">
        <f>IF('Cost Inputs'!$L29="Y", 1, IF('Cost Inputs'!$M29=5, 1, ""))</f>
        <v/>
      </c>
      <c r="M29" t="str">
        <f>IF('Cost Inputs'!$L29="Y", 1, IF(OR('Cost Inputs'!$M29=6, 'Cost Inputs'!$M29=3, 'Cost Inputs'!$M29=2), 1, ""))</f>
        <v/>
      </c>
      <c r="N29" t="str">
        <f>IF('Cost Inputs'!$L29="Y", 1, IF('Cost Inputs'!$M29=7, 1, ""))</f>
        <v/>
      </c>
      <c r="O29" t="str">
        <f>IF('Cost Inputs'!$L29="Y", 1, IF(OR('Cost Inputs'!$M29=8, 'Cost Inputs'!$M29=4, 'Cost Inputs'!$M29=2), 1, ""))</f>
        <v/>
      </c>
      <c r="P29" t="str">
        <f>IF('Cost Inputs'!$L29="Y", 1, IF(OR('Cost Inputs'!$M29=9, 'Cost Inputs'!$M29=3), 1, ""))</f>
        <v/>
      </c>
    </row>
    <row r="30" spans="1:16" x14ac:dyDescent="0.25">
      <c r="A30" s="551" t="s">
        <v>29</v>
      </c>
      <c r="B30" s="551"/>
      <c r="C30" s="551"/>
      <c r="D30" s="551"/>
      <c r="E30" s="551"/>
      <c r="F30" s="551"/>
      <c r="G30" t="str">
        <f>IF('Cost Inputs'!L30="Y", 1, IF('Cost Inputs'!$M30&gt;0, 1, ""))</f>
        <v/>
      </c>
      <c r="H30" t="str">
        <f>IF('Cost Inputs'!$L30="Y", 1, IF('Cost Inputs'!$M30=1, 1, ""))</f>
        <v/>
      </c>
      <c r="I30" t="str">
        <f>IF('Cost Inputs'!$L30="Y", 1, IF('Cost Inputs'!$M30=2, 1, ""))</f>
        <v/>
      </c>
      <c r="J30" t="str">
        <f>IF('Cost Inputs'!$L30="Y", 1, IF('Cost Inputs'!$M30=3, 1, ""))</f>
        <v/>
      </c>
      <c r="K30" t="str">
        <f>IF('Cost Inputs'!$L30="Y", 1, IF(OR('Cost Inputs'!$M30=4, 'Cost Inputs'!$M30=2), 1, ""))</f>
        <v/>
      </c>
      <c r="L30" t="str">
        <f>IF('Cost Inputs'!$L30="Y", 1, IF('Cost Inputs'!$M30=5, 1, ""))</f>
        <v/>
      </c>
      <c r="M30" t="str">
        <f>IF('Cost Inputs'!$L30="Y", 1, IF(OR('Cost Inputs'!$M30=6, 'Cost Inputs'!$M30=3, 'Cost Inputs'!$M30=2), 1, ""))</f>
        <v/>
      </c>
      <c r="N30" t="str">
        <f>IF('Cost Inputs'!$L30="Y", 1, IF('Cost Inputs'!$M30=7, 1, ""))</f>
        <v/>
      </c>
      <c r="O30" t="str">
        <f>IF('Cost Inputs'!$L30="Y", 1, IF(OR('Cost Inputs'!$M30=8, 'Cost Inputs'!$M30=4, 'Cost Inputs'!$M30=2), 1, ""))</f>
        <v/>
      </c>
      <c r="P30" t="str">
        <f>IF('Cost Inputs'!$L30="Y", 1, IF(OR('Cost Inputs'!$M30=9, 'Cost Inputs'!$M30=3), 1, ""))</f>
        <v/>
      </c>
    </row>
    <row r="31" spans="1:16" x14ac:dyDescent="0.25">
      <c r="A31" s="551" t="s">
        <v>54</v>
      </c>
      <c r="B31" s="551"/>
      <c r="C31" s="551"/>
      <c r="D31" s="551"/>
      <c r="E31" s="551"/>
      <c r="F31" s="551"/>
      <c r="G31" t="str">
        <f>IF('Cost Inputs'!L31="Y", 1, IF('Cost Inputs'!$M31&gt;0, 1, ""))</f>
        <v/>
      </c>
      <c r="H31" t="str">
        <f>IF('Cost Inputs'!$L31="Y", 1, IF('Cost Inputs'!$M31=1, 1, ""))</f>
        <v/>
      </c>
      <c r="I31" t="str">
        <f>IF('Cost Inputs'!$L31="Y", 1, IF('Cost Inputs'!$M31=2, 1, ""))</f>
        <v/>
      </c>
      <c r="J31" t="str">
        <f>IF('Cost Inputs'!$L31="Y", 1, IF('Cost Inputs'!$M31=3, 1, ""))</f>
        <v/>
      </c>
      <c r="K31" t="str">
        <f>IF('Cost Inputs'!$L31="Y", 1, IF(OR('Cost Inputs'!$M31=4, 'Cost Inputs'!$M31=2), 1, ""))</f>
        <v/>
      </c>
      <c r="L31" t="str">
        <f>IF('Cost Inputs'!$L31="Y", 1, IF('Cost Inputs'!$M31=5, 1, ""))</f>
        <v/>
      </c>
      <c r="M31" t="str">
        <f>IF('Cost Inputs'!$L31="Y", 1, IF(OR('Cost Inputs'!$M31=6, 'Cost Inputs'!$M31=3, 'Cost Inputs'!$M31=2), 1, ""))</f>
        <v/>
      </c>
      <c r="N31" t="str">
        <f>IF('Cost Inputs'!$L31="Y", 1, IF('Cost Inputs'!$M31=7, 1, ""))</f>
        <v/>
      </c>
      <c r="O31" t="str">
        <f>IF('Cost Inputs'!$L31="Y", 1, IF(OR('Cost Inputs'!$M31=8, 'Cost Inputs'!$M31=4, 'Cost Inputs'!$M31=2), 1, ""))</f>
        <v/>
      </c>
      <c r="P31" t="str">
        <f>IF('Cost Inputs'!$L31="Y", 1, IF(OR('Cost Inputs'!$M31=9, 'Cost Inputs'!$M31=3), 1, ""))</f>
        <v/>
      </c>
    </row>
    <row r="32" spans="1:16" x14ac:dyDescent="0.25">
      <c r="A32" s="559" t="s">
        <v>91</v>
      </c>
      <c r="B32" s="559"/>
      <c r="C32" s="559"/>
      <c r="D32" s="559"/>
      <c r="E32" s="559"/>
      <c r="F32" s="559"/>
      <c r="G32" t="str">
        <f>IF('Cost Inputs'!L32="Y", 1, IF('Cost Inputs'!$M32&gt;0, 1, ""))</f>
        <v/>
      </c>
      <c r="H32" t="str">
        <f>IF('Cost Inputs'!$L32="Y", 1, IF('Cost Inputs'!$M32=1, 1, ""))</f>
        <v/>
      </c>
      <c r="I32" t="str">
        <f>IF('Cost Inputs'!$L32="Y", 1, IF('Cost Inputs'!$M32=2, 1, ""))</f>
        <v/>
      </c>
      <c r="J32" t="str">
        <f>IF('Cost Inputs'!$L32="Y", 1, IF('Cost Inputs'!$M32=3, 1, ""))</f>
        <v/>
      </c>
      <c r="K32" t="str">
        <f>IF('Cost Inputs'!$L32="Y", 1, IF(OR('Cost Inputs'!$M32=4, 'Cost Inputs'!$M32=2), 1, ""))</f>
        <v/>
      </c>
      <c r="L32" t="str">
        <f>IF('Cost Inputs'!$L32="Y", 1, IF('Cost Inputs'!$M32=5, 1, ""))</f>
        <v/>
      </c>
      <c r="M32" t="str">
        <f>IF('Cost Inputs'!$L32="Y", 1, IF(OR('Cost Inputs'!$M32=6, 'Cost Inputs'!$M32=3, 'Cost Inputs'!$M32=2), 1, ""))</f>
        <v/>
      </c>
      <c r="N32" t="str">
        <f>IF('Cost Inputs'!$L32="Y", 1, IF('Cost Inputs'!$M32=7, 1, ""))</f>
        <v/>
      </c>
      <c r="O32" t="str">
        <f>IF('Cost Inputs'!$L32="Y", 1, IF(OR('Cost Inputs'!$M32=8, 'Cost Inputs'!$M32=4, 'Cost Inputs'!$M32=2), 1, ""))</f>
        <v/>
      </c>
      <c r="P32" t="str">
        <f>IF('Cost Inputs'!$L32="Y", 1, IF(OR('Cost Inputs'!$M32=9, 'Cost Inputs'!$M32=3), 1, ""))</f>
        <v/>
      </c>
    </row>
    <row r="33" spans="1:16" x14ac:dyDescent="0.25">
      <c r="A33" s="556"/>
      <c r="B33" s="557"/>
      <c r="C33" s="557"/>
      <c r="D33" s="557"/>
      <c r="E33" s="557"/>
      <c r="F33" s="558"/>
      <c r="G33" t="str">
        <f>IF('Cost Inputs'!L36="Y", 1, IF('Cost Inputs'!$M36&gt;0, 1, ""))</f>
        <v/>
      </c>
      <c r="H33" t="str">
        <f>IF('Cost Inputs'!$L36="Y", 1, IF('Cost Inputs'!$M36=1, 1, ""))</f>
        <v/>
      </c>
      <c r="I33" t="str">
        <f>IF('Cost Inputs'!$L36="Y", 1, IF('Cost Inputs'!$M36=2, 1, ""))</f>
        <v/>
      </c>
      <c r="J33" t="str">
        <f>IF('Cost Inputs'!$L36="Y", 1, IF('Cost Inputs'!$M36=3, 1, ""))</f>
        <v/>
      </c>
      <c r="K33" t="str">
        <f>IF('Cost Inputs'!$L36="Y", 1, IF(OR('Cost Inputs'!$M36=4, 'Cost Inputs'!$M36=2), 1, ""))</f>
        <v/>
      </c>
      <c r="L33" t="str">
        <f>IF('Cost Inputs'!$L36="Y", 1, IF('Cost Inputs'!$M36=5, 1, ""))</f>
        <v/>
      </c>
      <c r="M33" t="str">
        <f>IF('Cost Inputs'!$L36="Y", 1, IF(OR('Cost Inputs'!$M36=6, 'Cost Inputs'!$M36=3, 'Cost Inputs'!$M36=2), 1, ""))</f>
        <v/>
      </c>
      <c r="N33" t="str">
        <f>IF('Cost Inputs'!$L36="Y", 1, IF('Cost Inputs'!$M36=7, 1, ""))</f>
        <v/>
      </c>
      <c r="O33" t="str">
        <f>IF('Cost Inputs'!$L36="Y", 1, IF(OR('Cost Inputs'!$M36=8, 'Cost Inputs'!$M36=4, 'Cost Inputs'!$M36=2), 1, ""))</f>
        <v/>
      </c>
      <c r="P33" t="str">
        <f>IF('Cost Inputs'!$L36="Y", 1, IF(OR('Cost Inputs'!$M36=9, 'Cost Inputs'!$M36=3), 1, ""))</f>
        <v/>
      </c>
    </row>
    <row r="34" spans="1:16" x14ac:dyDescent="0.25">
      <c r="A34" s="560" t="s">
        <v>30</v>
      </c>
      <c r="B34" s="560"/>
      <c r="C34" s="560"/>
      <c r="D34" s="560"/>
      <c r="E34" s="560"/>
      <c r="F34" s="560"/>
      <c r="G34" t="str">
        <f>IF('Cost Inputs'!L38="Y", 1, IF('Cost Inputs'!$M38&gt;0, 1, ""))</f>
        <v/>
      </c>
      <c r="H34" t="str">
        <f>IF('Cost Inputs'!$L38="Y", 1, IF('Cost Inputs'!$M38=1, 1, ""))</f>
        <v/>
      </c>
      <c r="I34" t="str">
        <f>IF('Cost Inputs'!$L38="Y", 1, IF('Cost Inputs'!$M38=2, 1, ""))</f>
        <v/>
      </c>
      <c r="J34" t="str">
        <f>IF('Cost Inputs'!$L38="Y", 1, IF('Cost Inputs'!$M38=3, 1, ""))</f>
        <v/>
      </c>
      <c r="K34" t="str">
        <f>IF('Cost Inputs'!$L38="Y", 1, IF(OR('Cost Inputs'!$M38=4, 'Cost Inputs'!$M38=2), 1, ""))</f>
        <v/>
      </c>
      <c r="L34" t="str">
        <f>IF('Cost Inputs'!$L38="Y", 1, IF('Cost Inputs'!$M38=5, 1, ""))</f>
        <v/>
      </c>
      <c r="M34" t="str">
        <f>IF('Cost Inputs'!$L38="Y", 1, IF(OR('Cost Inputs'!$M38=6, 'Cost Inputs'!$M38=3, 'Cost Inputs'!$M38=2), 1, ""))</f>
        <v/>
      </c>
      <c r="N34" t="str">
        <f>IF('Cost Inputs'!$L38="Y", 1, IF('Cost Inputs'!$M38=7, 1, ""))</f>
        <v/>
      </c>
      <c r="O34" t="str">
        <f>IF('Cost Inputs'!$L38="Y", 1, IF(OR('Cost Inputs'!$M38=8, 'Cost Inputs'!$M38=4, 'Cost Inputs'!$M38=2), 1, ""))</f>
        <v/>
      </c>
      <c r="P34" t="str">
        <f>IF('Cost Inputs'!$L38="Y", 1, IF(OR('Cost Inputs'!$M38=9, 'Cost Inputs'!$M38=3), 1, ""))</f>
        <v/>
      </c>
    </row>
    <row r="35" spans="1:16" x14ac:dyDescent="0.25">
      <c r="A35" s="561"/>
      <c r="B35" s="561"/>
      <c r="C35" s="561"/>
      <c r="D35" s="561"/>
      <c r="E35" s="561"/>
      <c r="F35" s="561"/>
      <c r="G35" t="str">
        <f>IF('Cost Inputs'!L39="Y", 1, IF('Cost Inputs'!$M39&gt;0, 1, ""))</f>
        <v/>
      </c>
      <c r="H35" t="str">
        <f>IF('Cost Inputs'!$L39="Y", 1, IF('Cost Inputs'!$M39=1, 1, ""))</f>
        <v/>
      </c>
      <c r="I35" t="str">
        <f>IF('Cost Inputs'!$L39="Y", 1, IF('Cost Inputs'!$M39=2, 1, ""))</f>
        <v/>
      </c>
      <c r="J35" t="str">
        <f>IF('Cost Inputs'!$L39="Y", 1, IF('Cost Inputs'!$M39=3, 1, ""))</f>
        <v/>
      </c>
      <c r="K35" t="str">
        <f>IF('Cost Inputs'!$L39="Y", 1, IF(OR('Cost Inputs'!$M39=4, 'Cost Inputs'!$M39=2), 1, ""))</f>
        <v/>
      </c>
      <c r="L35" t="str">
        <f>IF('Cost Inputs'!$L39="Y", 1, IF('Cost Inputs'!$M39=5, 1, ""))</f>
        <v/>
      </c>
      <c r="M35" t="str">
        <f>IF('Cost Inputs'!$L39="Y", 1, IF(OR('Cost Inputs'!$M39=6, 'Cost Inputs'!$M39=3, 'Cost Inputs'!$M39=2), 1, ""))</f>
        <v/>
      </c>
      <c r="N35" t="str">
        <f>IF('Cost Inputs'!$L39="Y", 1, IF('Cost Inputs'!$M39=7, 1, ""))</f>
        <v/>
      </c>
      <c r="O35" t="str">
        <f>IF('Cost Inputs'!$L39="Y", 1, IF(OR('Cost Inputs'!$M39=8, 'Cost Inputs'!$M39=4, 'Cost Inputs'!$M39=2), 1, ""))</f>
        <v/>
      </c>
      <c r="P35" t="str">
        <f>IF('Cost Inputs'!$L39="Y", 1, IF(OR('Cost Inputs'!$M39=9, 'Cost Inputs'!$M39=3), 1, ""))</f>
        <v/>
      </c>
    </row>
    <row r="36" spans="1:16" x14ac:dyDescent="0.25">
      <c r="A36" s="565"/>
      <c r="B36" s="565"/>
      <c r="C36" s="565"/>
      <c r="D36" s="565"/>
      <c r="E36" s="565"/>
      <c r="F36" s="565"/>
      <c r="G36" t="str">
        <f>IF('Cost Inputs'!L40="Y", 1, IF('Cost Inputs'!$M40&gt;0, 1, ""))</f>
        <v/>
      </c>
      <c r="H36" t="str">
        <f>IF('Cost Inputs'!$L40="Y", 1, IF('Cost Inputs'!$M40=1, 1, ""))</f>
        <v/>
      </c>
      <c r="I36" t="str">
        <f>IF('Cost Inputs'!$L40="Y", 1, IF('Cost Inputs'!$M40=2, 1, ""))</f>
        <v/>
      </c>
      <c r="J36" t="str">
        <f>IF('Cost Inputs'!$L40="Y", 1, IF('Cost Inputs'!$M40=3, 1, ""))</f>
        <v/>
      </c>
      <c r="K36" t="str">
        <f>IF('Cost Inputs'!$L40="Y", 1, IF(OR('Cost Inputs'!$M40=4, 'Cost Inputs'!$M40=2), 1, ""))</f>
        <v/>
      </c>
      <c r="L36" t="str">
        <f>IF('Cost Inputs'!$L40="Y", 1, IF('Cost Inputs'!$M40=5, 1, ""))</f>
        <v/>
      </c>
      <c r="M36" t="str">
        <f>IF('Cost Inputs'!$L40="Y", 1, IF(OR('Cost Inputs'!$M40=6, 'Cost Inputs'!$M40=3, 'Cost Inputs'!$M40=2), 1, ""))</f>
        <v/>
      </c>
      <c r="N36" t="str">
        <f>IF('Cost Inputs'!$L40="Y", 1, IF('Cost Inputs'!$M40=7, 1, ""))</f>
        <v/>
      </c>
      <c r="O36" t="str">
        <f>IF('Cost Inputs'!$L40="Y", 1, IF(OR('Cost Inputs'!$M40=8, 'Cost Inputs'!$M40=4, 'Cost Inputs'!$M40=2), 1, ""))</f>
        <v/>
      </c>
      <c r="P36" t="str">
        <f>IF('Cost Inputs'!$L40="Y", 1, IF(OR('Cost Inputs'!$M40=9, 'Cost Inputs'!$M40=3), 1, ""))</f>
        <v/>
      </c>
    </row>
    <row r="37" spans="1:16" x14ac:dyDescent="0.25">
      <c r="A37" s="8"/>
      <c r="B37" s="8"/>
      <c r="C37" s="8"/>
      <c r="D37" s="8"/>
      <c r="E37" s="8"/>
      <c r="F37" s="8"/>
      <c r="G37" t="str">
        <f>IF('Cost Inputs'!L41="Y", 1, IF('Cost Inputs'!$M41&gt;0, 1, ""))</f>
        <v/>
      </c>
      <c r="H37" t="str">
        <f>IF('Cost Inputs'!$L41="Y", 1, IF('Cost Inputs'!$M41=1, 1, ""))</f>
        <v/>
      </c>
      <c r="I37" t="str">
        <f>IF('Cost Inputs'!$L41="Y", 1, IF('Cost Inputs'!$M41=2, 1, ""))</f>
        <v/>
      </c>
      <c r="J37" t="str">
        <f>IF('Cost Inputs'!$L41="Y", 1, IF('Cost Inputs'!$M41=3, 1, ""))</f>
        <v/>
      </c>
      <c r="K37" t="str">
        <f>IF('Cost Inputs'!$L41="Y", 1, IF(OR('Cost Inputs'!$M41=4, 'Cost Inputs'!$M41=2), 1, ""))</f>
        <v/>
      </c>
      <c r="L37" t="str">
        <f>IF('Cost Inputs'!$L41="Y", 1, IF('Cost Inputs'!$M41=5, 1, ""))</f>
        <v/>
      </c>
      <c r="M37" t="str">
        <f>IF('Cost Inputs'!$L41="Y", 1, IF(OR('Cost Inputs'!$M41=6, 'Cost Inputs'!$M41=3, 'Cost Inputs'!$M41=2), 1, ""))</f>
        <v/>
      </c>
      <c r="N37" t="str">
        <f>IF('Cost Inputs'!$L41="Y", 1, IF('Cost Inputs'!$M41=7, 1, ""))</f>
        <v/>
      </c>
      <c r="O37" t="str">
        <f>IF('Cost Inputs'!$L41="Y", 1, IF(OR('Cost Inputs'!$M41=8, 'Cost Inputs'!$M41=4, 'Cost Inputs'!$M41=2), 1, ""))</f>
        <v/>
      </c>
      <c r="P37" t="str">
        <f>IF('Cost Inputs'!$L41="Y", 1, IF(OR('Cost Inputs'!$M41=9, 'Cost Inputs'!$M41=3), 1, ""))</f>
        <v/>
      </c>
    </row>
    <row r="38" spans="1:16" x14ac:dyDescent="0.25">
      <c r="A38" s="550" t="s">
        <v>31</v>
      </c>
      <c r="B38" s="550"/>
      <c r="C38" s="550"/>
      <c r="D38" s="550"/>
      <c r="E38" s="550"/>
      <c r="F38" s="550"/>
      <c r="G38" t="str">
        <f>IF('Cost Inputs'!L42="Y", 1, IF('Cost Inputs'!$M42&gt;0, 1, ""))</f>
        <v/>
      </c>
      <c r="H38" t="str">
        <f>IF('Cost Inputs'!$L42="Y", 1, IF('Cost Inputs'!$M42=1, 1, ""))</f>
        <v/>
      </c>
      <c r="I38" t="str">
        <f>IF('Cost Inputs'!$L42="Y", 1, IF('Cost Inputs'!$M42=2, 1, ""))</f>
        <v/>
      </c>
      <c r="J38" t="str">
        <f>IF('Cost Inputs'!$L42="Y", 1, IF('Cost Inputs'!$M42=3, 1, ""))</f>
        <v/>
      </c>
      <c r="K38" t="str">
        <f>IF('Cost Inputs'!$L42="Y", 1, IF(OR('Cost Inputs'!$M42=4, 'Cost Inputs'!$M42=2), 1, ""))</f>
        <v/>
      </c>
      <c r="L38" t="str">
        <f>IF('Cost Inputs'!$L42="Y", 1, IF('Cost Inputs'!$M42=5, 1, ""))</f>
        <v/>
      </c>
      <c r="M38" t="str">
        <f>IF('Cost Inputs'!$L42="Y", 1, IF(OR('Cost Inputs'!$M42=6, 'Cost Inputs'!$M42=3, 'Cost Inputs'!$M42=2), 1, ""))</f>
        <v/>
      </c>
      <c r="N38" t="str">
        <f>IF('Cost Inputs'!$L42="Y", 1, IF('Cost Inputs'!$M42=7, 1, ""))</f>
        <v/>
      </c>
      <c r="O38" t="str">
        <f>IF('Cost Inputs'!$L42="Y", 1, IF(OR('Cost Inputs'!$M42=8, 'Cost Inputs'!$M42=4, 'Cost Inputs'!$M42=2), 1, ""))</f>
        <v/>
      </c>
      <c r="P38" t="str">
        <f>IF('Cost Inputs'!$L42="Y", 1, IF(OR('Cost Inputs'!$M42=9, 'Cost Inputs'!$M42=3), 1, ""))</f>
        <v/>
      </c>
    </row>
    <row r="39" spans="1:16" x14ac:dyDescent="0.25">
      <c r="A39" s="551" t="s">
        <v>32</v>
      </c>
      <c r="B39" s="551"/>
      <c r="C39" s="551"/>
      <c r="D39" s="551"/>
      <c r="E39" s="551"/>
      <c r="F39" s="551"/>
      <c r="G39" t="str">
        <f>IF('Cost Inputs'!L43="Y", 1, IF('Cost Inputs'!$M43&gt;0, 1, ""))</f>
        <v/>
      </c>
      <c r="H39" t="str">
        <f>IF('Cost Inputs'!$L43="Y", 1, IF('Cost Inputs'!$M43=1, 1, ""))</f>
        <v/>
      </c>
      <c r="I39" t="str">
        <f>IF('Cost Inputs'!$L43="Y", 1, IF('Cost Inputs'!$M43=2, 1, ""))</f>
        <v/>
      </c>
      <c r="J39" t="str">
        <f>IF('Cost Inputs'!$L43="Y", 1, IF('Cost Inputs'!$M43=3, 1, ""))</f>
        <v/>
      </c>
      <c r="K39" t="str">
        <f>IF('Cost Inputs'!$L43="Y", 1, IF(OR('Cost Inputs'!$M43=4, 'Cost Inputs'!$M43=2), 1, ""))</f>
        <v/>
      </c>
      <c r="L39" t="str">
        <f>IF('Cost Inputs'!$L43="Y", 1, IF('Cost Inputs'!$M43=5, 1, ""))</f>
        <v/>
      </c>
      <c r="M39" t="str">
        <f>IF('Cost Inputs'!$L43="Y", 1, IF(OR('Cost Inputs'!$M43=6, 'Cost Inputs'!$M43=3, 'Cost Inputs'!$M43=2), 1, ""))</f>
        <v/>
      </c>
      <c r="N39" t="str">
        <f>IF('Cost Inputs'!$L43="Y", 1, IF('Cost Inputs'!$M43=7, 1, ""))</f>
        <v/>
      </c>
      <c r="O39" t="str">
        <f>IF('Cost Inputs'!$L43="Y", 1, IF(OR('Cost Inputs'!$M43=8, 'Cost Inputs'!$M43=4, 'Cost Inputs'!$M43=2), 1, ""))</f>
        <v/>
      </c>
      <c r="P39" t="str">
        <f>IF('Cost Inputs'!$L43="Y", 1, IF(OR('Cost Inputs'!$M43=9, 'Cost Inputs'!$M43=3), 1, ""))</f>
        <v/>
      </c>
    </row>
    <row r="40" spans="1:16" x14ac:dyDescent="0.25">
      <c r="A40" s="551" t="s">
        <v>33</v>
      </c>
      <c r="B40" s="551"/>
      <c r="C40" s="551"/>
      <c r="D40" s="551"/>
      <c r="E40" s="551"/>
      <c r="F40" s="551"/>
      <c r="G40" t="str">
        <f>IF('Cost Inputs'!L44="Y", 1, IF('Cost Inputs'!$M44&gt;0, 1, ""))</f>
        <v/>
      </c>
      <c r="H40" t="str">
        <f>IF('Cost Inputs'!$L44="Y", 1, IF('Cost Inputs'!$M44=1, 1, ""))</f>
        <v/>
      </c>
      <c r="I40" t="str">
        <f>IF('Cost Inputs'!$L44="Y", 1, IF('Cost Inputs'!$M44=2, 1, ""))</f>
        <v/>
      </c>
      <c r="J40" t="str">
        <f>IF('Cost Inputs'!$L44="Y", 1, IF('Cost Inputs'!$M44=3, 1, ""))</f>
        <v/>
      </c>
      <c r="K40" t="str">
        <f>IF('Cost Inputs'!$L44="Y", 1, IF(OR('Cost Inputs'!$M44=4, 'Cost Inputs'!$M44=2), 1, ""))</f>
        <v/>
      </c>
      <c r="L40" t="str">
        <f>IF('Cost Inputs'!$L44="Y", 1, IF('Cost Inputs'!$M44=5, 1, ""))</f>
        <v/>
      </c>
      <c r="M40" t="str">
        <f>IF('Cost Inputs'!$L44="Y", 1, IF(OR('Cost Inputs'!$M44=6, 'Cost Inputs'!$M44=3, 'Cost Inputs'!$M44=2), 1, ""))</f>
        <v/>
      </c>
      <c r="N40" t="str">
        <f>IF('Cost Inputs'!$L44="Y", 1, IF('Cost Inputs'!$M44=7, 1, ""))</f>
        <v/>
      </c>
      <c r="O40" t="str">
        <f>IF('Cost Inputs'!$L44="Y", 1, IF(OR('Cost Inputs'!$M44=8, 'Cost Inputs'!$M44=4, 'Cost Inputs'!$M44=2), 1, ""))</f>
        <v/>
      </c>
      <c r="P40" t="str">
        <f>IF('Cost Inputs'!$L44="Y", 1, IF(OR('Cost Inputs'!$M44=9, 'Cost Inputs'!$M44=3), 1, ""))</f>
        <v/>
      </c>
    </row>
    <row r="41" spans="1:16" x14ac:dyDescent="0.25">
      <c r="A41" s="551" t="s">
        <v>34</v>
      </c>
      <c r="B41" s="551"/>
      <c r="C41" s="551"/>
      <c r="D41" s="551"/>
      <c r="E41" s="551"/>
      <c r="F41" s="551"/>
      <c r="G41" t="str">
        <f>IF('Cost Inputs'!L45="Y", 1, IF('Cost Inputs'!$M45&gt;0, 1, ""))</f>
        <v/>
      </c>
      <c r="H41" t="str">
        <f>IF('Cost Inputs'!$L45="Y", 1, IF('Cost Inputs'!$M45=1, 1, ""))</f>
        <v/>
      </c>
      <c r="I41" t="str">
        <f>IF('Cost Inputs'!$L45="Y", 1, IF('Cost Inputs'!$M45=2, 1, ""))</f>
        <v/>
      </c>
      <c r="J41" t="str">
        <f>IF('Cost Inputs'!$L45="Y", 1, IF('Cost Inputs'!$M45=3, 1, ""))</f>
        <v/>
      </c>
      <c r="K41" t="str">
        <f>IF('Cost Inputs'!$L45="Y", 1, IF(OR('Cost Inputs'!$M45=4, 'Cost Inputs'!$M45=2), 1, ""))</f>
        <v/>
      </c>
      <c r="L41" t="str">
        <f>IF('Cost Inputs'!$L45="Y", 1, IF('Cost Inputs'!$M45=5, 1, ""))</f>
        <v/>
      </c>
      <c r="M41" t="str">
        <f>IF('Cost Inputs'!$L45="Y", 1, IF(OR('Cost Inputs'!$M45=6, 'Cost Inputs'!$M45=3, 'Cost Inputs'!$M45=2), 1, ""))</f>
        <v/>
      </c>
      <c r="N41" t="str">
        <f>IF('Cost Inputs'!$L45="Y", 1, IF('Cost Inputs'!$M45=7, 1, ""))</f>
        <v/>
      </c>
      <c r="O41" t="str">
        <f>IF('Cost Inputs'!$L45="Y", 1, IF(OR('Cost Inputs'!$M45=8, 'Cost Inputs'!$M45=4, 'Cost Inputs'!$M45=2), 1, ""))</f>
        <v/>
      </c>
      <c r="P41" t="str">
        <f>IF('Cost Inputs'!$L45="Y", 1, IF(OR('Cost Inputs'!$M45=9, 'Cost Inputs'!$M45=3), 1, ""))</f>
        <v/>
      </c>
    </row>
    <row r="42" spans="1:16" x14ac:dyDescent="0.25">
      <c r="A42" s="561" t="s">
        <v>92</v>
      </c>
      <c r="B42" s="561"/>
      <c r="C42" s="561"/>
      <c r="D42" s="561"/>
      <c r="E42" s="561"/>
      <c r="F42" s="561"/>
      <c r="G42" t="str">
        <f>IF('Cost Inputs'!L46="Y", 1, IF('Cost Inputs'!$M46&gt;0, 1, ""))</f>
        <v/>
      </c>
      <c r="H42" t="str">
        <f>IF('Cost Inputs'!$L46="Y", 1, IF('Cost Inputs'!$M46=1, 1, ""))</f>
        <v/>
      </c>
      <c r="I42" t="str">
        <f>IF('Cost Inputs'!$L46="Y", 1, IF('Cost Inputs'!$M46=2, 1, ""))</f>
        <v/>
      </c>
      <c r="J42" t="str">
        <f>IF('Cost Inputs'!$L46="Y", 1, IF('Cost Inputs'!$M46=3, 1, ""))</f>
        <v/>
      </c>
      <c r="K42" t="str">
        <f>IF('Cost Inputs'!$L46="Y", 1, IF(OR('Cost Inputs'!$M46=4, 'Cost Inputs'!$M46=2), 1, ""))</f>
        <v/>
      </c>
      <c r="L42" t="str">
        <f>IF('Cost Inputs'!$L46="Y", 1, IF('Cost Inputs'!$M46=5, 1, ""))</f>
        <v/>
      </c>
      <c r="M42" t="str">
        <f>IF('Cost Inputs'!$L46="Y", 1, IF(OR('Cost Inputs'!$M46=6, 'Cost Inputs'!$M46=3, 'Cost Inputs'!$M46=2), 1, ""))</f>
        <v/>
      </c>
      <c r="N42" t="str">
        <f>IF('Cost Inputs'!$L46="Y", 1, IF('Cost Inputs'!$M46=7, 1, ""))</f>
        <v/>
      </c>
      <c r="O42" t="str">
        <f>IF('Cost Inputs'!$L46="Y", 1, IF(OR('Cost Inputs'!$M46=8, 'Cost Inputs'!$M46=4, 'Cost Inputs'!$M46=2), 1, ""))</f>
        <v/>
      </c>
      <c r="P42" t="str">
        <f>IF('Cost Inputs'!$L46="Y", 1, IF(OR('Cost Inputs'!$M46=9, 'Cost Inputs'!$M46=3), 1, ""))</f>
        <v/>
      </c>
    </row>
    <row r="43" spans="1:16" x14ac:dyDescent="0.25">
      <c r="A43" s="562"/>
      <c r="B43" s="563"/>
      <c r="C43" s="563"/>
      <c r="D43" s="563"/>
      <c r="E43" s="563"/>
      <c r="F43" s="564"/>
      <c r="G43" t="str">
        <f>IF('Cost Inputs'!L47="Y", 1, IF('Cost Inputs'!$M47&gt;0, 1, ""))</f>
        <v/>
      </c>
      <c r="H43" t="str">
        <f>IF('Cost Inputs'!$L47="Y", 1, IF('Cost Inputs'!$M47=1, 1, ""))</f>
        <v/>
      </c>
      <c r="I43" t="str">
        <f>IF('Cost Inputs'!$L47="Y", 1, IF('Cost Inputs'!$M47=2, 1, ""))</f>
        <v/>
      </c>
      <c r="J43" t="str">
        <f>IF('Cost Inputs'!$L47="Y", 1, IF('Cost Inputs'!$M47=3, 1, ""))</f>
        <v/>
      </c>
      <c r="K43" t="str">
        <f>IF('Cost Inputs'!$L47="Y", 1, IF(OR('Cost Inputs'!$M47=4, 'Cost Inputs'!$M47=2), 1, ""))</f>
        <v/>
      </c>
      <c r="L43" t="str">
        <f>IF('Cost Inputs'!$L47="Y", 1, IF('Cost Inputs'!$M47=5, 1, ""))</f>
        <v/>
      </c>
      <c r="M43" t="str">
        <f>IF('Cost Inputs'!$L47="Y", 1, IF(OR('Cost Inputs'!$M47=6, 'Cost Inputs'!$M47=3, 'Cost Inputs'!$M47=2), 1, ""))</f>
        <v/>
      </c>
      <c r="N43" t="str">
        <f>IF('Cost Inputs'!$L47="Y", 1, IF('Cost Inputs'!$M47=7, 1, ""))</f>
        <v/>
      </c>
      <c r="O43" t="str">
        <f>IF('Cost Inputs'!$L47="Y", 1, IF(OR('Cost Inputs'!$M47=8, 'Cost Inputs'!$M47=4, 'Cost Inputs'!$M47=2), 1, ""))</f>
        <v/>
      </c>
      <c r="P43" t="str">
        <f>IF('Cost Inputs'!$L47="Y", 1, IF(OR('Cost Inputs'!$M47=9, 'Cost Inputs'!$M47=3), 1, ""))</f>
        <v/>
      </c>
    </row>
    <row r="44" spans="1:16" x14ac:dyDescent="0.25">
      <c r="A44" s="560" t="s">
        <v>74</v>
      </c>
      <c r="B44" s="560"/>
      <c r="C44" s="560"/>
      <c r="D44" s="560"/>
      <c r="E44" s="560"/>
      <c r="F44" s="560"/>
      <c r="G44" t="str">
        <f>IF('Cost Inputs'!L48="Y", 1, IF('Cost Inputs'!$M48&gt;0, 1, ""))</f>
        <v/>
      </c>
      <c r="H44" t="str">
        <f>IF('Cost Inputs'!$L48="Y", 1, IF('Cost Inputs'!$M48=1, 1, ""))</f>
        <v/>
      </c>
      <c r="I44" t="str">
        <f>IF('Cost Inputs'!$L48="Y", 1, IF('Cost Inputs'!$M48=2, 1, ""))</f>
        <v/>
      </c>
      <c r="J44" t="str">
        <f>IF('Cost Inputs'!$L48="Y", 1, IF('Cost Inputs'!$M48=3, 1, ""))</f>
        <v/>
      </c>
      <c r="K44" t="str">
        <f>IF('Cost Inputs'!$L48="Y", 1, IF(OR('Cost Inputs'!$M48=4, 'Cost Inputs'!$M48=2), 1, ""))</f>
        <v/>
      </c>
      <c r="L44" t="str">
        <f>IF('Cost Inputs'!$L48="Y", 1, IF('Cost Inputs'!$M48=5, 1, ""))</f>
        <v/>
      </c>
      <c r="M44" t="str">
        <f>IF('Cost Inputs'!$L48="Y", 1, IF(OR('Cost Inputs'!$M48=6, 'Cost Inputs'!$M48=3, 'Cost Inputs'!$M48=2), 1, ""))</f>
        <v/>
      </c>
      <c r="N44" t="str">
        <f>IF('Cost Inputs'!$L48="Y", 1, IF('Cost Inputs'!$M48=7, 1, ""))</f>
        <v/>
      </c>
      <c r="O44" t="str">
        <f>IF('Cost Inputs'!$L48="Y", 1, IF(OR('Cost Inputs'!$M48=8, 'Cost Inputs'!$M48=4, 'Cost Inputs'!$M48=2), 1, ""))</f>
        <v/>
      </c>
      <c r="P44" t="str">
        <f>IF('Cost Inputs'!$L48="Y", 1, IF(OR('Cost Inputs'!$M48=9, 'Cost Inputs'!$M48=3), 1, ""))</f>
        <v/>
      </c>
    </row>
    <row r="45" spans="1:16" x14ac:dyDescent="0.25">
      <c r="A45" s="555" t="s">
        <v>78</v>
      </c>
      <c r="B45" s="555"/>
      <c r="C45" s="555"/>
      <c r="D45" s="555"/>
      <c r="E45" s="555"/>
      <c r="F45" s="555"/>
      <c r="G45" t="str">
        <f>IF('Cost Inputs'!L49="Y", 1, IF('Cost Inputs'!$M49&gt;0, 1, ""))</f>
        <v/>
      </c>
      <c r="H45" t="str">
        <f>IF('Cost Inputs'!$L49="Y", 1, IF('Cost Inputs'!$M49=1, 1, ""))</f>
        <v/>
      </c>
      <c r="I45" t="str">
        <f>IF('Cost Inputs'!$L49="Y", 1, IF('Cost Inputs'!$M49=2, 1, ""))</f>
        <v/>
      </c>
      <c r="J45" t="str">
        <f>IF('Cost Inputs'!$L49="Y", 1, IF('Cost Inputs'!$M49=3, 1, ""))</f>
        <v/>
      </c>
      <c r="K45" t="str">
        <f>IF('Cost Inputs'!$L49="Y", 1, IF(OR('Cost Inputs'!$M49=4, 'Cost Inputs'!$M49=2), 1, ""))</f>
        <v/>
      </c>
      <c r="L45" t="str">
        <f>IF('Cost Inputs'!$L49="Y", 1, IF('Cost Inputs'!$M49=5, 1, ""))</f>
        <v/>
      </c>
      <c r="M45" t="str">
        <f>IF('Cost Inputs'!$L49="Y", 1, IF(OR('Cost Inputs'!$M49=6, 'Cost Inputs'!$M49=3, 'Cost Inputs'!$M49=2), 1, ""))</f>
        <v/>
      </c>
      <c r="N45" t="str">
        <f>IF('Cost Inputs'!$L49="Y", 1, IF('Cost Inputs'!$M49=7, 1, ""))</f>
        <v/>
      </c>
      <c r="O45" t="str">
        <f>IF('Cost Inputs'!$L49="Y", 1, IF(OR('Cost Inputs'!$M49=8, 'Cost Inputs'!$M49=4, 'Cost Inputs'!$M49=2), 1, ""))</f>
        <v/>
      </c>
      <c r="P45" t="str">
        <f>IF('Cost Inputs'!$L49="Y", 1, IF(OR('Cost Inputs'!$M49=9, 'Cost Inputs'!$M49=3), 1, ""))</f>
        <v/>
      </c>
    </row>
    <row r="46" spans="1:16" x14ac:dyDescent="0.25">
      <c r="A46" s="555" t="s">
        <v>79</v>
      </c>
      <c r="B46" s="555"/>
      <c r="C46" s="555"/>
      <c r="D46" s="555"/>
      <c r="E46" s="555"/>
      <c r="F46" s="555"/>
      <c r="G46" t="str">
        <f>IF('Cost Inputs'!L50="Y", 1, IF('Cost Inputs'!$M50&gt;0, 1, ""))</f>
        <v/>
      </c>
      <c r="H46" t="str">
        <f>IF('Cost Inputs'!$L50="Y", 1, IF('Cost Inputs'!$M50=1, 1, ""))</f>
        <v/>
      </c>
      <c r="I46" t="str">
        <f>IF('Cost Inputs'!$L50="Y", 1, IF('Cost Inputs'!$M50=2, 1, ""))</f>
        <v/>
      </c>
      <c r="J46" t="str">
        <f>IF('Cost Inputs'!$L50="Y", 1, IF('Cost Inputs'!$M50=3, 1, ""))</f>
        <v/>
      </c>
      <c r="K46" t="str">
        <f>IF('Cost Inputs'!$L50="Y", 1, IF(OR('Cost Inputs'!$M50=4, 'Cost Inputs'!$M50=2), 1, ""))</f>
        <v/>
      </c>
      <c r="L46" t="str">
        <f>IF('Cost Inputs'!$L50="Y", 1, IF('Cost Inputs'!$M50=5, 1, ""))</f>
        <v/>
      </c>
      <c r="M46" t="str">
        <f>IF('Cost Inputs'!$L50="Y", 1, IF(OR('Cost Inputs'!$M50=6, 'Cost Inputs'!$M50=3, 'Cost Inputs'!$M50=2), 1, ""))</f>
        <v/>
      </c>
      <c r="N46" t="str">
        <f>IF('Cost Inputs'!$L50="Y", 1, IF('Cost Inputs'!$M50=7, 1, ""))</f>
        <v/>
      </c>
      <c r="O46" t="str">
        <f>IF('Cost Inputs'!$L50="Y", 1, IF(OR('Cost Inputs'!$M50=8, 'Cost Inputs'!$M50=4, 'Cost Inputs'!$M50=2), 1, ""))</f>
        <v/>
      </c>
      <c r="P46" t="str">
        <f>IF('Cost Inputs'!$L50="Y", 1, IF(OR('Cost Inputs'!$M50=9, 'Cost Inputs'!$M50=3), 1, ""))</f>
        <v/>
      </c>
    </row>
    <row r="47" spans="1:16" x14ac:dyDescent="0.25">
      <c r="A47" s="555" t="s">
        <v>80</v>
      </c>
      <c r="B47" s="555"/>
      <c r="C47" s="555"/>
      <c r="D47" s="555"/>
      <c r="E47" s="555"/>
      <c r="F47" s="555"/>
      <c r="G47" t="str">
        <f>IF('Cost Inputs'!L51="Y", 1, IF('Cost Inputs'!$M51&gt;0, 1, ""))</f>
        <v/>
      </c>
      <c r="H47" t="str">
        <f>IF('Cost Inputs'!$L51="Y", 1, IF('Cost Inputs'!$M51=1, 1, ""))</f>
        <v/>
      </c>
      <c r="I47" t="str">
        <f>IF('Cost Inputs'!$L51="Y", 1, IF('Cost Inputs'!$M51=2, 1, ""))</f>
        <v/>
      </c>
      <c r="J47" t="str">
        <f>IF('Cost Inputs'!$L51="Y", 1, IF('Cost Inputs'!$M51=3, 1, ""))</f>
        <v/>
      </c>
      <c r="K47" t="str">
        <f>IF('Cost Inputs'!$L51="Y", 1, IF(OR('Cost Inputs'!$M51=4, 'Cost Inputs'!$M51=2), 1, ""))</f>
        <v/>
      </c>
      <c r="L47" t="str">
        <f>IF('Cost Inputs'!$L51="Y", 1, IF('Cost Inputs'!$M51=5, 1, ""))</f>
        <v/>
      </c>
      <c r="M47" t="str">
        <f>IF('Cost Inputs'!$L51="Y", 1, IF(OR('Cost Inputs'!$M51=6, 'Cost Inputs'!$M51=3, 'Cost Inputs'!$M51=2), 1, ""))</f>
        <v/>
      </c>
      <c r="N47" t="str">
        <f>IF('Cost Inputs'!$L51="Y", 1, IF('Cost Inputs'!$M51=7, 1, ""))</f>
        <v/>
      </c>
      <c r="O47" t="str">
        <f>IF('Cost Inputs'!$L51="Y", 1, IF(OR('Cost Inputs'!$M51=8, 'Cost Inputs'!$M51=4, 'Cost Inputs'!$M51=2), 1, ""))</f>
        <v/>
      </c>
      <c r="P47" t="str">
        <f>IF('Cost Inputs'!$L51="Y", 1, IF(OR('Cost Inputs'!$M51=9, 'Cost Inputs'!$M51=3), 1, ""))</f>
        <v/>
      </c>
    </row>
    <row r="48" spans="1:16" x14ac:dyDescent="0.25">
      <c r="A48" s="555" t="s">
        <v>81</v>
      </c>
      <c r="B48" s="555"/>
      <c r="C48" s="555"/>
      <c r="D48" s="555"/>
      <c r="E48" s="555"/>
      <c r="F48" s="555"/>
      <c r="G48" t="str">
        <f>IF('Cost Inputs'!L52="Y", 1, IF('Cost Inputs'!$M52&gt;0, 1, ""))</f>
        <v/>
      </c>
      <c r="H48" t="str">
        <f>IF('Cost Inputs'!$L52="Y", 1, IF('Cost Inputs'!$M52=1, 1, ""))</f>
        <v/>
      </c>
      <c r="I48" t="str">
        <f>IF('Cost Inputs'!$L52="Y", 1, IF('Cost Inputs'!$M52=2, 1, ""))</f>
        <v/>
      </c>
      <c r="J48" t="str">
        <f>IF('Cost Inputs'!$L52="Y", 1, IF('Cost Inputs'!$M52=3, 1, ""))</f>
        <v/>
      </c>
      <c r="K48" t="str">
        <f>IF('Cost Inputs'!$L52="Y", 1, IF(OR('Cost Inputs'!$M52=4, 'Cost Inputs'!$M52=2), 1, ""))</f>
        <v/>
      </c>
      <c r="L48" t="str">
        <f>IF('Cost Inputs'!$L52="Y", 1, IF('Cost Inputs'!$M52=5, 1, ""))</f>
        <v/>
      </c>
      <c r="M48" t="str">
        <f>IF('Cost Inputs'!$L52="Y", 1, IF(OR('Cost Inputs'!$M52=6, 'Cost Inputs'!$M52=3, 'Cost Inputs'!$M52=2), 1, ""))</f>
        <v/>
      </c>
      <c r="N48" t="str">
        <f>IF('Cost Inputs'!$L52="Y", 1, IF('Cost Inputs'!$M52=7, 1, ""))</f>
        <v/>
      </c>
      <c r="O48" t="str">
        <f>IF('Cost Inputs'!$L52="Y", 1, IF(OR('Cost Inputs'!$M52=8, 'Cost Inputs'!$M52=4, 'Cost Inputs'!$M52=2), 1, ""))</f>
        <v/>
      </c>
      <c r="P48" t="str">
        <f>IF('Cost Inputs'!$L52="Y", 1, IF(OR('Cost Inputs'!$M52=9, 'Cost Inputs'!$M52=3), 1, ""))</f>
        <v/>
      </c>
    </row>
    <row r="49" spans="1:16" x14ac:dyDescent="0.25">
      <c r="A49" s="556"/>
      <c r="B49" s="557"/>
      <c r="C49" s="557"/>
      <c r="D49" s="557"/>
      <c r="E49" s="557"/>
      <c r="F49" s="558"/>
      <c r="G49" t="str">
        <f>IF('Cost Inputs'!L53="Y", 1, IF('Cost Inputs'!$M53&gt;0, 1, ""))</f>
        <v/>
      </c>
      <c r="H49" t="str">
        <f>IF('Cost Inputs'!$L53="Y", 1, IF('Cost Inputs'!$M53=1, 1, ""))</f>
        <v/>
      </c>
      <c r="I49" t="str">
        <f>IF('Cost Inputs'!$L53="Y", 1, IF('Cost Inputs'!$M53=2, 1, ""))</f>
        <v/>
      </c>
      <c r="J49" t="str">
        <f>IF('Cost Inputs'!$L53="Y", 1, IF('Cost Inputs'!$M53=3, 1, ""))</f>
        <v/>
      </c>
      <c r="K49" t="str">
        <f>IF('Cost Inputs'!$L53="Y", 1, IF(OR('Cost Inputs'!$M53=4, 'Cost Inputs'!$M53=2), 1, ""))</f>
        <v/>
      </c>
      <c r="L49" t="str">
        <f>IF('Cost Inputs'!$L53="Y", 1, IF('Cost Inputs'!$M53=5, 1, ""))</f>
        <v/>
      </c>
      <c r="M49" t="str">
        <f>IF('Cost Inputs'!$L53="Y", 1, IF(OR('Cost Inputs'!$M53=6, 'Cost Inputs'!$M53=3, 'Cost Inputs'!$M53=2), 1, ""))</f>
        <v/>
      </c>
      <c r="N49" t="str">
        <f>IF('Cost Inputs'!$L53="Y", 1, IF('Cost Inputs'!$M53=7, 1, ""))</f>
        <v/>
      </c>
      <c r="O49" t="str">
        <f>IF('Cost Inputs'!$L53="Y", 1, IF(OR('Cost Inputs'!$M53=8, 'Cost Inputs'!$M53=4, 'Cost Inputs'!$M53=2), 1, ""))</f>
        <v/>
      </c>
      <c r="P49" t="str">
        <f>IF('Cost Inputs'!$L53="Y", 1, IF(OR('Cost Inputs'!$M53=9, 'Cost Inputs'!$M53=3), 1, ""))</f>
        <v/>
      </c>
    </row>
    <row r="50" spans="1:16" x14ac:dyDescent="0.25">
      <c r="A50" s="556"/>
      <c r="B50" s="557"/>
      <c r="C50" s="557"/>
      <c r="D50" s="557"/>
      <c r="E50" s="557"/>
      <c r="F50" s="558"/>
      <c r="G50" t="str">
        <f>IF('Cost Inputs'!L54="Y", 1, IF('Cost Inputs'!$M54&gt;0, 1, ""))</f>
        <v/>
      </c>
      <c r="H50" t="str">
        <f>IF('Cost Inputs'!$L54="Y", 1, IF('Cost Inputs'!$M54=1, 1, ""))</f>
        <v/>
      </c>
      <c r="I50" t="str">
        <f>IF('Cost Inputs'!$L54="Y", 1, IF('Cost Inputs'!$M54=2, 1, ""))</f>
        <v/>
      </c>
      <c r="J50" t="str">
        <f>IF('Cost Inputs'!$L54="Y", 1, IF('Cost Inputs'!$M54=3, 1, ""))</f>
        <v/>
      </c>
      <c r="K50" t="str">
        <f>IF('Cost Inputs'!$L54="Y", 1, IF(OR('Cost Inputs'!$M54=4, 'Cost Inputs'!$M54=2), 1, ""))</f>
        <v/>
      </c>
      <c r="L50" t="str">
        <f>IF('Cost Inputs'!$L54="Y", 1, IF('Cost Inputs'!$M54=5, 1, ""))</f>
        <v/>
      </c>
      <c r="M50" t="str">
        <f>IF('Cost Inputs'!$L54="Y", 1, IF(OR('Cost Inputs'!$M54=6, 'Cost Inputs'!$M54=3, 'Cost Inputs'!$M54=2), 1, ""))</f>
        <v/>
      </c>
      <c r="N50" t="str">
        <f>IF('Cost Inputs'!$L54="Y", 1, IF('Cost Inputs'!$M54=7, 1, ""))</f>
        <v/>
      </c>
      <c r="O50" t="str">
        <f>IF('Cost Inputs'!$L54="Y", 1, IF(OR('Cost Inputs'!$M54=8, 'Cost Inputs'!$M54=4, 'Cost Inputs'!$M54=2), 1, ""))</f>
        <v/>
      </c>
      <c r="P50" t="str">
        <f>IF('Cost Inputs'!$L54="Y", 1, IF(OR('Cost Inputs'!$M54=9, 'Cost Inputs'!$M54=3), 1, ""))</f>
        <v/>
      </c>
    </row>
    <row r="51" spans="1:16" x14ac:dyDescent="0.25">
      <c r="A51" s="560" t="s">
        <v>94</v>
      </c>
      <c r="B51" s="560"/>
      <c r="C51" s="560"/>
      <c r="D51" s="560"/>
      <c r="E51" s="560"/>
      <c r="F51" s="560"/>
      <c r="G51" t="str">
        <f>IF('Cost Inputs'!L55="Y", 1, IF('Cost Inputs'!$M55&gt;0, 1, ""))</f>
        <v/>
      </c>
      <c r="H51" t="str">
        <f>IF('Cost Inputs'!$L55="Y", 1, IF('Cost Inputs'!$M55=1, 1, ""))</f>
        <v/>
      </c>
      <c r="I51" t="str">
        <f>IF('Cost Inputs'!$L55="Y", 1, IF('Cost Inputs'!$M55=2, 1, ""))</f>
        <v/>
      </c>
      <c r="J51" t="str">
        <f>IF('Cost Inputs'!$L55="Y", 1, IF('Cost Inputs'!$M55=3, 1, ""))</f>
        <v/>
      </c>
      <c r="K51" t="str">
        <f>IF('Cost Inputs'!$L55="Y", 1, IF(OR('Cost Inputs'!$M55=4, 'Cost Inputs'!$M55=2), 1, ""))</f>
        <v/>
      </c>
      <c r="L51" t="str">
        <f>IF('Cost Inputs'!$L55="Y", 1, IF('Cost Inputs'!$M55=5, 1, ""))</f>
        <v/>
      </c>
      <c r="M51" t="str">
        <f>IF('Cost Inputs'!$L55="Y", 1, IF(OR('Cost Inputs'!$M55=6, 'Cost Inputs'!$M55=3, 'Cost Inputs'!$M55=2), 1, ""))</f>
        <v/>
      </c>
      <c r="N51" t="str">
        <f>IF('Cost Inputs'!$L55="Y", 1, IF('Cost Inputs'!$M55=7, 1, ""))</f>
        <v/>
      </c>
      <c r="O51" t="str">
        <f>IF('Cost Inputs'!$L55="Y", 1, IF(OR('Cost Inputs'!$M55=8, 'Cost Inputs'!$M55=4, 'Cost Inputs'!$M55=2), 1, ""))</f>
        <v/>
      </c>
      <c r="P51" t="str">
        <f>IF('Cost Inputs'!$L55="Y", 1, IF(OR('Cost Inputs'!$M55=9, 'Cost Inputs'!$M55=3), 1, ""))</f>
        <v/>
      </c>
    </row>
    <row r="52" spans="1:16" x14ac:dyDescent="0.25">
      <c r="A52" s="561"/>
      <c r="B52" s="561"/>
      <c r="C52" s="561"/>
      <c r="D52" s="561"/>
      <c r="E52" s="561"/>
      <c r="F52" s="561"/>
      <c r="G52" t="str">
        <f>IF('Cost Inputs'!L56="Y", 1, IF('Cost Inputs'!$M56&gt;0, 1, ""))</f>
        <v/>
      </c>
      <c r="H52" t="str">
        <f>IF('Cost Inputs'!$L56="Y", 1, IF('Cost Inputs'!$M56=1, 1, ""))</f>
        <v/>
      </c>
      <c r="I52" t="str">
        <f>IF('Cost Inputs'!$L56="Y", 1, IF('Cost Inputs'!$M56=2, 1, ""))</f>
        <v/>
      </c>
      <c r="J52" t="str">
        <f>IF('Cost Inputs'!$L56="Y", 1, IF('Cost Inputs'!$M56=3, 1, ""))</f>
        <v/>
      </c>
      <c r="K52" t="str">
        <f>IF('Cost Inputs'!$L56="Y", 1, IF(OR('Cost Inputs'!$M56=4, 'Cost Inputs'!$M56=2), 1, ""))</f>
        <v/>
      </c>
      <c r="L52" t="str">
        <f>IF('Cost Inputs'!$L56="Y", 1, IF('Cost Inputs'!$M56=5, 1, ""))</f>
        <v/>
      </c>
      <c r="M52" t="str">
        <f>IF('Cost Inputs'!$L56="Y", 1, IF(OR('Cost Inputs'!$M56=6, 'Cost Inputs'!$M56=3, 'Cost Inputs'!$M56=2), 1, ""))</f>
        <v/>
      </c>
      <c r="N52" t="str">
        <f>IF('Cost Inputs'!$L56="Y", 1, IF('Cost Inputs'!$M56=7, 1, ""))</f>
        <v/>
      </c>
      <c r="O52" t="str">
        <f>IF('Cost Inputs'!$L56="Y", 1, IF(OR('Cost Inputs'!$M56=8, 'Cost Inputs'!$M56=4, 'Cost Inputs'!$M56=2), 1, ""))</f>
        <v/>
      </c>
      <c r="P52" t="str">
        <f>IF('Cost Inputs'!$L56="Y", 1, IF(OR('Cost Inputs'!$M56=9, 'Cost Inputs'!$M56=3), 1, ""))</f>
        <v/>
      </c>
    </row>
    <row r="53" spans="1:16" x14ac:dyDescent="0.25">
      <c r="A53" s="566"/>
      <c r="B53" s="567"/>
      <c r="C53" s="567"/>
      <c r="D53" s="567"/>
      <c r="E53" s="567"/>
      <c r="F53" s="568"/>
      <c r="G53" t="str">
        <f>IF('Cost Inputs'!L57="Y", 1, IF('Cost Inputs'!$M57&gt;0, 1, ""))</f>
        <v/>
      </c>
      <c r="H53" t="str">
        <f>IF('Cost Inputs'!$L57="Y", 1, IF('Cost Inputs'!$M57=1, 1, ""))</f>
        <v/>
      </c>
      <c r="I53" t="str">
        <f>IF('Cost Inputs'!$L57="Y", 1, IF('Cost Inputs'!$M57=2, 1, ""))</f>
        <v/>
      </c>
      <c r="J53" t="str">
        <f>IF('Cost Inputs'!$L57="Y", 1, IF('Cost Inputs'!$M57=3, 1, ""))</f>
        <v/>
      </c>
      <c r="K53" t="str">
        <f>IF('Cost Inputs'!$L57="Y", 1, IF(OR('Cost Inputs'!$M57=4, 'Cost Inputs'!$M57=2), 1, ""))</f>
        <v/>
      </c>
      <c r="L53" t="str">
        <f>IF('Cost Inputs'!$L57="Y", 1, IF('Cost Inputs'!$M57=5, 1, ""))</f>
        <v/>
      </c>
      <c r="M53" t="str">
        <f>IF('Cost Inputs'!$L57="Y", 1, IF(OR('Cost Inputs'!$M57=6, 'Cost Inputs'!$M57=3, 'Cost Inputs'!$M57=2), 1, ""))</f>
        <v/>
      </c>
      <c r="N53" t="str">
        <f>IF('Cost Inputs'!$L57="Y", 1, IF('Cost Inputs'!$M57=7, 1, ""))</f>
        <v/>
      </c>
      <c r="O53" t="str">
        <f>IF('Cost Inputs'!$L57="Y", 1, IF(OR('Cost Inputs'!$M57=8, 'Cost Inputs'!$M57=4, 'Cost Inputs'!$M57=2), 1, ""))</f>
        <v/>
      </c>
      <c r="P53" t="str">
        <f>IF('Cost Inputs'!$L57="Y", 1, IF(OR('Cost Inputs'!$M57=9, 'Cost Inputs'!$M57=3), 1, ""))</f>
        <v/>
      </c>
    </row>
    <row r="54" spans="1:16" x14ac:dyDescent="0.25">
      <c r="A54" s="8"/>
      <c r="B54" s="8"/>
      <c r="C54" s="8"/>
      <c r="D54" s="8"/>
      <c r="E54" s="8"/>
      <c r="F54" s="8"/>
      <c r="G54" t="str">
        <f>IF('Cost Inputs'!L58="Y", 1, IF('Cost Inputs'!$M58&gt;0, 1, ""))</f>
        <v/>
      </c>
      <c r="H54" t="str">
        <f>IF('Cost Inputs'!$L58="Y", 1, IF('Cost Inputs'!$M58=1, 1, ""))</f>
        <v/>
      </c>
      <c r="I54" t="str">
        <f>IF('Cost Inputs'!$L58="Y", 1, IF('Cost Inputs'!$M58=2, 1, ""))</f>
        <v/>
      </c>
      <c r="J54" t="str">
        <f>IF('Cost Inputs'!$L58="Y", 1, IF('Cost Inputs'!$M58=3, 1, ""))</f>
        <v/>
      </c>
      <c r="K54" t="str">
        <f>IF('Cost Inputs'!$L58="Y", 1, IF(OR('Cost Inputs'!$M58=4, 'Cost Inputs'!$M58=2), 1, ""))</f>
        <v/>
      </c>
      <c r="L54" t="str">
        <f>IF('Cost Inputs'!$L58="Y", 1, IF('Cost Inputs'!$M58=5, 1, ""))</f>
        <v/>
      </c>
      <c r="M54" t="str">
        <f>IF('Cost Inputs'!$L58="Y", 1, IF(OR('Cost Inputs'!$M58=6, 'Cost Inputs'!$M58=3, 'Cost Inputs'!$M58=2), 1, ""))</f>
        <v/>
      </c>
      <c r="N54" t="str">
        <f>IF('Cost Inputs'!$L58="Y", 1, IF('Cost Inputs'!$M58=7, 1, ""))</f>
        <v/>
      </c>
      <c r="O54" t="str">
        <f>IF('Cost Inputs'!$L58="Y", 1, IF(OR('Cost Inputs'!$M58=8, 'Cost Inputs'!$M58=4, 'Cost Inputs'!$M58=2), 1, ""))</f>
        <v/>
      </c>
      <c r="P54" t="str">
        <f>IF('Cost Inputs'!$L58="Y", 1, IF(OR('Cost Inputs'!$M58=9, 'Cost Inputs'!$M58=3), 1, ""))</f>
        <v/>
      </c>
    </row>
    <row r="55" spans="1:16" x14ac:dyDescent="0.25">
      <c r="A55" s="550" t="s">
        <v>103</v>
      </c>
      <c r="B55" s="550"/>
      <c r="C55" s="550"/>
      <c r="D55" s="550"/>
      <c r="E55" s="550"/>
      <c r="F55" s="550"/>
      <c r="G55" t="str">
        <f>IF('Cost Inputs'!L59="Y", 1, IF('Cost Inputs'!$M59&gt;0, 1, ""))</f>
        <v/>
      </c>
      <c r="H55" t="str">
        <f>IF('Cost Inputs'!$L59="Y", 1, IF('Cost Inputs'!$M59=1, 1, ""))</f>
        <v/>
      </c>
      <c r="I55" t="str">
        <f>IF('Cost Inputs'!$L59="Y", 1, IF('Cost Inputs'!$M59=2, 1, ""))</f>
        <v/>
      </c>
      <c r="J55" t="str">
        <f>IF('Cost Inputs'!$L59="Y", 1, IF('Cost Inputs'!$M59=3, 1, ""))</f>
        <v/>
      </c>
      <c r="K55" t="str">
        <f>IF('Cost Inputs'!$L59="Y", 1, IF(OR('Cost Inputs'!$M59=4, 'Cost Inputs'!$M59=2), 1, ""))</f>
        <v/>
      </c>
      <c r="L55" t="str">
        <f>IF('Cost Inputs'!$L59="Y", 1, IF('Cost Inputs'!$M59=5, 1, ""))</f>
        <v/>
      </c>
      <c r="M55" t="str">
        <f>IF('Cost Inputs'!$L59="Y", 1, IF(OR('Cost Inputs'!$M59=6, 'Cost Inputs'!$M59=3, 'Cost Inputs'!$M59=2), 1, ""))</f>
        <v/>
      </c>
      <c r="N55" t="str">
        <f>IF('Cost Inputs'!$L59="Y", 1, IF('Cost Inputs'!$M59=7, 1, ""))</f>
        <v/>
      </c>
      <c r="O55" t="str">
        <f>IF('Cost Inputs'!$L59="Y", 1, IF(OR('Cost Inputs'!$M59=8, 'Cost Inputs'!$M59=4, 'Cost Inputs'!$M59=2), 1, ""))</f>
        <v/>
      </c>
      <c r="P55" t="str">
        <f>IF('Cost Inputs'!$L59="Y", 1, IF(OR('Cost Inputs'!$M59=9, 'Cost Inputs'!$M59=3), 1, ""))</f>
        <v/>
      </c>
    </row>
    <row r="56" spans="1:16" x14ac:dyDescent="0.25">
      <c r="A56" s="551" t="s">
        <v>101</v>
      </c>
      <c r="B56" s="551"/>
      <c r="C56" s="551"/>
      <c r="D56" s="551"/>
      <c r="E56" s="551"/>
      <c r="F56" s="551"/>
      <c r="G56" t="str">
        <f>IF('Cost Inputs'!L60="Y", 1, IF('Cost Inputs'!$M60&gt;0, 1, ""))</f>
        <v/>
      </c>
      <c r="H56" t="str">
        <f>IF('Cost Inputs'!$L60="Y", 1, IF('Cost Inputs'!$M60=1, 1, ""))</f>
        <v/>
      </c>
      <c r="I56" t="str">
        <f>IF('Cost Inputs'!$L60="Y", 1, IF('Cost Inputs'!$M60=2, 1, ""))</f>
        <v/>
      </c>
      <c r="J56" t="str">
        <f>IF('Cost Inputs'!$L60="Y", 1, IF('Cost Inputs'!$M60=3, 1, ""))</f>
        <v/>
      </c>
      <c r="K56" t="str">
        <f>IF('Cost Inputs'!$L60="Y", 1, IF(OR('Cost Inputs'!$M60=4, 'Cost Inputs'!$M60=2), 1, ""))</f>
        <v/>
      </c>
      <c r="L56" t="str">
        <f>IF('Cost Inputs'!$L60="Y", 1, IF('Cost Inputs'!$M60=5, 1, ""))</f>
        <v/>
      </c>
      <c r="M56" t="str">
        <f>IF('Cost Inputs'!$L60="Y", 1, IF(OR('Cost Inputs'!$M60=6, 'Cost Inputs'!$M60=3, 'Cost Inputs'!$M60=2), 1, ""))</f>
        <v/>
      </c>
      <c r="N56" t="str">
        <f>IF('Cost Inputs'!$L60="Y", 1, IF('Cost Inputs'!$M60=7, 1, ""))</f>
        <v/>
      </c>
      <c r="O56" t="str">
        <f>IF('Cost Inputs'!$L60="Y", 1, IF(OR('Cost Inputs'!$M60=8, 'Cost Inputs'!$M60=4, 'Cost Inputs'!$M60=2), 1, ""))</f>
        <v/>
      </c>
      <c r="P56" t="str">
        <f>IF('Cost Inputs'!$L60="Y", 1, IF(OR('Cost Inputs'!$M60=9, 'Cost Inputs'!$M60=3), 1, ""))</f>
        <v/>
      </c>
    </row>
    <row r="57" spans="1:16" x14ac:dyDescent="0.25">
      <c r="A57" s="551" t="s">
        <v>82</v>
      </c>
      <c r="B57" s="551"/>
      <c r="C57" s="551"/>
      <c r="D57" s="551"/>
      <c r="E57" s="551"/>
      <c r="F57" s="551"/>
      <c r="G57" t="str">
        <f>IF('Cost Inputs'!L61="Y", 1, IF('Cost Inputs'!$M61&gt;0, 1, ""))</f>
        <v/>
      </c>
      <c r="H57" t="str">
        <f>IF('Cost Inputs'!$L61="Y", 1, IF('Cost Inputs'!$M61=1, 1, ""))</f>
        <v/>
      </c>
      <c r="I57" t="str">
        <f>IF('Cost Inputs'!$L61="Y", 1, IF('Cost Inputs'!$M61=2, 1, ""))</f>
        <v/>
      </c>
      <c r="J57" t="str">
        <f>IF('Cost Inputs'!$L61="Y", 1, IF('Cost Inputs'!$M61=3, 1, ""))</f>
        <v/>
      </c>
      <c r="K57" t="str">
        <f>IF('Cost Inputs'!$L61="Y", 1, IF(OR('Cost Inputs'!$M61=4, 'Cost Inputs'!$M61=2), 1, ""))</f>
        <v/>
      </c>
      <c r="L57" t="str">
        <f>IF('Cost Inputs'!$L61="Y", 1, IF('Cost Inputs'!$M61=5, 1, ""))</f>
        <v/>
      </c>
      <c r="M57" t="str">
        <f>IF('Cost Inputs'!$L61="Y", 1, IF(OR('Cost Inputs'!$M61=6, 'Cost Inputs'!$M61=3, 'Cost Inputs'!$M61=2), 1, ""))</f>
        <v/>
      </c>
      <c r="N57" t="str">
        <f>IF('Cost Inputs'!$L61="Y", 1, IF('Cost Inputs'!$M61=7, 1, ""))</f>
        <v/>
      </c>
      <c r="O57" t="str">
        <f>IF('Cost Inputs'!$L61="Y", 1, IF(OR('Cost Inputs'!$M61=8, 'Cost Inputs'!$M61=4, 'Cost Inputs'!$M61=2), 1, ""))</f>
        <v/>
      </c>
      <c r="P57" t="str">
        <f>IF('Cost Inputs'!$L61="Y", 1, IF(OR('Cost Inputs'!$M61=9, 'Cost Inputs'!$M61=3), 1, ""))</f>
        <v/>
      </c>
    </row>
    <row r="58" spans="1:16" x14ac:dyDescent="0.25">
      <c r="A58" s="551" t="s">
        <v>35</v>
      </c>
      <c r="B58" s="551"/>
      <c r="C58" s="551"/>
      <c r="D58" s="551"/>
      <c r="E58" s="551"/>
      <c r="F58" s="551"/>
      <c r="G58" t="str">
        <f>IF('Cost Inputs'!L62="Y", 1, IF('Cost Inputs'!$M62&gt;0, 1, ""))</f>
        <v/>
      </c>
      <c r="H58" t="str">
        <f>IF('Cost Inputs'!$L62="Y", 1, IF('Cost Inputs'!$M62=1, 1, ""))</f>
        <v/>
      </c>
      <c r="I58" t="str">
        <f>IF('Cost Inputs'!$L62="Y", 1, IF('Cost Inputs'!$M62=2, 1, ""))</f>
        <v/>
      </c>
      <c r="J58" t="str">
        <f>IF('Cost Inputs'!$L62="Y", 1, IF('Cost Inputs'!$M62=3, 1, ""))</f>
        <v/>
      </c>
      <c r="K58" t="str">
        <f>IF('Cost Inputs'!$L62="Y", 1, IF(OR('Cost Inputs'!$M62=4, 'Cost Inputs'!$M62=2), 1, ""))</f>
        <v/>
      </c>
      <c r="L58" t="str">
        <f>IF('Cost Inputs'!$L62="Y", 1, IF('Cost Inputs'!$M62=5, 1, ""))</f>
        <v/>
      </c>
      <c r="M58" t="str">
        <f>IF('Cost Inputs'!$L62="Y", 1, IF(OR('Cost Inputs'!$M62=6, 'Cost Inputs'!$M62=3, 'Cost Inputs'!$M62=2), 1, ""))</f>
        <v/>
      </c>
      <c r="N58" t="str">
        <f>IF('Cost Inputs'!$L62="Y", 1, IF('Cost Inputs'!$M62=7, 1, ""))</f>
        <v/>
      </c>
      <c r="O58" t="str">
        <f>IF('Cost Inputs'!$L62="Y", 1, IF(OR('Cost Inputs'!$M62=8, 'Cost Inputs'!$M62=4, 'Cost Inputs'!$M62=2), 1, ""))</f>
        <v/>
      </c>
      <c r="P58" t="str">
        <f>IF('Cost Inputs'!$L62="Y", 1, IF(OR('Cost Inputs'!$M62=9, 'Cost Inputs'!$M62=3), 1, ""))</f>
        <v/>
      </c>
    </row>
    <row r="59" spans="1:16" x14ac:dyDescent="0.25">
      <c r="A59" s="551" t="s">
        <v>36</v>
      </c>
      <c r="B59" s="551"/>
      <c r="C59" s="551"/>
      <c r="D59" s="551"/>
      <c r="E59" s="551"/>
      <c r="F59" s="551"/>
      <c r="G59" t="str">
        <f>IF('Cost Inputs'!L63="Y", 1, IF('Cost Inputs'!$M63&gt;0, 1, ""))</f>
        <v/>
      </c>
      <c r="H59" t="str">
        <f>IF('Cost Inputs'!$L63="Y", 1, IF('Cost Inputs'!$M63=1, 1, ""))</f>
        <v/>
      </c>
      <c r="I59" t="str">
        <f>IF('Cost Inputs'!$L63="Y", 1, IF('Cost Inputs'!$M63=2, 1, ""))</f>
        <v/>
      </c>
      <c r="J59" t="str">
        <f>IF('Cost Inputs'!$L63="Y", 1, IF('Cost Inputs'!$M63=3, 1, ""))</f>
        <v/>
      </c>
      <c r="K59" t="str">
        <f>IF('Cost Inputs'!$L63="Y", 1, IF(OR('Cost Inputs'!$M63=4, 'Cost Inputs'!$M63=2), 1, ""))</f>
        <v/>
      </c>
      <c r="L59" t="str">
        <f>IF('Cost Inputs'!$L63="Y", 1, IF('Cost Inputs'!$M63=5, 1, ""))</f>
        <v/>
      </c>
      <c r="M59" t="str">
        <f>IF('Cost Inputs'!$L63="Y", 1, IF(OR('Cost Inputs'!$M63=6, 'Cost Inputs'!$M63=3, 'Cost Inputs'!$M63=2), 1, ""))</f>
        <v/>
      </c>
      <c r="N59" t="str">
        <f>IF('Cost Inputs'!$L63="Y", 1, IF('Cost Inputs'!$M63=7, 1, ""))</f>
        <v/>
      </c>
      <c r="O59" t="str">
        <f>IF('Cost Inputs'!$L63="Y", 1, IF(OR('Cost Inputs'!$M63=8, 'Cost Inputs'!$M63=4, 'Cost Inputs'!$M63=2), 1, ""))</f>
        <v/>
      </c>
      <c r="P59" t="str">
        <f>IF('Cost Inputs'!$L63="Y", 1, IF(OR('Cost Inputs'!$M63=9, 'Cost Inputs'!$M63=3), 1, ""))</f>
        <v/>
      </c>
    </row>
    <row r="60" spans="1:16" x14ac:dyDescent="0.25">
      <c r="A60" s="551" t="s">
        <v>117</v>
      </c>
      <c r="B60" s="551"/>
      <c r="C60" s="551"/>
      <c r="D60" s="551"/>
      <c r="E60" s="551"/>
      <c r="F60" s="551"/>
      <c r="G60" t="str">
        <f>IF('Cost Inputs'!L64="Y", 1, IF('Cost Inputs'!$M64&gt;0, 1, ""))</f>
        <v/>
      </c>
      <c r="H60" t="str">
        <f>IF('Cost Inputs'!$L64="Y", 1, IF('Cost Inputs'!$M64=1, 1, ""))</f>
        <v/>
      </c>
      <c r="I60" t="str">
        <f>IF('Cost Inputs'!$L64="Y", 1, IF('Cost Inputs'!$M64=2, 1, ""))</f>
        <v/>
      </c>
      <c r="J60" t="str">
        <f>IF('Cost Inputs'!$L64="Y", 1, IF('Cost Inputs'!$M64=3, 1, ""))</f>
        <v/>
      </c>
      <c r="K60" t="str">
        <f>IF('Cost Inputs'!$L64="Y", 1, IF(OR('Cost Inputs'!$M64=4, 'Cost Inputs'!$M64=2), 1, ""))</f>
        <v/>
      </c>
      <c r="L60" t="str">
        <f>IF('Cost Inputs'!$L64="Y", 1, IF('Cost Inputs'!$M64=5, 1, ""))</f>
        <v/>
      </c>
      <c r="M60" t="str">
        <f>IF('Cost Inputs'!$L64="Y", 1, IF(OR('Cost Inputs'!$M64=6, 'Cost Inputs'!$M64=3, 'Cost Inputs'!$M64=2), 1, ""))</f>
        <v/>
      </c>
      <c r="N60" t="str">
        <f>IF('Cost Inputs'!$L64="Y", 1, IF('Cost Inputs'!$M64=7, 1, ""))</f>
        <v/>
      </c>
      <c r="O60" t="str">
        <f>IF('Cost Inputs'!$L64="Y", 1, IF(OR('Cost Inputs'!$M64=8, 'Cost Inputs'!$M64=4, 'Cost Inputs'!$M64=2), 1, ""))</f>
        <v/>
      </c>
      <c r="P60" t="str">
        <f>IF('Cost Inputs'!$L64="Y", 1, IF(OR('Cost Inputs'!$M64=9, 'Cost Inputs'!$M64=3), 1, ""))</f>
        <v/>
      </c>
    </row>
    <row r="61" spans="1:16" x14ac:dyDescent="0.25">
      <c r="A61" s="559"/>
      <c r="B61" s="559"/>
      <c r="C61" s="559"/>
      <c r="D61" s="559"/>
      <c r="E61" s="559"/>
      <c r="F61" s="559"/>
      <c r="G61" t="str">
        <f>IF('Cost Inputs'!L65="Y", 1, IF('Cost Inputs'!$M65&gt;0, 1, ""))</f>
        <v/>
      </c>
      <c r="H61" t="str">
        <f>IF('Cost Inputs'!$L65="Y", 1, IF('Cost Inputs'!$M65=1, 1, ""))</f>
        <v/>
      </c>
      <c r="I61" t="str">
        <f>IF('Cost Inputs'!$L65="Y", 1, IF('Cost Inputs'!$M65=2, 1, ""))</f>
        <v/>
      </c>
      <c r="J61" t="str">
        <f>IF('Cost Inputs'!$L65="Y", 1, IF('Cost Inputs'!$M65=3, 1, ""))</f>
        <v/>
      </c>
      <c r="K61" t="str">
        <f>IF('Cost Inputs'!$L65="Y", 1, IF(OR('Cost Inputs'!$M65=4, 'Cost Inputs'!$M65=2), 1, ""))</f>
        <v/>
      </c>
      <c r="L61" t="str">
        <f>IF('Cost Inputs'!$L65="Y", 1, IF('Cost Inputs'!$M65=5, 1, ""))</f>
        <v/>
      </c>
      <c r="M61" t="str">
        <f>IF('Cost Inputs'!$L65="Y", 1, IF(OR('Cost Inputs'!$M65=6, 'Cost Inputs'!$M65=3, 'Cost Inputs'!$M65=2), 1, ""))</f>
        <v/>
      </c>
      <c r="N61" t="str">
        <f>IF('Cost Inputs'!$L65="Y", 1, IF('Cost Inputs'!$M65=7, 1, ""))</f>
        <v/>
      </c>
      <c r="O61" t="str">
        <f>IF('Cost Inputs'!$L65="Y", 1, IF(OR('Cost Inputs'!$M65=8, 'Cost Inputs'!$M65=4, 'Cost Inputs'!$M65=2), 1, ""))</f>
        <v/>
      </c>
      <c r="P61" t="str">
        <f>IF('Cost Inputs'!$L65="Y", 1, IF(OR('Cost Inputs'!$M65=9, 'Cost Inputs'!$M65=3), 1, ""))</f>
        <v/>
      </c>
    </row>
    <row r="62" spans="1:16" x14ac:dyDescent="0.25">
      <c r="A62" s="559"/>
      <c r="B62" s="559"/>
      <c r="C62" s="559"/>
      <c r="D62" s="559"/>
      <c r="E62" s="559"/>
      <c r="F62" s="559"/>
      <c r="G62" t="str">
        <f>IF('Cost Inputs'!L66="Y", 1, IF('Cost Inputs'!$M66&gt;0, 1, ""))</f>
        <v/>
      </c>
      <c r="H62" t="str">
        <f>IF('Cost Inputs'!$L66="Y", 1, IF('Cost Inputs'!$M66=1, 1, ""))</f>
        <v/>
      </c>
      <c r="I62" t="str">
        <f>IF('Cost Inputs'!$L66="Y", 1, IF('Cost Inputs'!$M66=2, 1, ""))</f>
        <v/>
      </c>
      <c r="J62" t="str">
        <f>IF('Cost Inputs'!$L66="Y", 1, IF('Cost Inputs'!$M66=3, 1, ""))</f>
        <v/>
      </c>
      <c r="K62" t="str">
        <f>IF('Cost Inputs'!$L66="Y", 1, IF(OR('Cost Inputs'!$M66=4, 'Cost Inputs'!$M66=2), 1, ""))</f>
        <v/>
      </c>
      <c r="L62" t="str">
        <f>IF('Cost Inputs'!$L66="Y", 1, IF('Cost Inputs'!$M66=5, 1, ""))</f>
        <v/>
      </c>
      <c r="M62" t="str">
        <f>IF('Cost Inputs'!$L66="Y", 1, IF(OR('Cost Inputs'!$M66=6, 'Cost Inputs'!$M66=3, 'Cost Inputs'!$M66=2), 1, ""))</f>
        <v/>
      </c>
      <c r="N62" t="str">
        <f>IF('Cost Inputs'!$L66="Y", 1, IF('Cost Inputs'!$M66=7, 1, ""))</f>
        <v/>
      </c>
      <c r="O62" t="str">
        <f>IF('Cost Inputs'!$L66="Y", 1, IF(OR('Cost Inputs'!$M66=8, 'Cost Inputs'!$M66=4, 'Cost Inputs'!$M66=2), 1, ""))</f>
        <v/>
      </c>
      <c r="P62" t="str">
        <f>IF('Cost Inputs'!$L66="Y", 1, IF(OR('Cost Inputs'!$M66=9, 'Cost Inputs'!$M66=3), 1, ""))</f>
        <v/>
      </c>
    </row>
    <row r="63" spans="1:16" x14ac:dyDescent="0.25">
      <c r="A63" s="560" t="s">
        <v>118</v>
      </c>
      <c r="B63" s="560"/>
      <c r="C63" s="560"/>
      <c r="D63" s="560"/>
      <c r="E63" s="560"/>
      <c r="F63" s="560"/>
      <c r="G63" t="str">
        <f>IF('Cost Inputs'!L67="Y", 1, IF('Cost Inputs'!$M67&gt;0, 1, ""))</f>
        <v/>
      </c>
      <c r="H63" t="str">
        <f>IF('Cost Inputs'!$L67="Y", 1, IF('Cost Inputs'!$M67=1, 1, ""))</f>
        <v/>
      </c>
      <c r="I63" t="str">
        <f>IF('Cost Inputs'!$L67="Y", 1, IF('Cost Inputs'!$M67=2, 1, ""))</f>
        <v/>
      </c>
      <c r="J63" t="str">
        <f>IF('Cost Inputs'!$L67="Y", 1, IF('Cost Inputs'!$M67=3, 1, ""))</f>
        <v/>
      </c>
      <c r="K63" t="str">
        <f>IF('Cost Inputs'!$L67="Y", 1, IF(OR('Cost Inputs'!$M67=4, 'Cost Inputs'!$M67=2), 1, ""))</f>
        <v/>
      </c>
      <c r="L63" t="str">
        <f>IF('Cost Inputs'!$L67="Y", 1, IF('Cost Inputs'!$M67=5, 1, ""))</f>
        <v/>
      </c>
      <c r="M63" t="str">
        <f>IF('Cost Inputs'!$L67="Y", 1, IF(OR('Cost Inputs'!$M67=6, 'Cost Inputs'!$M67=3, 'Cost Inputs'!$M67=2), 1, ""))</f>
        <v/>
      </c>
      <c r="N63" t="str">
        <f>IF('Cost Inputs'!$L67="Y", 1, IF('Cost Inputs'!$M67=7, 1, ""))</f>
        <v/>
      </c>
      <c r="O63" t="str">
        <f>IF('Cost Inputs'!$L67="Y", 1, IF(OR('Cost Inputs'!$M67=8, 'Cost Inputs'!$M67=4, 'Cost Inputs'!$M67=2), 1, ""))</f>
        <v/>
      </c>
      <c r="P63" t="str">
        <f>IF('Cost Inputs'!$L67="Y", 1, IF(OR('Cost Inputs'!$M67=9, 'Cost Inputs'!$M67=3), 1, ""))</f>
        <v/>
      </c>
    </row>
    <row r="64" spans="1:16" x14ac:dyDescent="0.25">
      <c r="A64" s="551" t="s">
        <v>37</v>
      </c>
      <c r="B64" s="551"/>
      <c r="C64" s="551"/>
      <c r="D64" s="551"/>
      <c r="E64" s="551"/>
      <c r="F64" s="551"/>
      <c r="G64" t="str">
        <f>IF('Cost Inputs'!L68="Y", 1, IF('Cost Inputs'!$M68&gt;0, 1, ""))</f>
        <v/>
      </c>
      <c r="H64" t="str">
        <f>IF('Cost Inputs'!$L68="Y", 1, IF('Cost Inputs'!$M68=1, 1, ""))</f>
        <v/>
      </c>
      <c r="I64" t="str">
        <f>IF('Cost Inputs'!$L68="Y", 1, IF('Cost Inputs'!$M68=2, 1, ""))</f>
        <v/>
      </c>
      <c r="J64" t="str">
        <f>IF('Cost Inputs'!$L68="Y", 1, IF('Cost Inputs'!$M68=3, 1, ""))</f>
        <v/>
      </c>
      <c r="K64" t="str">
        <f>IF('Cost Inputs'!$L68="Y", 1, IF(OR('Cost Inputs'!$M68=4, 'Cost Inputs'!$M68=2), 1, ""))</f>
        <v/>
      </c>
      <c r="L64" t="str">
        <f>IF('Cost Inputs'!$L68="Y", 1, IF('Cost Inputs'!$M68=5, 1, ""))</f>
        <v/>
      </c>
      <c r="M64" t="str">
        <f>IF('Cost Inputs'!$L68="Y", 1, IF(OR('Cost Inputs'!$M68=6, 'Cost Inputs'!$M68=3, 'Cost Inputs'!$M68=2), 1, ""))</f>
        <v/>
      </c>
      <c r="N64" t="str">
        <f>IF('Cost Inputs'!$L68="Y", 1, IF('Cost Inputs'!$M68=7, 1, ""))</f>
        <v/>
      </c>
      <c r="O64" t="str">
        <f>IF('Cost Inputs'!$L68="Y", 1, IF(OR('Cost Inputs'!$M68=8, 'Cost Inputs'!$M68=4, 'Cost Inputs'!$M68=2), 1, ""))</f>
        <v/>
      </c>
      <c r="P64" t="str">
        <f>IF('Cost Inputs'!$L68="Y", 1, IF(OR('Cost Inputs'!$M68=9, 'Cost Inputs'!$M68=3), 1, ""))</f>
        <v/>
      </c>
    </row>
    <row r="65" spans="1:16" x14ac:dyDescent="0.25">
      <c r="A65" s="551" t="s">
        <v>38</v>
      </c>
      <c r="B65" s="551"/>
      <c r="C65" s="551"/>
      <c r="D65" s="551"/>
      <c r="E65" s="551"/>
      <c r="F65" s="551"/>
      <c r="G65" t="str">
        <f>IF('Cost Inputs'!L69="Y", 1, IF('Cost Inputs'!$M69&gt;0, 1, ""))</f>
        <v/>
      </c>
      <c r="H65" t="str">
        <f>IF('Cost Inputs'!$L69="Y", 1, IF('Cost Inputs'!$M69=1, 1, ""))</f>
        <v/>
      </c>
      <c r="I65" t="str">
        <f>IF('Cost Inputs'!$L69="Y", 1, IF('Cost Inputs'!$M69=2, 1, ""))</f>
        <v/>
      </c>
      <c r="J65" t="str">
        <f>IF('Cost Inputs'!$L69="Y", 1, IF('Cost Inputs'!$M69=3, 1, ""))</f>
        <v/>
      </c>
      <c r="K65" t="str">
        <f>IF('Cost Inputs'!$L69="Y", 1, IF(OR('Cost Inputs'!$M69=4, 'Cost Inputs'!$M69=2), 1, ""))</f>
        <v/>
      </c>
      <c r="L65" t="str">
        <f>IF('Cost Inputs'!$L69="Y", 1, IF('Cost Inputs'!$M69=5, 1, ""))</f>
        <v/>
      </c>
      <c r="M65" t="str">
        <f>IF('Cost Inputs'!$L69="Y", 1, IF(OR('Cost Inputs'!$M69=6, 'Cost Inputs'!$M69=3, 'Cost Inputs'!$M69=2), 1, ""))</f>
        <v/>
      </c>
      <c r="N65" t="str">
        <f>IF('Cost Inputs'!$L69="Y", 1, IF('Cost Inputs'!$M69=7, 1, ""))</f>
        <v/>
      </c>
      <c r="O65" t="str">
        <f>IF('Cost Inputs'!$L69="Y", 1, IF(OR('Cost Inputs'!$M69=8, 'Cost Inputs'!$M69=4, 'Cost Inputs'!$M69=2), 1, ""))</f>
        <v/>
      </c>
      <c r="P65" t="str">
        <f>IF('Cost Inputs'!$L69="Y", 1, IF(OR('Cost Inputs'!$M69=9, 'Cost Inputs'!$M69=3), 1, ""))</f>
        <v/>
      </c>
    </row>
    <row r="66" spans="1:16" x14ac:dyDescent="0.25">
      <c r="A66" s="559"/>
      <c r="B66" s="559"/>
      <c r="C66" s="559"/>
      <c r="D66" s="559"/>
      <c r="E66" s="559"/>
      <c r="F66" s="559"/>
      <c r="G66" t="str">
        <f>IF('Cost Inputs'!L70="Y", 1, IF('Cost Inputs'!$M70&gt;0, 1, ""))</f>
        <v/>
      </c>
      <c r="H66" t="str">
        <f>IF('Cost Inputs'!$L70="Y", 1, IF('Cost Inputs'!$M70=1, 1, ""))</f>
        <v/>
      </c>
      <c r="I66" t="str">
        <f>IF('Cost Inputs'!$L70="Y", 1, IF('Cost Inputs'!$M70=2, 1, ""))</f>
        <v/>
      </c>
      <c r="J66" t="str">
        <f>IF('Cost Inputs'!$L70="Y", 1, IF('Cost Inputs'!$M70=3, 1, ""))</f>
        <v/>
      </c>
      <c r="K66" t="str">
        <f>IF('Cost Inputs'!$L70="Y", 1, IF(OR('Cost Inputs'!$M70=4, 'Cost Inputs'!$M70=2), 1, ""))</f>
        <v/>
      </c>
      <c r="L66" t="str">
        <f>IF('Cost Inputs'!$L70="Y", 1, IF('Cost Inputs'!$M70=5, 1, ""))</f>
        <v/>
      </c>
      <c r="M66" t="str">
        <f>IF('Cost Inputs'!$L70="Y", 1, IF(OR('Cost Inputs'!$M70=6, 'Cost Inputs'!$M70=3, 'Cost Inputs'!$M70=2), 1, ""))</f>
        <v/>
      </c>
      <c r="N66" t="str">
        <f>IF('Cost Inputs'!$L70="Y", 1, IF('Cost Inputs'!$M70=7, 1, ""))</f>
        <v/>
      </c>
      <c r="O66" t="str">
        <f>IF('Cost Inputs'!$L70="Y", 1, IF(OR('Cost Inputs'!$M70=8, 'Cost Inputs'!$M70=4, 'Cost Inputs'!$M70=2), 1, ""))</f>
        <v/>
      </c>
      <c r="P66" t="str">
        <f>IF('Cost Inputs'!$L70="Y", 1, IF(OR('Cost Inputs'!$M70=9, 'Cost Inputs'!$M70=3), 1, ""))</f>
        <v/>
      </c>
    </row>
    <row r="67" spans="1:16" x14ac:dyDescent="0.25">
      <c r="A67" s="556"/>
      <c r="B67" s="557"/>
      <c r="C67" s="557"/>
      <c r="D67" s="557"/>
      <c r="E67" s="557"/>
      <c r="F67" s="558"/>
      <c r="G67" t="str">
        <f>IF('Cost Inputs'!L71="Y", 1, IF('Cost Inputs'!$M71&gt;0, 1, ""))</f>
        <v/>
      </c>
      <c r="H67" t="str">
        <f>IF('Cost Inputs'!$L71="Y", 1, IF('Cost Inputs'!$M71=1, 1, ""))</f>
        <v/>
      </c>
      <c r="I67" t="str">
        <f>IF('Cost Inputs'!$L71="Y", 1, IF('Cost Inputs'!$M71=2, 1, ""))</f>
        <v/>
      </c>
      <c r="J67" t="str">
        <f>IF('Cost Inputs'!$L71="Y", 1, IF('Cost Inputs'!$M71=3, 1, ""))</f>
        <v/>
      </c>
      <c r="K67" t="str">
        <f>IF('Cost Inputs'!$L71="Y", 1, IF(OR('Cost Inputs'!$M71=4, 'Cost Inputs'!$M71=2), 1, ""))</f>
        <v/>
      </c>
      <c r="L67" t="str">
        <f>IF('Cost Inputs'!$L71="Y", 1, IF('Cost Inputs'!$M71=5, 1, ""))</f>
        <v/>
      </c>
      <c r="M67" t="str">
        <f>IF('Cost Inputs'!$L71="Y", 1, IF(OR('Cost Inputs'!$M71=6, 'Cost Inputs'!$M71=3, 'Cost Inputs'!$M71=2), 1, ""))</f>
        <v/>
      </c>
      <c r="N67" t="str">
        <f>IF('Cost Inputs'!$L71="Y", 1, IF('Cost Inputs'!$M71=7, 1, ""))</f>
        <v/>
      </c>
      <c r="O67" t="str">
        <f>IF('Cost Inputs'!$L71="Y", 1, IF(OR('Cost Inputs'!$M71=8, 'Cost Inputs'!$M71=4, 'Cost Inputs'!$M71=2), 1, ""))</f>
        <v/>
      </c>
      <c r="P67" t="str">
        <f>IF('Cost Inputs'!$L71="Y", 1, IF(OR('Cost Inputs'!$M71=9, 'Cost Inputs'!$M71=3), 1, ""))</f>
        <v/>
      </c>
    </row>
    <row r="68" spans="1:16" x14ac:dyDescent="0.25">
      <c r="A68" s="560" t="s">
        <v>119</v>
      </c>
      <c r="B68" s="560"/>
      <c r="C68" s="560"/>
      <c r="D68" s="560"/>
      <c r="E68" s="560"/>
      <c r="F68" s="560"/>
      <c r="G68" t="str">
        <f>IF('Cost Inputs'!L72="Y", 1, IF('Cost Inputs'!$M72&gt;0, 1, ""))</f>
        <v/>
      </c>
      <c r="H68" t="str">
        <f>IF('Cost Inputs'!$L72="Y", 1, IF('Cost Inputs'!$M72=1, 1, ""))</f>
        <v/>
      </c>
      <c r="I68" t="str">
        <f>IF('Cost Inputs'!$L72="Y", 1, IF('Cost Inputs'!$M72=2, 1, ""))</f>
        <v/>
      </c>
      <c r="J68" t="str">
        <f>IF('Cost Inputs'!$L72="Y", 1, IF('Cost Inputs'!$M72=3, 1, ""))</f>
        <v/>
      </c>
      <c r="K68" t="str">
        <f>IF('Cost Inputs'!$L72="Y", 1, IF(OR('Cost Inputs'!$M72=4, 'Cost Inputs'!$M72=2), 1, ""))</f>
        <v/>
      </c>
      <c r="L68" t="str">
        <f>IF('Cost Inputs'!$L72="Y", 1, IF('Cost Inputs'!$M72=5, 1, ""))</f>
        <v/>
      </c>
      <c r="M68" t="str">
        <f>IF('Cost Inputs'!$L72="Y", 1, IF(OR('Cost Inputs'!$M72=6, 'Cost Inputs'!$M72=3, 'Cost Inputs'!$M72=2), 1, ""))</f>
        <v/>
      </c>
      <c r="N68" t="str">
        <f>IF('Cost Inputs'!$L72="Y", 1, IF('Cost Inputs'!$M72=7, 1, ""))</f>
        <v/>
      </c>
      <c r="O68" t="str">
        <f>IF('Cost Inputs'!$L72="Y", 1, IF(OR('Cost Inputs'!$M72=8, 'Cost Inputs'!$M72=4, 'Cost Inputs'!$M72=2), 1, ""))</f>
        <v/>
      </c>
      <c r="P68" t="str">
        <f>IF('Cost Inputs'!$L72="Y", 1, IF(OR('Cost Inputs'!$M72=9, 'Cost Inputs'!$M72=3), 1, ""))</f>
        <v/>
      </c>
    </row>
    <row r="69" spans="1:16" x14ac:dyDescent="0.25">
      <c r="A69" s="559"/>
      <c r="B69" s="559"/>
      <c r="C69" s="559"/>
      <c r="D69" s="559"/>
      <c r="E69" s="559"/>
      <c r="F69" s="559"/>
      <c r="G69" t="str">
        <f>IF('Cost Inputs'!L73="Y", 1, IF('Cost Inputs'!$M73&gt;0, 1, ""))</f>
        <v/>
      </c>
      <c r="H69" t="str">
        <f>IF('Cost Inputs'!$L73="Y", 1, IF('Cost Inputs'!$M73=1, 1, ""))</f>
        <v/>
      </c>
      <c r="I69" t="str">
        <f>IF('Cost Inputs'!$L73="Y", 1, IF('Cost Inputs'!$M73=2, 1, ""))</f>
        <v/>
      </c>
      <c r="J69" t="str">
        <f>IF('Cost Inputs'!$L73="Y", 1, IF('Cost Inputs'!$M73=3, 1, ""))</f>
        <v/>
      </c>
      <c r="K69" t="str">
        <f>IF('Cost Inputs'!$L73="Y", 1, IF(OR('Cost Inputs'!$M73=4, 'Cost Inputs'!$M73=2), 1, ""))</f>
        <v/>
      </c>
      <c r="L69" t="str">
        <f>IF('Cost Inputs'!$L73="Y", 1, IF('Cost Inputs'!$M73=5, 1, ""))</f>
        <v/>
      </c>
      <c r="M69" t="str">
        <f>IF('Cost Inputs'!$L73="Y", 1, IF(OR('Cost Inputs'!$M73=6, 'Cost Inputs'!$M73=3, 'Cost Inputs'!$M73=2), 1, ""))</f>
        <v/>
      </c>
      <c r="N69" t="str">
        <f>IF('Cost Inputs'!$L73="Y", 1, IF('Cost Inputs'!$M73=7, 1, ""))</f>
        <v/>
      </c>
      <c r="O69" t="str">
        <f>IF('Cost Inputs'!$L73="Y", 1, IF(OR('Cost Inputs'!$M73=8, 'Cost Inputs'!$M73=4, 'Cost Inputs'!$M73=2), 1, ""))</f>
        <v/>
      </c>
      <c r="P69" t="str">
        <f>IF('Cost Inputs'!$L73="Y", 1, IF(OR('Cost Inputs'!$M73=9, 'Cost Inputs'!$M73=3), 1, ""))</f>
        <v/>
      </c>
    </row>
    <row r="70" spans="1:16" x14ac:dyDescent="0.25">
      <c r="A70" s="556"/>
      <c r="B70" s="557"/>
      <c r="C70" s="557"/>
      <c r="D70" s="557"/>
      <c r="E70" s="557"/>
      <c r="F70" s="558"/>
      <c r="G70" t="str">
        <f>IF('Cost Inputs'!L74="Y", 1, IF('Cost Inputs'!$M74&gt;0, 1, ""))</f>
        <v/>
      </c>
      <c r="H70" t="str">
        <f>IF('Cost Inputs'!$L74="Y", 1, IF('Cost Inputs'!$M74=1, 1, ""))</f>
        <v/>
      </c>
      <c r="I70" t="str">
        <f>IF('Cost Inputs'!$L74="Y", 1, IF('Cost Inputs'!$M74=2, 1, ""))</f>
        <v/>
      </c>
      <c r="J70" t="str">
        <f>IF('Cost Inputs'!$L74="Y", 1, IF('Cost Inputs'!$M74=3, 1, ""))</f>
        <v/>
      </c>
      <c r="K70" t="str">
        <f>IF('Cost Inputs'!$L74="Y", 1, IF(OR('Cost Inputs'!$M74=4, 'Cost Inputs'!$M74=2), 1, ""))</f>
        <v/>
      </c>
      <c r="L70" t="str">
        <f>IF('Cost Inputs'!$L74="Y", 1, IF('Cost Inputs'!$M74=5, 1, ""))</f>
        <v/>
      </c>
      <c r="M70" t="str">
        <f>IF('Cost Inputs'!$L74="Y", 1, IF(OR('Cost Inputs'!$M74=6, 'Cost Inputs'!$M74=3, 'Cost Inputs'!$M74=2), 1, ""))</f>
        <v/>
      </c>
      <c r="N70" t="str">
        <f>IF('Cost Inputs'!$L74="Y", 1, IF('Cost Inputs'!$M74=7, 1, ""))</f>
        <v/>
      </c>
      <c r="O70" t="str">
        <f>IF('Cost Inputs'!$L74="Y", 1, IF(OR('Cost Inputs'!$M74=8, 'Cost Inputs'!$M74=4, 'Cost Inputs'!$M74=2), 1, ""))</f>
        <v/>
      </c>
      <c r="P70" t="str">
        <f>IF('Cost Inputs'!$L74="Y", 1, IF(OR('Cost Inputs'!$M74=9, 'Cost Inputs'!$M74=3), 1, ""))</f>
        <v/>
      </c>
    </row>
    <row r="71" spans="1:16" x14ac:dyDescent="0.25">
      <c r="A71" s="560" t="s">
        <v>129</v>
      </c>
      <c r="B71" s="560"/>
      <c r="C71" s="560"/>
      <c r="D71" s="560"/>
      <c r="E71" s="560"/>
      <c r="F71" s="560"/>
      <c r="G71" t="str">
        <f>IF('Cost Inputs'!L77="Y", 1, IF('Cost Inputs'!$M77&gt;0, 1, ""))</f>
        <v/>
      </c>
      <c r="H71" t="str">
        <f>IF('Cost Inputs'!$L77="Y", 1, IF('Cost Inputs'!$M77=1, 1, ""))</f>
        <v/>
      </c>
      <c r="I71" t="str">
        <f>IF('Cost Inputs'!$L77="Y", 1, IF('Cost Inputs'!$M77=2, 1, ""))</f>
        <v/>
      </c>
      <c r="J71" t="str">
        <f>IF('Cost Inputs'!$L77="Y", 1, IF('Cost Inputs'!$M77=3, 1, ""))</f>
        <v/>
      </c>
      <c r="K71" t="str">
        <f>IF('Cost Inputs'!$L77="Y", 1, IF(OR('Cost Inputs'!$M77=4, 'Cost Inputs'!$M77=2), 1, ""))</f>
        <v/>
      </c>
      <c r="L71" t="str">
        <f>IF('Cost Inputs'!$L77="Y", 1, IF('Cost Inputs'!$M77=5, 1, ""))</f>
        <v/>
      </c>
      <c r="M71" t="str">
        <f>IF('Cost Inputs'!$L77="Y", 1, IF(OR('Cost Inputs'!$M77=6, 'Cost Inputs'!$M77=3, 'Cost Inputs'!$M77=2), 1, ""))</f>
        <v/>
      </c>
      <c r="N71" t="str">
        <f>IF('Cost Inputs'!$L77="Y", 1, IF('Cost Inputs'!$M77=7, 1, ""))</f>
        <v/>
      </c>
      <c r="O71" t="str">
        <f>IF('Cost Inputs'!$L77="Y", 1, IF(OR('Cost Inputs'!$M77=8, 'Cost Inputs'!$M77=4, 'Cost Inputs'!$M77=2), 1, ""))</f>
        <v/>
      </c>
      <c r="P71" t="str">
        <f>IF('Cost Inputs'!$L77="Y", 1, IF(OR('Cost Inputs'!$M77=9, 'Cost Inputs'!$M77=3), 1, ""))</f>
        <v/>
      </c>
    </row>
    <row r="72" spans="1:16" x14ac:dyDescent="0.25">
      <c r="A72" s="555" t="s">
        <v>78</v>
      </c>
      <c r="B72" s="555"/>
      <c r="C72" s="555"/>
      <c r="D72" s="555"/>
      <c r="E72" s="555"/>
      <c r="F72" s="555"/>
      <c r="G72" t="str">
        <f>IF('Cost Inputs'!L78="Y", 1, IF('Cost Inputs'!$M78&gt;0, 1, ""))</f>
        <v/>
      </c>
      <c r="H72" t="str">
        <f>IF('Cost Inputs'!$L78="Y", 1, IF('Cost Inputs'!$M78=1, 1, ""))</f>
        <v/>
      </c>
      <c r="I72" t="str">
        <f>IF('Cost Inputs'!$L78="Y", 1, IF('Cost Inputs'!$M78=2, 1, ""))</f>
        <v/>
      </c>
      <c r="J72" t="str">
        <f>IF('Cost Inputs'!$L78="Y", 1, IF('Cost Inputs'!$M78=3, 1, ""))</f>
        <v/>
      </c>
      <c r="K72" t="str">
        <f>IF('Cost Inputs'!$L78="Y", 1, IF(OR('Cost Inputs'!$M78=4, 'Cost Inputs'!$M78=2), 1, ""))</f>
        <v/>
      </c>
      <c r="L72" t="str">
        <f>IF('Cost Inputs'!$L78="Y", 1, IF('Cost Inputs'!$M78=5, 1, ""))</f>
        <v/>
      </c>
      <c r="M72" t="str">
        <f>IF('Cost Inputs'!$L78="Y", 1, IF(OR('Cost Inputs'!$M78=6, 'Cost Inputs'!$M78=3, 'Cost Inputs'!$M78=2), 1, ""))</f>
        <v/>
      </c>
      <c r="N72" t="str">
        <f>IF('Cost Inputs'!$L78="Y", 1, IF('Cost Inputs'!$M78=7, 1, ""))</f>
        <v/>
      </c>
      <c r="O72" t="str">
        <f>IF('Cost Inputs'!$L78="Y", 1, IF(OR('Cost Inputs'!$M78=8, 'Cost Inputs'!$M78=4, 'Cost Inputs'!$M78=2), 1, ""))</f>
        <v/>
      </c>
      <c r="P72" t="str">
        <f>IF('Cost Inputs'!$L78="Y", 1, IF(OR('Cost Inputs'!$M78=9, 'Cost Inputs'!$M78=3), 1, ""))</f>
        <v/>
      </c>
    </row>
    <row r="73" spans="1:16" x14ac:dyDescent="0.25">
      <c r="A73" s="555" t="s">
        <v>79</v>
      </c>
      <c r="B73" s="555"/>
      <c r="C73" s="555"/>
      <c r="D73" s="555"/>
      <c r="E73" s="555"/>
      <c r="F73" s="555"/>
      <c r="G73" t="str">
        <f>IF('Cost Inputs'!L79="Y", 1, IF('Cost Inputs'!$M79&gt;0, 1, ""))</f>
        <v/>
      </c>
      <c r="H73" t="str">
        <f>IF('Cost Inputs'!$L79="Y", 1, IF('Cost Inputs'!$M79=1, 1, ""))</f>
        <v/>
      </c>
      <c r="I73" t="str">
        <f>IF('Cost Inputs'!$L79="Y", 1, IF('Cost Inputs'!$M79=2, 1, ""))</f>
        <v/>
      </c>
      <c r="J73" t="str">
        <f>IF('Cost Inputs'!$L79="Y", 1, IF('Cost Inputs'!$M79=3, 1, ""))</f>
        <v/>
      </c>
      <c r="K73" t="str">
        <f>IF('Cost Inputs'!$L79="Y", 1, IF(OR('Cost Inputs'!$M79=4, 'Cost Inputs'!$M79=2), 1, ""))</f>
        <v/>
      </c>
      <c r="L73" t="str">
        <f>IF('Cost Inputs'!$L79="Y", 1, IF('Cost Inputs'!$M79=5, 1, ""))</f>
        <v/>
      </c>
      <c r="M73" t="str">
        <f>IF('Cost Inputs'!$L79="Y", 1, IF(OR('Cost Inputs'!$M79=6, 'Cost Inputs'!$M79=3, 'Cost Inputs'!$M79=2), 1, ""))</f>
        <v/>
      </c>
      <c r="N73" t="str">
        <f>IF('Cost Inputs'!$L79="Y", 1, IF('Cost Inputs'!$M79=7, 1, ""))</f>
        <v/>
      </c>
      <c r="O73" t="str">
        <f>IF('Cost Inputs'!$L79="Y", 1, IF(OR('Cost Inputs'!$M79=8, 'Cost Inputs'!$M79=4, 'Cost Inputs'!$M79=2), 1, ""))</f>
        <v/>
      </c>
      <c r="P73" t="str">
        <f>IF('Cost Inputs'!$L79="Y", 1, IF(OR('Cost Inputs'!$M79=9, 'Cost Inputs'!$M79=3), 1, ""))</f>
        <v/>
      </c>
    </row>
    <row r="74" spans="1:16" x14ac:dyDescent="0.25">
      <c r="A74" s="555" t="s">
        <v>80</v>
      </c>
      <c r="B74" s="555"/>
      <c r="C74" s="555"/>
      <c r="D74" s="555"/>
      <c r="E74" s="555"/>
      <c r="F74" s="555"/>
      <c r="G74" t="str">
        <f>IF('Cost Inputs'!L80="Y", 1, IF('Cost Inputs'!$M80&gt;0, 1, ""))</f>
        <v/>
      </c>
      <c r="H74" t="str">
        <f>IF('Cost Inputs'!$L80="Y", 1, IF('Cost Inputs'!$M80=1, 1, ""))</f>
        <v/>
      </c>
      <c r="I74" t="str">
        <f>IF('Cost Inputs'!$L80="Y", 1, IF('Cost Inputs'!$M80=2, 1, ""))</f>
        <v/>
      </c>
      <c r="J74" t="str">
        <f>IF('Cost Inputs'!$L80="Y", 1, IF('Cost Inputs'!$M80=3, 1, ""))</f>
        <v/>
      </c>
      <c r="K74" t="str">
        <f>IF('Cost Inputs'!$L80="Y", 1, IF(OR('Cost Inputs'!$M80=4, 'Cost Inputs'!$M80=2), 1, ""))</f>
        <v/>
      </c>
      <c r="L74" t="str">
        <f>IF('Cost Inputs'!$L80="Y", 1, IF('Cost Inputs'!$M80=5, 1, ""))</f>
        <v/>
      </c>
      <c r="M74" t="str">
        <f>IF('Cost Inputs'!$L80="Y", 1, IF(OR('Cost Inputs'!$M80=6, 'Cost Inputs'!$M80=3, 'Cost Inputs'!$M80=2), 1, ""))</f>
        <v/>
      </c>
      <c r="N74" t="str">
        <f>IF('Cost Inputs'!$L80="Y", 1, IF('Cost Inputs'!$M80=7, 1, ""))</f>
        <v/>
      </c>
      <c r="O74" t="str">
        <f>IF('Cost Inputs'!$L80="Y", 1, IF(OR('Cost Inputs'!$M80=8, 'Cost Inputs'!$M80=4, 'Cost Inputs'!$M80=2), 1, ""))</f>
        <v/>
      </c>
      <c r="P74" t="str">
        <f>IF('Cost Inputs'!$L80="Y", 1, IF(OR('Cost Inputs'!$M80=9, 'Cost Inputs'!$M80=3), 1, ""))</f>
        <v/>
      </c>
    </row>
    <row r="75" spans="1:16" x14ac:dyDescent="0.25">
      <c r="A75" s="555" t="s">
        <v>81</v>
      </c>
      <c r="B75" s="555"/>
      <c r="C75" s="555"/>
      <c r="D75" s="555"/>
      <c r="E75" s="555"/>
      <c r="F75" s="555"/>
      <c r="G75" t="str">
        <f>IF('Cost Inputs'!L81="Y", 1, IF('Cost Inputs'!$M81&gt;0, 1, ""))</f>
        <v/>
      </c>
      <c r="H75" t="str">
        <f>IF('Cost Inputs'!$L81="Y", 1, IF('Cost Inputs'!$M81=1, 1, ""))</f>
        <v/>
      </c>
      <c r="I75" t="str">
        <f>IF('Cost Inputs'!$L81="Y", 1, IF('Cost Inputs'!$M81=2, 1, ""))</f>
        <v/>
      </c>
      <c r="J75" t="str">
        <f>IF('Cost Inputs'!$L81="Y", 1, IF('Cost Inputs'!$M81=3, 1, ""))</f>
        <v/>
      </c>
      <c r="K75" t="str">
        <f>IF('Cost Inputs'!$L81="Y", 1, IF(OR('Cost Inputs'!$M81=4, 'Cost Inputs'!$M81=2), 1, ""))</f>
        <v/>
      </c>
      <c r="L75" t="str">
        <f>IF('Cost Inputs'!$L81="Y", 1, IF('Cost Inputs'!$M81=5, 1, ""))</f>
        <v/>
      </c>
      <c r="M75" t="str">
        <f>IF('Cost Inputs'!$L81="Y", 1, IF(OR('Cost Inputs'!$M81=6, 'Cost Inputs'!$M81=3, 'Cost Inputs'!$M81=2), 1, ""))</f>
        <v/>
      </c>
      <c r="N75" t="str">
        <f>IF('Cost Inputs'!$L81="Y", 1, IF('Cost Inputs'!$M81=7, 1, ""))</f>
        <v/>
      </c>
      <c r="O75" t="str">
        <f>IF('Cost Inputs'!$L81="Y", 1, IF(OR('Cost Inputs'!$M81=8, 'Cost Inputs'!$M81=4, 'Cost Inputs'!$M81=2), 1, ""))</f>
        <v/>
      </c>
      <c r="P75" t="str">
        <f>IF('Cost Inputs'!$L81="Y", 1, IF(OR('Cost Inputs'!$M81=9, 'Cost Inputs'!$M81=3), 1, ""))</f>
        <v/>
      </c>
    </row>
    <row r="76" spans="1:16" x14ac:dyDescent="0.25">
      <c r="A76" s="556"/>
      <c r="B76" s="557"/>
      <c r="C76" s="557"/>
      <c r="D76" s="557"/>
      <c r="E76" s="557"/>
      <c r="F76" s="558"/>
      <c r="G76" t="str">
        <f>IF('Cost Inputs'!L82="Y", 1, IF('Cost Inputs'!$M82&gt;0, 1, ""))</f>
        <v/>
      </c>
      <c r="H76" t="str">
        <f>IF('Cost Inputs'!$L82="Y", 1, IF('Cost Inputs'!$M82=1, 1, ""))</f>
        <v/>
      </c>
      <c r="I76" t="str">
        <f>IF('Cost Inputs'!$L82="Y", 1, IF('Cost Inputs'!$M82=2, 1, ""))</f>
        <v/>
      </c>
      <c r="J76" t="str">
        <f>IF('Cost Inputs'!$L82="Y", 1, IF('Cost Inputs'!$M82=3, 1, ""))</f>
        <v/>
      </c>
      <c r="K76" t="str">
        <f>IF('Cost Inputs'!$L82="Y", 1, IF(OR('Cost Inputs'!$M82=4, 'Cost Inputs'!$M82=2), 1, ""))</f>
        <v/>
      </c>
      <c r="L76" t="str">
        <f>IF('Cost Inputs'!$L82="Y", 1, IF('Cost Inputs'!$M82=5, 1, ""))</f>
        <v/>
      </c>
      <c r="M76" t="str">
        <f>IF('Cost Inputs'!$L82="Y", 1, IF(OR('Cost Inputs'!$M82=6, 'Cost Inputs'!$M82=3, 'Cost Inputs'!$M82=2), 1, ""))</f>
        <v/>
      </c>
      <c r="N76" t="str">
        <f>IF('Cost Inputs'!$L82="Y", 1, IF('Cost Inputs'!$M82=7, 1, ""))</f>
        <v/>
      </c>
      <c r="O76" t="str">
        <f>IF('Cost Inputs'!$L82="Y", 1, IF(OR('Cost Inputs'!$M82=8, 'Cost Inputs'!$M82=4, 'Cost Inputs'!$M82=2), 1, ""))</f>
        <v/>
      </c>
      <c r="P76" t="str">
        <f>IF('Cost Inputs'!$L82="Y", 1, IF(OR('Cost Inputs'!$M82=9, 'Cost Inputs'!$M82=3), 1, ""))</f>
        <v/>
      </c>
    </row>
    <row r="77" spans="1:16" x14ac:dyDescent="0.25">
      <c r="A77" s="556"/>
      <c r="B77" s="557"/>
      <c r="C77" s="557"/>
      <c r="D77" s="557"/>
      <c r="E77" s="557"/>
      <c r="F77" s="558"/>
      <c r="G77" t="str">
        <f>IF('Cost Inputs'!L83="Y", 1, IF('Cost Inputs'!$M83&gt;0, 1, ""))</f>
        <v/>
      </c>
      <c r="H77" t="str">
        <f>IF('Cost Inputs'!$L83="Y", 1, IF('Cost Inputs'!$M83=1, 1, ""))</f>
        <v/>
      </c>
      <c r="I77" t="str">
        <f>IF('Cost Inputs'!$L83="Y", 1, IF('Cost Inputs'!$M83=2, 1, ""))</f>
        <v/>
      </c>
      <c r="J77" t="str">
        <f>IF('Cost Inputs'!$L83="Y", 1, IF('Cost Inputs'!$M83=3, 1, ""))</f>
        <v/>
      </c>
      <c r="K77" t="str">
        <f>IF('Cost Inputs'!$L83="Y", 1, IF(OR('Cost Inputs'!$M83=4, 'Cost Inputs'!$M83=2), 1, ""))</f>
        <v/>
      </c>
      <c r="L77" t="str">
        <f>IF('Cost Inputs'!$L83="Y", 1, IF('Cost Inputs'!$M83=5, 1, ""))</f>
        <v/>
      </c>
      <c r="M77" t="str">
        <f>IF('Cost Inputs'!$L83="Y", 1, IF(OR('Cost Inputs'!$M83=6, 'Cost Inputs'!$M83=3, 'Cost Inputs'!$M83=2), 1, ""))</f>
        <v/>
      </c>
      <c r="N77" t="str">
        <f>IF('Cost Inputs'!$L83="Y", 1, IF('Cost Inputs'!$M83=7, 1, ""))</f>
        <v/>
      </c>
      <c r="O77" t="str">
        <f>IF('Cost Inputs'!$L83="Y", 1, IF(OR('Cost Inputs'!$M83=8, 'Cost Inputs'!$M83=4, 'Cost Inputs'!$M83=2), 1, ""))</f>
        <v/>
      </c>
      <c r="P77" t="str">
        <f>IF('Cost Inputs'!$L83="Y", 1, IF(OR('Cost Inputs'!$M83=9, 'Cost Inputs'!$M83=3), 1, ""))</f>
        <v/>
      </c>
    </row>
    <row r="78" spans="1:16" x14ac:dyDescent="0.25">
      <c r="A78" s="560" t="s">
        <v>73</v>
      </c>
      <c r="B78" s="560"/>
      <c r="C78" s="560"/>
      <c r="D78" s="560"/>
      <c r="E78" s="560"/>
      <c r="F78" s="560"/>
      <c r="G78" t="str">
        <f>IF('Cost Inputs'!L84="Y", 1, IF('Cost Inputs'!$M84&gt;0, 1, ""))</f>
        <v/>
      </c>
      <c r="H78" t="str">
        <f>IF('Cost Inputs'!$L84="Y", 1, IF('Cost Inputs'!$M84=1, 1, ""))</f>
        <v/>
      </c>
      <c r="I78" t="str">
        <f>IF('Cost Inputs'!$L84="Y", 1, IF('Cost Inputs'!$M84=2, 1, ""))</f>
        <v/>
      </c>
      <c r="J78" t="str">
        <f>IF('Cost Inputs'!$L84="Y", 1, IF('Cost Inputs'!$M84=3, 1, ""))</f>
        <v/>
      </c>
      <c r="K78" t="str">
        <f>IF('Cost Inputs'!$L84="Y", 1, IF(OR('Cost Inputs'!$M84=4, 'Cost Inputs'!$M84=2), 1, ""))</f>
        <v/>
      </c>
      <c r="L78" t="str">
        <f>IF('Cost Inputs'!$L84="Y", 1, IF('Cost Inputs'!$M84=5, 1, ""))</f>
        <v/>
      </c>
      <c r="M78" t="str">
        <f>IF('Cost Inputs'!$L84="Y", 1, IF(OR('Cost Inputs'!$M84=6, 'Cost Inputs'!$M84=3, 'Cost Inputs'!$M84=2), 1, ""))</f>
        <v/>
      </c>
      <c r="N78" t="str">
        <f>IF('Cost Inputs'!$L84="Y", 1, IF('Cost Inputs'!$M84=7, 1, ""))</f>
        <v/>
      </c>
      <c r="O78" t="str">
        <f>IF('Cost Inputs'!$L84="Y", 1, IF(OR('Cost Inputs'!$M84=8, 'Cost Inputs'!$M84=4, 'Cost Inputs'!$M84=2), 1, ""))</f>
        <v/>
      </c>
      <c r="P78" t="str">
        <f>IF('Cost Inputs'!$L84="Y", 1, IF(OR('Cost Inputs'!$M84=9, 'Cost Inputs'!$M84=3), 1, ""))</f>
        <v/>
      </c>
    </row>
    <row r="79" spans="1:16" x14ac:dyDescent="0.25">
      <c r="A79" s="561"/>
      <c r="B79" s="561"/>
      <c r="C79" s="561"/>
      <c r="D79" s="561"/>
      <c r="E79" s="561"/>
      <c r="F79" s="561"/>
      <c r="G79" t="str">
        <f>IF('Cost Inputs'!L85="Y", 1, IF('Cost Inputs'!$M85&gt;0, 1, ""))</f>
        <v/>
      </c>
      <c r="H79" t="str">
        <f>IF('Cost Inputs'!$L85="Y", 1, IF('Cost Inputs'!$M85=1, 1, ""))</f>
        <v/>
      </c>
      <c r="I79" t="str">
        <f>IF('Cost Inputs'!$L85="Y", 1, IF('Cost Inputs'!$M85=2, 1, ""))</f>
        <v/>
      </c>
      <c r="J79" t="str">
        <f>IF('Cost Inputs'!$L85="Y", 1, IF('Cost Inputs'!$M85=3, 1, ""))</f>
        <v/>
      </c>
      <c r="K79" t="str">
        <f>IF('Cost Inputs'!$L85="Y", 1, IF(OR('Cost Inputs'!$M85=4, 'Cost Inputs'!$M85=2), 1, ""))</f>
        <v/>
      </c>
      <c r="L79" t="str">
        <f>IF('Cost Inputs'!$L85="Y", 1, IF('Cost Inputs'!$M85=5, 1, ""))</f>
        <v/>
      </c>
      <c r="M79" t="str">
        <f>IF('Cost Inputs'!$L85="Y", 1, IF(OR('Cost Inputs'!$M85=6, 'Cost Inputs'!$M85=3, 'Cost Inputs'!$M85=2), 1, ""))</f>
        <v/>
      </c>
      <c r="N79" t="str">
        <f>IF('Cost Inputs'!$L85="Y", 1, IF('Cost Inputs'!$M85=7, 1, ""))</f>
        <v/>
      </c>
      <c r="O79" t="str">
        <f>IF('Cost Inputs'!$L85="Y", 1, IF(OR('Cost Inputs'!$M85=8, 'Cost Inputs'!$M85=4, 'Cost Inputs'!$M85=2), 1, ""))</f>
        <v/>
      </c>
      <c r="P79" t="str">
        <f>IF('Cost Inputs'!$L85="Y", 1, IF(OR('Cost Inputs'!$M85=9, 'Cost Inputs'!$M85=3), 1, ""))</f>
        <v/>
      </c>
    </row>
    <row r="80" spans="1:16" x14ac:dyDescent="0.25">
      <c r="A80" s="566"/>
      <c r="B80" s="567"/>
      <c r="C80" s="567"/>
      <c r="D80" s="567"/>
      <c r="E80" s="567"/>
      <c r="F80" s="568"/>
      <c r="G80" t="str">
        <f>IF('Cost Inputs'!L86="Y", 1, IF('Cost Inputs'!$M86&gt;0, 1, ""))</f>
        <v/>
      </c>
      <c r="H80" t="str">
        <f>IF('Cost Inputs'!$L86="Y", 1, IF('Cost Inputs'!$M86=1, 1, ""))</f>
        <v/>
      </c>
      <c r="I80" t="str">
        <f>IF('Cost Inputs'!$L86="Y", 1, IF('Cost Inputs'!$M86=2, 1, ""))</f>
        <v/>
      </c>
      <c r="J80" t="str">
        <f>IF('Cost Inputs'!$L86="Y", 1, IF('Cost Inputs'!$M86=3, 1, ""))</f>
        <v/>
      </c>
      <c r="K80" t="str">
        <f>IF('Cost Inputs'!$L86="Y", 1, IF(OR('Cost Inputs'!$M86=4, 'Cost Inputs'!$M86=2), 1, ""))</f>
        <v/>
      </c>
      <c r="L80" t="str">
        <f>IF('Cost Inputs'!$L86="Y", 1, IF('Cost Inputs'!$M86=5, 1, ""))</f>
        <v/>
      </c>
      <c r="M80" t="str">
        <f>IF('Cost Inputs'!$L86="Y", 1, IF(OR('Cost Inputs'!$M86=6, 'Cost Inputs'!$M86=3, 'Cost Inputs'!$M86=2), 1, ""))</f>
        <v/>
      </c>
      <c r="N80" t="str">
        <f>IF('Cost Inputs'!$L86="Y", 1, IF('Cost Inputs'!$M86=7, 1, ""))</f>
        <v/>
      </c>
      <c r="O80" t="str">
        <f>IF('Cost Inputs'!$L86="Y", 1, IF(OR('Cost Inputs'!$M86=8, 'Cost Inputs'!$M86=4, 'Cost Inputs'!$M86=2), 1, ""))</f>
        <v/>
      </c>
      <c r="P80" t="str">
        <f>IF('Cost Inputs'!$L86="Y", 1, IF(OR('Cost Inputs'!$M86=9, 'Cost Inputs'!$M86=3), 1, ""))</f>
        <v/>
      </c>
    </row>
    <row r="81" spans="1:16" x14ac:dyDescent="0.25">
      <c r="A81" s="8"/>
      <c r="B81" s="8"/>
      <c r="C81" s="8"/>
      <c r="D81" s="8"/>
      <c r="E81" s="8"/>
      <c r="F81" s="8"/>
      <c r="G81" t="str">
        <f>IF('Cost Inputs'!L87="Y", 1, IF('Cost Inputs'!$M87&gt;0, 1, ""))</f>
        <v/>
      </c>
      <c r="H81" t="str">
        <f>IF('Cost Inputs'!$L87="Y", 1, IF('Cost Inputs'!$M87=1, 1, ""))</f>
        <v/>
      </c>
      <c r="I81" t="str">
        <f>IF('Cost Inputs'!$L87="Y", 1, IF('Cost Inputs'!$M87=2, 1, ""))</f>
        <v/>
      </c>
      <c r="J81" t="str">
        <f>IF('Cost Inputs'!$L87="Y", 1, IF('Cost Inputs'!$M87=3, 1, ""))</f>
        <v/>
      </c>
      <c r="K81" t="str">
        <f>IF('Cost Inputs'!$L87="Y", 1, IF(OR('Cost Inputs'!$M87=4, 'Cost Inputs'!$M87=2), 1, ""))</f>
        <v/>
      </c>
      <c r="L81" t="str">
        <f>IF('Cost Inputs'!$L87="Y", 1, IF('Cost Inputs'!$M87=5, 1, ""))</f>
        <v/>
      </c>
      <c r="M81" t="str">
        <f>IF('Cost Inputs'!$L87="Y", 1, IF(OR('Cost Inputs'!$M87=6, 'Cost Inputs'!$M87=3, 'Cost Inputs'!$M87=2), 1, ""))</f>
        <v/>
      </c>
      <c r="N81" t="str">
        <f>IF('Cost Inputs'!$L87="Y", 1, IF('Cost Inputs'!$M87=7, 1, ""))</f>
        <v/>
      </c>
      <c r="O81" t="str">
        <f>IF('Cost Inputs'!$L87="Y", 1, IF(OR('Cost Inputs'!$M87=8, 'Cost Inputs'!$M87=4, 'Cost Inputs'!$M87=2), 1, ""))</f>
        <v/>
      </c>
      <c r="P81" t="str">
        <f>IF('Cost Inputs'!$L87="Y", 1, IF(OR('Cost Inputs'!$M87=9, 'Cost Inputs'!$M87=3), 1, ""))</f>
        <v/>
      </c>
    </row>
    <row r="82" spans="1:16" x14ac:dyDescent="0.25">
      <c r="A82" s="569" t="s">
        <v>107</v>
      </c>
      <c r="B82" s="570"/>
      <c r="C82" s="570"/>
      <c r="D82" s="570"/>
      <c r="E82" s="570"/>
      <c r="F82" s="571"/>
      <c r="G82" t="str">
        <f>IF('Cost Inputs'!L88="Y", 1, IF('Cost Inputs'!$M88&gt;0, 1, ""))</f>
        <v/>
      </c>
      <c r="H82" t="str">
        <f>IF('Cost Inputs'!$L88="Y", 1, IF('Cost Inputs'!$M88=1, 1, ""))</f>
        <v/>
      </c>
      <c r="I82" t="str">
        <f>IF('Cost Inputs'!$L88="Y", 1, IF('Cost Inputs'!$M88=2, 1, ""))</f>
        <v/>
      </c>
      <c r="J82" t="str">
        <f>IF('Cost Inputs'!$L88="Y", 1, IF('Cost Inputs'!$M88=3, 1, ""))</f>
        <v/>
      </c>
      <c r="K82" t="str">
        <f>IF('Cost Inputs'!$L88="Y", 1, IF(OR('Cost Inputs'!$M88=4, 'Cost Inputs'!$M88=2), 1, ""))</f>
        <v/>
      </c>
      <c r="L82" t="str">
        <f>IF('Cost Inputs'!$L88="Y", 1, IF('Cost Inputs'!$M88=5, 1, ""))</f>
        <v/>
      </c>
      <c r="M82" t="str">
        <f>IF('Cost Inputs'!$L88="Y", 1, IF(OR('Cost Inputs'!$M88=6, 'Cost Inputs'!$M88=3, 'Cost Inputs'!$M88=2), 1, ""))</f>
        <v/>
      </c>
      <c r="N82" t="str">
        <f>IF('Cost Inputs'!$L88="Y", 1, IF('Cost Inputs'!$M88=7, 1, ""))</f>
        <v/>
      </c>
      <c r="O82" t="str">
        <f>IF('Cost Inputs'!$L88="Y", 1, IF(OR('Cost Inputs'!$M88=8, 'Cost Inputs'!$M88=4, 'Cost Inputs'!$M88=2), 1, ""))</f>
        <v/>
      </c>
      <c r="P82" t="str">
        <f>IF('Cost Inputs'!$L88="Y", 1, IF(OR('Cost Inputs'!$M88=9, 'Cost Inputs'!$M88=3), 1, ""))</f>
        <v/>
      </c>
    </row>
    <row r="83" spans="1:16" x14ac:dyDescent="0.25">
      <c r="A83" s="572"/>
      <c r="B83" s="573"/>
      <c r="C83" s="573"/>
      <c r="D83" s="573"/>
      <c r="E83" s="573"/>
      <c r="F83" s="574"/>
      <c r="G83" t="str">
        <f>IF('Cost Inputs'!L89="Y", 1, IF('Cost Inputs'!$M89&gt;0, 1, ""))</f>
        <v/>
      </c>
      <c r="H83" t="str">
        <f>IF('Cost Inputs'!$L89="Y", 1, IF('Cost Inputs'!$M89=1, 1, ""))</f>
        <v/>
      </c>
      <c r="I83" t="str">
        <f>IF('Cost Inputs'!$L89="Y", 1, IF('Cost Inputs'!$M89=2, 1, ""))</f>
        <v/>
      </c>
      <c r="J83" t="str">
        <f>IF('Cost Inputs'!$L89="Y", 1, IF('Cost Inputs'!$M89=3, 1, ""))</f>
        <v/>
      </c>
      <c r="K83" t="str">
        <f>IF('Cost Inputs'!$L89="Y", 1, IF(OR('Cost Inputs'!$M89=4, 'Cost Inputs'!$M89=2), 1, ""))</f>
        <v/>
      </c>
      <c r="L83" t="str">
        <f>IF('Cost Inputs'!$L89="Y", 1, IF('Cost Inputs'!$M89=5, 1, ""))</f>
        <v/>
      </c>
      <c r="M83" t="str">
        <f>IF('Cost Inputs'!$L89="Y", 1, IF(OR('Cost Inputs'!$M89=6, 'Cost Inputs'!$M89=3, 'Cost Inputs'!$M89=2), 1, ""))</f>
        <v/>
      </c>
      <c r="N83" t="str">
        <f>IF('Cost Inputs'!$L89="Y", 1, IF('Cost Inputs'!$M89=7, 1, ""))</f>
        <v/>
      </c>
      <c r="O83" t="str">
        <f>IF('Cost Inputs'!$L89="Y", 1, IF(OR('Cost Inputs'!$M89=8, 'Cost Inputs'!$M89=4, 'Cost Inputs'!$M89=2), 1, ""))</f>
        <v/>
      </c>
      <c r="P83" t="str">
        <f>IF('Cost Inputs'!$L89="Y", 1, IF(OR('Cost Inputs'!$M89=9, 'Cost Inputs'!$M89=3), 1, ""))</f>
        <v/>
      </c>
    </row>
    <row r="84" spans="1:16" x14ac:dyDescent="0.25">
      <c r="A84" s="575" t="s">
        <v>130</v>
      </c>
      <c r="B84" s="576"/>
      <c r="C84" s="576"/>
      <c r="D84" s="576"/>
      <c r="E84" s="576"/>
      <c r="F84" s="577"/>
      <c r="G84" t="str">
        <f>IF('Cost Inputs'!L90="Y", 1, IF('Cost Inputs'!$M90&gt;0, 1, ""))</f>
        <v/>
      </c>
      <c r="H84" t="str">
        <f>IF('Cost Inputs'!$L90="Y", 1, IF('Cost Inputs'!$M90=1, 1, ""))</f>
        <v/>
      </c>
      <c r="I84" t="str">
        <f>IF('Cost Inputs'!$L90="Y", 1, IF('Cost Inputs'!$M90=2, 1, ""))</f>
        <v/>
      </c>
      <c r="J84" t="str">
        <f>IF('Cost Inputs'!$L90="Y", 1, IF('Cost Inputs'!$M90=3, 1, ""))</f>
        <v/>
      </c>
      <c r="K84" t="str">
        <f>IF('Cost Inputs'!$L90="Y", 1, IF(OR('Cost Inputs'!$M90=4, 'Cost Inputs'!$M90=2), 1, ""))</f>
        <v/>
      </c>
      <c r="L84" t="str">
        <f>IF('Cost Inputs'!$L90="Y", 1, IF('Cost Inputs'!$M90=5, 1, ""))</f>
        <v/>
      </c>
      <c r="M84" t="str">
        <f>IF('Cost Inputs'!$L90="Y", 1, IF(OR('Cost Inputs'!$M90=6, 'Cost Inputs'!$M90=3, 'Cost Inputs'!$M90=2), 1, ""))</f>
        <v/>
      </c>
      <c r="N84" t="str">
        <f>IF('Cost Inputs'!$L90="Y", 1, IF('Cost Inputs'!$M90=7, 1, ""))</f>
        <v/>
      </c>
      <c r="O84" t="str">
        <f>IF('Cost Inputs'!$L90="Y", 1, IF(OR('Cost Inputs'!$M90=8, 'Cost Inputs'!$M90=4, 'Cost Inputs'!$M90=2), 1, ""))</f>
        <v/>
      </c>
      <c r="P84" t="str">
        <f>IF('Cost Inputs'!$L90="Y", 1, IF(OR('Cost Inputs'!$M90=9, 'Cost Inputs'!$M90=3), 1, ""))</f>
        <v/>
      </c>
    </row>
    <row r="85" spans="1:16" x14ac:dyDescent="0.25">
      <c r="A85" s="578"/>
      <c r="B85" s="579"/>
      <c r="C85" s="579"/>
      <c r="D85" s="579"/>
      <c r="E85" s="579"/>
      <c r="F85" s="580"/>
      <c r="G85" t="str">
        <f>IF('Cost Inputs'!L91="Y", 1, IF('Cost Inputs'!$M91&gt;0, 1, ""))</f>
        <v/>
      </c>
      <c r="H85" t="str">
        <f>IF('Cost Inputs'!$L91="Y", 1, IF('Cost Inputs'!$M91=1, 1, ""))</f>
        <v/>
      </c>
      <c r="I85" t="str">
        <f>IF('Cost Inputs'!$L91="Y", 1, IF('Cost Inputs'!$M91=2, 1, ""))</f>
        <v/>
      </c>
      <c r="J85" t="str">
        <f>IF('Cost Inputs'!$L91="Y", 1, IF('Cost Inputs'!$M91=3, 1, ""))</f>
        <v/>
      </c>
      <c r="K85" t="str">
        <f>IF('Cost Inputs'!$L91="Y", 1, IF(OR('Cost Inputs'!$M91=4, 'Cost Inputs'!$M91=2), 1, ""))</f>
        <v/>
      </c>
      <c r="L85" t="str">
        <f>IF('Cost Inputs'!$L91="Y", 1, IF('Cost Inputs'!$M91=5, 1, ""))</f>
        <v/>
      </c>
      <c r="M85" t="str">
        <f>IF('Cost Inputs'!$L91="Y", 1, IF(OR('Cost Inputs'!$M91=6, 'Cost Inputs'!$M91=3, 'Cost Inputs'!$M91=2), 1, ""))</f>
        <v/>
      </c>
      <c r="N85" t="str">
        <f>IF('Cost Inputs'!$L91="Y", 1, IF('Cost Inputs'!$M91=7, 1, ""))</f>
        <v/>
      </c>
      <c r="O85" t="str">
        <f>IF('Cost Inputs'!$L91="Y", 1, IF(OR('Cost Inputs'!$M91=8, 'Cost Inputs'!$M91=4, 'Cost Inputs'!$M91=2), 1, ""))</f>
        <v/>
      </c>
      <c r="P85" t="str">
        <f>IF('Cost Inputs'!$L91="Y", 1, IF(OR('Cost Inputs'!$M91=9, 'Cost Inputs'!$M91=3), 1, ""))</f>
        <v/>
      </c>
    </row>
    <row r="86" spans="1:16" x14ac:dyDescent="0.25">
      <c r="A86" s="575" t="s">
        <v>38</v>
      </c>
      <c r="B86" s="585"/>
      <c r="C86" s="585"/>
      <c r="D86" s="585"/>
      <c r="E86" s="585"/>
      <c r="F86" s="586"/>
      <c r="G86" t="str">
        <f>IF('Cost Inputs'!L92="Y", 1, IF('Cost Inputs'!$M92&gt;0, 1, ""))</f>
        <v/>
      </c>
      <c r="H86" t="str">
        <f>IF('Cost Inputs'!$L92="Y", 1, IF('Cost Inputs'!$M92=1, 1, ""))</f>
        <v/>
      </c>
      <c r="I86" t="str">
        <f>IF('Cost Inputs'!$L92="Y", 1, IF('Cost Inputs'!$M92=2, 1, ""))</f>
        <v/>
      </c>
      <c r="J86" t="str">
        <f>IF('Cost Inputs'!$L92="Y", 1, IF('Cost Inputs'!$M92=3, 1, ""))</f>
        <v/>
      </c>
      <c r="K86" t="str">
        <f>IF('Cost Inputs'!$L92="Y", 1, IF(OR('Cost Inputs'!$M92=4, 'Cost Inputs'!$M92=2), 1, ""))</f>
        <v/>
      </c>
      <c r="L86" t="str">
        <f>IF('Cost Inputs'!$L92="Y", 1, IF('Cost Inputs'!$M92=5, 1, ""))</f>
        <v/>
      </c>
      <c r="M86" t="str">
        <f>IF('Cost Inputs'!$L92="Y", 1, IF(OR('Cost Inputs'!$M92=6, 'Cost Inputs'!$M92=3, 'Cost Inputs'!$M92=2), 1, ""))</f>
        <v/>
      </c>
      <c r="N86" t="str">
        <f>IF('Cost Inputs'!$L92="Y", 1, IF('Cost Inputs'!$M92=7, 1, ""))</f>
        <v/>
      </c>
      <c r="O86" t="str">
        <f>IF('Cost Inputs'!$L92="Y", 1, IF(OR('Cost Inputs'!$M92=8, 'Cost Inputs'!$M92=4, 'Cost Inputs'!$M92=2), 1, ""))</f>
        <v/>
      </c>
      <c r="P86" t="str">
        <f>IF('Cost Inputs'!$L92="Y", 1, IF(OR('Cost Inputs'!$M92=9, 'Cost Inputs'!$M92=3), 1, ""))</f>
        <v/>
      </c>
    </row>
    <row r="87" spans="1:16" x14ac:dyDescent="0.25">
      <c r="A87" s="587"/>
      <c r="B87" s="588"/>
      <c r="C87" s="588"/>
      <c r="D87" s="588"/>
      <c r="E87" s="588"/>
      <c r="F87" s="589"/>
      <c r="G87" t="str">
        <f>IF('Cost Inputs'!L93="Y", 1, IF('Cost Inputs'!$M93&gt;0, 1, ""))</f>
        <v/>
      </c>
      <c r="H87" t="str">
        <f>IF('Cost Inputs'!$L93="Y", 1, IF('Cost Inputs'!$M93=1, 1, ""))</f>
        <v/>
      </c>
      <c r="I87" t="str">
        <f>IF('Cost Inputs'!$L93="Y", 1, IF('Cost Inputs'!$M93=2, 1, ""))</f>
        <v/>
      </c>
      <c r="J87" t="str">
        <f>IF('Cost Inputs'!$L93="Y", 1, IF('Cost Inputs'!$M93=3, 1, ""))</f>
        <v/>
      </c>
      <c r="K87" t="str">
        <f>IF('Cost Inputs'!$L93="Y", 1, IF(OR('Cost Inputs'!$M93=4, 'Cost Inputs'!$M93=2), 1, ""))</f>
        <v/>
      </c>
      <c r="L87" t="str">
        <f>IF('Cost Inputs'!$L93="Y", 1, IF('Cost Inputs'!$M93=5, 1, ""))</f>
        <v/>
      </c>
      <c r="M87" t="str">
        <f>IF('Cost Inputs'!$L93="Y", 1, IF(OR('Cost Inputs'!$M93=6, 'Cost Inputs'!$M93=3, 'Cost Inputs'!$M93=2), 1, ""))</f>
        <v/>
      </c>
      <c r="N87" t="str">
        <f>IF('Cost Inputs'!$L93="Y", 1, IF('Cost Inputs'!$M93=7, 1, ""))</f>
        <v/>
      </c>
      <c r="O87" t="str">
        <f>IF('Cost Inputs'!$L93="Y", 1, IF(OR('Cost Inputs'!$M93=8, 'Cost Inputs'!$M93=4, 'Cost Inputs'!$M93=2), 1, ""))</f>
        <v/>
      </c>
      <c r="P87" t="str">
        <f>IF('Cost Inputs'!$L93="Y", 1, IF(OR('Cost Inputs'!$M93=9, 'Cost Inputs'!$M93=3), 1, ""))</f>
        <v/>
      </c>
    </row>
    <row r="88" spans="1:16" x14ac:dyDescent="0.25">
      <c r="A88" s="590"/>
      <c r="B88" s="591"/>
      <c r="C88" s="591"/>
      <c r="D88" s="591"/>
      <c r="E88" s="591"/>
      <c r="F88" s="592"/>
      <c r="G88" t="str">
        <f>IF('Cost Inputs'!L94="Y", 1, IF('Cost Inputs'!$M94&gt;0, 1, ""))</f>
        <v/>
      </c>
      <c r="H88" t="str">
        <f>IF('Cost Inputs'!$L94="Y", 1, IF('Cost Inputs'!$M94=1, 1, ""))</f>
        <v/>
      </c>
      <c r="I88" t="str">
        <f>IF('Cost Inputs'!$L94="Y", 1, IF('Cost Inputs'!$M94=2, 1, ""))</f>
        <v/>
      </c>
      <c r="J88" t="str">
        <f>IF('Cost Inputs'!$L94="Y", 1, IF('Cost Inputs'!$M94=3, 1, ""))</f>
        <v/>
      </c>
      <c r="K88" t="str">
        <f>IF('Cost Inputs'!$L94="Y", 1, IF(OR('Cost Inputs'!$M94=4, 'Cost Inputs'!$M94=2), 1, ""))</f>
        <v/>
      </c>
      <c r="L88" t="str">
        <f>IF('Cost Inputs'!$L94="Y", 1, IF('Cost Inputs'!$M94=5, 1, ""))</f>
        <v/>
      </c>
      <c r="M88" t="str">
        <f>IF('Cost Inputs'!$L94="Y", 1, IF(OR('Cost Inputs'!$M94=6, 'Cost Inputs'!$M94=3, 'Cost Inputs'!$M94=2), 1, ""))</f>
        <v/>
      </c>
      <c r="N88" t="str">
        <f>IF('Cost Inputs'!$L94="Y", 1, IF('Cost Inputs'!$M94=7, 1, ""))</f>
        <v/>
      </c>
      <c r="O88" t="str">
        <f>IF('Cost Inputs'!$L94="Y", 1, IF(OR('Cost Inputs'!$M94=8, 'Cost Inputs'!$M94=4, 'Cost Inputs'!$M94=2), 1, ""))</f>
        <v/>
      </c>
      <c r="P88" t="str">
        <f>IF('Cost Inputs'!$L94="Y", 1, IF(OR('Cost Inputs'!$M94=9, 'Cost Inputs'!$M94=3), 1, ""))</f>
        <v/>
      </c>
    </row>
    <row r="89" spans="1:16" x14ac:dyDescent="0.25">
      <c r="A89" s="593"/>
      <c r="B89" s="594"/>
      <c r="C89" s="594"/>
      <c r="D89" s="594"/>
      <c r="E89" s="594"/>
      <c r="F89" s="595"/>
      <c r="G89" t="str">
        <f>IF('Cost Inputs'!L95="Y", 1, IF('Cost Inputs'!$M95&gt;0, 1, ""))</f>
        <v/>
      </c>
      <c r="H89" t="str">
        <f>IF('Cost Inputs'!$L95="Y", 1, IF('Cost Inputs'!$M95=1, 1, ""))</f>
        <v/>
      </c>
      <c r="I89" t="str">
        <f>IF('Cost Inputs'!$L95="Y", 1, IF('Cost Inputs'!$M95=2, 1, ""))</f>
        <v/>
      </c>
      <c r="J89" t="str">
        <f>IF('Cost Inputs'!$L95="Y", 1, IF('Cost Inputs'!$M95=3, 1, ""))</f>
        <v/>
      </c>
      <c r="K89" t="str">
        <f>IF('Cost Inputs'!$L95="Y", 1, IF(OR('Cost Inputs'!$M95=4, 'Cost Inputs'!$M95=2), 1, ""))</f>
        <v/>
      </c>
      <c r="L89" t="str">
        <f>IF('Cost Inputs'!$L95="Y", 1, IF('Cost Inputs'!$M95=5, 1, ""))</f>
        <v/>
      </c>
      <c r="M89" t="str">
        <f>IF('Cost Inputs'!$L95="Y", 1, IF(OR('Cost Inputs'!$M95=6, 'Cost Inputs'!$M95=3, 'Cost Inputs'!$M95=2), 1, ""))</f>
        <v/>
      </c>
      <c r="N89" t="str">
        <f>IF('Cost Inputs'!$L95="Y", 1, IF('Cost Inputs'!$M95=7, 1, ""))</f>
        <v/>
      </c>
      <c r="O89" t="str">
        <f>IF('Cost Inputs'!$L95="Y", 1, IF(OR('Cost Inputs'!$M95=8, 'Cost Inputs'!$M95=4, 'Cost Inputs'!$M95=2), 1, ""))</f>
        <v/>
      </c>
      <c r="P89" t="str">
        <f>IF('Cost Inputs'!$L95="Y", 1, IF(OR('Cost Inputs'!$M95=9, 'Cost Inputs'!$M95=3), 1, ""))</f>
        <v/>
      </c>
    </row>
    <row r="90" spans="1:16" x14ac:dyDescent="0.25">
      <c r="A90" s="559"/>
      <c r="B90" s="559"/>
      <c r="C90" s="559"/>
      <c r="D90" s="559"/>
      <c r="E90" s="559"/>
      <c r="F90" s="559"/>
      <c r="G90" t="str">
        <f>IF('Cost Inputs'!L96="Y", 1, IF('Cost Inputs'!$M96&gt;0, 1, ""))</f>
        <v/>
      </c>
      <c r="H90" t="str">
        <f>IF('Cost Inputs'!$L96="Y", 1, IF('Cost Inputs'!$M96=1, 1, ""))</f>
        <v/>
      </c>
      <c r="I90" t="str">
        <f>IF('Cost Inputs'!$L96="Y", 1, IF('Cost Inputs'!$M96=2, 1, ""))</f>
        <v/>
      </c>
      <c r="J90" t="str">
        <f>IF('Cost Inputs'!$L96="Y", 1, IF('Cost Inputs'!$M96=3, 1, ""))</f>
        <v/>
      </c>
      <c r="K90" t="str">
        <f>IF('Cost Inputs'!$L96="Y", 1, IF(OR('Cost Inputs'!$M96=4, 'Cost Inputs'!$M96=2), 1, ""))</f>
        <v/>
      </c>
      <c r="L90" t="str">
        <f>IF('Cost Inputs'!$L96="Y", 1, IF('Cost Inputs'!$M96=5, 1, ""))</f>
        <v/>
      </c>
      <c r="M90" t="str">
        <f>IF('Cost Inputs'!$L96="Y", 1, IF(OR('Cost Inputs'!$M96=6, 'Cost Inputs'!$M96=3, 'Cost Inputs'!$M96=2), 1, ""))</f>
        <v/>
      </c>
      <c r="N90" t="str">
        <f>IF('Cost Inputs'!$L96="Y", 1, IF('Cost Inputs'!$M96=7, 1, ""))</f>
        <v/>
      </c>
      <c r="O90" t="str">
        <f>IF('Cost Inputs'!$L96="Y", 1, IF(OR('Cost Inputs'!$M96=8, 'Cost Inputs'!$M96=4, 'Cost Inputs'!$M96=2), 1, ""))</f>
        <v/>
      </c>
      <c r="P90" t="str">
        <f>IF('Cost Inputs'!$L96="Y", 1, IF(OR('Cost Inputs'!$M96=9, 'Cost Inputs'!$M96=3), 1, ""))</f>
        <v/>
      </c>
    </row>
    <row r="91" spans="1:16" x14ac:dyDescent="0.25">
      <c r="A91" s="581" t="s">
        <v>113</v>
      </c>
      <c r="B91" s="582"/>
      <c r="C91" s="582"/>
      <c r="D91" s="582"/>
      <c r="E91" s="582"/>
      <c r="F91" s="583"/>
      <c r="G91" t="str">
        <f>IF('Cost Inputs'!L97="Y", 1, IF('Cost Inputs'!$M97&gt;0, 1, ""))</f>
        <v/>
      </c>
      <c r="H91" t="str">
        <f>IF('Cost Inputs'!$L97="Y", 1, IF('Cost Inputs'!$M97=1, 1, ""))</f>
        <v/>
      </c>
      <c r="I91" t="str">
        <f>IF('Cost Inputs'!$L97="Y", 1, IF('Cost Inputs'!$M97=2, 1, ""))</f>
        <v/>
      </c>
      <c r="J91" t="str">
        <f>IF('Cost Inputs'!$L97="Y", 1, IF('Cost Inputs'!$M97=3, 1, ""))</f>
        <v/>
      </c>
      <c r="K91" t="str">
        <f>IF('Cost Inputs'!$L97="Y", 1, IF(OR('Cost Inputs'!$M97=4, 'Cost Inputs'!$M97=2), 1, ""))</f>
        <v/>
      </c>
      <c r="L91" t="str">
        <f>IF('Cost Inputs'!$L97="Y", 1, IF('Cost Inputs'!$M97=5, 1, ""))</f>
        <v/>
      </c>
      <c r="M91" t="str">
        <f>IF('Cost Inputs'!$L97="Y", 1, IF(OR('Cost Inputs'!$M97=6, 'Cost Inputs'!$M97=3, 'Cost Inputs'!$M97=2), 1, ""))</f>
        <v/>
      </c>
      <c r="N91" t="str">
        <f>IF('Cost Inputs'!$L97="Y", 1, IF('Cost Inputs'!$M97=7, 1, ""))</f>
        <v/>
      </c>
      <c r="O91" t="str">
        <f>IF('Cost Inputs'!$L97="Y", 1, IF(OR('Cost Inputs'!$M97=8, 'Cost Inputs'!$M97=4, 'Cost Inputs'!$M97=2), 1, ""))</f>
        <v/>
      </c>
      <c r="P91" t="str">
        <f>IF('Cost Inputs'!$L97="Y", 1, IF(OR('Cost Inputs'!$M97=9, 'Cost Inputs'!$M97=3), 1, ""))</f>
        <v/>
      </c>
    </row>
    <row r="92" spans="1:16" x14ac:dyDescent="0.25">
      <c r="A92" s="572"/>
      <c r="B92" s="573"/>
      <c r="C92" s="573"/>
      <c r="D92" s="573"/>
      <c r="E92" s="573"/>
      <c r="F92" s="574"/>
      <c r="G92" t="str">
        <f>IF('Cost Inputs'!L98="Y", 1, IF('Cost Inputs'!$M98&gt;0, 1, ""))</f>
        <v/>
      </c>
      <c r="H92" t="str">
        <f>IF('Cost Inputs'!$L98="Y", 1, IF('Cost Inputs'!$M98=1, 1, ""))</f>
        <v/>
      </c>
      <c r="I92" t="str">
        <f>IF('Cost Inputs'!$L98="Y", 1, IF('Cost Inputs'!$M98=2, 1, ""))</f>
        <v/>
      </c>
      <c r="J92" t="str">
        <f>IF('Cost Inputs'!$L98="Y", 1, IF('Cost Inputs'!$M98=3, 1, ""))</f>
        <v/>
      </c>
      <c r="K92" t="str">
        <f>IF('Cost Inputs'!$L98="Y", 1, IF(OR('Cost Inputs'!$M98=4, 'Cost Inputs'!$M98=2), 1, ""))</f>
        <v/>
      </c>
      <c r="L92" t="str">
        <f>IF('Cost Inputs'!$L98="Y", 1, IF('Cost Inputs'!$M98=5, 1, ""))</f>
        <v/>
      </c>
      <c r="M92" t="str">
        <f>IF('Cost Inputs'!$L98="Y", 1, IF(OR('Cost Inputs'!$M98=6, 'Cost Inputs'!$M98=3, 'Cost Inputs'!$M98=2), 1, ""))</f>
        <v/>
      </c>
      <c r="N92" t="str">
        <f>IF('Cost Inputs'!$L98="Y", 1, IF('Cost Inputs'!$M98=7, 1, ""))</f>
        <v/>
      </c>
      <c r="O92" t="str">
        <f>IF('Cost Inputs'!$L98="Y", 1, IF(OR('Cost Inputs'!$M98=8, 'Cost Inputs'!$M98=4, 'Cost Inputs'!$M98=2), 1, ""))</f>
        <v/>
      </c>
      <c r="P92" t="str">
        <f>IF('Cost Inputs'!$L98="Y", 1, IF(OR('Cost Inputs'!$M98=9, 'Cost Inputs'!$M98=3), 1, ""))</f>
        <v/>
      </c>
    </row>
    <row r="93" spans="1:16" x14ac:dyDescent="0.25">
      <c r="A93" s="575" t="s">
        <v>131</v>
      </c>
      <c r="B93" s="576"/>
      <c r="C93" s="576"/>
      <c r="D93" s="576"/>
      <c r="E93" s="576"/>
      <c r="F93" s="577"/>
      <c r="G93" t="str">
        <f>IF('Cost Inputs'!L99="Y", 1, IF('Cost Inputs'!$M99&gt;0, 1, ""))</f>
        <v/>
      </c>
      <c r="H93" t="str">
        <f>IF('Cost Inputs'!$L99="Y", 1, IF('Cost Inputs'!$M99=1, 1, ""))</f>
        <v/>
      </c>
      <c r="I93" t="str">
        <f>IF('Cost Inputs'!$L99="Y", 1, IF('Cost Inputs'!$M99=2, 1, ""))</f>
        <v/>
      </c>
      <c r="J93" t="str">
        <f>IF('Cost Inputs'!$L99="Y", 1, IF('Cost Inputs'!$M99=3, 1, ""))</f>
        <v/>
      </c>
      <c r="K93" t="str">
        <f>IF('Cost Inputs'!$L99="Y", 1, IF(OR('Cost Inputs'!$M99=4, 'Cost Inputs'!$M99=2), 1, ""))</f>
        <v/>
      </c>
      <c r="L93" t="str">
        <f>IF('Cost Inputs'!$L99="Y", 1, IF('Cost Inputs'!$M99=5, 1, ""))</f>
        <v/>
      </c>
      <c r="M93" t="str">
        <f>IF('Cost Inputs'!$L99="Y", 1, IF(OR('Cost Inputs'!$M99=6, 'Cost Inputs'!$M99=3, 'Cost Inputs'!$M99=2), 1, ""))</f>
        <v/>
      </c>
      <c r="N93" t="str">
        <f>IF('Cost Inputs'!$L99="Y", 1, IF('Cost Inputs'!$M99=7, 1, ""))</f>
        <v/>
      </c>
      <c r="O93" t="str">
        <f>IF('Cost Inputs'!$L99="Y", 1, IF(OR('Cost Inputs'!$M99=8, 'Cost Inputs'!$M99=4, 'Cost Inputs'!$M99=2), 1, ""))</f>
        <v/>
      </c>
      <c r="P93" t="str">
        <f>IF('Cost Inputs'!$L99="Y", 1, IF(OR('Cost Inputs'!$M99=9, 'Cost Inputs'!$M99=3), 1, ""))</f>
        <v/>
      </c>
    </row>
    <row r="94" spans="1:16" x14ac:dyDescent="0.25">
      <c r="A94" s="578"/>
      <c r="B94" s="579"/>
      <c r="C94" s="579"/>
      <c r="D94" s="579"/>
      <c r="E94" s="579"/>
      <c r="F94" s="580"/>
      <c r="G94" t="str">
        <f>IF('Cost Inputs'!L100="Y", 1, IF('Cost Inputs'!$M100&gt;0, 1, ""))</f>
        <v/>
      </c>
      <c r="H94" t="str">
        <f>IF('Cost Inputs'!$L100="Y", 1, IF('Cost Inputs'!$M100=1, 1, ""))</f>
        <v/>
      </c>
      <c r="I94" t="str">
        <f>IF('Cost Inputs'!$L100="Y", 1, IF('Cost Inputs'!$M100=2, 1, ""))</f>
        <v/>
      </c>
      <c r="J94" t="str">
        <f>IF('Cost Inputs'!$L100="Y", 1, IF('Cost Inputs'!$M100=3, 1, ""))</f>
        <v/>
      </c>
      <c r="K94" t="str">
        <f>IF('Cost Inputs'!$L100="Y", 1, IF(OR('Cost Inputs'!$M100=4, 'Cost Inputs'!$M100=2), 1, ""))</f>
        <v/>
      </c>
      <c r="L94" t="str">
        <f>IF('Cost Inputs'!$L100="Y", 1, IF('Cost Inputs'!$M100=5, 1, ""))</f>
        <v/>
      </c>
      <c r="M94" t="str">
        <f>IF('Cost Inputs'!$L100="Y", 1, IF(OR('Cost Inputs'!$M100=6, 'Cost Inputs'!$M100=3, 'Cost Inputs'!$M100=2), 1, ""))</f>
        <v/>
      </c>
      <c r="N94" t="str">
        <f>IF('Cost Inputs'!$L100="Y", 1, IF('Cost Inputs'!$M100=7, 1, ""))</f>
        <v/>
      </c>
      <c r="O94" t="str">
        <f>IF('Cost Inputs'!$L100="Y", 1, IF(OR('Cost Inputs'!$M100=8, 'Cost Inputs'!$M100=4, 'Cost Inputs'!$M100=2), 1, ""))</f>
        <v/>
      </c>
      <c r="P94" t="str">
        <f>IF('Cost Inputs'!$L100="Y", 1, IF(OR('Cost Inputs'!$M100=9, 'Cost Inputs'!$M100=3), 1, ""))</f>
        <v/>
      </c>
    </row>
    <row r="95" spans="1:16" x14ac:dyDescent="0.25">
      <c r="A95" s="575" t="s">
        <v>38</v>
      </c>
      <c r="B95" s="576"/>
      <c r="C95" s="576"/>
      <c r="D95" s="576"/>
      <c r="E95" s="576"/>
      <c r="F95" s="577"/>
      <c r="G95" t="str">
        <f>IF('Cost Inputs'!L101="Y", 1, IF('Cost Inputs'!$M101&gt;0, 1, ""))</f>
        <v/>
      </c>
      <c r="H95" t="str">
        <f>IF('Cost Inputs'!$L101="Y", 1, IF('Cost Inputs'!$M101=1, 1, ""))</f>
        <v/>
      </c>
      <c r="I95" t="str">
        <f>IF('Cost Inputs'!$L101="Y", 1, IF('Cost Inputs'!$M101=2, 1, ""))</f>
        <v/>
      </c>
      <c r="J95" t="str">
        <f>IF('Cost Inputs'!$L101="Y", 1, IF('Cost Inputs'!$M101=3, 1, ""))</f>
        <v/>
      </c>
      <c r="K95" t="str">
        <f>IF('Cost Inputs'!$L101="Y", 1, IF(OR('Cost Inputs'!$M101=4, 'Cost Inputs'!$M101=2), 1, ""))</f>
        <v/>
      </c>
      <c r="L95" t="str">
        <f>IF('Cost Inputs'!$L101="Y", 1, IF('Cost Inputs'!$M101=5, 1, ""))</f>
        <v/>
      </c>
      <c r="M95" t="str">
        <f>IF('Cost Inputs'!$L101="Y", 1, IF(OR('Cost Inputs'!$M101=6, 'Cost Inputs'!$M101=3, 'Cost Inputs'!$M101=2), 1, ""))</f>
        <v/>
      </c>
      <c r="N95" t="str">
        <f>IF('Cost Inputs'!$L101="Y", 1, IF('Cost Inputs'!$M101=7, 1, ""))</f>
        <v/>
      </c>
      <c r="O95" t="str">
        <f>IF('Cost Inputs'!$L101="Y", 1, IF(OR('Cost Inputs'!$M101=8, 'Cost Inputs'!$M101=4, 'Cost Inputs'!$M101=2), 1, ""))</f>
        <v/>
      </c>
      <c r="P95" t="str">
        <f>IF('Cost Inputs'!$L101="Y", 1, IF(OR('Cost Inputs'!$M101=9, 'Cost Inputs'!$M101=3), 1, ""))</f>
        <v/>
      </c>
    </row>
    <row r="96" spans="1:16" x14ac:dyDescent="0.25">
      <c r="A96" s="578"/>
      <c r="B96" s="579"/>
      <c r="C96" s="579"/>
      <c r="D96" s="579"/>
      <c r="E96" s="579"/>
      <c r="F96" s="580"/>
      <c r="G96" t="str">
        <f>IF('Cost Inputs'!L102="Y", 1, IF('Cost Inputs'!$M102&gt;0, 1, ""))</f>
        <v/>
      </c>
      <c r="H96" t="str">
        <f>IF('Cost Inputs'!$L102="Y", 1, IF('Cost Inputs'!$M102=1, 1, ""))</f>
        <v/>
      </c>
      <c r="I96" t="str">
        <f>IF('Cost Inputs'!$L102="Y", 1, IF('Cost Inputs'!$M102=2, 1, ""))</f>
        <v/>
      </c>
      <c r="J96" t="str">
        <f>IF('Cost Inputs'!$L102="Y", 1, IF('Cost Inputs'!$M102=3, 1, ""))</f>
        <v/>
      </c>
      <c r="K96" t="str">
        <f>IF('Cost Inputs'!$L102="Y", 1, IF(OR('Cost Inputs'!$M102=4, 'Cost Inputs'!$M102=2), 1, ""))</f>
        <v/>
      </c>
      <c r="L96" t="str">
        <f>IF('Cost Inputs'!$L102="Y", 1, IF('Cost Inputs'!$M102=5, 1, ""))</f>
        <v/>
      </c>
      <c r="M96" t="str">
        <f>IF('Cost Inputs'!$L102="Y", 1, IF(OR('Cost Inputs'!$M102=6, 'Cost Inputs'!$M102=3, 'Cost Inputs'!$M102=2), 1, ""))</f>
        <v/>
      </c>
      <c r="N96" t="str">
        <f>IF('Cost Inputs'!$L102="Y", 1, IF('Cost Inputs'!$M102=7, 1, ""))</f>
        <v/>
      </c>
      <c r="O96" t="str">
        <f>IF('Cost Inputs'!$L102="Y", 1, IF(OR('Cost Inputs'!$M102=8, 'Cost Inputs'!$M102=4, 'Cost Inputs'!$M102=2), 1, ""))</f>
        <v/>
      </c>
      <c r="P96" t="str">
        <f>IF('Cost Inputs'!$L102="Y", 1, IF(OR('Cost Inputs'!$M102=9, 'Cost Inputs'!$M102=3), 1, ""))</f>
        <v/>
      </c>
    </row>
    <row r="97" spans="1:16" x14ac:dyDescent="0.25">
      <c r="A97" s="559"/>
      <c r="B97" s="559"/>
      <c r="C97" s="559"/>
      <c r="D97" s="559"/>
      <c r="E97" s="559"/>
      <c r="F97" s="559"/>
      <c r="G97" t="str">
        <f>IF('Cost Inputs'!L103="Y", 1, IF('Cost Inputs'!$M103&gt;0, 1, ""))</f>
        <v/>
      </c>
      <c r="H97" t="str">
        <f>IF('Cost Inputs'!$L103="Y", 1, IF('Cost Inputs'!$M103=1, 1, ""))</f>
        <v/>
      </c>
      <c r="I97" t="str">
        <f>IF('Cost Inputs'!$L103="Y", 1, IF('Cost Inputs'!$M103=2, 1, ""))</f>
        <v/>
      </c>
      <c r="J97" t="str">
        <f>IF('Cost Inputs'!$L103="Y", 1, IF('Cost Inputs'!$M103=3, 1, ""))</f>
        <v/>
      </c>
      <c r="K97" t="str">
        <f>IF('Cost Inputs'!$L103="Y", 1, IF(OR('Cost Inputs'!$M103=4, 'Cost Inputs'!$M103=2), 1, ""))</f>
        <v/>
      </c>
      <c r="L97" t="str">
        <f>IF('Cost Inputs'!$L103="Y", 1, IF('Cost Inputs'!$M103=5, 1, ""))</f>
        <v/>
      </c>
      <c r="M97" t="str">
        <f>IF('Cost Inputs'!$L103="Y", 1, IF(OR('Cost Inputs'!$M103=6, 'Cost Inputs'!$M103=3, 'Cost Inputs'!$M103=2), 1, ""))</f>
        <v/>
      </c>
      <c r="N97" t="str">
        <f>IF('Cost Inputs'!$L103="Y", 1, IF('Cost Inputs'!$M103=7, 1, ""))</f>
        <v/>
      </c>
      <c r="O97" t="str">
        <f>IF('Cost Inputs'!$L103="Y", 1, IF(OR('Cost Inputs'!$M103=8, 'Cost Inputs'!$M103=4, 'Cost Inputs'!$M103=2), 1, ""))</f>
        <v/>
      </c>
      <c r="P97" t="str">
        <f>IF('Cost Inputs'!$L103="Y", 1, IF(OR('Cost Inputs'!$M103=9, 'Cost Inputs'!$M103=3), 1, ""))</f>
        <v/>
      </c>
    </row>
    <row r="98" spans="1:16" x14ac:dyDescent="0.25">
      <c r="A98" s="559"/>
      <c r="B98" s="559"/>
      <c r="C98" s="559"/>
      <c r="D98" s="559"/>
      <c r="E98" s="559"/>
      <c r="F98" s="559"/>
      <c r="G98" t="str">
        <f>IF('Cost Inputs'!L104="Y", 1, IF('Cost Inputs'!$M104&gt;0, 1, ""))</f>
        <v/>
      </c>
      <c r="H98" t="str">
        <f>IF('Cost Inputs'!$L104="Y", 1, IF('Cost Inputs'!$M104=1, 1, ""))</f>
        <v/>
      </c>
      <c r="I98" t="str">
        <f>IF('Cost Inputs'!$L104="Y", 1, IF('Cost Inputs'!$M104=2, 1, ""))</f>
        <v/>
      </c>
      <c r="J98" t="str">
        <f>IF('Cost Inputs'!$L104="Y", 1, IF('Cost Inputs'!$M104=3, 1, ""))</f>
        <v/>
      </c>
      <c r="K98" t="str">
        <f>IF('Cost Inputs'!$L104="Y", 1, IF(OR('Cost Inputs'!$M104=4, 'Cost Inputs'!$M104=2), 1, ""))</f>
        <v/>
      </c>
      <c r="L98" t="str">
        <f>IF('Cost Inputs'!$L104="Y", 1, IF('Cost Inputs'!$M104=5, 1, ""))</f>
        <v/>
      </c>
      <c r="M98" t="str">
        <f>IF('Cost Inputs'!$L104="Y", 1, IF(OR('Cost Inputs'!$M104=6, 'Cost Inputs'!$M104=3, 'Cost Inputs'!$M104=2), 1, ""))</f>
        <v/>
      </c>
      <c r="N98" t="str">
        <f>IF('Cost Inputs'!$L104="Y", 1, IF('Cost Inputs'!$M104=7, 1, ""))</f>
        <v/>
      </c>
      <c r="O98" t="str">
        <f>IF('Cost Inputs'!$L104="Y", 1, IF(OR('Cost Inputs'!$M104=8, 'Cost Inputs'!$M104=4, 'Cost Inputs'!$M104=2), 1, ""))</f>
        <v/>
      </c>
      <c r="P98" t="str">
        <f>IF('Cost Inputs'!$L104="Y", 1, IF(OR('Cost Inputs'!$M104=9, 'Cost Inputs'!$M104=3), 1, ""))</f>
        <v/>
      </c>
    </row>
    <row r="99" spans="1:16" x14ac:dyDescent="0.25">
      <c r="A99" s="581" t="s">
        <v>39</v>
      </c>
      <c r="B99" s="582"/>
      <c r="C99" s="582"/>
      <c r="D99" s="582"/>
      <c r="E99" s="582"/>
      <c r="F99" s="583"/>
      <c r="G99" t="str">
        <f>IF('Cost Inputs'!L105="Y", 1, IF('Cost Inputs'!$M105&gt;0, 1, ""))</f>
        <v/>
      </c>
      <c r="H99" t="str">
        <f>IF('Cost Inputs'!$L105="Y", 1, IF('Cost Inputs'!$M105=1, 1, ""))</f>
        <v/>
      </c>
      <c r="I99" t="str">
        <f>IF('Cost Inputs'!$L105="Y", 1, IF('Cost Inputs'!$M105=2, 1, ""))</f>
        <v/>
      </c>
      <c r="J99" t="str">
        <f>IF('Cost Inputs'!$L105="Y", 1, IF('Cost Inputs'!$M105=3, 1, ""))</f>
        <v/>
      </c>
      <c r="K99" t="str">
        <f>IF('Cost Inputs'!$L105="Y", 1, IF(OR('Cost Inputs'!$M105=4, 'Cost Inputs'!$M105=2), 1, ""))</f>
        <v/>
      </c>
      <c r="L99" t="str">
        <f>IF('Cost Inputs'!$L105="Y", 1, IF('Cost Inputs'!$M105=5, 1, ""))</f>
        <v/>
      </c>
      <c r="M99" t="str">
        <f>IF('Cost Inputs'!$L105="Y", 1, IF(OR('Cost Inputs'!$M105=6, 'Cost Inputs'!$M105=3, 'Cost Inputs'!$M105=2), 1, ""))</f>
        <v/>
      </c>
      <c r="N99" t="str">
        <f>IF('Cost Inputs'!$L105="Y", 1, IF('Cost Inputs'!$M105=7, 1, ""))</f>
        <v/>
      </c>
      <c r="O99" t="str">
        <f>IF('Cost Inputs'!$L105="Y", 1, IF(OR('Cost Inputs'!$M105=8, 'Cost Inputs'!$M105=4, 'Cost Inputs'!$M105=2), 1, ""))</f>
        <v/>
      </c>
      <c r="P99" t="str">
        <f>IF('Cost Inputs'!$L105="Y", 1, IF(OR('Cost Inputs'!$M105=9, 'Cost Inputs'!$M105=3), 1, ""))</f>
        <v/>
      </c>
    </row>
    <row r="100" spans="1:16" x14ac:dyDescent="0.25">
      <c r="A100" s="572"/>
      <c r="B100" s="573"/>
      <c r="C100" s="573"/>
      <c r="D100" s="573"/>
      <c r="E100" s="573"/>
      <c r="F100" s="574"/>
      <c r="G100" t="str">
        <f>IF('Cost Inputs'!L106="Y", 1, IF('Cost Inputs'!$M106&gt;0, 1, ""))</f>
        <v/>
      </c>
      <c r="H100" t="str">
        <f>IF('Cost Inputs'!$L106="Y", 1, IF('Cost Inputs'!$M106=1, 1, ""))</f>
        <v/>
      </c>
      <c r="I100" t="str">
        <f>IF('Cost Inputs'!$L106="Y", 1, IF('Cost Inputs'!$M106=2, 1, ""))</f>
        <v/>
      </c>
      <c r="J100" t="str">
        <f>IF('Cost Inputs'!$L106="Y", 1, IF('Cost Inputs'!$M106=3, 1, ""))</f>
        <v/>
      </c>
      <c r="K100" t="str">
        <f>IF('Cost Inputs'!$L106="Y", 1, IF(OR('Cost Inputs'!$M106=4, 'Cost Inputs'!$M106=2), 1, ""))</f>
        <v/>
      </c>
      <c r="L100" t="str">
        <f>IF('Cost Inputs'!$L106="Y", 1, IF('Cost Inputs'!$M106=5, 1, ""))</f>
        <v/>
      </c>
      <c r="M100" t="str">
        <f>IF('Cost Inputs'!$L106="Y", 1, IF(OR('Cost Inputs'!$M106=6, 'Cost Inputs'!$M106=3, 'Cost Inputs'!$M106=2), 1, ""))</f>
        <v/>
      </c>
      <c r="N100" t="str">
        <f>IF('Cost Inputs'!$L106="Y", 1, IF('Cost Inputs'!$M106=7, 1, ""))</f>
        <v/>
      </c>
      <c r="O100" t="str">
        <f>IF('Cost Inputs'!$L106="Y", 1, IF(OR('Cost Inputs'!$M106=8, 'Cost Inputs'!$M106=4, 'Cost Inputs'!$M106=2), 1, ""))</f>
        <v/>
      </c>
      <c r="P100" t="str">
        <f>IF('Cost Inputs'!$L106="Y", 1, IF(OR('Cost Inputs'!$M106=9, 'Cost Inputs'!$M106=3), 1, ""))</f>
        <v/>
      </c>
    </row>
    <row r="101" spans="1:16" x14ac:dyDescent="0.25">
      <c r="A101" s="559"/>
      <c r="B101" s="559"/>
      <c r="C101" s="559"/>
      <c r="D101" s="559"/>
      <c r="E101" s="559"/>
      <c r="F101" s="559"/>
      <c r="G101" t="str">
        <f>IF('Cost Inputs'!L107="Y", 1, IF('Cost Inputs'!$M107&gt;0, 1, ""))</f>
        <v/>
      </c>
      <c r="H101" t="str">
        <f>IF('Cost Inputs'!$L107="Y", 1, IF('Cost Inputs'!$M107=1, 1, ""))</f>
        <v/>
      </c>
      <c r="I101" t="str">
        <f>IF('Cost Inputs'!$L107="Y", 1, IF('Cost Inputs'!$M107=2, 1, ""))</f>
        <v/>
      </c>
      <c r="J101" t="str">
        <f>IF('Cost Inputs'!$L107="Y", 1, IF('Cost Inputs'!$M107=3, 1, ""))</f>
        <v/>
      </c>
      <c r="K101" t="str">
        <f>IF('Cost Inputs'!$L107="Y", 1, IF(OR('Cost Inputs'!$M107=4, 'Cost Inputs'!$M107=2), 1, ""))</f>
        <v/>
      </c>
      <c r="L101" t="str">
        <f>IF('Cost Inputs'!$L107="Y", 1, IF('Cost Inputs'!$M107=5, 1, ""))</f>
        <v/>
      </c>
      <c r="M101" t="str">
        <f>IF('Cost Inputs'!$L107="Y", 1, IF(OR('Cost Inputs'!$M107=6, 'Cost Inputs'!$M107=3, 'Cost Inputs'!$M107=2), 1, ""))</f>
        <v/>
      </c>
      <c r="N101" t="str">
        <f>IF('Cost Inputs'!$L107="Y", 1, IF('Cost Inputs'!$M107=7, 1, ""))</f>
        <v/>
      </c>
      <c r="O101" t="str">
        <f>IF('Cost Inputs'!$L107="Y", 1, IF(OR('Cost Inputs'!$M107=8, 'Cost Inputs'!$M107=4, 'Cost Inputs'!$M107=2), 1, ""))</f>
        <v/>
      </c>
      <c r="P101" t="str">
        <f>IF('Cost Inputs'!$L107="Y", 1, IF(OR('Cost Inputs'!$M107=9, 'Cost Inputs'!$M107=3), 1, ""))</f>
        <v/>
      </c>
    </row>
    <row r="102" spans="1:16" x14ac:dyDescent="0.25">
      <c r="A102" s="556"/>
      <c r="B102" s="557"/>
      <c r="C102" s="557"/>
      <c r="D102" s="557"/>
      <c r="E102" s="557"/>
      <c r="F102" s="558"/>
      <c r="G102" t="str">
        <f>IF('Cost Inputs'!L108="Y", 1, IF('Cost Inputs'!$M108&gt;0, 1, ""))</f>
        <v/>
      </c>
      <c r="H102" t="str">
        <f>IF('Cost Inputs'!$L108="Y", 1, IF('Cost Inputs'!$M108=1, 1, ""))</f>
        <v/>
      </c>
      <c r="I102" t="str">
        <f>IF('Cost Inputs'!$L108="Y", 1, IF('Cost Inputs'!$M108=2, 1, ""))</f>
        <v/>
      </c>
      <c r="J102" t="str">
        <f>IF('Cost Inputs'!$L108="Y", 1, IF('Cost Inputs'!$M108=3, 1, ""))</f>
        <v/>
      </c>
      <c r="K102" t="str">
        <f>IF('Cost Inputs'!$L108="Y", 1, IF(OR('Cost Inputs'!$M108=4, 'Cost Inputs'!$M108=2), 1, ""))</f>
        <v/>
      </c>
      <c r="L102" t="str">
        <f>IF('Cost Inputs'!$L108="Y", 1, IF('Cost Inputs'!$M108=5, 1, ""))</f>
        <v/>
      </c>
      <c r="M102" t="str">
        <f>IF('Cost Inputs'!$L108="Y", 1, IF(OR('Cost Inputs'!$M108=6, 'Cost Inputs'!$M108=3, 'Cost Inputs'!$M108=2), 1, ""))</f>
        <v/>
      </c>
      <c r="N102" t="str">
        <f>IF('Cost Inputs'!$L108="Y", 1, IF('Cost Inputs'!$M108=7, 1, ""))</f>
        <v/>
      </c>
      <c r="O102" t="str">
        <f>IF('Cost Inputs'!$L108="Y", 1, IF(OR('Cost Inputs'!$M108=8, 'Cost Inputs'!$M108=4, 'Cost Inputs'!$M108=2), 1, ""))</f>
        <v/>
      </c>
      <c r="P102" t="str">
        <f>IF('Cost Inputs'!$L108="Y", 1, IF(OR('Cost Inputs'!$M108=9, 'Cost Inputs'!$M108=3), 1, ""))</f>
        <v/>
      </c>
    </row>
    <row r="103" spans="1:16" x14ac:dyDescent="0.25">
      <c r="A103" s="584" t="s">
        <v>70</v>
      </c>
      <c r="B103" s="584"/>
      <c r="C103" s="584"/>
      <c r="D103" s="584"/>
      <c r="E103" s="584"/>
      <c r="F103" s="584"/>
      <c r="G103" t="str">
        <f>IF('Cost Inputs'!L109="Y", 1, IF('Cost Inputs'!$M109&gt;0, 1, ""))</f>
        <v/>
      </c>
      <c r="H103" t="str">
        <f>IF('Cost Inputs'!$L109="Y", 1, IF('Cost Inputs'!$M109=1, 1, ""))</f>
        <v/>
      </c>
      <c r="I103" t="str">
        <f>IF('Cost Inputs'!$L109="Y", 1, IF('Cost Inputs'!$M109=2, 1, ""))</f>
        <v/>
      </c>
      <c r="J103" t="str">
        <f>IF('Cost Inputs'!$L109="Y", 1, IF('Cost Inputs'!$M109=3, 1, ""))</f>
        <v/>
      </c>
      <c r="K103" t="str">
        <f>IF('Cost Inputs'!$L109="Y", 1, IF(OR('Cost Inputs'!$M109=4, 'Cost Inputs'!$M109=2), 1, ""))</f>
        <v/>
      </c>
      <c r="L103" t="str">
        <f>IF('Cost Inputs'!$L109="Y", 1, IF('Cost Inputs'!$M109=5, 1, ""))</f>
        <v/>
      </c>
      <c r="M103" t="str">
        <f>IF('Cost Inputs'!$L109="Y", 1, IF(OR('Cost Inputs'!$M109=6, 'Cost Inputs'!$M109=3, 'Cost Inputs'!$M109=2), 1, ""))</f>
        <v/>
      </c>
      <c r="N103" t="str">
        <f>IF('Cost Inputs'!$L109="Y", 1, IF('Cost Inputs'!$M109=7, 1, ""))</f>
        <v/>
      </c>
      <c r="O103" t="str">
        <f>IF('Cost Inputs'!$L109="Y", 1, IF(OR('Cost Inputs'!$M109=8, 'Cost Inputs'!$M109=4, 'Cost Inputs'!$M109=2), 1, ""))</f>
        <v/>
      </c>
      <c r="P103" t="str">
        <f>IF('Cost Inputs'!$L109="Y", 1, IF(OR('Cost Inputs'!$M109=9, 'Cost Inputs'!$M109=3), 1, ""))</f>
        <v/>
      </c>
    </row>
    <row r="104" spans="1:16" x14ac:dyDescent="0.25">
      <c r="A104" s="555" t="s">
        <v>78</v>
      </c>
      <c r="B104" s="555"/>
      <c r="C104" s="555"/>
      <c r="D104" s="555"/>
      <c r="E104" s="555"/>
      <c r="F104" s="555"/>
      <c r="G104" t="str">
        <f>IF('Cost Inputs'!L110="Y", 1, IF('Cost Inputs'!$M110&gt;0, 1, ""))</f>
        <v/>
      </c>
      <c r="H104" t="str">
        <f>IF('Cost Inputs'!$L110="Y", 1, IF('Cost Inputs'!$M110=1, 1, ""))</f>
        <v/>
      </c>
      <c r="I104" t="str">
        <f>IF('Cost Inputs'!$L110="Y", 1, IF('Cost Inputs'!$M110=2, 1, ""))</f>
        <v/>
      </c>
      <c r="J104" t="str">
        <f>IF('Cost Inputs'!$L110="Y", 1, IF('Cost Inputs'!$M110=3, 1, ""))</f>
        <v/>
      </c>
      <c r="K104" t="str">
        <f>IF('Cost Inputs'!$L110="Y", 1, IF(OR('Cost Inputs'!$M110=4, 'Cost Inputs'!$M110=2), 1, ""))</f>
        <v/>
      </c>
      <c r="L104" t="str">
        <f>IF('Cost Inputs'!$L110="Y", 1, IF('Cost Inputs'!$M110=5, 1, ""))</f>
        <v/>
      </c>
      <c r="M104" t="str">
        <f>IF('Cost Inputs'!$L110="Y", 1, IF(OR('Cost Inputs'!$M110=6, 'Cost Inputs'!$M110=3, 'Cost Inputs'!$M110=2), 1, ""))</f>
        <v/>
      </c>
      <c r="N104" t="str">
        <f>IF('Cost Inputs'!$L110="Y", 1, IF('Cost Inputs'!$M110=7, 1, ""))</f>
        <v/>
      </c>
      <c r="O104" t="str">
        <f>IF('Cost Inputs'!$L110="Y", 1, IF(OR('Cost Inputs'!$M110=8, 'Cost Inputs'!$M110=4, 'Cost Inputs'!$M110=2), 1, ""))</f>
        <v/>
      </c>
      <c r="P104" t="str">
        <f>IF('Cost Inputs'!$L110="Y", 1, IF(OR('Cost Inputs'!$M110=9, 'Cost Inputs'!$M110=3), 1, ""))</f>
        <v/>
      </c>
    </row>
    <row r="105" spans="1:16" x14ac:dyDescent="0.25">
      <c r="A105" s="555" t="s">
        <v>79</v>
      </c>
      <c r="B105" s="555"/>
      <c r="C105" s="555"/>
      <c r="D105" s="555"/>
      <c r="E105" s="555"/>
      <c r="F105" s="555"/>
      <c r="G105" t="str">
        <f>IF('Cost Inputs'!L111="Y", 1, IF('Cost Inputs'!$M111&gt;0, 1, ""))</f>
        <v/>
      </c>
      <c r="H105" t="str">
        <f>IF('Cost Inputs'!$L111="Y", 1, IF('Cost Inputs'!$M111=1, 1, ""))</f>
        <v/>
      </c>
      <c r="I105" t="str">
        <f>IF('Cost Inputs'!$L111="Y", 1, IF('Cost Inputs'!$M111=2, 1, ""))</f>
        <v/>
      </c>
      <c r="J105" t="str">
        <f>IF('Cost Inputs'!$L111="Y", 1, IF('Cost Inputs'!$M111=3, 1, ""))</f>
        <v/>
      </c>
      <c r="K105" t="str">
        <f>IF('Cost Inputs'!$L111="Y", 1, IF(OR('Cost Inputs'!$M111=4, 'Cost Inputs'!$M111=2), 1, ""))</f>
        <v/>
      </c>
      <c r="L105" t="str">
        <f>IF('Cost Inputs'!$L111="Y", 1, IF('Cost Inputs'!$M111=5, 1, ""))</f>
        <v/>
      </c>
      <c r="M105" t="str">
        <f>IF('Cost Inputs'!$L111="Y", 1, IF(OR('Cost Inputs'!$M111=6, 'Cost Inputs'!$M111=3, 'Cost Inputs'!$M111=2), 1, ""))</f>
        <v/>
      </c>
      <c r="N105" t="str">
        <f>IF('Cost Inputs'!$L111="Y", 1, IF('Cost Inputs'!$M111=7, 1, ""))</f>
        <v/>
      </c>
      <c r="O105" t="str">
        <f>IF('Cost Inputs'!$L111="Y", 1, IF(OR('Cost Inputs'!$M111=8, 'Cost Inputs'!$M111=4, 'Cost Inputs'!$M111=2), 1, ""))</f>
        <v/>
      </c>
      <c r="P105" t="str">
        <f>IF('Cost Inputs'!$L111="Y", 1, IF(OR('Cost Inputs'!$M111=9, 'Cost Inputs'!$M111=3), 1, ""))</f>
        <v/>
      </c>
    </row>
    <row r="106" spans="1:16" x14ac:dyDescent="0.25">
      <c r="A106" s="555" t="s">
        <v>80</v>
      </c>
      <c r="B106" s="555"/>
      <c r="C106" s="555"/>
      <c r="D106" s="555"/>
      <c r="E106" s="555"/>
      <c r="F106" s="555"/>
      <c r="G106" t="str">
        <f>IF('Cost Inputs'!L112="Y", 1, IF('Cost Inputs'!$M112&gt;0, 1, ""))</f>
        <v/>
      </c>
      <c r="H106" t="str">
        <f>IF('Cost Inputs'!$L112="Y", 1, IF('Cost Inputs'!$M112=1, 1, ""))</f>
        <v/>
      </c>
      <c r="I106" t="str">
        <f>IF('Cost Inputs'!$L112="Y", 1, IF('Cost Inputs'!$M112=2, 1, ""))</f>
        <v/>
      </c>
      <c r="J106" t="str">
        <f>IF('Cost Inputs'!$L112="Y", 1, IF('Cost Inputs'!$M112=3, 1, ""))</f>
        <v/>
      </c>
      <c r="K106" t="str">
        <f>IF('Cost Inputs'!$L112="Y", 1, IF(OR('Cost Inputs'!$M112=4, 'Cost Inputs'!$M112=2), 1, ""))</f>
        <v/>
      </c>
      <c r="L106" t="str">
        <f>IF('Cost Inputs'!$L112="Y", 1, IF('Cost Inputs'!$M112=5, 1, ""))</f>
        <v/>
      </c>
      <c r="M106" t="str">
        <f>IF('Cost Inputs'!$L112="Y", 1, IF(OR('Cost Inputs'!$M112=6, 'Cost Inputs'!$M112=3, 'Cost Inputs'!$M112=2), 1, ""))</f>
        <v/>
      </c>
      <c r="N106" t="str">
        <f>IF('Cost Inputs'!$L112="Y", 1, IF('Cost Inputs'!$M112=7, 1, ""))</f>
        <v/>
      </c>
      <c r="O106" t="str">
        <f>IF('Cost Inputs'!$L112="Y", 1, IF(OR('Cost Inputs'!$M112=8, 'Cost Inputs'!$M112=4, 'Cost Inputs'!$M112=2), 1, ""))</f>
        <v/>
      </c>
      <c r="P106" t="str">
        <f>IF('Cost Inputs'!$L112="Y", 1, IF(OR('Cost Inputs'!$M112=9, 'Cost Inputs'!$M112=3), 1, ""))</f>
        <v/>
      </c>
    </row>
    <row r="107" spans="1:16" x14ac:dyDescent="0.25">
      <c r="A107" s="555" t="s">
        <v>81</v>
      </c>
      <c r="B107" s="555"/>
      <c r="C107" s="555"/>
      <c r="D107" s="555"/>
      <c r="E107" s="555"/>
      <c r="F107" s="555"/>
      <c r="G107" t="str">
        <f>IF('Cost Inputs'!L113="Y", 1, IF('Cost Inputs'!$M113&gt;0, 1, ""))</f>
        <v/>
      </c>
      <c r="H107" t="str">
        <f>IF('Cost Inputs'!$L113="Y", 1, IF('Cost Inputs'!$M113=1, 1, ""))</f>
        <v/>
      </c>
      <c r="I107" t="str">
        <f>IF('Cost Inputs'!$L113="Y", 1, IF('Cost Inputs'!$M113=2, 1, ""))</f>
        <v/>
      </c>
      <c r="J107" t="str">
        <f>IF('Cost Inputs'!$L113="Y", 1, IF('Cost Inputs'!$M113=3, 1, ""))</f>
        <v/>
      </c>
      <c r="K107" t="str">
        <f>IF('Cost Inputs'!$L113="Y", 1, IF(OR('Cost Inputs'!$M113=4, 'Cost Inputs'!$M113=2), 1, ""))</f>
        <v/>
      </c>
      <c r="L107" t="str">
        <f>IF('Cost Inputs'!$L113="Y", 1, IF('Cost Inputs'!$M113=5, 1, ""))</f>
        <v/>
      </c>
      <c r="M107" t="str">
        <f>IF('Cost Inputs'!$L113="Y", 1, IF(OR('Cost Inputs'!$M113=6, 'Cost Inputs'!$M113=3, 'Cost Inputs'!$M113=2), 1, ""))</f>
        <v/>
      </c>
      <c r="N107" t="str">
        <f>IF('Cost Inputs'!$L113="Y", 1, IF('Cost Inputs'!$M113=7, 1, ""))</f>
        <v/>
      </c>
      <c r="O107" t="str">
        <f>IF('Cost Inputs'!$L113="Y", 1, IF(OR('Cost Inputs'!$M113=8, 'Cost Inputs'!$M113=4, 'Cost Inputs'!$M113=2), 1, ""))</f>
        <v/>
      </c>
      <c r="P107" t="str">
        <f>IF('Cost Inputs'!$L113="Y", 1, IF(OR('Cost Inputs'!$M113=9, 'Cost Inputs'!$M113=3), 1, ""))</f>
        <v/>
      </c>
    </row>
    <row r="108" spans="1:16" x14ac:dyDescent="0.25">
      <c r="A108" s="559"/>
      <c r="B108" s="559"/>
      <c r="C108" s="559"/>
      <c r="D108" s="559"/>
      <c r="E108" s="559"/>
      <c r="F108" s="559"/>
      <c r="G108" t="str">
        <f>IF('Cost Inputs'!L114="Y", 1, IF('Cost Inputs'!$M114&gt;0, 1, ""))</f>
        <v/>
      </c>
      <c r="H108" t="str">
        <f>IF('Cost Inputs'!$L114="Y", 1, IF('Cost Inputs'!$M114=1, 1, ""))</f>
        <v/>
      </c>
      <c r="I108" t="str">
        <f>IF('Cost Inputs'!$L114="Y", 1, IF('Cost Inputs'!$M114=2, 1, ""))</f>
        <v/>
      </c>
      <c r="J108" t="str">
        <f>IF('Cost Inputs'!$L114="Y", 1, IF('Cost Inputs'!$M114=3, 1, ""))</f>
        <v/>
      </c>
      <c r="K108" t="str">
        <f>IF('Cost Inputs'!$L114="Y", 1, IF(OR('Cost Inputs'!$M114=4, 'Cost Inputs'!$M114=2), 1, ""))</f>
        <v/>
      </c>
      <c r="L108" t="str">
        <f>IF('Cost Inputs'!$L114="Y", 1, IF('Cost Inputs'!$M114=5, 1, ""))</f>
        <v/>
      </c>
      <c r="M108" t="str">
        <f>IF('Cost Inputs'!$L114="Y", 1, IF(OR('Cost Inputs'!$M114=6, 'Cost Inputs'!$M114=3, 'Cost Inputs'!$M114=2), 1, ""))</f>
        <v/>
      </c>
      <c r="N108" t="str">
        <f>IF('Cost Inputs'!$L114="Y", 1, IF('Cost Inputs'!$M114=7, 1, ""))</f>
        <v/>
      </c>
      <c r="O108" t="str">
        <f>IF('Cost Inputs'!$L114="Y", 1, IF(OR('Cost Inputs'!$M114=8, 'Cost Inputs'!$M114=4, 'Cost Inputs'!$M114=2), 1, ""))</f>
        <v/>
      </c>
      <c r="P108" t="str">
        <f>IF('Cost Inputs'!$L114="Y", 1, IF(OR('Cost Inputs'!$M114=9, 'Cost Inputs'!$M114=3), 1, ""))</f>
        <v/>
      </c>
    </row>
    <row r="109" spans="1:16" x14ac:dyDescent="0.25">
      <c r="A109" s="10"/>
      <c r="B109" s="11"/>
      <c r="C109" s="11"/>
      <c r="D109" s="11"/>
      <c r="E109" s="11"/>
      <c r="F109" s="12"/>
      <c r="G109" t="str">
        <f>IF('Cost Inputs'!L115="Y", 1, IF('Cost Inputs'!$M115&gt;0, 1, ""))</f>
        <v/>
      </c>
      <c r="H109" t="str">
        <f>IF('Cost Inputs'!$L115="Y", 1, IF('Cost Inputs'!$M115=1, 1, ""))</f>
        <v/>
      </c>
      <c r="I109" t="str">
        <f>IF('Cost Inputs'!$L115="Y", 1, IF('Cost Inputs'!$M115=2, 1, ""))</f>
        <v/>
      </c>
      <c r="J109" t="str">
        <f>IF('Cost Inputs'!$L115="Y", 1, IF('Cost Inputs'!$M115=3, 1, ""))</f>
        <v/>
      </c>
      <c r="K109" t="str">
        <f>IF('Cost Inputs'!$L115="Y", 1, IF(OR('Cost Inputs'!$M115=4, 'Cost Inputs'!$M115=2), 1, ""))</f>
        <v/>
      </c>
      <c r="L109" t="str">
        <f>IF('Cost Inputs'!$L115="Y", 1, IF('Cost Inputs'!$M115=5, 1, ""))</f>
        <v/>
      </c>
      <c r="M109" t="str">
        <f>IF('Cost Inputs'!$L115="Y", 1, IF(OR('Cost Inputs'!$M115=6, 'Cost Inputs'!$M115=3, 'Cost Inputs'!$M115=2), 1, ""))</f>
        <v/>
      </c>
      <c r="N109" t="str">
        <f>IF('Cost Inputs'!$L115="Y", 1, IF('Cost Inputs'!$M115=7, 1, ""))</f>
        <v/>
      </c>
      <c r="O109" t="str">
        <f>IF('Cost Inputs'!$L115="Y", 1, IF(OR('Cost Inputs'!$M115=8, 'Cost Inputs'!$M115=4, 'Cost Inputs'!$M115=2), 1, ""))</f>
        <v/>
      </c>
      <c r="P109" t="str">
        <f>IF('Cost Inputs'!$L115="Y", 1, IF(OR('Cost Inputs'!$M115=9, 'Cost Inputs'!$M115=3), 1, ""))</f>
        <v/>
      </c>
    </row>
    <row r="110" spans="1:16" x14ac:dyDescent="0.25">
      <c r="A110" s="581" t="s">
        <v>71</v>
      </c>
      <c r="B110" s="582"/>
      <c r="C110" s="582"/>
      <c r="D110" s="582"/>
      <c r="E110" s="582"/>
      <c r="F110" s="583"/>
      <c r="G110" t="str">
        <f>IF('Cost Inputs'!L116="Y", 1, IF('Cost Inputs'!$M116&gt;0, 1, ""))</f>
        <v/>
      </c>
      <c r="H110" t="str">
        <f>IF('Cost Inputs'!$L116="Y", 1, IF('Cost Inputs'!$M116=1, 1, ""))</f>
        <v/>
      </c>
      <c r="I110" t="str">
        <f>IF('Cost Inputs'!$L116="Y", 1, IF('Cost Inputs'!$M116=2, 1, ""))</f>
        <v/>
      </c>
      <c r="J110" t="str">
        <f>IF('Cost Inputs'!$L116="Y", 1, IF('Cost Inputs'!$M116=3, 1, ""))</f>
        <v/>
      </c>
      <c r="K110" t="str">
        <f>IF('Cost Inputs'!$L116="Y", 1, IF(OR('Cost Inputs'!$M116=4, 'Cost Inputs'!$M116=2), 1, ""))</f>
        <v/>
      </c>
      <c r="L110" t="str">
        <f>IF('Cost Inputs'!$L116="Y", 1, IF('Cost Inputs'!$M116=5, 1, ""))</f>
        <v/>
      </c>
      <c r="M110" t="str">
        <f>IF('Cost Inputs'!$L116="Y", 1, IF(OR('Cost Inputs'!$M116=6, 'Cost Inputs'!$M116=3, 'Cost Inputs'!$M116=2), 1, ""))</f>
        <v/>
      </c>
      <c r="N110" t="str">
        <f>IF('Cost Inputs'!$L116="Y", 1, IF('Cost Inputs'!$M116=7, 1, ""))</f>
        <v/>
      </c>
      <c r="O110" t="str">
        <f>IF('Cost Inputs'!$L116="Y", 1, IF(OR('Cost Inputs'!$M116=8, 'Cost Inputs'!$M116=4, 'Cost Inputs'!$M116=2), 1, ""))</f>
        <v/>
      </c>
      <c r="P110" t="str">
        <f>IF('Cost Inputs'!$L116="Y", 1, IF(OR('Cost Inputs'!$M116=9, 'Cost Inputs'!$M116=3), 1, ""))</f>
        <v/>
      </c>
    </row>
    <row r="111" spans="1:16" x14ac:dyDescent="0.25">
      <c r="A111" s="572"/>
      <c r="B111" s="573"/>
      <c r="C111" s="573"/>
      <c r="D111" s="573"/>
      <c r="E111" s="573"/>
      <c r="F111" s="574"/>
      <c r="G111" t="str">
        <f>IF('Cost Inputs'!L117="Y", 1, IF('Cost Inputs'!$M117&gt;0, 1, ""))</f>
        <v/>
      </c>
      <c r="H111" t="str">
        <f>IF('Cost Inputs'!$L117="Y", 1, IF('Cost Inputs'!$M117=1, 1, ""))</f>
        <v/>
      </c>
      <c r="I111" t="str">
        <f>IF('Cost Inputs'!$L117="Y", 1, IF('Cost Inputs'!$M117=2, 1, ""))</f>
        <v/>
      </c>
      <c r="J111" t="str">
        <f>IF('Cost Inputs'!$L117="Y", 1, IF('Cost Inputs'!$M117=3, 1, ""))</f>
        <v/>
      </c>
      <c r="K111" t="str">
        <f>IF('Cost Inputs'!$L117="Y", 1, IF(OR('Cost Inputs'!$M117=4, 'Cost Inputs'!$M117=2), 1, ""))</f>
        <v/>
      </c>
      <c r="L111" t="str">
        <f>IF('Cost Inputs'!$L117="Y", 1, IF('Cost Inputs'!$M117=5, 1, ""))</f>
        <v/>
      </c>
      <c r="M111" t="str">
        <f>IF('Cost Inputs'!$L117="Y", 1, IF(OR('Cost Inputs'!$M117=6, 'Cost Inputs'!$M117=3, 'Cost Inputs'!$M117=2), 1, ""))</f>
        <v/>
      </c>
      <c r="N111" t="str">
        <f>IF('Cost Inputs'!$L117="Y", 1, IF('Cost Inputs'!$M117=7, 1, ""))</f>
        <v/>
      </c>
      <c r="O111" t="str">
        <f>IF('Cost Inputs'!$L117="Y", 1, IF(OR('Cost Inputs'!$M117=8, 'Cost Inputs'!$M117=4, 'Cost Inputs'!$M117=2), 1, ""))</f>
        <v/>
      </c>
      <c r="P111" t="str">
        <f>IF('Cost Inputs'!$L117="Y", 1, IF(OR('Cost Inputs'!$M117=9, 'Cost Inputs'!$M117=3), 1, ""))</f>
        <v/>
      </c>
    </row>
    <row r="112" spans="1:16" x14ac:dyDescent="0.25">
      <c r="A112" s="575" t="s">
        <v>40</v>
      </c>
      <c r="B112" s="576"/>
      <c r="C112" s="576"/>
      <c r="D112" s="576"/>
      <c r="E112" s="576"/>
      <c r="F112" s="577"/>
      <c r="G112" t="str">
        <f>IF('Cost Inputs'!L118="Y", 1, IF('Cost Inputs'!$M118&gt;0, 1, ""))</f>
        <v/>
      </c>
      <c r="H112" t="str">
        <f>IF('Cost Inputs'!$L118="Y", 1, IF('Cost Inputs'!$M118=1, 1, ""))</f>
        <v/>
      </c>
      <c r="I112" t="str">
        <f>IF('Cost Inputs'!$L118="Y", 1, IF('Cost Inputs'!$M118=2, 1, ""))</f>
        <v/>
      </c>
      <c r="J112" t="str">
        <f>IF('Cost Inputs'!$L118="Y", 1, IF('Cost Inputs'!$M118=3, 1, ""))</f>
        <v/>
      </c>
      <c r="K112" t="str">
        <f>IF('Cost Inputs'!$L118="Y", 1, IF(OR('Cost Inputs'!$M118=4, 'Cost Inputs'!$M118=2), 1, ""))</f>
        <v/>
      </c>
      <c r="L112" t="str">
        <f>IF('Cost Inputs'!$L118="Y", 1, IF('Cost Inputs'!$M118=5, 1, ""))</f>
        <v/>
      </c>
      <c r="M112" t="str">
        <f>IF('Cost Inputs'!$L118="Y", 1, IF(OR('Cost Inputs'!$M118=6, 'Cost Inputs'!$M118=3, 'Cost Inputs'!$M118=2), 1, ""))</f>
        <v/>
      </c>
      <c r="N112" t="str">
        <f>IF('Cost Inputs'!$L118="Y", 1, IF('Cost Inputs'!$M118=7, 1, ""))</f>
        <v/>
      </c>
      <c r="O112" t="str">
        <f>IF('Cost Inputs'!$L118="Y", 1, IF(OR('Cost Inputs'!$M118=8, 'Cost Inputs'!$M118=4, 'Cost Inputs'!$M118=2), 1, ""))</f>
        <v/>
      </c>
      <c r="P112" t="str">
        <f>IF('Cost Inputs'!$L118="Y", 1, IF(OR('Cost Inputs'!$M118=9, 'Cost Inputs'!$M118=3), 1, ""))</f>
        <v/>
      </c>
    </row>
    <row r="113" spans="1:16" x14ac:dyDescent="0.25">
      <c r="A113" s="578"/>
      <c r="B113" s="579"/>
      <c r="C113" s="579"/>
      <c r="D113" s="579"/>
      <c r="E113" s="579"/>
      <c r="F113" s="580"/>
      <c r="G113" t="str">
        <f>IF('Cost Inputs'!L119="Y", 1, IF('Cost Inputs'!$M119&gt;0, 1, ""))</f>
        <v/>
      </c>
      <c r="H113" t="str">
        <f>IF('Cost Inputs'!$L119="Y", 1, IF('Cost Inputs'!$M119=1, 1, ""))</f>
        <v/>
      </c>
      <c r="I113" t="str">
        <f>IF('Cost Inputs'!$L119="Y", 1, IF('Cost Inputs'!$M119=2, 1, ""))</f>
        <v/>
      </c>
      <c r="J113" t="str">
        <f>IF('Cost Inputs'!$L119="Y", 1, IF('Cost Inputs'!$M119=3, 1, ""))</f>
        <v/>
      </c>
      <c r="K113" t="str">
        <f>IF('Cost Inputs'!$L119="Y", 1, IF(OR('Cost Inputs'!$M119=4, 'Cost Inputs'!$M119=2), 1, ""))</f>
        <v/>
      </c>
      <c r="L113" t="str">
        <f>IF('Cost Inputs'!$L119="Y", 1, IF('Cost Inputs'!$M119=5, 1, ""))</f>
        <v/>
      </c>
      <c r="M113" t="str">
        <f>IF('Cost Inputs'!$L119="Y", 1, IF(OR('Cost Inputs'!$M119=6, 'Cost Inputs'!$M119=3, 'Cost Inputs'!$M119=2), 1, ""))</f>
        <v/>
      </c>
      <c r="N113" t="str">
        <f>IF('Cost Inputs'!$L119="Y", 1, IF('Cost Inputs'!$M119=7, 1, ""))</f>
        <v/>
      </c>
      <c r="O113" t="str">
        <f>IF('Cost Inputs'!$L119="Y", 1, IF(OR('Cost Inputs'!$M119=8, 'Cost Inputs'!$M119=4, 'Cost Inputs'!$M119=2), 1, ""))</f>
        <v/>
      </c>
      <c r="P113" t="str">
        <f>IF('Cost Inputs'!$L119="Y", 1, IF(OR('Cost Inputs'!$M119=9, 'Cost Inputs'!$M119=3), 1, ""))</f>
        <v/>
      </c>
    </row>
    <row r="114" spans="1:16" x14ac:dyDescent="0.25">
      <c r="A114" s="559"/>
      <c r="B114" s="559"/>
      <c r="C114" s="559"/>
      <c r="D114" s="559"/>
      <c r="E114" s="559"/>
      <c r="F114" s="559"/>
      <c r="G114" t="str">
        <f>IF('Cost Inputs'!L120="Y", 1, IF('Cost Inputs'!$M120&gt;0, 1, ""))</f>
        <v/>
      </c>
      <c r="H114" t="str">
        <f>IF('Cost Inputs'!$L120="Y", 1, IF('Cost Inputs'!$M120=1, 1, ""))</f>
        <v/>
      </c>
      <c r="I114" t="str">
        <f>IF('Cost Inputs'!$L120="Y", 1, IF('Cost Inputs'!$M120=2, 1, ""))</f>
        <v/>
      </c>
      <c r="J114" t="str">
        <f>IF('Cost Inputs'!$L120="Y", 1, IF('Cost Inputs'!$M120=3, 1, ""))</f>
        <v/>
      </c>
      <c r="K114" t="str">
        <f>IF('Cost Inputs'!$L120="Y", 1, IF(OR('Cost Inputs'!$M120=4, 'Cost Inputs'!$M120=2), 1, ""))</f>
        <v/>
      </c>
      <c r="L114" t="str">
        <f>IF('Cost Inputs'!$L120="Y", 1, IF('Cost Inputs'!$M120=5, 1, ""))</f>
        <v/>
      </c>
      <c r="M114" t="str">
        <f>IF('Cost Inputs'!$L120="Y", 1, IF(OR('Cost Inputs'!$M120=6, 'Cost Inputs'!$M120=3, 'Cost Inputs'!$M120=2), 1, ""))</f>
        <v/>
      </c>
      <c r="N114" t="str">
        <f>IF('Cost Inputs'!$L120="Y", 1, IF('Cost Inputs'!$M120=7, 1, ""))</f>
        <v/>
      </c>
      <c r="O114" t="str">
        <f>IF('Cost Inputs'!$L120="Y", 1, IF(OR('Cost Inputs'!$M120=8, 'Cost Inputs'!$M120=4, 'Cost Inputs'!$M120=2), 1, ""))</f>
        <v/>
      </c>
      <c r="P114" t="str">
        <f>IF('Cost Inputs'!$L120="Y", 1, IF(OR('Cost Inputs'!$M120=9, 'Cost Inputs'!$M120=3), 1, ""))</f>
        <v/>
      </c>
    </row>
    <row r="115" spans="1:16" x14ac:dyDescent="0.25">
      <c r="A115" s="559"/>
      <c r="B115" s="559"/>
      <c r="C115" s="559"/>
      <c r="D115" s="559"/>
      <c r="E115" s="559"/>
      <c r="F115" s="559"/>
      <c r="G115" t="str">
        <f>IF('Cost Inputs'!L121="Y", 1, IF('Cost Inputs'!$M121&gt;0, 1, ""))</f>
        <v/>
      </c>
      <c r="H115" t="str">
        <f>IF('Cost Inputs'!$L121="Y", 1, IF('Cost Inputs'!$M121=1, 1, ""))</f>
        <v/>
      </c>
      <c r="I115" t="str">
        <f>IF('Cost Inputs'!$L121="Y", 1, IF('Cost Inputs'!$M121=2, 1, ""))</f>
        <v/>
      </c>
      <c r="J115" t="str">
        <f>IF('Cost Inputs'!$L121="Y", 1, IF('Cost Inputs'!$M121=3, 1, ""))</f>
        <v/>
      </c>
      <c r="K115" t="str">
        <f>IF('Cost Inputs'!$L121="Y", 1, IF(OR('Cost Inputs'!$M121=4, 'Cost Inputs'!$M121=2), 1, ""))</f>
        <v/>
      </c>
      <c r="L115" t="str">
        <f>IF('Cost Inputs'!$L121="Y", 1, IF('Cost Inputs'!$M121=5, 1, ""))</f>
        <v/>
      </c>
      <c r="M115" t="str">
        <f>IF('Cost Inputs'!$L121="Y", 1, IF(OR('Cost Inputs'!$M121=6, 'Cost Inputs'!$M121=3, 'Cost Inputs'!$M121=2), 1, ""))</f>
        <v/>
      </c>
      <c r="N115" t="str">
        <f>IF('Cost Inputs'!$L121="Y", 1, IF('Cost Inputs'!$M121=7, 1, ""))</f>
        <v/>
      </c>
      <c r="O115" t="str">
        <f>IF('Cost Inputs'!$L121="Y", 1, IF(OR('Cost Inputs'!$M121=8, 'Cost Inputs'!$M121=4, 'Cost Inputs'!$M121=2), 1, ""))</f>
        <v/>
      </c>
      <c r="P115" t="str">
        <f>IF('Cost Inputs'!$L121="Y", 1, IF(OR('Cost Inputs'!$M121=9, 'Cost Inputs'!$M121=3), 1, ""))</f>
        <v/>
      </c>
    </row>
    <row r="116" spans="1:16" x14ac:dyDescent="0.25">
      <c r="A116" s="584" t="s">
        <v>72</v>
      </c>
      <c r="B116" s="584"/>
      <c r="C116" s="584"/>
      <c r="D116" s="584"/>
      <c r="E116" s="584"/>
      <c r="F116" s="584"/>
      <c r="G116" t="str">
        <f>IF('Cost Inputs'!L124="Y", 1, IF('Cost Inputs'!$M124&gt;0, 1, ""))</f>
        <v/>
      </c>
      <c r="H116" t="str">
        <f>IF('Cost Inputs'!$L124="Y", 1, IF('Cost Inputs'!$M124=1, 1, ""))</f>
        <v/>
      </c>
      <c r="I116" t="str">
        <f>IF('Cost Inputs'!$L124="Y", 1, IF('Cost Inputs'!$M124=2, 1, ""))</f>
        <v/>
      </c>
      <c r="J116" t="str">
        <f>IF('Cost Inputs'!$L124="Y", 1, IF('Cost Inputs'!$M124=3, 1, ""))</f>
        <v/>
      </c>
      <c r="K116" t="str">
        <f>IF('Cost Inputs'!$L124="Y", 1, IF(OR('Cost Inputs'!$M124=4, 'Cost Inputs'!$M124=2), 1, ""))</f>
        <v/>
      </c>
      <c r="L116" t="str">
        <f>IF('Cost Inputs'!$L124="Y", 1, IF('Cost Inputs'!$M124=5, 1, ""))</f>
        <v/>
      </c>
      <c r="M116" t="str">
        <f>IF('Cost Inputs'!$L124="Y", 1, IF(OR('Cost Inputs'!$M124=6, 'Cost Inputs'!$M124=3, 'Cost Inputs'!$M124=2), 1, ""))</f>
        <v/>
      </c>
      <c r="N116" t="str">
        <f>IF('Cost Inputs'!$L124="Y", 1, IF('Cost Inputs'!$M124=7, 1, ""))</f>
        <v/>
      </c>
      <c r="O116" t="str">
        <f>IF('Cost Inputs'!$L124="Y", 1, IF(OR('Cost Inputs'!$M124=8, 'Cost Inputs'!$M124=4, 'Cost Inputs'!$M124=2), 1, ""))</f>
        <v/>
      </c>
      <c r="P116" t="str">
        <f>IF('Cost Inputs'!$L124="Y", 1, IF(OR('Cost Inputs'!$M124=9, 'Cost Inputs'!$M124=3), 1, ""))</f>
        <v/>
      </c>
    </row>
    <row r="117" spans="1:16" x14ac:dyDescent="0.25">
      <c r="A117" s="561"/>
      <c r="B117" s="561"/>
      <c r="C117" s="561"/>
      <c r="D117" s="561"/>
      <c r="E117" s="561"/>
      <c r="F117" s="561"/>
      <c r="G117" t="str">
        <f>IF('Cost Inputs'!L125="Y", 1, IF('Cost Inputs'!$M125&gt;0, 1, ""))</f>
        <v/>
      </c>
      <c r="H117" t="str">
        <f>IF('Cost Inputs'!$L125="Y", 1, IF('Cost Inputs'!$M125=1, 1, ""))</f>
        <v/>
      </c>
      <c r="I117" t="str">
        <f>IF('Cost Inputs'!$L125="Y", 1, IF('Cost Inputs'!$M125=2, 1, ""))</f>
        <v/>
      </c>
      <c r="J117" t="str">
        <f>IF('Cost Inputs'!$L125="Y", 1, IF('Cost Inputs'!$M125=3, 1, ""))</f>
        <v/>
      </c>
      <c r="K117" t="str">
        <f>IF('Cost Inputs'!$L125="Y", 1, IF(OR('Cost Inputs'!$M125=4, 'Cost Inputs'!$M125=2), 1, ""))</f>
        <v/>
      </c>
      <c r="L117" t="str">
        <f>IF('Cost Inputs'!$L125="Y", 1, IF('Cost Inputs'!$M125=5, 1, ""))</f>
        <v/>
      </c>
      <c r="M117" t="str">
        <f>IF('Cost Inputs'!$L125="Y", 1, IF(OR('Cost Inputs'!$M125=6, 'Cost Inputs'!$M125=3, 'Cost Inputs'!$M125=2), 1, ""))</f>
        <v/>
      </c>
      <c r="N117" t="str">
        <f>IF('Cost Inputs'!$L125="Y", 1, IF('Cost Inputs'!$M125=7, 1, ""))</f>
        <v/>
      </c>
      <c r="O117" t="str">
        <f>IF('Cost Inputs'!$L125="Y", 1, IF(OR('Cost Inputs'!$M125=8, 'Cost Inputs'!$M125=4, 'Cost Inputs'!$M125=2), 1, ""))</f>
        <v/>
      </c>
      <c r="P117" t="str">
        <f>IF('Cost Inputs'!$L125="Y", 1, IF(OR('Cost Inputs'!$M125=9, 'Cost Inputs'!$M125=3), 1, ""))</f>
        <v/>
      </c>
    </row>
    <row r="118" spans="1:16" x14ac:dyDescent="0.25">
      <c r="A118" s="559"/>
      <c r="B118" s="559"/>
      <c r="C118" s="559"/>
      <c r="D118" s="559"/>
      <c r="E118" s="559"/>
      <c r="F118" s="559"/>
      <c r="G118" t="str">
        <f>IF('Cost Inputs'!L126="Y", 1, IF('Cost Inputs'!$M126&gt;0, 1, ""))</f>
        <v/>
      </c>
      <c r="H118" t="str">
        <f>IF('Cost Inputs'!$L126="Y", 1, IF('Cost Inputs'!$M126=1, 1, ""))</f>
        <v/>
      </c>
      <c r="I118" t="str">
        <f>IF('Cost Inputs'!$L126="Y", 1, IF('Cost Inputs'!$M126=2, 1, ""))</f>
        <v/>
      </c>
      <c r="J118" t="str">
        <f>IF('Cost Inputs'!$L126="Y", 1, IF('Cost Inputs'!$M126=3, 1, ""))</f>
        <v/>
      </c>
      <c r="K118" t="str">
        <f>IF('Cost Inputs'!$L126="Y", 1, IF(OR('Cost Inputs'!$M126=4, 'Cost Inputs'!$M126=2), 1, ""))</f>
        <v/>
      </c>
      <c r="L118" t="str">
        <f>IF('Cost Inputs'!$L126="Y", 1, IF('Cost Inputs'!$M126=5, 1, ""))</f>
        <v/>
      </c>
      <c r="M118" t="str">
        <f>IF('Cost Inputs'!$L126="Y", 1, IF(OR('Cost Inputs'!$M126=6, 'Cost Inputs'!$M126=3, 'Cost Inputs'!$M126=2), 1, ""))</f>
        <v/>
      </c>
      <c r="N118" t="str">
        <f>IF('Cost Inputs'!$L126="Y", 1, IF('Cost Inputs'!$M126=7, 1, ""))</f>
        <v/>
      </c>
      <c r="O118" t="str">
        <f>IF('Cost Inputs'!$L126="Y", 1, IF(OR('Cost Inputs'!$M126=8, 'Cost Inputs'!$M126=4, 'Cost Inputs'!$M126=2), 1, ""))</f>
        <v/>
      </c>
      <c r="P118" t="str">
        <f>IF('Cost Inputs'!$L126="Y", 1, IF(OR('Cost Inputs'!$M126=9, 'Cost Inputs'!$M126=3), 1, ""))</f>
        <v/>
      </c>
    </row>
    <row r="119" spans="1:16" x14ac:dyDescent="0.25">
      <c r="A119" s="581" t="s">
        <v>41</v>
      </c>
      <c r="B119" s="582"/>
      <c r="C119" s="582"/>
      <c r="D119" s="582"/>
      <c r="E119" s="582"/>
      <c r="F119" s="583"/>
      <c r="G119" t="str">
        <f>IF('Cost Inputs'!L128="Y", 1, IF('Cost Inputs'!$M128&gt;0, 1, ""))</f>
        <v/>
      </c>
      <c r="H119" t="str">
        <f>IF('Cost Inputs'!$L128="Y", 1, IF('Cost Inputs'!$M128=1, 1, ""))</f>
        <v/>
      </c>
      <c r="I119" t="str">
        <f>IF('Cost Inputs'!$L128="Y", 1, IF('Cost Inputs'!$M128=2, 1, ""))</f>
        <v/>
      </c>
      <c r="J119" t="str">
        <f>IF('Cost Inputs'!$L128="Y", 1, IF('Cost Inputs'!$M128=3, 1, ""))</f>
        <v/>
      </c>
      <c r="K119" t="str">
        <f>IF('Cost Inputs'!$L128="Y", 1, IF(OR('Cost Inputs'!$M128=4, 'Cost Inputs'!$M128=2), 1, ""))</f>
        <v/>
      </c>
      <c r="L119" t="str">
        <f>IF('Cost Inputs'!$L128="Y", 1, IF('Cost Inputs'!$M128=5, 1, ""))</f>
        <v/>
      </c>
      <c r="M119" t="str">
        <f>IF('Cost Inputs'!$L128="Y", 1, IF(OR('Cost Inputs'!$M128=6, 'Cost Inputs'!$M128=3, 'Cost Inputs'!$M128=2), 1, ""))</f>
        <v/>
      </c>
      <c r="N119" t="str">
        <f>IF('Cost Inputs'!$L128="Y", 1, IF('Cost Inputs'!$M128=7, 1, ""))</f>
        <v/>
      </c>
      <c r="O119" t="str">
        <f>IF('Cost Inputs'!$L128="Y", 1, IF(OR('Cost Inputs'!$M128=8, 'Cost Inputs'!$M128=4, 'Cost Inputs'!$M128=2), 1, ""))</f>
        <v/>
      </c>
      <c r="P119" t="str">
        <f>IF('Cost Inputs'!$L128="Y", 1, IF(OR('Cost Inputs'!$M128=9, 'Cost Inputs'!$M128=3), 1, ""))</f>
        <v/>
      </c>
    </row>
    <row r="120" spans="1:16" x14ac:dyDescent="0.25">
      <c r="A120" s="572"/>
      <c r="B120" s="573"/>
      <c r="C120" s="573"/>
      <c r="D120" s="573"/>
      <c r="E120" s="573"/>
      <c r="F120" s="574"/>
      <c r="G120" t="str">
        <f>IF('Cost Inputs'!L129="Y", 1, IF('Cost Inputs'!$M129&gt;0, 1, ""))</f>
        <v/>
      </c>
      <c r="H120" t="str">
        <f>IF('Cost Inputs'!$L129="Y", 1, IF('Cost Inputs'!$M129=1, 1, ""))</f>
        <v/>
      </c>
      <c r="I120" t="str">
        <f>IF('Cost Inputs'!$L129="Y", 1, IF('Cost Inputs'!$M129=2, 1, ""))</f>
        <v/>
      </c>
      <c r="J120" t="str">
        <f>IF('Cost Inputs'!$L129="Y", 1, IF('Cost Inputs'!$M129=3, 1, ""))</f>
        <v/>
      </c>
      <c r="K120" t="str">
        <f>IF('Cost Inputs'!$L129="Y", 1, IF(OR('Cost Inputs'!$M129=4, 'Cost Inputs'!$M129=2), 1, ""))</f>
        <v/>
      </c>
      <c r="L120" t="str">
        <f>IF('Cost Inputs'!$L129="Y", 1, IF('Cost Inputs'!$M129=5, 1, ""))</f>
        <v/>
      </c>
      <c r="M120" t="str">
        <f>IF('Cost Inputs'!$L129="Y", 1, IF(OR('Cost Inputs'!$M129=6, 'Cost Inputs'!$M129=3, 'Cost Inputs'!$M129=2), 1, ""))</f>
        <v/>
      </c>
      <c r="N120" t="str">
        <f>IF('Cost Inputs'!$L129="Y", 1, IF('Cost Inputs'!$M129=7, 1, ""))</f>
        <v/>
      </c>
      <c r="O120" t="str">
        <f>IF('Cost Inputs'!$L129="Y", 1, IF(OR('Cost Inputs'!$M129=8, 'Cost Inputs'!$M129=4, 'Cost Inputs'!$M129=2), 1, ""))</f>
        <v/>
      </c>
      <c r="P120" t="str">
        <f>IF('Cost Inputs'!$L129="Y", 1, IF(OR('Cost Inputs'!$M129=9, 'Cost Inputs'!$M129=3), 1, ""))</f>
        <v/>
      </c>
    </row>
    <row r="121" spans="1:16" x14ac:dyDescent="0.25">
      <c r="A121" s="575" t="s">
        <v>42</v>
      </c>
      <c r="B121" s="576"/>
      <c r="C121" s="576"/>
      <c r="D121" s="576"/>
      <c r="E121" s="576"/>
      <c r="F121" s="577"/>
      <c r="G121" t="str">
        <f>IF('Cost Inputs'!L130="Y", 1, IF('Cost Inputs'!$M130&gt;0, 1, ""))</f>
        <v/>
      </c>
      <c r="H121" t="str">
        <f>IF('Cost Inputs'!$L130="Y", 1, IF('Cost Inputs'!$M130=1, 1, ""))</f>
        <v/>
      </c>
      <c r="I121" t="str">
        <f>IF('Cost Inputs'!$L130="Y", 1, IF('Cost Inputs'!$M130=2, 1, ""))</f>
        <v/>
      </c>
      <c r="J121" t="str">
        <f>IF('Cost Inputs'!$L130="Y", 1, IF('Cost Inputs'!$M130=3, 1, ""))</f>
        <v/>
      </c>
      <c r="K121" t="str">
        <f>IF('Cost Inputs'!$L130="Y", 1, IF(OR('Cost Inputs'!$M130=4, 'Cost Inputs'!$M130=2), 1, ""))</f>
        <v/>
      </c>
      <c r="L121" t="str">
        <f>IF('Cost Inputs'!$L130="Y", 1, IF('Cost Inputs'!$M130=5, 1, ""))</f>
        <v/>
      </c>
      <c r="M121" t="str">
        <f>IF('Cost Inputs'!$L130="Y", 1, IF(OR('Cost Inputs'!$M130=6, 'Cost Inputs'!$M130=3, 'Cost Inputs'!$M130=2), 1, ""))</f>
        <v/>
      </c>
      <c r="N121" t="str">
        <f>IF('Cost Inputs'!$L130="Y", 1, IF('Cost Inputs'!$M130=7, 1, ""))</f>
        <v/>
      </c>
      <c r="O121" t="str">
        <f>IF('Cost Inputs'!$L130="Y", 1, IF(OR('Cost Inputs'!$M130=8, 'Cost Inputs'!$M130=4, 'Cost Inputs'!$M130=2), 1, ""))</f>
        <v/>
      </c>
      <c r="P121" t="str">
        <f>IF('Cost Inputs'!$L130="Y", 1, IF(OR('Cost Inputs'!$M130=9, 'Cost Inputs'!$M130=3), 1, ""))</f>
        <v/>
      </c>
    </row>
    <row r="122" spans="1:16" x14ac:dyDescent="0.25">
      <c r="A122" s="578"/>
      <c r="B122" s="579"/>
      <c r="C122" s="579"/>
      <c r="D122" s="579"/>
      <c r="E122" s="579"/>
      <c r="F122" s="580"/>
      <c r="G122" t="str">
        <f>IF('Cost Inputs'!L131="Y", 1, IF('Cost Inputs'!$M131&gt;0, 1, ""))</f>
        <v/>
      </c>
      <c r="H122" t="str">
        <f>IF('Cost Inputs'!$L131="Y", 1, IF('Cost Inputs'!$M131=1, 1, ""))</f>
        <v/>
      </c>
      <c r="I122" t="str">
        <f>IF('Cost Inputs'!$L131="Y", 1, IF('Cost Inputs'!$M131=2, 1, ""))</f>
        <v/>
      </c>
      <c r="J122" t="str">
        <f>IF('Cost Inputs'!$L131="Y", 1, IF('Cost Inputs'!$M131=3, 1, ""))</f>
        <v/>
      </c>
      <c r="K122" t="str">
        <f>IF('Cost Inputs'!$L131="Y", 1, IF(OR('Cost Inputs'!$M131=4, 'Cost Inputs'!$M131=2), 1, ""))</f>
        <v/>
      </c>
      <c r="L122" t="str">
        <f>IF('Cost Inputs'!$L131="Y", 1, IF('Cost Inputs'!$M131=5, 1, ""))</f>
        <v/>
      </c>
      <c r="M122" t="str">
        <f>IF('Cost Inputs'!$L131="Y", 1, IF(OR('Cost Inputs'!$M131=6, 'Cost Inputs'!$M131=3, 'Cost Inputs'!$M131=2), 1, ""))</f>
        <v/>
      </c>
      <c r="N122" t="str">
        <f>IF('Cost Inputs'!$L131="Y", 1, IF('Cost Inputs'!$M131=7, 1, ""))</f>
        <v/>
      </c>
      <c r="O122" t="str">
        <f>IF('Cost Inputs'!$L131="Y", 1, IF(OR('Cost Inputs'!$M131=8, 'Cost Inputs'!$M131=4, 'Cost Inputs'!$M131=2), 1, ""))</f>
        <v/>
      </c>
      <c r="P122" t="str">
        <f>IF('Cost Inputs'!$L131="Y", 1, IF(OR('Cost Inputs'!$M131=9, 'Cost Inputs'!$M131=3), 1, ""))</f>
        <v/>
      </c>
    </row>
    <row r="123" spans="1:16" x14ac:dyDescent="0.25">
      <c r="A123" s="575" t="s">
        <v>43</v>
      </c>
      <c r="B123" s="576"/>
      <c r="C123" s="576"/>
      <c r="D123" s="576"/>
      <c r="E123" s="576"/>
      <c r="F123" s="577"/>
      <c r="G123" t="str">
        <f>IF('Cost Inputs'!L132="Y", 1, IF('Cost Inputs'!$M132&gt;0, 1, ""))</f>
        <v/>
      </c>
      <c r="H123" t="str">
        <f>IF('Cost Inputs'!$L132="Y", 1, IF('Cost Inputs'!$M132=1, 1, ""))</f>
        <v/>
      </c>
      <c r="I123" t="str">
        <f>IF('Cost Inputs'!$L132="Y", 1, IF('Cost Inputs'!$M132=2, 1, ""))</f>
        <v/>
      </c>
      <c r="J123" t="str">
        <f>IF('Cost Inputs'!$L132="Y", 1, IF('Cost Inputs'!$M132=3, 1, ""))</f>
        <v/>
      </c>
      <c r="K123" t="str">
        <f>IF('Cost Inputs'!$L132="Y", 1, IF(OR('Cost Inputs'!$M132=4, 'Cost Inputs'!$M132=2), 1, ""))</f>
        <v/>
      </c>
      <c r="L123" t="str">
        <f>IF('Cost Inputs'!$L132="Y", 1, IF('Cost Inputs'!$M132=5, 1, ""))</f>
        <v/>
      </c>
      <c r="M123" t="str">
        <f>IF('Cost Inputs'!$L132="Y", 1, IF(OR('Cost Inputs'!$M132=6, 'Cost Inputs'!$M132=3, 'Cost Inputs'!$M132=2), 1, ""))</f>
        <v/>
      </c>
      <c r="N123" t="str">
        <f>IF('Cost Inputs'!$L132="Y", 1, IF('Cost Inputs'!$M132=7, 1, ""))</f>
        <v/>
      </c>
      <c r="O123" t="str">
        <f>IF('Cost Inputs'!$L132="Y", 1, IF(OR('Cost Inputs'!$M132=8, 'Cost Inputs'!$M132=4, 'Cost Inputs'!$M132=2), 1, ""))</f>
        <v/>
      </c>
      <c r="P123" t="str">
        <f>IF('Cost Inputs'!$L132="Y", 1, IF(OR('Cost Inputs'!$M132=9, 'Cost Inputs'!$M132=3), 1, ""))</f>
        <v/>
      </c>
    </row>
    <row r="124" spans="1:16" x14ac:dyDescent="0.25">
      <c r="A124" s="578"/>
      <c r="B124" s="579"/>
      <c r="C124" s="579"/>
      <c r="D124" s="579"/>
      <c r="E124" s="579"/>
      <c r="F124" s="580"/>
      <c r="G124" t="str">
        <f>IF('Cost Inputs'!L133="Y", 1, IF('Cost Inputs'!$M133&gt;0, 1, ""))</f>
        <v/>
      </c>
      <c r="H124" t="str">
        <f>IF('Cost Inputs'!$L133="Y", 1, IF('Cost Inputs'!$M133=1, 1, ""))</f>
        <v/>
      </c>
      <c r="I124" t="str">
        <f>IF('Cost Inputs'!$L133="Y", 1, IF('Cost Inputs'!$M133=2, 1, ""))</f>
        <v/>
      </c>
      <c r="J124" t="str">
        <f>IF('Cost Inputs'!$L133="Y", 1, IF('Cost Inputs'!$M133=3, 1, ""))</f>
        <v/>
      </c>
      <c r="K124" t="str">
        <f>IF('Cost Inputs'!$L133="Y", 1, IF(OR('Cost Inputs'!$M133=4, 'Cost Inputs'!$M133=2), 1, ""))</f>
        <v/>
      </c>
      <c r="L124" t="str">
        <f>IF('Cost Inputs'!$L133="Y", 1, IF('Cost Inputs'!$M133=5, 1, ""))</f>
        <v/>
      </c>
      <c r="M124" t="str">
        <f>IF('Cost Inputs'!$L133="Y", 1, IF(OR('Cost Inputs'!$M133=6, 'Cost Inputs'!$M133=3, 'Cost Inputs'!$M133=2), 1, ""))</f>
        <v/>
      </c>
      <c r="N124" t="str">
        <f>IF('Cost Inputs'!$L133="Y", 1, IF('Cost Inputs'!$M133=7, 1, ""))</f>
        <v/>
      </c>
      <c r="O124" t="str">
        <f>IF('Cost Inputs'!$L133="Y", 1, IF(OR('Cost Inputs'!$M133=8, 'Cost Inputs'!$M133=4, 'Cost Inputs'!$M133=2), 1, ""))</f>
        <v/>
      </c>
      <c r="P124" t="str">
        <f>IF('Cost Inputs'!$L133="Y", 1, IF(OR('Cost Inputs'!$M133=9, 'Cost Inputs'!$M133=3), 1, ""))</f>
        <v/>
      </c>
    </row>
    <row r="125" spans="1:16" x14ac:dyDescent="0.25">
      <c r="A125" s="575" t="s">
        <v>52</v>
      </c>
      <c r="B125" s="576"/>
      <c r="C125" s="576"/>
      <c r="D125" s="576"/>
      <c r="E125" s="576"/>
      <c r="F125" s="577"/>
      <c r="G125" t="str">
        <f>IF('Cost Inputs'!L134="Y", 1, IF('Cost Inputs'!$M134&gt;0, 1, ""))</f>
        <v/>
      </c>
      <c r="H125" t="str">
        <f>IF('Cost Inputs'!$L134="Y", 1, IF('Cost Inputs'!$M134=1, 1, ""))</f>
        <v/>
      </c>
      <c r="I125" t="str">
        <f>IF('Cost Inputs'!$L134="Y", 1, IF('Cost Inputs'!$M134=2, 1, ""))</f>
        <v/>
      </c>
      <c r="J125" t="str">
        <f>IF('Cost Inputs'!$L134="Y", 1, IF('Cost Inputs'!$M134=3, 1, ""))</f>
        <v/>
      </c>
      <c r="K125" t="str">
        <f>IF('Cost Inputs'!$L134="Y", 1, IF(OR('Cost Inputs'!$M134=4, 'Cost Inputs'!$M134=2), 1, ""))</f>
        <v/>
      </c>
      <c r="L125" t="str">
        <f>IF('Cost Inputs'!$L134="Y", 1, IF('Cost Inputs'!$M134=5, 1, ""))</f>
        <v/>
      </c>
      <c r="M125" t="str">
        <f>IF('Cost Inputs'!$L134="Y", 1, IF(OR('Cost Inputs'!$M134=6, 'Cost Inputs'!$M134=3, 'Cost Inputs'!$M134=2), 1, ""))</f>
        <v/>
      </c>
      <c r="N125" t="str">
        <f>IF('Cost Inputs'!$L134="Y", 1, IF('Cost Inputs'!$M134=7, 1, ""))</f>
        <v/>
      </c>
      <c r="O125" t="str">
        <f>IF('Cost Inputs'!$L134="Y", 1, IF(OR('Cost Inputs'!$M134=8, 'Cost Inputs'!$M134=4, 'Cost Inputs'!$M134=2), 1, ""))</f>
        <v/>
      </c>
      <c r="P125" t="str">
        <f>IF('Cost Inputs'!$L134="Y", 1, IF(OR('Cost Inputs'!$M134=9, 'Cost Inputs'!$M134=3), 1, ""))</f>
        <v/>
      </c>
    </row>
    <row r="126" spans="1:16" x14ac:dyDescent="0.25">
      <c r="A126" s="578"/>
      <c r="B126" s="579"/>
      <c r="C126" s="579"/>
      <c r="D126" s="579"/>
      <c r="E126" s="579"/>
      <c r="F126" s="580"/>
      <c r="G126" t="str">
        <f>IF('Cost Inputs'!L135="Y", 1, IF('Cost Inputs'!$M135&gt;0, 1, ""))</f>
        <v/>
      </c>
      <c r="H126" t="str">
        <f>IF('Cost Inputs'!$L135="Y", 1, IF('Cost Inputs'!$M135=1, 1, ""))</f>
        <v/>
      </c>
      <c r="I126" t="str">
        <f>IF('Cost Inputs'!$L135="Y", 1, IF('Cost Inputs'!$M135=2, 1, ""))</f>
        <v/>
      </c>
      <c r="J126" t="str">
        <f>IF('Cost Inputs'!$L135="Y", 1, IF('Cost Inputs'!$M135=3, 1, ""))</f>
        <v/>
      </c>
      <c r="K126" t="str">
        <f>IF('Cost Inputs'!$L135="Y", 1, IF(OR('Cost Inputs'!$M135=4, 'Cost Inputs'!$M135=2), 1, ""))</f>
        <v/>
      </c>
      <c r="L126" t="str">
        <f>IF('Cost Inputs'!$L135="Y", 1, IF('Cost Inputs'!$M135=5, 1, ""))</f>
        <v/>
      </c>
      <c r="M126" t="str">
        <f>IF('Cost Inputs'!$L135="Y", 1, IF(OR('Cost Inputs'!$M135=6, 'Cost Inputs'!$M135=3, 'Cost Inputs'!$M135=2), 1, ""))</f>
        <v/>
      </c>
      <c r="N126" t="str">
        <f>IF('Cost Inputs'!$L135="Y", 1, IF('Cost Inputs'!$M135=7, 1, ""))</f>
        <v/>
      </c>
      <c r="O126" t="str">
        <f>IF('Cost Inputs'!$L135="Y", 1, IF(OR('Cost Inputs'!$M135=8, 'Cost Inputs'!$M135=4, 'Cost Inputs'!$M135=2), 1, ""))</f>
        <v/>
      </c>
      <c r="P126" t="str">
        <f>IF('Cost Inputs'!$L135="Y", 1, IF(OR('Cost Inputs'!$M135=9, 'Cost Inputs'!$M135=3), 1, ""))</f>
        <v/>
      </c>
    </row>
    <row r="127" spans="1:16" x14ac:dyDescent="0.25">
      <c r="A127" s="556"/>
      <c r="B127" s="557"/>
      <c r="C127" s="557"/>
      <c r="D127" s="557"/>
      <c r="E127" s="557"/>
      <c r="F127" s="558"/>
      <c r="G127" t="str">
        <f>IF('Cost Inputs'!L136="Y", 1, IF('Cost Inputs'!$M136&gt;0, 1, ""))</f>
        <v/>
      </c>
      <c r="H127" t="str">
        <f>IF('Cost Inputs'!$L136="Y", 1, IF('Cost Inputs'!$M136=1, 1, ""))</f>
        <v/>
      </c>
      <c r="I127" t="str">
        <f>IF('Cost Inputs'!$L136="Y", 1, IF('Cost Inputs'!$M136=2, 1, ""))</f>
        <v/>
      </c>
      <c r="J127" t="str">
        <f>IF('Cost Inputs'!$L136="Y", 1, IF('Cost Inputs'!$M136=3, 1, ""))</f>
        <v/>
      </c>
      <c r="K127" t="str">
        <f>IF('Cost Inputs'!$L136="Y", 1, IF(OR('Cost Inputs'!$M136=4, 'Cost Inputs'!$M136=2), 1, ""))</f>
        <v/>
      </c>
      <c r="L127" t="str">
        <f>IF('Cost Inputs'!$L136="Y", 1, IF('Cost Inputs'!$M136=5, 1, ""))</f>
        <v/>
      </c>
      <c r="M127" t="str">
        <f>IF('Cost Inputs'!$L136="Y", 1, IF(OR('Cost Inputs'!$M136=6, 'Cost Inputs'!$M136=3, 'Cost Inputs'!$M136=2), 1, ""))</f>
        <v/>
      </c>
      <c r="N127" t="str">
        <f>IF('Cost Inputs'!$L136="Y", 1, IF('Cost Inputs'!$M136=7, 1, ""))</f>
        <v/>
      </c>
      <c r="O127" t="str">
        <f>IF('Cost Inputs'!$L136="Y", 1, IF(OR('Cost Inputs'!$M136=8, 'Cost Inputs'!$M136=4, 'Cost Inputs'!$M136=2), 1, ""))</f>
        <v/>
      </c>
      <c r="P127" t="str">
        <f>IF('Cost Inputs'!$L136="Y", 1, IF(OR('Cost Inputs'!$M136=9, 'Cost Inputs'!$M136=3), 1, ""))</f>
        <v/>
      </c>
    </row>
    <row r="128" spans="1:16" x14ac:dyDescent="0.25">
      <c r="A128" s="559"/>
      <c r="B128" s="559"/>
      <c r="C128" s="559"/>
      <c r="D128" s="559"/>
      <c r="E128" s="559"/>
      <c r="F128" s="559"/>
      <c r="G128" t="str">
        <f>IF('Cost Inputs'!L137="Y", 1, IF('Cost Inputs'!$M137&gt;0, 1, ""))</f>
        <v/>
      </c>
      <c r="H128" t="str">
        <f>IF('Cost Inputs'!$L137="Y", 1, IF('Cost Inputs'!$M137=1, 1, ""))</f>
        <v/>
      </c>
      <c r="I128" t="str">
        <f>IF('Cost Inputs'!$L137="Y", 1, IF('Cost Inputs'!$M137=2, 1, ""))</f>
        <v/>
      </c>
      <c r="J128" t="str">
        <f>IF('Cost Inputs'!$L137="Y", 1, IF('Cost Inputs'!$M137=3, 1, ""))</f>
        <v/>
      </c>
      <c r="K128" t="str">
        <f>IF('Cost Inputs'!$L137="Y", 1, IF(OR('Cost Inputs'!$M137=4, 'Cost Inputs'!$M137=2), 1, ""))</f>
        <v/>
      </c>
      <c r="L128" t="str">
        <f>IF('Cost Inputs'!$L137="Y", 1, IF('Cost Inputs'!$M137=5, 1, ""))</f>
        <v/>
      </c>
      <c r="M128" t="str">
        <f>IF('Cost Inputs'!$L137="Y", 1, IF(OR('Cost Inputs'!$M137=6, 'Cost Inputs'!$M137=3, 'Cost Inputs'!$M137=2), 1, ""))</f>
        <v/>
      </c>
      <c r="N128" t="str">
        <f>IF('Cost Inputs'!$L137="Y", 1, IF('Cost Inputs'!$M137=7, 1, ""))</f>
        <v/>
      </c>
      <c r="O128" t="str">
        <f>IF('Cost Inputs'!$L137="Y", 1, IF(OR('Cost Inputs'!$M137=8, 'Cost Inputs'!$M137=4, 'Cost Inputs'!$M137=2), 1, ""))</f>
        <v/>
      </c>
      <c r="P128" t="str">
        <f>IF('Cost Inputs'!$L137="Y", 1, IF(OR('Cost Inputs'!$M137=9, 'Cost Inputs'!$M137=3), 1, ""))</f>
        <v/>
      </c>
    </row>
    <row r="129" spans="1:16" x14ac:dyDescent="0.25">
      <c r="A129" s="581" t="s">
        <v>44</v>
      </c>
      <c r="B129" s="582"/>
      <c r="C129" s="582"/>
      <c r="D129" s="582"/>
      <c r="E129" s="582"/>
      <c r="F129" s="583"/>
      <c r="G129" t="str">
        <f>IF('Cost Inputs'!L138="Y", 1, IF('Cost Inputs'!$M138&gt;0, 1, ""))</f>
        <v/>
      </c>
      <c r="H129" t="str">
        <f>IF('Cost Inputs'!$L138="Y", 1, IF('Cost Inputs'!$M138=1, 1, ""))</f>
        <v/>
      </c>
      <c r="I129" t="str">
        <f>IF('Cost Inputs'!$L138="Y", 1, IF('Cost Inputs'!$M138=2, 1, ""))</f>
        <v/>
      </c>
      <c r="J129" t="str">
        <f>IF('Cost Inputs'!$L138="Y", 1, IF('Cost Inputs'!$M138=3, 1, ""))</f>
        <v/>
      </c>
      <c r="K129" t="str">
        <f>IF('Cost Inputs'!$L138="Y", 1, IF(OR('Cost Inputs'!$M138=4, 'Cost Inputs'!$M138=2), 1, ""))</f>
        <v/>
      </c>
      <c r="L129" t="str">
        <f>IF('Cost Inputs'!$L138="Y", 1, IF('Cost Inputs'!$M138=5, 1, ""))</f>
        <v/>
      </c>
      <c r="M129" t="str">
        <f>IF('Cost Inputs'!$L138="Y", 1, IF(OR('Cost Inputs'!$M138=6, 'Cost Inputs'!$M138=3, 'Cost Inputs'!$M138=2), 1, ""))</f>
        <v/>
      </c>
      <c r="N129" t="str">
        <f>IF('Cost Inputs'!$L138="Y", 1, IF('Cost Inputs'!$M138=7, 1, ""))</f>
        <v/>
      </c>
      <c r="O129" t="str">
        <f>IF('Cost Inputs'!$L138="Y", 1, IF(OR('Cost Inputs'!$M138=8, 'Cost Inputs'!$M138=4, 'Cost Inputs'!$M138=2), 1, ""))</f>
        <v/>
      </c>
      <c r="P129" t="str">
        <f>IF('Cost Inputs'!$L138="Y", 1, IF(OR('Cost Inputs'!$M138=9, 'Cost Inputs'!$M138=3), 1, ""))</f>
        <v/>
      </c>
    </row>
    <row r="130" spans="1:16" x14ac:dyDescent="0.25">
      <c r="A130" s="572"/>
      <c r="B130" s="573"/>
      <c r="C130" s="573"/>
      <c r="D130" s="573"/>
      <c r="E130" s="573"/>
      <c r="F130" s="574"/>
      <c r="G130" t="str">
        <f>IF('Cost Inputs'!L139="Y", 1, IF('Cost Inputs'!$M139&gt;0, 1, ""))</f>
        <v/>
      </c>
      <c r="H130" t="str">
        <f>IF('Cost Inputs'!$L139="Y", 1, IF('Cost Inputs'!$M139=1, 1, ""))</f>
        <v/>
      </c>
      <c r="I130" t="str">
        <f>IF('Cost Inputs'!$L139="Y", 1, IF('Cost Inputs'!$M139=2, 1, ""))</f>
        <v/>
      </c>
      <c r="J130" t="str">
        <f>IF('Cost Inputs'!$L139="Y", 1, IF('Cost Inputs'!$M139=3, 1, ""))</f>
        <v/>
      </c>
      <c r="K130" t="str">
        <f>IF('Cost Inputs'!$L139="Y", 1, IF(OR('Cost Inputs'!$M139=4, 'Cost Inputs'!$M139=2), 1, ""))</f>
        <v/>
      </c>
      <c r="L130" t="str">
        <f>IF('Cost Inputs'!$L139="Y", 1, IF('Cost Inputs'!$M139=5, 1, ""))</f>
        <v/>
      </c>
      <c r="M130" t="str">
        <f>IF('Cost Inputs'!$L139="Y", 1, IF(OR('Cost Inputs'!$M139=6, 'Cost Inputs'!$M139=3, 'Cost Inputs'!$M139=2), 1, ""))</f>
        <v/>
      </c>
      <c r="N130" t="str">
        <f>IF('Cost Inputs'!$L139="Y", 1, IF('Cost Inputs'!$M139=7, 1, ""))</f>
        <v/>
      </c>
      <c r="O130" t="str">
        <f>IF('Cost Inputs'!$L139="Y", 1, IF(OR('Cost Inputs'!$M139=8, 'Cost Inputs'!$M139=4, 'Cost Inputs'!$M139=2), 1, ""))</f>
        <v/>
      </c>
      <c r="P130" t="str">
        <f>IF('Cost Inputs'!$L139="Y", 1, IF(OR('Cost Inputs'!$M139=9, 'Cost Inputs'!$M139=3), 1, ""))</f>
        <v/>
      </c>
    </row>
    <row r="131" spans="1:16" x14ac:dyDescent="0.25">
      <c r="A131" s="575" t="s">
        <v>120</v>
      </c>
      <c r="B131" s="576"/>
      <c r="C131" s="576"/>
      <c r="D131" s="576"/>
      <c r="E131" s="576"/>
      <c r="F131" s="577"/>
      <c r="G131" t="str">
        <f>IF('Cost Inputs'!L140="Y", 1, IF('Cost Inputs'!$M140&gt;0, 1, ""))</f>
        <v/>
      </c>
      <c r="H131" t="str">
        <f>IF('Cost Inputs'!$L140="Y", 1, IF('Cost Inputs'!$M140=1, 1, ""))</f>
        <v/>
      </c>
      <c r="I131" t="str">
        <f>IF('Cost Inputs'!$L140="Y", 1, IF('Cost Inputs'!$M140=2, 1, ""))</f>
        <v/>
      </c>
      <c r="J131" t="str">
        <f>IF('Cost Inputs'!$L140="Y", 1, IF('Cost Inputs'!$M140=3, 1, ""))</f>
        <v/>
      </c>
      <c r="K131" t="str">
        <f>IF('Cost Inputs'!$L140="Y", 1, IF(OR('Cost Inputs'!$M140=4, 'Cost Inputs'!$M140=2), 1, ""))</f>
        <v/>
      </c>
      <c r="L131" t="str">
        <f>IF('Cost Inputs'!$L140="Y", 1, IF('Cost Inputs'!$M140=5, 1, ""))</f>
        <v/>
      </c>
      <c r="M131" t="str">
        <f>IF('Cost Inputs'!$L140="Y", 1, IF(OR('Cost Inputs'!$M140=6, 'Cost Inputs'!$M140=3, 'Cost Inputs'!$M140=2), 1, ""))</f>
        <v/>
      </c>
      <c r="N131" t="str">
        <f>IF('Cost Inputs'!$L140="Y", 1, IF('Cost Inputs'!$M140=7, 1, ""))</f>
        <v/>
      </c>
      <c r="O131" t="str">
        <f>IF('Cost Inputs'!$L140="Y", 1, IF(OR('Cost Inputs'!$M140=8, 'Cost Inputs'!$M140=4, 'Cost Inputs'!$M140=2), 1, ""))</f>
        <v/>
      </c>
      <c r="P131" t="str">
        <f>IF('Cost Inputs'!$L140="Y", 1, IF(OR('Cost Inputs'!$M140=9, 'Cost Inputs'!$M140=3), 1, ""))</f>
        <v/>
      </c>
    </row>
    <row r="132" spans="1:16" x14ac:dyDescent="0.25">
      <c r="A132" s="578"/>
      <c r="B132" s="579"/>
      <c r="C132" s="579"/>
      <c r="D132" s="579"/>
      <c r="E132" s="579"/>
      <c r="F132" s="580"/>
      <c r="G132" t="str">
        <f>IF('Cost Inputs'!L141="Y", 1, IF('Cost Inputs'!$M141&gt;0, 1, ""))</f>
        <v/>
      </c>
      <c r="H132" t="str">
        <f>IF('Cost Inputs'!$L141="Y", 1, IF('Cost Inputs'!$M141=1, 1, ""))</f>
        <v/>
      </c>
      <c r="I132" t="str">
        <f>IF('Cost Inputs'!$L141="Y", 1, IF('Cost Inputs'!$M141=2, 1, ""))</f>
        <v/>
      </c>
      <c r="J132" t="str">
        <f>IF('Cost Inputs'!$L141="Y", 1, IF('Cost Inputs'!$M141=3, 1, ""))</f>
        <v/>
      </c>
      <c r="K132" t="str">
        <f>IF('Cost Inputs'!$L141="Y", 1, IF(OR('Cost Inputs'!$M141=4, 'Cost Inputs'!$M141=2), 1, ""))</f>
        <v/>
      </c>
      <c r="L132" t="str">
        <f>IF('Cost Inputs'!$L141="Y", 1, IF('Cost Inputs'!$M141=5, 1, ""))</f>
        <v/>
      </c>
      <c r="M132" t="str">
        <f>IF('Cost Inputs'!$L141="Y", 1, IF(OR('Cost Inputs'!$M141=6, 'Cost Inputs'!$M141=3, 'Cost Inputs'!$M141=2), 1, ""))</f>
        <v/>
      </c>
      <c r="N132" t="str">
        <f>IF('Cost Inputs'!$L141="Y", 1, IF('Cost Inputs'!$M141=7, 1, ""))</f>
        <v/>
      </c>
      <c r="O132" t="str">
        <f>IF('Cost Inputs'!$L141="Y", 1, IF(OR('Cost Inputs'!$M141=8, 'Cost Inputs'!$M141=4, 'Cost Inputs'!$M141=2), 1, ""))</f>
        <v/>
      </c>
      <c r="P132" t="str">
        <f>IF('Cost Inputs'!$L141="Y", 1, IF(OR('Cost Inputs'!$M141=9, 'Cost Inputs'!$M141=3), 1, ""))</f>
        <v/>
      </c>
    </row>
    <row r="133" spans="1:16" x14ac:dyDescent="0.25">
      <c r="A133" s="575" t="s">
        <v>38</v>
      </c>
      <c r="B133" s="576"/>
      <c r="C133" s="576"/>
      <c r="D133" s="576"/>
      <c r="E133" s="576"/>
      <c r="F133" s="577"/>
      <c r="G133" t="str">
        <f>IF('Cost Inputs'!L142="Y", 1, IF('Cost Inputs'!$M142&gt;0, 1, ""))</f>
        <v/>
      </c>
      <c r="H133" t="str">
        <f>IF('Cost Inputs'!$L142="Y", 1, IF('Cost Inputs'!$M142=1, 1, ""))</f>
        <v/>
      </c>
      <c r="I133" t="str">
        <f>IF('Cost Inputs'!$L142="Y", 1, IF('Cost Inputs'!$M142=2, 1, ""))</f>
        <v/>
      </c>
      <c r="J133" t="str">
        <f>IF('Cost Inputs'!$L142="Y", 1, IF('Cost Inputs'!$M142=3, 1, ""))</f>
        <v/>
      </c>
      <c r="K133" t="str">
        <f>IF('Cost Inputs'!$L142="Y", 1, IF(OR('Cost Inputs'!$M142=4, 'Cost Inputs'!$M142=2), 1, ""))</f>
        <v/>
      </c>
      <c r="L133" t="str">
        <f>IF('Cost Inputs'!$L142="Y", 1, IF('Cost Inputs'!$M142=5, 1, ""))</f>
        <v/>
      </c>
      <c r="M133" t="str">
        <f>IF('Cost Inputs'!$L142="Y", 1, IF(OR('Cost Inputs'!$M142=6, 'Cost Inputs'!$M142=3, 'Cost Inputs'!$M142=2), 1, ""))</f>
        <v/>
      </c>
      <c r="N133" t="str">
        <f>IF('Cost Inputs'!$L142="Y", 1, IF('Cost Inputs'!$M142=7, 1, ""))</f>
        <v/>
      </c>
      <c r="O133" t="str">
        <f>IF('Cost Inputs'!$L142="Y", 1, IF(OR('Cost Inputs'!$M142=8, 'Cost Inputs'!$M142=4, 'Cost Inputs'!$M142=2), 1, ""))</f>
        <v/>
      </c>
      <c r="P133" t="str">
        <f>IF('Cost Inputs'!$L142="Y", 1, IF(OR('Cost Inputs'!$M142=9, 'Cost Inputs'!$M142=3), 1, ""))</f>
        <v/>
      </c>
    </row>
    <row r="134" spans="1:16" x14ac:dyDescent="0.25">
      <c r="A134" s="578"/>
      <c r="B134" s="579"/>
      <c r="C134" s="579"/>
      <c r="D134" s="579"/>
      <c r="E134" s="579"/>
      <c r="F134" s="580"/>
      <c r="G134" t="str">
        <f>IF('Cost Inputs'!L143="Y", 1, IF('Cost Inputs'!$M143&gt;0, 1, ""))</f>
        <v/>
      </c>
      <c r="H134" t="str">
        <f>IF('Cost Inputs'!$L143="Y", 1, IF('Cost Inputs'!$M143=1, 1, ""))</f>
        <v/>
      </c>
      <c r="I134" t="str">
        <f>IF('Cost Inputs'!$L143="Y", 1, IF('Cost Inputs'!$M143=2, 1, ""))</f>
        <v/>
      </c>
      <c r="J134" t="str">
        <f>IF('Cost Inputs'!$L143="Y", 1, IF('Cost Inputs'!$M143=3, 1, ""))</f>
        <v/>
      </c>
      <c r="K134" t="str">
        <f>IF('Cost Inputs'!$L143="Y", 1, IF(OR('Cost Inputs'!$M143=4, 'Cost Inputs'!$M143=2), 1, ""))</f>
        <v/>
      </c>
      <c r="L134" t="str">
        <f>IF('Cost Inputs'!$L143="Y", 1, IF('Cost Inputs'!$M143=5, 1, ""))</f>
        <v/>
      </c>
      <c r="M134" t="str">
        <f>IF('Cost Inputs'!$L143="Y", 1, IF(OR('Cost Inputs'!$M143=6, 'Cost Inputs'!$M143=3, 'Cost Inputs'!$M143=2), 1, ""))</f>
        <v/>
      </c>
      <c r="N134" t="str">
        <f>IF('Cost Inputs'!$L143="Y", 1, IF('Cost Inputs'!$M143=7, 1, ""))</f>
        <v/>
      </c>
      <c r="O134" t="str">
        <f>IF('Cost Inputs'!$L143="Y", 1, IF(OR('Cost Inputs'!$M143=8, 'Cost Inputs'!$M143=4, 'Cost Inputs'!$M143=2), 1, ""))</f>
        <v/>
      </c>
      <c r="P134" t="str">
        <f>IF('Cost Inputs'!$L143="Y", 1, IF(OR('Cost Inputs'!$M143=9, 'Cost Inputs'!$M143=3), 1, ""))</f>
        <v/>
      </c>
    </row>
    <row r="135" spans="1:16" x14ac:dyDescent="0.25">
      <c r="A135" s="559"/>
      <c r="B135" s="559"/>
      <c r="C135" s="559"/>
      <c r="D135" s="559"/>
      <c r="E135" s="559"/>
      <c r="F135" s="559"/>
      <c r="G135" t="str">
        <f>IF('Cost Inputs'!L144="Y", 1, IF('Cost Inputs'!$M144&gt;0, 1, ""))</f>
        <v/>
      </c>
      <c r="H135" t="str">
        <f>IF('Cost Inputs'!$L144="Y", 1, IF('Cost Inputs'!$M144=1, 1, ""))</f>
        <v/>
      </c>
      <c r="I135" t="str">
        <f>IF('Cost Inputs'!$L144="Y", 1, IF('Cost Inputs'!$M144=2, 1, ""))</f>
        <v/>
      </c>
      <c r="J135" t="str">
        <f>IF('Cost Inputs'!$L144="Y", 1, IF('Cost Inputs'!$M144=3, 1, ""))</f>
        <v/>
      </c>
      <c r="K135" t="str">
        <f>IF('Cost Inputs'!$L144="Y", 1, IF(OR('Cost Inputs'!$M144=4, 'Cost Inputs'!$M144=2), 1, ""))</f>
        <v/>
      </c>
      <c r="L135" t="str">
        <f>IF('Cost Inputs'!$L144="Y", 1, IF('Cost Inputs'!$M144=5, 1, ""))</f>
        <v/>
      </c>
      <c r="M135" t="str">
        <f>IF('Cost Inputs'!$L144="Y", 1, IF(OR('Cost Inputs'!$M144=6, 'Cost Inputs'!$M144=3, 'Cost Inputs'!$M144=2), 1, ""))</f>
        <v/>
      </c>
      <c r="N135" t="str">
        <f>IF('Cost Inputs'!$L144="Y", 1, IF('Cost Inputs'!$M144=7, 1, ""))</f>
        <v/>
      </c>
      <c r="O135" t="str">
        <f>IF('Cost Inputs'!$L144="Y", 1, IF(OR('Cost Inputs'!$M144=8, 'Cost Inputs'!$M144=4, 'Cost Inputs'!$M144=2), 1, ""))</f>
        <v/>
      </c>
      <c r="P135" t="str">
        <f>IF('Cost Inputs'!$L144="Y", 1, IF(OR('Cost Inputs'!$M144=9, 'Cost Inputs'!$M144=3), 1, ""))</f>
        <v/>
      </c>
    </row>
    <row r="136" spans="1:16" x14ac:dyDescent="0.25">
      <c r="A136" s="559"/>
      <c r="B136" s="559"/>
      <c r="C136" s="559"/>
      <c r="D136" s="559"/>
      <c r="E136" s="559"/>
      <c r="F136" s="559"/>
      <c r="G136" t="str">
        <f>IF('Cost Inputs'!L145="Y", 1, IF('Cost Inputs'!$M145&gt;0, 1, ""))</f>
        <v/>
      </c>
      <c r="H136" t="str">
        <f>IF('Cost Inputs'!$L145="Y", 1, IF('Cost Inputs'!$M145=1, 1, ""))</f>
        <v/>
      </c>
      <c r="I136" t="str">
        <f>IF('Cost Inputs'!$L145="Y", 1, IF('Cost Inputs'!$M145=2, 1, ""))</f>
        <v/>
      </c>
      <c r="J136" t="str">
        <f>IF('Cost Inputs'!$L145="Y", 1, IF('Cost Inputs'!$M145=3, 1, ""))</f>
        <v/>
      </c>
      <c r="K136" t="str">
        <f>IF('Cost Inputs'!$L145="Y", 1, IF(OR('Cost Inputs'!$M145=4, 'Cost Inputs'!$M145=2), 1, ""))</f>
        <v/>
      </c>
      <c r="L136" t="str">
        <f>IF('Cost Inputs'!$L145="Y", 1, IF('Cost Inputs'!$M145=5, 1, ""))</f>
        <v/>
      </c>
      <c r="M136" t="str">
        <f>IF('Cost Inputs'!$L145="Y", 1, IF(OR('Cost Inputs'!$M145=6, 'Cost Inputs'!$M145=3, 'Cost Inputs'!$M145=2), 1, ""))</f>
        <v/>
      </c>
      <c r="N136" t="str">
        <f>IF('Cost Inputs'!$L145="Y", 1, IF('Cost Inputs'!$M145=7, 1, ""))</f>
        <v/>
      </c>
      <c r="O136" t="str">
        <f>IF('Cost Inputs'!$L145="Y", 1, IF(OR('Cost Inputs'!$M145=8, 'Cost Inputs'!$M145=4, 'Cost Inputs'!$M145=2), 1, ""))</f>
        <v/>
      </c>
      <c r="P136" t="str">
        <f>IF('Cost Inputs'!$L145="Y", 1, IF(OR('Cost Inputs'!$M145=9, 'Cost Inputs'!$M145=3), 1, ""))</f>
        <v/>
      </c>
    </row>
    <row r="137" spans="1:16" x14ac:dyDescent="0.25">
      <c r="A137" s="581" t="s">
        <v>45</v>
      </c>
      <c r="B137" s="582"/>
      <c r="C137" s="582"/>
      <c r="D137" s="582"/>
      <c r="E137" s="582"/>
      <c r="F137" s="583"/>
      <c r="G137" t="str">
        <f>IF('Cost Inputs'!L146="Y", 1, IF('Cost Inputs'!$M146&gt;0, 1, ""))</f>
        <v/>
      </c>
      <c r="H137" t="str">
        <f>IF('Cost Inputs'!$L146="Y", 1, IF('Cost Inputs'!$M146=1, 1, ""))</f>
        <v/>
      </c>
      <c r="I137" t="str">
        <f>IF('Cost Inputs'!$L146="Y", 1, IF('Cost Inputs'!$M146=2, 1, ""))</f>
        <v/>
      </c>
      <c r="J137" t="str">
        <f>IF('Cost Inputs'!$L146="Y", 1, IF('Cost Inputs'!$M146=3, 1, ""))</f>
        <v/>
      </c>
      <c r="K137" t="str">
        <f>IF('Cost Inputs'!$L146="Y", 1, IF(OR('Cost Inputs'!$M146=4, 'Cost Inputs'!$M146=2), 1, ""))</f>
        <v/>
      </c>
      <c r="L137" t="str">
        <f>IF('Cost Inputs'!$L146="Y", 1, IF('Cost Inputs'!$M146=5, 1, ""))</f>
        <v/>
      </c>
      <c r="M137" t="str">
        <f>IF('Cost Inputs'!$L146="Y", 1, IF(OR('Cost Inputs'!$M146=6, 'Cost Inputs'!$M146=3, 'Cost Inputs'!$M146=2), 1, ""))</f>
        <v/>
      </c>
      <c r="N137" t="str">
        <f>IF('Cost Inputs'!$L146="Y", 1, IF('Cost Inputs'!$M146=7, 1, ""))</f>
        <v/>
      </c>
      <c r="O137" t="str">
        <f>IF('Cost Inputs'!$L146="Y", 1, IF(OR('Cost Inputs'!$M146=8, 'Cost Inputs'!$M146=4, 'Cost Inputs'!$M146=2), 1, ""))</f>
        <v/>
      </c>
      <c r="P137" t="str">
        <f>IF('Cost Inputs'!$L146="Y", 1, IF(OR('Cost Inputs'!$M146=9, 'Cost Inputs'!$M146=3), 1, ""))</f>
        <v/>
      </c>
    </row>
    <row r="138" spans="1:16" x14ac:dyDescent="0.25">
      <c r="A138" s="572"/>
      <c r="B138" s="573"/>
      <c r="C138" s="573"/>
      <c r="D138" s="573"/>
      <c r="E138" s="573"/>
      <c r="F138" s="574"/>
      <c r="G138" t="str">
        <f>IF('Cost Inputs'!L147="Y", 1, IF('Cost Inputs'!$M147&gt;0, 1, ""))</f>
        <v/>
      </c>
      <c r="H138" t="str">
        <f>IF('Cost Inputs'!$L147="Y", 1, IF('Cost Inputs'!$M147=1, 1, ""))</f>
        <v/>
      </c>
      <c r="I138" t="str">
        <f>IF('Cost Inputs'!$L147="Y", 1, IF('Cost Inputs'!$M147=2, 1, ""))</f>
        <v/>
      </c>
      <c r="J138" t="str">
        <f>IF('Cost Inputs'!$L147="Y", 1, IF('Cost Inputs'!$M147=3, 1, ""))</f>
        <v/>
      </c>
      <c r="K138" t="str">
        <f>IF('Cost Inputs'!$L147="Y", 1, IF(OR('Cost Inputs'!$M147=4, 'Cost Inputs'!$M147=2), 1, ""))</f>
        <v/>
      </c>
      <c r="L138" t="str">
        <f>IF('Cost Inputs'!$L147="Y", 1, IF('Cost Inputs'!$M147=5, 1, ""))</f>
        <v/>
      </c>
      <c r="M138" t="str">
        <f>IF('Cost Inputs'!$L147="Y", 1, IF(OR('Cost Inputs'!$M147=6, 'Cost Inputs'!$M147=3, 'Cost Inputs'!$M147=2), 1, ""))</f>
        <v/>
      </c>
      <c r="N138" t="str">
        <f>IF('Cost Inputs'!$L147="Y", 1, IF('Cost Inputs'!$M147=7, 1, ""))</f>
        <v/>
      </c>
      <c r="O138" t="str">
        <f>IF('Cost Inputs'!$L147="Y", 1, IF(OR('Cost Inputs'!$M147=8, 'Cost Inputs'!$M147=4, 'Cost Inputs'!$M147=2), 1, ""))</f>
        <v/>
      </c>
      <c r="P138" t="str">
        <f>IF('Cost Inputs'!$L147="Y", 1, IF(OR('Cost Inputs'!$M147=9, 'Cost Inputs'!$M147=3), 1, ""))</f>
        <v/>
      </c>
    </row>
    <row r="139" spans="1:16" x14ac:dyDescent="0.25">
      <c r="A139" s="559"/>
      <c r="B139" s="559"/>
      <c r="C139" s="559"/>
      <c r="D139" s="559"/>
      <c r="E139" s="559"/>
      <c r="F139" s="559"/>
      <c r="G139" t="str">
        <f>IF('Cost Inputs'!L152="Y", 1, IF('Cost Inputs'!$M152&gt;0, 1, ""))</f>
        <v/>
      </c>
      <c r="H139" t="str">
        <f>IF('Cost Inputs'!$L152="Y", 1, IF('Cost Inputs'!$M152=1, 1, ""))</f>
        <v/>
      </c>
      <c r="I139" t="str">
        <f>IF('Cost Inputs'!$L152="Y", 1, IF('Cost Inputs'!$M152=2, 1, ""))</f>
        <v/>
      </c>
      <c r="J139" t="str">
        <f>IF('Cost Inputs'!$L152="Y", 1, IF('Cost Inputs'!$M152=3, 1, ""))</f>
        <v/>
      </c>
      <c r="K139" t="str">
        <f>IF('Cost Inputs'!$L152="Y", 1, IF(OR('Cost Inputs'!$M152=4, 'Cost Inputs'!$M152=2), 1, ""))</f>
        <v/>
      </c>
      <c r="L139" t="str">
        <f>IF('Cost Inputs'!$L152="Y", 1, IF('Cost Inputs'!$M152=5, 1, ""))</f>
        <v/>
      </c>
      <c r="M139" t="str">
        <f>IF('Cost Inputs'!$L152="Y", 1, IF(OR('Cost Inputs'!$M152=6, 'Cost Inputs'!$M152=3, 'Cost Inputs'!$M152=2), 1, ""))</f>
        <v/>
      </c>
      <c r="N139" t="str">
        <f>IF('Cost Inputs'!$L152="Y", 1, IF('Cost Inputs'!$M152=7, 1, ""))</f>
        <v/>
      </c>
      <c r="O139" t="str">
        <f>IF('Cost Inputs'!$L152="Y", 1, IF(OR('Cost Inputs'!$M152=8, 'Cost Inputs'!$M152=4, 'Cost Inputs'!$M152=2), 1, ""))</f>
        <v/>
      </c>
      <c r="P139" t="str">
        <f>IF('Cost Inputs'!$L152="Y", 1, IF(OR('Cost Inputs'!$M152=9, 'Cost Inputs'!$M152=3), 1, ""))</f>
        <v/>
      </c>
    </row>
    <row r="140" spans="1:16" x14ac:dyDescent="0.25">
      <c r="A140" s="581" t="s">
        <v>46</v>
      </c>
      <c r="B140" s="582"/>
      <c r="C140" s="582"/>
      <c r="D140" s="582"/>
      <c r="E140" s="582"/>
      <c r="F140" s="583"/>
      <c r="G140" t="str">
        <f>IF('Cost Inputs'!L157="Y", 1, IF('Cost Inputs'!$M157&gt;0, 1, ""))</f>
        <v/>
      </c>
      <c r="H140" t="str">
        <f>IF('Cost Inputs'!$L157="Y", 1, IF('Cost Inputs'!$M157=1, 1, ""))</f>
        <v/>
      </c>
      <c r="I140" t="str">
        <f>IF('Cost Inputs'!$L157="Y", 1, IF('Cost Inputs'!$M157=2, 1, ""))</f>
        <v/>
      </c>
      <c r="J140" t="str">
        <f>IF('Cost Inputs'!$L157="Y", 1, IF('Cost Inputs'!$M157=3, 1, ""))</f>
        <v/>
      </c>
      <c r="K140" t="str">
        <f>IF('Cost Inputs'!$L157="Y", 1, IF(OR('Cost Inputs'!$M157=4, 'Cost Inputs'!$M157=2), 1, ""))</f>
        <v/>
      </c>
      <c r="L140" t="str">
        <f>IF('Cost Inputs'!$L157="Y", 1, IF('Cost Inputs'!$M157=5, 1, ""))</f>
        <v/>
      </c>
      <c r="M140" t="str">
        <f>IF('Cost Inputs'!$L157="Y", 1, IF(OR('Cost Inputs'!$M157=6, 'Cost Inputs'!$M157=3, 'Cost Inputs'!$M157=2), 1, ""))</f>
        <v/>
      </c>
      <c r="N140" t="str">
        <f>IF('Cost Inputs'!$L157="Y", 1, IF('Cost Inputs'!$M157=7, 1, ""))</f>
        <v/>
      </c>
      <c r="O140" t="str">
        <f>IF('Cost Inputs'!$L157="Y", 1, IF(OR('Cost Inputs'!$M157=8, 'Cost Inputs'!$M157=4, 'Cost Inputs'!$M157=2), 1, ""))</f>
        <v/>
      </c>
      <c r="P140" t="str">
        <f>IF('Cost Inputs'!$L157="Y", 1, IF(OR('Cost Inputs'!$M157=9, 'Cost Inputs'!$M157=3), 1, ""))</f>
        <v/>
      </c>
    </row>
    <row r="141" spans="1:16" x14ac:dyDescent="0.25">
      <c r="A141" s="572"/>
      <c r="B141" s="573"/>
      <c r="C141" s="573"/>
      <c r="D141" s="573"/>
      <c r="E141" s="573"/>
      <c r="F141" s="574"/>
      <c r="G141" t="str">
        <f>IF('Cost Inputs'!L158="Y", 1, IF('Cost Inputs'!$M158&gt;0, 1, ""))</f>
        <v/>
      </c>
      <c r="H141" t="str">
        <f>IF('Cost Inputs'!$L158="Y", 1, IF('Cost Inputs'!$M158=1, 1, ""))</f>
        <v/>
      </c>
      <c r="I141" t="str">
        <f>IF('Cost Inputs'!$L158="Y", 1, IF('Cost Inputs'!$M158=2, 1, ""))</f>
        <v/>
      </c>
      <c r="J141" t="str">
        <f>IF('Cost Inputs'!$L158="Y", 1, IF('Cost Inputs'!$M158=3, 1, ""))</f>
        <v/>
      </c>
      <c r="K141" t="str">
        <f>IF('Cost Inputs'!$L158="Y", 1, IF(OR('Cost Inputs'!$M158=4, 'Cost Inputs'!$M158=2), 1, ""))</f>
        <v/>
      </c>
      <c r="L141" t="str">
        <f>IF('Cost Inputs'!$L158="Y", 1, IF('Cost Inputs'!$M158=5, 1, ""))</f>
        <v/>
      </c>
      <c r="M141" t="str">
        <f>IF('Cost Inputs'!$L158="Y", 1, IF(OR('Cost Inputs'!$M158=6, 'Cost Inputs'!$M158=3, 'Cost Inputs'!$M158=2), 1, ""))</f>
        <v/>
      </c>
      <c r="N141" t="str">
        <f>IF('Cost Inputs'!$L158="Y", 1, IF('Cost Inputs'!$M158=7, 1, ""))</f>
        <v/>
      </c>
      <c r="O141" t="str">
        <f>IF('Cost Inputs'!$L158="Y", 1, IF(OR('Cost Inputs'!$M158=8, 'Cost Inputs'!$M158=4, 'Cost Inputs'!$M158=2), 1, ""))</f>
        <v/>
      </c>
      <c r="P141" t="str">
        <f>IF('Cost Inputs'!$L158="Y", 1, IF(OR('Cost Inputs'!$M158=9, 'Cost Inputs'!$M158=3), 1, ""))</f>
        <v/>
      </c>
    </row>
    <row r="142" spans="1:16" x14ac:dyDescent="0.25">
      <c r="A142" s="575" t="s">
        <v>40</v>
      </c>
      <c r="B142" s="576"/>
      <c r="C142" s="576"/>
      <c r="D142" s="576"/>
      <c r="E142" s="576"/>
      <c r="F142" s="577"/>
      <c r="G142" t="str">
        <f>IF('Cost Inputs'!L159="Y", 1, IF('Cost Inputs'!$M159&gt;0, 1, ""))</f>
        <v/>
      </c>
      <c r="H142" t="str">
        <f>IF('Cost Inputs'!$L159="Y", 1, IF('Cost Inputs'!$M159=1, 1, ""))</f>
        <v/>
      </c>
      <c r="I142" t="str">
        <f>IF('Cost Inputs'!$L159="Y", 1, IF('Cost Inputs'!$M159=2, 1, ""))</f>
        <v/>
      </c>
      <c r="J142" t="str">
        <f>IF('Cost Inputs'!$L159="Y", 1, IF('Cost Inputs'!$M159=3, 1, ""))</f>
        <v/>
      </c>
      <c r="K142" t="str">
        <f>IF('Cost Inputs'!$L159="Y", 1, IF(OR('Cost Inputs'!$M159=4, 'Cost Inputs'!$M159=2), 1, ""))</f>
        <v/>
      </c>
      <c r="L142" t="str">
        <f>IF('Cost Inputs'!$L159="Y", 1, IF('Cost Inputs'!$M159=5, 1, ""))</f>
        <v/>
      </c>
      <c r="M142" t="str">
        <f>IF('Cost Inputs'!$L159="Y", 1, IF(OR('Cost Inputs'!$M159=6, 'Cost Inputs'!$M159=3, 'Cost Inputs'!$M159=2), 1, ""))</f>
        <v/>
      </c>
      <c r="N142" t="str">
        <f>IF('Cost Inputs'!$L159="Y", 1, IF('Cost Inputs'!$M159=7, 1, ""))</f>
        <v/>
      </c>
      <c r="O142" t="str">
        <f>IF('Cost Inputs'!$L159="Y", 1, IF(OR('Cost Inputs'!$M159=8, 'Cost Inputs'!$M159=4, 'Cost Inputs'!$M159=2), 1, ""))</f>
        <v/>
      </c>
      <c r="P142" t="str">
        <f>IF('Cost Inputs'!$L159="Y", 1, IF(OR('Cost Inputs'!$M159=9, 'Cost Inputs'!$M159=3), 1, ""))</f>
        <v/>
      </c>
    </row>
    <row r="143" spans="1:16" x14ac:dyDescent="0.25">
      <c r="A143" s="578"/>
      <c r="B143" s="579"/>
      <c r="C143" s="579"/>
      <c r="D143" s="579"/>
      <c r="E143" s="579"/>
      <c r="F143" s="580"/>
      <c r="G143" t="str">
        <f>IF('Cost Inputs'!L160="Y", 1, IF('Cost Inputs'!$M160&gt;0, 1, ""))</f>
        <v/>
      </c>
      <c r="H143" t="str">
        <f>IF('Cost Inputs'!$L160="Y", 1, IF('Cost Inputs'!$M160=1, 1, ""))</f>
        <v/>
      </c>
      <c r="I143" t="str">
        <f>IF('Cost Inputs'!$L160="Y", 1, IF('Cost Inputs'!$M160=2, 1, ""))</f>
        <v/>
      </c>
      <c r="J143" t="str">
        <f>IF('Cost Inputs'!$L160="Y", 1, IF('Cost Inputs'!$M160=3, 1, ""))</f>
        <v/>
      </c>
      <c r="K143" t="str">
        <f>IF('Cost Inputs'!$L160="Y", 1, IF(OR('Cost Inputs'!$M160=4, 'Cost Inputs'!$M160=2), 1, ""))</f>
        <v/>
      </c>
      <c r="L143" t="str">
        <f>IF('Cost Inputs'!$L160="Y", 1, IF('Cost Inputs'!$M160=5, 1, ""))</f>
        <v/>
      </c>
      <c r="M143" t="str">
        <f>IF('Cost Inputs'!$L160="Y", 1, IF(OR('Cost Inputs'!$M160=6, 'Cost Inputs'!$M160=3, 'Cost Inputs'!$M160=2), 1, ""))</f>
        <v/>
      </c>
      <c r="N143" t="str">
        <f>IF('Cost Inputs'!$L160="Y", 1, IF('Cost Inputs'!$M160=7, 1, ""))</f>
        <v/>
      </c>
      <c r="O143" t="str">
        <f>IF('Cost Inputs'!$L160="Y", 1, IF(OR('Cost Inputs'!$M160=8, 'Cost Inputs'!$M160=4, 'Cost Inputs'!$M160=2), 1, ""))</f>
        <v/>
      </c>
      <c r="P143" t="str">
        <f>IF('Cost Inputs'!$L160="Y", 1, IF(OR('Cost Inputs'!$M160=9, 'Cost Inputs'!$M160=3), 1, ""))</f>
        <v/>
      </c>
    </row>
    <row r="144" spans="1:16" x14ac:dyDescent="0.25">
      <c r="A144" s="559"/>
      <c r="B144" s="559"/>
      <c r="C144" s="559"/>
      <c r="D144" s="559"/>
      <c r="E144" s="559"/>
      <c r="F144" s="559"/>
      <c r="G144" t="str">
        <f>IF('Cost Inputs'!L161="Y", 1, IF('Cost Inputs'!$M161&gt;0, 1, ""))</f>
        <v/>
      </c>
      <c r="H144" t="str">
        <f>IF('Cost Inputs'!$L161="Y", 1, IF('Cost Inputs'!$M161=1, 1, ""))</f>
        <v/>
      </c>
      <c r="I144" t="str">
        <f>IF('Cost Inputs'!$L161="Y", 1, IF('Cost Inputs'!$M161=2, 1, ""))</f>
        <v/>
      </c>
      <c r="J144" t="str">
        <f>IF('Cost Inputs'!$L161="Y", 1, IF('Cost Inputs'!$M161=3, 1, ""))</f>
        <v/>
      </c>
      <c r="K144" t="str">
        <f>IF('Cost Inputs'!$L161="Y", 1, IF(OR('Cost Inputs'!$M161=4, 'Cost Inputs'!$M161=2), 1, ""))</f>
        <v/>
      </c>
      <c r="L144" t="str">
        <f>IF('Cost Inputs'!$L161="Y", 1, IF('Cost Inputs'!$M161=5, 1, ""))</f>
        <v/>
      </c>
      <c r="M144" t="str">
        <f>IF('Cost Inputs'!$L161="Y", 1, IF(OR('Cost Inputs'!$M161=6, 'Cost Inputs'!$M161=3, 'Cost Inputs'!$M161=2), 1, ""))</f>
        <v/>
      </c>
      <c r="N144" t="str">
        <f>IF('Cost Inputs'!$L161="Y", 1, IF('Cost Inputs'!$M161=7, 1, ""))</f>
        <v/>
      </c>
      <c r="O144" t="str">
        <f>IF('Cost Inputs'!$L161="Y", 1, IF(OR('Cost Inputs'!$M161=8, 'Cost Inputs'!$M161=4, 'Cost Inputs'!$M161=2), 1, ""))</f>
        <v/>
      </c>
      <c r="P144" t="str">
        <f>IF('Cost Inputs'!$L161="Y", 1, IF(OR('Cost Inputs'!$M161=9, 'Cost Inputs'!$M161=3), 1, ""))</f>
        <v/>
      </c>
    </row>
    <row r="145" spans="1:16" x14ac:dyDescent="0.25">
      <c r="A145" s="559"/>
      <c r="B145" s="559"/>
      <c r="C145" s="559"/>
      <c r="D145" s="559"/>
      <c r="E145" s="559"/>
      <c r="F145" s="559"/>
      <c r="G145" t="str">
        <f>IF('Cost Inputs'!L164="Y", 1, IF('Cost Inputs'!$M164&gt;0, 1, ""))</f>
        <v/>
      </c>
      <c r="H145" t="str">
        <f>IF('Cost Inputs'!$L164="Y", 1, IF('Cost Inputs'!$M164=1, 1, ""))</f>
        <v/>
      </c>
      <c r="I145" t="str">
        <f>IF('Cost Inputs'!$L164="Y", 1, IF('Cost Inputs'!$M164=2, 1, ""))</f>
        <v/>
      </c>
      <c r="J145" t="str">
        <f>IF('Cost Inputs'!$L164="Y", 1, IF('Cost Inputs'!$M164=3, 1, ""))</f>
        <v/>
      </c>
      <c r="K145" t="str">
        <f>IF('Cost Inputs'!$L164="Y", 1, IF(OR('Cost Inputs'!$M164=4, 'Cost Inputs'!$M164=2), 1, ""))</f>
        <v/>
      </c>
      <c r="L145" t="str">
        <f>IF('Cost Inputs'!$L164="Y", 1, IF('Cost Inputs'!$M164=5, 1, ""))</f>
        <v/>
      </c>
      <c r="M145" t="str">
        <f>IF('Cost Inputs'!$L164="Y", 1, IF(OR('Cost Inputs'!$M164=6, 'Cost Inputs'!$M164=3, 'Cost Inputs'!$M164=2), 1, ""))</f>
        <v/>
      </c>
      <c r="N145" t="str">
        <f>IF('Cost Inputs'!$L164="Y", 1, IF('Cost Inputs'!$M164=7, 1, ""))</f>
        <v/>
      </c>
      <c r="O145" t="str">
        <f>IF('Cost Inputs'!$L164="Y", 1, IF(OR('Cost Inputs'!$M164=8, 'Cost Inputs'!$M164=4, 'Cost Inputs'!$M164=2), 1, ""))</f>
        <v/>
      </c>
      <c r="P145" t="str">
        <f>IF('Cost Inputs'!$L164="Y", 1, IF(OR('Cost Inputs'!$M164=9, 'Cost Inputs'!$M164=3), 1, ""))</f>
        <v/>
      </c>
    </row>
    <row r="146" spans="1:16" x14ac:dyDescent="0.25">
      <c r="A146" s="560" t="s">
        <v>47</v>
      </c>
      <c r="B146" s="560"/>
      <c r="C146" s="560"/>
      <c r="D146" s="560"/>
      <c r="E146" s="560"/>
      <c r="F146" s="560"/>
      <c r="G146" t="str">
        <f>IF('Cost Inputs'!L165="Y", 1, IF('Cost Inputs'!$M165&gt;0, 1, ""))</f>
        <v/>
      </c>
      <c r="H146" t="str">
        <f>IF('Cost Inputs'!$L165="Y", 1, IF('Cost Inputs'!$M165=1, 1, ""))</f>
        <v/>
      </c>
      <c r="I146" t="str">
        <f>IF('Cost Inputs'!$L165="Y", 1, IF('Cost Inputs'!$M165=2, 1, ""))</f>
        <v/>
      </c>
      <c r="J146" t="str">
        <f>IF('Cost Inputs'!$L165="Y", 1, IF('Cost Inputs'!$M165=3, 1, ""))</f>
        <v/>
      </c>
      <c r="K146" t="str">
        <f>IF('Cost Inputs'!$L165="Y", 1, IF(OR('Cost Inputs'!$M165=4, 'Cost Inputs'!$M165=2), 1, ""))</f>
        <v/>
      </c>
      <c r="L146" t="str">
        <f>IF('Cost Inputs'!$L165="Y", 1, IF('Cost Inputs'!$M165=5, 1, ""))</f>
        <v/>
      </c>
      <c r="M146" t="str">
        <f>IF('Cost Inputs'!$L165="Y", 1, IF(OR('Cost Inputs'!$M165=6, 'Cost Inputs'!$M165=3, 'Cost Inputs'!$M165=2), 1, ""))</f>
        <v/>
      </c>
      <c r="N146" t="str">
        <f>IF('Cost Inputs'!$L165="Y", 1, IF('Cost Inputs'!$M165=7, 1, ""))</f>
        <v/>
      </c>
      <c r="O146" t="str">
        <f>IF('Cost Inputs'!$L165="Y", 1, IF(OR('Cost Inputs'!$M165=8, 'Cost Inputs'!$M165=4, 'Cost Inputs'!$M165=2), 1, ""))</f>
        <v/>
      </c>
      <c r="P146" t="str">
        <f>IF('Cost Inputs'!$L165="Y", 1, IF(OR('Cost Inputs'!$M165=9, 'Cost Inputs'!$M165=3), 1, ""))</f>
        <v/>
      </c>
    </row>
    <row r="147" spans="1:16" x14ac:dyDescent="0.25">
      <c r="A147" s="559"/>
      <c r="B147" s="559"/>
      <c r="C147" s="559"/>
      <c r="D147" s="559"/>
      <c r="E147" s="559"/>
      <c r="F147" s="559"/>
      <c r="G147" t="str">
        <f>IF('Cost Inputs'!L166="Y", 1, IF('Cost Inputs'!$M166&gt;0, 1, ""))</f>
        <v/>
      </c>
      <c r="H147" t="str">
        <f>IF('Cost Inputs'!$L166="Y", 1, IF('Cost Inputs'!$M166=1, 1, ""))</f>
        <v/>
      </c>
      <c r="I147" t="str">
        <f>IF('Cost Inputs'!$L166="Y", 1, IF('Cost Inputs'!$M166=2, 1, ""))</f>
        <v/>
      </c>
      <c r="J147" t="str">
        <f>IF('Cost Inputs'!$L166="Y", 1, IF('Cost Inputs'!$M166=3, 1, ""))</f>
        <v/>
      </c>
      <c r="K147" t="str">
        <f>IF('Cost Inputs'!$L166="Y", 1, IF(OR('Cost Inputs'!$M166=4, 'Cost Inputs'!$M166=2), 1, ""))</f>
        <v/>
      </c>
      <c r="L147" t="str">
        <f>IF('Cost Inputs'!$L166="Y", 1, IF('Cost Inputs'!$M166=5, 1, ""))</f>
        <v/>
      </c>
      <c r="M147" t="str">
        <f>IF('Cost Inputs'!$L166="Y", 1, IF(OR('Cost Inputs'!$M166=6, 'Cost Inputs'!$M166=3, 'Cost Inputs'!$M166=2), 1, ""))</f>
        <v/>
      </c>
      <c r="N147" t="str">
        <f>IF('Cost Inputs'!$L166="Y", 1, IF('Cost Inputs'!$M166=7, 1, ""))</f>
        <v/>
      </c>
      <c r="O147" t="str">
        <f>IF('Cost Inputs'!$L166="Y", 1, IF(OR('Cost Inputs'!$M166=8, 'Cost Inputs'!$M166=4, 'Cost Inputs'!$M166=2), 1, ""))</f>
        <v/>
      </c>
      <c r="P147" t="str">
        <f>IF('Cost Inputs'!$L166="Y", 1, IF(OR('Cost Inputs'!$M166=9, 'Cost Inputs'!$M166=3), 1, ""))</f>
        <v/>
      </c>
    </row>
    <row r="148" spans="1:16" x14ac:dyDescent="0.25">
      <c r="A148" s="581" t="s">
        <v>123</v>
      </c>
      <c r="B148" s="582"/>
      <c r="C148" s="582"/>
      <c r="D148" s="582"/>
      <c r="E148" s="582"/>
      <c r="F148" s="583"/>
      <c r="G148" t="str">
        <f>IF('Cost Inputs'!L169="Y", 1, IF('Cost Inputs'!$M169&gt;0, 1, ""))</f>
        <v/>
      </c>
      <c r="H148" t="str">
        <f>IF('Cost Inputs'!$L169="Y", 1, IF('Cost Inputs'!$M169=1, 1, ""))</f>
        <v/>
      </c>
      <c r="I148" t="str">
        <f>IF('Cost Inputs'!$L169="Y", 1, IF('Cost Inputs'!$M169=2, 1, ""))</f>
        <v/>
      </c>
      <c r="J148" t="str">
        <f>IF('Cost Inputs'!$L169="Y", 1, IF('Cost Inputs'!$M169=3, 1, ""))</f>
        <v/>
      </c>
      <c r="K148" t="str">
        <f>IF('Cost Inputs'!$L169="Y", 1, IF(OR('Cost Inputs'!$M169=4, 'Cost Inputs'!$M169=2), 1, ""))</f>
        <v/>
      </c>
      <c r="L148" t="str">
        <f>IF('Cost Inputs'!$L169="Y", 1, IF('Cost Inputs'!$M169=5, 1, ""))</f>
        <v/>
      </c>
      <c r="M148" t="str">
        <f>IF('Cost Inputs'!$L169="Y", 1, IF(OR('Cost Inputs'!$M169=6, 'Cost Inputs'!$M169=3, 'Cost Inputs'!$M169=2), 1, ""))</f>
        <v/>
      </c>
      <c r="N148" t="str">
        <f>IF('Cost Inputs'!$L169="Y", 1, IF('Cost Inputs'!$M169=7, 1, ""))</f>
        <v/>
      </c>
      <c r="O148" t="str">
        <f>IF('Cost Inputs'!$L169="Y", 1, IF(OR('Cost Inputs'!$M169=8, 'Cost Inputs'!$M169=4, 'Cost Inputs'!$M169=2), 1, ""))</f>
        <v/>
      </c>
      <c r="P148" t="str">
        <f>IF('Cost Inputs'!$L169="Y", 1, IF(OR('Cost Inputs'!$M169=9, 'Cost Inputs'!$M169=3), 1, ""))</f>
        <v/>
      </c>
    </row>
    <row r="149" spans="1:16" x14ac:dyDescent="0.25">
      <c r="A149" s="572"/>
      <c r="B149" s="573"/>
      <c r="C149" s="573"/>
      <c r="D149" s="573"/>
      <c r="E149" s="573"/>
      <c r="F149" s="574"/>
      <c r="G149" t="str">
        <f>IF('Cost Inputs'!L170="Y", 1, IF('Cost Inputs'!$M170&gt;0, 1, ""))</f>
        <v/>
      </c>
      <c r="H149" t="str">
        <f>IF('Cost Inputs'!$L170="Y", 1, IF('Cost Inputs'!$M170=1, 1, ""))</f>
        <v/>
      </c>
      <c r="I149" t="str">
        <f>IF('Cost Inputs'!$L170="Y", 1, IF('Cost Inputs'!$M170=2, 1, ""))</f>
        <v/>
      </c>
      <c r="J149" t="str">
        <f>IF('Cost Inputs'!$L170="Y", 1, IF('Cost Inputs'!$M170=3, 1, ""))</f>
        <v/>
      </c>
      <c r="K149" t="str">
        <f>IF('Cost Inputs'!$L170="Y", 1, IF(OR('Cost Inputs'!$M170=4, 'Cost Inputs'!$M170=2), 1, ""))</f>
        <v/>
      </c>
      <c r="L149" t="str">
        <f>IF('Cost Inputs'!$L170="Y", 1, IF('Cost Inputs'!$M170=5, 1, ""))</f>
        <v/>
      </c>
      <c r="M149" t="str">
        <f>IF('Cost Inputs'!$L170="Y", 1, IF(OR('Cost Inputs'!$M170=6, 'Cost Inputs'!$M170=3, 'Cost Inputs'!$M170=2), 1, ""))</f>
        <v/>
      </c>
      <c r="N149" t="str">
        <f>IF('Cost Inputs'!$L170="Y", 1, IF('Cost Inputs'!$M170=7, 1, ""))</f>
        <v/>
      </c>
      <c r="O149" t="str">
        <f>IF('Cost Inputs'!$L170="Y", 1, IF(OR('Cost Inputs'!$M170=8, 'Cost Inputs'!$M170=4, 'Cost Inputs'!$M170=2), 1, ""))</f>
        <v/>
      </c>
      <c r="P149" t="str">
        <f>IF('Cost Inputs'!$L170="Y", 1, IF(OR('Cost Inputs'!$M170=9, 'Cost Inputs'!$M170=3), 1, ""))</f>
        <v/>
      </c>
    </row>
    <row r="150" spans="1:16" x14ac:dyDescent="0.25">
      <c r="A150" s="575" t="s">
        <v>108</v>
      </c>
      <c r="B150" s="576"/>
      <c r="C150" s="576"/>
      <c r="D150" s="576"/>
      <c r="E150" s="576"/>
      <c r="F150" s="577"/>
      <c r="G150" t="str">
        <f>IF('Cost Inputs'!L171="Y", 1, IF('Cost Inputs'!$M171&gt;0, 1, ""))</f>
        <v/>
      </c>
      <c r="H150" t="str">
        <f>IF('Cost Inputs'!$L171="Y", 1, IF('Cost Inputs'!$M171=1, 1, ""))</f>
        <v/>
      </c>
      <c r="I150" t="str">
        <f>IF('Cost Inputs'!$L171="Y", 1, IF('Cost Inputs'!$M171=2, 1, ""))</f>
        <v/>
      </c>
      <c r="J150" t="str">
        <f>IF('Cost Inputs'!$L171="Y", 1, IF('Cost Inputs'!$M171=3, 1, ""))</f>
        <v/>
      </c>
      <c r="K150" t="str">
        <f>IF('Cost Inputs'!$L171="Y", 1, IF(OR('Cost Inputs'!$M171=4, 'Cost Inputs'!$M171=2), 1, ""))</f>
        <v/>
      </c>
      <c r="L150" t="str">
        <f>IF('Cost Inputs'!$L171="Y", 1, IF('Cost Inputs'!$M171=5, 1, ""))</f>
        <v/>
      </c>
      <c r="M150" t="str">
        <f>IF('Cost Inputs'!$L171="Y", 1, IF(OR('Cost Inputs'!$M171=6, 'Cost Inputs'!$M171=3, 'Cost Inputs'!$M171=2), 1, ""))</f>
        <v/>
      </c>
      <c r="N150" t="str">
        <f>IF('Cost Inputs'!$L171="Y", 1, IF('Cost Inputs'!$M171=7, 1, ""))</f>
        <v/>
      </c>
      <c r="O150" t="str">
        <f>IF('Cost Inputs'!$L171="Y", 1, IF(OR('Cost Inputs'!$M171=8, 'Cost Inputs'!$M171=4, 'Cost Inputs'!$M171=2), 1, ""))</f>
        <v/>
      </c>
      <c r="P150" t="str">
        <f>IF('Cost Inputs'!$L171="Y", 1, IF(OR('Cost Inputs'!$M171=9, 'Cost Inputs'!$M171=3), 1, ""))</f>
        <v/>
      </c>
    </row>
    <row r="151" spans="1:16" x14ac:dyDescent="0.25">
      <c r="A151" s="578"/>
      <c r="B151" s="579"/>
      <c r="C151" s="579"/>
      <c r="D151" s="579"/>
      <c r="E151" s="579"/>
      <c r="F151" s="580"/>
      <c r="G151" t="str">
        <f>IF('Cost Inputs'!L172="Y", 1, IF('Cost Inputs'!$M172&gt;0, 1, ""))</f>
        <v/>
      </c>
      <c r="H151" t="str">
        <f>IF('Cost Inputs'!$L172="Y", 1, IF('Cost Inputs'!$M172=1, 1, ""))</f>
        <v/>
      </c>
      <c r="I151" t="str">
        <f>IF('Cost Inputs'!$L172="Y", 1, IF('Cost Inputs'!$M172=2, 1, ""))</f>
        <v/>
      </c>
      <c r="J151" t="str">
        <f>IF('Cost Inputs'!$L172="Y", 1, IF('Cost Inputs'!$M172=3, 1, ""))</f>
        <v/>
      </c>
      <c r="K151" t="str">
        <f>IF('Cost Inputs'!$L172="Y", 1, IF(OR('Cost Inputs'!$M172=4, 'Cost Inputs'!$M172=2), 1, ""))</f>
        <v/>
      </c>
      <c r="L151" t="str">
        <f>IF('Cost Inputs'!$L172="Y", 1, IF('Cost Inputs'!$M172=5, 1, ""))</f>
        <v/>
      </c>
      <c r="M151" t="str">
        <f>IF('Cost Inputs'!$L172="Y", 1, IF(OR('Cost Inputs'!$M172=6, 'Cost Inputs'!$M172=3, 'Cost Inputs'!$M172=2), 1, ""))</f>
        <v/>
      </c>
      <c r="N151" t="str">
        <f>IF('Cost Inputs'!$L172="Y", 1, IF('Cost Inputs'!$M172=7, 1, ""))</f>
        <v/>
      </c>
      <c r="O151" t="str">
        <f>IF('Cost Inputs'!$L172="Y", 1, IF(OR('Cost Inputs'!$M172=8, 'Cost Inputs'!$M172=4, 'Cost Inputs'!$M172=2), 1, ""))</f>
        <v/>
      </c>
      <c r="P151" t="str">
        <f>IF('Cost Inputs'!$L172="Y", 1, IF(OR('Cost Inputs'!$M172=9, 'Cost Inputs'!$M172=3), 1, ""))</f>
        <v/>
      </c>
    </row>
    <row r="152" spans="1:16" x14ac:dyDescent="0.25">
      <c r="A152" s="596"/>
      <c r="B152" s="585"/>
      <c r="C152" s="585"/>
      <c r="D152" s="585"/>
      <c r="E152" s="585"/>
      <c r="F152" s="586"/>
      <c r="G152" t="str">
        <f>IF('Cost Inputs'!L173="Y", 1, IF('Cost Inputs'!$M173&gt;0, 1, ""))</f>
        <v/>
      </c>
      <c r="H152" t="str">
        <f>IF('Cost Inputs'!$L173="Y", 1, IF('Cost Inputs'!$M173=1, 1, ""))</f>
        <v/>
      </c>
      <c r="I152" t="str">
        <f>IF('Cost Inputs'!$L173="Y", 1, IF('Cost Inputs'!$M173=2, 1, ""))</f>
        <v/>
      </c>
      <c r="J152" t="str">
        <f>IF('Cost Inputs'!$L173="Y", 1, IF('Cost Inputs'!$M173=3, 1, ""))</f>
        <v/>
      </c>
      <c r="K152" t="str">
        <f>IF('Cost Inputs'!$L173="Y", 1, IF(OR('Cost Inputs'!$M173=4, 'Cost Inputs'!$M173=2), 1, ""))</f>
        <v/>
      </c>
      <c r="L152" t="str">
        <f>IF('Cost Inputs'!$L173="Y", 1, IF('Cost Inputs'!$M173=5, 1, ""))</f>
        <v/>
      </c>
      <c r="M152" t="str">
        <f>IF('Cost Inputs'!$L173="Y", 1, IF(OR('Cost Inputs'!$M173=6, 'Cost Inputs'!$M173=3, 'Cost Inputs'!$M173=2), 1, ""))</f>
        <v/>
      </c>
      <c r="N152" t="str">
        <f>IF('Cost Inputs'!$L173="Y", 1, IF('Cost Inputs'!$M173=7, 1, ""))</f>
        <v/>
      </c>
      <c r="O152" t="str">
        <f>IF('Cost Inputs'!$L173="Y", 1, IF(OR('Cost Inputs'!$M173=8, 'Cost Inputs'!$M173=4, 'Cost Inputs'!$M173=2), 1, ""))</f>
        <v/>
      </c>
      <c r="P152" t="str">
        <f>IF('Cost Inputs'!$L173="Y", 1, IF(OR('Cost Inputs'!$M173=9, 'Cost Inputs'!$M173=3), 1, ""))</f>
        <v/>
      </c>
    </row>
    <row r="153" spans="1:16" x14ac:dyDescent="0.25">
      <c r="A153" s="587"/>
      <c r="B153" s="588"/>
      <c r="C153" s="588"/>
      <c r="D153" s="588"/>
      <c r="E153" s="588"/>
      <c r="F153" s="589"/>
      <c r="G153" t="str">
        <f>IF('Cost Inputs'!L174="Y", 1, IF('Cost Inputs'!$M174&gt;0, 1, ""))</f>
        <v/>
      </c>
      <c r="H153" t="str">
        <f>IF('Cost Inputs'!$L174="Y", 1, IF('Cost Inputs'!$M174=1, 1, ""))</f>
        <v/>
      </c>
      <c r="I153" t="str">
        <f>IF('Cost Inputs'!$L174="Y", 1, IF('Cost Inputs'!$M174=2, 1, ""))</f>
        <v/>
      </c>
      <c r="J153" t="str">
        <f>IF('Cost Inputs'!$L174="Y", 1, IF('Cost Inputs'!$M174=3, 1, ""))</f>
        <v/>
      </c>
      <c r="K153" t="str">
        <f>IF('Cost Inputs'!$L174="Y", 1, IF(OR('Cost Inputs'!$M174=4, 'Cost Inputs'!$M174=2), 1, ""))</f>
        <v/>
      </c>
      <c r="L153" t="str">
        <f>IF('Cost Inputs'!$L174="Y", 1, IF('Cost Inputs'!$M174=5, 1, ""))</f>
        <v/>
      </c>
      <c r="M153" t="str">
        <f>IF('Cost Inputs'!$L174="Y", 1, IF(OR('Cost Inputs'!$M174=6, 'Cost Inputs'!$M174=3, 'Cost Inputs'!$M174=2), 1, ""))</f>
        <v/>
      </c>
      <c r="N153" t="str">
        <f>IF('Cost Inputs'!$L174="Y", 1, IF('Cost Inputs'!$M174=7, 1, ""))</f>
        <v/>
      </c>
      <c r="O153" t="str">
        <f>IF('Cost Inputs'!$L174="Y", 1, IF(OR('Cost Inputs'!$M174=8, 'Cost Inputs'!$M174=4, 'Cost Inputs'!$M174=2), 1, ""))</f>
        <v/>
      </c>
      <c r="P153" t="str">
        <f>IF('Cost Inputs'!$L174="Y", 1, IF(OR('Cost Inputs'!$M174=9, 'Cost Inputs'!$M174=3), 1, ""))</f>
        <v/>
      </c>
    </row>
    <row r="154" spans="1:16" x14ac:dyDescent="0.25">
      <c r="A154" s="596"/>
      <c r="B154" s="585"/>
      <c r="C154" s="585"/>
      <c r="D154" s="585"/>
      <c r="E154" s="585"/>
      <c r="F154" s="586"/>
      <c r="G154" t="str">
        <f>IF('Cost Inputs'!L175="Y", 1, IF('Cost Inputs'!$M175&gt;0, 1, ""))</f>
        <v/>
      </c>
      <c r="H154" t="str">
        <f>IF('Cost Inputs'!$L175="Y", 1, IF('Cost Inputs'!$M175=1, 1, ""))</f>
        <v/>
      </c>
      <c r="I154" t="str">
        <f>IF('Cost Inputs'!$L175="Y", 1, IF('Cost Inputs'!$M175=2, 1, ""))</f>
        <v/>
      </c>
      <c r="J154" t="str">
        <f>IF('Cost Inputs'!$L175="Y", 1, IF('Cost Inputs'!$M175=3, 1, ""))</f>
        <v/>
      </c>
      <c r="K154" t="str">
        <f>IF('Cost Inputs'!$L175="Y", 1, IF(OR('Cost Inputs'!$M175=4, 'Cost Inputs'!$M175=2), 1, ""))</f>
        <v/>
      </c>
      <c r="L154" t="str">
        <f>IF('Cost Inputs'!$L175="Y", 1, IF('Cost Inputs'!$M175=5, 1, ""))</f>
        <v/>
      </c>
      <c r="M154" t="str">
        <f>IF('Cost Inputs'!$L175="Y", 1, IF(OR('Cost Inputs'!$M175=6, 'Cost Inputs'!$M175=3, 'Cost Inputs'!$M175=2), 1, ""))</f>
        <v/>
      </c>
      <c r="N154" t="str">
        <f>IF('Cost Inputs'!$L175="Y", 1, IF('Cost Inputs'!$M175=7, 1, ""))</f>
        <v/>
      </c>
      <c r="O154" t="str">
        <f>IF('Cost Inputs'!$L175="Y", 1, IF(OR('Cost Inputs'!$M175=8, 'Cost Inputs'!$M175=4, 'Cost Inputs'!$M175=2), 1, ""))</f>
        <v/>
      </c>
      <c r="P154" t="str">
        <f>IF('Cost Inputs'!$L175="Y", 1, IF(OR('Cost Inputs'!$M175=9, 'Cost Inputs'!$M175=3), 1, ""))</f>
        <v/>
      </c>
    </row>
    <row r="155" spans="1:16" x14ac:dyDescent="0.25">
      <c r="A155" s="587"/>
      <c r="B155" s="588"/>
      <c r="C155" s="588"/>
      <c r="D155" s="588"/>
      <c r="E155" s="588"/>
      <c r="F155" s="589"/>
      <c r="G155" t="str">
        <f>IF('Cost Inputs'!L176="Y", 1, IF('Cost Inputs'!$M176&gt;0, 1, ""))</f>
        <v/>
      </c>
      <c r="H155" t="str">
        <f>IF('Cost Inputs'!$L176="Y", 1, IF('Cost Inputs'!$M176=1, 1, ""))</f>
        <v/>
      </c>
      <c r="I155" t="str">
        <f>IF('Cost Inputs'!$L176="Y", 1, IF('Cost Inputs'!$M176=2, 1, ""))</f>
        <v/>
      </c>
      <c r="J155" t="str">
        <f>IF('Cost Inputs'!$L176="Y", 1, IF('Cost Inputs'!$M176=3, 1, ""))</f>
        <v/>
      </c>
      <c r="K155" t="str">
        <f>IF('Cost Inputs'!$L176="Y", 1, IF(OR('Cost Inputs'!$M176=4, 'Cost Inputs'!$M176=2), 1, ""))</f>
        <v/>
      </c>
      <c r="L155" t="str">
        <f>IF('Cost Inputs'!$L176="Y", 1, IF('Cost Inputs'!$M176=5, 1, ""))</f>
        <v/>
      </c>
      <c r="M155" t="str">
        <f>IF('Cost Inputs'!$L176="Y", 1, IF(OR('Cost Inputs'!$M176=6, 'Cost Inputs'!$M176=3, 'Cost Inputs'!$M176=2), 1, ""))</f>
        <v/>
      </c>
      <c r="N155" t="str">
        <f>IF('Cost Inputs'!$L176="Y", 1, IF('Cost Inputs'!$M176=7, 1, ""))</f>
        <v/>
      </c>
      <c r="O155" t="str">
        <f>IF('Cost Inputs'!$L176="Y", 1, IF(OR('Cost Inputs'!$M176=8, 'Cost Inputs'!$M176=4, 'Cost Inputs'!$M176=2), 1, ""))</f>
        <v/>
      </c>
      <c r="P155" t="str">
        <f>IF('Cost Inputs'!$L176="Y", 1, IF(OR('Cost Inputs'!$M176=9, 'Cost Inputs'!$M176=3), 1, ""))</f>
        <v/>
      </c>
    </row>
    <row r="156" spans="1:16" x14ac:dyDescent="0.25">
      <c r="A156" s="556"/>
      <c r="B156" s="557"/>
      <c r="C156" s="557"/>
      <c r="D156" s="557"/>
      <c r="E156" s="557"/>
      <c r="F156" s="558"/>
      <c r="G156" t="str">
        <f>IF('Cost Inputs'!L177="Y", 1, IF('Cost Inputs'!$M177&gt;0, 1, ""))</f>
        <v/>
      </c>
      <c r="H156" t="str">
        <f>IF('Cost Inputs'!$L177="Y", 1, IF('Cost Inputs'!$M177=1, 1, ""))</f>
        <v/>
      </c>
      <c r="I156" t="str">
        <f>IF('Cost Inputs'!$L177="Y", 1, IF('Cost Inputs'!$M177=2, 1, ""))</f>
        <v/>
      </c>
      <c r="J156" t="str">
        <f>IF('Cost Inputs'!$L177="Y", 1, IF('Cost Inputs'!$M177=3, 1, ""))</f>
        <v/>
      </c>
      <c r="K156" t="str">
        <f>IF('Cost Inputs'!$L177="Y", 1, IF(OR('Cost Inputs'!$M177=4, 'Cost Inputs'!$M177=2), 1, ""))</f>
        <v/>
      </c>
      <c r="L156" t="str">
        <f>IF('Cost Inputs'!$L177="Y", 1, IF('Cost Inputs'!$M177=5, 1, ""))</f>
        <v/>
      </c>
      <c r="M156" t="str">
        <f>IF('Cost Inputs'!$L177="Y", 1, IF(OR('Cost Inputs'!$M177=6, 'Cost Inputs'!$M177=3, 'Cost Inputs'!$M177=2), 1, ""))</f>
        <v/>
      </c>
      <c r="N156" t="str">
        <f>IF('Cost Inputs'!$L177="Y", 1, IF('Cost Inputs'!$M177=7, 1, ""))</f>
        <v/>
      </c>
      <c r="O156" t="str">
        <f>IF('Cost Inputs'!$L177="Y", 1, IF(OR('Cost Inputs'!$M177=8, 'Cost Inputs'!$M177=4, 'Cost Inputs'!$M177=2), 1, ""))</f>
        <v/>
      </c>
      <c r="P156" t="str">
        <f>IF('Cost Inputs'!$L177="Y", 1, IF(OR('Cost Inputs'!$M177=9, 'Cost Inputs'!$M177=3), 1, ""))</f>
        <v/>
      </c>
    </row>
    <row r="157" spans="1:16" x14ac:dyDescent="0.25">
      <c r="A157" s="556"/>
      <c r="B157" s="557"/>
      <c r="C157" s="557"/>
      <c r="D157" s="557"/>
      <c r="E157" s="557"/>
      <c r="F157" s="558"/>
      <c r="G157" t="str">
        <f>IF('Cost Inputs'!L178="Y", 1, IF('Cost Inputs'!$M178&gt;0, 1, ""))</f>
        <v/>
      </c>
      <c r="H157" t="str">
        <f>IF('Cost Inputs'!$L178="Y", 1, IF('Cost Inputs'!$M178=1, 1, ""))</f>
        <v/>
      </c>
      <c r="I157" t="str">
        <f>IF('Cost Inputs'!$L178="Y", 1, IF('Cost Inputs'!$M178=2, 1, ""))</f>
        <v/>
      </c>
      <c r="J157" t="str">
        <f>IF('Cost Inputs'!$L178="Y", 1, IF('Cost Inputs'!$M178=3, 1, ""))</f>
        <v/>
      </c>
      <c r="K157" t="str">
        <f>IF('Cost Inputs'!$L178="Y", 1, IF(OR('Cost Inputs'!$M178=4, 'Cost Inputs'!$M178=2), 1, ""))</f>
        <v/>
      </c>
      <c r="L157" t="str">
        <f>IF('Cost Inputs'!$L178="Y", 1, IF('Cost Inputs'!$M178=5, 1, ""))</f>
        <v/>
      </c>
      <c r="M157" t="str">
        <f>IF('Cost Inputs'!$L178="Y", 1, IF(OR('Cost Inputs'!$M178=6, 'Cost Inputs'!$M178=3, 'Cost Inputs'!$M178=2), 1, ""))</f>
        <v/>
      </c>
      <c r="N157" t="str">
        <f>IF('Cost Inputs'!$L178="Y", 1, IF('Cost Inputs'!$M178=7, 1, ""))</f>
        <v/>
      </c>
      <c r="O157" t="str">
        <f>IF('Cost Inputs'!$L178="Y", 1, IF(OR('Cost Inputs'!$M178=8, 'Cost Inputs'!$M178=4, 'Cost Inputs'!$M178=2), 1, ""))</f>
        <v/>
      </c>
      <c r="P157" t="str">
        <f>IF('Cost Inputs'!$L178="Y", 1, IF(OR('Cost Inputs'!$M178=9, 'Cost Inputs'!$M178=3), 1, ""))</f>
        <v/>
      </c>
    </row>
    <row r="158" spans="1:16" x14ac:dyDescent="0.25">
      <c r="A158" s="581" t="s">
        <v>124</v>
      </c>
      <c r="B158" s="582"/>
      <c r="C158" s="582"/>
      <c r="D158" s="582"/>
      <c r="E158" s="582"/>
      <c r="F158" s="583"/>
      <c r="G158" t="str">
        <f>IF('Cost Inputs'!L179="Y", 1, IF('Cost Inputs'!$M179&gt;0, 1, ""))</f>
        <v/>
      </c>
      <c r="H158" t="str">
        <f>IF('Cost Inputs'!$L179="Y", 1, IF('Cost Inputs'!$M179=1, 1, ""))</f>
        <v/>
      </c>
      <c r="I158" t="str">
        <f>IF('Cost Inputs'!$L179="Y", 1, IF('Cost Inputs'!$M179=2, 1, ""))</f>
        <v/>
      </c>
      <c r="J158" t="str">
        <f>IF('Cost Inputs'!$L179="Y", 1, IF('Cost Inputs'!$M179=3, 1, ""))</f>
        <v/>
      </c>
      <c r="K158" t="str">
        <f>IF('Cost Inputs'!$L179="Y", 1, IF(OR('Cost Inputs'!$M179=4, 'Cost Inputs'!$M179=2), 1, ""))</f>
        <v/>
      </c>
      <c r="L158" t="str">
        <f>IF('Cost Inputs'!$L179="Y", 1, IF('Cost Inputs'!$M179=5, 1, ""))</f>
        <v/>
      </c>
      <c r="M158" t="str">
        <f>IF('Cost Inputs'!$L179="Y", 1, IF(OR('Cost Inputs'!$M179=6, 'Cost Inputs'!$M179=3, 'Cost Inputs'!$M179=2), 1, ""))</f>
        <v/>
      </c>
      <c r="N158" t="str">
        <f>IF('Cost Inputs'!$L179="Y", 1, IF('Cost Inputs'!$M179=7, 1, ""))</f>
        <v/>
      </c>
      <c r="O158" t="str">
        <f>IF('Cost Inputs'!$L179="Y", 1, IF(OR('Cost Inputs'!$M179=8, 'Cost Inputs'!$M179=4, 'Cost Inputs'!$M179=2), 1, ""))</f>
        <v/>
      </c>
      <c r="P158" t="str">
        <f>IF('Cost Inputs'!$L179="Y", 1, IF(OR('Cost Inputs'!$M179=9, 'Cost Inputs'!$M179=3), 1, ""))</f>
        <v/>
      </c>
    </row>
    <row r="159" spans="1:16" x14ac:dyDescent="0.25">
      <c r="A159" s="572"/>
      <c r="B159" s="573"/>
      <c r="C159" s="573"/>
      <c r="D159" s="573"/>
      <c r="E159" s="573"/>
      <c r="F159" s="574"/>
      <c r="G159" t="str">
        <f>IF('Cost Inputs'!L180="Y", 1, IF('Cost Inputs'!$M180&gt;0, 1, ""))</f>
        <v/>
      </c>
      <c r="H159" t="str">
        <f>IF('Cost Inputs'!$L180="Y", 1, IF('Cost Inputs'!$M180=1, 1, ""))</f>
        <v/>
      </c>
      <c r="I159" t="str">
        <f>IF('Cost Inputs'!$L180="Y", 1, IF('Cost Inputs'!$M180=2, 1, ""))</f>
        <v/>
      </c>
      <c r="J159" t="str">
        <f>IF('Cost Inputs'!$L180="Y", 1, IF('Cost Inputs'!$M180=3, 1, ""))</f>
        <v/>
      </c>
      <c r="K159" t="str">
        <f>IF('Cost Inputs'!$L180="Y", 1, IF(OR('Cost Inputs'!$M180=4, 'Cost Inputs'!$M180=2), 1, ""))</f>
        <v/>
      </c>
      <c r="L159" t="str">
        <f>IF('Cost Inputs'!$L180="Y", 1, IF('Cost Inputs'!$M180=5, 1, ""))</f>
        <v/>
      </c>
      <c r="M159" t="str">
        <f>IF('Cost Inputs'!$L180="Y", 1, IF(OR('Cost Inputs'!$M180=6, 'Cost Inputs'!$M180=3, 'Cost Inputs'!$M180=2), 1, ""))</f>
        <v/>
      </c>
      <c r="N159" t="str">
        <f>IF('Cost Inputs'!$L180="Y", 1, IF('Cost Inputs'!$M180=7, 1, ""))</f>
        <v/>
      </c>
      <c r="O159" t="str">
        <f>IF('Cost Inputs'!$L180="Y", 1, IF(OR('Cost Inputs'!$M180=8, 'Cost Inputs'!$M180=4, 'Cost Inputs'!$M180=2), 1, ""))</f>
        <v/>
      </c>
      <c r="P159" t="str">
        <f>IF('Cost Inputs'!$L180="Y", 1, IF(OR('Cost Inputs'!$M180=9, 'Cost Inputs'!$M180=3), 1, ""))</f>
        <v/>
      </c>
    </row>
    <row r="160" spans="1:16" x14ac:dyDescent="0.25">
      <c r="A160" s="575" t="s">
        <v>111</v>
      </c>
      <c r="B160" s="576"/>
      <c r="C160" s="576"/>
      <c r="D160" s="576"/>
      <c r="E160" s="576"/>
      <c r="F160" s="577"/>
      <c r="G160" t="str">
        <f>IF('Cost Inputs'!L181="Y", 1, IF('Cost Inputs'!$M181&gt;0, 1, ""))</f>
        <v/>
      </c>
      <c r="H160" t="str">
        <f>IF('Cost Inputs'!$L181="Y", 1, IF('Cost Inputs'!$M181=1, 1, ""))</f>
        <v/>
      </c>
      <c r="I160" t="str">
        <f>IF('Cost Inputs'!$L181="Y", 1, IF('Cost Inputs'!$M181=2, 1, ""))</f>
        <v/>
      </c>
      <c r="J160" t="str">
        <f>IF('Cost Inputs'!$L181="Y", 1, IF('Cost Inputs'!$M181=3, 1, ""))</f>
        <v/>
      </c>
      <c r="K160" t="str">
        <f>IF('Cost Inputs'!$L181="Y", 1, IF(OR('Cost Inputs'!$M181=4, 'Cost Inputs'!$M181=2), 1, ""))</f>
        <v/>
      </c>
      <c r="L160" t="str">
        <f>IF('Cost Inputs'!$L181="Y", 1, IF('Cost Inputs'!$M181=5, 1, ""))</f>
        <v/>
      </c>
      <c r="M160" t="str">
        <f>IF('Cost Inputs'!$L181="Y", 1, IF(OR('Cost Inputs'!$M181=6, 'Cost Inputs'!$M181=3, 'Cost Inputs'!$M181=2), 1, ""))</f>
        <v/>
      </c>
      <c r="N160" t="str">
        <f>IF('Cost Inputs'!$L181="Y", 1, IF('Cost Inputs'!$M181=7, 1, ""))</f>
        <v/>
      </c>
      <c r="O160" t="str">
        <f>IF('Cost Inputs'!$L181="Y", 1, IF(OR('Cost Inputs'!$M181=8, 'Cost Inputs'!$M181=4, 'Cost Inputs'!$M181=2), 1, ""))</f>
        <v/>
      </c>
      <c r="P160" t="str">
        <f>IF('Cost Inputs'!$L181="Y", 1, IF(OR('Cost Inputs'!$M181=9, 'Cost Inputs'!$M181=3), 1, ""))</f>
        <v/>
      </c>
    </row>
    <row r="161" spans="1:16" x14ac:dyDescent="0.25">
      <c r="A161" s="578"/>
      <c r="B161" s="579"/>
      <c r="C161" s="579"/>
      <c r="D161" s="579"/>
      <c r="E161" s="579"/>
      <c r="F161" s="580"/>
      <c r="G161" t="str">
        <f>IF('Cost Inputs'!L182="Y", 1, IF('Cost Inputs'!$M182&gt;0, 1, ""))</f>
        <v/>
      </c>
      <c r="H161" t="str">
        <f>IF('Cost Inputs'!$L182="Y", 1, IF('Cost Inputs'!$M182=1, 1, ""))</f>
        <v/>
      </c>
      <c r="I161" t="str">
        <f>IF('Cost Inputs'!$L182="Y", 1, IF('Cost Inputs'!$M182=2, 1, ""))</f>
        <v/>
      </c>
      <c r="J161" t="str">
        <f>IF('Cost Inputs'!$L182="Y", 1, IF('Cost Inputs'!$M182=3, 1, ""))</f>
        <v/>
      </c>
      <c r="K161" t="str">
        <f>IF('Cost Inputs'!$L182="Y", 1, IF(OR('Cost Inputs'!$M182=4, 'Cost Inputs'!$M182=2), 1, ""))</f>
        <v/>
      </c>
      <c r="L161" t="str">
        <f>IF('Cost Inputs'!$L182="Y", 1, IF('Cost Inputs'!$M182=5, 1, ""))</f>
        <v/>
      </c>
      <c r="M161" t="str">
        <f>IF('Cost Inputs'!$L182="Y", 1, IF(OR('Cost Inputs'!$M182=6, 'Cost Inputs'!$M182=3, 'Cost Inputs'!$M182=2), 1, ""))</f>
        <v/>
      </c>
      <c r="N161" t="str">
        <f>IF('Cost Inputs'!$L182="Y", 1, IF('Cost Inputs'!$M182=7, 1, ""))</f>
        <v/>
      </c>
      <c r="O161" t="str">
        <f>IF('Cost Inputs'!$L182="Y", 1, IF(OR('Cost Inputs'!$M182=8, 'Cost Inputs'!$M182=4, 'Cost Inputs'!$M182=2), 1, ""))</f>
        <v/>
      </c>
      <c r="P161" t="str">
        <f>IF('Cost Inputs'!$L182="Y", 1, IF(OR('Cost Inputs'!$M182=9, 'Cost Inputs'!$M182=3), 1, ""))</f>
        <v/>
      </c>
    </row>
    <row r="162" spans="1:16" x14ac:dyDescent="0.25">
      <c r="A162" s="575" t="s">
        <v>38</v>
      </c>
      <c r="B162" s="576"/>
      <c r="C162" s="576"/>
      <c r="D162" s="576"/>
      <c r="E162" s="576"/>
      <c r="F162" s="577"/>
      <c r="G162" t="str">
        <f>IF('Cost Inputs'!L183="Y", 1, IF('Cost Inputs'!$M183&gt;0, 1, ""))</f>
        <v/>
      </c>
      <c r="H162" t="str">
        <f>IF('Cost Inputs'!$L183="Y", 1, IF('Cost Inputs'!$M183=1, 1, ""))</f>
        <v/>
      </c>
      <c r="I162" t="str">
        <f>IF('Cost Inputs'!$L183="Y", 1, IF('Cost Inputs'!$M183=2, 1, ""))</f>
        <v/>
      </c>
      <c r="J162" t="str">
        <f>IF('Cost Inputs'!$L183="Y", 1, IF('Cost Inputs'!$M183=3, 1, ""))</f>
        <v/>
      </c>
      <c r="K162" t="str">
        <f>IF('Cost Inputs'!$L183="Y", 1, IF(OR('Cost Inputs'!$M183=4, 'Cost Inputs'!$M183=2), 1, ""))</f>
        <v/>
      </c>
      <c r="L162" t="str">
        <f>IF('Cost Inputs'!$L183="Y", 1, IF('Cost Inputs'!$M183=5, 1, ""))</f>
        <v/>
      </c>
      <c r="M162" t="str">
        <f>IF('Cost Inputs'!$L183="Y", 1, IF(OR('Cost Inputs'!$M183=6, 'Cost Inputs'!$M183=3, 'Cost Inputs'!$M183=2), 1, ""))</f>
        <v/>
      </c>
      <c r="N162" t="str">
        <f>IF('Cost Inputs'!$L183="Y", 1, IF('Cost Inputs'!$M183=7, 1, ""))</f>
        <v/>
      </c>
      <c r="O162" t="str">
        <f>IF('Cost Inputs'!$L183="Y", 1, IF(OR('Cost Inputs'!$M183=8, 'Cost Inputs'!$M183=4, 'Cost Inputs'!$M183=2), 1, ""))</f>
        <v/>
      </c>
      <c r="P162" t="str">
        <f>IF('Cost Inputs'!$L183="Y", 1, IF(OR('Cost Inputs'!$M183=9, 'Cost Inputs'!$M183=3), 1, ""))</f>
        <v/>
      </c>
    </row>
    <row r="163" spans="1:16" x14ac:dyDescent="0.25">
      <c r="A163" s="578"/>
      <c r="B163" s="579"/>
      <c r="C163" s="579"/>
      <c r="D163" s="579"/>
      <c r="E163" s="579"/>
      <c r="F163" s="580"/>
      <c r="G163" t="str">
        <f>IF('Cost Inputs'!L184="Y", 1, IF('Cost Inputs'!$M184&gt;0, 1, ""))</f>
        <v/>
      </c>
      <c r="H163" t="str">
        <f>IF('Cost Inputs'!$L184="Y", 1, IF('Cost Inputs'!$M184=1, 1, ""))</f>
        <v/>
      </c>
      <c r="I163" t="str">
        <f>IF('Cost Inputs'!$L184="Y", 1, IF('Cost Inputs'!$M184=2, 1, ""))</f>
        <v/>
      </c>
      <c r="J163" t="str">
        <f>IF('Cost Inputs'!$L184="Y", 1, IF('Cost Inputs'!$M184=3, 1, ""))</f>
        <v/>
      </c>
      <c r="K163" t="str">
        <f>IF('Cost Inputs'!$L184="Y", 1, IF(OR('Cost Inputs'!$M184=4, 'Cost Inputs'!$M184=2), 1, ""))</f>
        <v/>
      </c>
      <c r="L163" t="str">
        <f>IF('Cost Inputs'!$L184="Y", 1, IF('Cost Inputs'!$M184=5, 1, ""))</f>
        <v/>
      </c>
      <c r="M163" t="str">
        <f>IF('Cost Inputs'!$L184="Y", 1, IF(OR('Cost Inputs'!$M184=6, 'Cost Inputs'!$M184=3, 'Cost Inputs'!$M184=2), 1, ""))</f>
        <v/>
      </c>
      <c r="N163" t="str">
        <f>IF('Cost Inputs'!$L184="Y", 1, IF('Cost Inputs'!$M184=7, 1, ""))</f>
        <v/>
      </c>
      <c r="O163" t="str">
        <f>IF('Cost Inputs'!$L184="Y", 1, IF(OR('Cost Inputs'!$M184=8, 'Cost Inputs'!$M184=4, 'Cost Inputs'!$M184=2), 1, ""))</f>
        <v/>
      </c>
      <c r="P163" t="str">
        <f>IF('Cost Inputs'!$L184="Y", 1, IF(OR('Cost Inputs'!$M184=9, 'Cost Inputs'!$M184=3), 1, ""))</f>
        <v/>
      </c>
    </row>
    <row r="164" spans="1:16" x14ac:dyDescent="0.25">
      <c r="A164" s="556"/>
      <c r="B164" s="557"/>
      <c r="C164" s="557"/>
      <c r="D164" s="557"/>
      <c r="E164" s="557"/>
      <c r="F164" s="558"/>
      <c r="G164" t="str">
        <f>IF('Cost Inputs'!L185="Y", 1, IF('Cost Inputs'!$M185&gt;0, 1, ""))</f>
        <v/>
      </c>
      <c r="H164" t="str">
        <f>IF('Cost Inputs'!$L185="Y", 1, IF('Cost Inputs'!$M185=1, 1, ""))</f>
        <v/>
      </c>
      <c r="I164" t="str">
        <f>IF('Cost Inputs'!$L185="Y", 1, IF('Cost Inputs'!$M185=2, 1, ""))</f>
        <v/>
      </c>
      <c r="J164" t="str">
        <f>IF('Cost Inputs'!$L185="Y", 1, IF('Cost Inputs'!$M185=3, 1, ""))</f>
        <v/>
      </c>
      <c r="K164" t="str">
        <f>IF('Cost Inputs'!$L185="Y", 1, IF(OR('Cost Inputs'!$M185=4, 'Cost Inputs'!$M185=2), 1, ""))</f>
        <v/>
      </c>
      <c r="L164" t="str">
        <f>IF('Cost Inputs'!$L185="Y", 1, IF('Cost Inputs'!$M185=5, 1, ""))</f>
        <v/>
      </c>
      <c r="M164" t="str">
        <f>IF('Cost Inputs'!$L185="Y", 1, IF(OR('Cost Inputs'!$M185=6, 'Cost Inputs'!$M185=3, 'Cost Inputs'!$M185=2), 1, ""))</f>
        <v/>
      </c>
      <c r="N164" t="str">
        <f>IF('Cost Inputs'!$L185="Y", 1, IF('Cost Inputs'!$M185=7, 1, ""))</f>
        <v/>
      </c>
      <c r="O164" t="str">
        <f>IF('Cost Inputs'!$L185="Y", 1, IF(OR('Cost Inputs'!$M185=8, 'Cost Inputs'!$M185=4, 'Cost Inputs'!$M185=2), 1, ""))</f>
        <v/>
      </c>
      <c r="P164" t="str">
        <f>IF('Cost Inputs'!$L185="Y", 1, IF(OR('Cost Inputs'!$M185=9, 'Cost Inputs'!$M185=3), 1, ""))</f>
        <v/>
      </c>
    </row>
    <row r="165" spans="1:16" x14ac:dyDescent="0.25">
      <c r="A165" s="556"/>
      <c r="B165" s="557"/>
      <c r="C165" s="557"/>
      <c r="D165" s="557"/>
      <c r="E165" s="557"/>
      <c r="F165" s="558"/>
      <c r="G165" t="str">
        <f>IF('Cost Inputs'!L186="Y", 1, IF('Cost Inputs'!$M186&gt;0, 1, ""))</f>
        <v/>
      </c>
      <c r="H165" t="str">
        <f>IF('Cost Inputs'!$L186="Y", 1, IF('Cost Inputs'!$M186=1, 1, ""))</f>
        <v/>
      </c>
      <c r="I165" t="str">
        <f>IF('Cost Inputs'!$L186="Y", 1, IF('Cost Inputs'!$M186=2, 1, ""))</f>
        <v/>
      </c>
      <c r="J165" t="str">
        <f>IF('Cost Inputs'!$L186="Y", 1, IF('Cost Inputs'!$M186=3, 1, ""))</f>
        <v/>
      </c>
      <c r="K165" t="str">
        <f>IF('Cost Inputs'!$L186="Y", 1, IF(OR('Cost Inputs'!$M186=4, 'Cost Inputs'!$M186=2), 1, ""))</f>
        <v/>
      </c>
      <c r="L165" t="str">
        <f>IF('Cost Inputs'!$L186="Y", 1, IF('Cost Inputs'!$M186=5, 1, ""))</f>
        <v/>
      </c>
      <c r="M165" t="str">
        <f>IF('Cost Inputs'!$L186="Y", 1, IF(OR('Cost Inputs'!$M186=6, 'Cost Inputs'!$M186=3, 'Cost Inputs'!$M186=2), 1, ""))</f>
        <v/>
      </c>
      <c r="N165" t="str">
        <f>IF('Cost Inputs'!$L186="Y", 1, IF('Cost Inputs'!$M186=7, 1, ""))</f>
        <v/>
      </c>
      <c r="O165" t="str">
        <f>IF('Cost Inputs'!$L186="Y", 1, IF(OR('Cost Inputs'!$M186=8, 'Cost Inputs'!$M186=4, 'Cost Inputs'!$M186=2), 1, ""))</f>
        <v/>
      </c>
      <c r="P165" t="str">
        <f>IF('Cost Inputs'!$L186="Y", 1, IF(OR('Cost Inputs'!$M186=9, 'Cost Inputs'!$M186=3), 1, ""))</f>
        <v/>
      </c>
    </row>
    <row r="166" spans="1:16" x14ac:dyDescent="0.25">
      <c r="A166" s="581" t="s">
        <v>125</v>
      </c>
      <c r="B166" s="582"/>
      <c r="C166" s="582"/>
      <c r="D166" s="582"/>
      <c r="E166" s="582"/>
      <c r="F166" s="583"/>
      <c r="G166" t="str">
        <f>IF('Cost Inputs'!L187="Y", 1, IF('Cost Inputs'!$M187&gt;0, 1, ""))</f>
        <v/>
      </c>
      <c r="H166" t="str">
        <f>IF('Cost Inputs'!$L187="Y", 1, IF('Cost Inputs'!$M187=1, 1, ""))</f>
        <v/>
      </c>
      <c r="I166" t="str">
        <f>IF('Cost Inputs'!$L187="Y", 1, IF('Cost Inputs'!$M187=2, 1, ""))</f>
        <v/>
      </c>
      <c r="J166" t="str">
        <f>IF('Cost Inputs'!$L187="Y", 1, IF('Cost Inputs'!$M187=3, 1, ""))</f>
        <v/>
      </c>
      <c r="K166" t="str">
        <f>IF('Cost Inputs'!$L187="Y", 1, IF(OR('Cost Inputs'!$M187=4, 'Cost Inputs'!$M187=2), 1, ""))</f>
        <v/>
      </c>
      <c r="L166" t="str">
        <f>IF('Cost Inputs'!$L187="Y", 1, IF('Cost Inputs'!$M187=5, 1, ""))</f>
        <v/>
      </c>
      <c r="M166" t="str">
        <f>IF('Cost Inputs'!$L187="Y", 1, IF(OR('Cost Inputs'!$M187=6, 'Cost Inputs'!$M187=3, 'Cost Inputs'!$M187=2), 1, ""))</f>
        <v/>
      </c>
      <c r="N166" t="str">
        <f>IF('Cost Inputs'!$L187="Y", 1, IF('Cost Inputs'!$M187=7, 1, ""))</f>
        <v/>
      </c>
      <c r="O166" t="str">
        <f>IF('Cost Inputs'!$L187="Y", 1, IF(OR('Cost Inputs'!$M187=8, 'Cost Inputs'!$M187=4, 'Cost Inputs'!$M187=2), 1, ""))</f>
        <v/>
      </c>
      <c r="P166" t="str">
        <f>IF('Cost Inputs'!$L187="Y", 1, IF(OR('Cost Inputs'!$M187=9, 'Cost Inputs'!$M187=3), 1, ""))</f>
        <v/>
      </c>
    </row>
    <row r="167" spans="1:16" x14ac:dyDescent="0.25">
      <c r="A167" s="572"/>
      <c r="B167" s="573"/>
      <c r="C167" s="573"/>
      <c r="D167" s="573"/>
      <c r="E167" s="573"/>
      <c r="F167" s="574"/>
      <c r="G167" t="str">
        <f>IF('Cost Inputs'!L188="Y", 1, IF('Cost Inputs'!$M188&gt;0, 1, ""))</f>
        <v/>
      </c>
      <c r="H167" t="str">
        <f>IF('Cost Inputs'!$L188="Y", 1, IF('Cost Inputs'!$M188=1, 1, ""))</f>
        <v/>
      </c>
      <c r="I167" t="str">
        <f>IF('Cost Inputs'!$L188="Y", 1, IF('Cost Inputs'!$M188=2, 1, ""))</f>
        <v/>
      </c>
      <c r="J167" t="str">
        <f>IF('Cost Inputs'!$L188="Y", 1, IF('Cost Inputs'!$M188=3, 1, ""))</f>
        <v/>
      </c>
      <c r="K167" t="str">
        <f>IF('Cost Inputs'!$L188="Y", 1, IF(OR('Cost Inputs'!$M188=4, 'Cost Inputs'!$M188=2), 1, ""))</f>
        <v/>
      </c>
      <c r="L167" t="str">
        <f>IF('Cost Inputs'!$L188="Y", 1, IF('Cost Inputs'!$M188=5, 1, ""))</f>
        <v/>
      </c>
      <c r="M167" t="str">
        <f>IF('Cost Inputs'!$L188="Y", 1, IF(OR('Cost Inputs'!$M188=6, 'Cost Inputs'!$M188=3, 'Cost Inputs'!$M188=2), 1, ""))</f>
        <v/>
      </c>
      <c r="N167" t="str">
        <f>IF('Cost Inputs'!$L188="Y", 1, IF('Cost Inputs'!$M188=7, 1, ""))</f>
        <v/>
      </c>
      <c r="O167" t="str">
        <f>IF('Cost Inputs'!$L188="Y", 1, IF(OR('Cost Inputs'!$M188=8, 'Cost Inputs'!$M188=4, 'Cost Inputs'!$M188=2), 1, ""))</f>
        <v/>
      </c>
      <c r="P167" t="str">
        <f>IF('Cost Inputs'!$L188="Y", 1, IF(OR('Cost Inputs'!$M188=9, 'Cost Inputs'!$M188=3), 1, ""))</f>
        <v/>
      </c>
    </row>
    <row r="168" spans="1:16" x14ac:dyDescent="0.25">
      <c r="A168" s="556"/>
      <c r="B168" s="557"/>
      <c r="C168" s="557"/>
      <c r="D168" s="557"/>
      <c r="E168" s="557"/>
      <c r="F168" s="558"/>
      <c r="G168" t="str">
        <f>IF('Cost Inputs'!L189="Y", 1, IF('Cost Inputs'!$M189&gt;0, 1, ""))</f>
        <v/>
      </c>
      <c r="H168" t="str">
        <f>IF('Cost Inputs'!$L189="Y", 1, IF('Cost Inputs'!$M189=1, 1, ""))</f>
        <v/>
      </c>
      <c r="I168" t="str">
        <f>IF('Cost Inputs'!$L189="Y", 1, IF('Cost Inputs'!$M189=2, 1, ""))</f>
        <v/>
      </c>
      <c r="J168" t="str">
        <f>IF('Cost Inputs'!$L189="Y", 1, IF('Cost Inputs'!$M189=3, 1, ""))</f>
        <v/>
      </c>
      <c r="K168" t="str">
        <f>IF('Cost Inputs'!$L189="Y", 1, IF(OR('Cost Inputs'!$M189=4, 'Cost Inputs'!$M189=2), 1, ""))</f>
        <v/>
      </c>
      <c r="L168" t="str">
        <f>IF('Cost Inputs'!$L189="Y", 1, IF('Cost Inputs'!$M189=5, 1, ""))</f>
        <v/>
      </c>
      <c r="M168" t="str">
        <f>IF('Cost Inputs'!$L189="Y", 1, IF(OR('Cost Inputs'!$M189=6, 'Cost Inputs'!$M189=3, 'Cost Inputs'!$M189=2), 1, ""))</f>
        <v/>
      </c>
      <c r="N168" t="str">
        <f>IF('Cost Inputs'!$L189="Y", 1, IF('Cost Inputs'!$M189=7, 1, ""))</f>
        <v/>
      </c>
      <c r="O168" t="str">
        <f>IF('Cost Inputs'!$L189="Y", 1, IF(OR('Cost Inputs'!$M189=8, 'Cost Inputs'!$M189=4, 'Cost Inputs'!$M189=2), 1, ""))</f>
        <v/>
      </c>
      <c r="P168" t="str">
        <f>IF('Cost Inputs'!$L189="Y", 1, IF(OR('Cost Inputs'!$M189=9, 'Cost Inputs'!$M189=3), 1, ""))</f>
        <v/>
      </c>
    </row>
    <row r="169" spans="1:16" x14ac:dyDescent="0.25">
      <c r="A169" s="597"/>
      <c r="B169" s="598"/>
      <c r="C169" s="598"/>
      <c r="D169" s="598"/>
      <c r="E169" s="598"/>
      <c r="F169" s="599"/>
      <c r="G169" t="str">
        <f>IF('Cost Inputs'!L196="Y", 1, IF('Cost Inputs'!$M196&gt;0, 1, ""))</f>
        <v/>
      </c>
      <c r="H169" t="str">
        <f>IF('Cost Inputs'!$L196="Y", 1, IF('Cost Inputs'!$M196=1, 1, ""))</f>
        <v/>
      </c>
      <c r="I169" t="str">
        <f>IF('Cost Inputs'!$L196="Y", 1, IF('Cost Inputs'!$M196=2, 1, ""))</f>
        <v/>
      </c>
      <c r="J169" t="str">
        <f>IF('Cost Inputs'!$L196="Y", 1, IF('Cost Inputs'!$M196=3, 1, ""))</f>
        <v/>
      </c>
      <c r="K169" t="str">
        <f>IF('Cost Inputs'!$L196="Y", 1, IF(OR('Cost Inputs'!$M196=4, 'Cost Inputs'!$M196=2), 1, ""))</f>
        <v/>
      </c>
      <c r="L169" t="str">
        <f>IF('Cost Inputs'!$L196="Y", 1, IF('Cost Inputs'!$M196=5, 1, ""))</f>
        <v/>
      </c>
      <c r="M169" t="str">
        <f>IF('Cost Inputs'!$L196="Y", 1, IF(OR('Cost Inputs'!$M196=6, 'Cost Inputs'!$M196=3, 'Cost Inputs'!$M196=2), 1, ""))</f>
        <v/>
      </c>
      <c r="N169" t="str">
        <f>IF('Cost Inputs'!$L196="Y", 1, IF('Cost Inputs'!$M196=7, 1, ""))</f>
        <v/>
      </c>
      <c r="O169" t="str">
        <f>IF('Cost Inputs'!$L196="Y", 1, IF(OR('Cost Inputs'!$M196=8, 'Cost Inputs'!$M196=4, 'Cost Inputs'!$M196=2), 1, ""))</f>
        <v/>
      </c>
      <c r="P169" t="str">
        <f>IF('Cost Inputs'!$L196="Y", 1, IF(OR('Cost Inputs'!$M196=9, 'Cost Inputs'!$M196=3), 1, ""))</f>
        <v/>
      </c>
    </row>
    <row r="170" spans="1:16" x14ac:dyDescent="0.25">
      <c r="A170" s="556"/>
      <c r="B170" s="557"/>
      <c r="C170" s="557"/>
      <c r="D170" s="557"/>
      <c r="E170" s="557"/>
      <c r="F170" s="558"/>
      <c r="G170" t="str">
        <f>IF('Cost Inputs'!L197="Y", 1, IF('Cost Inputs'!$M197&gt;0, 1, ""))</f>
        <v/>
      </c>
      <c r="H170" t="str">
        <f>IF('Cost Inputs'!$L197="Y", 1, IF('Cost Inputs'!$M197=1, 1, ""))</f>
        <v/>
      </c>
      <c r="I170" t="str">
        <f>IF('Cost Inputs'!$L197="Y", 1, IF('Cost Inputs'!$M197=2, 1, ""))</f>
        <v/>
      </c>
      <c r="J170" t="str">
        <f>IF('Cost Inputs'!$L197="Y", 1, IF('Cost Inputs'!$M197=3, 1, ""))</f>
        <v/>
      </c>
      <c r="K170" t="str">
        <f>IF('Cost Inputs'!$L197="Y", 1, IF(OR('Cost Inputs'!$M197=4, 'Cost Inputs'!$M197=2), 1, ""))</f>
        <v/>
      </c>
      <c r="L170" t="str">
        <f>IF('Cost Inputs'!$L197="Y", 1, IF('Cost Inputs'!$M197=5, 1, ""))</f>
        <v/>
      </c>
      <c r="M170" t="str">
        <f>IF('Cost Inputs'!$L197="Y", 1, IF(OR('Cost Inputs'!$M197=6, 'Cost Inputs'!$M197=3, 'Cost Inputs'!$M197=2), 1, ""))</f>
        <v/>
      </c>
      <c r="N170" t="str">
        <f>IF('Cost Inputs'!$L197="Y", 1, IF('Cost Inputs'!$M197=7, 1, ""))</f>
        <v/>
      </c>
      <c r="O170" t="str">
        <f>IF('Cost Inputs'!$L197="Y", 1, IF(OR('Cost Inputs'!$M197=8, 'Cost Inputs'!$M197=4, 'Cost Inputs'!$M197=2), 1, ""))</f>
        <v/>
      </c>
      <c r="P170" t="str">
        <f>IF('Cost Inputs'!$L197="Y", 1, IF(OR('Cost Inputs'!$M197=9, 'Cost Inputs'!$M197=3), 1, ""))</f>
        <v/>
      </c>
    </row>
    <row r="171" spans="1:16" x14ac:dyDescent="0.25">
      <c r="A171" s="581" t="s">
        <v>126</v>
      </c>
      <c r="B171" s="582"/>
      <c r="C171" s="582"/>
      <c r="D171" s="582"/>
      <c r="E171" s="582"/>
      <c r="F171" s="583"/>
      <c r="G171" t="str">
        <f>IF('Cost Inputs'!L198="Y", 1, IF('Cost Inputs'!$M198&gt;0, 1, ""))</f>
        <v/>
      </c>
      <c r="H171" t="str">
        <f>IF('Cost Inputs'!$L198="Y", 1, IF('Cost Inputs'!$M198=1, 1, ""))</f>
        <v/>
      </c>
      <c r="I171" t="str">
        <f>IF('Cost Inputs'!$L198="Y", 1, IF('Cost Inputs'!$M198=2, 1, ""))</f>
        <v/>
      </c>
      <c r="J171" t="str">
        <f>IF('Cost Inputs'!$L198="Y", 1, IF('Cost Inputs'!$M198=3, 1, ""))</f>
        <v/>
      </c>
      <c r="K171" t="str">
        <f>IF('Cost Inputs'!$L198="Y", 1, IF(OR('Cost Inputs'!$M198=4, 'Cost Inputs'!$M198=2), 1, ""))</f>
        <v/>
      </c>
      <c r="L171" t="str">
        <f>IF('Cost Inputs'!$L198="Y", 1, IF('Cost Inputs'!$M198=5, 1, ""))</f>
        <v/>
      </c>
      <c r="M171" t="str">
        <f>IF('Cost Inputs'!$L198="Y", 1, IF(OR('Cost Inputs'!$M198=6, 'Cost Inputs'!$M198=3, 'Cost Inputs'!$M198=2), 1, ""))</f>
        <v/>
      </c>
      <c r="N171" t="str">
        <f>IF('Cost Inputs'!$L198="Y", 1, IF('Cost Inputs'!$M198=7, 1, ""))</f>
        <v/>
      </c>
      <c r="O171" t="str">
        <f>IF('Cost Inputs'!$L198="Y", 1, IF(OR('Cost Inputs'!$M198=8, 'Cost Inputs'!$M198=4, 'Cost Inputs'!$M198=2), 1, ""))</f>
        <v/>
      </c>
      <c r="P171" t="str">
        <f>IF('Cost Inputs'!$L198="Y", 1, IF(OR('Cost Inputs'!$M198=9, 'Cost Inputs'!$M198=3), 1, ""))</f>
        <v/>
      </c>
    </row>
    <row r="172" spans="1:16" x14ac:dyDescent="0.25">
      <c r="A172" s="572"/>
      <c r="B172" s="573"/>
      <c r="C172" s="573"/>
      <c r="D172" s="573"/>
      <c r="E172" s="573"/>
      <c r="F172" s="574"/>
      <c r="G172" t="str">
        <f>IF('Cost Inputs'!L199="Y", 1, IF('Cost Inputs'!$M199&gt;0, 1, ""))</f>
        <v/>
      </c>
      <c r="H172" t="str">
        <f>IF('Cost Inputs'!$L199="Y", 1, IF('Cost Inputs'!$M199=1, 1, ""))</f>
        <v/>
      </c>
      <c r="I172" t="str">
        <f>IF('Cost Inputs'!$L199="Y", 1, IF('Cost Inputs'!$M199=2, 1, ""))</f>
        <v/>
      </c>
      <c r="J172" t="str">
        <f>IF('Cost Inputs'!$L199="Y", 1, IF('Cost Inputs'!$M199=3, 1, ""))</f>
        <v/>
      </c>
      <c r="K172" t="str">
        <f>IF('Cost Inputs'!$L199="Y", 1, IF(OR('Cost Inputs'!$M199=4, 'Cost Inputs'!$M199=2), 1, ""))</f>
        <v/>
      </c>
      <c r="L172" t="str">
        <f>IF('Cost Inputs'!$L199="Y", 1, IF('Cost Inputs'!$M199=5, 1, ""))</f>
        <v/>
      </c>
      <c r="M172" t="str">
        <f>IF('Cost Inputs'!$L199="Y", 1, IF(OR('Cost Inputs'!$M199=6, 'Cost Inputs'!$M199=3, 'Cost Inputs'!$M199=2), 1, ""))</f>
        <v/>
      </c>
      <c r="N172" t="str">
        <f>IF('Cost Inputs'!$L199="Y", 1, IF('Cost Inputs'!$M199=7, 1, ""))</f>
        <v/>
      </c>
      <c r="O172" t="str">
        <f>IF('Cost Inputs'!$L199="Y", 1, IF(OR('Cost Inputs'!$M199=8, 'Cost Inputs'!$M199=4, 'Cost Inputs'!$M199=2), 1, ""))</f>
        <v/>
      </c>
      <c r="P172" t="str">
        <f>IF('Cost Inputs'!$L199="Y", 1, IF(OR('Cost Inputs'!$M199=9, 'Cost Inputs'!$M199=3), 1, ""))</f>
        <v/>
      </c>
    </row>
    <row r="173" spans="1:16" x14ac:dyDescent="0.25">
      <c r="A173" s="575" t="s">
        <v>40</v>
      </c>
      <c r="B173" s="576"/>
      <c r="C173" s="576"/>
      <c r="D173" s="576"/>
      <c r="E173" s="576"/>
      <c r="F173" s="577"/>
      <c r="G173" t="str">
        <f>IF('Cost Inputs'!L200="Y", 1, IF('Cost Inputs'!$M200&gt;0, 1, ""))</f>
        <v/>
      </c>
      <c r="H173" t="str">
        <f>IF('Cost Inputs'!$L200="Y", 1, IF('Cost Inputs'!$M200=1, 1, ""))</f>
        <v/>
      </c>
      <c r="I173" t="str">
        <f>IF('Cost Inputs'!$L200="Y", 1, IF('Cost Inputs'!$M200=2, 1, ""))</f>
        <v/>
      </c>
      <c r="J173" t="str">
        <f>IF('Cost Inputs'!$L200="Y", 1, IF('Cost Inputs'!$M200=3, 1, ""))</f>
        <v/>
      </c>
      <c r="K173" t="str">
        <f>IF('Cost Inputs'!$L200="Y", 1, IF(OR('Cost Inputs'!$M200=4, 'Cost Inputs'!$M200=2), 1, ""))</f>
        <v/>
      </c>
      <c r="L173" t="str">
        <f>IF('Cost Inputs'!$L200="Y", 1, IF('Cost Inputs'!$M200=5, 1, ""))</f>
        <v/>
      </c>
      <c r="M173" t="str">
        <f>IF('Cost Inputs'!$L200="Y", 1, IF(OR('Cost Inputs'!$M200=6, 'Cost Inputs'!$M200=3, 'Cost Inputs'!$M200=2), 1, ""))</f>
        <v/>
      </c>
      <c r="N173" t="str">
        <f>IF('Cost Inputs'!$L200="Y", 1, IF('Cost Inputs'!$M200=7, 1, ""))</f>
        <v/>
      </c>
      <c r="O173" t="str">
        <f>IF('Cost Inputs'!$L200="Y", 1, IF(OR('Cost Inputs'!$M200=8, 'Cost Inputs'!$M200=4, 'Cost Inputs'!$M200=2), 1, ""))</f>
        <v/>
      </c>
      <c r="P173" t="str">
        <f>IF('Cost Inputs'!$L200="Y", 1, IF(OR('Cost Inputs'!$M200=9, 'Cost Inputs'!$M200=3), 1, ""))</f>
        <v/>
      </c>
    </row>
    <row r="174" spans="1:16" x14ac:dyDescent="0.25">
      <c r="A174" s="578"/>
      <c r="B174" s="579"/>
      <c r="C174" s="579"/>
      <c r="D174" s="579"/>
      <c r="E174" s="579"/>
      <c r="F174" s="580"/>
      <c r="G174" t="str">
        <f>IF('Cost Inputs'!L201="Y", 1, IF('Cost Inputs'!$M201&gt;0, 1, ""))</f>
        <v/>
      </c>
      <c r="H174" t="str">
        <f>IF('Cost Inputs'!$L201="Y", 1, IF('Cost Inputs'!$M201=1, 1, ""))</f>
        <v/>
      </c>
      <c r="I174" t="str">
        <f>IF('Cost Inputs'!$L201="Y", 1, IF('Cost Inputs'!$M201=2, 1, ""))</f>
        <v/>
      </c>
      <c r="J174" t="str">
        <f>IF('Cost Inputs'!$L201="Y", 1, IF('Cost Inputs'!$M201=3, 1, ""))</f>
        <v/>
      </c>
      <c r="K174" t="str">
        <f>IF('Cost Inputs'!$L201="Y", 1, IF(OR('Cost Inputs'!$M201=4, 'Cost Inputs'!$M201=2), 1, ""))</f>
        <v/>
      </c>
      <c r="L174" t="str">
        <f>IF('Cost Inputs'!$L201="Y", 1, IF('Cost Inputs'!$M201=5, 1, ""))</f>
        <v/>
      </c>
      <c r="M174" t="str">
        <f>IF('Cost Inputs'!$L201="Y", 1, IF(OR('Cost Inputs'!$M201=6, 'Cost Inputs'!$M201=3, 'Cost Inputs'!$M201=2), 1, ""))</f>
        <v/>
      </c>
      <c r="N174" t="str">
        <f>IF('Cost Inputs'!$L201="Y", 1, IF('Cost Inputs'!$M201=7, 1, ""))</f>
        <v/>
      </c>
      <c r="O174" t="str">
        <f>IF('Cost Inputs'!$L201="Y", 1, IF(OR('Cost Inputs'!$M201=8, 'Cost Inputs'!$M201=4, 'Cost Inputs'!$M201=2), 1, ""))</f>
        <v/>
      </c>
      <c r="P174" t="str">
        <f>IF('Cost Inputs'!$L201="Y", 1, IF(OR('Cost Inputs'!$M201=9, 'Cost Inputs'!$M201=3), 1, ""))</f>
        <v/>
      </c>
    </row>
    <row r="175" spans="1:16" x14ac:dyDescent="0.25">
      <c r="A175" s="556"/>
      <c r="B175" s="557"/>
      <c r="C175" s="557"/>
      <c r="D175" s="557"/>
      <c r="E175" s="557"/>
      <c r="F175" s="558"/>
      <c r="G175" t="str">
        <f>IF('Cost Inputs'!L202="Y", 1, IF('Cost Inputs'!$M202&gt;0, 1, ""))</f>
        <v/>
      </c>
      <c r="H175" t="str">
        <f>IF('Cost Inputs'!$L202="Y", 1, IF('Cost Inputs'!$M202=1, 1, ""))</f>
        <v/>
      </c>
      <c r="I175" t="str">
        <f>IF('Cost Inputs'!$L202="Y", 1, IF('Cost Inputs'!$M202=2, 1, ""))</f>
        <v/>
      </c>
      <c r="J175" t="str">
        <f>IF('Cost Inputs'!$L202="Y", 1, IF('Cost Inputs'!$M202=3, 1, ""))</f>
        <v/>
      </c>
      <c r="K175" t="str">
        <f>IF('Cost Inputs'!$L202="Y", 1, IF(OR('Cost Inputs'!$M202=4, 'Cost Inputs'!$M202=2), 1, ""))</f>
        <v/>
      </c>
      <c r="L175" t="str">
        <f>IF('Cost Inputs'!$L202="Y", 1, IF('Cost Inputs'!$M202=5, 1, ""))</f>
        <v/>
      </c>
      <c r="M175" t="str">
        <f>IF('Cost Inputs'!$L202="Y", 1, IF(OR('Cost Inputs'!$M202=6, 'Cost Inputs'!$M202=3, 'Cost Inputs'!$M202=2), 1, ""))</f>
        <v/>
      </c>
      <c r="N175" t="str">
        <f>IF('Cost Inputs'!$L202="Y", 1, IF('Cost Inputs'!$M202=7, 1, ""))</f>
        <v/>
      </c>
      <c r="O175" t="str">
        <f>IF('Cost Inputs'!$L202="Y", 1, IF(OR('Cost Inputs'!$M202=8, 'Cost Inputs'!$M202=4, 'Cost Inputs'!$M202=2), 1, ""))</f>
        <v/>
      </c>
      <c r="P175" t="str">
        <f>IF('Cost Inputs'!$L202="Y", 1, IF(OR('Cost Inputs'!$M202=9, 'Cost Inputs'!$M202=3), 1, ""))</f>
        <v/>
      </c>
    </row>
    <row r="176" spans="1:16" x14ac:dyDescent="0.25">
      <c r="A176" s="556"/>
      <c r="B176" s="557"/>
      <c r="C176" s="557"/>
      <c r="D176" s="557"/>
      <c r="E176" s="557"/>
      <c r="F176" s="558"/>
      <c r="G176" t="str">
        <f>IF('Cost Inputs'!L203="Y", 1, IF('Cost Inputs'!$M203&gt;0, 1, ""))</f>
        <v/>
      </c>
      <c r="H176" t="str">
        <f>IF('Cost Inputs'!$L203="Y", 1, IF('Cost Inputs'!$M203=1, 1, ""))</f>
        <v/>
      </c>
      <c r="I176" t="str">
        <f>IF('Cost Inputs'!$L203="Y", 1, IF('Cost Inputs'!$M203=2, 1, ""))</f>
        <v/>
      </c>
      <c r="J176" t="str">
        <f>IF('Cost Inputs'!$L203="Y", 1, IF('Cost Inputs'!$M203=3, 1, ""))</f>
        <v/>
      </c>
      <c r="K176" t="str">
        <f>IF('Cost Inputs'!$L203="Y", 1, IF(OR('Cost Inputs'!$M203=4, 'Cost Inputs'!$M203=2), 1, ""))</f>
        <v/>
      </c>
      <c r="L176" t="str">
        <f>IF('Cost Inputs'!$L203="Y", 1, IF('Cost Inputs'!$M203=5, 1, ""))</f>
        <v/>
      </c>
      <c r="M176" t="str">
        <f>IF('Cost Inputs'!$L203="Y", 1, IF(OR('Cost Inputs'!$M203=6, 'Cost Inputs'!$M203=3, 'Cost Inputs'!$M203=2), 1, ""))</f>
        <v/>
      </c>
      <c r="N176" t="str">
        <f>IF('Cost Inputs'!$L203="Y", 1, IF('Cost Inputs'!$M203=7, 1, ""))</f>
        <v/>
      </c>
      <c r="O176" t="str">
        <f>IF('Cost Inputs'!$L203="Y", 1, IF(OR('Cost Inputs'!$M203=8, 'Cost Inputs'!$M203=4, 'Cost Inputs'!$M203=2), 1, ""))</f>
        <v/>
      </c>
      <c r="P176" t="str">
        <f>IF('Cost Inputs'!$L203="Y", 1, IF(OR('Cost Inputs'!$M203=9, 'Cost Inputs'!$M203=3), 1, ""))</f>
        <v/>
      </c>
    </row>
    <row r="177" spans="1:16" x14ac:dyDescent="0.25">
      <c r="A177" s="600" t="s">
        <v>127</v>
      </c>
      <c r="B177" s="601"/>
      <c r="C177" s="601"/>
      <c r="D177" s="601"/>
      <c r="E177" s="601"/>
      <c r="F177" s="602"/>
      <c r="G177" t="str">
        <f>IF('Cost Inputs'!L206="Y", 1, IF('Cost Inputs'!$M206&gt;0, 1, ""))</f>
        <v/>
      </c>
      <c r="H177" t="str">
        <f>IF('Cost Inputs'!$L206="Y", 1, IF('Cost Inputs'!$M206=1, 1, ""))</f>
        <v/>
      </c>
      <c r="I177" t="str">
        <f>IF('Cost Inputs'!$L206="Y", 1, IF('Cost Inputs'!$M206=2, 1, ""))</f>
        <v/>
      </c>
      <c r="J177" t="str">
        <f>IF('Cost Inputs'!$L206="Y", 1, IF('Cost Inputs'!$M206=3, 1, ""))</f>
        <v/>
      </c>
      <c r="K177" t="str">
        <f>IF('Cost Inputs'!$L206="Y", 1, IF(OR('Cost Inputs'!$M206=4, 'Cost Inputs'!$M206=2), 1, ""))</f>
        <v/>
      </c>
      <c r="L177" t="str">
        <f>IF('Cost Inputs'!$L206="Y", 1, IF('Cost Inputs'!$M206=5, 1, ""))</f>
        <v/>
      </c>
      <c r="M177" t="str">
        <f>IF('Cost Inputs'!$L206="Y", 1, IF(OR('Cost Inputs'!$M206=6, 'Cost Inputs'!$M206=3, 'Cost Inputs'!$M206=2), 1, ""))</f>
        <v/>
      </c>
      <c r="N177" t="str">
        <f>IF('Cost Inputs'!$L206="Y", 1, IF('Cost Inputs'!$M206=7, 1, ""))</f>
        <v/>
      </c>
      <c r="O177" t="str">
        <f>IF('Cost Inputs'!$L206="Y", 1, IF(OR('Cost Inputs'!$M206=8, 'Cost Inputs'!$M206=4, 'Cost Inputs'!$M206=2), 1, ""))</f>
        <v/>
      </c>
      <c r="P177" t="str">
        <f>IF('Cost Inputs'!$L206="Y", 1, IF(OR('Cost Inputs'!$M206=9, 'Cost Inputs'!$M206=3), 1, ""))</f>
        <v/>
      </c>
    </row>
    <row r="178" spans="1:16" x14ac:dyDescent="0.25">
      <c r="A178" s="556"/>
      <c r="B178" s="557"/>
      <c r="C178" s="557"/>
      <c r="D178" s="557"/>
      <c r="E178" s="557"/>
      <c r="F178" s="558"/>
      <c r="G178" t="str">
        <f>IF('Cost Inputs'!L207="Y", 1, IF('Cost Inputs'!$M207&gt;0, 1, ""))</f>
        <v/>
      </c>
      <c r="H178" t="str">
        <f>IF('Cost Inputs'!$L207="Y", 1, IF('Cost Inputs'!$M207=1, 1, ""))</f>
        <v/>
      </c>
      <c r="I178" t="str">
        <f>IF('Cost Inputs'!$L207="Y", 1, IF('Cost Inputs'!$M207=2, 1, ""))</f>
        <v/>
      </c>
      <c r="J178" t="str">
        <f>IF('Cost Inputs'!$L207="Y", 1, IF('Cost Inputs'!$M207=3, 1, ""))</f>
        <v/>
      </c>
      <c r="K178" t="str">
        <f>IF('Cost Inputs'!$L207="Y", 1, IF(OR('Cost Inputs'!$M207=4, 'Cost Inputs'!$M207=2), 1, ""))</f>
        <v/>
      </c>
      <c r="L178" t="str">
        <f>IF('Cost Inputs'!$L207="Y", 1, IF('Cost Inputs'!$M207=5, 1, ""))</f>
        <v/>
      </c>
      <c r="M178" t="str">
        <f>IF('Cost Inputs'!$L207="Y", 1, IF(OR('Cost Inputs'!$M207=6, 'Cost Inputs'!$M207=3, 'Cost Inputs'!$M207=2), 1, ""))</f>
        <v/>
      </c>
      <c r="N178" t="str">
        <f>IF('Cost Inputs'!$L207="Y", 1, IF('Cost Inputs'!$M207=7, 1, ""))</f>
        <v/>
      </c>
      <c r="O178" t="str">
        <f>IF('Cost Inputs'!$L207="Y", 1, IF(OR('Cost Inputs'!$M207=8, 'Cost Inputs'!$M207=4, 'Cost Inputs'!$M207=2), 1, ""))</f>
        <v/>
      </c>
      <c r="P178" t="str">
        <f>IF('Cost Inputs'!$L207="Y", 1, IF(OR('Cost Inputs'!$M207=9, 'Cost Inputs'!$M207=3), 1, ""))</f>
        <v/>
      </c>
    </row>
    <row r="179" spans="1:16" x14ac:dyDescent="0.25">
      <c r="A179" s="556"/>
      <c r="B179" s="557"/>
      <c r="C179" s="557"/>
      <c r="D179" s="557"/>
      <c r="E179" s="557"/>
      <c r="F179" s="558"/>
      <c r="G179" t="str">
        <f>IF('Cost Inputs'!L208="Y", 1, IF('Cost Inputs'!$M208&gt;0, 1, ""))</f>
        <v/>
      </c>
      <c r="H179" t="str">
        <f>IF('Cost Inputs'!$L208="Y", 1, IF('Cost Inputs'!$M208=1, 1, ""))</f>
        <v/>
      </c>
      <c r="I179" t="str">
        <f>IF('Cost Inputs'!$L208="Y", 1, IF('Cost Inputs'!$M208=2, 1, ""))</f>
        <v/>
      </c>
      <c r="J179" t="str">
        <f>IF('Cost Inputs'!$L208="Y", 1, IF('Cost Inputs'!$M208=3, 1, ""))</f>
        <v/>
      </c>
      <c r="K179" t="str">
        <f>IF('Cost Inputs'!$L208="Y", 1, IF(OR('Cost Inputs'!$M208=4, 'Cost Inputs'!$M208=2), 1, ""))</f>
        <v/>
      </c>
      <c r="L179" t="str">
        <f>IF('Cost Inputs'!$L208="Y", 1, IF('Cost Inputs'!$M208=5, 1, ""))</f>
        <v/>
      </c>
      <c r="M179" t="str">
        <f>IF('Cost Inputs'!$L208="Y", 1, IF(OR('Cost Inputs'!$M208=6, 'Cost Inputs'!$M208=3, 'Cost Inputs'!$M208=2), 1, ""))</f>
        <v/>
      </c>
      <c r="N179" t="str">
        <f>IF('Cost Inputs'!$L208="Y", 1, IF('Cost Inputs'!$M208=7, 1, ""))</f>
        <v/>
      </c>
      <c r="O179" t="str">
        <f>IF('Cost Inputs'!$L208="Y", 1, IF(OR('Cost Inputs'!$M208=8, 'Cost Inputs'!$M208=4, 'Cost Inputs'!$M208=2), 1, ""))</f>
        <v/>
      </c>
      <c r="P179" t="str">
        <f>IF('Cost Inputs'!$L208="Y", 1, IF(OR('Cost Inputs'!$M208=9, 'Cost Inputs'!$M208=3), 1, ""))</f>
        <v/>
      </c>
    </row>
    <row r="180" spans="1:16" x14ac:dyDescent="0.25">
      <c r="A180" s="600" t="s">
        <v>48</v>
      </c>
      <c r="B180" s="601"/>
      <c r="C180" s="601"/>
      <c r="D180" s="601"/>
      <c r="E180" s="601"/>
      <c r="F180" s="602"/>
      <c r="G180" t="str">
        <f>IF('Cost Inputs'!L210="Y", 1, IF('Cost Inputs'!$M210&gt;0, 1, ""))</f>
        <v/>
      </c>
      <c r="H180" t="str">
        <f>IF('Cost Inputs'!$L210="Y", 1, IF('Cost Inputs'!$M210=1, 1, ""))</f>
        <v/>
      </c>
      <c r="I180" t="str">
        <f>IF('Cost Inputs'!$L210="Y", 1, IF('Cost Inputs'!$M210=2, 1, ""))</f>
        <v/>
      </c>
      <c r="J180" t="str">
        <f>IF('Cost Inputs'!$L210="Y", 1, IF('Cost Inputs'!$M210=3, 1, ""))</f>
        <v/>
      </c>
      <c r="K180" t="str">
        <f>IF('Cost Inputs'!$L210="Y", 1, IF(OR('Cost Inputs'!$M210=4, 'Cost Inputs'!$M210=2), 1, ""))</f>
        <v/>
      </c>
      <c r="L180" t="str">
        <f>IF('Cost Inputs'!$L210="Y", 1, IF('Cost Inputs'!$M210=5, 1, ""))</f>
        <v/>
      </c>
      <c r="M180" t="str">
        <f>IF('Cost Inputs'!$L210="Y", 1, IF(OR('Cost Inputs'!$M210=6, 'Cost Inputs'!$M210=3, 'Cost Inputs'!$M210=2), 1, ""))</f>
        <v/>
      </c>
      <c r="N180" t="str">
        <f>IF('Cost Inputs'!$L210="Y", 1, IF('Cost Inputs'!$M210=7, 1, ""))</f>
        <v/>
      </c>
      <c r="O180" t="str">
        <f>IF('Cost Inputs'!$L210="Y", 1, IF(OR('Cost Inputs'!$M210=8, 'Cost Inputs'!$M210=4, 'Cost Inputs'!$M210=2), 1, ""))</f>
        <v/>
      </c>
      <c r="P180" t="str">
        <f>IF('Cost Inputs'!$L210="Y", 1, IF(OR('Cost Inputs'!$M210=9, 'Cost Inputs'!$M210=3), 1, ""))</f>
        <v/>
      </c>
    </row>
    <row r="181" spans="1:16" x14ac:dyDescent="0.25">
      <c r="A181" s="556"/>
      <c r="B181" s="557"/>
      <c r="C181" s="557"/>
      <c r="D181" s="557"/>
      <c r="E181" s="557"/>
      <c r="F181" s="558"/>
      <c r="G181" t="str">
        <f>IF('Cost Inputs'!L211="Y", 1, IF('Cost Inputs'!$M211&gt;0, 1, ""))</f>
        <v/>
      </c>
      <c r="H181" t="str">
        <f>IF('Cost Inputs'!$L211="Y", 1, IF('Cost Inputs'!$M211=1, 1, ""))</f>
        <v/>
      </c>
      <c r="I181" t="str">
        <f>IF('Cost Inputs'!$L211="Y", 1, IF('Cost Inputs'!$M211=2, 1, ""))</f>
        <v/>
      </c>
      <c r="J181" t="str">
        <f>IF('Cost Inputs'!$L211="Y", 1, IF('Cost Inputs'!$M211=3, 1, ""))</f>
        <v/>
      </c>
      <c r="K181" t="str">
        <f>IF('Cost Inputs'!$L211="Y", 1, IF(OR('Cost Inputs'!$M211=4, 'Cost Inputs'!$M211=2), 1, ""))</f>
        <v/>
      </c>
      <c r="L181" t="str">
        <f>IF('Cost Inputs'!$L211="Y", 1, IF('Cost Inputs'!$M211=5, 1, ""))</f>
        <v/>
      </c>
      <c r="M181" t="str">
        <f>IF('Cost Inputs'!$L211="Y", 1, IF(OR('Cost Inputs'!$M211=6, 'Cost Inputs'!$M211=3, 'Cost Inputs'!$M211=2), 1, ""))</f>
        <v/>
      </c>
      <c r="N181" t="str">
        <f>IF('Cost Inputs'!$L211="Y", 1, IF('Cost Inputs'!$M211=7, 1, ""))</f>
        <v/>
      </c>
      <c r="O181" t="str">
        <f>IF('Cost Inputs'!$L211="Y", 1, IF(OR('Cost Inputs'!$M211=8, 'Cost Inputs'!$M211=4, 'Cost Inputs'!$M211=2), 1, ""))</f>
        <v/>
      </c>
      <c r="P181" t="str">
        <f>IF('Cost Inputs'!$L211="Y", 1, IF(OR('Cost Inputs'!$M211=9, 'Cost Inputs'!$M211=3), 1, ""))</f>
        <v/>
      </c>
    </row>
    <row r="182" spans="1:16" x14ac:dyDescent="0.25">
      <c r="A182" s="600" t="s">
        <v>49</v>
      </c>
      <c r="B182" s="601"/>
      <c r="C182" s="601"/>
      <c r="D182" s="601"/>
      <c r="E182" s="601"/>
      <c r="F182" s="602"/>
      <c r="G182" t="str">
        <f>IF('Cost Inputs'!L212="Y", 1, IF('Cost Inputs'!$M212&gt;0, 1, ""))</f>
        <v/>
      </c>
      <c r="H182" t="str">
        <f>IF('Cost Inputs'!$L212="Y", 1, IF('Cost Inputs'!$M212=1, 1, ""))</f>
        <v/>
      </c>
      <c r="I182" t="str">
        <f>IF('Cost Inputs'!$L212="Y", 1, IF('Cost Inputs'!$M212=2, 1, ""))</f>
        <v/>
      </c>
      <c r="J182" t="str">
        <f>IF('Cost Inputs'!$L212="Y", 1, IF('Cost Inputs'!$M212=3, 1, ""))</f>
        <v/>
      </c>
      <c r="K182" t="str">
        <f>IF('Cost Inputs'!$L212="Y", 1, IF(OR('Cost Inputs'!$M212=4, 'Cost Inputs'!$M212=2), 1, ""))</f>
        <v/>
      </c>
      <c r="L182" t="str">
        <f>IF('Cost Inputs'!$L212="Y", 1, IF('Cost Inputs'!$M212=5, 1, ""))</f>
        <v/>
      </c>
      <c r="M182" t="str">
        <f>IF('Cost Inputs'!$L212="Y", 1, IF(OR('Cost Inputs'!$M212=6, 'Cost Inputs'!$M212=3, 'Cost Inputs'!$M212=2), 1, ""))</f>
        <v/>
      </c>
      <c r="N182" t="str">
        <f>IF('Cost Inputs'!$L212="Y", 1, IF('Cost Inputs'!$M212=7, 1, ""))</f>
        <v/>
      </c>
      <c r="O182" t="str">
        <f>IF('Cost Inputs'!$L212="Y", 1, IF(OR('Cost Inputs'!$M212=8, 'Cost Inputs'!$M212=4, 'Cost Inputs'!$M212=2), 1, ""))</f>
        <v/>
      </c>
      <c r="P182" t="str">
        <f>IF('Cost Inputs'!$L212="Y", 1, IF(OR('Cost Inputs'!$M212=9, 'Cost Inputs'!$M212=3), 1, ""))</f>
        <v/>
      </c>
    </row>
    <row r="183" spans="1:16" x14ac:dyDescent="0.25">
      <c r="A183" s="556"/>
      <c r="B183" s="557"/>
      <c r="C183" s="557"/>
      <c r="D183" s="557"/>
      <c r="E183" s="557"/>
      <c r="F183" s="558"/>
      <c r="G183" t="str">
        <f>IF('Cost Inputs'!L213="Y", 1, IF('Cost Inputs'!$M213&gt;0, 1, ""))</f>
        <v/>
      </c>
      <c r="H183" t="str">
        <f>IF('Cost Inputs'!$L213="Y", 1, IF('Cost Inputs'!$M213=1, 1, ""))</f>
        <v/>
      </c>
      <c r="I183" t="str">
        <f>IF('Cost Inputs'!$L213="Y", 1, IF('Cost Inputs'!$M213=2, 1, ""))</f>
        <v/>
      </c>
      <c r="J183" t="str">
        <f>IF('Cost Inputs'!$L213="Y", 1, IF('Cost Inputs'!$M213=3, 1, ""))</f>
        <v/>
      </c>
      <c r="K183" t="str">
        <f>IF('Cost Inputs'!$L213="Y", 1, IF(OR('Cost Inputs'!$M213=4, 'Cost Inputs'!$M213=2), 1, ""))</f>
        <v/>
      </c>
      <c r="L183" t="str">
        <f>IF('Cost Inputs'!$L213="Y", 1, IF('Cost Inputs'!$M213=5, 1, ""))</f>
        <v/>
      </c>
      <c r="M183" t="str">
        <f>IF('Cost Inputs'!$L213="Y", 1, IF(OR('Cost Inputs'!$M213=6, 'Cost Inputs'!$M213=3, 'Cost Inputs'!$M213=2), 1, ""))</f>
        <v/>
      </c>
      <c r="N183" t="str">
        <f>IF('Cost Inputs'!$L213="Y", 1, IF('Cost Inputs'!$M213=7, 1, ""))</f>
        <v/>
      </c>
      <c r="O183" t="str">
        <f>IF('Cost Inputs'!$L213="Y", 1, IF(OR('Cost Inputs'!$M213=8, 'Cost Inputs'!$M213=4, 'Cost Inputs'!$M213=2), 1, ""))</f>
        <v/>
      </c>
      <c r="P183" t="str">
        <f>IF('Cost Inputs'!$L213="Y", 1, IF(OR('Cost Inputs'!$M213=9, 'Cost Inputs'!$M213=3), 1, ""))</f>
        <v/>
      </c>
    </row>
    <row r="184" spans="1:16" x14ac:dyDescent="0.25">
      <c r="A184" s="600" t="s">
        <v>50</v>
      </c>
      <c r="B184" s="601"/>
      <c r="C184" s="601"/>
      <c r="D184" s="601"/>
      <c r="E184" s="601"/>
      <c r="F184" s="602"/>
      <c r="G184" t="str">
        <f>IF('Cost Inputs'!L214="Y", 1, IF('Cost Inputs'!$M214&gt;0, 1, ""))</f>
        <v/>
      </c>
      <c r="H184" t="str">
        <f>IF('Cost Inputs'!$L214="Y", 1, IF('Cost Inputs'!$M214=1, 1, ""))</f>
        <v/>
      </c>
      <c r="I184" t="str">
        <f>IF('Cost Inputs'!$L214="Y", 1, IF('Cost Inputs'!$M214=2, 1, ""))</f>
        <v/>
      </c>
      <c r="J184" t="str">
        <f>IF('Cost Inputs'!$L214="Y", 1, IF('Cost Inputs'!$M214=3, 1, ""))</f>
        <v/>
      </c>
      <c r="K184" t="str">
        <f>IF('Cost Inputs'!$L214="Y", 1, IF(OR('Cost Inputs'!$M214=4, 'Cost Inputs'!$M214=2), 1, ""))</f>
        <v/>
      </c>
      <c r="L184" t="str">
        <f>IF('Cost Inputs'!$L214="Y", 1, IF('Cost Inputs'!$M214=5, 1, ""))</f>
        <v/>
      </c>
      <c r="M184" t="str">
        <f>IF('Cost Inputs'!$L214="Y", 1, IF(OR('Cost Inputs'!$M214=6, 'Cost Inputs'!$M214=3, 'Cost Inputs'!$M214=2), 1, ""))</f>
        <v/>
      </c>
      <c r="N184" t="str">
        <f>IF('Cost Inputs'!$L214="Y", 1, IF('Cost Inputs'!$M214=7, 1, ""))</f>
        <v/>
      </c>
      <c r="O184" t="str">
        <f>IF('Cost Inputs'!$L214="Y", 1, IF(OR('Cost Inputs'!$M214=8, 'Cost Inputs'!$M214=4, 'Cost Inputs'!$M214=2), 1, ""))</f>
        <v/>
      </c>
      <c r="P184" t="str">
        <f>IF('Cost Inputs'!$L214="Y", 1, IF(OR('Cost Inputs'!$M214=9, 'Cost Inputs'!$M214=3), 1, ""))</f>
        <v/>
      </c>
    </row>
    <row r="185" spans="1:16" x14ac:dyDescent="0.25">
      <c r="A185" s="556"/>
      <c r="B185" s="557"/>
      <c r="C185" s="557"/>
      <c r="D185" s="557"/>
      <c r="E185" s="557"/>
      <c r="F185" s="558"/>
      <c r="G185" t="str">
        <f>IF('Cost Inputs'!L215="Y", 1, IF('Cost Inputs'!$M215&gt;0, 1, ""))</f>
        <v/>
      </c>
      <c r="H185" t="str">
        <f>IF('Cost Inputs'!$L215="Y", 1, IF('Cost Inputs'!$M215=1, 1, ""))</f>
        <v/>
      </c>
      <c r="I185" t="str">
        <f>IF('Cost Inputs'!$L215="Y", 1, IF('Cost Inputs'!$M215=2, 1, ""))</f>
        <v/>
      </c>
      <c r="J185" t="str">
        <f>IF('Cost Inputs'!$L215="Y", 1, IF('Cost Inputs'!$M215=3, 1, ""))</f>
        <v/>
      </c>
      <c r="K185" t="str">
        <f>IF('Cost Inputs'!$L215="Y", 1, IF(OR('Cost Inputs'!$M215=4, 'Cost Inputs'!$M215=2), 1, ""))</f>
        <v/>
      </c>
      <c r="L185" t="str">
        <f>IF('Cost Inputs'!$L215="Y", 1, IF('Cost Inputs'!$M215=5, 1, ""))</f>
        <v/>
      </c>
      <c r="M185" t="str">
        <f>IF('Cost Inputs'!$L215="Y", 1, IF(OR('Cost Inputs'!$M215=6, 'Cost Inputs'!$M215=3, 'Cost Inputs'!$M215=2), 1, ""))</f>
        <v/>
      </c>
      <c r="N185" t="str">
        <f>IF('Cost Inputs'!$L215="Y", 1, IF('Cost Inputs'!$M215=7, 1, ""))</f>
        <v/>
      </c>
      <c r="O185" t="str">
        <f>IF('Cost Inputs'!$L215="Y", 1, IF(OR('Cost Inputs'!$M215=8, 'Cost Inputs'!$M215=4, 'Cost Inputs'!$M215=2), 1, ""))</f>
        <v/>
      </c>
      <c r="P185" t="str">
        <f>IF('Cost Inputs'!$L215="Y", 1, IF(OR('Cost Inputs'!$M215=9, 'Cost Inputs'!$M215=3), 1, ""))</f>
        <v/>
      </c>
    </row>
    <row r="186" spans="1:16" x14ac:dyDescent="0.25">
      <c r="A186" s="556"/>
      <c r="B186" s="557"/>
      <c r="C186" s="557"/>
      <c r="D186" s="557"/>
      <c r="E186" s="557"/>
      <c r="F186" s="558"/>
      <c r="G186" t="str">
        <f>IF('Cost Inputs'!L216="Y", 1, IF('Cost Inputs'!$M216&gt;0, 1, ""))</f>
        <v/>
      </c>
      <c r="H186" t="str">
        <f>IF('Cost Inputs'!$L216="Y", 1, IF('Cost Inputs'!$M216=1, 1, ""))</f>
        <v/>
      </c>
      <c r="I186" t="str">
        <f>IF('Cost Inputs'!$L216="Y", 1, IF('Cost Inputs'!$M216=2, 1, ""))</f>
        <v/>
      </c>
      <c r="J186" t="str">
        <f>IF('Cost Inputs'!$L216="Y", 1, IF('Cost Inputs'!$M216=3, 1, ""))</f>
        <v/>
      </c>
      <c r="K186" t="str">
        <f>IF('Cost Inputs'!$L216="Y", 1, IF(OR('Cost Inputs'!$M216=4, 'Cost Inputs'!$M216=2), 1, ""))</f>
        <v/>
      </c>
      <c r="L186" t="str">
        <f>IF('Cost Inputs'!$L216="Y", 1, IF('Cost Inputs'!$M216=5, 1, ""))</f>
        <v/>
      </c>
      <c r="M186" t="str">
        <f>IF('Cost Inputs'!$L216="Y", 1, IF(OR('Cost Inputs'!$M216=6, 'Cost Inputs'!$M216=3, 'Cost Inputs'!$M216=2), 1, ""))</f>
        <v/>
      </c>
      <c r="N186" t="str">
        <f>IF('Cost Inputs'!$L216="Y", 1, IF('Cost Inputs'!$M216=7, 1, ""))</f>
        <v/>
      </c>
      <c r="O186" t="str">
        <f>IF('Cost Inputs'!$L216="Y", 1, IF(OR('Cost Inputs'!$M216=8, 'Cost Inputs'!$M216=4, 'Cost Inputs'!$M216=2), 1, ""))</f>
        <v/>
      </c>
      <c r="P186" t="str">
        <f>IF('Cost Inputs'!$L216="Y", 1, IF(OR('Cost Inputs'!$M216=9, 'Cost Inputs'!$M216=3), 1, ""))</f>
        <v/>
      </c>
    </row>
    <row r="187" spans="1:16" x14ac:dyDescent="0.25">
      <c r="A187" s="600" t="s">
        <v>51</v>
      </c>
      <c r="B187" s="601"/>
      <c r="C187" s="601"/>
      <c r="D187" s="601"/>
      <c r="E187" s="601"/>
      <c r="F187" s="602"/>
      <c r="G187" t="str">
        <f>IF('Cost Inputs'!L217="Y", 1, IF('Cost Inputs'!$M217&gt;0, 1, ""))</f>
        <v/>
      </c>
      <c r="H187" t="str">
        <f>IF('Cost Inputs'!$L217="Y", 1, IF('Cost Inputs'!$M217=1, 1, ""))</f>
        <v/>
      </c>
      <c r="I187" t="str">
        <f>IF('Cost Inputs'!$L217="Y", 1, IF('Cost Inputs'!$M217=2, 1, ""))</f>
        <v/>
      </c>
      <c r="J187" t="str">
        <f>IF('Cost Inputs'!$L217="Y", 1, IF('Cost Inputs'!$M217=3, 1, ""))</f>
        <v/>
      </c>
      <c r="K187" t="str">
        <f>IF('Cost Inputs'!$L217="Y", 1, IF(OR('Cost Inputs'!$M217=4, 'Cost Inputs'!$M217=2), 1, ""))</f>
        <v/>
      </c>
      <c r="L187" t="str">
        <f>IF('Cost Inputs'!$L217="Y", 1, IF('Cost Inputs'!$M217=5, 1, ""))</f>
        <v/>
      </c>
      <c r="M187" t="str">
        <f>IF('Cost Inputs'!$L217="Y", 1, IF(OR('Cost Inputs'!$M217=6, 'Cost Inputs'!$M217=3, 'Cost Inputs'!$M217=2), 1, ""))</f>
        <v/>
      </c>
      <c r="N187" t="str">
        <f>IF('Cost Inputs'!$L217="Y", 1, IF('Cost Inputs'!$M217=7, 1, ""))</f>
        <v/>
      </c>
      <c r="O187" t="str">
        <f>IF('Cost Inputs'!$L217="Y", 1, IF(OR('Cost Inputs'!$M217=8, 'Cost Inputs'!$M217=4, 'Cost Inputs'!$M217=2), 1, ""))</f>
        <v/>
      </c>
      <c r="P187" t="str">
        <f>IF('Cost Inputs'!$L217="Y", 1, IF(OR('Cost Inputs'!$M217=9, 'Cost Inputs'!$M217=3), 1, ""))</f>
        <v/>
      </c>
    </row>
    <row r="188" spans="1:16" x14ac:dyDescent="0.25">
      <c r="A188" s="556"/>
      <c r="B188" s="557"/>
      <c r="C188" s="557"/>
      <c r="D188" s="557"/>
      <c r="E188" s="557"/>
      <c r="F188" s="558"/>
      <c r="G188" t="str">
        <f>IF('Cost Inputs'!L218="Y", 1, IF('Cost Inputs'!$M218&gt;0, 1, ""))</f>
        <v/>
      </c>
      <c r="H188" t="str">
        <f>IF('Cost Inputs'!$L218="Y", 1, IF('Cost Inputs'!$M218=1, 1, ""))</f>
        <v/>
      </c>
      <c r="I188" t="str">
        <f>IF('Cost Inputs'!$L218="Y", 1, IF('Cost Inputs'!$M218=2, 1, ""))</f>
        <v/>
      </c>
      <c r="J188" t="str">
        <f>IF('Cost Inputs'!$L218="Y", 1, IF('Cost Inputs'!$M218=3, 1, ""))</f>
        <v/>
      </c>
      <c r="K188" t="str">
        <f>IF('Cost Inputs'!$L218="Y", 1, IF(OR('Cost Inputs'!$M218=4, 'Cost Inputs'!$M218=2), 1, ""))</f>
        <v/>
      </c>
      <c r="L188" t="str">
        <f>IF('Cost Inputs'!$L218="Y", 1, IF('Cost Inputs'!$M218=5, 1, ""))</f>
        <v/>
      </c>
      <c r="M188" t="str">
        <f>IF('Cost Inputs'!$L218="Y", 1, IF(OR('Cost Inputs'!$M218=6, 'Cost Inputs'!$M218=3, 'Cost Inputs'!$M218=2), 1, ""))</f>
        <v/>
      </c>
      <c r="N188" t="str">
        <f>IF('Cost Inputs'!$L218="Y", 1, IF('Cost Inputs'!$M218=7, 1, ""))</f>
        <v/>
      </c>
      <c r="O188" t="str">
        <f>IF('Cost Inputs'!$L218="Y", 1, IF(OR('Cost Inputs'!$M218=8, 'Cost Inputs'!$M218=4, 'Cost Inputs'!$M218=2), 1, ""))</f>
        <v/>
      </c>
      <c r="P188" t="str">
        <f>IF('Cost Inputs'!$L218="Y", 1, IF(OR('Cost Inputs'!$M218=9, 'Cost Inputs'!$M218=3), 1, ""))</f>
        <v/>
      </c>
    </row>
    <row r="189" spans="1:16" x14ac:dyDescent="0.25">
      <c r="A189" s="556"/>
      <c r="B189" s="557"/>
      <c r="C189" s="557"/>
      <c r="D189" s="557"/>
      <c r="E189" s="557"/>
      <c r="F189" s="558"/>
      <c r="G189" t="str">
        <f>IF('Cost Inputs'!L219="Y", 1, IF('Cost Inputs'!$M219&gt;0, 1, ""))</f>
        <v/>
      </c>
      <c r="H189" t="str">
        <f>IF('Cost Inputs'!$L219="Y", 1, IF('Cost Inputs'!$M219=1, 1, ""))</f>
        <v/>
      </c>
      <c r="I189" t="str">
        <f>IF('Cost Inputs'!$L219="Y", 1, IF('Cost Inputs'!$M219=2, 1, ""))</f>
        <v/>
      </c>
      <c r="J189" t="str">
        <f>IF('Cost Inputs'!$L219="Y", 1, IF('Cost Inputs'!$M219=3, 1, ""))</f>
        <v/>
      </c>
      <c r="K189" t="str">
        <f>IF('Cost Inputs'!$L219="Y", 1, IF(OR('Cost Inputs'!$M219=4, 'Cost Inputs'!$M219=2), 1, ""))</f>
        <v/>
      </c>
      <c r="L189" t="str">
        <f>IF('Cost Inputs'!$L219="Y", 1, IF('Cost Inputs'!$M219=5, 1, ""))</f>
        <v/>
      </c>
      <c r="M189" t="str">
        <f>IF('Cost Inputs'!$L219="Y", 1, IF(OR('Cost Inputs'!$M219=6, 'Cost Inputs'!$M219=3, 'Cost Inputs'!$M219=2), 1, ""))</f>
        <v/>
      </c>
      <c r="N189" t="str">
        <f>IF('Cost Inputs'!$L219="Y", 1, IF('Cost Inputs'!$M219=7, 1, ""))</f>
        <v/>
      </c>
      <c r="O189" t="str">
        <f>IF('Cost Inputs'!$L219="Y", 1, IF(OR('Cost Inputs'!$M219=8, 'Cost Inputs'!$M219=4, 'Cost Inputs'!$M219=2), 1, ""))</f>
        <v/>
      </c>
      <c r="P189" t="str">
        <f>IF('Cost Inputs'!$L219="Y", 1, IF(OR('Cost Inputs'!$M219=9, 'Cost Inputs'!$M219=3), 1, ""))</f>
        <v/>
      </c>
    </row>
    <row r="190" spans="1:16" x14ac:dyDescent="0.25">
      <c r="A190" s="600" t="s">
        <v>93</v>
      </c>
      <c r="B190" s="601"/>
      <c r="C190" s="601"/>
      <c r="D190" s="601"/>
      <c r="E190" s="601"/>
      <c r="F190" s="602"/>
      <c r="G190" t="str">
        <f>IF('Cost Inputs'!L220="Y", 1, IF('Cost Inputs'!$M220&gt;0, 1, ""))</f>
        <v/>
      </c>
      <c r="H190" t="str">
        <f>IF('Cost Inputs'!$L220="Y", 1, IF('Cost Inputs'!$M220=1, 1, ""))</f>
        <v/>
      </c>
      <c r="I190" t="str">
        <f>IF('Cost Inputs'!$L220="Y", 1, IF('Cost Inputs'!$M220=2, 1, ""))</f>
        <v/>
      </c>
      <c r="J190" t="str">
        <f>IF('Cost Inputs'!$L220="Y", 1, IF('Cost Inputs'!$M220=3, 1, ""))</f>
        <v/>
      </c>
      <c r="K190" t="str">
        <f>IF('Cost Inputs'!$L220="Y", 1, IF(OR('Cost Inputs'!$M220=4, 'Cost Inputs'!$M220=2), 1, ""))</f>
        <v/>
      </c>
      <c r="L190" t="str">
        <f>IF('Cost Inputs'!$L220="Y", 1, IF('Cost Inputs'!$M220=5, 1, ""))</f>
        <v/>
      </c>
      <c r="M190" t="str">
        <f>IF('Cost Inputs'!$L220="Y", 1, IF(OR('Cost Inputs'!$M220=6, 'Cost Inputs'!$M220=3, 'Cost Inputs'!$M220=2), 1, ""))</f>
        <v/>
      </c>
      <c r="N190" t="str">
        <f>IF('Cost Inputs'!$L220="Y", 1, IF('Cost Inputs'!$M220=7, 1, ""))</f>
        <v/>
      </c>
      <c r="O190" t="str">
        <f>IF('Cost Inputs'!$L220="Y", 1, IF(OR('Cost Inputs'!$M220=8, 'Cost Inputs'!$M220=4, 'Cost Inputs'!$M220=2), 1, ""))</f>
        <v/>
      </c>
      <c r="P190" t="str">
        <f>IF('Cost Inputs'!$L220="Y", 1, IF(OR('Cost Inputs'!$M220=9, 'Cost Inputs'!$M220=3), 1, ""))</f>
        <v/>
      </c>
    </row>
    <row r="191" spans="1:16" x14ac:dyDescent="0.25">
      <c r="A191" s="556"/>
      <c r="B191" s="557"/>
      <c r="C191" s="557"/>
      <c r="D191" s="557"/>
      <c r="E191" s="557"/>
      <c r="F191" s="558"/>
      <c r="G191" t="str">
        <f>IF('Cost Inputs'!L221="Y", 1, IF('Cost Inputs'!$M221&gt;0, 1, ""))</f>
        <v/>
      </c>
      <c r="H191" t="str">
        <f>IF('Cost Inputs'!$L221="Y", 1, IF('Cost Inputs'!$M221=1, 1, ""))</f>
        <v/>
      </c>
      <c r="I191" t="str">
        <f>IF('Cost Inputs'!$L221="Y", 1, IF('Cost Inputs'!$M221=2, 1, ""))</f>
        <v/>
      </c>
      <c r="J191" t="str">
        <f>IF('Cost Inputs'!$L221="Y", 1, IF('Cost Inputs'!$M221=3, 1, ""))</f>
        <v/>
      </c>
      <c r="K191" t="str">
        <f>IF('Cost Inputs'!$L221="Y", 1, IF(OR('Cost Inputs'!$M221=4, 'Cost Inputs'!$M221=2), 1, ""))</f>
        <v/>
      </c>
      <c r="L191" t="str">
        <f>IF('Cost Inputs'!$L221="Y", 1, IF('Cost Inputs'!$M221=5, 1, ""))</f>
        <v/>
      </c>
      <c r="M191" t="str">
        <f>IF('Cost Inputs'!$L221="Y", 1, IF(OR('Cost Inputs'!$M221=6, 'Cost Inputs'!$M221=3, 'Cost Inputs'!$M221=2), 1, ""))</f>
        <v/>
      </c>
      <c r="N191" t="str">
        <f>IF('Cost Inputs'!$L221="Y", 1, IF('Cost Inputs'!$M221=7, 1, ""))</f>
        <v/>
      </c>
      <c r="O191" t="str">
        <f>IF('Cost Inputs'!$L221="Y", 1, IF(OR('Cost Inputs'!$M221=8, 'Cost Inputs'!$M221=4, 'Cost Inputs'!$M221=2), 1, ""))</f>
        <v/>
      </c>
      <c r="P191" t="str">
        <f>IF('Cost Inputs'!$L221="Y", 1, IF(OR('Cost Inputs'!$M221=9, 'Cost Inputs'!$M221=3), 1, ""))</f>
        <v/>
      </c>
    </row>
    <row r="192" spans="1:16" x14ac:dyDescent="0.25">
      <c r="A192" s="600" t="s">
        <v>65</v>
      </c>
      <c r="B192" s="601"/>
      <c r="C192" s="601"/>
      <c r="D192" s="601"/>
      <c r="E192" s="601"/>
      <c r="F192" s="602"/>
      <c r="G192" t="str">
        <f>IF('Cost Inputs'!L223="Y", 1, IF('Cost Inputs'!$M223&gt;0, 1, ""))</f>
        <v/>
      </c>
      <c r="H192" t="str">
        <f>IF('Cost Inputs'!$L223="Y", 1, IF('Cost Inputs'!$M223=1, 1, ""))</f>
        <v/>
      </c>
      <c r="I192" t="str">
        <f>IF('Cost Inputs'!$L223="Y", 1, IF('Cost Inputs'!$M223=2, 1, ""))</f>
        <v/>
      </c>
      <c r="J192" t="str">
        <f>IF('Cost Inputs'!$L223="Y", 1, IF('Cost Inputs'!$M223=3, 1, ""))</f>
        <v/>
      </c>
      <c r="K192" t="str">
        <f>IF('Cost Inputs'!$L223="Y", 1, IF(OR('Cost Inputs'!$M223=4, 'Cost Inputs'!$M223=2), 1, ""))</f>
        <v/>
      </c>
      <c r="L192" t="str">
        <f>IF('Cost Inputs'!$L223="Y", 1, IF('Cost Inputs'!$M223=5, 1, ""))</f>
        <v/>
      </c>
      <c r="M192" t="str">
        <f>IF('Cost Inputs'!$L223="Y", 1, IF(OR('Cost Inputs'!$M223=6, 'Cost Inputs'!$M223=3, 'Cost Inputs'!$M223=2), 1, ""))</f>
        <v/>
      </c>
      <c r="N192" t="str">
        <f>IF('Cost Inputs'!$L223="Y", 1, IF('Cost Inputs'!$M223=7, 1, ""))</f>
        <v/>
      </c>
      <c r="O192" t="str">
        <f>IF('Cost Inputs'!$L223="Y", 1, IF(OR('Cost Inputs'!$M223=8, 'Cost Inputs'!$M223=4, 'Cost Inputs'!$M223=2), 1, ""))</f>
        <v/>
      </c>
      <c r="P192" t="str">
        <f>IF('Cost Inputs'!$L223="Y", 1, IF(OR('Cost Inputs'!$M223=9, 'Cost Inputs'!$M223=3), 1, ""))</f>
        <v/>
      </c>
    </row>
    <row r="193" spans="1:16" x14ac:dyDescent="0.25">
      <c r="A193" s="556"/>
      <c r="B193" s="557"/>
      <c r="C193" s="557"/>
      <c r="D193" s="557"/>
      <c r="E193" s="557"/>
      <c r="F193" s="558"/>
      <c r="G193" t="str">
        <f>IF('Cost Inputs'!L224="Y", 1, IF('Cost Inputs'!$M224&gt;0, 1, ""))</f>
        <v/>
      </c>
      <c r="H193" t="str">
        <f>IF('Cost Inputs'!$L224="Y", 1, IF('Cost Inputs'!$M224=1, 1, ""))</f>
        <v/>
      </c>
      <c r="I193" t="str">
        <f>IF('Cost Inputs'!$L224="Y", 1, IF('Cost Inputs'!$M224=2, 1, ""))</f>
        <v/>
      </c>
      <c r="J193" t="str">
        <f>IF('Cost Inputs'!$L224="Y", 1, IF('Cost Inputs'!$M224=3, 1, ""))</f>
        <v/>
      </c>
      <c r="K193" t="str">
        <f>IF('Cost Inputs'!$L224="Y", 1, IF(OR('Cost Inputs'!$M224=4, 'Cost Inputs'!$M224=2), 1, ""))</f>
        <v/>
      </c>
      <c r="L193" t="str">
        <f>IF('Cost Inputs'!$L224="Y", 1, IF('Cost Inputs'!$M224=5, 1, ""))</f>
        <v/>
      </c>
      <c r="M193" t="str">
        <f>IF('Cost Inputs'!$L224="Y", 1, IF(OR('Cost Inputs'!$M224=6, 'Cost Inputs'!$M224=3, 'Cost Inputs'!$M224=2), 1, ""))</f>
        <v/>
      </c>
      <c r="N193" t="str">
        <f>IF('Cost Inputs'!$L224="Y", 1, IF('Cost Inputs'!$M224=7, 1, ""))</f>
        <v/>
      </c>
      <c r="O193" t="str">
        <f>IF('Cost Inputs'!$L224="Y", 1, IF(OR('Cost Inputs'!$M224=8, 'Cost Inputs'!$M224=4, 'Cost Inputs'!$M224=2), 1, ""))</f>
        <v/>
      </c>
      <c r="P193" t="str">
        <f>IF('Cost Inputs'!$L224="Y", 1, IF(OR('Cost Inputs'!$M224=9, 'Cost Inputs'!$M224=3), 1, ""))</f>
        <v/>
      </c>
    </row>
    <row r="194" spans="1:16" x14ac:dyDescent="0.25">
      <c r="A194" s="600" t="s">
        <v>66</v>
      </c>
      <c r="B194" s="601"/>
      <c r="C194" s="601"/>
      <c r="D194" s="601"/>
      <c r="E194" s="601"/>
      <c r="F194" s="602"/>
      <c r="G194" t="str">
        <f>IF('Cost Inputs'!L225="Y", 1, IF('Cost Inputs'!$M225&gt;0, 1, ""))</f>
        <v/>
      </c>
      <c r="H194" t="str">
        <f>IF('Cost Inputs'!$L225="Y", 1, IF('Cost Inputs'!$M225=1, 1, ""))</f>
        <v/>
      </c>
      <c r="I194" t="str">
        <f>IF('Cost Inputs'!$L225="Y", 1, IF('Cost Inputs'!$M225=2, 1, ""))</f>
        <v/>
      </c>
      <c r="J194" t="str">
        <f>IF('Cost Inputs'!$L225="Y", 1, IF('Cost Inputs'!$M225=3, 1, ""))</f>
        <v/>
      </c>
      <c r="K194" t="str">
        <f>IF('Cost Inputs'!$L225="Y", 1, IF(OR('Cost Inputs'!$M225=4, 'Cost Inputs'!$M225=2), 1, ""))</f>
        <v/>
      </c>
      <c r="L194" t="str">
        <f>IF('Cost Inputs'!$L225="Y", 1, IF('Cost Inputs'!$M225=5, 1, ""))</f>
        <v/>
      </c>
      <c r="M194" t="str">
        <f>IF('Cost Inputs'!$L225="Y", 1, IF(OR('Cost Inputs'!$M225=6, 'Cost Inputs'!$M225=3, 'Cost Inputs'!$M225=2), 1, ""))</f>
        <v/>
      </c>
      <c r="N194" t="str">
        <f>IF('Cost Inputs'!$L225="Y", 1, IF('Cost Inputs'!$M225=7, 1, ""))</f>
        <v/>
      </c>
      <c r="O194" t="str">
        <f>IF('Cost Inputs'!$L225="Y", 1, IF(OR('Cost Inputs'!$M225=8, 'Cost Inputs'!$M225=4, 'Cost Inputs'!$M225=2), 1, ""))</f>
        <v/>
      </c>
      <c r="P194" t="str">
        <f>IF('Cost Inputs'!$L225="Y", 1, IF(OR('Cost Inputs'!$M225=9, 'Cost Inputs'!$M225=3), 1, ""))</f>
        <v/>
      </c>
    </row>
    <row r="195" spans="1:16" x14ac:dyDescent="0.25">
      <c r="A195" s="556"/>
      <c r="B195" s="557"/>
      <c r="C195" s="557"/>
      <c r="D195" s="557"/>
      <c r="E195" s="557"/>
      <c r="F195" s="558"/>
      <c r="G195" t="str">
        <f>IF('Cost Inputs'!L226="Y", 1, IF('Cost Inputs'!$M226&gt;0, 1, ""))</f>
        <v/>
      </c>
      <c r="H195" t="str">
        <f>IF('Cost Inputs'!$L226="Y", 1, IF('Cost Inputs'!$M226=1, 1, ""))</f>
        <v/>
      </c>
      <c r="I195" t="str">
        <f>IF('Cost Inputs'!$L226="Y", 1, IF('Cost Inputs'!$M226=2, 1, ""))</f>
        <v/>
      </c>
      <c r="J195" t="str">
        <f>IF('Cost Inputs'!$L226="Y", 1, IF('Cost Inputs'!$M226=3, 1, ""))</f>
        <v/>
      </c>
      <c r="K195" t="str">
        <f>IF('Cost Inputs'!$L226="Y", 1, IF(OR('Cost Inputs'!$M226=4, 'Cost Inputs'!$M226=2), 1, ""))</f>
        <v/>
      </c>
      <c r="L195" t="str">
        <f>IF('Cost Inputs'!$L226="Y", 1, IF('Cost Inputs'!$M226=5, 1, ""))</f>
        <v/>
      </c>
      <c r="M195" t="str">
        <f>IF('Cost Inputs'!$L226="Y", 1, IF(OR('Cost Inputs'!$M226=6, 'Cost Inputs'!$M226=3, 'Cost Inputs'!$M226=2), 1, ""))</f>
        <v/>
      </c>
      <c r="N195" t="str">
        <f>IF('Cost Inputs'!$L226="Y", 1, IF('Cost Inputs'!$M226=7, 1, ""))</f>
        <v/>
      </c>
      <c r="O195" t="str">
        <f>IF('Cost Inputs'!$L226="Y", 1, IF(OR('Cost Inputs'!$M226=8, 'Cost Inputs'!$M226=4, 'Cost Inputs'!$M226=2), 1, ""))</f>
        <v/>
      </c>
      <c r="P195" t="str">
        <f>IF('Cost Inputs'!$L226="Y", 1, IF(OR('Cost Inputs'!$M226=9, 'Cost Inputs'!$M226=3), 1, ""))</f>
        <v/>
      </c>
    </row>
    <row r="196" spans="1:16" x14ac:dyDescent="0.25">
      <c r="A196" s="600" t="s">
        <v>67</v>
      </c>
      <c r="B196" s="601"/>
      <c r="C196" s="601"/>
      <c r="D196" s="601"/>
      <c r="E196" s="601"/>
      <c r="F196" s="602"/>
      <c r="G196" t="str">
        <f>IF('Cost Inputs'!L227="Y", 1, IF('Cost Inputs'!$M227&gt;0, 1, ""))</f>
        <v/>
      </c>
      <c r="H196" t="str">
        <f>IF('Cost Inputs'!$L227="Y", 1, IF('Cost Inputs'!$M227=1, 1, ""))</f>
        <v/>
      </c>
      <c r="I196" t="str">
        <f>IF('Cost Inputs'!$L227="Y", 1, IF('Cost Inputs'!$M227=2, 1, ""))</f>
        <v/>
      </c>
      <c r="J196" t="str">
        <f>IF('Cost Inputs'!$L227="Y", 1, IF('Cost Inputs'!$M227=3, 1, ""))</f>
        <v/>
      </c>
      <c r="K196" t="str">
        <f>IF('Cost Inputs'!$L227="Y", 1, IF(OR('Cost Inputs'!$M227=4, 'Cost Inputs'!$M227=2), 1, ""))</f>
        <v/>
      </c>
      <c r="L196" t="str">
        <f>IF('Cost Inputs'!$L227="Y", 1, IF('Cost Inputs'!$M227=5, 1, ""))</f>
        <v/>
      </c>
      <c r="M196" t="str">
        <f>IF('Cost Inputs'!$L227="Y", 1, IF(OR('Cost Inputs'!$M227=6, 'Cost Inputs'!$M227=3, 'Cost Inputs'!$M227=2), 1, ""))</f>
        <v/>
      </c>
      <c r="N196" t="str">
        <f>IF('Cost Inputs'!$L227="Y", 1, IF('Cost Inputs'!$M227=7, 1, ""))</f>
        <v/>
      </c>
      <c r="O196" t="str">
        <f>IF('Cost Inputs'!$L227="Y", 1, IF(OR('Cost Inputs'!$M227=8, 'Cost Inputs'!$M227=4, 'Cost Inputs'!$M227=2), 1, ""))</f>
        <v/>
      </c>
      <c r="P196" t="str">
        <f>IF('Cost Inputs'!$L227="Y", 1, IF(OR('Cost Inputs'!$M227=9, 'Cost Inputs'!$M227=3), 1, ""))</f>
        <v/>
      </c>
    </row>
    <row r="197" spans="1:16" x14ac:dyDescent="0.25">
      <c r="A197" s="556"/>
      <c r="B197" s="557"/>
      <c r="C197" s="557"/>
      <c r="D197" s="557"/>
      <c r="E197" s="557"/>
      <c r="F197" s="558"/>
      <c r="G197" t="str">
        <f>IF('Cost Inputs'!L228="Y", 1, IF('Cost Inputs'!$M228&gt;0, 1, ""))</f>
        <v/>
      </c>
      <c r="H197" t="str">
        <f>IF('Cost Inputs'!$L228="Y", 1, IF('Cost Inputs'!$M228=1, 1, ""))</f>
        <v/>
      </c>
      <c r="I197" t="str">
        <f>IF('Cost Inputs'!$L228="Y", 1, IF('Cost Inputs'!$M228=2, 1, ""))</f>
        <v/>
      </c>
      <c r="J197" t="str">
        <f>IF('Cost Inputs'!$L228="Y", 1, IF('Cost Inputs'!$M228=3, 1, ""))</f>
        <v/>
      </c>
      <c r="K197" t="str">
        <f>IF('Cost Inputs'!$L228="Y", 1, IF(OR('Cost Inputs'!$M228=4, 'Cost Inputs'!$M228=2), 1, ""))</f>
        <v/>
      </c>
      <c r="L197" t="str">
        <f>IF('Cost Inputs'!$L228="Y", 1, IF('Cost Inputs'!$M228=5, 1, ""))</f>
        <v/>
      </c>
      <c r="M197" t="str">
        <f>IF('Cost Inputs'!$L228="Y", 1, IF(OR('Cost Inputs'!$M228=6, 'Cost Inputs'!$M228=3, 'Cost Inputs'!$M228=2), 1, ""))</f>
        <v/>
      </c>
      <c r="N197" t="str">
        <f>IF('Cost Inputs'!$L228="Y", 1, IF('Cost Inputs'!$M228=7, 1, ""))</f>
        <v/>
      </c>
      <c r="O197" t="str">
        <f>IF('Cost Inputs'!$L228="Y", 1, IF(OR('Cost Inputs'!$M228=8, 'Cost Inputs'!$M228=4, 'Cost Inputs'!$M228=2), 1, ""))</f>
        <v/>
      </c>
      <c r="P197" t="str">
        <f>IF('Cost Inputs'!$L228="Y", 1, IF(OR('Cost Inputs'!$M228=9, 'Cost Inputs'!$M228=3), 1, ""))</f>
        <v/>
      </c>
    </row>
    <row r="198" spans="1:16" x14ac:dyDescent="0.25">
      <c r="A198" s="600" t="s">
        <v>69</v>
      </c>
      <c r="B198" s="601"/>
      <c r="C198" s="601"/>
      <c r="D198" s="601"/>
      <c r="E198" s="601"/>
      <c r="F198" s="602"/>
      <c r="G198" t="str">
        <f>IF('Cost Inputs'!L229="Y", 1, IF('Cost Inputs'!$M229&gt;0, 1, ""))</f>
        <v/>
      </c>
      <c r="H198" t="str">
        <f>IF('Cost Inputs'!$L229="Y", 1, IF('Cost Inputs'!$M229=1, 1, ""))</f>
        <v/>
      </c>
      <c r="I198" t="str">
        <f>IF('Cost Inputs'!$L229="Y", 1, IF('Cost Inputs'!$M229=2, 1, ""))</f>
        <v/>
      </c>
      <c r="J198" t="str">
        <f>IF('Cost Inputs'!$L229="Y", 1, IF('Cost Inputs'!$M229=3, 1, ""))</f>
        <v/>
      </c>
      <c r="K198" t="str">
        <f>IF('Cost Inputs'!$L229="Y", 1, IF(OR('Cost Inputs'!$M229=4, 'Cost Inputs'!$M229=2), 1, ""))</f>
        <v/>
      </c>
      <c r="L198" t="str">
        <f>IF('Cost Inputs'!$L229="Y", 1, IF('Cost Inputs'!$M229=5, 1, ""))</f>
        <v/>
      </c>
      <c r="M198" t="str">
        <f>IF('Cost Inputs'!$L229="Y", 1, IF(OR('Cost Inputs'!$M229=6, 'Cost Inputs'!$M229=3, 'Cost Inputs'!$M229=2), 1, ""))</f>
        <v/>
      </c>
      <c r="N198" t="str">
        <f>IF('Cost Inputs'!$L229="Y", 1, IF('Cost Inputs'!$M229=7, 1, ""))</f>
        <v/>
      </c>
      <c r="O198" t="str">
        <f>IF('Cost Inputs'!$L229="Y", 1, IF(OR('Cost Inputs'!$M229=8, 'Cost Inputs'!$M229=4, 'Cost Inputs'!$M229=2), 1, ""))</f>
        <v/>
      </c>
      <c r="P198" t="str">
        <f>IF('Cost Inputs'!$L229="Y", 1, IF(OR('Cost Inputs'!$M229=9, 'Cost Inputs'!$M229=3), 1, ""))</f>
        <v/>
      </c>
    </row>
  </sheetData>
  <mergeCells count="162">
    <mergeCell ref="A193:F193"/>
    <mergeCell ref="A194:F194"/>
    <mergeCell ref="A195:F195"/>
    <mergeCell ref="A196:F196"/>
    <mergeCell ref="A197:F197"/>
    <mergeCell ref="A198:F198"/>
    <mergeCell ref="A187:F187"/>
    <mergeCell ref="A188:F188"/>
    <mergeCell ref="A189:F189"/>
    <mergeCell ref="A190:F190"/>
    <mergeCell ref="A191:F191"/>
    <mergeCell ref="A192:F192"/>
    <mergeCell ref="A181:F181"/>
    <mergeCell ref="A182:F182"/>
    <mergeCell ref="A183:F183"/>
    <mergeCell ref="A184:F184"/>
    <mergeCell ref="A185:F185"/>
    <mergeCell ref="A186:F186"/>
    <mergeCell ref="A175:F175"/>
    <mergeCell ref="A176:F176"/>
    <mergeCell ref="A177:F177"/>
    <mergeCell ref="A178:F178"/>
    <mergeCell ref="A179:F179"/>
    <mergeCell ref="A180:F180"/>
    <mergeCell ref="A166:F167"/>
    <mergeCell ref="A168:F168"/>
    <mergeCell ref="A169:F169"/>
    <mergeCell ref="A170:F170"/>
    <mergeCell ref="A171:F172"/>
    <mergeCell ref="A173:F174"/>
    <mergeCell ref="A157:F157"/>
    <mergeCell ref="A158:F159"/>
    <mergeCell ref="A160:F161"/>
    <mergeCell ref="A162:F163"/>
    <mergeCell ref="A164:F164"/>
    <mergeCell ref="A165:F165"/>
    <mergeCell ref="A147:F147"/>
    <mergeCell ref="A148:F149"/>
    <mergeCell ref="A150:F151"/>
    <mergeCell ref="A152:F153"/>
    <mergeCell ref="A154:F155"/>
    <mergeCell ref="A156:F156"/>
    <mergeCell ref="A139:F139"/>
    <mergeCell ref="A140:F141"/>
    <mergeCell ref="A142:F143"/>
    <mergeCell ref="A144:F144"/>
    <mergeCell ref="A145:F145"/>
    <mergeCell ref="A146:F146"/>
    <mergeCell ref="A129:F130"/>
    <mergeCell ref="A131:F132"/>
    <mergeCell ref="A133:F134"/>
    <mergeCell ref="A135:F135"/>
    <mergeCell ref="A136:F136"/>
    <mergeCell ref="A137:F138"/>
    <mergeCell ref="A119:F120"/>
    <mergeCell ref="A121:F122"/>
    <mergeCell ref="A123:F124"/>
    <mergeCell ref="A125:F126"/>
    <mergeCell ref="A127:F127"/>
    <mergeCell ref="A128:F128"/>
    <mergeCell ref="A112:F113"/>
    <mergeCell ref="A114:F114"/>
    <mergeCell ref="A115:F115"/>
    <mergeCell ref="A116:F116"/>
    <mergeCell ref="A117:F117"/>
    <mergeCell ref="A118:F118"/>
    <mergeCell ref="A104:F104"/>
    <mergeCell ref="A105:F105"/>
    <mergeCell ref="A106:F106"/>
    <mergeCell ref="A107:F107"/>
    <mergeCell ref="A108:F108"/>
    <mergeCell ref="A110:F111"/>
    <mergeCell ref="A97:F97"/>
    <mergeCell ref="A98:F98"/>
    <mergeCell ref="A99:F100"/>
    <mergeCell ref="A101:F101"/>
    <mergeCell ref="A102:F102"/>
    <mergeCell ref="A103:F103"/>
    <mergeCell ref="A86:F87"/>
    <mergeCell ref="A88:F89"/>
    <mergeCell ref="A90:F90"/>
    <mergeCell ref="A91:F92"/>
    <mergeCell ref="A93:F94"/>
    <mergeCell ref="A95:F96"/>
    <mergeCell ref="A77:F77"/>
    <mergeCell ref="A78:F78"/>
    <mergeCell ref="A79:F79"/>
    <mergeCell ref="A80:F80"/>
    <mergeCell ref="A82:F83"/>
    <mergeCell ref="A84:F85"/>
    <mergeCell ref="A71:F71"/>
    <mergeCell ref="A72:F72"/>
    <mergeCell ref="A73:F73"/>
    <mergeCell ref="A74:F74"/>
    <mergeCell ref="A75:F75"/>
    <mergeCell ref="A76:F76"/>
    <mergeCell ref="A65:F65"/>
    <mergeCell ref="A66:F66"/>
    <mergeCell ref="A67:F67"/>
    <mergeCell ref="A68:F68"/>
    <mergeCell ref="A69:F69"/>
    <mergeCell ref="A70:F70"/>
    <mergeCell ref="A59:F59"/>
    <mergeCell ref="A60:F60"/>
    <mergeCell ref="A61:F61"/>
    <mergeCell ref="A62:F62"/>
    <mergeCell ref="A63:F63"/>
    <mergeCell ref="A64:F64"/>
    <mergeCell ref="A52:F52"/>
    <mergeCell ref="A53:F53"/>
    <mergeCell ref="A55:F55"/>
    <mergeCell ref="A56:F56"/>
    <mergeCell ref="A57:F57"/>
    <mergeCell ref="A58:F58"/>
    <mergeCell ref="A46:F46"/>
    <mergeCell ref="A47:F47"/>
    <mergeCell ref="A48:F48"/>
    <mergeCell ref="A49:F49"/>
    <mergeCell ref="A50:F50"/>
    <mergeCell ref="A51:F51"/>
    <mergeCell ref="A40:F40"/>
    <mergeCell ref="A41:F41"/>
    <mergeCell ref="A42:F42"/>
    <mergeCell ref="A43:F43"/>
    <mergeCell ref="A44:F44"/>
    <mergeCell ref="A45:F45"/>
    <mergeCell ref="A33:F33"/>
    <mergeCell ref="A34:F34"/>
    <mergeCell ref="A35:F35"/>
    <mergeCell ref="A36:F36"/>
    <mergeCell ref="A38:F38"/>
    <mergeCell ref="A39:F39"/>
    <mergeCell ref="A27:F27"/>
    <mergeCell ref="A28:F28"/>
    <mergeCell ref="A29:F29"/>
    <mergeCell ref="A30:F30"/>
    <mergeCell ref="A31:F31"/>
    <mergeCell ref="A32:F32"/>
    <mergeCell ref="A21:F21"/>
    <mergeCell ref="A22:F22"/>
    <mergeCell ref="A23:F23"/>
    <mergeCell ref="A24:F24"/>
    <mergeCell ref="A25:F25"/>
    <mergeCell ref="A26:F26"/>
    <mergeCell ref="A18:F18"/>
    <mergeCell ref="A19:F19"/>
    <mergeCell ref="A20:F20"/>
    <mergeCell ref="A9:F9"/>
    <mergeCell ref="A10:F10"/>
    <mergeCell ref="A11:F11"/>
    <mergeCell ref="A12:F12"/>
    <mergeCell ref="A13:F13"/>
    <mergeCell ref="A14:F14"/>
    <mergeCell ref="A1:F2"/>
    <mergeCell ref="A4:F4"/>
    <mergeCell ref="A5:F5"/>
    <mergeCell ref="A6:F6"/>
    <mergeCell ref="A7:F7"/>
    <mergeCell ref="A8:F8"/>
    <mergeCell ref="A15:F15"/>
    <mergeCell ref="A16:F16"/>
    <mergeCell ref="A17:F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29"/>
  <sheetViews>
    <sheetView workbookViewId="0">
      <selection activeCell="I2" sqref="I2"/>
    </sheetView>
  </sheetViews>
  <sheetFormatPr defaultColWidth="8.85546875" defaultRowHeight="15" x14ac:dyDescent="0.25"/>
  <cols>
    <col min="1" max="1" width="52.7109375" style="4" bestFit="1" customWidth="1"/>
    <col min="2" max="2" width="14" style="4" bestFit="1" customWidth="1"/>
    <col min="3" max="4" width="10.140625" style="4" customWidth="1"/>
    <col min="5" max="5" width="11" style="4" bestFit="1" customWidth="1"/>
    <col min="6" max="6" width="15.5703125" style="4" customWidth="1"/>
    <col min="7" max="7" width="15.5703125" style="4" bestFit="1" customWidth="1"/>
    <col min="8" max="8" width="18.28515625" style="4" customWidth="1"/>
    <col min="9" max="9" width="14.28515625" style="4" customWidth="1"/>
    <col min="10" max="10" width="11" style="4" bestFit="1" customWidth="1"/>
    <col min="11" max="11" width="12.28515625" style="4" customWidth="1"/>
    <col min="12" max="12" width="9.7109375" style="4" customWidth="1"/>
    <col min="13" max="13" width="10.7109375" style="4" customWidth="1"/>
    <col min="14" max="32" width="9" style="4" customWidth="1"/>
    <col min="33" max="16384" width="8.85546875" style="4"/>
  </cols>
  <sheetData>
    <row r="1" spans="1:37" ht="43.9" customHeight="1" thickBot="1" x14ac:dyDescent="0.3">
      <c r="A1" s="201" t="s">
        <v>205</v>
      </c>
      <c r="B1" s="201" t="s">
        <v>206</v>
      </c>
      <c r="C1" s="205" t="s">
        <v>211</v>
      </c>
      <c r="D1" s="205" t="s">
        <v>213</v>
      </c>
      <c r="E1" s="205" t="s">
        <v>210</v>
      </c>
      <c r="F1" s="201" t="s">
        <v>196</v>
      </c>
      <c r="G1" s="202" t="s">
        <v>197</v>
      </c>
      <c r="H1" s="200" t="s">
        <v>225</v>
      </c>
      <c r="I1" s="202" t="s">
        <v>207</v>
      </c>
      <c r="J1" s="203" t="s">
        <v>204</v>
      </c>
      <c r="K1" s="204" t="s">
        <v>208</v>
      </c>
      <c r="M1" s="603" t="s">
        <v>209</v>
      </c>
      <c r="N1" s="605" t="s">
        <v>212</v>
      </c>
      <c r="O1" s="606"/>
      <c r="P1" s="606"/>
      <c r="Q1" s="606"/>
      <c r="R1" s="606"/>
      <c r="S1" s="606"/>
      <c r="T1" s="606"/>
      <c r="U1" s="606"/>
      <c r="V1" s="606"/>
      <c r="W1" s="606"/>
      <c r="X1" s="606"/>
      <c r="Y1" s="606"/>
      <c r="Z1" s="606"/>
      <c r="AA1" s="606"/>
      <c r="AB1" s="606"/>
      <c r="AC1" s="606"/>
      <c r="AD1" s="606"/>
      <c r="AE1" s="606"/>
      <c r="AF1" s="607"/>
      <c r="AG1" s="17"/>
      <c r="AH1" s="17"/>
      <c r="AI1" s="17"/>
      <c r="AJ1" s="17"/>
      <c r="AK1" s="17"/>
    </row>
    <row r="2" spans="1:37" ht="15.75" thickBot="1" x14ac:dyDescent="0.3">
      <c r="A2" s="158" t="s">
        <v>221</v>
      </c>
      <c r="B2" s="48">
        <f>IF('Breeding Inputs'!$I$25="Y", INDEX(ProgramYearStage1, MATCH(Stage1EvaluationBegins,Years_in_Stage1,0)),
IF('Breeding Inputs'!$I$25="N",INDEX(ProgramYearStage1, MATCH(Stage1EvaluationBegins,Years_in_Stage1,0))+'Breeding Inputs'!$I$26+'Breeding Inputs'!$I$22,0))</f>
        <v>0</v>
      </c>
      <c r="C2" s="141" t="str">
        <f>'Breeding Inputs'!B77</f>
        <v/>
      </c>
      <c r="D2" s="141" t="str">
        <f>IF(AND( ISNUMBER('Breeding Inputs'!C77), ISNUMBER('Breeding Inputs'!$I$27), ISNUMBER('Cost Inputs'!$H$68)), ROUND('Breeding Inputs'!C77*'Breeding Inputs'!$I$27*'Cost Inputs'!$H$68,0), "")</f>
        <v/>
      </c>
      <c r="E2" s="141">
        <f>B2</f>
        <v>0</v>
      </c>
      <c r="F2" s="152" t="e">
        <f>IF(E2&lt;&gt;"", _xlfn.NORM.DIST(E2,($B$2+($B$3/2)), ($B$3/6), FALSE), "")</f>
        <v>#N/A</v>
      </c>
      <c r="G2" s="142" t="e">
        <f>IF(F2&lt;&gt;"", ROUNDUP($B$4*F2, 0), "")</f>
        <v>#N/A</v>
      </c>
      <c r="H2" s="155" t="e">
        <f>IF(ABS($B$6)&gt;=1, 1, "")</f>
        <v>#N/A</v>
      </c>
      <c r="I2" s="143" t="e">
        <f ca="1">IF(AND(H2=1, $B$6&gt;0), RANDBETWEEN($B$2,$B$2+$B$3), IF(AND(H2=1, $B$6&lt;0), RANDBETWEEN(($B$2+2),$B$2+($B$3-1)), ""))</f>
        <v>#N/A</v>
      </c>
      <c r="J2" s="152">
        <f t="shared" ref="J2:J11" ca="1" si="0">IF(E2&lt;&gt;"", COUNTIF($I$2:$I$11, E2), "")</f>
        <v>0</v>
      </c>
      <c r="K2" s="144" t="e">
        <f>IF(E2&lt;&gt;"", IF($B$6&gt;0, G2+J2, IF($B$6&lt;0, G2-J2, IF($B$6=0, G2, ""))), "")</f>
        <v>#N/A</v>
      </c>
      <c r="M2" s="604"/>
      <c r="N2" s="198">
        <f>IF(D121&gt;0, C2, E2)</f>
        <v>0</v>
      </c>
      <c r="O2" s="199">
        <f>N2+1</f>
        <v>1</v>
      </c>
      <c r="P2" s="199">
        <f t="shared" ref="P2:AF2" si="1">O2+1</f>
        <v>2</v>
      </c>
      <c r="Q2" s="199">
        <f t="shared" si="1"/>
        <v>3</v>
      </c>
      <c r="R2" s="199">
        <f t="shared" si="1"/>
        <v>4</v>
      </c>
      <c r="S2" s="199">
        <f t="shared" si="1"/>
        <v>5</v>
      </c>
      <c r="T2" s="199">
        <f t="shared" si="1"/>
        <v>6</v>
      </c>
      <c r="U2" s="199">
        <f t="shared" si="1"/>
        <v>7</v>
      </c>
      <c r="V2" s="199">
        <f t="shared" si="1"/>
        <v>8</v>
      </c>
      <c r="W2" s="199">
        <f t="shared" si="1"/>
        <v>9</v>
      </c>
      <c r="X2" s="199">
        <f t="shared" si="1"/>
        <v>10</v>
      </c>
      <c r="Y2" s="199">
        <f t="shared" si="1"/>
        <v>11</v>
      </c>
      <c r="Z2" s="199">
        <f t="shared" si="1"/>
        <v>12</v>
      </c>
      <c r="AA2" s="199">
        <f t="shared" si="1"/>
        <v>13</v>
      </c>
      <c r="AB2" s="199">
        <f t="shared" si="1"/>
        <v>14</v>
      </c>
      <c r="AC2" s="199">
        <f t="shared" si="1"/>
        <v>15</v>
      </c>
      <c r="AD2" s="199">
        <f t="shared" si="1"/>
        <v>16</v>
      </c>
      <c r="AE2" s="199">
        <f t="shared" si="1"/>
        <v>17</v>
      </c>
      <c r="AF2" s="211">
        <f t="shared" si="1"/>
        <v>18</v>
      </c>
      <c r="AG2" s="17"/>
    </row>
    <row r="3" spans="1:37" x14ac:dyDescent="0.25">
      <c r="A3" s="159" t="s">
        <v>222</v>
      </c>
      <c r="B3" s="160" t="e">
        <f>INDEX(ProgramYearStage1, MATCH('Breeding Inputs'!I23,Years_in_Stage1,0))-(B2-1)</f>
        <v>#N/A</v>
      </c>
      <c r="C3" s="145" t="str">
        <f>'Breeding Inputs'!B78</f>
        <v/>
      </c>
      <c r="D3" s="145" t="str">
        <f>IF(AND( ISNUMBER('Breeding Inputs'!C78), ISNUMBER('Breeding Inputs'!$I$27), ISNUMBER('Cost Inputs'!$H$68)), ROUND('Breeding Inputs'!C78*'Breeding Inputs'!$I$27*'Cost Inputs'!$H$68,0), "")</f>
        <v/>
      </c>
      <c r="E3" s="145" t="e">
        <f>IF(AND(E2&lt;&gt;"",B$3&gt;=2),E2+1,"")</f>
        <v>#N/A</v>
      </c>
      <c r="F3" s="153" t="e">
        <f t="shared" ref="F3:F11" si="2">IF(E3&lt;&gt;"", _xlfn.NORM.DIST(E3,($B$2+($B$3/2)), ($B$3/6), FALSE), "")</f>
        <v>#N/A</v>
      </c>
      <c r="G3" s="146" t="e">
        <f>IF(F3&lt;&gt;"", ROUND($B$4*F3, 0), "")</f>
        <v>#N/A</v>
      </c>
      <c r="H3" s="156" t="e">
        <f>IF(ABS($B$6)&gt;=2, 1, "")</f>
        <v>#N/A</v>
      </c>
      <c r="I3" s="147" t="e">
        <f t="shared" ref="I3:I11" ca="1" si="3">IF(AND(H3=1, $B$6&gt;0), RANDBETWEEN($B$2,$B$2+$B$3), IF(AND(H3=1, $B$6&lt;0), RANDBETWEEN(($B$2+1),$B$2+($B$3-1)), ""))</f>
        <v>#N/A</v>
      </c>
      <c r="J3" s="153" t="e">
        <f t="shared" si="0"/>
        <v>#N/A</v>
      </c>
      <c r="K3" s="148" t="e">
        <f t="shared" ref="K3:K11" si="4">IF(E3&lt;&gt;"", IF($B$6&gt;0, G3+J3, IF($B$6&lt;0, G3-J3, IF($B$6=0, G3, ""))), "")</f>
        <v>#N/A</v>
      </c>
      <c r="M3" s="152" t="str">
        <f>IF(Number_of_breeding_cycles&gt;0, 1, "")</f>
        <v/>
      </c>
      <c r="N3" s="166" t="str">
        <f>IF($D$12&gt;0, $D$2, IF(ISNUMBER($M3),$K$2,""))</f>
        <v/>
      </c>
      <c r="O3" s="167" t="str">
        <f>IF($D$12&gt;0, $D$3, IF(ISNUMBER($M3),$K$3,""))</f>
        <v/>
      </c>
      <c r="P3" s="167" t="str">
        <f>IF($D$12&gt;0, $D$4, IF(ISNUMBER($M3),$K$4,""))</f>
        <v/>
      </c>
      <c r="Q3" s="167" t="str">
        <f>IF($D$12&gt;0, $D$5, IF(ISNUMBER($M3),$K$5,""))</f>
        <v/>
      </c>
      <c r="R3" s="167" t="str">
        <f>IF($D$12&gt;0, $D$6, IF(ISNUMBER($M3),$K$6,""))</f>
        <v/>
      </c>
      <c r="S3" s="167" t="str">
        <f>IF($D$12&gt;0, $D$7, IF(ISNUMBER($M3),$K$7,""))</f>
        <v/>
      </c>
      <c r="T3" s="167" t="str">
        <f>IF($D$12&gt;0, $D$8, IF(ISNUMBER($M3),$K$8,""))</f>
        <v/>
      </c>
      <c r="U3" s="167" t="str">
        <f>IF($D$12&gt;0, $D$9, IF(ISNUMBER($M3),$K$9,""))</f>
        <v/>
      </c>
      <c r="V3" s="167" t="str">
        <f>IF($D$12&gt;0, $D$10, IF(ISNUMBER($M3),$K$10,""))</f>
        <v/>
      </c>
      <c r="W3" s="167" t="str">
        <f>IF($D$12&gt;0, $D$11, IF(ISNUMBER($M3),$K$11,""))</f>
        <v/>
      </c>
      <c r="X3" s="167"/>
      <c r="Y3" s="167"/>
      <c r="Z3" s="167"/>
      <c r="AA3" s="167"/>
      <c r="AB3" s="167"/>
      <c r="AC3" s="167"/>
      <c r="AD3" s="167"/>
      <c r="AE3" s="167"/>
      <c r="AF3" s="168"/>
      <c r="AG3" s="17"/>
    </row>
    <row r="4" spans="1:37" x14ac:dyDescent="0.25">
      <c r="A4" s="158" t="s">
        <v>195</v>
      </c>
      <c r="B4" s="48">
        <f>'Breeding Inputs'!$I$28</f>
        <v>0</v>
      </c>
      <c r="C4" s="149" t="str">
        <f>'Breeding Inputs'!B79</f>
        <v/>
      </c>
      <c r="D4" s="149" t="str">
        <f>IF(AND( ISNUMBER('Breeding Inputs'!C79), ISNUMBER('Breeding Inputs'!$I$27), ISNUMBER('Cost Inputs'!$H$68)), ROUND('Breeding Inputs'!C79*'Breeding Inputs'!$I$27*'Cost Inputs'!$H$68,0), "")</f>
        <v/>
      </c>
      <c r="E4" s="149" t="e">
        <f>IF(AND(E3&lt;&gt;"",B$3&gt;=3),E3+1,"")</f>
        <v>#N/A</v>
      </c>
      <c r="F4" s="154" t="e">
        <f t="shared" si="2"/>
        <v>#N/A</v>
      </c>
      <c r="G4" s="16" t="e">
        <f>IF(F4&lt;&gt;"", ROUND($B$4*F4, 0), "")</f>
        <v>#N/A</v>
      </c>
      <c r="H4" s="157" t="e">
        <f>IF(ABS($B$6)&gt;=3, 1, "")</f>
        <v>#N/A</v>
      </c>
      <c r="I4" s="150" t="e">
        <f t="shared" ca="1" si="3"/>
        <v>#N/A</v>
      </c>
      <c r="J4" s="154" t="e">
        <f t="shared" si="0"/>
        <v>#N/A</v>
      </c>
      <c r="K4" s="151" t="e">
        <f t="shared" si="4"/>
        <v>#N/A</v>
      </c>
      <c r="M4" s="153" t="str">
        <f>IF(Number_of_breeding_cycles&gt;1, 2, "")</f>
        <v/>
      </c>
      <c r="N4" s="169"/>
      <c r="O4" s="170" t="str">
        <f>IF($D$12&gt;0, $D$2, IF(ISNUMBER($M4),$K$2,""))</f>
        <v/>
      </c>
      <c r="P4" s="170" t="str">
        <f>IF($D$12&gt;0, $D$3, IF(ISNUMBER($M4),$K$3,""))</f>
        <v/>
      </c>
      <c r="Q4" s="170" t="str">
        <f>IF($D$12&gt;0, $D$4, IF(ISNUMBER($M4),$K$4,""))</f>
        <v/>
      </c>
      <c r="R4" s="170" t="str">
        <f>IF($D$12&gt;0, $D$5, IF(ISNUMBER($M4),$K$5,""))</f>
        <v/>
      </c>
      <c r="S4" s="170" t="str">
        <f>IF($D$12&gt;0, $D$6, IF(ISNUMBER($M4),$K$6,""))</f>
        <v/>
      </c>
      <c r="T4" s="170" t="str">
        <f>IF($D$12&gt;0, $D$7, IF(ISNUMBER($M4),$K$7,""))</f>
        <v/>
      </c>
      <c r="U4" s="170" t="str">
        <f>IF($D$12&gt;0, $D$8, IF(ISNUMBER($M4),$K$8,""))</f>
        <v/>
      </c>
      <c r="V4" s="170" t="str">
        <f>IF($D$12&gt;0, $D$9, IF(ISNUMBER($M4),$K$9,""))</f>
        <v/>
      </c>
      <c r="W4" s="170" t="str">
        <f>IF($D$12&gt;0, $D$10, IF(ISNUMBER($M4),$K$10,""))</f>
        <v/>
      </c>
      <c r="X4" s="170" t="str">
        <f>IF($D$12&gt;0, $D$11, IF(ISNUMBER($M4),$K$11,""))</f>
        <v/>
      </c>
      <c r="Y4" s="170"/>
      <c r="Z4" s="170"/>
      <c r="AA4" s="170"/>
      <c r="AB4" s="170"/>
      <c r="AC4" s="170"/>
      <c r="AD4" s="170"/>
      <c r="AE4" s="170"/>
      <c r="AF4" s="171"/>
      <c r="AG4" s="17"/>
    </row>
    <row r="5" spans="1:37" x14ac:dyDescent="0.25">
      <c r="A5" s="159" t="s">
        <v>201</v>
      </c>
      <c r="B5" s="160" t="e">
        <f>SUM(G2:G11)</f>
        <v>#N/A</v>
      </c>
      <c r="C5" s="145" t="str">
        <f>'Breeding Inputs'!B80</f>
        <v/>
      </c>
      <c r="D5" s="145" t="str">
        <f>IF(AND( ISNUMBER('Breeding Inputs'!C80), ISNUMBER('Breeding Inputs'!$I$27), ISNUMBER('Cost Inputs'!$H$68)), ROUND('Breeding Inputs'!C80*'Breeding Inputs'!$I$27*'Cost Inputs'!$H$68,0), "")</f>
        <v/>
      </c>
      <c r="E5" s="145" t="e">
        <f>IF(AND(E4&lt;&gt;"",B$3&gt;=4),E4+1,"")</f>
        <v>#N/A</v>
      </c>
      <c r="F5" s="153" t="e">
        <f t="shared" si="2"/>
        <v>#N/A</v>
      </c>
      <c r="G5" s="146" t="e">
        <f>IF(F5&lt;&gt;"", ROUND($B$4*F5, 0), "")</f>
        <v>#N/A</v>
      </c>
      <c r="H5" s="156" t="e">
        <f>IF(ABS($B$6)&gt;=4, 1, "")</f>
        <v>#N/A</v>
      </c>
      <c r="I5" s="147" t="e">
        <f t="shared" ca="1" si="3"/>
        <v>#N/A</v>
      </c>
      <c r="J5" s="153" t="e">
        <f t="shared" si="0"/>
        <v>#N/A</v>
      </c>
      <c r="K5" s="148" t="e">
        <f t="shared" si="4"/>
        <v>#N/A</v>
      </c>
      <c r="M5" s="154" t="str">
        <f>IF(Number_of_breeding_cycles&gt;2, 3, "")</f>
        <v/>
      </c>
      <c r="N5" s="172"/>
      <c r="O5" s="163"/>
      <c r="P5" s="163" t="str">
        <f>IF($D$12&gt;0, $D$2, IF(ISNUMBER($M5),$K$2,""))</f>
        <v/>
      </c>
      <c r="Q5" s="163" t="str">
        <f>IF($D$12&gt;0, $D$3, IF(ISNUMBER($M5),$K$3,""))</f>
        <v/>
      </c>
      <c r="R5" s="163" t="str">
        <f>IF($D$12&gt;0, $D$4, IF(ISNUMBER($M5),$K$4,""))</f>
        <v/>
      </c>
      <c r="S5" s="163" t="str">
        <f>IF($D$12&gt;0, $D$5, IF(ISNUMBER($M5),$K$5,""))</f>
        <v/>
      </c>
      <c r="T5" s="163" t="str">
        <f>IF($D$12&gt;0, $D$6, IF(ISNUMBER($M5),$K$6,""))</f>
        <v/>
      </c>
      <c r="U5" s="163" t="str">
        <f>IF($D$12&gt;0, $D$7, IF(ISNUMBER($M5),$K$7,""))</f>
        <v/>
      </c>
      <c r="V5" s="163" t="str">
        <f>IF($D$12&gt;0, $D$8, IF(ISNUMBER($M5),$K$8,""))</f>
        <v/>
      </c>
      <c r="W5" s="163" t="str">
        <f>IF($D$12&gt;0, $D$9, IF(ISNUMBER($M5),$K$9,""))</f>
        <v/>
      </c>
      <c r="X5" s="163" t="str">
        <f>IF($D$12&gt;0, $D$10, IF(ISNUMBER($M5),$K$10,""))</f>
        <v/>
      </c>
      <c r="Y5" s="163" t="str">
        <f>IF($D$12&gt;0, $D$11, IF(ISNUMBER($M5),$K$11,""))</f>
        <v/>
      </c>
      <c r="Z5" s="163"/>
      <c r="AA5" s="163"/>
      <c r="AB5" s="163"/>
      <c r="AC5" s="163"/>
      <c r="AD5" s="163"/>
      <c r="AE5" s="163"/>
      <c r="AF5" s="173"/>
      <c r="AG5" s="17"/>
    </row>
    <row r="6" spans="1:37" x14ac:dyDescent="0.25">
      <c r="A6" s="158" t="s">
        <v>202</v>
      </c>
      <c r="B6" s="48" t="e">
        <f>B4-B5</f>
        <v>#N/A</v>
      </c>
      <c r="C6" s="149" t="str">
        <f>'Breeding Inputs'!B81</f>
        <v/>
      </c>
      <c r="D6" s="149" t="str">
        <f>IF(AND( ISNUMBER('Breeding Inputs'!C81), ISNUMBER('Breeding Inputs'!$I$27), ISNUMBER('Cost Inputs'!$H$68)), ROUND('Breeding Inputs'!C81*'Breeding Inputs'!$I$27*'Cost Inputs'!$H$68,0), "")</f>
        <v/>
      </c>
      <c r="E6" s="149" t="e">
        <f>IF(AND(E5&lt;&gt;"",B$3&gt;=5),E5+1,"")</f>
        <v>#N/A</v>
      </c>
      <c r="F6" s="154" t="e">
        <f t="shared" si="2"/>
        <v>#N/A</v>
      </c>
      <c r="G6" s="16" t="e">
        <f t="shared" ref="G6:G11" si="5">IF(F6&lt;&gt;"", ROUND($B$4*F6, 0), "")</f>
        <v>#N/A</v>
      </c>
      <c r="H6" s="157" t="e">
        <f>IF(ABS($B$6)&gt;=5, 1, "")</f>
        <v>#N/A</v>
      </c>
      <c r="I6" s="150" t="e">
        <f t="shared" ca="1" si="3"/>
        <v>#N/A</v>
      </c>
      <c r="J6" s="154" t="e">
        <f t="shared" si="0"/>
        <v>#N/A</v>
      </c>
      <c r="K6" s="151" t="e">
        <f t="shared" si="4"/>
        <v>#N/A</v>
      </c>
      <c r="M6" s="153" t="str">
        <f>IF(Number_of_breeding_cycles&gt;3, 4, "")</f>
        <v/>
      </c>
      <c r="N6" s="169"/>
      <c r="O6" s="170"/>
      <c r="P6" s="170"/>
      <c r="Q6" s="170" t="str">
        <f>IF($D$12&gt;0, $D$2, IF(ISNUMBER($M6),$K$2,""))</f>
        <v/>
      </c>
      <c r="R6" s="170" t="str">
        <f>IF($D$12&gt;0, $D$3, IF(ISNUMBER($M6),$K$3,""))</f>
        <v/>
      </c>
      <c r="S6" s="170" t="str">
        <f>IF($D$12&gt;0, $D$4, IF(ISNUMBER($M6),$K$4,""))</f>
        <v/>
      </c>
      <c r="T6" s="170" t="str">
        <f>IF($D$12&gt;0, $D$5, IF(ISNUMBER($M6),$K$5,""))</f>
        <v/>
      </c>
      <c r="U6" s="170" t="str">
        <f>IF($D$12&gt;0, $D$6, IF(ISNUMBER($M6),$K$6,""))</f>
        <v/>
      </c>
      <c r="V6" s="170" t="str">
        <f>IF($D$12&gt;0, $D$7, IF(ISNUMBER($M6),$K$7,""))</f>
        <v/>
      </c>
      <c r="W6" s="170" t="str">
        <f>IF($D$12&gt;0, $D$8, IF(ISNUMBER($M6),$K$8,""))</f>
        <v/>
      </c>
      <c r="X6" s="170" t="str">
        <f>IF($D$12&gt;0, $D$9, IF(ISNUMBER($M6),$K$9,""))</f>
        <v/>
      </c>
      <c r="Y6" s="170" t="str">
        <f>IF($D$12&gt;0, $D$10, IF(ISNUMBER($M6),$K$10,""))</f>
        <v/>
      </c>
      <c r="Z6" s="170" t="str">
        <f>IF($D$12&gt;0, $D$11, IF(ISNUMBER($M6),$K$11,""))</f>
        <v/>
      </c>
      <c r="AA6" s="170"/>
      <c r="AB6" s="170"/>
      <c r="AC6" s="170"/>
      <c r="AD6" s="170"/>
      <c r="AE6" s="170"/>
      <c r="AF6" s="171"/>
      <c r="AG6" s="17"/>
    </row>
    <row r="7" spans="1:37" ht="15.75" thickBot="1" x14ac:dyDescent="0.3">
      <c r="A7" s="161" t="s">
        <v>203</v>
      </c>
      <c r="B7" s="162">
        <f>SUM(L2:L12)</f>
        <v>0</v>
      </c>
      <c r="C7" s="145" t="str">
        <f>'Breeding Inputs'!B82</f>
        <v/>
      </c>
      <c r="D7" s="145" t="str">
        <f>IF(AND( ISNUMBER('Breeding Inputs'!C82), ISNUMBER('Breeding Inputs'!$I$27), ISNUMBER('Cost Inputs'!$H$68)), ROUND('Breeding Inputs'!C82*'Breeding Inputs'!$I$27*'Cost Inputs'!$H$68,0), "")</f>
        <v/>
      </c>
      <c r="E7" s="145" t="e">
        <f>IF(AND(E6&lt;&gt;"",B$3&gt;=6),E6+1,"")</f>
        <v>#N/A</v>
      </c>
      <c r="F7" s="153" t="e">
        <f t="shared" si="2"/>
        <v>#N/A</v>
      </c>
      <c r="G7" s="146" t="e">
        <f t="shared" si="5"/>
        <v>#N/A</v>
      </c>
      <c r="H7" s="156" t="e">
        <f>IF(ABS($B$6)&gt;=6, 1, "")</f>
        <v>#N/A</v>
      </c>
      <c r="I7" s="147" t="e">
        <f t="shared" ca="1" si="3"/>
        <v>#N/A</v>
      </c>
      <c r="J7" s="153" t="e">
        <f t="shared" si="0"/>
        <v>#N/A</v>
      </c>
      <c r="K7" s="148" t="e">
        <f t="shared" si="4"/>
        <v>#N/A</v>
      </c>
      <c r="M7" s="154" t="str">
        <f>IF(Number_of_breeding_cycles&gt;4, 5, "")</f>
        <v/>
      </c>
      <c r="N7" s="172"/>
      <c r="O7" s="163"/>
      <c r="P7" s="163"/>
      <c r="Q7" s="163"/>
      <c r="R7" s="163" t="str">
        <f>IF($D$12&gt;0, $D$2, IF(ISNUMBER($M7),$K$2,""))</f>
        <v/>
      </c>
      <c r="S7" s="163" t="str">
        <f>IF($D$12&gt;0, $D$3, IF(ISNUMBER($M7),$K$3,""))</f>
        <v/>
      </c>
      <c r="T7" s="163" t="str">
        <f>IF($D$12&gt;0, $D$4, IF(ISNUMBER($M7),$K$4,""))</f>
        <v/>
      </c>
      <c r="U7" s="163" t="str">
        <f>IF($D$12&gt;0, $D$5, IF(ISNUMBER($M7),$K$5,""))</f>
        <v/>
      </c>
      <c r="V7" s="163" t="str">
        <f>IF($D$12&gt;0, $D$6, IF(ISNUMBER($M7),$K$6,""))</f>
        <v/>
      </c>
      <c r="W7" s="163" t="str">
        <f>IF($D$12&gt;0, $D$7, IF(ISNUMBER($M7),$K$7,""))</f>
        <v/>
      </c>
      <c r="X7" s="163" t="str">
        <f>IF($D$12&gt;0, $D$8, IF(ISNUMBER($M7),$K$8,""))</f>
        <v/>
      </c>
      <c r="Y7" s="163" t="str">
        <f>IF($D$12&gt;0, $D$9, IF(ISNUMBER($M7),$K$9,""))</f>
        <v/>
      </c>
      <c r="Z7" s="163" t="str">
        <f>IF($D$12&gt;0, $D$10, IF(ISNUMBER($M7),$K$10,""))</f>
        <v/>
      </c>
      <c r="AA7" s="163" t="str">
        <f>IF($D$12&gt;0, $D$11, IF(ISNUMBER($M7),$K$11,""))</f>
        <v/>
      </c>
      <c r="AB7" s="163"/>
      <c r="AC7" s="163"/>
      <c r="AD7" s="163"/>
      <c r="AE7" s="163"/>
      <c r="AF7" s="173"/>
      <c r="AG7" s="17"/>
    </row>
    <row r="8" spans="1:37" x14ac:dyDescent="0.25">
      <c r="B8" s="140"/>
      <c r="C8" s="149" t="str">
        <f>'Breeding Inputs'!B83</f>
        <v/>
      </c>
      <c r="D8" s="149" t="str">
        <f>IF(AND( ISNUMBER('Breeding Inputs'!C83), ISNUMBER('Breeding Inputs'!$I$27), ISNUMBER('Cost Inputs'!$H$68)), ROUND('Breeding Inputs'!C83*'Breeding Inputs'!$I$27*'Cost Inputs'!$H$68,0), "")</f>
        <v/>
      </c>
      <c r="E8" s="149" t="e">
        <f>IF(AND(E7&lt;&gt;"",B$3&gt;=7),E7+1,"")</f>
        <v>#N/A</v>
      </c>
      <c r="F8" s="154" t="e">
        <f t="shared" si="2"/>
        <v>#N/A</v>
      </c>
      <c r="G8" s="16" t="e">
        <f t="shared" si="5"/>
        <v>#N/A</v>
      </c>
      <c r="H8" s="157" t="e">
        <f>IF(ABS($B$6)&gt;=7, 1, "")</f>
        <v>#N/A</v>
      </c>
      <c r="I8" s="150" t="e">
        <f t="shared" ca="1" si="3"/>
        <v>#N/A</v>
      </c>
      <c r="J8" s="154" t="e">
        <f t="shared" si="0"/>
        <v>#N/A</v>
      </c>
      <c r="K8" s="151" t="e">
        <f t="shared" si="4"/>
        <v>#N/A</v>
      </c>
      <c r="M8" s="153" t="str">
        <f>IF(Number_of_breeding_cycles&gt;5, 6, "")</f>
        <v/>
      </c>
      <c r="N8" s="169"/>
      <c r="O8" s="170"/>
      <c r="P8" s="170"/>
      <c r="Q8" s="170"/>
      <c r="R8" s="170"/>
      <c r="S8" s="170" t="str">
        <f>IF($D$12&gt;0, $D$2, IF(ISNUMBER($M8),$K$2,""))</f>
        <v/>
      </c>
      <c r="T8" s="170" t="str">
        <f>IF($D$12&gt;0, $D$3, IF(ISNUMBER($M8),$K$3,""))</f>
        <v/>
      </c>
      <c r="U8" s="170" t="str">
        <f>IF($D$12&gt;0, $D$4, IF(ISNUMBER($M8),$K$4,""))</f>
        <v/>
      </c>
      <c r="V8" s="170" t="str">
        <f>IF($D$12&gt;0, $D$5, IF(ISNUMBER($M8),$K$5,""))</f>
        <v/>
      </c>
      <c r="W8" s="170" t="str">
        <f>IF($D$12&gt;0, $D$6, IF(ISNUMBER($M8),$K$6,""))</f>
        <v/>
      </c>
      <c r="X8" s="170" t="str">
        <f>IF($D$12&gt;0, $D$7, IF(ISNUMBER($M8),$K$7,""))</f>
        <v/>
      </c>
      <c r="Y8" s="170" t="str">
        <f>IF($D$12&gt;0, $D$8, IF(ISNUMBER($M8),$K$8,""))</f>
        <v/>
      </c>
      <c r="Z8" s="170" t="str">
        <f>IF($D$12&gt;0, $D$9, IF(ISNUMBER($M8),$K$9,""))</f>
        <v/>
      </c>
      <c r="AA8" s="170" t="str">
        <f>IF($D$12&gt;0, $D$10, IF(ISNUMBER($M8),$K$10,""))</f>
        <v/>
      </c>
      <c r="AB8" s="170" t="str">
        <f>IF($D$12&gt;0, $D$11, IF(ISNUMBER($M8),$K$11,""))</f>
        <v/>
      </c>
      <c r="AC8" s="170"/>
      <c r="AD8" s="170"/>
      <c r="AE8" s="170"/>
      <c r="AF8" s="171"/>
      <c r="AG8" s="17"/>
    </row>
    <row r="9" spans="1:37" x14ac:dyDescent="0.25">
      <c r="B9" s="140"/>
      <c r="C9" s="145" t="str">
        <f>'Breeding Inputs'!B84</f>
        <v/>
      </c>
      <c r="D9" s="145" t="str">
        <f>IF(AND( ISNUMBER('Breeding Inputs'!C84), ISNUMBER('Breeding Inputs'!$I$27), ISNUMBER('Cost Inputs'!$H$68)), ROUND('Breeding Inputs'!C84*'Breeding Inputs'!$I$27*'Cost Inputs'!$H$68,0), "")</f>
        <v/>
      </c>
      <c r="E9" s="145" t="e">
        <f>IF(AND(E8&lt;&gt;"",B$3&gt;=8),E8+1,"")</f>
        <v>#N/A</v>
      </c>
      <c r="F9" s="153" t="e">
        <f t="shared" si="2"/>
        <v>#N/A</v>
      </c>
      <c r="G9" s="146" t="e">
        <f t="shared" si="5"/>
        <v>#N/A</v>
      </c>
      <c r="H9" s="156" t="e">
        <f>IF(ABS($B$6)&gt;=8, 1, "")</f>
        <v>#N/A</v>
      </c>
      <c r="I9" s="147" t="e">
        <f t="shared" ca="1" si="3"/>
        <v>#N/A</v>
      </c>
      <c r="J9" s="153" t="e">
        <f t="shared" si="0"/>
        <v>#N/A</v>
      </c>
      <c r="K9" s="148" t="e">
        <f t="shared" si="4"/>
        <v>#N/A</v>
      </c>
      <c r="M9" s="154" t="str">
        <f>IF(Number_of_breeding_cycles&gt;6, 7, "")</f>
        <v/>
      </c>
      <c r="N9" s="172"/>
      <c r="O9" s="163"/>
      <c r="P9" s="163"/>
      <c r="Q9" s="163"/>
      <c r="R9" s="163"/>
      <c r="S9" s="163"/>
      <c r="T9" s="163" t="str">
        <f>IF($D$12&gt;0, $D$2, IF(ISNUMBER($M9),$K$2,""))</f>
        <v/>
      </c>
      <c r="U9" s="163" t="str">
        <f>IF($D$12&gt;0, $D$3, IF(ISNUMBER($M9),$K$3,""))</f>
        <v/>
      </c>
      <c r="V9" s="163" t="str">
        <f>IF($D$12&gt;0, $D$4, IF(ISNUMBER($M9),$K$4,""))</f>
        <v/>
      </c>
      <c r="W9" s="163" t="str">
        <f>IF($D$12&gt;0, $D$5, IF(ISNUMBER($M9),$K$5,""))</f>
        <v/>
      </c>
      <c r="X9" s="163" t="str">
        <f>IF($D$12&gt;0, $D$6, IF(ISNUMBER($M9),$K$6,""))</f>
        <v/>
      </c>
      <c r="Y9" s="163" t="str">
        <f>IF($D$12&gt;0, $D$7, IF(ISNUMBER($M9),$K$7,""))</f>
        <v/>
      </c>
      <c r="Z9" s="163" t="str">
        <f>IF($D$12&gt;0, $D$8, IF(ISNUMBER($M9),$K$8,""))</f>
        <v/>
      </c>
      <c r="AA9" s="163" t="str">
        <f>IF($D$12&gt;0, $D$9, IF(ISNUMBER($M9),$K$9,""))</f>
        <v/>
      </c>
      <c r="AB9" s="163" t="str">
        <f>IF($D$12&gt;0, $D$10, IF(ISNUMBER($M9),$K$10,""))</f>
        <v/>
      </c>
      <c r="AC9" s="163" t="str">
        <f>IF($D$12&gt;0, $D$11, IF(ISNUMBER($M9),$K$11,""))</f>
        <v/>
      </c>
      <c r="AD9" s="163"/>
      <c r="AE9" s="163"/>
      <c r="AF9" s="173"/>
      <c r="AG9" s="17"/>
    </row>
    <row r="10" spans="1:37" x14ac:dyDescent="0.25">
      <c r="B10" s="140"/>
      <c r="C10" s="149" t="str">
        <f>'Breeding Inputs'!B85</f>
        <v/>
      </c>
      <c r="D10" s="149" t="str">
        <f>IF(AND( ISNUMBER('Breeding Inputs'!C85), ISNUMBER('Breeding Inputs'!$I$27), ISNUMBER('Cost Inputs'!$H$68)), ROUND('Breeding Inputs'!C85*'Breeding Inputs'!$I$27*'Cost Inputs'!$H$68,0), "")</f>
        <v/>
      </c>
      <c r="E10" s="149" t="e">
        <f>IF(AND(E9&lt;&gt;"",B$3&gt;=9),E9+1,"")</f>
        <v>#N/A</v>
      </c>
      <c r="F10" s="154" t="e">
        <f t="shared" si="2"/>
        <v>#N/A</v>
      </c>
      <c r="G10" s="16" t="e">
        <f t="shared" si="5"/>
        <v>#N/A</v>
      </c>
      <c r="H10" s="157" t="e">
        <f>IF(ABS($B$6)&gt;=9, 1, "")</f>
        <v>#N/A</v>
      </c>
      <c r="I10" s="150" t="e">
        <f t="shared" ca="1" si="3"/>
        <v>#N/A</v>
      </c>
      <c r="J10" s="154" t="e">
        <f t="shared" si="0"/>
        <v>#N/A</v>
      </c>
      <c r="K10" s="151" t="e">
        <f t="shared" si="4"/>
        <v>#N/A</v>
      </c>
      <c r="M10" s="153" t="str">
        <f>IF(Number_of_breeding_cycles&gt;7, 8, "")</f>
        <v/>
      </c>
      <c r="N10" s="169"/>
      <c r="O10" s="170"/>
      <c r="P10" s="170"/>
      <c r="Q10" s="170"/>
      <c r="R10" s="170"/>
      <c r="S10" s="170"/>
      <c r="T10" s="170"/>
      <c r="U10" s="170" t="str">
        <f>IF($D$12&gt;0, $D$2, IF(ISNUMBER($M10),$K$2,""))</f>
        <v/>
      </c>
      <c r="V10" s="170" t="str">
        <f>IF($D$12&gt;0, $D$3, IF(ISNUMBER($M10),$K$3,""))</f>
        <v/>
      </c>
      <c r="W10" s="170" t="str">
        <f>IF($D$12&gt;0, $D$4, IF(ISNUMBER($M10),$K$4,""))</f>
        <v/>
      </c>
      <c r="X10" s="170" t="str">
        <f>IF($D$12&gt;0, $D$5, IF(ISNUMBER($M10),$K$5,""))</f>
        <v/>
      </c>
      <c r="Y10" s="170" t="str">
        <f>IF($D$12&gt;0, $D$6, IF(ISNUMBER($M10),$K$6,""))</f>
        <v/>
      </c>
      <c r="Z10" s="170" t="str">
        <f>IF($D$12&gt;0, $D$7, IF(ISNUMBER($M10),$K$7,""))</f>
        <v/>
      </c>
      <c r="AA10" s="170" t="str">
        <f>IF($D$12&gt;0, $D$8, IF(ISNUMBER($M10),$K$8,""))</f>
        <v/>
      </c>
      <c r="AB10" s="170" t="str">
        <f>IF($D$12&gt;0, $D$9, IF(ISNUMBER($M10),$K$9,""))</f>
        <v/>
      </c>
      <c r="AC10" s="170" t="str">
        <f>IF($D$12&gt;0, $D$10, IF(ISNUMBER($M10),$K$10,""))</f>
        <v/>
      </c>
      <c r="AD10" s="170" t="str">
        <f>IF($D$12&gt;0, $D$11, IF(ISNUMBER($M10),$K$11,""))</f>
        <v/>
      </c>
      <c r="AE10" s="170"/>
      <c r="AF10" s="171"/>
      <c r="AG10" s="17"/>
    </row>
    <row r="11" spans="1:37" ht="15.75" thickBot="1" x14ac:dyDescent="0.3">
      <c r="B11" s="140"/>
      <c r="C11" s="206" t="str">
        <f>'Breeding Inputs'!B86</f>
        <v/>
      </c>
      <c r="D11" s="206" t="str">
        <f>IF(AND( ISNUMBER('Breeding Inputs'!C86), ISNUMBER('Breeding Inputs'!$I$27), ISNUMBER('Cost Inputs'!$H$68)), ROUND('Breeding Inputs'!C86*'Breeding Inputs'!$I$27*'Cost Inputs'!$H$68,0), "")</f>
        <v/>
      </c>
      <c r="E11" s="206" t="e">
        <f>IF(AND(E10&lt;&gt;"",B$3&gt;=10),E10+1,"")</f>
        <v>#N/A</v>
      </c>
      <c r="F11" s="164" t="e">
        <f t="shared" si="2"/>
        <v>#N/A</v>
      </c>
      <c r="G11" s="207" t="e">
        <f t="shared" si="5"/>
        <v>#N/A</v>
      </c>
      <c r="H11" s="208" t="e">
        <f>IF(ABS($B$6)&gt;=10, 1, "")</f>
        <v>#N/A</v>
      </c>
      <c r="I11" s="209" t="e">
        <f t="shared" ca="1" si="3"/>
        <v>#N/A</v>
      </c>
      <c r="J11" s="164" t="e">
        <f t="shared" si="0"/>
        <v>#N/A</v>
      </c>
      <c r="K11" s="210" t="e">
        <f t="shared" si="4"/>
        <v>#N/A</v>
      </c>
      <c r="M11" s="154" t="str">
        <f>IF(Number_of_breeding_cycles&gt;8, 9, "")</f>
        <v/>
      </c>
      <c r="N11" s="172"/>
      <c r="O11" s="163"/>
      <c r="P11" s="163"/>
      <c r="Q11" s="163"/>
      <c r="R11" s="163"/>
      <c r="S11" s="163"/>
      <c r="T11" s="163"/>
      <c r="U11" s="163"/>
      <c r="V11" s="163" t="str">
        <f>IF($D$12&gt;0, $D$2, IF(ISNUMBER($M11),$K$2,""))</f>
        <v/>
      </c>
      <c r="W11" s="163" t="str">
        <f>IF($D$12&gt;0, $D$3, IF(ISNUMBER($M11),$K$3,""))</f>
        <v/>
      </c>
      <c r="X11" s="163" t="str">
        <f>IF($D$12&gt;0, $D$4, IF(ISNUMBER($M11),$K$4,""))</f>
        <v/>
      </c>
      <c r="Y11" s="163" t="str">
        <f>IF($D$12&gt;0, $D$5, IF(ISNUMBER($M11),$K$5,""))</f>
        <v/>
      </c>
      <c r="Z11" s="163" t="str">
        <f>IF($D$12&gt;0, $D$6, IF(ISNUMBER($M11),$K$6,""))</f>
        <v/>
      </c>
      <c r="AA11" s="163" t="str">
        <f>IF($D$12&gt;0, $D$7, IF(ISNUMBER($M11),$K$7,""))</f>
        <v/>
      </c>
      <c r="AB11" s="163" t="str">
        <f>IF($D$12&gt;0, $D$8, IF(ISNUMBER($M11),$K$8,""))</f>
        <v/>
      </c>
      <c r="AC11" s="163" t="str">
        <f>IF($D$12&gt;0, $D$9, IF(ISNUMBER($M11),$K$9,""))</f>
        <v/>
      </c>
      <c r="AD11" s="163" t="str">
        <f>IF($D$12&gt;0, $D$10, IF(ISNUMBER($M11),$K$10,""))</f>
        <v/>
      </c>
      <c r="AE11" s="163" t="str">
        <f>IF($D$12&gt;0, $D$11, IF(ISNUMBER($M11),$K$11,""))</f>
        <v/>
      </c>
      <c r="AF11" s="173"/>
      <c r="AG11" s="17"/>
    </row>
    <row r="12" spans="1:37" ht="15.75" thickBot="1" x14ac:dyDescent="0.3">
      <c r="B12" s="140"/>
      <c r="C12" s="150"/>
      <c r="D12" s="212">
        <f>SUM(D2:D11)</f>
        <v>0</v>
      </c>
      <c r="E12" s="150"/>
      <c r="F12" s="150"/>
      <c r="G12" s="150"/>
      <c r="H12" s="150"/>
      <c r="I12" s="150"/>
      <c r="J12" s="150"/>
      <c r="K12" s="150"/>
      <c r="L12" s="150"/>
      <c r="M12" s="153" t="str">
        <f>IF(Number_of_breeding_cycles&gt;9, 10, "")</f>
        <v/>
      </c>
      <c r="N12" s="169"/>
      <c r="O12" s="170"/>
      <c r="P12" s="170"/>
      <c r="Q12" s="170"/>
      <c r="R12" s="170"/>
      <c r="S12" s="170"/>
      <c r="T12" s="170"/>
      <c r="U12" s="170"/>
      <c r="V12" s="170"/>
      <c r="W12" s="170" t="str">
        <f>IF($D$12&gt;0, $D$2, IF(ISNUMBER($M12),$K$2,""))</f>
        <v/>
      </c>
      <c r="X12" s="170" t="str">
        <f>IF($D$12&gt;0, $D$3, IF(ISNUMBER($M12),$K$3,""))</f>
        <v/>
      </c>
      <c r="Y12" s="170" t="str">
        <f>IF($D$12&gt;0, $D$4, IF(ISNUMBER($M12),$K$4,""))</f>
        <v/>
      </c>
      <c r="Z12" s="170" t="str">
        <f>IF($D$12&gt;0, $D$5, IF(ISNUMBER($M12),$K$5,""))</f>
        <v/>
      </c>
      <c r="AA12" s="170" t="str">
        <f>IF($D$12&gt;0, $D$6, IF(ISNUMBER($M12),$K$6,""))</f>
        <v/>
      </c>
      <c r="AB12" s="170" t="str">
        <f>IF($D$12&gt;0, $D$7, IF(ISNUMBER($M12),$K$7,""))</f>
        <v/>
      </c>
      <c r="AC12" s="170" t="str">
        <f>IF($D$12&gt;0, $D$8, IF(ISNUMBER($M12),$K$8,""))</f>
        <v/>
      </c>
      <c r="AD12" s="170" t="str">
        <f>IF($D$12&gt;0, $D$9, IF(ISNUMBER($M12),$K$9,""))</f>
        <v/>
      </c>
      <c r="AE12" s="170" t="str">
        <f>IF($D$12&gt;0, $D$10, IF(ISNUMBER($M12),$K$10,""))</f>
        <v/>
      </c>
      <c r="AF12" s="171" t="str">
        <f>IF($D$12&gt;0, $D$11, IF(ISNUMBER($M12),$K$11,""))</f>
        <v/>
      </c>
      <c r="AG12" s="17"/>
    </row>
    <row r="13" spans="1:37" ht="15.75" thickBot="1" x14ac:dyDescent="0.3">
      <c r="B13" s="140"/>
      <c r="G13" s="16"/>
      <c r="H13" s="16"/>
      <c r="J13" s="16"/>
      <c r="M13" s="165" t="s">
        <v>8</v>
      </c>
      <c r="N13" s="174">
        <f>SUM(N3:N12)</f>
        <v>0</v>
      </c>
      <c r="O13" s="175">
        <f t="shared" ref="O13:AF13" si="6">SUM(O3:O12)</f>
        <v>0</v>
      </c>
      <c r="P13" s="175">
        <f t="shared" si="6"/>
        <v>0</v>
      </c>
      <c r="Q13" s="175">
        <f t="shared" si="6"/>
        <v>0</v>
      </c>
      <c r="R13" s="175">
        <f t="shared" si="6"/>
        <v>0</v>
      </c>
      <c r="S13" s="175">
        <f t="shared" si="6"/>
        <v>0</v>
      </c>
      <c r="T13" s="175">
        <f t="shared" si="6"/>
        <v>0</v>
      </c>
      <c r="U13" s="175">
        <f t="shared" si="6"/>
        <v>0</v>
      </c>
      <c r="V13" s="175">
        <f t="shared" si="6"/>
        <v>0</v>
      </c>
      <c r="W13" s="175">
        <f t="shared" si="6"/>
        <v>0</v>
      </c>
      <c r="X13" s="175">
        <f t="shared" si="6"/>
        <v>0</v>
      </c>
      <c r="Y13" s="175">
        <f t="shared" si="6"/>
        <v>0</v>
      </c>
      <c r="Z13" s="175">
        <f t="shared" si="6"/>
        <v>0</v>
      </c>
      <c r="AA13" s="175">
        <f t="shared" si="6"/>
        <v>0</v>
      </c>
      <c r="AB13" s="175">
        <f t="shared" si="6"/>
        <v>0</v>
      </c>
      <c r="AC13" s="175">
        <f t="shared" si="6"/>
        <v>0</v>
      </c>
      <c r="AD13" s="175">
        <f t="shared" si="6"/>
        <v>0</v>
      </c>
      <c r="AE13" s="175">
        <f t="shared" si="6"/>
        <v>0</v>
      </c>
      <c r="AF13" s="176">
        <f t="shared" si="6"/>
        <v>0</v>
      </c>
      <c r="AG13" s="177" t="str">
        <f t="shared" ref="O13:AG14" si="7">IF(AND(ISNUMBER(AG12), AG12&gt;0), AG12, "")</f>
        <v/>
      </c>
    </row>
    <row r="14" spans="1:37" x14ac:dyDescent="0.25">
      <c r="B14" s="140"/>
      <c r="G14" s="16"/>
      <c r="H14" s="16"/>
      <c r="N14" s="177" t="str">
        <f>IF(AND(ISNUMBER(N13), N13&gt;0), N13, "")</f>
        <v/>
      </c>
      <c r="O14" s="177" t="str">
        <f t="shared" si="7"/>
        <v/>
      </c>
      <c r="P14" s="177" t="str">
        <f t="shared" si="7"/>
        <v/>
      </c>
      <c r="Q14" s="177" t="str">
        <f t="shared" si="7"/>
        <v/>
      </c>
      <c r="R14" s="177" t="str">
        <f t="shared" si="7"/>
        <v/>
      </c>
      <c r="S14" s="177" t="str">
        <f t="shared" si="7"/>
        <v/>
      </c>
      <c r="T14" s="177" t="str">
        <f t="shared" si="7"/>
        <v/>
      </c>
      <c r="U14" s="177" t="str">
        <f t="shared" si="7"/>
        <v/>
      </c>
      <c r="V14" s="177" t="str">
        <f t="shared" si="7"/>
        <v/>
      </c>
      <c r="W14" s="177" t="str">
        <f t="shared" si="7"/>
        <v/>
      </c>
      <c r="X14" s="177" t="str">
        <f t="shared" si="7"/>
        <v/>
      </c>
      <c r="Y14" s="177" t="str">
        <f t="shared" si="7"/>
        <v/>
      </c>
      <c r="Z14" s="177" t="str">
        <f t="shared" si="7"/>
        <v/>
      </c>
      <c r="AA14" s="177" t="str">
        <f t="shared" si="7"/>
        <v/>
      </c>
      <c r="AB14" s="177" t="str">
        <f t="shared" si="7"/>
        <v/>
      </c>
      <c r="AC14" s="177" t="str">
        <f t="shared" si="7"/>
        <v/>
      </c>
      <c r="AD14" s="177" t="str">
        <f t="shared" si="7"/>
        <v/>
      </c>
      <c r="AE14" s="177" t="str">
        <f t="shared" si="7"/>
        <v/>
      </c>
      <c r="AF14" s="177" t="str">
        <f t="shared" si="7"/>
        <v/>
      </c>
    </row>
    <row r="15" spans="1:37" x14ac:dyDescent="0.25">
      <c r="Q15" s="16"/>
      <c r="R15" s="16"/>
      <c r="S15" s="16"/>
      <c r="T15" s="16"/>
    </row>
    <row r="28" spans="9:26" x14ac:dyDescent="0.25">
      <c r="I28" s="4" t="str">
        <f t="shared" ref="I28:Z29" si="8">IF(AND(ISNUMBER(I27),I27&gt;0),I27,"")</f>
        <v/>
      </c>
      <c r="J28" s="4" t="str">
        <f t="shared" si="8"/>
        <v/>
      </c>
      <c r="K28" s="4" t="str">
        <f t="shared" si="8"/>
        <v/>
      </c>
      <c r="L28" s="4" t="str">
        <f t="shared" si="8"/>
        <v/>
      </c>
    </row>
    <row r="29" spans="9:26" x14ac:dyDescent="0.25">
      <c r="M29" s="4" t="str">
        <f t="shared" si="8"/>
        <v/>
      </c>
      <c r="N29" s="4" t="str">
        <f t="shared" si="8"/>
        <v/>
      </c>
      <c r="O29" s="4" t="str">
        <f t="shared" si="8"/>
        <v/>
      </c>
      <c r="P29" s="4" t="str">
        <f t="shared" si="8"/>
        <v/>
      </c>
      <c r="Q29" s="4" t="str">
        <f t="shared" si="8"/>
        <v/>
      </c>
      <c r="R29" s="4" t="str">
        <f t="shared" si="8"/>
        <v/>
      </c>
      <c r="S29" s="4" t="str">
        <f t="shared" si="8"/>
        <v/>
      </c>
      <c r="T29" s="4" t="str">
        <f t="shared" si="8"/>
        <v/>
      </c>
      <c r="U29" s="4" t="str">
        <f t="shared" si="8"/>
        <v/>
      </c>
      <c r="V29" s="4" t="str">
        <f t="shared" si="8"/>
        <v/>
      </c>
      <c r="W29" s="4" t="str">
        <f t="shared" si="8"/>
        <v/>
      </c>
      <c r="X29" s="4" t="str">
        <f t="shared" si="8"/>
        <v/>
      </c>
      <c r="Y29" s="4" t="str">
        <f t="shared" si="8"/>
        <v/>
      </c>
      <c r="Z29" s="4" t="str">
        <f t="shared" si="8"/>
        <v/>
      </c>
    </row>
  </sheetData>
  <mergeCells count="2">
    <mergeCell ref="M1:M2"/>
    <mergeCell ref="N1:AF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N130"/>
  <sheetViews>
    <sheetView zoomScale="80" zoomScaleNormal="80" workbookViewId="0">
      <selection activeCell="B3" sqref="B3"/>
    </sheetView>
  </sheetViews>
  <sheetFormatPr defaultColWidth="8.85546875" defaultRowHeight="15" x14ac:dyDescent="0.25"/>
  <cols>
    <col min="1" max="1" width="63.28515625" style="4" bestFit="1" customWidth="1"/>
    <col min="2" max="2" width="17" style="4" bestFit="1" customWidth="1"/>
    <col min="3" max="4" width="15.7109375" style="4" customWidth="1"/>
    <col min="5" max="5" width="8.85546875" style="4"/>
    <col min="6" max="6" width="9.5703125" style="4" customWidth="1"/>
    <col min="7" max="14" width="8.85546875" style="4"/>
    <col min="15" max="15" width="10.140625" style="4" customWidth="1"/>
    <col min="16" max="16384" width="8.85546875" style="4"/>
  </cols>
  <sheetData>
    <row r="1" spans="1:32" ht="30.75" thickBot="1" x14ac:dyDescent="0.3">
      <c r="A1" s="201" t="s">
        <v>205</v>
      </c>
      <c r="B1" s="201" t="s">
        <v>226</v>
      </c>
      <c r="C1" s="220" t="s">
        <v>227</v>
      </c>
      <c r="D1" s="221" t="s">
        <v>5</v>
      </c>
      <c r="E1" s="221" t="str">
        <f>'Breeding Inputs'!B89</f>
        <v/>
      </c>
      <c r="F1" s="221" t="e">
        <f>E1+1</f>
        <v>#VALUE!</v>
      </c>
      <c r="G1" s="221" t="e">
        <f t="shared" ref="G1:AF1" si="0">F1+1</f>
        <v>#VALUE!</v>
      </c>
      <c r="H1" s="221" t="e">
        <f t="shared" si="0"/>
        <v>#VALUE!</v>
      </c>
      <c r="I1" s="221" t="e">
        <f t="shared" si="0"/>
        <v>#VALUE!</v>
      </c>
      <c r="J1" s="221" t="e">
        <f t="shared" si="0"/>
        <v>#VALUE!</v>
      </c>
      <c r="K1" s="221" t="e">
        <f t="shared" si="0"/>
        <v>#VALUE!</v>
      </c>
      <c r="L1" s="221" t="e">
        <f t="shared" si="0"/>
        <v>#VALUE!</v>
      </c>
      <c r="M1" s="221" t="e">
        <f t="shared" si="0"/>
        <v>#VALUE!</v>
      </c>
      <c r="N1" s="221" t="e">
        <f t="shared" si="0"/>
        <v>#VALUE!</v>
      </c>
      <c r="O1" s="221" t="e">
        <f t="shared" si="0"/>
        <v>#VALUE!</v>
      </c>
      <c r="P1" s="221" t="e">
        <f t="shared" si="0"/>
        <v>#VALUE!</v>
      </c>
      <c r="Q1" s="221" t="e">
        <f t="shared" si="0"/>
        <v>#VALUE!</v>
      </c>
      <c r="R1" s="221" t="e">
        <f t="shared" si="0"/>
        <v>#VALUE!</v>
      </c>
      <c r="S1" s="221" t="e">
        <f t="shared" si="0"/>
        <v>#VALUE!</v>
      </c>
      <c r="T1" s="221" t="e">
        <f t="shared" si="0"/>
        <v>#VALUE!</v>
      </c>
      <c r="U1" s="221" t="e">
        <f t="shared" si="0"/>
        <v>#VALUE!</v>
      </c>
      <c r="V1" s="221" t="e">
        <f t="shared" si="0"/>
        <v>#VALUE!</v>
      </c>
      <c r="W1" s="221" t="e">
        <f t="shared" si="0"/>
        <v>#VALUE!</v>
      </c>
      <c r="X1" s="221" t="e">
        <f t="shared" si="0"/>
        <v>#VALUE!</v>
      </c>
      <c r="Y1" s="221" t="e">
        <f t="shared" si="0"/>
        <v>#VALUE!</v>
      </c>
      <c r="Z1" s="221" t="e">
        <f t="shared" si="0"/>
        <v>#VALUE!</v>
      </c>
      <c r="AA1" s="221" t="e">
        <f t="shared" si="0"/>
        <v>#VALUE!</v>
      </c>
      <c r="AB1" s="221" t="e">
        <f t="shared" si="0"/>
        <v>#VALUE!</v>
      </c>
      <c r="AC1" s="221" t="e">
        <f t="shared" si="0"/>
        <v>#VALUE!</v>
      </c>
      <c r="AD1" s="221" t="e">
        <f t="shared" si="0"/>
        <v>#VALUE!</v>
      </c>
      <c r="AE1" s="221" t="e">
        <f t="shared" si="0"/>
        <v>#VALUE!</v>
      </c>
      <c r="AF1" s="222" t="e">
        <f t="shared" si="0"/>
        <v>#VALUE!</v>
      </c>
    </row>
    <row r="2" spans="1:32" x14ac:dyDescent="0.25">
      <c r="A2" s="158" t="s">
        <v>231</v>
      </c>
      <c r="B2" s="48" t="e">
        <f>INDEX(ProgramYearStage2,MATCH(Stage2EvaluationBegins,Years_in_Stage2,0))</f>
        <v>#N/A</v>
      </c>
      <c r="C2" s="415" t="e">
        <f>B2</f>
        <v>#N/A</v>
      </c>
      <c r="D2" s="617" t="e">
        <f>IF(AND(C2&lt;&gt;"", 'Breeding Inputs'!$D89&lt;&gt;""), INDEX('Breeding Inputs'!$D$89:$D$98, MATCH('Stage 2 Randomized Selection'!C2,'Breeding Inputs'!$B$89:$B$98,0))+INDEX('Breeding Inputs'!$E$89:$E$98, MATCH('Stage 2 Randomized Selection'!C2,'Breeding Inputs'!$B$89:$B$98,0)), IF(C2="", "", ))</f>
        <v>#N/A</v>
      </c>
      <c r="E2" s="178">
        <f>IF(ISNUMBER('Stage 1 Selection Matrix 3.0'!$N$14), 'Stage 1 Selection Matrix 3.0'!$N$14,0)</f>
        <v>0</v>
      </c>
      <c r="F2" s="179">
        <f>IF(ISNUMBER('Stage 1 Selection Matrix 3.0'!$O$14), 'Stage 1 Selection Matrix 3.0'!$O$14,0)</f>
        <v>0</v>
      </c>
      <c r="G2" s="179">
        <f>IF(ISNUMBER('Stage 1 Selection Matrix 3.0'!$P$14), 'Stage 1 Selection Matrix 3.0'!$P$14,0)</f>
        <v>0</v>
      </c>
      <c r="H2" s="179">
        <f>IF(ISNUMBER('Stage 1 Selection Matrix 3.0'!$Q$14), 'Stage 1 Selection Matrix 3.0'!$Q$14,0)</f>
        <v>0</v>
      </c>
      <c r="I2" s="179">
        <f>IF(ISNUMBER('Stage 1 Selection Matrix 3.0'!$R$14), 'Stage 1 Selection Matrix 3.0'!$R$14,0)</f>
        <v>0</v>
      </c>
      <c r="J2" s="179">
        <f>IF(ISNUMBER('Stage 1 Selection Matrix 3.0'!$S$14), 'Stage 1 Selection Matrix 3.0'!$S$14,0)</f>
        <v>0</v>
      </c>
      <c r="K2" s="179">
        <f>IF(ISNUMBER('Stage 1 Selection Matrix 3.0'!$T$14), 'Stage 1 Selection Matrix 3.0'!$T$14,0)</f>
        <v>0</v>
      </c>
      <c r="L2" s="179">
        <f>IF(ISNUMBER('Stage 1 Selection Matrix 3.0'!$U$14), 'Stage 1 Selection Matrix 3.0'!$U$14,0)</f>
        <v>0</v>
      </c>
      <c r="M2" s="179">
        <f>IF(ISNUMBER('Stage 1 Selection Matrix 3.0'!$V$14), 'Stage 1 Selection Matrix 3.0'!$V$14,0)</f>
        <v>0</v>
      </c>
      <c r="N2" s="179">
        <f>IF(ISNUMBER('Stage 1 Selection Matrix 3.0'!$W$14), 'Stage 1 Selection Matrix 3.0'!$W$14,0)</f>
        <v>0</v>
      </c>
      <c r="O2" s="179">
        <f>IF(ISNUMBER('Stage 1 Selection Matrix 3.0'!$X$14), 'Stage 1 Selection Matrix 3.0'!$X$14,0)</f>
        <v>0</v>
      </c>
      <c r="P2" s="179">
        <f>IF(ISNUMBER('Stage 1 Selection Matrix 3.0'!$Y$14), 'Stage 1 Selection Matrix 3.0'!$Y$14,0)</f>
        <v>0</v>
      </c>
      <c r="Q2" s="179">
        <f>IF(ISNUMBER('Stage 1 Selection Matrix 3.0'!$Z$14), 'Stage 1 Selection Matrix 3.0'!$Z$14,0)</f>
        <v>0</v>
      </c>
      <c r="R2" s="179">
        <f>IF(ISNUMBER('Stage 1 Selection Matrix 3.0'!$AA$14), 'Stage 1 Selection Matrix 3.0'!$AA$14,0)</f>
        <v>0</v>
      </c>
      <c r="S2" s="179">
        <f>IF(ISNUMBER('Stage 1 Selection Matrix 3.0'!$AB$14), 'Stage 1 Selection Matrix 3.0'!$AB$14,0)</f>
        <v>0</v>
      </c>
      <c r="T2" s="179">
        <f>IF(ISNUMBER('Stage 1 Selection Matrix 3.0'!$AC$14), 'Stage 1 Selection Matrix 3.0'!$AC$14,0)</f>
        <v>0</v>
      </c>
      <c r="U2" s="179">
        <f>IF(ISNUMBER('Stage 1 Selection Matrix 3.0'!$AD$14), 'Stage 1 Selection Matrix 3.0'!$AD$14,0)</f>
        <v>0</v>
      </c>
      <c r="V2" s="179">
        <f>IF(ISNUMBER('Stage 1 Selection Matrix 3.0'!$AE$14), 'Stage 1 Selection Matrix 3.0'!$AE$14,0)</f>
        <v>0</v>
      </c>
      <c r="W2" s="179">
        <f>IF(ISNUMBER('Stage 1 Selection Matrix 3.0'!$AF$14), 'Stage 1 Selection Matrix 3.0'!$AF$14,0)</f>
        <v>0</v>
      </c>
      <c r="X2" s="142"/>
      <c r="Y2" s="3"/>
      <c r="Z2" s="3"/>
      <c r="AA2" s="3"/>
      <c r="AB2" s="3"/>
      <c r="AC2" s="3"/>
      <c r="AD2" s="3"/>
      <c r="AE2" s="3"/>
      <c r="AF2" s="6"/>
    </row>
    <row r="3" spans="1:32" x14ac:dyDescent="0.25">
      <c r="A3" s="223" t="s">
        <v>200</v>
      </c>
      <c r="B3" s="224" t="e">
        <f>('Breeding Inputs'!I35+'Breeding Inputs'!I36)-(B2)</f>
        <v>#N/A</v>
      </c>
      <c r="C3" s="402"/>
      <c r="D3" s="616"/>
      <c r="E3" s="104">
        <f>IF(AND(ISNUMBER($D2), ISNUMBER(E$2)), E$2*$D2, 0)</f>
        <v>0</v>
      </c>
      <c r="F3" s="17">
        <f t="shared" ref="F3:W3" si="1">IF(AND(ISNUMBER($D2), ISNUMBER(F$2)), F$2*$D2, 0)</f>
        <v>0</v>
      </c>
      <c r="G3" s="17">
        <f t="shared" si="1"/>
        <v>0</v>
      </c>
      <c r="H3" s="17">
        <f t="shared" si="1"/>
        <v>0</v>
      </c>
      <c r="I3" s="17">
        <f t="shared" si="1"/>
        <v>0</v>
      </c>
      <c r="J3" s="17">
        <f t="shared" si="1"/>
        <v>0</v>
      </c>
      <c r="K3" s="17">
        <f t="shared" si="1"/>
        <v>0</v>
      </c>
      <c r="L3" s="17">
        <f t="shared" si="1"/>
        <v>0</v>
      </c>
      <c r="M3" s="17">
        <f t="shared" si="1"/>
        <v>0</v>
      </c>
      <c r="N3" s="17">
        <f t="shared" si="1"/>
        <v>0</v>
      </c>
      <c r="O3" s="17">
        <f t="shared" si="1"/>
        <v>0</v>
      </c>
      <c r="P3" s="17">
        <f t="shared" si="1"/>
        <v>0</v>
      </c>
      <c r="Q3" s="17">
        <f t="shared" si="1"/>
        <v>0</v>
      </c>
      <c r="R3" s="17">
        <f t="shared" si="1"/>
        <v>0</v>
      </c>
      <c r="S3" s="17">
        <f t="shared" si="1"/>
        <v>0</v>
      </c>
      <c r="T3" s="17">
        <f t="shared" si="1"/>
        <v>0</v>
      </c>
      <c r="U3" s="17">
        <f t="shared" si="1"/>
        <v>0</v>
      </c>
      <c r="V3" s="17">
        <f t="shared" si="1"/>
        <v>0</v>
      </c>
      <c r="W3" s="17">
        <f t="shared" si="1"/>
        <v>0</v>
      </c>
      <c r="X3" s="16"/>
      <c r="AF3" s="7"/>
    </row>
    <row r="4" spans="1:32" x14ac:dyDescent="0.25">
      <c r="A4" s="158" t="s">
        <v>195</v>
      </c>
      <c r="B4" s="48" t="str">
        <f>IF(ISNUMBER('Breeding Inputs'!I41),'Breeding Inputs'!I41,IF(AND(ISNUMBER('Breeding Inputs'!I40),ISNUMBER('Cost Inputs'!H99)),ROUND('Breeding Inputs'!I40*'Cost Inputs'!H99,0),IF(AND(ISNUMBER('Breeding Inputs'!I40),ISNUMBER('Cost Inputs'!H97)),ROUND('Breeding Inputs'!I40*'Cost Inputs'!H97,0),"")))</f>
        <v/>
      </c>
      <c r="C4" s="402"/>
      <c r="D4" s="616"/>
      <c r="E4" s="104">
        <f>E2-E3</f>
        <v>0</v>
      </c>
      <c r="F4" s="17">
        <f t="shared" ref="F4:W4" si="2">F2-F3</f>
        <v>0</v>
      </c>
      <c r="G4" s="17">
        <f t="shared" si="2"/>
        <v>0</v>
      </c>
      <c r="H4" s="17">
        <f t="shared" si="2"/>
        <v>0</v>
      </c>
      <c r="I4" s="17">
        <f t="shared" si="2"/>
        <v>0</v>
      </c>
      <c r="J4" s="17">
        <f t="shared" si="2"/>
        <v>0</v>
      </c>
      <c r="K4" s="17">
        <f t="shared" si="2"/>
        <v>0</v>
      </c>
      <c r="L4" s="17">
        <f t="shared" si="2"/>
        <v>0</v>
      </c>
      <c r="M4" s="17">
        <f t="shared" si="2"/>
        <v>0</v>
      </c>
      <c r="N4" s="17">
        <f t="shared" si="2"/>
        <v>0</v>
      </c>
      <c r="O4" s="17">
        <f t="shared" si="2"/>
        <v>0</v>
      </c>
      <c r="P4" s="17">
        <f t="shared" si="2"/>
        <v>0</v>
      </c>
      <c r="Q4" s="17">
        <f t="shared" si="2"/>
        <v>0</v>
      </c>
      <c r="R4" s="17">
        <f t="shared" si="2"/>
        <v>0</v>
      </c>
      <c r="S4" s="17">
        <f t="shared" si="2"/>
        <v>0</v>
      </c>
      <c r="T4" s="17">
        <f t="shared" si="2"/>
        <v>0</v>
      </c>
      <c r="U4" s="17">
        <f t="shared" si="2"/>
        <v>0</v>
      </c>
      <c r="V4" s="17">
        <f t="shared" si="2"/>
        <v>0</v>
      </c>
      <c r="W4" s="17">
        <f t="shared" si="2"/>
        <v>0</v>
      </c>
      <c r="X4" s="17"/>
      <c r="Y4" s="17"/>
      <c r="Z4" s="17"/>
      <c r="AA4" s="17"/>
      <c r="AB4" s="17"/>
      <c r="AC4" s="17"/>
      <c r="AD4" s="17"/>
      <c r="AE4" s="17"/>
      <c r="AF4" s="106"/>
    </row>
    <row r="5" spans="1:32" x14ac:dyDescent="0.25">
      <c r="A5" s="223" t="s">
        <v>201</v>
      </c>
      <c r="B5" s="224"/>
      <c r="C5" s="608" t="e">
        <f>IF(AND(C2&lt;&gt;"",B$3&gt;=2),C2+1,"")</f>
        <v>#N/A</v>
      </c>
      <c r="D5" s="610" t="e">
        <f>IF(AND(C5&lt;&gt;"", 'Breeding Inputs'!$D90&lt;&gt;""), INDEX('Breeding Inputs'!$D$89:$D$98, MATCH('Stage 2 Randomized Selection'!C5,'Breeding Inputs'!$B$89:$B$98,0))+INDEX('Breeding Inputs'!$E$89:$E$98, MATCH('Stage 2 Randomized Selection'!C5,'Breeding Inputs'!$B$89:$B$98,0)), IF(C5="", 0, 0.87%))</f>
        <v>#N/A</v>
      </c>
      <c r="E5" s="225"/>
      <c r="F5" s="2">
        <f>IF(ISNUMBER($C$5), ROUND(MAX(0,E4),0), 0)</f>
        <v>0</v>
      </c>
      <c r="G5" s="2">
        <f t="shared" ref="G5:X5" si="3">IF(ISNUMBER($C$5), ROUND(MAX(0,F4),0), 0)</f>
        <v>0</v>
      </c>
      <c r="H5" s="2">
        <f t="shared" si="3"/>
        <v>0</v>
      </c>
      <c r="I5" s="2">
        <f t="shared" si="3"/>
        <v>0</v>
      </c>
      <c r="J5" s="2">
        <f t="shared" si="3"/>
        <v>0</v>
      </c>
      <c r="K5" s="2">
        <f t="shared" si="3"/>
        <v>0</v>
      </c>
      <c r="L5" s="2">
        <f t="shared" si="3"/>
        <v>0</v>
      </c>
      <c r="M5" s="2">
        <f t="shared" si="3"/>
        <v>0</v>
      </c>
      <c r="N5" s="2">
        <f t="shared" si="3"/>
        <v>0</v>
      </c>
      <c r="O5" s="2">
        <f t="shared" si="3"/>
        <v>0</v>
      </c>
      <c r="P5" s="2">
        <f t="shared" si="3"/>
        <v>0</v>
      </c>
      <c r="Q5" s="2">
        <f t="shared" si="3"/>
        <v>0</v>
      </c>
      <c r="R5" s="2">
        <f t="shared" si="3"/>
        <v>0</v>
      </c>
      <c r="S5" s="2">
        <f t="shared" si="3"/>
        <v>0</v>
      </c>
      <c r="T5" s="2">
        <f t="shared" si="3"/>
        <v>0</v>
      </c>
      <c r="U5" s="2">
        <f t="shared" si="3"/>
        <v>0</v>
      </c>
      <c r="V5" s="2">
        <f t="shared" si="3"/>
        <v>0</v>
      </c>
      <c r="W5" s="2">
        <f t="shared" si="3"/>
        <v>0</v>
      </c>
      <c r="X5" s="2">
        <f t="shared" si="3"/>
        <v>0</v>
      </c>
      <c r="Y5" s="1"/>
      <c r="Z5" s="1"/>
      <c r="AA5" s="1"/>
      <c r="AB5" s="1"/>
      <c r="AC5" s="1"/>
      <c r="AD5" s="1"/>
      <c r="AE5" s="1"/>
      <c r="AF5" s="226"/>
    </row>
    <row r="6" spans="1:32" x14ac:dyDescent="0.25">
      <c r="A6" s="158" t="s">
        <v>202</v>
      </c>
      <c r="B6" s="48" t="e">
        <f>B4-B5</f>
        <v>#VALUE!</v>
      </c>
      <c r="C6" s="608"/>
      <c r="D6" s="610"/>
      <c r="E6" s="225"/>
      <c r="F6" s="2">
        <f>IF(AND(ISNUMBER($D5), ISNUMBER(E$2)), E$2*$D5, 0)</f>
        <v>0</v>
      </c>
      <c r="G6" s="2">
        <f>IF(AND(ISNUMBER($D5), ISNUMBER(F$2)), F$2*$D5, 0)</f>
        <v>0</v>
      </c>
      <c r="H6" s="2">
        <f t="shared" ref="H6:X6" si="4">IF(AND(ISNUMBER($D5), ISNUMBER(G$2)), G$2*$D5, 0)</f>
        <v>0</v>
      </c>
      <c r="I6" s="2">
        <f t="shared" si="4"/>
        <v>0</v>
      </c>
      <c r="J6" s="2">
        <f t="shared" si="4"/>
        <v>0</v>
      </c>
      <c r="K6" s="2">
        <f t="shared" si="4"/>
        <v>0</v>
      </c>
      <c r="L6" s="2">
        <f t="shared" si="4"/>
        <v>0</v>
      </c>
      <c r="M6" s="2">
        <f t="shared" si="4"/>
        <v>0</v>
      </c>
      <c r="N6" s="2">
        <f t="shared" si="4"/>
        <v>0</v>
      </c>
      <c r="O6" s="2">
        <f t="shared" si="4"/>
        <v>0</v>
      </c>
      <c r="P6" s="2">
        <f t="shared" si="4"/>
        <v>0</v>
      </c>
      <c r="Q6" s="2">
        <f t="shared" si="4"/>
        <v>0</v>
      </c>
      <c r="R6" s="2">
        <f t="shared" si="4"/>
        <v>0</v>
      </c>
      <c r="S6" s="2">
        <f t="shared" si="4"/>
        <v>0</v>
      </c>
      <c r="T6" s="2">
        <f t="shared" si="4"/>
        <v>0</v>
      </c>
      <c r="U6" s="2">
        <f t="shared" si="4"/>
        <v>0</v>
      </c>
      <c r="V6" s="2">
        <f t="shared" si="4"/>
        <v>0</v>
      </c>
      <c r="W6" s="2">
        <f t="shared" si="4"/>
        <v>0</v>
      </c>
      <c r="X6" s="2">
        <f t="shared" si="4"/>
        <v>0</v>
      </c>
      <c r="Y6" s="1"/>
      <c r="Z6" s="1"/>
      <c r="AA6" s="1"/>
      <c r="AB6" s="1"/>
      <c r="AC6" s="1"/>
      <c r="AD6" s="1"/>
      <c r="AE6" s="1"/>
      <c r="AF6" s="226"/>
    </row>
    <row r="7" spans="1:32" ht="15.75" thickBot="1" x14ac:dyDescent="0.3">
      <c r="A7" s="227" t="s">
        <v>203</v>
      </c>
      <c r="B7" s="228"/>
      <c r="C7" s="608"/>
      <c r="D7" s="610"/>
      <c r="E7" s="225"/>
      <c r="F7" s="2">
        <f>E4-F6</f>
        <v>0</v>
      </c>
      <c r="G7" s="2">
        <f t="shared" ref="G7:X7" si="5">F4-G6</f>
        <v>0</v>
      </c>
      <c r="H7" s="2">
        <f t="shared" si="5"/>
        <v>0</v>
      </c>
      <c r="I7" s="2">
        <f t="shared" si="5"/>
        <v>0</v>
      </c>
      <c r="J7" s="2">
        <f t="shared" si="5"/>
        <v>0</v>
      </c>
      <c r="K7" s="2">
        <f t="shared" si="5"/>
        <v>0</v>
      </c>
      <c r="L7" s="2">
        <f t="shared" si="5"/>
        <v>0</v>
      </c>
      <c r="M7" s="2">
        <f t="shared" si="5"/>
        <v>0</v>
      </c>
      <c r="N7" s="2">
        <f t="shared" si="5"/>
        <v>0</v>
      </c>
      <c r="O7" s="2">
        <f t="shared" si="5"/>
        <v>0</v>
      </c>
      <c r="P7" s="2">
        <f t="shared" si="5"/>
        <v>0</v>
      </c>
      <c r="Q7" s="2">
        <f t="shared" si="5"/>
        <v>0</v>
      </c>
      <c r="R7" s="2">
        <f t="shared" si="5"/>
        <v>0</v>
      </c>
      <c r="S7" s="2">
        <f t="shared" si="5"/>
        <v>0</v>
      </c>
      <c r="T7" s="2">
        <f t="shared" si="5"/>
        <v>0</v>
      </c>
      <c r="U7" s="2">
        <f t="shared" si="5"/>
        <v>0</v>
      </c>
      <c r="V7" s="2">
        <f t="shared" si="5"/>
        <v>0</v>
      </c>
      <c r="W7" s="2">
        <f t="shared" si="5"/>
        <v>0</v>
      </c>
      <c r="X7" s="2">
        <f t="shared" si="5"/>
        <v>0</v>
      </c>
      <c r="Y7" s="1"/>
      <c r="Z7" s="1"/>
      <c r="AA7" s="1"/>
      <c r="AB7" s="1"/>
      <c r="AC7" s="1"/>
      <c r="AD7" s="1"/>
      <c r="AE7" s="1"/>
      <c r="AF7" s="226"/>
    </row>
    <row r="8" spans="1:32" x14ac:dyDescent="0.25">
      <c r="C8" s="402" t="e">
        <f>IF(AND(C5&lt;&gt;"",B$3&gt;=3),C5+1,"")</f>
        <v>#N/A</v>
      </c>
      <c r="D8" s="616" t="e">
        <f>IF(AND(C8&lt;&gt;"", 'Breeding Inputs'!$D91&lt;&gt;""), INDEX('Breeding Inputs'!$D$89:$D$98, MATCH('Stage 2 Randomized Selection'!C8,'Breeding Inputs'!$B$89:$B$98,0))+INDEX('Breeding Inputs'!$E$89:$E$98, MATCH('Stage 2 Randomized Selection'!C8,'Breeding Inputs'!$B$89:$B$98,0)), IF(C8="", "", 5.21%))</f>
        <v>#N/A</v>
      </c>
      <c r="E8" s="104"/>
      <c r="F8" s="17"/>
      <c r="G8" s="17">
        <f>IF(ISNUMBER($C$8), ROUND(MAX(0,F7),0), 0)</f>
        <v>0</v>
      </c>
      <c r="H8" s="17">
        <f t="shared" ref="H8:Y8" si="6">IF(ISNUMBER($C$8), ROUND(MAX(0,G7),0), 0)</f>
        <v>0</v>
      </c>
      <c r="I8" s="17">
        <f t="shared" si="6"/>
        <v>0</v>
      </c>
      <c r="J8" s="17">
        <f t="shared" si="6"/>
        <v>0</v>
      </c>
      <c r="K8" s="17">
        <f t="shared" si="6"/>
        <v>0</v>
      </c>
      <c r="L8" s="17">
        <f t="shared" si="6"/>
        <v>0</v>
      </c>
      <c r="M8" s="17">
        <f t="shared" si="6"/>
        <v>0</v>
      </c>
      <c r="N8" s="17">
        <f t="shared" si="6"/>
        <v>0</v>
      </c>
      <c r="O8" s="17">
        <f t="shared" si="6"/>
        <v>0</v>
      </c>
      <c r="P8" s="17">
        <f t="shared" si="6"/>
        <v>0</v>
      </c>
      <c r="Q8" s="17">
        <f t="shared" si="6"/>
        <v>0</v>
      </c>
      <c r="R8" s="17">
        <f t="shared" si="6"/>
        <v>0</v>
      </c>
      <c r="S8" s="17">
        <f t="shared" si="6"/>
        <v>0</v>
      </c>
      <c r="T8" s="17">
        <f t="shared" si="6"/>
        <v>0</v>
      </c>
      <c r="U8" s="17">
        <f t="shared" si="6"/>
        <v>0</v>
      </c>
      <c r="V8" s="17">
        <f t="shared" si="6"/>
        <v>0</v>
      </c>
      <c r="W8" s="17">
        <f t="shared" si="6"/>
        <v>0</v>
      </c>
      <c r="X8" s="17">
        <f t="shared" si="6"/>
        <v>0</v>
      </c>
      <c r="Y8" s="17">
        <f t="shared" si="6"/>
        <v>0</v>
      </c>
      <c r="AF8" s="7"/>
    </row>
    <row r="9" spans="1:32" x14ac:dyDescent="0.25">
      <c r="C9" s="402"/>
      <c r="D9" s="616"/>
      <c r="E9" s="104"/>
      <c r="F9" s="17"/>
      <c r="G9" s="17">
        <f>IF(AND(ISNUMBER($D8), ISNUMBER(E$2)), E$2*$D8, 0)</f>
        <v>0</v>
      </c>
      <c r="H9" s="17">
        <f t="shared" ref="H9:Y9" si="7">IF(AND(ISNUMBER($D8), ISNUMBER(F$2)), F$2*$D8, 0)</f>
        <v>0</v>
      </c>
      <c r="I9" s="17">
        <f t="shared" si="7"/>
        <v>0</v>
      </c>
      <c r="J9" s="17">
        <f t="shared" si="7"/>
        <v>0</v>
      </c>
      <c r="K9" s="17">
        <f t="shared" si="7"/>
        <v>0</v>
      </c>
      <c r="L9" s="17">
        <f t="shared" si="7"/>
        <v>0</v>
      </c>
      <c r="M9" s="17">
        <f t="shared" si="7"/>
        <v>0</v>
      </c>
      <c r="N9" s="17">
        <f t="shared" si="7"/>
        <v>0</v>
      </c>
      <c r="O9" s="17">
        <f t="shared" si="7"/>
        <v>0</v>
      </c>
      <c r="P9" s="17">
        <f t="shared" si="7"/>
        <v>0</v>
      </c>
      <c r="Q9" s="17">
        <f t="shared" si="7"/>
        <v>0</v>
      </c>
      <c r="R9" s="17">
        <f t="shared" si="7"/>
        <v>0</v>
      </c>
      <c r="S9" s="17">
        <f t="shared" si="7"/>
        <v>0</v>
      </c>
      <c r="T9" s="17">
        <f t="shared" si="7"/>
        <v>0</v>
      </c>
      <c r="U9" s="17">
        <f t="shared" si="7"/>
        <v>0</v>
      </c>
      <c r="V9" s="17">
        <f t="shared" si="7"/>
        <v>0</v>
      </c>
      <c r="W9" s="17">
        <f t="shared" si="7"/>
        <v>0</v>
      </c>
      <c r="X9" s="17">
        <f t="shared" si="7"/>
        <v>0</v>
      </c>
      <c r="Y9" s="17">
        <f t="shared" si="7"/>
        <v>0</v>
      </c>
      <c r="AF9" s="7"/>
    </row>
    <row r="10" spans="1:32" x14ac:dyDescent="0.25">
      <c r="C10" s="402"/>
      <c r="D10" s="616"/>
      <c r="E10" s="104"/>
      <c r="F10" s="17"/>
      <c r="G10" s="17">
        <f>IF(ISNUMBER($D$8), MAX(0,F7-G9), 0)</f>
        <v>0</v>
      </c>
      <c r="H10" s="17">
        <f t="shared" ref="H10:Y10" si="8">IF(ISNUMBER($D$8), MAX(0,G7-H9), 0)</f>
        <v>0</v>
      </c>
      <c r="I10" s="17">
        <f t="shared" si="8"/>
        <v>0</v>
      </c>
      <c r="J10" s="17">
        <f t="shared" si="8"/>
        <v>0</v>
      </c>
      <c r="K10" s="17">
        <f t="shared" si="8"/>
        <v>0</v>
      </c>
      <c r="L10" s="17">
        <f t="shared" si="8"/>
        <v>0</v>
      </c>
      <c r="M10" s="17">
        <f t="shared" si="8"/>
        <v>0</v>
      </c>
      <c r="N10" s="17">
        <f t="shared" si="8"/>
        <v>0</v>
      </c>
      <c r="O10" s="17">
        <f t="shared" si="8"/>
        <v>0</v>
      </c>
      <c r="P10" s="17">
        <f t="shared" si="8"/>
        <v>0</v>
      </c>
      <c r="Q10" s="17">
        <f t="shared" si="8"/>
        <v>0</v>
      </c>
      <c r="R10" s="17">
        <f t="shared" si="8"/>
        <v>0</v>
      </c>
      <c r="S10" s="17">
        <f t="shared" si="8"/>
        <v>0</v>
      </c>
      <c r="T10" s="17">
        <f t="shared" si="8"/>
        <v>0</v>
      </c>
      <c r="U10" s="17">
        <f t="shared" si="8"/>
        <v>0</v>
      </c>
      <c r="V10" s="17">
        <f t="shared" si="8"/>
        <v>0</v>
      </c>
      <c r="W10" s="17">
        <f t="shared" si="8"/>
        <v>0</v>
      </c>
      <c r="X10" s="17">
        <f t="shared" si="8"/>
        <v>0</v>
      </c>
      <c r="Y10" s="17">
        <f t="shared" si="8"/>
        <v>0</v>
      </c>
      <c r="AF10" s="7"/>
    </row>
    <row r="11" spans="1:32" x14ac:dyDescent="0.25">
      <c r="C11" s="608" t="e">
        <f>IF(AND(C8&lt;&gt;"",B$3&gt;=4),C8+1,"")</f>
        <v>#N/A</v>
      </c>
      <c r="D11" s="610" t="e">
        <f>IF(AND(C11&lt;&gt;"", 'Breeding Inputs'!$D92&lt;&gt;""), INDEX('Breeding Inputs'!$D$89:$D$98, MATCH('Stage 2 Randomized Selection'!C11,'Breeding Inputs'!$B$89:$B$98,0))+INDEX('Breeding Inputs'!$E$89:$E$98, MATCH('Stage 2 Randomized Selection'!C11,'Breeding Inputs'!$B$89:$B$98,0)), IF(C11="", "", 6.08%))</f>
        <v>#N/A</v>
      </c>
      <c r="E11" s="229"/>
      <c r="F11" s="230"/>
      <c r="G11" s="230"/>
      <c r="H11" s="2">
        <f>IF(ISNUMBER($C$11), ROUND(MAX(0,G10),0), 0)</f>
        <v>0</v>
      </c>
      <c r="I11" s="2">
        <f t="shared" ref="I11:Z11" si="9">IF(ISNUMBER($C$11), ROUND(MAX(0,H10),0), 0)</f>
        <v>0</v>
      </c>
      <c r="J11" s="2">
        <f t="shared" si="9"/>
        <v>0</v>
      </c>
      <c r="K11" s="2">
        <f t="shared" si="9"/>
        <v>0</v>
      </c>
      <c r="L11" s="2">
        <f t="shared" si="9"/>
        <v>0</v>
      </c>
      <c r="M11" s="2">
        <f t="shared" si="9"/>
        <v>0</v>
      </c>
      <c r="N11" s="2">
        <f t="shared" si="9"/>
        <v>0</v>
      </c>
      <c r="O11" s="2">
        <f t="shared" si="9"/>
        <v>0</v>
      </c>
      <c r="P11" s="2">
        <f t="shared" si="9"/>
        <v>0</v>
      </c>
      <c r="Q11" s="2">
        <f t="shared" si="9"/>
        <v>0</v>
      </c>
      <c r="R11" s="2">
        <f t="shared" si="9"/>
        <v>0</v>
      </c>
      <c r="S11" s="2">
        <f t="shared" si="9"/>
        <v>0</v>
      </c>
      <c r="T11" s="2">
        <f t="shared" si="9"/>
        <v>0</v>
      </c>
      <c r="U11" s="2">
        <f t="shared" si="9"/>
        <v>0</v>
      </c>
      <c r="V11" s="2">
        <f t="shared" si="9"/>
        <v>0</v>
      </c>
      <c r="W11" s="2">
        <f t="shared" si="9"/>
        <v>0</v>
      </c>
      <c r="X11" s="2">
        <f t="shared" si="9"/>
        <v>0</v>
      </c>
      <c r="Y11" s="2">
        <f t="shared" si="9"/>
        <v>0</v>
      </c>
      <c r="Z11" s="2">
        <f t="shared" si="9"/>
        <v>0</v>
      </c>
      <c r="AA11" s="1"/>
      <c r="AB11" s="1"/>
      <c r="AC11" s="1"/>
      <c r="AD11" s="1"/>
      <c r="AE11" s="1"/>
      <c r="AF11" s="226"/>
    </row>
    <row r="12" spans="1:32" x14ac:dyDescent="0.25">
      <c r="C12" s="608"/>
      <c r="D12" s="610"/>
      <c r="E12" s="229"/>
      <c r="F12" s="230"/>
      <c r="G12" s="230"/>
      <c r="H12" s="2">
        <f>IF(AND(ISNUMBER($D11), ISNUMBER(E$2)), E$2*$D11, 0)</f>
        <v>0</v>
      </c>
      <c r="I12" s="2">
        <f t="shared" ref="I12:Z12" si="10">IF(AND(ISNUMBER($D11), ISNUMBER(F$2)), F$2*$D11, 0)</f>
        <v>0</v>
      </c>
      <c r="J12" s="2">
        <f t="shared" si="10"/>
        <v>0</v>
      </c>
      <c r="K12" s="2">
        <f t="shared" si="10"/>
        <v>0</v>
      </c>
      <c r="L12" s="2">
        <f t="shared" si="10"/>
        <v>0</v>
      </c>
      <c r="M12" s="2">
        <f t="shared" si="10"/>
        <v>0</v>
      </c>
      <c r="N12" s="2">
        <f t="shared" si="10"/>
        <v>0</v>
      </c>
      <c r="O12" s="2">
        <f t="shared" si="10"/>
        <v>0</v>
      </c>
      <c r="P12" s="2">
        <f t="shared" si="10"/>
        <v>0</v>
      </c>
      <c r="Q12" s="2">
        <f t="shared" si="10"/>
        <v>0</v>
      </c>
      <c r="R12" s="2">
        <f t="shared" si="10"/>
        <v>0</v>
      </c>
      <c r="S12" s="2">
        <f t="shared" si="10"/>
        <v>0</v>
      </c>
      <c r="T12" s="2">
        <f t="shared" si="10"/>
        <v>0</v>
      </c>
      <c r="U12" s="2">
        <f t="shared" si="10"/>
        <v>0</v>
      </c>
      <c r="V12" s="2">
        <f t="shared" si="10"/>
        <v>0</v>
      </c>
      <c r="W12" s="2">
        <f t="shared" si="10"/>
        <v>0</v>
      </c>
      <c r="X12" s="2">
        <f t="shared" si="10"/>
        <v>0</v>
      </c>
      <c r="Y12" s="2">
        <f t="shared" si="10"/>
        <v>0</v>
      </c>
      <c r="Z12" s="2">
        <f t="shared" si="10"/>
        <v>0</v>
      </c>
      <c r="AA12" s="1"/>
      <c r="AB12" s="1"/>
      <c r="AC12" s="1"/>
      <c r="AD12" s="1"/>
      <c r="AE12" s="1"/>
      <c r="AF12" s="226"/>
    </row>
    <row r="13" spans="1:32" x14ac:dyDescent="0.25">
      <c r="C13" s="608"/>
      <c r="D13" s="610"/>
      <c r="E13" s="229"/>
      <c r="F13" s="230"/>
      <c r="G13" s="230"/>
      <c r="H13" s="2">
        <f>IF(ISNUMBER($C$11), MAX(0,G10-H12), 0)</f>
        <v>0</v>
      </c>
      <c r="I13" s="2">
        <f t="shared" ref="I13:Z13" si="11">IF(ISNUMBER($C$11), MAX(0,H10-I12), 0)</f>
        <v>0</v>
      </c>
      <c r="J13" s="2">
        <f t="shared" si="11"/>
        <v>0</v>
      </c>
      <c r="K13" s="2">
        <f t="shared" si="11"/>
        <v>0</v>
      </c>
      <c r="L13" s="2">
        <f t="shared" si="11"/>
        <v>0</v>
      </c>
      <c r="M13" s="2">
        <f t="shared" si="11"/>
        <v>0</v>
      </c>
      <c r="N13" s="2">
        <f t="shared" si="11"/>
        <v>0</v>
      </c>
      <c r="O13" s="2">
        <f t="shared" si="11"/>
        <v>0</v>
      </c>
      <c r="P13" s="2">
        <f t="shared" si="11"/>
        <v>0</v>
      </c>
      <c r="Q13" s="2">
        <f t="shared" si="11"/>
        <v>0</v>
      </c>
      <c r="R13" s="2">
        <f t="shared" si="11"/>
        <v>0</v>
      </c>
      <c r="S13" s="2">
        <f t="shared" si="11"/>
        <v>0</v>
      </c>
      <c r="T13" s="2">
        <f t="shared" si="11"/>
        <v>0</v>
      </c>
      <c r="U13" s="2">
        <f t="shared" si="11"/>
        <v>0</v>
      </c>
      <c r="V13" s="2">
        <f t="shared" si="11"/>
        <v>0</v>
      </c>
      <c r="W13" s="2">
        <f t="shared" si="11"/>
        <v>0</v>
      </c>
      <c r="X13" s="2">
        <f t="shared" si="11"/>
        <v>0</v>
      </c>
      <c r="Y13" s="2">
        <f t="shared" si="11"/>
        <v>0</v>
      </c>
      <c r="Z13" s="2">
        <f t="shared" si="11"/>
        <v>0</v>
      </c>
      <c r="AA13" s="1"/>
      <c r="AB13" s="1"/>
      <c r="AC13" s="1"/>
      <c r="AD13" s="1"/>
      <c r="AE13" s="1"/>
      <c r="AF13" s="226"/>
    </row>
    <row r="14" spans="1:32" x14ac:dyDescent="0.25">
      <c r="C14" s="402" t="e">
        <f>IF(AND(C11&lt;&gt;"",B$3&gt;=5),C11+1,"")</f>
        <v>#N/A</v>
      </c>
      <c r="D14" s="616" t="e">
        <f>IF(AND(C14&lt;&gt;"", 'Breeding Inputs'!$D93&lt;&gt;""), INDEX('Breeding Inputs'!$D$89:$D$98, MATCH('Stage 2 Randomized Selection'!C14,'Breeding Inputs'!$B$89:$B$98,0))+INDEX('Breeding Inputs'!$E$89:$E$98, MATCH('Stage 2 Randomized Selection'!C14,'Breeding Inputs'!$B$89:$B$98,0)), IF(C14="", "", 8.69%))</f>
        <v>#N/A</v>
      </c>
      <c r="E14" s="104"/>
      <c r="I14" s="17">
        <f>IF(ISNUMBER($C$14), ROUND(MAX(0,H13),0), 0)</f>
        <v>0</v>
      </c>
      <c r="J14" s="17">
        <f t="shared" ref="J14:AA14" si="12">IF(ISNUMBER($C$14), ROUND(MAX(0,I13),0), 0)</f>
        <v>0</v>
      </c>
      <c r="K14" s="17">
        <f t="shared" si="12"/>
        <v>0</v>
      </c>
      <c r="L14" s="17">
        <f t="shared" si="12"/>
        <v>0</v>
      </c>
      <c r="M14" s="17">
        <f t="shared" si="12"/>
        <v>0</v>
      </c>
      <c r="N14" s="17">
        <f t="shared" si="12"/>
        <v>0</v>
      </c>
      <c r="O14" s="17">
        <f t="shared" si="12"/>
        <v>0</v>
      </c>
      <c r="P14" s="17">
        <f t="shared" si="12"/>
        <v>0</v>
      </c>
      <c r="Q14" s="17">
        <f t="shared" si="12"/>
        <v>0</v>
      </c>
      <c r="R14" s="17">
        <f t="shared" si="12"/>
        <v>0</v>
      </c>
      <c r="S14" s="17">
        <f t="shared" si="12"/>
        <v>0</v>
      </c>
      <c r="T14" s="17">
        <f t="shared" si="12"/>
        <v>0</v>
      </c>
      <c r="U14" s="17">
        <f t="shared" si="12"/>
        <v>0</v>
      </c>
      <c r="V14" s="17">
        <f t="shared" si="12"/>
        <v>0</v>
      </c>
      <c r="W14" s="17">
        <f t="shared" si="12"/>
        <v>0</v>
      </c>
      <c r="X14" s="17">
        <f t="shared" si="12"/>
        <v>0</v>
      </c>
      <c r="Y14" s="17">
        <f t="shared" si="12"/>
        <v>0</v>
      </c>
      <c r="Z14" s="17">
        <f t="shared" si="12"/>
        <v>0</v>
      </c>
      <c r="AA14" s="17">
        <f t="shared" si="12"/>
        <v>0</v>
      </c>
      <c r="AF14" s="7"/>
    </row>
    <row r="15" spans="1:32" x14ac:dyDescent="0.25">
      <c r="C15" s="402"/>
      <c r="D15" s="616"/>
      <c r="E15" s="104"/>
      <c r="I15" s="17">
        <f>IF(AND(ISNUMBER($D14), ISNUMBER(E$2)), E$2*$D14, 0)</f>
        <v>0</v>
      </c>
      <c r="J15" s="17">
        <f t="shared" ref="J15:AA15" si="13">IF(AND(ISNUMBER($D14), ISNUMBER(F$2)), F$2*$D14, 0)</f>
        <v>0</v>
      </c>
      <c r="K15" s="17">
        <f t="shared" si="13"/>
        <v>0</v>
      </c>
      <c r="L15" s="17">
        <f t="shared" si="13"/>
        <v>0</v>
      </c>
      <c r="M15" s="17">
        <f t="shared" si="13"/>
        <v>0</v>
      </c>
      <c r="N15" s="17">
        <f t="shared" si="13"/>
        <v>0</v>
      </c>
      <c r="O15" s="17">
        <f t="shared" si="13"/>
        <v>0</v>
      </c>
      <c r="P15" s="17">
        <f t="shared" si="13"/>
        <v>0</v>
      </c>
      <c r="Q15" s="17">
        <f t="shared" si="13"/>
        <v>0</v>
      </c>
      <c r="R15" s="17">
        <f t="shared" si="13"/>
        <v>0</v>
      </c>
      <c r="S15" s="17">
        <f t="shared" si="13"/>
        <v>0</v>
      </c>
      <c r="T15" s="17">
        <f t="shared" si="13"/>
        <v>0</v>
      </c>
      <c r="U15" s="17">
        <f t="shared" si="13"/>
        <v>0</v>
      </c>
      <c r="V15" s="17">
        <f t="shared" si="13"/>
        <v>0</v>
      </c>
      <c r="W15" s="17">
        <f t="shared" si="13"/>
        <v>0</v>
      </c>
      <c r="X15" s="17">
        <f t="shared" si="13"/>
        <v>0</v>
      </c>
      <c r="Y15" s="17">
        <f t="shared" si="13"/>
        <v>0</v>
      </c>
      <c r="Z15" s="17">
        <f t="shared" si="13"/>
        <v>0</v>
      </c>
      <c r="AA15" s="17">
        <f t="shared" si="13"/>
        <v>0</v>
      </c>
      <c r="AF15" s="7"/>
    </row>
    <row r="16" spans="1:32" x14ac:dyDescent="0.25">
      <c r="C16" s="402" t="e">
        <f>IF(AND(C14&lt;&gt;"",B$3&gt;=2),C14+1,"")</f>
        <v>#N/A</v>
      </c>
      <c r="D16" s="616"/>
      <c r="E16" s="104"/>
      <c r="I16" s="17">
        <f>IF(ISNUMBER($C$14), MAX(0,H13-I15), 0)</f>
        <v>0</v>
      </c>
      <c r="J16" s="17">
        <f t="shared" ref="J16:AA16" si="14">IF(ISNUMBER($C$14), MAX(0,I13-J15), 0)</f>
        <v>0</v>
      </c>
      <c r="K16" s="17">
        <f t="shared" si="14"/>
        <v>0</v>
      </c>
      <c r="L16" s="17">
        <f t="shared" si="14"/>
        <v>0</v>
      </c>
      <c r="M16" s="17">
        <f t="shared" si="14"/>
        <v>0</v>
      </c>
      <c r="N16" s="17">
        <f t="shared" si="14"/>
        <v>0</v>
      </c>
      <c r="O16" s="17">
        <f t="shared" si="14"/>
        <v>0</v>
      </c>
      <c r="P16" s="17">
        <f t="shared" si="14"/>
        <v>0</v>
      </c>
      <c r="Q16" s="17">
        <f t="shared" si="14"/>
        <v>0</v>
      </c>
      <c r="R16" s="17">
        <f t="shared" si="14"/>
        <v>0</v>
      </c>
      <c r="S16" s="17">
        <f t="shared" si="14"/>
        <v>0</v>
      </c>
      <c r="T16" s="17">
        <f t="shared" si="14"/>
        <v>0</v>
      </c>
      <c r="U16" s="17">
        <f t="shared" si="14"/>
        <v>0</v>
      </c>
      <c r="V16" s="17">
        <f t="shared" si="14"/>
        <v>0</v>
      </c>
      <c r="W16" s="17">
        <f t="shared" si="14"/>
        <v>0</v>
      </c>
      <c r="X16" s="17">
        <f t="shared" si="14"/>
        <v>0</v>
      </c>
      <c r="Y16" s="17">
        <f t="shared" si="14"/>
        <v>0</v>
      </c>
      <c r="Z16" s="17">
        <f t="shared" si="14"/>
        <v>0</v>
      </c>
      <c r="AA16" s="17">
        <f t="shared" si="14"/>
        <v>0</v>
      </c>
      <c r="AF16" s="7"/>
    </row>
    <row r="17" spans="3:34" x14ac:dyDescent="0.25">
      <c r="C17" s="608" t="e">
        <f>IF(AND(C14&lt;&gt;"",B$3&gt;=6),C14+1,"")</f>
        <v>#N/A</v>
      </c>
      <c r="D17" s="610" t="e">
        <f>IF(AND(C17&lt;&gt;"", 'Breeding Inputs'!$D94&lt;&gt;""), INDEX('Breeding Inputs'!$D$89:$D$98, MATCH('Stage 2 Randomized Selection'!C17,'Breeding Inputs'!$B$89:$B$98,0))+INDEX('Breeding Inputs'!$E$89:$E$98, MATCH('Stage 2 Randomized Selection'!C17,'Breeding Inputs'!$B$89:$B$98,0)), IF(C17="", "", 20.86%))</f>
        <v>#N/A</v>
      </c>
      <c r="E17" s="225"/>
      <c r="F17" s="231"/>
      <c r="G17" s="231"/>
      <c r="H17" s="231"/>
      <c r="I17" s="231"/>
      <c r="J17" s="2">
        <f>IF(ISNUMBER($C$17), ROUND(MAX(0,I16),0), 0)</f>
        <v>0</v>
      </c>
      <c r="K17" s="2">
        <f t="shared" ref="K17:AB17" si="15">IF(ISNUMBER($C$17), ROUND(MAX(0,J16),0), 0)</f>
        <v>0</v>
      </c>
      <c r="L17" s="2">
        <f t="shared" si="15"/>
        <v>0</v>
      </c>
      <c r="M17" s="2">
        <f t="shared" si="15"/>
        <v>0</v>
      </c>
      <c r="N17" s="2">
        <f t="shared" si="15"/>
        <v>0</v>
      </c>
      <c r="O17" s="2">
        <f t="shared" si="15"/>
        <v>0</v>
      </c>
      <c r="P17" s="2">
        <f t="shared" si="15"/>
        <v>0</v>
      </c>
      <c r="Q17" s="2">
        <f t="shared" si="15"/>
        <v>0</v>
      </c>
      <c r="R17" s="2">
        <f t="shared" si="15"/>
        <v>0</v>
      </c>
      <c r="S17" s="2">
        <f t="shared" si="15"/>
        <v>0</v>
      </c>
      <c r="T17" s="2">
        <f t="shared" si="15"/>
        <v>0</v>
      </c>
      <c r="U17" s="2">
        <f t="shared" si="15"/>
        <v>0</v>
      </c>
      <c r="V17" s="2">
        <f t="shared" si="15"/>
        <v>0</v>
      </c>
      <c r="W17" s="2">
        <f t="shared" si="15"/>
        <v>0</v>
      </c>
      <c r="X17" s="2">
        <f t="shared" si="15"/>
        <v>0</v>
      </c>
      <c r="Y17" s="2">
        <f t="shared" si="15"/>
        <v>0</v>
      </c>
      <c r="Z17" s="2">
        <f t="shared" si="15"/>
        <v>0</v>
      </c>
      <c r="AA17" s="2">
        <f t="shared" si="15"/>
        <v>0</v>
      </c>
      <c r="AB17" s="2">
        <f t="shared" si="15"/>
        <v>0</v>
      </c>
      <c r="AC17" s="1"/>
      <c r="AD17" s="1"/>
      <c r="AE17" s="1"/>
      <c r="AF17" s="226"/>
    </row>
    <row r="18" spans="3:34" x14ac:dyDescent="0.25">
      <c r="C18" s="608"/>
      <c r="D18" s="610"/>
      <c r="E18" s="225"/>
      <c r="F18" s="231"/>
      <c r="G18" s="231"/>
      <c r="H18" s="231"/>
      <c r="I18" s="231"/>
      <c r="J18" s="2">
        <f>IF(AND(ISNUMBER($D17), ISNUMBER(E$2)), E$2*$D17, 0)</f>
        <v>0</v>
      </c>
      <c r="K18" s="2">
        <f t="shared" ref="K18:AB18" si="16">IF(AND(ISNUMBER($D17), ISNUMBER(F$2)), F$2*$D17, 0)</f>
        <v>0</v>
      </c>
      <c r="L18" s="2">
        <f t="shared" si="16"/>
        <v>0</v>
      </c>
      <c r="M18" s="2">
        <f t="shared" si="16"/>
        <v>0</v>
      </c>
      <c r="N18" s="2">
        <f t="shared" si="16"/>
        <v>0</v>
      </c>
      <c r="O18" s="2">
        <f t="shared" si="16"/>
        <v>0</v>
      </c>
      <c r="P18" s="2">
        <f t="shared" si="16"/>
        <v>0</v>
      </c>
      <c r="Q18" s="2">
        <f t="shared" si="16"/>
        <v>0</v>
      </c>
      <c r="R18" s="2">
        <f t="shared" si="16"/>
        <v>0</v>
      </c>
      <c r="S18" s="2">
        <f t="shared" si="16"/>
        <v>0</v>
      </c>
      <c r="T18" s="2">
        <f t="shared" si="16"/>
        <v>0</v>
      </c>
      <c r="U18" s="2">
        <f t="shared" si="16"/>
        <v>0</v>
      </c>
      <c r="V18" s="2">
        <f t="shared" si="16"/>
        <v>0</v>
      </c>
      <c r="W18" s="2">
        <f t="shared" si="16"/>
        <v>0</v>
      </c>
      <c r="X18" s="2">
        <f t="shared" si="16"/>
        <v>0</v>
      </c>
      <c r="Y18" s="2">
        <f t="shared" si="16"/>
        <v>0</v>
      </c>
      <c r="Z18" s="2">
        <f t="shared" si="16"/>
        <v>0</v>
      </c>
      <c r="AA18" s="2">
        <f t="shared" si="16"/>
        <v>0</v>
      </c>
      <c r="AB18" s="2">
        <f t="shared" si="16"/>
        <v>0</v>
      </c>
      <c r="AC18" s="1"/>
      <c r="AD18" s="1"/>
      <c r="AE18" s="1"/>
      <c r="AF18" s="226"/>
    </row>
    <row r="19" spans="3:34" x14ac:dyDescent="0.25">
      <c r="C19" s="608" t="e">
        <f>IF(AND(C17&lt;&gt;"",B$3&gt;=2),C17+1,"")</f>
        <v>#N/A</v>
      </c>
      <c r="D19" s="610"/>
      <c r="E19" s="225"/>
      <c r="F19" s="231"/>
      <c r="G19" s="231"/>
      <c r="H19" s="231"/>
      <c r="I19" s="231"/>
      <c r="J19" s="2">
        <f>IF(ISNUMBER($C$17), MAX(0,I16-J18), 0)</f>
        <v>0</v>
      </c>
      <c r="K19" s="2">
        <f t="shared" ref="K19:AB19" si="17">IF(ISNUMBER($C$17), MAX(0,J16-K18), 0)</f>
        <v>0</v>
      </c>
      <c r="L19" s="2">
        <f t="shared" si="17"/>
        <v>0</v>
      </c>
      <c r="M19" s="2">
        <f t="shared" si="17"/>
        <v>0</v>
      </c>
      <c r="N19" s="2">
        <f t="shared" si="17"/>
        <v>0</v>
      </c>
      <c r="O19" s="2">
        <f t="shared" si="17"/>
        <v>0</v>
      </c>
      <c r="P19" s="2">
        <f t="shared" si="17"/>
        <v>0</v>
      </c>
      <c r="Q19" s="2">
        <f t="shared" si="17"/>
        <v>0</v>
      </c>
      <c r="R19" s="2">
        <f t="shared" si="17"/>
        <v>0</v>
      </c>
      <c r="S19" s="2">
        <f t="shared" si="17"/>
        <v>0</v>
      </c>
      <c r="T19" s="2">
        <f t="shared" si="17"/>
        <v>0</v>
      </c>
      <c r="U19" s="2">
        <f t="shared" si="17"/>
        <v>0</v>
      </c>
      <c r="V19" s="2">
        <f t="shared" si="17"/>
        <v>0</v>
      </c>
      <c r="W19" s="2">
        <f t="shared" si="17"/>
        <v>0</v>
      </c>
      <c r="X19" s="2">
        <f t="shared" si="17"/>
        <v>0</v>
      </c>
      <c r="Y19" s="2">
        <f t="shared" si="17"/>
        <v>0</v>
      </c>
      <c r="Z19" s="2">
        <f t="shared" si="17"/>
        <v>0</v>
      </c>
      <c r="AA19" s="2">
        <f t="shared" si="17"/>
        <v>0</v>
      </c>
      <c r="AB19" s="2">
        <f t="shared" si="17"/>
        <v>0</v>
      </c>
      <c r="AC19" s="1"/>
      <c r="AD19" s="1"/>
      <c r="AE19" s="1"/>
      <c r="AF19" s="226"/>
    </row>
    <row r="20" spans="3:34" x14ac:dyDescent="0.25">
      <c r="C20" s="402" t="e">
        <f>IF(AND(C17&lt;&gt;"",B$3&gt;=7),C17+1,"")</f>
        <v>#N/A</v>
      </c>
      <c r="D20" s="616" t="e">
        <f>IF(AND(C20&lt;&gt;"", 'Breeding Inputs'!$D95&lt;&gt;""), INDEX('Breeding Inputs'!$D$89:$D$98, MATCH('Stage 2 Randomized Selection'!C20,'Breeding Inputs'!$B$89:$B$98,0))+INDEX('Breeding Inputs'!$E$89:$E$98, MATCH('Stage 2 Randomized Selection'!C20,'Breeding Inputs'!$B$89:$B$98,0)), IF(C20="", "", 25.2%))</f>
        <v>#N/A</v>
      </c>
      <c r="E20" s="104"/>
      <c r="F20" s="181"/>
      <c r="G20" s="181"/>
      <c r="H20" s="181"/>
      <c r="I20" s="181"/>
      <c r="J20" s="181"/>
      <c r="K20" s="17">
        <f>IF(ISNUMBER($C$20), ROUND(MAX(0,J19),0), 0)</f>
        <v>0</v>
      </c>
      <c r="L20" s="17">
        <f t="shared" ref="L20:AC20" si="18">IF(ISNUMBER($C$20), ROUND(MAX(0,K19),0), 0)</f>
        <v>0</v>
      </c>
      <c r="M20" s="17">
        <f t="shared" si="18"/>
        <v>0</v>
      </c>
      <c r="N20" s="17">
        <f t="shared" si="18"/>
        <v>0</v>
      </c>
      <c r="O20" s="17">
        <f t="shared" si="18"/>
        <v>0</v>
      </c>
      <c r="P20" s="17">
        <f t="shared" si="18"/>
        <v>0</v>
      </c>
      <c r="Q20" s="17">
        <f t="shared" si="18"/>
        <v>0</v>
      </c>
      <c r="R20" s="17">
        <f t="shared" si="18"/>
        <v>0</v>
      </c>
      <c r="S20" s="17">
        <f t="shared" si="18"/>
        <v>0</v>
      </c>
      <c r="T20" s="17">
        <f t="shared" si="18"/>
        <v>0</v>
      </c>
      <c r="U20" s="17">
        <f t="shared" si="18"/>
        <v>0</v>
      </c>
      <c r="V20" s="17">
        <f t="shared" si="18"/>
        <v>0</v>
      </c>
      <c r="W20" s="17">
        <f t="shared" si="18"/>
        <v>0</v>
      </c>
      <c r="X20" s="17">
        <f t="shared" si="18"/>
        <v>0</v>
      </c>
      <c r="Y20" s="17">
        <f t="shared" si="18"/>
        <v>0</v>
      </c>
      <c r="Z20" s="17">
        <f t="shared" si="18"/>
        <v>0</v>
      </c>
      <c r="AA20" s="17">
        <f t="shared" si="18"/>
        <v>0</v>
      </c>
      <c r="AB20" s="17">
        <f t="shared" si="18"/>
        <v>0</v>
      </c>
      <c r="AC20" s="17">
        <f t="shared" si="18"/>
        <v>0</v>
      </c>
      <c r="AF20" s="7"/>
    </row>
    <row r="21" spans="3:34" x14ac:dyDescent="0.25">
      <c r="C21" s="402"/>
      <c r="D21" s="616"/>
      <c r="E21" s="104"/>
      <c r="F21" s="181"/>
      <c r="G21" s="181"/>
      <c r="H21" s="181"/>
      <c r="I21" s="181"/>
      <c r="J21" s="181"/>
      <c r="K21" s="17">
        <f>IF(AND(ISNUMBER($D20), ISNUMBER(E$2)), E$2*$D20, 0)</f>
        <v>0</v>
      </c>
      <c r="L21" s="17">
        <f t="shared" ref="L21:AC21" si="19">IF(AND(ISNUMBER($D20), ISNUMBER(F$2)), F$2*$D20, 0)</f>
        <v>0</v>
      </c>
      <c r="M21" s="17">
        <f t="shared" si="19"/>
        <v>0</v>
      </c>
      <c r="N21" s="17">
        <f t="shared" si="19"/>
        <v>0</v>
      </c>
      <c r="O21" s="17">
        <f t="shared" si="19"/>
        <v>0</v>
      </c>
      <c r="P21" s="17">
        <f t="shared" si="19"/>
        <v>0</v>
      </c>
      <c r="Q21" s="17">
        <f t="shared" si="19"/>
        <v>0</v>
      </c>
      <c r="R21" s="17">
        <f t="shared" si="19"/>
        <v>0</v>
      </c>
      <c r="S21" s="17">
        <f t="shared" si="19"/>
        <v>0</v>
      </c>
      <c r="T21" s="17">
        <f t="shared" si="19"/>
        <v>0</v>
      </c>
      <c r="U21" s="17">
        <f t="shared" si="19"/>
        <v>0</v>
      </c>
      <c r="V21" s="17">
        <f t="shared" si="19"/>
        <v>0</v>
      </c>
      <c r="W21" s="17">
        <f t="shared" si="19"/>
        <v>0</v>
      </c>
      <c r="X21" s="17">
        <f t="shared" si="19"/>
        <v>0</v>
      </c>
      <c r="Y21" s="17">
        <f t="shared" si="19"/>
        <v>0</v>
      </c>
      <c r="Z21" s="17">
        <f t="shared" si="19"/>
        <v>0</v>
      </c>
      <c r="AA21" s="17">
        <f t="shared" si="19"/>
        <v>0</v>
      </c>
      <c r="AB21" s="17">
        <f t="shared" si="19"/>
        <v>0</v>
      </c>
      <c r="AC21" s="17">
        <f t="shared" si="19"/>
        <v>0</v>
      </c>
      <c r="AF21" s="7"/>
    </row>
    <row r="22" spans="3:34" x14ac:dyDescent="0.25">
      <c r="C22" s="402" t="e">
        <f>IF(AND(C20&lt;&gt;"",B$3&gt;=2),C20+1,"")</f>
        <v>#N/A</v>
      </c>
      <c r="D22" s="616"/>
      <c r="E22" s="104"/>
      <c r="F22" s="181"/>
      <c r="G22" s="181"/>
      <c r="H22" s="181"/>
      <c r="I22" s="181"/>
      <c r="J22" s="181"/>
      <c r="K22" s="17">
        <f>IF(ISNUMBER($C$20), MAX(0,J19-K21), 0)</f>
        <v>0</v>
      </c>
      <c r="L22" s="17">
        <f t="shared" ref="L22:AC22" si="20">IF(ISNUMBER($C$20), MAX(0,K19-L21), 0)</f>
        <v>0</v>
      </c>
      <c r="M22" s="17">
        <f t="shared" si="20"/>
        <v>0</v>
      </c>
      <c r="N22" s="17">
        <f t="shared" si="20"/>
        <v>0</v>
      </c>
      <c r="O22" s="17">
        <f t="shared" si="20"/>
        <v>0</v>
      </c>
      <c r="P22" s="17">
        <f t="shared" si="20"/>
        <v>0</v>
      </c>
      <c r="Q22" s="17">
        <f t="shared" si="20"/>
        <v>0</v>
      </c>
      <c r="R22" s="17">
        <f t="shared" si="20"/>
        <v>0</v>
      </c>
      <c r="S22" s="17">
        <f t="shared" si="20"/>
        <v>0</v>
      </c>
      <c r="T22" s="17">
        <f t="shared" si="20"/>
        <v>0</v>
      </c>
      <c r="U22" s="17">
        <f t="shared" si="20"/>
        <v>0</v>
      </c>
      <c r="V22" s="17">
        <f t="shared" si="20"/>
        <v>0</v>
      </c>
      <c r="W22" s="17">
        <f t="shared" si="20"/>
        <v>0</v>
      </c>
      <c r="X22" s="17">
        <f t="shared" si="20"/>
        <v>0</v>
      </c>
      <c r="Y22" s="17">
        <f t="shared" si="20"/>
        <v>0</v>
      </c>
      <c r="Z22" s="17">
        <f t="shared" si="20"/>
        <v>0</v>
      </c>
      <c r="AA22" s="17">
        <f t="shared" si="20"/>
        <v>0</v>
      </c>
      <c r="AB22" s="17">
        <f t="shared" si="20"/>
        <v>0</v>
      </c>
      <c r="AC22" s="17">
        <f t="shared" si="20"/>
        <v>0</v>
      </c>
      <c r="AF22" s="7"/>
    </row>
    <row r="23" spans="3:34" x14ac:dyDescent="0.25">
      <c r="C23" s="608" t="e">
        <f>IF(AND(C20&lt;&gt;"",B$3&gt;=8),C20+1,"")</f>
        <v>#N/A</v>
      </c>
      <c r="D23" s="610" t="e">
        <f>IF(AND(C23&lt;&gt;"", 'Breeding Inputs'!$D96&lt;&gt;""), INDEX('Breeding Inputs'!$D$89:$D$98, MATCH('Stage 2 Randomized Selection'!C23,'Breeding Inputs'!$B$89:$B$98,0))+INDEX('Breeding Inputs'!$E$89:$E$98, MATCH('Stage 2 Randomized Selection'!C23,'Breeding Inputs'!$B$89:$B$98,0)), IF(C23="", "", 15.64%))</f>
        <v>#N/A</v>
      </c>
      <c r="E23" s="225"/>
      <c r="F23" s="2"/>
      <c r="G23" s="1"/>
      <c r="H23" s="1"/>
      <c r="I23" s="1"/>
      <c r="J23" s="1"/>
      <c r="K23" s="1"/>
      <c r="L23" s="2">
        <f>IF(ISNUMBER($C$23), ROUND(MAX(0,K22),0), 0)</f>
        <v>0</v>
      </c>
      <c r="M23" s="2">
        <f t="shared" ref="M23:AD23" si="21">IF(ISNUMBER($C$23), ROUND(MAX(0,L22),0), 0)</f>
        <v>0</v>
      </c>
      <c r="N23" s="2">
        <f t="shared" si="21"/>
        <v>0</v>
      </c>
      <c r="O23" s="2">
        <f t="shared" si="21"/>
        <v>0</v>
      </c>
      <c r="P23" s="2">
        <f t="shared" si="21"/>
        <v>0</v>
      </c>
      <c r="Q23" s="2">
        <f t="shared" si="21"/>
        <v>0</v>
      </c>
      <c r="R23" s="2">
        <f t="shared" si="21"/>
        <v>0</v>
      </c>
      <c r="S23" s="2">
        <f t="shared" si="21"/>
        <v>0</v>
      </c>
      <c r="T23" s="2">
        <f t="shared" si="21"/>
        <v>0</v>
      </c>
      <c r="U23" s="2">
        <f t="shared" si="21"/>
        <v>0</v>
      </c>
      <c r="V23" s="2">
        <f t="shared" si="21"/>
        <v>0</v>
      </c>
      <c r="W23" s="2">
        <f t="shared" si="21"/>
        <v>0</v>
      </c>
      <c r="X23" s="2">
        <f t="shared" si="21"/>
        <v>0</v>
      </c>
      <c r="Y23" s="2">
        <f t="shared" si="21"/>
        <v>0</v>
      </c>
      <c r="Z23" s="2">
        <f t="shared" si="21"/>
        <v>0</v>
      </c>
      <c r="AA23" s="2">
        <f t="shared" si="21"/>
        <v>0</v>
      </c>
      <c r="AB23" s="2">
        <f t="shared" si="21"/>
        <v>0</v>
      </c>
      <c r="AC23" s="2">
        <f t="shared" si="21"/>
        <v>0</v>
      </c>
      <c r="AD23" s="2">
        <f t="shared" si="21"/>
        <v>0</v>
      </c>
      <c r="AE23" s="1"/>
      <c r="AF23" s="226"/>
    </row>
    <row r="24" spans="3:34" x14ac:dyDescent="0.25">
      <c r="C24" s="608"/>
      <c r="D24" s="610"/>
      <c r="E24" s="225"/>
      <c r="F24" s="2"/>
      <c r="G24" s="1"/>
      <c r="H24" s="1"/>
      <c r="I24" s="1"/>
      <c r="J24" s="1"/>
      <c r="K24" s="1"/>
      <c r="L24" s="2">
        <f>IF(AND(ISNUMBER($D23), ISNUMBER(E$2)), E$2*$D23, 0)</f>
        <v>0</v>
      </c>
      <c r="M24" s="2">
        <f t="shared" ref="M24:AD24" si="22">IF(AND(ISNUMBER($D23), ISNUMBER(F$2)), F$2*$D23, 0)</f>
        <v>0</v>
      </c>
      <c r="N24" s="2">
        <f t="shared" si="22"/>
        <v>0</v>
      </c>
      <c r="O24" s="2">
        <f t="shared" si="22"/>
        <v>0</v>
      </c>
      <c r="P24" s="2">
        <f t="shared" si="22"/>
        <v>0</v>
      </c>
      <c r="Q24" s="2">
        <f t="shared" si="22"/>
        <v>0</v>
      </c>
      <c r="R24" s="2">
        <f t="shared" si="22"/>
        <v>0</v>
      </c>
      <c r="S24" s="2">
        <f t="shared" si="22"/>
        <v>0</v>
      </c>
      <c r="T24" s="2">
        <f t="shared" si="22"/>
        <v>0</v>
      </c>
      <c r="U24" s="2">
        <f t="shared" si="22"/>
        <v>0</v>
      </c>
      <c r="V24" s="2">
        <f t="shared" si="22"/>
        <v>0</v>
      </c>
      <c r="W24" s="2">
        <f t="shared" si="22"/>
        <v>0</v>
      </c>
      <c r="X24" s="2">
        <f t="shared" si="22"/>
        <v>0</v>
      </c>
      <c r="Y24" s="2">
        <f t="shared" si="22"/>
        <v>0</v>
      </c>
      <c r="Z24" s="2">
        <f t="shared" si="22"/>
        <v>0</v>
      </c>
      <c r="AA24" s="2">
        <f t="shared" si="22"/>
        <v>0</v>
      </c>
      <c r="AB24" s="2">
        <f t="shared" si="22"/>
        <v>0</v>
      </c>
      <c r="AC24" s="2">
        <f t="shared" si="22"/>
        <v>0</v>
      </c>
      <c r="AD24" s="2">
        <f t="shared" si="22"/>
        <v>0</v>
      </c>
      <c r="AE24" s="1"/>
      <c r="AF24" s="226"/>
    </row>
    <row r="25" spans="3:34" x14ac:dyDescent="0.25">
      <c r="C25" s="608" t="e">
        <f>IF(AND(C23&lt;&gt;"",B$3&gt;=2),C23+1,"")</f>
        <v>#N/A</v>
      </c>
      <c r="D25" s="610"/>
      <c r="E25" s="225"/>
      <c r="F25" s="2"/>
      <c r="G25" s="1"/>
      <c r="H25" s="1"/>
      <c r="I25" s="1"/>
      <c r="J25" s="1"/>
      <c r="K25" s="1"/>
      <c r="L25" s="2">
        <f>IF(ISNUMBER($C$23), MAX(0,K22-L24), 0)</f>
        <v>0</v>
      </c>
      <c r="M25" s="2">
        <f t="shared" ref="M25:AD25" si="23">IF(ISNUMBER($C$23), MAX(0,L22-M24), 0)</f>
        <v>0</v>
      </c>
      <c r="N25" s="2">
        <f t="shared" si="23"/>
        <v>0</v>
      </c>
      <c r="O25" s="2">
        <f t="shared" si="23"/>
        <v>0</v>
      </c>
      <c r="P25" s="2">
        <f t="shared" si="23"/>
        <v>0</v>
      </c>
      <c r="Q25" s="2">
        <f t="shared" si="23"/>
        <v>0</v>
      </c>
      <c r="R25" s="2">
        <f t="shared" si="23"/>
        <v>0</v>
      </c>
      <c r="S25" s="2">
        <f t="shared" si="23"/>
        <v>0</v>
      </c>
      <c r="T25" s="2">
        <f t="shared" si="23"/>
        <v>0</v>
      </c>
      <c r="U25" s="2">
        <f t="shared" si="23"/>
        <v>0</v>
      </c>
      <c r="V25" s="2">
        <f t="shared" si="23"/>
        <v>0</v>
      </c>
      <c r="W25" s="2">
        <f t="shared" si="23"/>
        <v>0</v>
      </c>
      <c r="X25" s="2">
        <f t="shared" si="23"/>
        <v>0</v>
      </c>
      <c r="Y25" s="2">
        <f t="shared" si="23"/>
        <v>0</v>
      </c>
      <c r="Z25" s="2">
        <f t="shared" si="23"/>
        <v>0</v>
      </c>
      <c r="AA25" s="2">
        <f t="shared" si="23"/>
        <v>0</v>
      </c>
      <c r="AB25" s="2">
        <f t="shared" si="23"/>
        <v>0</v>
      </c>
      <c r="AC25" s="2">
        <f t="shared" si="23"/>
        <v>0</v>
      </c>
      <c r="AD25" s="2">
        <f t="shared" si="23"/>
        <v>0</v>
      </c>
      <c r="AE25" s="1"/>
      <c r="AF25" s="226"/>
    </row>
    <row r="26" spans="3:34" x14ac:dyDescent="0.25">
      <c r="C26" s="402" t="e">
        <f>IF(AND(C23&lt;&gt;"",B$3&gt;=9),C23+1,"")</f>
        <v>#N/A</v>
      </c>
      <c r="D26" s="616" t="e">
        <f>IF(AND(C26&lt;&gt;"", 'Breeding Inputs'!$D97&lt;&gt;""), INDEX('Breeding Inputs'!$D$89:$D$98, MATCH('Stage 2 Randomized Selection'!C26,'Breeding Inputs'!$B$89:$B$98,0))+INDEX('Breeding Inputs'!$E$89:$E$98, MATCH('Stage 2 Randomized Selection'!C26,'Breeding Inputs'!$B$89:$B$98,0)), IF(C26="", "", 9.56%))</f>
        <v>#N/A</v>
      </c>
      <c r="E26" s="104"/>
      <c r="F26" s="17"/>
      <c r="G26" s="182"/>
      <c r="H26" s="182"/>
      <c r="I26" s="182"/>
      <c r="J26" s="182"/>
      <c r="K26" s="182"/>
      <c r="L26" s="182"/>
      <c r="M26" s="17">
        <f>IF(ISNUMBER($C$26), ROUND(MAX(0,L25),0), 0)</f>
        <v>0</v>
      </c>
      <c r="N26" s="17">
        <f t="shared" ref="N26:AE26" si="24">IF(ISNUMBER($C$26), ROUND(MAX(0,M25),0), 0)</f>
        <v>0</v>
      </c>
      <c r="O26" s="17">
        <f t="shared" si="24"/>
        <v>0</v>
      </c>
      <c r="P26" s="17">
        <f t="shared" si="24"/>
        <v>0</v>
      </c>
      <c r="Q26" s="17">
        <f t="shared" si="24"/>
        <v>0</v>
      </c>
      <c r="R26" s="17">
        <f t="shared" si="24"/>
        <v>0</v>
      </c>
      <c r="S26" s="17">
        <f t="shared" si="24"/>
        <v>0</v>
      </c>
      <c r="T26" s="17">
        <f t="shared" si="24"/>
        <v>0</v>
      </c>
      <c r="U26" s="17">
        <f t="shared" si="24"/>
        <v>0</v>
      </c>
      <c r="V26" s="17">
        <f t="shared" si="24"/>
        <v>0</v>
      </c>
      <c r="W26" s="17">
        <f t="shared" si="24"/>
        <v>0</v>
      </c>
      <c r="X26" s="17">
        <f t="shared" si="24"/>
        <v>0</v>
      </c>
      <c r="Y26" s="17">
        <f t="shared" si="24"/>
        <v>0</v>
      </c>
      <c r="Z26" s="17">
        <f t="shared" si="24"/>
        <v>0</v>
      </c>
      <c r="AA26" s="17">
        <f t="shared" si="24"/>
        <v>0</v>
      </c>
      <c r="AB26" s="17">
        <f t="shared" si="24"/>
        <v>0</v>
      </c>
      <c r="AC26" s="17">
        <f t="shared" si="24"/>
        <v>0</v>
      </c>
      <c r="AD26" s="17">
        <f t="shared" si="24"/>
        <v>0</v>
      </c>
      <c r="AE26" s="17">
        <f t="shared" si="24"/>
        <v>0</v>
      </c>
      <c r="AF26" s="7"/>
    </row>
    <row r="27" spans="3:34" x14ac:dyDescent="0.25">
      <c r="C27" s="402"/>
      <c r="D27" s="616"/>
      <c r="E27" s="104"/>
      <c r="F27" s="17"/>
      <c r="G27" s="182"/>
      <c r="H27" s="182"/>
      <c r="I27" s="182"/>
      <c r="J27" s="182"/>
      <c r="K27" s="182"/>
      <c r="L27" s="182"/>
      <c r="M27" s="17">
        <f>IF(AND(ISNUMBER($D26), ISNUMBER(E$2)), E$2*$D26, 0)</f>
        <v>0</v>
      </c>
      <c r="N27" s="17">
        <f t="shared" ref="N27:AE27" si="25">IF(AND(ISNUMBER($D26), ISNUMBER(F$2)), F$2*$D26, 0)</f>
        <v>0</v>
      </c>
      <c r="O27" s="17">
        <f t="shared" si="25"/>
        <v>0</v>
      </c>
      <c r="P27" s="17">
        <f t="shared" si="25"/>
        <v>0</v>
      </c>
      <c r="Q27" s="17">
        <f t="shared" si="25"/>
        <v>0</v>
      </c>
      <c r="R27" s="17">
        <f t="shared" si="25"/>
        <v>0</v>
      </c>
      <c r="S27" s="17">
        <f t="shared" si="25"/>
        <v>0</v>
      </c>
      <c r="T27" s="17">
        <f t="shared" si="25"/>
        <v>0</v>
      </c>
      <c r="U27" s="17">
        <f t="shared" si="25"/>
        <v>0</v>
      </c>
      <c r="V27" s="17">
        <f t="shared" si="25"/>
        <v>0</v>
      </c>
      <c r="W27" s="17">
        <f t="shared" si="25"/>
        <v>0</v>
      </c>
      <c r="X27" s="17">
        <f t="shared" si="25"/>
        <v>0</v>
      </c>
      <c r="Y27" s="17">
        <f t="shared" si="25"/>
        <v>0</v>
      </c>
      <c r="Z27" s="17">
        <f t="shared" si="25"/>
        <v>0</v>
      </c>
      <c r="AA27" s="17">
        <f t="shared" si="25"/>
        <v>0</v>
      </c>
      <c r="AB27" s="17">
        <f t="shared" si="25"/>
        <v>0</v>
      </c>
      <c r="AC27" s="17">
        <f t="shared" si="25"/>
        <v>0</v>
      </c>
      <c r="AD27" s="17">
        <f t="shared" si="25"/>
        <v>0</v>
      </c>
      <c r="AE27" s="17">
        <f t="shared" si="25"/>
        <v>0</v>
      </c>
      <c r="AF27" s="7"/>
    </row>
    <row r="28" spans="3:34" x14ac:dyDescent="0.25">
      <c r="C28" s="402" t="e">
        <f>IF(AND(C26&lt;&gt;"",B$3&gt;=2),C26+1,"")</f>
        <v>#N/A</v>
      </c>
      <c r="D28" s="616"/>
      <c r="E28" s="104"/>
      <c r="F28" s="17"/>
      <c r="G28" s="182"/>
      <c r="H28" s="182"/>
      <c r="I28" s="182"/>
      <c r="J28" s="182"/>
      <c r="K28" s="182"/>
      <c r="L28" s="182"/>
      <c r="M28" s="17">
        <f>IF(ISNUMBER($C$26), MAX(0,L25-M27), 0)</f>
        <v>0</v>
      </c>
      <c r="N28" s="17">
        <f t="shared" ref="N28:AE28" si="26">IF(ISNUMBER($C$26), MAX(0,M25-N27), 0)</f>
        <v>0</v>
      </c>
      <c r="O28" s="17">
        <f t="shared" si="26"/>
        <v>0</v>
      </c>
      <c r="P28" s="17">
        <f t="shared" si="26"/>
        <v>0</v>
      </c>
      <c r="Q28" s="17">
        <f t="shared" si="26"/>
        <v>0</v>
      </c>
      <c r="R28" s="17">
        <f t="shared" si="26"/>
        <v>0</v>
      </c>
      <c r="S28" s="17">
        <f t="shared" si="26"/>
        <v>0</v>
      </c>
      <c r="T28" s="17">
        <f t="shared" si="26"/>
        <v>0</v>
      </c>
      <c r="U28" s="17">
        <f t="shared" si="26"/>
        <v>0</v>
      </c>
      <c r="V28" s="17">
        <f t="shared" si="26"/>
        <v>0</v>
      </c>
      <c r="W28" s="17">
        <f t="shared" si="26"/>
        <v>0</v>
      </c>
      <c r="X28" s="17">
        <f t="shared" si="26"/>
        <v>0</v>
      </c>
      <c r="Y28" s="17">
        <f t="shared" si="26"/>
        <v>0</v>
      </c>
      <c r="Z28" s="17">
        <f t="shared" si="26"/>
        <v>0</v>
      </c>
      <c r="AA28" s="17">
        <f t="shared" si="26"/>
        <v>0</v>
      </c>
      <c r="AB28" s="17">
        <f t="shared" si="26"/>
        <v>0</v>
      </c>
      <c r="AC28" s="17">
        <f t="shared" si="26"/>
        <v>0</v>
      </c>
      <c r="AD28" s="17">
        <f t="shared" si="26"/>
        <v>0</v>
      </c>
      <c r="AE28" s="17">
        <f t="shared" si="26"/>
        <v>0</v>
      </c>
      <c r="AF28" s="7"/>
    </row>
    <row r="29" spans="3:34" x14ac:dyDescent="0.25">
      <c r="C29" s="608" t="e">
        <f>IF(AND(C26&lt;&gt;"",B$3&gt;=10),C26+1,"")</f>
        <v>#N/A</v>
      </c>
      <c r="D29" s="610" t="e">
        <f>IF(AND(C29&lt;&gt;"", 'Breeding Inputs'!$D98&lt;&gt;""), INDEX('Breeding Inputs'!$D$89:$D$98, MATCH('Stage 2 Randomized Selection'!C29,'Breeding Inputs'!$B$89:$B$98,0))+INDEX('Breeding Inputs'!$E$89:$E$98, MATCH('Stage 2 Randomized Selection'!C29,'Breeding Inputs'!$B$89:$B$98,0)), IF(C29="", "", 6.95%))</f>
        <v>#N/A</v>
      </c>
      <c r="E29" s="225"/>
      <c r="F29" s="2"/>
      <c r="G29" s="230"/>
      <c r="H29" s="230"/>
      <c r="I29" s="230"/>
      <c r="J29" s="230"/>
      <c r="K29" s="230"/>
      <c r="L29" s="230"/>
      <c r="M29" s="230"/>
      <c r="N29" s="2">
        <f>IF(ISNUMBER($C$29), ROUND(MAX(0,M28),0), 0)</f>
        <v>0</v>
      </c>
      <c r="O29" s="2">
        <f t="shared" ref="O29:AF29" si="27">IF(ISNUMBER($C$29), ROUND(MAX(0,N28),0), 0)</f>
        <v>0</v>
      </c>
      <c r="P29" s="2">
        <f t="shared" si="27"/>
        <v>0</v>
      </c>
      <c r="Q29" s="2">
        <f t="shared" si="27"/>
        <v>0</v>
      </c>
      <c r="R29" s="2">
        <f t="shared" si="27"/>
        <v>0</v>
      </c>
      <c r="S29" s="2">
        <f t="shared" si="27"/>
        <v>0</v>
      </c>
      <c r="T29" s="2">
        <f t="shared" si="27"/>
        <v>0</v>
      </c>
      <c r="U29" s="2">
        <f t="shared" si="27"/>
        <v>0</v>
      </c>
      <c r="V29" s="2">
        <f t="shared" si="27"/>
        <v>0</v>
      </c>
      <c r="W29" s="2">
        <f t="shared" si="27"/>
        <v>0</v>
      </c>
      <c r="X29" s="2">
        <f t="shared" si="27"/>
        <v>0</v>
      </c>
      <c r="Y29" s="2">
        <f t="shared" si="27"/>
        <v>0</v>
      </c>
      <c r="Z29" s="2">
        <f t="shared" si="27"/>
        <v>0</v>
      </c>
      <c r="AA29" s="2">
        <f t="shared" si="27"/>
        <v>0</v>
      </c>
      <c r="AB29" s="2">
        <f t="shared" si="27"/>
        <v>0</v>
      </c>
      <c r="AC29" s="2">
        <f t="shared" si="27"/>
        <v>0</v>
      </c>
      <c r="AD29" s="2">
        <f t="shared" si="27"/>
        <v>0</v>
      </c>
      <c r="AE29" s="2">
        <f t="shared" si="27"/>
        <v>0</v>
      </c>
      <c r="AF29" s="232">
        <f t="shared" si="27"/>
        <v>0</v>
      </c>
    </row>
    <row r="30" spans="3:34" x14ac:dyDescent="0.25">
      <c r="C30" s="608"/>
      <c r="D30" s="610"/>
      <c r="E30" s="225"/>
      <c r="F30" s="2"/>
      <c r="G30" s="230"/>
      <c r="H30" s="230"/>
      <c r="I30" s="230"/>
      <c r="J30" s="230"/>
      <c r="K30" s="230"/>
      <c r="L30" s="230"/>
      <c r="M30" s="230"/>
      <c r="N30" s="2">
        <f>IF(AND(ISNUMBER($D29), ISNUMBER(E$2)), E$2*$D29, 0)</f>
        <v>0</v>
      </c>
      <c r="O30" s="2">
        <f t="shared" ref="O30:AF30" si="28">IF(AND(ISNUMBER($D29), ISNUMBER(F$2)), F$2*$D29, 0)</f>
        <v>0</v>
      </c>
      <c r="P30" s="2">
        <f t="shared" si="28"/>
        <v>0</v>
      </c>
      <c r="Q30" s="2">
        <f t="shared" si="28"/>
        <v>0</v>
      </c>
      <c r="R30" s="2">
        <f t="shared" si="28"/>
        <v>0</v>
      </c>
      <c r="S30" s="2">
        <f t="shared" si="28"/>
        <v>0</v>
      </c>
      <c r="T30" s="2">
        <f t="shared" si="28"/>
        <v>0</v>
      </c>
      <c r="U30" s="2">
        <f t="shared" si="28"/>
        <v>0</v>
      </c>
      <c r="V30" s="2">
        <f t="shared" si="28"/>
        <v>0</v>
      </c>
      <c r="W30" s="2">
        <f t="shared" si="28"/>
        <v>0</v>
      </c>
      <c r="X30" s="2">
        <f t="shared" si="28"/>
        <v>0</v>
      </c>
      <c r="Y30" s="2">
        <f t="shared" si="28"/>
        <v>0</v>
      </c>
      <c r="Z30" s="2">
        <f t="shared" si="28"/>
        <v>0</v>
      </c>
      <c r="AA30" s="2">
        <f t="shared" si="28"/>
        <v>0</v>
      </c>
      <c r="AB30" s="2">
        <f t="shared" si="28"/>
        <v>0</v>
      </c>
      <c r="AC30" s="2">
        <f t="shared" si="28"/>
        <v>0</v>
      </c>
      <c r="AD30" s="2">
        <f t="shared" si="28"/>
        <v>0</v>
      </c>
      <c r="AE30" s="2">
        <f t="shared" si="28"/>
        <v>0</v>
      </c>
      <c r="AF30" s="232">
        <f t="shared" si="28"/>
        <v>0</v>
      </c>
    </row>
    <row r="31" spans="3:34" ht="15.75" thickBot="1" x14ac:dyDescent="0.3">
      <c r="C31" s="609" t="e">
        <f>IF(AND(C29&lt;&gt;"",B$3&gt;=2),C29+1,"")</f>
        <v>#N/A</v>
      </c>
      <c r="D31" s="611"/>
      <c r="E31" s="233"/>
      <c r="F31" s="234"/>
      <c r="G31" s="235"/>
      <c r="H31" s="235"/>
      <c r="I31" s="235"/>
      <c r="J31" s="235"/>
      <c r="K31" s="235"/>
      <c r="L31" s="235"/>
      <c r="M31" s="235"/>
      <c r="N31" s="234">
        <f>IF(ISNUMBER($C$29), MAX(0,M28-N30), 0)</f>
        <v>0</v>
      </c>
      <c r="O31" s="234">
        <f t="shared" ref="O31:AF31" si="29">IF(ISNUMBER($C$29), MAX(0,N28-O30), 0)</f>
        <v>0</v>
      </c>
      <c r="P31" s="234">
        <f t="shared" si="29"/>
        <v>0</v>
      </c>
      <c r="Q31" s="234">
        <f t="shared" si="29"/>
        <v>0</v>
      </c>
      <c r="R31" s="234">
        <f t="shared" si="29"/>
        <v>0</v>
      </c>
      <c r="S31" s="234">
        <f t="shared" si="29"/>
        <v>0</v>
      </c>
      <c r="T31" s="234">
        <f t="shared" si="29"/>
        <v>0</v>
      </c>
      <c r="U31" s="234">
        <f t="shared" si="29"/>
        <v>0</v>
      </c>
      <c r="V31" s="234">
        <f t="shared" si="29"/>
        <v>0</v>
      </c>
      <c r="W31" s="234">
        <f t="shared" si="29"/>
        <v>0</v>
      </c>
      <c r="X31" s="234">
        <f t="shared" si="29"/>
        <v>0</v>
      </c>
      <c r="Y31" s="234">
        <f t="shared" si="29"/>
        <v>0</v>
      </c>
      <c r="Z31" s="234">
        <f t="shared" si="29"/>
        <v>0</v>
      </c>
      <c r="AA31" s="234">
        <f t="shared" si="29"/>
        <v>0</v>
      </c>
      <c r="AB31" s="234">
        <f t="shared" si="29"/>
        <v>0</v>
      </c>
      <c r="AC31" s="234">
        <f t="shared" si="29"/>
        <v>0</v>
      </c>
      <c r="AD31" s="234">
        <f t="shared" si="29"/>
        <v>0</v>
      </c>
      <c r="AE31" s="234">
        <f t="shared" si="29"/>
        <v>0</v>
      </c>
      <c r="AF31" s="236">
        <f t="shared" si="29"/>
        <v>0</v>
      </c>
    </row>
    <row r="32" spans="3:34" x14ac:dyDescent="0.25">
      <c r="C32" s="612" t="s">
        <v>10</v>
      </c>
      <c r="D32" s="613"/>
      <c r="E32" s="179">
        <f t="shared" ref="E32:AF32" si="30">E2+E5+E8+E11+E14+E17+E20+E23+E26+E29</f>
        <v>0</v>
      </c>
      <c r="F32" s="179">
        <f t="shared" si="30"/>
        <v>0</v>
      </c>
      <c r="G32" s="237">
        <f t="shared" si="30"/>
        <v>0</v>
      </c>
      <c r="H32" s="179">
        <f t="shared" si="30"/>
        <v>0</v>
      </c>
      <c r="I32" s="179">
        <f t="shared" si="30"/>
        <v>0</v>
      </c>
      <c r="J32" s="179">
        <f t="shared" si="30"/>
        <v>0</v>
      </c>
      <c r="K32" s="179">
        <f t="shared" si="30"/>
        <v>0</v>
      </c>
      <c r="L32" s="179">
        <f t="shared" si="30"/>
        <v>0</v>
      </c>
      <c r="M32" s="179">
        <f t="shared" si="30"/>
        <v>0</v>
      </c>
      <c r="N32" s="179">
        <f t="shared" si="30"/>
        <v>0</v>
      </c>
      <c r="O32" s="179">
        <f t="shared" si="30"/>
        <v>0</v>
      </c>
      <c r="P32" s="179">
        <f t="shared" si="30"/>
        <v>0</v>
      </c>
      <c r="Q32" s="179">
        <f t="shared" si="30"/>
        <v>0</v>
      </c>
      <c r="R32" s="179">
        <f t="shared" si="30"/>
        <v>0</v>
      </c>
      <c r="S32" s="179">
        <f t="shared" si="30"/>
        <v>0</v>
      </c>
      <c r="T32" s="179">
        <f t="shared" si="30"/>
        <v>0</v>
      </c>
      <c r="U32" s="179">
        <f t="shared" si="30"/>
        <v>0</v>
      </c>
      <c r="V32" s="179">
        <f t="shared" si="30"/>
        <v>0</v>
      </c>
      <c r="W32" s="179">
        <f t="shared" si="30"/>
        <v>0</v>
      </c>
      <c r="X32" s="179">
        <f t="shared" si="30"/>
        <v>0</v>
      </c>
      <c r="Y32" s="179">
        <f t="shared" si="30"/>
        <v>0</v>
      </c>
      <c r="Z32" s="179">
        <f t="shared" si="30"/>
        <v>0</v>
      </c>
      <c r="AA32" s="179">
        <f t="shared" si="30"/>
        <v>0</v>
      </c>
      <c r="AB32" s="179">
        <f t="shared" si="30"/>
        <v>0</v>
      </c>
      <c r="AC32" s="179">
        <f t="shared" si="30"/>
        <v>0</v>
      </c>
      <c r="AD32" s="179">
        <f t="shared" si="30"/>
        <v>0</v>
      </c>
      <c r="AE32" s="179">
        <f t="shared" si="30"/>
        <v>0</v>
      </c>
      <c r="AF32" s="133">
        <f t="shared" si="30"/>
        <v>0</v>
      </c>
      <c r="AG32" s="117"/>
      <c r="AH32" s="117"/>
    </row>
    <row r="33" spans="3:173" ht="15.75" thickBot="1" x14ac:dyDescent="0.3">
      <c r="C33" s="614"/>
      <c r="D33" s="615"/>
      <c r="E33" s="131">
        <f>$E$32</f>
        <v>0</v>
      </c>
      <c r="F33" s="131">
        <f>$F$32</f>
        <v>0</v>
      </c>
      <c r="G33" s="131">
        <f>$G$32</f>
        <v>0</v>
      </c>
      <c r="H33" s="131">
        <f>$H$32</f>
        <v>0</v>
      </c>
      <c r="I33" s="131">
        <f>$I$32</f>
        <v>0</v>
      </c>
      <c r="J33" s="131">
        <f>$J$32</f>
        <v>0</v>
      </c>
      <c r="K33" s="131">
        <f>$K$32</f>
        <v>0</v>
      </c>
      <c r="L33" s="131">
        <f>$L$32</f>
        <v>0</v>
      </c>
      <c r="M33" s="131">
        <f>$M$32</f>
        <v>0</v>
      </c>
      <c r="N33" s="131">
        <f>$N$32</f>
        <v>0</v>
      </c>
      <c r="O33" s="131">
        <f>$O$32</f>
        <v>0</v>
      </c>
      <c r="P33" s="131">
        <f>$P$32</f>
        <v>0</v>
      </c>
      <c r="Q33" s="131">
        <f>$Q$32</f>
        <v>0</v>
      </c>
      <c r="R33" s="131">
        <f>$R$32</f>
        <v>0</v>
      </c>
      <c r="S33" s="131">
        <f>$S$32</f>
        <v>0</v>
      </c>
      <c r="T33" s="131">
        <f>$T$32</f>
        <v>0</v>
      </c>
      <c r="U33" s="131">
        <f>$U$32</f>
        <v>0</v>
      </c>
      <c r="V33" s="131">
        <f>$V$32</f>
        <v>0</v>
      </c>
      <c r="W33" s="131">
        <f>$W$32</f>
        <v>0</v>
      </c>
      <c r="X33" s="131">
        <f>$X$32</f>
        <v>0</v>
      </c>
      <c r="Y33" s="131">
        <f>$Y$32</f>
        <v>0</v>
      </c>
      <c r="Z33" s="131">
        <f>$Z$32</f>
        <v>0</v>
      </c>
      <c r="AA33" s="131">
        <f>$AA$32</f>
        <v>0</v>
      </c>
      <c r="AB33" s="131">
        <f>$AB$32</f>
        <v>0</v>
      </c>
      <c r="AC33" s="131">
        <f>$AC$32</f>
        <v>0</v>
      </c>
      <c r="AD33" s="131">
        <f>$AD$32</f>
        <v>0</v>
      </c>
      <c r="AE33" s="131">
        <f>$AE$32</f>
        <v>0</v>
      </c>
      <c r="AF33" s="132">
        <f>$AF$32</f>
        <v>0</v>
      </c>
    </row>
    <row r="36" spans="3:173" ht="15.75" thickBot="1" x14ac:dyDescent="0.3">
      <c r="D36" s="17"/>
      <c r="E36" s="17"/>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row>
    <row r="37" spans="3:173" ht="60.75" thickBot="1" x14ac:dyDescent="0.3">
      <c r="F37" s="238" t="s">
        <v>85</v>
      </c>
      <c r="G37" s="239" t="s">
        <v>17</v>
      </c>
      <c r="H37" s="239" t="s">
        <v>232</v>
      </c>
      <c r="I37" s="240" t="s">
        <v>86</v>
      </c>
      <c r="J37" s="240"/>
      <c r="K37" s="241" t="s">
        <v>90</v>
      </c>
      <c r="L37" s="238" t="s">
        <v>85</v>
      </c>
      <c r="M37" s="239" t="s">
        <v>17</v>
      </c>
      <c r="N37" s="239" t="s">
        <v>232</v>
      </c>
      <c r="O37" s="240" t="s">
        <v>86</v>
      </c>
      <c r="P37" s="240"/>
      <c r="Q37" s="241" t="s">
        <v>90</v>
      </c>
      <c r="R37" s="238" t="s">
        <v>85</v>
      </c>
      <c r="S37" s="239" t="s">
        <v>17</v>
      </c>
      <c r="T37" s="239" t="s">
        <v>232</v>
      </c>
      <c r="U37" s="240" t="s">
        <v>86</v>
      </c>
      <c r="V37" s="240"/>
      <c r="W37" s="241" t="s">
        <v>90</v>
      </c>
      <c r="X37" s="238" t="s">
        <v>85</v>
      </c>
      <c r="Y37" s="239" t="s">
        <v>17</v>
      </c>
      <c r="Z37" s="239" t="s">
        <v>232</v>
      </c>
      <c r="AA37" s="240" t="s">
        <v>86</v>
      </c>
      <c r="AB37" s="240"/>
      <c r="AC37" s="241" t="s">
        <v>90</v>
      </c>
      <c r="AD37" s="238" t="s">
        <v>85</v>
      </c>
      <c r="AE37" s="239" t="s">
        <v>17</v>
      </c>
      <c r="AF37" s="239" t="s">
        <v>232</v>
      </c>
      <c r="AG37" s="240" t="s">
        <v>86</v>
      </c>
      <c r="AH37" s="240"/>
      <c r="AI37" s="241" t="s">
        <v>90</v>
      </c>
      <c r="AJ37" s="238" t="s">
        <v>85</v>
      </c>
      <c r="AK37" s="239" t="s">
        <v>17</v>
      </c>
      <c r="AL37" s="239" t="s">
        <v>232</v>
      </c>
      <c r="AM37" s="240" t="s">
        <v>86</v>
      </c>
      <c r="AN37" s="240"/>
      <c r="AO37" s="241" t="s">
        <v>90</v>
      </c>
      <c r="AP37" s="238" t="s">
        <v>85</v>
      </c>
      <c r="AQ37" s="239" t="s">
        <v>17</v>
      </c>
      <c r="AR37" s="239" t="s">
        <v>232</v>
      </c>
      <c r="AS37" s="240" t="s">
        <v>86</v>
      </c>
      <c r="AT37" s="240"/>
      <c r="AU37" s="241" t="s">
        <v>90</v>
      </c>
      <c r="AV37" s="238" t="s">
        <v>85</v>
      </c>
      <c r="AW37" s="239" t="s">
        <v>17</v>
      </c>
      <c r="AX37" s="239" t="s">
        <v>232</v>
      </c>
      <c r="AY37" s="240" t="s">
        <v>86</v>
      </c>
      <c r="AZ37" s="240"/>
      <c r="BA37" s="241" t="s">
        <v>90</v>
      </c>
      <c r="BB37" s="238" t="s">
        <v>85</v>
      </c>
      <c r="BC37" s="239" t="s">
        <v>17</v>
      </c>
      <c r="BD37" s="239" t="s">
        <v>232</v>
      </c>
      <c r="BE37" s="240" t="s">
        <v>86</v>
      </c>
      <c r="BF37" s="240"/>
      <c r="BG37" s="241" t="s">
        <v>90</v>
      </c>
      <c r="BH37" s="238" t="s">
        <v>85</v>
      </c>
      <c r="BI37" s="239" t="s">
        <v>17</v>
      </c>
      <c r="BJ37" s="239" t="s">
        <v>232</v>
      </c>
      <c r="BK37" s="240" t="s">
        <v>86</v>
      </c>
      <c r="BL37" s="240"/>
      <c r="BM37" s="241" t="s">
        <v>90</v>
      </c>
      <c r="BN37" s="238" t="s">
        <v>85</v>
      </c>
      <c r="BO37" s="239" t="s">
        <v>17</v>
      </c>
      <c r="BP37" s="239" t="s">
        <v>232</v>
      </c>
      <c r="BQ37" s="240" t="s">
        <v>86</v>
      </c>
      <c r="BR37" s="240"/>
      <c r="BS37" s="241" t="s">
        <v>90</v>
      </c>
      <c r="BT37" s="238" t="s">
        <v>85</v>
      </c>
      <c r="BU37" s="239" t="s">
        <v>17</v>
      </c>
      <c r="BV37" s="239" t="s">
        <v>232</v>
      </c>
      <c r="BW37" s="240" t="s">
        <v>86</v>
      </c>
      <c r="BX37" s="240"/>
      <c r="BY37" s="241" t="s">
        <v>90</v>
      </c>
      <c r="BZ37" s="238" t="s">
        <v>85</v>
      </c>
      <c r="CA37" s="239" t="s">
        <v>17</v>
      </c>
      <c r="CB37" s="239" t="s">
        <v>232</v>
      </c>
      <c r="CC37" s="240" t="s">
        <v>86</v>
      </c>
      <c r="CD37" s="240"/>
      <c r="CE37" s="241" t="s">
        <v>90</v>
      </c>
      <c r="CF37" s="238" t="s">
        <v>85</v>
      </c>
      <c r="CG37" s="239" t="s">
        <v>17</v>
      </c>
      <c r="CH37" s="239" t="s">
        <v>232</v>
      </c>
      <c r="CI37" s="240" t="s">
        <v>86</v>
      </c>
      <c r="CJ37" s="240"/>
      <c r="CK37" s="241" t="s">
        <v>90</v>
      </c>
      <c r="CL37" s="238" t="s">
        <v>85</v>
      </c>
      <c r="CM37" s="239" t="s">
        <v>17</v>
      </c>
      <c r="CN37" s="239" t="s">
        <v>232</v>
      </c>
      <c r="CO37" s="240" t="s">
        <v>86</v>
      </c>
      <c r="CP37" s="240"/>
      <c r="CQ37" s="241" t="s">
        <v>90</v>
      </c>
      <c r="CR37" s="238" t="s">
        <v>85</v>
      </c>
      <c r="CS37" s="239" t="s">
        <v>17</v>
      </c>
      <c r="CT37" s="239" t="s">
        <v>232</v>
      </c>
      <c r="CU37" s="240" t="s">
        <v>86</v>
      </c>
      <c r="CV37" s="240"/>
      <c r="CW37" s="241" t="s">
        <v>90</v>
      </c>
      <c r="CX37" s="238" t="s">
        <v>85</v>
      </c>
      <c r="CY37" s="239" t="s">
        <v>17</v>
      </c>
      <c r="CZ37" s="239" t="s">
        <v>232</v>
      </c>
      <c r="DA37" s="240" t="s">
        <v>86</v>
      </c>
      <c r="DB37" s="240"/>
      <c r="DC37" s="241" t="s">
        <v>90</v>
      </c>
      <c r="DD37" s="238" t="s">
        <v>85</v>
      </c>
      <c r="DE37" s="239" t="s">
        <v>17</v>
      </c>
      <c r="DF37" s="239" t="s">
        <v>232</v>
      </c>
      <c r="DG37" s="240" t="s">
        <v>86</v>
      </c>
      <c r="DH37" s="240"/>
      <c r="DI37" s="241" t="s">
        <v>90</v>
      </c>
      <c r="DJ37" s="238" t="s">
        <v>85</v>
      </c>
      <c r="DK37" s="239" t="s">
        <v>17</v>
      </c>
      <c r="DL37" s="239" t="s">
        <v>232</v>
      </c>
      <c r="DM37" s="240" t="s">
        <v>86</v>
      </c>
      <c r="DN37" s="240"/>
      <c r="DO37" s="241" t="s">
        <v>90</v>
      </c>
      <c r="DP37" s="238" t="s">
        <v>85</v>
      </c>
      <c r="DQ37" s="239" t="s">
        <v>17</v>
      </c>
      <c r="DR37" s="239" t="s">
        <v>232</v>
      </c>
      <c r="DS37" s="240" t="s">
        <v>86</v>
      </c>
      <c r="DT37" s="240"/>
      <c r="DU37" s="241" t="s">
        <v>90</v>
      </c>
      <c r="DV37" s="238" t="s">
        <v>85</v>
      </c>
      <c r="DW37" s="239" t="s">
        <v>17</v>
      </c>
      <c r="DX37" s="239" t="s">
        <v>232</v>
      </c>
      <c r="DY37" s="240" t="s">
        <v>86</v>
      </c>
      <c r="DZ37" s="240"/>
      <c r="EA37" s="241" t="s">
        <v>90</v>
      </c>
      <c r="EB37" s="238" t="s">
        <v>85</v>
      </c>
      <c r="EC37" s="239" t="s">
        <v>17</v>
      </c>
      <c r="ED37" s="239" t="s">
        <v>232</v>
      </c>
      <c r="EE37" s="240" t="s">
        <v>86</v>
      </c>
      <c r="EF37" s="240"/>
      <c r="EG37" s="241" t="s">
        <v>90</v>
      </c>
      <c r="EH37" s="238" t="s">
        <v>85</v>
      </c>
      <c r="EI37" s="239" t="s">
        <v>17</v>
      </c>
      <c r="EJ37" s="239" t="s">
        <v>232</v>
      </c>
      <c r="EK37" s="240" t="s">
        <v>86</v>
      </c>
      <c r="EL37" s="240"/>
      <c r="EM37" s="241" t="s">
        <v>90</v>
      </c>
      <c r="EN37" s="238" t="s">
        <v>85</v>
      </c>
      <c r="EO37" s="239" t="s">
        <v>17</v>
      </c>
      <c r="EP37" s="239" t="s">
        <v>232</v>
      </c>
      <c r="EQ37" s="240" t="s">
        <v>86</v>
      </c>
      <c r="ER37" s="240"/>
      <c r="ES37" s="241" t="s">
        <v>90</v>
      </c>
      <c r="ET37" s="238" t="s">
        <v>85</v>
      </c>
      <c r="EU37" s="239" t="s">
        <v>17</v>
      </c>
      <c r="EV37" s="239" t="s">
        <v>232</v>
      </c>
      <c r="EW37" s="240" t="s">
        <v>86</v>
      </c>
      <c r="EX37" s="240"/>
      <c r="EY37" s="241" t="s">
        <v>90</v>
      </c>
      <c r="EZ37" s="238" t="s">
        <v>85</v>
      </c>
      <c r="FA37" s="239" t="s">
        <v>17</v>
      </c>
      <c r="FB37" s="239" t="s">
        <v>232</v>
      </c>
      <c r="FC37" s="240" t="s">
        <v>86</v>
      </c>
      <c r="FD37" s="240"/>
      <c r="FE37" s="241" t="s">
        <v>90</v>
      </c>
      <c r="FF37" s="238" t="s">
        <v>85</v>
      </c>
      <c r="FG37" s="239" t="s">
        <v>17</v>
      </c>
      <c r="FH37" s="239" t="s">
        <v>232</v>
      </c>
      <c r="FI37" s="240" t="s">
        <v>86</v>
      </c>
      <c r="FJ37" s="240"/>
      <c r="FK37" s="241" t="s">
        <v>90</v>
      </c>
      <c r="FL37" s="238" t="s">
        <v>85</v>
      </c>
      <c r="FM37" s="239" t="s">
        <v>17</v>
      </c>
      <c r="FN37" s="239" t="s">
        <v>232</v>
      </c>
      <c r="FO37" s="240" t="s">
        <v>86</v>
      </c>
      <c r="FP37" s="240"/>
      <c r="FQ37" s="241" t="s">
        <v>90</v>
      </c>
    </row>
    <row r="38" spans="3:173" x14ac:dyDescent="0.25">
      <c r="F38" s="178">
        <f t="shared" ref="F38:F47" si="31">IF(ISNUMBER(G38), RANK(G38,G$38:G$47),"")</f>
        <v>1</v>
      </c>
      <c r="G38" s="179">
        <f>E2</f>
        <v>0</v>
      </c>
      <c r="H38" s="179" t="str">
        <f>$E$1</f>
        <v/>
      </c>
      <c r="I38" s="179" t="str">
        <f>IF(AND(ISNUMBER(G38), COUNTIF(G$38:G$47,G38)&gt;1), RANK(H38,H$38:H$47,1)/100,"")</f>
        <v/>
      </c>
      <c r="J38" s="179">
        <f>IF(ISNUMBER(I38),G38+I38,IF(I38="",G38,""))</f>
        <v>0</v>
      </c>
      <c r="K38" s="133">
        <f>RANK(J38,J$38:J$47)</f>
        <v>1</v>
      </c>
      <c r="L38" s="179">
        <f t="shared" ref="L38:L47" si="32">IF(ISNUMBER(M38), RANK(M38,M$38:M$47),"")</f>
        <v>1</v>
      </c>
      <c r="M38" s="179">
        <f>F2</f>
        <v>0</v>
      </c>
      <c r="N38" s="179" t="e">
        <f>$F$1</f>
        <v>#VALUE!</v>
      </c>
      <c r="O38" s="179" t="e">
        <f>IF(AND(ISNUMBER(M38), COUNTIF(M$38:M$47,M38)&gt;1), RANK(N38,N$38:N$47,1)/100,"")</f>
        <v>#VALUE!</v>
      </c>
      <c r="P38" s="179" t="e">
        <f>IF(ISNUMBER(O38),M38+O38,IF(O38="",M38,""))</f>
        <v>#VALUE!</v>
      </c>
      <c r="Q38" s="133" t="e">
        <f>RANK(P38,P$38:P$47)</f>
        <v>#VALUE!</v>
      </c>
      <c r="R38" s="179">
        <f>IF(ISNUMBER(S38), RANK(S38,S$38:S$47),"")</f>
        <v>1</v>
      </c>
      <c r="S38" s="179">
        <f>G2</f>
        <v>0</v>
      </c>
      <c r="T38" s="179" t="e">
        <f>$G$1</f>
        <v>#VALUE!</v>
      </c>
      <c r="U38" s="179" t="e">
        <f>IF(AND(ISNUMBER(S38), COUNTIF(S$38:S$47,S38)&gt;1), RANK(T38,T$38:T$47,1)/100,"")</f>
        <v>#VALUE!</v>
      </c>
      <c r="V38" s="179" t="e">
        <f>IF(ISNUMBER(U38),S38+U38,IF(U38="",S38,""))</f>
        <v>#VALUE!</v>
      </c>
      <c r="W38" s="179" t="e">
        <f>RANK(V38,V$38:V$47)</f>
        <v>#VALUE!</v>
      </c>
      <c r="X38" s="178">
        <f>IF(ISNUMBER(Y38), RANK(Y38,Y$38:Y$47),"")</f>
        <v>1</v>
      </c>
      <c r="Y38" s="179">
        <f>H2</f>
        <v>0</v>
      </c>
      <c r="Z38" s="179" t="e">
        <f>$H$1</f>
        <v>#VALUE!</v>
      </c>
      <c r="AA38" s="179" t="e">
        <f>IF(AND(ISNUMBER(Y38), COUNTIF(Y$38:Y$47,Y38)&gt;1), RANK(Z38,Z$38:Z$47,1)/100,"")</f>
        <v>#VALUE!</v>
      </c>
      <c r="AB38" s="179" t="e">
        <f>IF(ISNUMBER(AA38),Y38+AA38,IF(AA38="",Y38,""))</f>
        <v>#VALUE!</v>
      </c>
      <c r="AC38" s="133" t="e">
        <f>RANK(AB38,AB$38:AB$47)</f>
        <v>#VALUE!</v>
      </c>
      <c r="AD38" s="179">
        <f>IF(ISNUMBER(AE38), RANK(AE38,AE$38:AE$47),"")</f>
        <v>1</v>
      </c>
      <c r="AE38" s="179">
        <f>I2</f>
        <v>0</v>
      </c>
      <c r="AF38" s="179" t="e">
        <f>$I$1</f>
        <v>#VALUE!</v>
      </c>
      <c r="AG38" s="179" t="e">
        <f>IF(AND(ISNUMBER(AE38), COUNTIF(AE$38:AE$47,AE38)&gt;1), RANK(AF38,AF$38:AF$47,1)/100,"")</f>
        <v>#VALUE!</v>
      </c>
      <c r="AH38" s="179" t="e">
        <f>IF(ISNUMBER(AG38),AE38+AG38,IF(AG38="",AE38,""))</f>
        <v>#VALUE!</v>
      </c>
      <c r="AI38" s="133" t="e">
        <f>RANK(AH38,AH$38:AH$47)</f>
        <v>#VALUE!</v>
      </c>
      <c r="AJ38" s="179">
        <f t="shared" ref="AJ38:AJ43" si="33">IF(ISNUMBER(AK38), RANK(AK38,AK$38:AK$47),"")</f>
        <v>1</v>
      </c>
      <c r="AK38" s="179">
        <f>J2</f>
        <v>0</v>
      </c>
      <c r="AL38" s="179" t="e">
        <f>$J$1</f>
        <v>#VALUE!</v>
      </c>
      <c r="AM38" s="179" t="e">
        <f t="shared" ref="AM38:AM43" si="34">IF(AND(ISNUMBER(AK38), COUNTIF(AK$38:AK$47,AK38)&gt;1), RANK(AL38,AL$38:AL$47,1)/100,"")</f>
        <v>#VALUE!</v>
      </c>
      <c r="AN38" s="179" t="e">
        <f t="shared" ref="AN38:AN43" si="35">IF(ISNUMBER(AM38),AK38+AM38,IF(AM38="",AK38,""))</f>
        <v>#VALUE!</v>
      </c>
      <c r="AO38" s="133" t="e">
        <f t="shared" ref="AO38:AO43" si="36">RANK(AN38,AN$38:AN$47)</f>
        <v>#VALUE!</v>
      </c>
      <c r="AP38" s="179">
        <f t="shared" ref="AP38:AP47" si="37">IF(ISNUMBER(AQ38), RANK(AQ38,AQ$38:AQ$47),"")</f>
        <v>1</v>
      </c>
      <c r="AQ38" s="179">
        <f>K2</f>
        <v>0</v>
      </c>
      <c r="AR38" s="179" t="e">
        <f>$K$1</f>
        <v>#VALUE!</v>
      </c>
      <c r="AS38" s="179" t="e">
        <f t="shared" ref="AS38:AS44" si="38">IF(AND(ISNUMBER(AQ38), COUNTIF(AQ$38:AQ$47,AQ38)&gt;1), RANK(AR38,AR$38:AR$47,1)/100,"")</f>
        <v>#VALUE!</v>
      </c>
      <c r="AT38" s="179" t="e">
        <f>IF(ISNUMBER(AS38),AQ38+AS38,IF(AS38="",AQ38,""))</f>
        <v>#VALUE!</v>
      </c>
      <c r="AU38" s="179" t="e">
        <f t="shared" ref="AU38:AU44" si="39">RANK(AT38,AT$38:AT$47)</f>
        <v>#VALUE!</v>
      </c>
      <c r="AV38" s="178">
        <f t="shared" ref="AV38:AV45" si="40">IF(ISNUMBER(AW38), RANK(AW38,AW$38:AW$47),"")</f>
        <v>1</v>
      </c>
      <c r="AW38" s="179">
        <f>L2</f>
        <v>0</v>
      </c>
      <c r="AX38" s="179" t="e">
        <f>$L$1</f>
        <v>#VALUE!</v>
      </c>
      <c r="AY38" s="179" t="e">
        <f>IF(AND(ISNUMBER(AW38), COUNTIF(AW$38:AW$47,AW38)&gt;1), RANK(AX38,AX$38:AX$47,1)/100,"")</f>
        <v>#VALUE!</v>
      </c>
      <c r="AZ38" s="179" t="e">
        <f>IF(ISNUMBER(AY38),AW38+AY38,IF(AY38="",AW38,""))</f>
        <v>#VALUE!</v>
      </c>
      <c r="BA38" s="133" t="e">
        <f t="shared" ref="BA38:BA44" si="41">RANK(AZ38,AZ$38:AZ$47)</f>
        <v>#VALUE!</v>
      </c>
      <c r="BB38" s="179">
        <f t="shared" ref="BB38:BB46" si="42">IF(ISNUMBER(BC38), RANK(BC38,BC$38:BC$47),"")</f>
        <v>1</v>
      </c>
      <c r="BC38" s="179">
        <f>M2</f>
        <v>0</v>
      </c>
      <c r="BD38" s="179" t="e">
        <f>$M$1</f>
        <v>#VALUE!</v>
      </c>
      <c r="BE38" s="179" t="e">
        <f t="shared" ref="BE38:BE46" si="43">IF(AND(ISNUMBER(BC38), COUNTIF(BC$38:BC$47,BC38)&gt;1), RANK(BD38,BD$38:BD$47,1)/100,"")</f>
        <v>#VALUE!</v>
      </c>
      <c r="BF38" s="179" t="e">
        <f>IF(ISNUMBER(BE38),BC38+BE38,IF(BE38="",BC38,""))</f>
        <v>#VALUE!</v>
      </c>
      <c r="BG38" s="179" t="e">
        <f t="shared" ref="BG38:BG44" si="44">RANK(BF38,BF$38:BF$47)</f>
        <v>#VALUE!</v>
      </c>
      <c r="BH38" s="178">
        <f t="shared" ref="BH38:BH47" si="45">IF(ISNUMBER(BI38), RANK(BI38,BI$38:BI$47),"")</f>
        <v>1</v>
      </c>
      <c r="BI38" s="179">
        <f>N2</f>
        <v>0</v>
      </c>
      <c r="BJ38" s="179" t="e">
        <f>$N$1</f>
        <v>#VALUE!</v>
      </c>
      <c r="BK38" s="179" t="e">
        <f>IF(AND(ISNUMBER(BI38), COUNTIF(BI$38:BI$47,BI38)&gt;1), RANK(BJ38,BJ$38:BJ$47,1)/100,"")</f>
        <v>#VALUE!</v>
      </c>
      <c r="BL38" s="179" t="e">
        <f>IF(ISNUMBER(BK38),BI38+BK38,IF(BK38="",BI38,""))</f>
        <v>#VALUE!</v>
      </c>
      <c r="BM38" s="179" t="e">
        <f t="shared" ref="BM38:BM44" si="46">RANK(BL38,BL$38:BL$47)</f>
        <v>#VALUE!</v>
      </c>
      <c r="BN38" s="178">
        <f t="shared" ref="BN38:BN47" si="47">IF(ISNUMBER(BO38), RANK(BO38,BO$38:BO$47),"")</f>
        <v>1</v>
      </c>
      <c r="BO38" s="179">
        <f>O2</f>
        <v>0</v>
      </c>
      <c r="BP38" s="179" t="e">
        <f>$O$1</f>
        <v>#VALUE!</v>
      </c>
      <c r="BQ38" s="179" t="e">
        <f>IF(AND(ISNUMBER(BO38), COUNTIF(BO$38:BO$47,BO38)&gt;1), RANK(BP38,BP$38:BP$47,1)/100,"")</f>
        <v>#VALUE!</v>
      </c>
      <c r="BR38" s="179" t="e">
        <f>IF(ISNUMBER(BQ38),BO38+BQ38,IF(BQ38="",BO38,""))</f>
        <v>#VALUE!</v>
      </c>
      <c r="BS38" s="133" t="e">
        <f t="shared" ref="BS38:BS44" si="48">RANK(BR38,BR$38:BR$47)</f>
        <v>#VALUE!</v>
      </c>
      <c r="BT38" s="178">
        <f t="shared" ref="BT38:BT47" si="49">IF(ISNUMBER(BU38), RANK(BU38,BU$38:BU$47),"")</f>
        <v>1</v>
      </c>
      <c r="BU38" s="179">
        <f>P2</f>
        <v>0</v>
      </c>
      <c r="BV38" s="179" t="e">
        <f>$P$1</f>
        <v>#VALUE!</v>
      </c>
      <c r="BW38" s="179" t="e">
        <f>IF(AND(ISNUMBER(BU38), COUNTIF(BU$38:BU$47,BU38)&gt;1), RANK(BV38,BV$38:BV$47,1)/100,"")</f>
        <v>#VALUE!</v>
      </c>
      <c r="BX38" s="179" t="e">
        <f>IF(ISNUMBER(BW38),BU38+BW38,IF(BW38="",BU38,""))</f>
        <v>#VALUE!</v>
      </c>
      <c r="BY38" s="179" t="e">
        <f t="shared" ref="BY38:BY44" si="50">RANK(BX38,BX$38:BX$47)</f>
        <v>#VALUE!</v>
      </c>
      <c r="BZ38" s="178">
        <f t="shared" ref="BZ38:BZ47" si="51">IF(ISNUMBER(CA38), RANK(CA38,CA$38:CA$47),"")</f>
        <v>1</v>
      </c>
      <c r="CA38" s="179">
        <f>Q2</f>
        <v>0</v>
      </c>
      <c r="CB38" s="179" t="e">
        <f>$Q$1</f>
        <v>#VALUE!</v>
      </c>
      <c r="CC38" s="179" t="e">
        <f>IF(AND(ISNUMBER(CA38), COUNTIF(CA$38:CA$47,CA38)&gt;1), RANK(CB38,CB$38:CB$47,1)/100,"")</f>
        <v>#VALUE!</v>
      </c>
      <c r="CD38" s="179" t="e">
        <f>IF(ISNUMBER(CC38),CA38+CC38,IF(CC38="",CA38,""))</f>
        <v>#VALUE!</v>
      </c>
      <c r="CE38" s="179" t="e">
        <f t="shared" ref="CE38:CE44" si="52">RANK(CD38,CD$38:CD$47)</f>
        <v>#VALUE!</v>
      </c>
      <c r="CF38" s="178">
        <f t="shared" ref="CF38:CF47" si="53">IF(ISNUMBER(CG38), RANK(CG38,CG$38:CG$47),"")</f>
        <v>1</v>
      </c>
      <c r="CG38" s="179">
        <f>R2</f>
        <v>0</v>
      </c>
      <c r="CH38" s="179" t="e">
        <f>$R$1</f>
        <v>#VALUE!</v>
      </c>
      <c r="CI38" s="179" t="e">
        <f>IF(AND(ISNUMBER(CG38), COUNTIF(CG$38:CG$47,CG38)&gt;1), RANK(CH38,CH$38:CH$47,1)/100,"")</f>
        <v>#VALUE!</v>
      </c>
      <c r="CJ38" s="179" t="e">
        <f>IF(ISNUMBER(CI38),CG38+CI38,IF(CI38="",CG38,""))</f>
        <v>#VALUE!</v>
      </c>
      <c r="CK38" s="179" t="e">
        <f t="shared" ref="CK38:CK44" si="54">RANK(CJ38,CJ$38:CJ$47)</f>
        <v>#VALUE!</v>
      </c>
      <c r="CL38" s="178">
        <f t="shared" ref="CL38:CL47" si="55">IF(ISNUMBER(CM38), RANK(CM38,CM$38:CM$47),"")</f>
        <v>1</v>
      </c>
      <c r="CM38" s="179">
        <f>S2</f>
        <v>0</v>
      </c>
      <c r="CN38" s="179" t="e">
        <f>$S$1</f>
        <v>#VALUE!</v>
      </c>
      <c r="CO38" s="179" t="e">
        <f>IF(AND(ISNUMBER(CM38), COUNTIF(CM$38:CM$47,CM38)&gt;1), RANK(CN38,CN$38:CN$47,1)/100,"")</f>
        <v>#VALUE!</v>
      </c>
      <c r="CP38" s="179" t="e">
        <f>IF(ISNUMBER(CO38),CM38+CO38,IF(CO38="",CM38,""))</f>
        <v>#VALUE!</v>
      </c>
      <c r="CQ38" s="179" t="e">
        <f t="shared" ref="CQ38:CQ44" si="56">RANK(CP38,CP$38:CP$47)</f>
        <v>#VALUE!</v>
      </c>
      <c r="CR38" s="178">
        <f t="shared" ref="CR38:CR47" si="57">IF(ISNUMBER(CS38), RANK(CS38,CS$38:CS$47),"")</f>
        <v>1</v>
      </c>
      <c r="CS38" s="179">
        <f>T2</f>
        <v>0</v>
      </c>
      <c r="CT38" s="179" t="e">
        <f>$T$1</f>
        <v>#VALUE!</v>
      </c>
      <c r="CU38" s="179" t="e">
        <f>IF(AND(ISNUMBER(CS38), COUNTIF(CS$38:CS$47,CS38)&gt;1), RANK(CT38,CT$38:CT$47,1)/100,"")</f>
        <v>#VALUE!</v>
      </c>
      <c r="CV38" s="179" t="e">
        <f>IF(ISNUMBER(CU38),CS38+CU38,IF(CU38="",CS38,""))</f>
        <v>#VALUE!</v>
      </c>
      <c r="CW38" s="179" t="e">
        <f t="shared" ref="CW38:CW44" si="58">RANK(CV38,CV$38:CV$47)</f>
        <v>#VALUE!</v>
      </c>
      <c r="CX38" s="178">
        <f t="shared" ref="CX38:CX47" si="59">IF(ISNUMBER(CY38), RANK(CY38,CY$38:CY$47),"")</f>
        <v>1</v>
      </c>
      <c r="CY38" s="179">
        <f>U2</f>
        <v>0</v>
      </c>
      <c r="CZ38" s="179" t="e">
        <f>$U$1</f>
        <v>#VALUE!</v>
      </c>
      <c r="DA38" s="179" t="e">
        <f>IF(AND(ISNUMBER(CY38), COUNTIF(CY$38:CY$47,CY38)&gt;1), RANK(CZ38,CZ$38:CZ$47,1)/100,"")</f>
        <v>#VALUE!</v>
      </c>
      <c r="DB38" s="179" t="e">
        <f>IF(ISNUMBER(DA38),CY38+DA38,IF(DA38="",CY38,""))</f>
        <v>#VALUE!</v>
      </c>
      <c r="DC38" s="179" t="e">
        <f t="shared" ref="DC38:DC44" si="60">RANK(DB38,DB$38:DB$47)</f>
        <v>#VALUE!</v>
      </c>
      <c r="DD38" s="178">
        <f t="shared" ref="DD38:DD47" si="61">IF(ISNUMBER(DE38), RANK(DE38,DE$38:DE$47),"")</f>
        <v>1</v>
      </c>
      <c r="DE38" s="179">
        <f>V2</f>
        <v>0</v>
      </c>
      <c r="DF38" s="179" t="e">
        <f>$V$1</f>
        <v>#VALUE!</v>
      </c>
      <c r="DG38" s="179" t="e">
        <f>IF(AND(ISNUMBER(DE38), COUNTIF(DE$38:DE$47,DE38)&gt;1), RANK(DF38,DF$38:DF$47,1)/100,"")</f>
        <v>#VALUE!</v>
      </c>
      <c r="DH38" s="179" t="e">
        <f>IF(ISNUMBER(DG38),DE38+DG38,IF(DG38="",DE38,""))</f>
        <v>#VALUE!</v>
      </c>
      <c r="DI38" s="179" t="e">
        <f t="shared" ref="DI38:DI44" si="62">RANK(DH38,DH$38:DH$47)</f>
        <v>#VALUE!</v>
      </c>
      <c r="DJ38" s="178">
        <f t="shared" ref="DJ38:DJ47" si="63">IF(ISNUMBER(DK38), RANK(DK38,DK$38:DK$47),"")</f>
        <v>1</v>
      </c>
      <c r="DK38" s="179">
        <f>W2</f>
        <v>0</v>
      </c>
      <c r="DL38" s="179" t="e">
        <f>$W$1</f>
        <v>#VALUE!</v>
      </c>
      <c r="DM38" s="179" t="e">
        <f>IF(AND(ISNUMBER(DK38), COUNTIF(DK$38:DK$47,DK38)&gt;1), RANK(DL38,DL$38:DL$47,1)/100,"")</f>
        <v>#VALUE!</v>
      </c>
      <c r="DN38" s="179" t="e">
        <f>IF(ISNUMBER(DM38),DK38+DM38,IF(DM38="",DK38,""))</f>
        <v>#VALUE!</v>
      </c>
      <c r="DO38" s="179" t="e">
        <f t="shared" ref="DO38:DO44" si="64">RANK(DN38,DN$38:DN$47)</f>
        <v>#VALUE!</v>
      </c>
      <c r="DP38" s="141"/>
      <c r="DQ38" s="142"/>
      <c r="DR38" s="142"/>
      <c r="DS38" s="142"/>
      <c r="DT38" s="142"/>
      <c r="DU38" s="142"/>
      <c r="DV38" s="141" t="str">
        <f t="shared" ref="DV38:DV47" si="65">IF(ISNUMBER(DW38), RANK(DW38,DW$38:DW$47),"")</f>
        <v/>
      </c>
      <c r="DW38" s="142"/>
      <c r="DX38" s="142"/>
      <c r="DY38" s="142"/>
      <c r="DZ38" s="142"/>
      <c r="EA38" s="142"/>
      <c r="EB38" s="141" t="str">
        <f t="shared" ref="EB38:EB47" si="66">IF(ISNUMBER(EC38), RANK(EC38,EC$38:EC$47),"")</f>
        <v/>
      </c>
      <c r="EC38" s="142"/>
      <c r="ED38" s="142"/>
      <c r="EE38" s="142"/>
      <c r="EF38" s="142"/>
      <c r="EG38" s="142"/>
      <c r="EH38" s="141" t="str">
        <f t="shared" ref="EH38:EH47" si="67">IF(ISNUMBER(EI38), RANK(EI38,EI$38:EI$47),"")</f>
        <v/>
      </c>
      <c r="EI38" s="142"/>
      <c r="EJ38" s="142"/>
      <c r="EK38" s="142"/>
      <c r="EL38" s="142"/>
      <c r="EM38" s="142"/>
      <c r="EN38" s="141" t="str">
        <f t="shared" ref="EN38:EN47" si="68">IF(ISNUMBER(EO38), RANK(EO38,EO$38:EO$47),"")</f>
        <v/>
      </c>
      <c r="EO38" s="142"/>
      <c r="EP38" s="142"/>
      <c r="EQ38" s="142"/>
      <c r="ER38" s="142"/>
      <c r="ES38" s="142"/>
      <c r="ET38" s="141" t="str">
        <f t="shared" ref="ET38:ET47" si="69">IF(ISNUMBER(EU38), RANK(EU38,EU$38:EU$47),"")</f>
        <v/>
      </c>
      <c r="EU38" s="142"/>
      <c r="EV38" s="142"/>
      <c r="EW38" s="142"/>
      <c r="EX38" s="142"/>
      <c r="EY38" s="142"/>
      <c r="EZ38" s="141" t="str">
        <f t="shared" ref="EZ38:EZ47" si="70">IF(ISNUMBER(FA38), RANK(FA38,FA$38:FA$47),"")</f>
        <v/>
      </c>
      <c r="FA38" s="142"/>
      <c r="FB38" s="142"/>
      <c r="FC38" s="142"/>
      <c r="FD38" s="142"/>
      <c r="FE38" s="142"/>
      <c r="FF38" s="141" t="str">
        <f t="shared" ref="FF38:FF47" si="71">IF(ISNUMBER(FG38), RANK(FG38,FG$38:FG$47),"")</f>
        <v/>
      </c>
      <c r="FG38" s="142"/>
      <c r="FH38" s="142"/>
      <c r="FI38" s="142"/>
      <c r="FJ38" s="142"/>
      <c r="FK38" s="142"/>
      <c r="FL38" s="141" t="str">
        <f t="shared" ref="FL38:FL47" si="72">IF(ISNUMBER(FM38), RANK(FM38,FM$38:FM$47),"")</f>
        <v/>
      </c>
      <c r="FM38" s="142"/>
      <c r="FN38" s="142"/>
      <c r="FO38" s="142"/>
      <c r="FP38" s="142"/>
      <c r="FQ38" s="6"/>
    </row>
    <row r="39" spans="3:173" x14ac:dyDescent="0.25">
      <c r="F39" s="107" t="str">
        <f t="shared" si="31"/>
        <v/>
      </c>
      <c r="G39" s="93"/>
      <c r="H39" s="93"/>
      <c r="I39" s="93" t="str">
        <f>IF(AND(ISNUMBER(G39), COUNTIF(G$38:G$47,G39)&gt;1), RANK(H39,H$38:H$47,1)/100,"")</f>
        <v/>
      </c>
      <c r="J39" s="93"/>
      <c r="K39" s="109"/>
      <c r="L39" s="93">
        <f t="shared" si="32"/>
        <v>1</v>
      </c>
      <c r="M39" s="93">
        <f>F5</f>
        <v>0</v>
      </c>
      <c r="N39" s="93" t="str">
        <f>$E$1</f>
        <v/>
      </c>
      <c r="O39" s="93" t="e">
        <f>IF(AND(ISNUMBER(M39), COUNTIF(M$38:M$47,M39)&gt;1), RANK(N39,N$38:N$47,1)/100,"")</f>
        <v>#VALUE!</v>
      </c>
      <c r="P39" s="93" t="e">
        <f>IF(ISNUMBER(O39),M39+O39,IF(O39="",M39,""))</f>
        <v>#VALUE!</v>
      </c>
      <c r="Q39" s="109" t="e">
        <f>RANK(P39,P$38:P$47)</f>
        <v>#VALUE!</v>
      </c>
      <c r="R39" s="93">
        <f>IF(ISNUMBER(S39), RANK(S39,S$38:S$47),"")</f>
        <v>1</v>
      </c>
      <c r="S39" s="93">
        <f>G5</f>
        <v>0</v>
      </c>
      <c r="T39" s="93" t="e">
        <f>$F$1</f>
        <v>#VALUE!</v>
      </c>
      <c r="U39" s="93" t="e">
        <f>IF(AND(ISNUMBER(S39), COUNTIF(S$38:S$47,S39)&gt;1), RANK(T39,T$38:T$47,1)/100,"")</f>
        <v>#VALUE!</v>
      </c>
      <c r="V39" s="93" t="e">
        <f>IF(ISNUMBER(U39),S39+U39,IF(U39="",S39,""))</f>
        <v>#VALUE!</v>
      </c>
      <c r="W39" s="93" t="e">
        <f>RANK(V39,V$38:V$47)</f>
        <v>#VALUE!</v>
      </c>
      <c r="X39" s="107">
        <f>IF(ISNUMBER(Y39), RANK(Y39,Y$38:Y$47),"")</f>
        <v>1</v>
      </c>
      <c r="Y39" s="93">
        <f>H5</f>
        <v>0</v>
      </c>
      <c r="Z39" s="93" t="e">
        <f>$G$1</f>
        <v>#VALUE!</v>
      </c>
      <c r="AA39" s="93" t="e">
        <f>IF(AND(ISNUMBER(Y39), COUNTIF(Y$38:Y$47,Y39)&gt;1), RANK(Z39,Z$38:Z$47,1)/100,"")</f>
        <v>#VALUE!</v>
      </c>
      <c r="AB39" s="93" t="e">
        <f>IF(ISNUMBER(AA39),Y39+AA39,IF(AA39="",Y39,""))</f>
        <v>#VALUE!</v>
      </c>
      <c r="AC39" s="109" t="e">
        <f>RANK(AB39,AB$38:AB$47)</f>
        <v>#VALUE!</v>
      </c>
      <c r="AD39" s="93">
        <f>IF(ISNUMBER(AE39), RANK(AE39,AE$38:AE$47),"")</f>
        <v>1</v>
      </c>
      <c r="AE39" s="93">
        <f>I5</f>
        <v>0</v>
      </c>
      <c r="AF39" s="93" t="e">
        <f>$H$1</f>
        <v>#VALUE!</v>
      </c>
      <c r="AG39" s="93" t="e">
        <f>IF(AND(ISNUMBER(AE39), COUNTIF(AE$38:AE$47,AE39)&gt;1), RANK(AF39,AF$38:AF$47,1)/100,"")</f>
        <v>#VALUE!</v>
      </c>
      <c r="AH39" s="93" t="e">
        <f>IF(ISNUMBER(AG39),AE39+AG39,IF(AG39="",AE39,""))</f>
        <v>#VALUE!</v>
      </c>
      <c r="AI39" s="109" t="e">
        <f>RANK(AH39,AH$38:AH$47)</f>
        <v>#VALUE!</v>
      </c>
      <c r="AJ39" s="93">
        <f t="shared" si="33"/>
        <v>1</v>
      </c>
      <c r="AK39" s="93">
        <f>J5</f>
        <v>0</v>
      </c>
      <c r="AL39" s="93" t="e">
        <f>$I$1</f>
        <v>#VALUE!</v>
      </c>
      <c r="AM39" s="93" t="e">
        <f t="shared" si="34"/>
        <v>#VALUE!</v>
      </c>
      <c r="AN39" s="93" t="e">
        <f t="shared" si="35"/>
        <v>#VALUE!</v>
      </c>
      <c r="AO39" s="109" t="e">
        <f t="shared" si="36"/>
        <v>#VALUE!</v>
      </c>
      <c r="AP39" s="93">
        <f t="shared" si="37"/>
        <v>1</v>
      </c>
      <c r="AQ39" s="93">
        <f>K5</f>
        <v>0</v>
      </c>
      <c r="AR39" s="93" t="e">
        <f>$J$1</f>
        <v>#VALUE!</v>
      </c>
      <c r="AS39" s="93" t="e">
        <f t="shared" si="38"/>
        <v>#VALUE!</v>
      </c>
      <c r="AT39" s="93" t="e">
        <f t="shared" ref="AT39:AT44" si="73">IF(ISNUMBER(AS39),AQ39+AS39,IF(AS39="",AQ39,""))</f>
        <v>#VALUE!</v>
      </c>
      <c r="AU39" s="93" t="e">
        <f t="shared" si="39"/>
        <v>#VALUE!</v>
      </c>
      <c r="AV39" s="107">
        <f t="shared" si="40"/>
        <v>1</v>
      </c>
      <c r="AW39" s="93">
        <f>L5</f>
        <v>0</v>
      </c>
      <c r="AX39" s="93" t="e">
        <f>$K$1</f>
        <v>#VALUE!</v>
      </c>
      <c r="AY39" s="93" t="e">
        <f t="shared" ref="AY39:AY45" si="74">IF(AND(ISNUMBER(AW39), COUNTIF(AW$38:AW$47,AW39)&gt;1), RANK(AX39,AX$38:AX$47,1)/100,"")</f>
        <v>#VALUE!</v>
      </c>
      <c r="AZ39" s="93" t="e">
        <f t="shared" ref="AZ39:AZ45" si="75">IF(ISNUMBER(AY39),AW39+AY39,IF(AY39="",AW39,""))</f>
        <v>#VALUE!</v>
      </c>
      <c r="BA39" s="109" t="e">
        <f t="shared" si="41"/>
        <v>#VALUE!</v>
      </c>
      <c r="BB39" s="93">
        <f t="shared" si="42"/>
        <v>1</v>
      </c>
      <c r="BC39" s="93">
        <f>M5</f>
        <v>0</v>
      </c>
      <c r="BD39" s="93" t="e">
        <f>$L$1</f>
        <v>#VALUE!</v>
      </c>
      <c r="BE39" s="93" t="e">
        <f t="shared" si="43"/>
        <v>#VALUE!</v>
      </c>
      <c r="BF39" s="93" t="e">
        <f t="shared" ref="BF39:BF46" si="76">IF(ISNUMBER(BE39),BC39+BE39,IF(BE39="",BC39,""))</f>
        <v>#VALUE!</v>
      </c>
      <c r="BG39" s="93" t="e">
        <f t="shared" si="44"/>
        <v>#VALUE!</v>
      </c>
      <c r="BH39" s="107">
        <f t="shared" si="45"/>
        <v>1</v>
      </c>
      <c r="BI39" s="93">
        <f>N5</f>
        <v>0</v>
      </c>
      <c r="BJ39" s="93" t="e">
        <f>$M$1</f>
        <v>#VALUE!</v>
      </c>
      <c r="BK39" s="93" t="e">
        <f t="shared" ref="BK39:BK47" si="77">IF(AND(ISNUMBER(BI39), COUNTIF(BI$38:BI$47,BI39)&gt;1), RANK(BJ39,BJ$38:BJ$47,1)/100,"")</f>
        <v>#VALUE!</v>
      </c>
      <c r="BL39" s="93" t="e">
        <f t="shared" ref="BL39:BL47" si="78">IF(ISNUMBER(BK39),BI39+BK39,IF(BK39="",BI39,""))</f>
        <v>#VALUE!</v>
      </c>
      <c r="BM39" s="93" t="e">
        <f t="shared" si="46"/>
        <v>#VALUE!</v>
      </c>
      <c r="BN39" s="107">
        <f t="shared" si="47"/>
        <v>1</v>
      </c>
      <c r="BO39" s="93">
        <f>O5</f>
        <v>0</v>
      </c>
      <c r="BP39" s="93" t="e">
        <f>$N$1</f>
        <v>#VALUE!</v>
      </c>
      <c r="BQ39" s="93" t="e">
        <f t="shared" ref="BQ39:BQ47" si="79">IF(AND(ISNUMBER(BO39), COUNTIF(BO$38:BO$47,BO39)&gt;1), RANK(BP39,BP$38:BP$47,1)/100,"")</f>
        <v>#VALUE!</v>
      </c>
      <c r="BR39" s="93" t="e">
        <f t="shared" ref="BR39:BR47" si="80">IF(ISNUMBER(BQ39),BO39+BQ39,IF(BQ39="",BO39,""))</f>
        <v>#VALUE!</v>
      </c>
      <c r="BS39" s="109" t="e">
        <f t="shared" si="48"/>
        <v>#VALUE!</v>
      </c>
      <c r="BT39" s="107">
        <f t="shared" si="49"/>
        <v>1</v>
      </c>
      <c r="BU39" s="93">
        <f>P5</f>
        <v>0</v>
      </c>
      <c r="BV39" s="93" t="e">
        <f>$O$1</f>
        <v>#VALUE!</v>
      </c>
      <c r="BW39" s="93" t="e">
        <f t="shared" ref="BW39:BW47" si="81">IF(AND(ISNUMBER(BU39), COUNTIF(BU$38:BU$47,BU39)&gt;1), RANK(BV39,BV$38:BV$47,1)/100,"")</f>
        <v>#VALUE!</v>
      </c>
      <c r="BX39" s="93" t="e">
        <f t="shared" ref="BX39:BX47" si="82">IF(ISNUMBER(BW39),BU39+BW39,IF(BW39="",BU39,""))</f>
        <v>#VALUE!</v>
      </c>
      <c r="BY39" s="93" t="e">
        <f t="shared" si="50"/>
        <v>#VALUE!</v>
      </c>
      <c r="BZ39" s="107">
        <f t="shared" si="51"/>
        <v>1</v>
      </c>
      <c r="CA39" s="93">
        <f>Q5</f>
        <v>0</v>
      </c>
      <c r="CB39" s="93" t="e">
        <f>$P$1</f>
        <v>#VALUE!</v>
      </c>
      <c r="CC39" s="93" t="e">
        <f t="shared" ref="CC39:CC47" si="83">IF(AND(ISNUMBER(CA39), COUNTIF(CA$38:CA$47,CA39)&gt;1), RANK(CB39,CB$38:CB$47,1)/100,"")</f>
        <v>#VALUE!</v>
      </c>
      <c r="CD39" s="93" t="e">
        <f t="shared" ref="CD39:CD47" si="84">IF(ISNUMBER(CC39),CA39+CC39,IF(CC39="",CA39,""))</f>
        <v>#VALUE!</v>
      </c>
      <c r="CE39" s="93" t="e">
        <f t="shared" si="52"/>
        <v>#VALUE!</v>
      </c>
      <c r="CF39" s="107">
        <f t="shared" si="53"/>
        <v>1</v>
      </c>
      <c r="CG39" s="93">
        <f>R5</f>
        <v>0</v>
      </c>
      <c r="CH39" s="93" t="e">
        <f>$Q$1</f>
        <v>#VALUE!</v>
      </c>
      <c r="CI39" s="93" t="e">
        <f t="shared" ref="CI39:CI47" si="85">IF(AND(ISNUMBER(CG39), COUNTIF(CG$38:CG$47,CG39)&gt;1), RANK(CH39,CH$38:CH$47,1)/100,"")</f>
        <v>#VALUE!</v>
      </c>
      <c r="CJ39" s="93" t="e">
        <f t="shared" ref="CJ39:CJ47" si="86">IF(ISNUMBER(CI39),CG39+CI39,IF(CI39="",CG39,""))</f>
        <v>#VALUE!</v>
      </c>
      <c r="CK39" s="93" t="e">
        <f t="shared" si="54"/>
        <v>#VALUE!</v>
      </c>
      <c r="CL39" s="107">
        <f t="shared" si="55"/>
        <v>1</v>
      </c>
      <c r="CM39" s="93">
        <f>S5</f>
        <v>0</v>
      </c>
      <c r="CN39" s="93" t="e">
        <f>$R$1</f>
        <v>#VALUE!</v>
      </c>
      <c r="CO39" s="93" t="e">
        <f t="shared" ref="CO39:CO47" si="87">IF(AND(ISNUMBER(CM39), COUNTIF(CM$38:CM$47,CM39)&gt;1), RANK(CN39,CN$38:CN$47,1)/100,"")</f>
        <v>#VALUE!</v>
      </c>
      <c r="CP39" s="93" t="e">
        <f t="shared" ref="CP39:CP47" si="88">IF(ISNUMBER(CO39),CM39+CO39,IF(CO39="",CM39,""))</f>
        <v>#VALUE!</v>
      </c>
      <c r="CQ39" s="93" t="e">
        <f t="shared" si="56"/>
        <v>#VALUE!</v>
      </c>
      <c r="CR39" s="107">
        <f t="shared" si="57"/>
        <v>1</v>
      </c>
      <c r="CS39" s="93">
        <f>T5</f>
        <v>0</v>
      </c>
      <c r="CT39" s="93" t="e">
        <f>$S$1</f>
        <v>#VALUE!</v>
      </c>
      <c r="CU39" s="93" t="e">
        <f t="shared" ref="CU39:CU47" si="89">IF(AND(ISNUMBER(CS39), COUNTIF(CS$38:CS$47,CS39)&gt;1), RANK(CT39,CT$38:CT$47,1)/100,"")</f>
        <v>#VALUE!</v>
      </c>
      <c r="CV39" s="93" t="e">
        <f t="shared" ref="CV39:CV47" si="90">IF(ISNUMBER(CU39),CS39+CU39,IF(CU39="",CS39,""))</f>
        <v>#VALUE!</v>
      </c>
      <c r="CW39" s="93" t="e">
        <f t="shared" si="58"/>
        <v>#VALUE!</v>
      </c>
      <c r="CX39" s="107">
        <f t="shared" si="59"/>
        <v>1</v>
      </c>
      <c r="CY39" s="93">
        <f>U5</f>
        <v>0</v>
      </c>
      <c r="CZ39" s="93" t="e">
        <f>$T$1</f>
        <v>#VALUE!</v>
      </c>
      <c r="DA39" s="93" t="e">
        <f t="shared" ref="DA39:DA47" si="91">IF(AND(ISNUMBER(CY39), COUNTIF(CY$38:CY$47,CY39)&gt;1), RANK(CZ39,CZ$38:CZ$47,1)/100,"")</f>
        <v>#VALUE!</v>
      </c>
      <c r="DB39" s="93" t="e">
        <f t="shared" ref="DB39:DB47" si="92">IF(ISNUMBER(DA39),CY39+DA39,IF(DA39="",CY39,""))</f>
        <v>#VALUE!</v>
      </c>
      <c r="DC39" s="93" t="e">
        <f t="shared" si="60"/>
        <v>#VALUE!</v>
      </c>
      <c r="DD39" s="107">
        <f t="shared" si="61"/>
        <v>1</v>
      </c>
      <c r="DE39" s="93">
        <f>V5</f>
        <v>0</v>
      </c>
      <c r="DF39" s="93" t="e">
        <f>$U$1</f>
        <v>#VALUE!</v>
      </c>
      <c r="DG39" s="93" t="e">
        <f t="shared" ref="DG39:DG47" si="93">IF(AND(ISNUMBER(DE39), COUNTIF(DE$38:DE$47,DE39)&gt;1), RANK(DF39,DF$38:DF$47,1)/100,"")</f>
        <v>#VALUE!</v>
      </c>
      <c r="DH39" s="93" t="e">
        <f t="shared" ref="DH39:DH47" si="94">IF(ISNUMBER(DG39),DE39+DG39,IF(DG39="",DE39,""))</f>
        <v>#VALUE!</v>
      </c>
      <c r="DI39" s="93" t="e">
        <f t="shared" si="62"/>
        <v>#VALUE!</v>
      </c>
      <c r="DJ39" s="107">
        <f t="shared" si="63"/>
        <v>1</v>
      </c>
      <c r="DK39" s="93">
        <f>W5</f>
        <v>0</v>
      </c>
      <c r="DL39" s="93" t="e">
        <f>$V$1</f>
        <v>#VALUE!</v>
      </c>
      <c r="DM39" s="93" t="e">
        <f t="shared" ref="DM39:DM47" si="95">IF(AND(ISNUMBER(DK39), COUNTIF(DK$38:DK$47,DK39)&gt;1), RANK(DL39,DL$38:DL$47,1)/100,"")</f>
        <v>#VALUE!</v>
      </c>
      <c r="DN39" s="93" t="e">
        <f t="shared" ref="DN39:DN47" si="96">IF(ISNUMBER(DM39),DK39+DM39,IF(DM39="",DK39,""))</f>
        <v>#VALUE!</v>
      </c>
      <c r="DO39" s="93" t="e">
        <f t="shared" si="64"/>
        <v>#VALUE!</v>
      </c>
      <c r="DP39" s="107">
        <f t="shared" ref="DP39:DP47" si="97">IF(ISNUMBER(DQ39), RANK(DQ39,DQ$38:DQ$47),"")</f>
        <v>1</v>
      </c>
      <c r="DQ39" s="93">
        <f>X5</f>
        <v>0</v>
      </c>
      <c r="DR39" s="93" t="e">
        <f>$W$1</f>
        <v>#VALUE!</v>
      </c>
      <c r="DS39" s="93" t="e">
        <f t="shared" ref="DS39:DS47" si="98">IF(AND(ISNUMBER(DQ39), COUNTIF(DQ$38:DQ$47,DQ39)&gt;1), RANK(DR39,DR$38:DR$47,1)/100,"")</f>
        <v>#VALUE!</v>
      </c>
      <c r="DT39" s="93" t="e">
        <f t="shared" ref="DT39:DT47" si="99">IF(ISNUMBER(DS39),DQ39+DS39,IF(DS39="",DQ39,""))</f>
        <v>#VALUE!</v>
      </c>
      <c r="DU39" s="93" t="e">
        <f t="shared" ref="DU39:DU44" si="100">RANK(DT39,DT$38:DT$47)</f>
        <v>#VALUE!</v>
      </c>
      <c r="DV39" s="242" t="str">
        <f t="shared" si="65"/>
        <v/>
      </c>
      <c r="DW39" s="243"/>
      <c r="DX39" s="243"/>
      <c r="DY39" s="243"/>
      <c r="DZ39" s="243"/>
      <c r="EA39" s="243"/>
      <c r="EB39" s="242" t="str">
        <f t="shared" si="66"/>
        <v/>
      </c>
      <c r="EC39" s="243"/>
      <c r="ED39" s="243"/>
      <c r="EE39" s="243"/>
      <c r="EF39" s="243"/>
      <c r="EG39" s="243"/>
      <c r="EH39" s="242" t="str">
        <f t="shared" si="67"/>
        <v/>
      </c>
      <c r="EI39" s="243"/>
      <c r="EJ39" s="243"/>
      <c r="EK39" s="243"/>
      <c r="EL39" s="243"/>
      <c r="EM39" s="243"/>
      <c r="EN39" s="242" t="str">
        <f t="shared" si="68"/>
        <v/>
      </c>
      <c r="EO39" s="243"/>
      <c r="EP39" s="243"/>
      <c r="EQ39" s="243"/>
      <c r="ER39" s="243"/>
      <c r="ES39" s="243"/>
      <c r="ET39" s="242" t="str">
        <f t="shared" si="69"/>
        <v/>
      </c>
      <c r="EU39" s="243"/>
      <c r="EV39" s="243"/>
      <c r="EW39" s="243"/>
      <c r="EX39" s="243"/>
      <c r="EY39" s="243"/>
      <c r="EZ39" s="242" t="str">
        <f t="shared" si="70"/>
        <v/>
      </c>
      <c r="FA39" s="243"/>
      <c r="FB39" s="243"/>
      <c r="FC39" s="243"/>
      <c r="FD39" s="243"/>
      <c r="FE39" s="243"/>
      <c r="FF39" s="242" t="str">
        <f t="shared" si="71"/>
        <v/>
      </c>
      <c r="FG39" s="243"/>
      <c r="FH39" s="243"/>
      <c r="FI39" s="243"/>
      <c r="FJ39" s="243"/>
      <c r="FK39" s="243"/>
      <c r="FL39" s="242" t="str">
        <f t="shared" si="72"/>
        <v/>
      </c>
      <c r="FM39" s="243"/>
      <c r="FN39" s="243"/>
      <c r="FO39" s="243"/>
      <c r="FP39" s="243"/>
      <c r="FQ39" s="219"/>
    </row>
    <row r="40" spans="3:173" x14ac:dyDescent="0.25">
      <c r="F40" s="104" t="str">
        <f t="shared" si="31"/>
        <v/>
      </c>
      <c r="G40" s="17"/>
      <c r="H40" s="17"/>
      <c r="I40" s="17"/>
      <c r="J40" s="17"/>
      <c r="K40" s="106"/>
      <c r="L40" s="17" t="str">
        <f t="shared" si="32"/>
        <v/>
      </c>
      <c r="M40" s="17"/>
      <c r="N40" s="17"/>
      <c r="O40" s="17"/>
      <c r="P40" s="17"/>
      <c r="Q40" s="106"/>
      <c r="R40" s="17">
        <f>IF(ISNUMBER(S40), RANK(S40,S$38:S$47),"")</f>
        <v>1</v>
      </c>
      <c r="S40" s="17">
        <f>G8</f>
        <v>0</v>
      </c>
      <c r="T40" s="17" t="str">
        <f>$E$1</f>
        <v/>
      </c>
      <c r="U40" s="17" t="e">
        <f>IF(AND(ISNUMBER(S40), COUNTIF(S$38:S$47,S40)&gt;1), RANK(T40,T$38:T$47,1)/100,"")</f>
        <v>#VALUE!</v>
      </c>
      <c r="V40" s="17" t="e">
        <f>IF(ISNUMBER(U40),S40+U40,IF(U40="",S40,""))</f>
        <v>#VALUE!</v>
      </c>
      <c r="W40" s="17" t="e">
        <f>RANK(V40,V$38:V$47)</f>
        <v>#VALUE!</v>
      </c>
      <c r="X40" s="104">
        <f>IF(ISNUMBER(Y40), RANK(Y40,Y$38:Y$47),"")</f>
        <v>1</v>
      </c>
      <c r="Y40" s="17">
        <f>H8</f>
        <v>0</v>
      </c>
      <c r="Z40" s="17" t="e">
        <f>$F$1</f>
        <v>#VALUE!</v>
      </c>
      <c r="AA40" s="17" t="e">
        <f>IF(AND(ISNUMBER(Y40), COUNTIF(Y$38:Y$47,Y40)&gt;1), RANK(Z40,Z$38:Z$47,1)/100,"")</f>
        <v>#VALUE!</v>
      </c>
      <c r="AB40" s="17" t="e">
        <f>IF(ISNUMBER(AA40),Y40+AA40,IF(AA40="",Y40,""))</f>
        <v>#VALUE!</v>
      </c>
      <c r="AC40" s="106" t="e">
        <f>RANK(AB40,AB$38:AB$47)</f>
        <v>#VALUE!</v>
      </c>
      <c r="AD40" s="17">
        <f>IF(ISNUMBER(AE40), RANK(AE40,AE$38:AE$47),"")</f>
        <v>1</v>
      </c>
      <c r="AE40" s="17">
        <f>I8</f>
        <v>0</v>
      </c>
      <c r="AF40" s="17" t="e">
        <f>$G$1</f>
        <v>#VALUE!</v>
      </c>
      <c r="AG40" s="17" t="e">
        <f>IF(AND(ISNUMBER(AE40), COUNTIF(AE$38:AE$47,AE40)&gt;1), RANK(AF40,AF$38:AF$47,1)/100,"")</f>
        <v>#VALUE!</v>
      </c>
      <c r="AH40" s="17" t="e">
        <f>IF(ISNUMBER(AG40),AE40+AG40,IF(AG40="",AE40,""))</f>
        <v>#VALUE!</v>
      </c>
      <c r="AI40" s="106" t="e">
        <f>RANK(AH40,AH$38:AH$47)</f>
        <v>#VALUE!</v>
      </c>
      <c r="AJ40" s="17">
        <f t="shared" si="33"/>
        <v>1</v>
      </c>
      <c r="AK40" s="17">
        <f>J8</f>
        <v>0</v>
      </c>
      <c r="AL40" s="17" t="e">
        <f>$H$1</f>
        <v>#VALUE!</v>
      </c>
      <c r="AM40" s="17" t="e">
        <f t="shared" si="34"/>
        <v>#VALUE!</v>
      </c>
      <c r="AN40" s="17" t="e">
        <f t="shared" si="35"/>
        <v>#VALUE!</v>
      </c>
      <c r="AO40" s="106" t="e">
        <f t="shared" si="36"/>
        <v>#VALUE!</v>
      </c>
      <c r="AP40" s="17">
        <f t="shared" si="37"/>
        <v>1</v>
      </c>
      <c r="AQ40" s="17">
        <f>K8</f>
        <v>0</v>
      </c>
      <c r="AR40" s="17" t="e">
        <f>$I$1</f>
        <v>#VALUE!</v>
      </c>
      <c r="AS40" s="17" t="e">
        <f t="shared" si="38"/>
        <v>#VALUE!</v>
      </c>
      <c r="AT40" s="17" t="e">
        <f t="shared" si="73"/>
        <v>#VALUE!</v>
      </c>
      <c r="AU40" s="17" t="e">
        <f t="shared" si="39"/>
        <v>#VALUE!</v>
      </c>
      <c r="AV40" s="104">
        <f t="shared" si="40"/>
        <v>1</v>
      </c>
      <c r="AW40" s="17">
        <f>L8</f>
        <v>0</v>
      </c>
      <c r="AX40" s="17" t="e">
        <f>$J$1</f>
        <v>#VALUE!</v>
      </c>
      <c r="AY40" s="17" t="e">
        <f t="shared" si="74"/>
        <v>#VALUE!</v>
      </c>
      <c r="AZ40" s="17" t="e">
        <f t="shared" si="75"/>
        <v>#VALUE!</v>
      </c>
      <c r="BA40" s="106" t="e">
        <f t="shared" si="41"/>
        <v>#VALUE!</v>
      </c>
      <c r="BB40" s="17">
        <f t="shared" si="42"/>
        <v>1</v>
      </c>
      <c r="BC40" s="17">
        <f>M8</f>
        <v>0</v>
      </c>
      <c r="BD40" s="17" t="e">
        <f>$K$1</f>
        <v>#VALUE!</v>
      </c>
      <c r="BE40" s="17" t="e">
        <f t="shared" si="43"/>
        <v>#VALUE!</v>
      </c>
      <c r="BF40" s="17" t="e">
        <f t="shared" si="76"/>
        <v>#VALUE!</v>
      </c>
      <c r="BG40" s="17" t="e">
        <f t="shared" si="44"/>
        <v>#VALUE!</v>
      </c>
      <c r="BH40" s="104">
        <f t="shared" si="45"/>
        <v>1</v>
      </c>
      <c r="BI40" s="17">
        <f>N8</f>
        <v>0</v>
      </c>
      <c r="BJ40" s="17" t="e">
        <f>$L$1</f>
        <v>#VALUE!</v>
      </c>
      <c r="BK40" s="17" t="e">
        <f t="shared" si="77"/>
        <v>#VALUE!</v>
      </c>
      <c r="BL40" s="17" t="e">
        <f t="shared" si="78"/>
        <v>#VALUE!</v>
      </c>
      <c r="BM40" s="17" t="e">
        <f t="shared" si="46"/>
        <v>#VALUE!</v>
      </c>
      <c r="BN40" s="104">
        <f t="shared" si="47"/>
        <v>1</v>
      </c>
      <c r="BO40" s="17">
        <f>O8</f>
        <v>0</v>
      </c>
      <c r="BP40" s="17" t="e">
        <f>$M$1</f>
        <v>#VALUE!</v>
      </c>
      <c r="BQ40" s="17" t="e">
        <f t="shared" si="79"/>
        <v>#VALUE!</v>
      </c>
      <c r="BR40" s="17" t="e">
        <f t="shared" si="80"/>
        <v>#VALUE!</v>
      </c>
      <c r="BS40" s="106" t="e">
        <f t="shared" si="48"/>
        <v>#VALUE!</v>
      </c>
      <c r="BT40" s="104">
        <f t="shared" si="49"/>
        <v>1</v>
      </c>
      <c r="BU40" s="17">
        <f>P8</f>
        <v>0</v>
      </c>
      <c r="BV40" s="17" t="e">
        <f>$N$1</f>
        <v>#VALUE!</v>
      </c>
      <c r="BW40" s="17" t="e">
        <f t="shared" si="81"/>
        <v>#VALUE!</v>
      </c>
      <c r="BX40" s="17" t="e">
        <f t="shared" si="82"/>
        <v>#VALUE!</v>
      </c>
      <c r="BY40" s="17" t="e">
        <f t="shared" si="50"/>
        <v>#VALUE!</v>
      </c>
      <c r="BZ40" s="104">
        <f t="shared" si="51"/>
        <v>1</v>
      </c>
      <c r="CA40" s="17">
        <f>Q8</f>
        <v>0</v>
      </c>
      <c r="CB40" s="17" t="e">
        <f>$O$1</f>
        <v>#VALUE!</v>
      </c>
      <c r="CC40" s="17" t="e">
        <f t="shared" si="83"/>
        <v>#VALUE!</v>
      </c>
      <c r="CD40" s="17" t="e">
        <f t="shared" si="84"/>
        <v>#VALUE!</v>
      </c>
      <c r="CE40" s="17" t="e">
        <f t="shared" si="52"/>
        <v>#VALUE!</v>
      </c>
      <c r="CF40" s="104">
        <f t="shared" si="53"/>
        <v>1</v>
      </c>
      <c r="CG40" s="17">
        <f>R8</f>
        <v>0</v>
      </c>
      <c r="CH40" s="17" t="e">
        <f>$P$1</f>
        <v>#VALUE!</v>
      </c>
      <c r="CI40" s="17" t="e">
        <f t="shared" si="85"/>
        <v>#VALUE!</v>
      </c>
      <c r="CJ40" s="17" t="e">
        <f t="shared" si="86"/>
        <v>#VALUE!</v>
      </c>
      <c r="CK40" s="17" t="e">
        <f t="shared" si="54"/>
        <v>#VALUE!</v>
      </c>
      <c r="CL40" s="104">
        <f t="shared" si="55"/>
        <v>1</v>
      </c>
      <c r="CM40" s="17">
        <f>S8</f>
        <v>0</v>
      </c>
      <c r="CN40" s="17" t="e">
        <f>$Q$1</f>
        <v>#VALUE!</v>
      </c>
      <c r="CO40" s="17" t="e">
        <f t="shared" si="87"/>
        <v>#VALUE!</v>
      </c>
      <c r="CP40" s="17" t="e">
        <f t="shared" si="88"/>
        <v>#VALUE!</v>
      </c>
      <c r="CQ40" s="17" t="e">
        <f t="shared" si="56"/>
        <v>#VALUE!</v>
      </c>
      <c r="CR40" s="104">
        <f t="shared" si="57"/>
        <v>1</v>
      </c>
      <c r="CS40" s="17">
        <f>T8</f>
        <v>0</v>
      </c>
      <c r="CT40" s="17" t="e">
        <f>$R$1</f>
        <v>#VALUE!</v>
      </c>
      <c r="CU40" s="17" t="e">
        <f t="shared" si="89"/>
        <v>#VALUE!</v>
      </c>
      <c r="CV40" s="17" t="e">
        <f t="shared" si="90"/>
        <v>#VALUE!</v>
      </c>
      <c r="CW40" s="17" t="e">
        <f t="shared" si="58"/>
        <v>#VALUE!</v>
      </c>
      <c r="CX40" s="104">
        <f t="shared" si="59"/>
        <v>1</v>
      </c>
      <c r="CY40" s="17">
        <f>U8</f>
        <v>0</v>
      </c>
      <c r="CZ40" s="17" t="e">
        <f>$S$1</f>
        <v>#VALUE!</v>
      </c>
      <c r="DA40" s="17" t="e">
        <f t="shared" si="91"/>
        <v>#VALUE!</v>
      </c>
      <c r="DB40" s="17" t="e">
        <f t="shared" si="92"/>
        <v>#VALUE!</v>
      </c>
      <c r="DC40" s="17" t="e">
        <f t="shared" si="60"/>
        <v>#VALUE!</v>
      </c>
      <c r="DD40" s="104">
        <f t="shared" si="61"/>
        <v>1</v>
      </c>
      <c r="DE40" s="17">
        <f>V8</f>
        <v>0</v>
      </c>
      <c r="DF40" s="17" t="e">
        <f>$T$1</f>
        <v>#VALUE!</v>
      </c>
      <c r="DG40" s="17" t="e">
        <f t="shared" si="93"/>
        <v>#VALUE!</v>
      </c>
      <c r="DH40" s="17" t="e">
        <f t="shared" si="94"/>
        <v>#VALUE!</v>
      </c>
      <c r="DI40" s="17" t="e">
        <f t="shared" si="62"/>
        <v>#VALUE!</v>
      </c>
      <c r="DJ40" s="104">
        <f t="shared" si="63"/>
        <v>1</v>
      </c>
      <c r="DK40" s="17">
        <f>W8</f>
        <v>0</v>
      </c>
      <c r="DL40" s="17" t="e">
        <f>$U$1</f>
        <v>#VALUE!</v>
      </c>
      <c r="DM40" s="17" t="e">
        <f t="shared" si="95"/>
        <v>#VALUE!</v>
      </c>
      <c r="DN40" s="17" t="e">
        <f t="shared" si="96"/>
        <v>#VALUE!</v>
      </c>
      <c r="DO40" s="17" t="e">
        <f t="shared" si="64"/>
        <v>#VALUE!</v>
      </c>
      <c r="DP40" s="104">
        <f t="shared" si="97"/>
        <v>1</v>
      </c>
      <c r="DQ40" s="17">
        <f>X8</f>
        <v>0</v>
      </c>
      <c r="DR40" s="17" t="e">
        <f>$V$1</f>
        <v>#VALUE!</v>
      </c>
      <c r="DS40" s="17" t="e">
        <f t="shared" si="98"/>
        <v>#VALUE!</v>
      </c>
      <c r="DT40" s="17" t="e">
        <f t="shared" si="99"/>
        <v>#VALUE!</v>
      </c>
      <c r="DU40" s="17" t="e">
        <f t="shared" si="100"/>
        <v>#VALUE!</v>
      </c>
      <c r="DV40" s="104">
        <f t="shared" si="65"/>
        <v>1</v>
      </c>
      <c r="DW40" s="17">
        <f>Y8</f>
        <v>0</v>
      </c>
      <c r="DX40" s="17" t="e">
        <f>$W$1</f>
        <v>#VALUE!</v>
      </c>
      <c r="DY40" s="17" t="e">
        <f t="shared" ref="DY40:DY47" si="101">IF(AND(ISNUMBER(DW40), COUNTIF(DW$38:DW$47,DW40)&gt;1), RANK(DX40,DX$38:DX$47,1)/100,"")</f>
        <v>#VALUE!</v>
      </c>
      <c r="DZ40" s="17" t="e">
        <f t="shared" ref="DZ40:DZ47" si="102">IF(ISNUMBER(DY40),DW40+DY40,IF(DY40="",DW40,""))</f>
        <v>#VALUE!</v>
      </c>
      <c r="EA40" s="17" t="e">
        <f t="shared" ref="EA40:EA47" si="103">RANK(DZ40,DZ$38:DZ$47)</f>
        <v>#VALUE!</v>
      </c>
      <c r="EB40" s="149" t="str">
        <f t="shared" si="66"/>
        <v/>
      </c>
      <c r="EC40" s="16"/>
      <c r="ED40" s="16"/>
      <c r="EE40" s="16"/>
      <c r="EF40" s="16"/>
      <c r="EG40" s="16"/>
      <c r="EH40" s="149" t="str">
        <f t="shared" si="67"/>
        <v/>
      </c>
      <c r="EI40" s="16"/>
      <c r="EJ40" s="16"/>
      <c r="EK40" s="16"/>
      <c r="EL40" s="16"/>
      <c r="EM40" s="16"/>
      <c r="EN40" s="149" t="str">
        <f t="shared" si="68"/>
        <v/>
      </c>
      <c r="EO40" s="16"/>
      <c r="EP40" s="16"/>
      <c r="EQ40" s="16"/>
      <c r="ER40" s="16"/>
      <c r="ES40" s="16"/>
      <c r="ET40" s="149" t="str">
        <f t="shared" si="69"/>
        <v/>
      </c>
      <c r="EU40" s="16"/>
      <c r="EV40" s="16"/>
      <c r="EW40" s="16"/>
      <c r="EX40" s="16"/>
      <c r="EY40" s="16"/>
      <c r="EZ40" s="149" t="str">
        <f t="shared" si="70"/>
        <v/>
      </c>
      <c r="FA40" s="16"/>
      <c r="FB40" s="16"/>
      <c r="FC40" s="16"/>
      <c r="FD40" s="16"/>
      <c r="FE40" s="16"/>
      <c r="FF40" s="149" t="str">
        <f t="shared" si="71"/>
        <v/>
      </c>
      <c r="FG40" s="16"/>
      <c r="FH40" s="16"/>
      <c r="FI40" s="16"/>
      <c r="FJ40" s="16"/>
      <c r="FK40" s="16"/>
      <c r="FL40" s="149" t="str">
        <f t="shared" si="72"/>
        <v/>
      </c>
      <c r="FM40" s="16"/>
      <c r="FN40" s="16"/>
      <c r="FO40" s="16"/>
      <c r="FP40" s="16"/>
      <c r="FQ40" s="7"/>
    </row>
    <row r="41" spans="3:173" x14ac:dyDescent="0.25">
      <c r="F41" s="107" t="str">
        <f t="shared" si="31"/>
        <v/>
      </c>
      <c r="G41" s="93"/>
      <c r="H41" s="93"/>
      <c r="I41" s="93"/>
      <c r="J41" s="93"/>
      <c r="K41" s="109"/>
      <c r="L41" s="93" t="str">
        <f t="shared" si="32"/>
        <v/>
      </c>
      <c r="M41" s="93"/>
      <c r="N41" s="93"/>
      <c r="O41" s="93"/>
      <c r="P41" s="93"/>
      <c r="Q41" s="109"/>
      <c r="R41" s="93"/>
      <c r="S41" s="93"/>
      <c r="T41" s="93"/>
      <c r="U41" s="93"/>
      <c r="V41" s="93"/>
      <c r="W41" s="93"/>
      <c r="X41" s="107">
        <f>IF(ISNUMBER(Y41), RANK(Y41,Y$38:Y$47),"")</f>
        <v>1</v>
      </c>
      <c r="Y41" s="93">
        <f>H11</f>
        <v>0</v>
      </c>
      <c r="Z41" s="93" t="str">
        <f>$E$1</f>
        <v/>
      </c>
      <c r="AA41" s="93" t="e">
        <f>IF(AND(ISNUMBER(Y41), COUNTIF(Y$38:Y$47,Y41)&gt;1), RANK(Z41,Z$38:Z$47,1)/100,"")</f>
        <v>#VALUE!</v>
      </c>
      <c r="AB41" s="93" t="e">
        <f>IF(ISNUMBER(AA41),Y41+AA41,IF(AA41="",Y41,""))</f>
        <v>#VALUE!</v>
      </c>
      <c r="AC41" s="109" t="e">
        <f>RANK(AB41,AB$38:AB$47)</f>
        <v>#VALUE!</v>
      </c>
      <c r="AD41" s="93">
        <f>IF(ISNUMBER(AE41), RANK(AE41,AE$38:AE$47),"")</f>
        <v>1</v>
      </c>
      <c r="AE41" s="93">
        <f>I11</f>
        <v>0</v>
      </c>
      <c r="AF41" s="93" t="e">
        <f>$F$1</f>
        <v>#VALUE!</v>
      </c>
      <c r="AG41" s="93" t="e">
        <f>IF(AND(ISNUMBER(AE41), COUNTIF(AE$38:AE$47,AE41)&gt;1), RANK(AF41,AF$38:AF$47,1)/100,"")</f>
        <v>#VALUE!</v>
      </c>
      <c r="AH41" s="93" t="e">
        <f>IF(ISNUMBER(AG41),AE41+AG41,IF(AG41="",AE41,""))</f>
        <v>#VALUE!</v>
      </c>
      <c r="AI41" s="109" t="e">
        <f>RANK(AH41,AH$38:AH$47)</f>
        <v>#VALUE!</v>
      </c>
      <c r="AJ41" s="93">
        <f t="shared" si="33"/>
        <v>1</v>
      </c>
      <c r="AK41" s="93">
        <f>J11</f>
        <v>0</v>
      </c>
      <c r="AL41" s="93" t="e">
        <f>$G$1</f>
        <v>#VALUE!</v>
      </c>
      <c r="AM41" s="93" t="e">
        <f t="shared" si="34"/>
        <v>#VALUE!</v>
      </c>
      <c r="AN41" s="93" t="e">
        <f t="shared" si="35"/>
        <v>#VALUE!</v>
      </c>
      <c r="AO41" s="109" t="e">
        <f t="shared" si="36"/>
        <v>#VALUE!</v>
      </c>
      <c r="AP41" s="93">
        <f t="shared" si="37"/>
        <v>1</v>
      </c>
      <c r="AQ41" s="93">
        <f>K11</f>
        <v>0</v>
      </c>
      <c r="AR41" s="93" t="e">
        <f>$H$1</f>
        <v>#VALUE!</v>
      </c>
      <c r="AS41" s="93" t="e">
        <f t="shared" si="38"/>
        <v>#VALUE!</v>
      </c>
      <c r="AT41" s="93" t="e">
        <f t="shared" si="73"/>
        <v>#VALUE!</v>
      </c>
      <c r="AU41" s="93" t="e">
        <f t="shared" si="39"/>
        <v>#VALUE!</v>
      </c>
      <c r="AV41" s="107">
        <f t="shared" si="40"/>
        <v>1</v>
      </c>
      <c r="AW41" s="93">
        <f>L11</f>
        <v>0</v>
      </c>
      <c r="AX41" s="93" t="e">
        <f>$I$1</f>
        <v>#VALUE!</v>
      </c>
      <c r="AY41" s="93" t="e">
        <f t="shared" si="74"/>
        <v>#VALUE!</v>
      </c>
      <c r="AZ41" s="93" t="e">
        <f t="shared" si="75"/>
        <v>#VALUE!</v>
      </c>
      <c r="BA41" s="109" t="e">
        <f t="shared" si="41"/>
        <v>#VALUE!</v>
      </c>
      <c r="BB41" s="93">
        <f t="shared" si="42"/>
        <v>1</v>
      </c>
      <c r="BC41" s="93">
        <f>M11</f>
        <v>0</v>
      </c>
      <c r="BD41" s="93" t="e">
        <f>$J$1</f>
        <v>#VALUE!</v>
      </c>
      <c r="BE41" s="93" t="e">
        <f t="shared" si="43"/>
        <v>#VALUE!</v>
      </c>
      <c r="BF41" s="93" t="e">
        <f t="shared" si="76"/>
        <v>#VALUE!</v>
      </c>
      <c r="BG41" s="93" t="e">
        <f t="shared" si="44"/>
        <v>#VALUE!</v>
      </c>
      <c r="BH41" s="107">
        <f t="shared" si="45"/>
        <v>1</v>
      </c>
      <c r="BI41" s="93">
        <f>N11</f>
        <v>0</v>
      </c>
      <c r="BJ41" s="93" t="e">
        <f>$K$1</f>
        <v>#VALUE!</v>
      </c>
      <c r="BK41" s="93" t="e">
        <f t="shared" si="77"/>
        <v>#VALUE!</v>
      </c>
      <c r="BL41" s="93" t="e">
        <f t="shared" si="78"/>
        <v>#VALUE!</v>
      </c>
      <c r="BM41" s="93" t="e">
        <f t="shared" si="46"/>
        <v>#VALUE!</v>
      </c>
      <c r="BN41" s="107">
        <f t="shared" si="47"/>
        <v>1</v>
      </c>
      <c r="BO41" s="93">
        <f>O11</f>
        <v>0</v>
      </c>
      <c r="BP41" s="93" t="e">
        <f>$L$1</f>
        <v>#VALUE!</v>
      </c>
      <c r="BQ41" s="93" t="e">
        <f t="shared" si="79"/>
        <v>#VALUE!</v>
      </c>
      <c r="BR41" s="93" t="e">
        <f t="shared" si="80"/>
        <v>#VALUE!</v>
      </c>
      <c r="BS41" s="109" t="e">
        <f t="shared" si="48"/>
        <v>#VALUE!</v>
      </c>
      <c r="BT41" s="107">
        <f t="shared" si="49"/>
        <v>1</v>
      </c>
      <c r="BU41" s="93">
        <f>P11</f>
        <v>0</v>
      </c>
      <c r="BV41" s="93" t="e">
        <f>$M$1</f>
        <v>#VALUE!</v>
      </c>
      <c r="BW41" s="93" t="e">
        <f t="shared" si="81"/>
        <v>#VALUE!</v>
      </c>
      <c r="BX41" s="93" t="e">
        <f t="shared" si="82"/>
        <v>#VALUE!</v>
      </c>
      <c r="BY41" s="93" t="e">
        <f t="shared" si="50"/>
        <v>#VALUE!</v>
      </c>
      <c r="BZ41" s="107">
        <f t="shared" si="51"/>
        <v>1</v>
      </c>
      <c r="CA41" s="93">
        <f>Q11</f>
        <v>0</v>
      </c>
      <c r="CB41" s="93" t="e">
        <f>$N$1</f>
        <v>#VALUE!</v>
      </c>
      <c r="CC41" s="93" t="e">
        <f t="shared" si="83"/>
        <v>#VALUE!</v>
      </c>
      <c r="CD41" s="93" t="e">
        <f t="shared" si="84"/>
        <v>#VALUE!</v>
      </c>
      <c r="CE41" s="93" t="e">
        <f t="shared" si="52"/>
        <v>#VALUE!</v>
      </c>
      <c r="CF41" s="107">
        <f t="shared" si="53"/>
        <v>1</v>
      </c>
      <c r="CG41" s="93">
        <f>R11</f>
        <v>0</v>
      </c>
      <c r="CH41" s="93" t="e">
        <f>$O$1</f>
        <v>#VALUE!</v>
      </c>
      <c r="CI41" s="93" t="e">
        <f t="shared" si="85"/>
        <v>#VALUE!</v>
      </c>
      <c r="CJ41" s="93" t="e">
        <f t="shared" si="86"/>
        <v>#VALUE!</v>
      </c>
      <c r="CK41" s="93" t="e">
        <f t="shared" si="54"/>
        <v>#VALUE!</v>
      </c>
      <c r="CL41" s="107">
        <f t="shared" si="55"/>
        <v>1</v>
      </c>
      <c r="CM41" s="93">
        <f>S11</f>
        <v>0</v>
      </c>
      <c r="CN41" s="93" t="e">
        <f>$P$1</f>
        <v>#VALUE!</v>
      </c>
      <c r="CO41" s="93" t="e">
        <f t="shared" si="87"/>
        <v>#VALUE!</v>
      </c>
      <c r="CP41" s="93" t="e">
        <f t="shared" si="88"/>
        <v>#VALUE!</v>
      </c>
      <c r="CQ41" s="93" t="e">
        <f t="shared" si="56"/>
        <v>#VALUE!</v>
      </c>
      <c r="CR41" s="107">
        <f t="shared" si="57"/>
        <v>1</v>
      </c>
      <c r="CS41" s="93">
        <f>T11</f>
        <v>0</v>
      </c>
      <c r="CT41" s="93" t="e">
        <f>$Q$1</f>
        <v>#VALUE!</v>
      </c>
      <c r="CU41" s="93" t="e">
        <f t="shared" si="89"/>
        <v>#VALUE!</v>
      </c>
      <c r="CV41" s="93" t="e">
        <f t="shared" si="90"/>
        <v>#VALUE!</v>
      </c>
      <c r="CW41" s="93" t="e">
        <f t="shared" si="58"/>
        <v>#VALUE!</v>
      </c>
      <c r="CX41" s="107">
        <f t="shared" si="59"/>
        <v>1</v>
      </c>
      <c r="CY41" s="93">
        <f>U11</f>
        <v>0</v>
      </c>
      <c r="CZ41" s="93" t="e">
        <f>$R$1</f>
        <v>#VALUE!</v>
      </c>
      <c r="DA41" s="93" t="e">
        <f t="shared" si="91"/>
        <v>#VALUE!</v>
      </c>
      <c r="DB41" s="93" t="e">
        <f t="shared" si="92"/>
        <v>#VALUE!</v>
      </c>
      <c r="DC41" s="93" t="e">
        <f t="shared" si="60"/>
        <v>#VALUE!</v>
      </c>
      <c r="DD41" s="107">
        <f t="shared" si="61"/>
        <v>1</v>
      </c>
      <c r="DE41" s="93">
        <f>V11</f>
        <v>0</v>
      </c>
      <c r="DF41" s="93" t="e">
        <f>$S$1</f>
        <v>#VALUE!</v>
      </c>
      <c r="DG41" s="93" t="e">
        <f t="shared" si="93"/>
        <v>#VALUE!</v>
      </c>
      <c r="DH41" s="93" t="e">
        <f t="shared" si="94"/>
        <v>#VALUE!</v>
      </c>
      <c r="DI41" s="93" t="e">
        <f t="shared" si="62"/>
        <v>#VALUE!</v>
      </c>
      <c r="DJ41" s="107">
        <f t="shared" si="63"/>
        <v>1</v>
      </c>
      <c r="DK41" s="93">
        <f>W11</f>
        <v>0</v>
      </c>
      <c r="DL41" s="93" t="e">
        <f>$T$1</f>
        <v>#VALUE!</v>
      </c>
      <c r="DM41" s="93" t="e">
        <f t="shared" si="95"/>
        <v>#VALUE!</v>
      </c>
      <c r="DN41" s="93" t="e">
        <f t="shared" si="96"/>
        <v>#VALUE!</v>
      </c>
      <c r="DO41" s="93" t="e">
        <f t="shared" si="64"/>
        <v>#VALUE!</v>
      </c>
      <c r="DP41" s="107">
        <f t="shared" si="97"/>
        <v>1</v>
      </c>
      <c r="DQ41" s="93">
        <f>X11</f>
        <v>0</v>
      </c>
      <c r="DR41" s="93" t="e">
        <f>$U$1</f>
        <v>#VALUE!</v>
      </c>
      <c r="DS41" s="93" t="e">
        <f t="shared" si="98"/>
        <v>#VALUE!</v>
      </c>
      <c r="DT41" s="93" t="e">
        <f t="shared" si="99"/>
        <v>#VALUE!</v>
      </c>
      <c r="DU41" s="93" t="e">
        <f t="shared" si="100"/>
        <v>#VALUE!</v>
      </c>
      <c r="DV41" s="242">
        <f t="shared" si="65"/>
        <v>1</v>
      </c>
      <c r="DW41" s="243">
        <f>Y11</f>
        <v>0</v>
      </c>
      <c r="DX41" s="243" t="e">
        <f>$V$1</f>
        <v>#VALUE!</v>
      </c>
      <c r="DY41" s="243" t="e">
        <f t="shared" si="101"/>
        <v>#VALUE!</v>
      </c>
      <c r="DZ41" s="243" t="e">
        <f t="shared" si="102"/>
        <v>#VALUE!</v>
      </c>
      <c r="EA41" s="243" t="e">
        <f t="shared" si="103"/>
        <v>#VALUE!</v>
      </c>
      <c r="EB41" s="242">
        <f t="shared" si="66"/>
        <v>1</v>
      </c>
      <c r="EC41" s="243">
        <f>Z11</f>
        <v>0</v>
      </c>
      <c r="ED41" s="243" t="e">
        <f>$W$1</f>
        <v>#VALUE!</v>
      </c>
      <c r="EE41" s="243" t="e">
        <f t="shared" ref="EE41:EE47" si="104">IF(AND(ISNUMBER(EC41), COUNTIF(EC$38:EC$47,EC41)&gt;1), RANK(ED41,ED$38:ED$47,1)/100,"")</f>
        <v>#VALUE!</v>
      </c>
      <c r="EF41" s="243" t="e">
        <f t="shared" ref="EF41:EF47" si="105">IF(ISNUMBER(EE41),EC41+EE41,IF(EE41="",EC41,""))</f>
        <v>#VALUE!</v>
      </c>
      <c r="EG41" s="243" t="e">
        <f t="shared" ref="EG41:EG47" si="106">RANK(EF41,EF$38:EF$47)</f>
        <v>#VALUE!</v>
      </c>
      <c r="EH41" s="242" t="str">
        <f t="shared" si="67"/>
        <v/>
      </c>
      <c r="EI41" s="243"/>
      <c r="EJ41" s="243"/>
      <c r="EK41" s="243" t="str">
        <f t="shared" ref="EK41:EK47" si="107">IF(AND(ISNUMBER(EI41), COUNTIF(EI$38:EI$47,EI41)&gt;1), RANK(EJ41,EJ$38:EJ$47,1)/100,"")</f>
        <v/>
      </c>
      <c r="EL41" s="243"/>
      <c r="EM41" s="243"/>
      <c r="EN41" s="242" t="str">
        <f t="shared" si="68"/>
        <v/>
      </c>
      <c r="EO41" s="243"/>
      <c r="EP41" s="243"/>
      <c r="EQ41" s="243" t="str">
        <f t="shared" ref="EQ41:EQ47" si="108">IF(AND(ISNUMBER(EO41), COUNTIF(EO$38:EO$47,EO41)&gt;1), RANK(EP41,EP$38:EP$47,1)/100,"")</f>
        <v/>
      </c>
      <c r="ER41" s="243"/>
      <c r="ES41" s="243"/>
      <c r="ET41" s="242" t="str">
        <f t="shared" si="69"/>
        <v/>
      </c>
      <c r="EU41" s="243"/>
      <c r="EV41" s="243"/>
      <c r="EW41" s="243" t="str">
        <f t="shared" ref="EW41:EW47" si="109">IF(AND(ISNUMBER(EU41), COUNTIF(EU$38:EU$47,EU41)&gt;1), RANK(EV41,EV$38:EV$47,1)/100,"")</f>
        <v/>
      </c>
      <c r="EX41" s="243"/>
      <c r="EY41" s="243"/>
      <c r="EZ41" s="242" t="str">
        <f t="shared" si="70"/>
        <v/>
      </c>
      <c r="FA41" s="243"/>
      <c r="FB41" s="243"/>
      <c r="FC41" s="243" t="str">
        <f t="shared" ref="FC41:FC47" si="110">IF(AND(ISNUMBER(FA41), COUNTIF(FA$38:FA$47,FA41)&gt;1), RANK(FB41,FB$38:FB$47,1)/100,"")</f>
        <v/>
      </c>
      <c r="FD41" s="243"/>
      <c r="FE41" s="243"/>
      <c r="FF41" s="242" t="str">
        <f t="shared" si="71"/>
        <v/>
      </c>
      <c r="FG41" s="243"/>
      <c r="FH41" s="243"/>
      <c r="FI41" s="243" t="str">
        <f t="shared" ref="FI41:FI47" si="111">IF(AND(ISNUMBER(FG41), COUNTIF(FG$38:FG$47,FG41)&gt;1), RANK(FH41,FH$38:FH$47,1)/100,"")</f>
        <v/>
      </c>
      <c r="FJ41" s="243"/>
      <c r="FK41" s="243"/>
      <c r="FL41" s="242" t="str">
        <f t="shared" si="72"/>
        <v/>
      </c>
      <c r="FM41" s="243"/>
      <c r="FN41" s="243"/>
      <c r="FO41" s="243" t="str">
        <f t="shared" ref="FO41:FO47" si="112">IF(AND(ISNUMBER(FM41), COUNTIF(FM$38:FM$47,FM41)&gt;1), RANK(FN41,FN$38:FN$47,1)/100,"")</f>
        <v/>
      </c>
      <c r="FP41" s="243"/>
      <c r="FQ41" s="219"/>
    </row>
    <row r="42" spans="3:173" x14ac:dyDescent="0.25">
      <c r="F42" s="104" t="str">
        <f t="shared" si="31"/>
        <v/>
      </c>
      <c r="G42" s="17"/>
      <c r="H42" s="17"/>
      <c r="I42" s="17"/>
      <c r="J42" s="17"/>
      <c r="K42" s="106"/>
      <c r="L42" s="17" t="str">
        <f t="shared" si="32"/>
        <v/>
      </c>
      <c r="M42" s="16"/>
      <c r="N42" s="16"/>
      <c r="O42" s="16"/>
      <c r="P42" s="16"/>
      <c r="Q42" s="151"/>
      <c r="R42" s="16"/>
      <c r="S42" s="16"/>
      <c r="T42" s="16"/>
      <c r="U42" s="16"/>
      <c r="V42" s="16"/>
      <c r="W42" s="16"/>
      <c r="X42" s="149"/>
      <c r="Y42" s="16"/>
      <c r="Z42" s="16"/>
      <c r="AA42" s="16"/>
      <c r="AB42" s="16"/>
      <c r="AC42" s="151"/>
      <c r="AD42" s="17">
        <f>IF(ISNUMBER(AE42), RANK(AE42,AE$38:AE$47),"")</f>
        <v>1</v>
      </c>
      <c r="AE42" s="17">
        <f>I14</f>
        <v>0</v>
      </c>
      <c r="AF42" s="17" t="str">
        <f>$E$1</f>
        <v/>
      </c>
      <c r="AG42" s="17" t="e">
        <f>IF(AND(ISNUMBER(AE42), COUNTIF(AE$38:AE$47,AE42)&gt;1), RANK(AF42,AF$38:AF$47,1)/100,"")</f>
        <v>#VALUE!</v>
      </c>
      <c r="AH42" s="17" t="e">
        <f>IF(ISNUMBER(AG42),AE42+AG42,IF(AG42="",AE42,""))</f>
        <v>#VALUE!</v>
      </c>
      <c r="AI42" s="106" t="e">
        <f>RANK(AH42,AH$38:AH$47)</f>
        <v>#VALUE!</v>
      </c>
      <c r="AJ42" s="17">
        <f t="shared" si="33"/>
        <v>1</v>
      </c>
      <c r="AK42" s="17">
        <f>J14</f>
        <v>0</v>
      </c>
      <c r="AL42" s="17" t="e">
        <f>$F$1</f>
        <v>#VALUE!</v>
      </c>
      <c r="AM42" s="17" t="e">
        <f t="shared" si="34"/>
        <v>#VALUE!</v>
      </c>
      <c r="AN42" s="17" t="e">
        <f t="shared" si="35"/>
        <v>#VALUE!</v>
      </c>
      <c r="AO42" s="106" t="e">
        <f t="shared" si="36"/>
        <v>#VALUE!</v>
      </c>
      <c r="AP42" s="17">
        <f t="shared" si="37"/>
        <v>1</v>
      </c>
      <c r="AQ42" s="17">
        <f>K14</f>
        <v>0</v>
      </c>
      <c r="AR42" s="17" t="e">
        <f>$G$1</f>
        <v>#VALUE!</v>
      </c>
      <c r="AS42" s="17" t="e">
        <f t="shared" si="38"/>
        <v>#VALUE!</v>
      </c>
      <c r="AT42" s="17" t="e">
        <f t="shared" si="73"/>
        <v>#VALUE!</v>
      </c>
      <c r="AU42" s="17" t="e">
        <f t="shared" si="39"/>
        <v>#VALUE!</v>
      </c>
      <c r="AV42" s="104">
        <f t="shared" si="40"/>
        <v>1</v>
      </c>
      <c r="AW42" s="17">
        <f>L14</f>
        <v>0</v>
      </c>
      <c r="AX42" s="17" t="e">
        <f>$H$1</f>
        <v>#VALUE!</v>
      </c>
      <c r="AY42" s="17" t="e">
        <f t="shared" si="74"/>
        <v>#VALUE!</v>
      </c>
      <c r="AZ42" s="17" t="e">
        <f t="shared" si="75"/>
        <v>#VALUE!</v>
      </c>
      <c r="BA42" s="106" t="e">
        <f t="shared" si="41"/>
        <v>#VALUE!</v>
      </c>
      <c r="BB42" s="17">
        <f t="shared" si="42"/>
        <v>1</v>
      </c>
      <c r="BC42" s="17">
        <f>M14</f>
        <v>0</v>
      </c>
      <c r="BD42" s="17" t="e">
        <f>$I$1</f>
        <v>#VALUE!</v>
      </c>
      <c r="BE42" s="17" t="e">
        <f t="shared" si="43"/>
        <v>#VALUE!</v>
      </c>
      <c r="BF42" s="17" t="e">
        <f t="shared" si="76"/>
        <v>#VALUE!</v>
      </c>
      <c r="BG42" s="17" t="e">
        <f t="shared" si="44"/>
        <v>#VALUE!</v>
      </c>
      <c r="BH42" s="104">
        <f t="shared" si="45"/>
        <v>1</v>
      </c>
      <c r="BI42" s="17">
        <f>N14</f>
        <v>0</v>
      </c>
      <c r="BJ42" s="17" t="e">
        <f>$J$1</f>
        <v>#VALUE!</v>
      </c>
      <c r="BK42" s="17" t="e">
        <f t="shared" si="77"/>
        <v>#VALUE!</v>
      </c>
      <c r="BL42" s="17" t="e">
        <f t="shared" si="78"/>
        <v>#VALUE!</v>
      </c>
      <c r="BM42" s="17" t="e">
        <f t="shared" si="46"/>
        <v>#VALUE!</v>
      </c>
      <c r="BN42" s="104">
        <f t="shared" si="47"/>
        <v>1</v>
      </c>
      <c r="BO42" s="17">
        <f>O14</f>
        <v>0</v>
      </c>
      <c r="BP42" s="17" t="e">
        <f>$K$1</f>
        <v>#VALUE!</v>
      </c>
      <c r="BQ42" s="17" t="e">
        <f t="shared" si="79"/>
        <v>#VALUE!</v>
      </c>
      <c r="BR42" s="17" t="e">
        <f t="shared" si="80"/>
        <v>#VALUE!</v>
      </c>
      <c r="BS42" s="106" t="e">
        <f t="shared" si="48"/>
        <v>#VALUE!</v>
      </c>
      <c r="BT42" s="104">
        <f t="shared" si="49"/>
        <v>1</v>
      </c>
      <c r="BU42" s="17">
        <f>P14</f>
        <v>0</v>
      </c>
      <c r="BV42" s="17" t="e">
        <f>$L$1</f>
        <v>#VALUE!</v>
      </c>
      <c r="BW42" s="17" t="e">
        <f t="shared" si="81"/>
        <v>#VALUE!</v>
      </c>
      <c r="BX42" s="17" t="e">
        <f t="shared" si="82"/>
        <v>#VALUE!</v>
      </c>
      <c r="BY42" s="17" t="e">
        <f t="shared" si="50"/>
        <v>#VALUE!</v>
      </c>
      <c r="BZ42" s="104">
        <f t="shared" si="51"/>
        <v>1</v>
      </c>
      <c r="CA42" s="17">
        <f>Q14</f>
        <v>0</v>
      </c>
      <c r="CB42" s="17" t="e">
        <f>$M$1</f>
        <v>#VALUE!</v>
      </c>
      <c r="CC42" s="17" t="e">
        <f t="shared" si="83"/>
        <v>#VALUE!</v>
      </c>
      <c r="CD42" s="17" t="e">
        <f t="shared" si="84"/>
        <v>#VALUE!</v>
      </c>
      <c r="CE42" s="17" t="e">
        <f t="shared" si="52"/>
        <v>#VALUE!</v>
      </c>
      <c r="CF42" s="104">
        <f t="shared" si="53"/>
        <v>1</v>
      </c>
      <c r="CG42" s="17">
        <f>R14</f>
        <v>0</v>
      </c>
      <c r="CH42" s="17" t="e">
        <f>$N$1</f>
        <v>#VALUE!</v>
      </c>
      <c r="CI42" s="17" t="e">
        <f t="shared" si="85"/>
        <v>#VALUE!</v>
      </c>
      <c r="CJ42" s="17" t="e">
        <f t="shared" si="86"/>
        <v>#VALUE!</v>
      </c>
      <c r="CK42" s="17" t="e">
        <f t="shared" si="54"/>
        <v>#VALUE!</v>
      </c>
      <c r="CL42" s="104">
        <f t="shared" si="55"/>
        <v>1</v>
      </c>
      <c r="CM42" s="17">
        <f>S14</f>
        <v>0</v>
      </c>
      <c r="CN42" s="17" t="e">
        <f>$O$1</f>
        <v>#VALUE!</v>
      </c>
      <c r="CO42" s="17" t="e">
        <f t="shared" si="87"/>
        <v>#VALUE!</v>
      </c>
      <c r="CP42" s="17" t="e">
        <f t="shared" si="88"/>
        <v>#VALUE!</v>
      </c>
      <c r="CQ42" s="17" t="e">
        <f t="shared" si="56"/>
        <v>#VALUE!</v>
      </c>
      <c r="CR42" s="104">
        <f t="shared" si="57"/>
        <v>1</v>
      </c>
      <c r="CS42" s="17">
        <f>T14</f>
        <v>0</v>
      </c>
      <c r="CT42" s="17" t="e">
        <f>$P$1</f>
        <v>#VALUE!</v>
      </c>
      <c r="CU42" s="17" t="e">
        <f t="shared" si="89"/>
        <v>#VALUE!</v>
      </c>
      <c r="CV42" s="17" t="e">
        <f t="shared" si="90"/>
        <v>#VALUE!</v>
      </c>
      <c r="CW42" s="17" t="e">
        <f t="shared" si="58"/>
        <v>#VALUE!</v>
      </c>
      <c r="CX42" s="104">
        <f t="shared" si="59"/>
        <v>1</v>
      </c>
      <c r="CY42" s="17">
        <f>U14</f>
        <v>0</v>
      </c>
      <c r="CZ42" s="17" t="e">
        <f>$Q$1</f>
        <v>#VALUE!</v>
      </c>
      <c r="DA42" s="17" t="e">
        <f t="shared" si="91"/>
        <v>#VALUE!</v>
      </c>
      <c r="DB42" s="17" t="e">
        <f t="shared" si="92"/>
        <v>#VALUE!</v>
      </c>
      <c r="DC42" s="17" t="e">
        <f t="shared" si="60"/>
        <v>#VALUE!</v>
      </c>
      <c r="DD42" s="104">
        <f t="shared" si="61"/>
        <v>1</v>
      </c>
      <c r="DE42" s="17">
        <f>V14</f>
        <v>0</v>
      </c>
      <c r="DF42" s="17" t="e">
        <f>$R$1</f>
        <v>#VALUE!</v>
      </c>
      <c r="DG42" s="17" t="e">
        <f t="shared" si="93"/>
        <v>#VALUE!</v>
      </c>
      <c r="DH42" s="17" t="e">
        <f t="shared" si="94"/>
        <v>#VALUE!</v>
      </c>
      <c r="DI42" s="17" t="e">
        <f t="shared" si="62"/>
        <v>#VALUE!</v>
      </c>
      <c r="DJ42" s="104">
        <f t="shared" si="63"/>
        <v>1</v>
      </c>
      <c r="DK42" s="17">
        <f>W14</f>
        <v>0</v>
      </c>
      <c r="DL42" s="17" t="e">
        <f>$S$1</f>
        <v>#VALUE!</v>
      </c>
      <c r="DM42" s="17" t="e">
        <f t="shared" si="95"/>
        <v>#VALUE!</v>
      </c>
      <c r="DN42" s="17" t="e">
        <f t="shared" si="96"/>
        <v>#VALUE!</v>
      </c>
      <c r="DO42" s="17" t="e">
        <f t="shared" si="64"/>
        <v>#VALUE!</v>
      </c>
      <c r="DP42" s="104">
        <f t="shared" si="97"/>
        <v>1</v>
      </c>
      <c r="DQ42" s="17">
        <f>X14</f>
        <v>0</v>
      </c>
      <c r="DR42" s="17" t="e">
        <f>$T$1</f>
        <v>#VALUE!</v>
      </c>
      <c r="DS42" s="17" t="e">
        <f t="shared" si="98"/>
        <v>#VALUE!</v>
      </c>
      <c r="DT42" s="17" t="e">
        <f t="shared" si="99"/>
        <v>#VALUE!</v>
      </c>
      <c r="DU42" s="17" t="e">
        <f t="shared" si="100"/>
        <v>#VALUE!</v>
      </c>
      <c r="DV42" s="104">
        <f t="shared" si="65"/>
        <v>1</v>
      </c>
      <c r="DW42" s="17">
        <f>Y14</f>
        <v>0</v>
      </c>
      <c r="DX42" s="17" t="e">
        <f>$U$1</f>
        <v>#VALUE!</v>
      </c>
      <c r="DY42" s="17" t="e">
        <f t="shared" si="101"/>
        <v>#VALUE!</v>
      </c>
      <c r="DZ42" s="17" t="e">
        <f t="shared" si="102"/>
        <v>#VALUE!</v>
      </c>
      <c r="EA42" s="17" t="e">
        <f t="shared" si="103"/>
        <v>#VALUE!</v>
      </c>
      <c r="EB42" s="104">
        <f t="shared" si="66"/>
        <v>1</v>
      </c>
      <c r="EC42" s="17">
        <f>Z14</f>
        <v>0</v>
      </c>
      <c r="ED42" s="17" t="e">
        <f>$V$1</f>
        <v>#VALUE!</v>
      </c>
      <c r="EE42" s="17" t="e">
        <f t="shared" si="104"/>
        <v>#VALUE!</v>
      </c>
      <c r="EF42" s="17" t="e">
        <f t="shared" si="105"/>
        <v>#VALUE!</v>
      </c>
      <c r="EG42" s="17" t="e">
        <f t="shared" si="106"/>
        <v>#VALUE!</v>
      </c>
      <c r="EH42" s="104">
        <f t="shared" si="67"/>
        <v>1</v>
      </c>
      <c r="EI42" s="17">
        <f>AA14</f>
        <v>0</v>
      </c>
      <c r="EJ42" s="17" t="e">
        <f>$W$1</f>
        <v>#VALUE!</v>
      </c>
      <c r="EK42" s="17" t="e">
        <f t="shared" si="107"/>
        <v>#VALUE!</v>
      </c>
      <c r="EL42" s="17" t="e">
        <f t="shared" ref="EL42:EL47" si="113">IF(ISNUMBER(EK42),EI42+EK42,IF(EK42="",EI42,""))</f>
        <v>#VALUE!</v>
      </c>
      <c r="EM42" s="17" t="e">
        <f t="shared" ref="EM42:EM47" si="114">RANK(EL42,EL$38:EL$47)</f>
        <v>#VALUE!</v>
      </c>
      <c r="EN42" s="149" t="str">
        <f t="shared" si="68"/>
        <v/>
      </c>
      <c r="EO42" s="16"/>
      <c r="EP42" s="16"/>
      <c r="EQ42" s="16" t="str">
        <f t="shared" si="108"/>
        <v/>
      </c>
      <c r="ER42" s="16"/>
      <c r="ES42" s="16"/>
      <c r="ET42" s="149" t="str">
        <f t="shared" si="69"/>
        <v/>
      </c>
      <c r="EU42" s="16"/>
      <c r="EV42" s="16"/>
      <c r="EW42" s="16" t="str">
        <f t="shared" si="109"/>
        <v/>
      </c>
      <c r="EX42" s="16"/>
      <c r="EY42" s="16"/>
      <c r="EZ42" s="149" t="str">
        <f t="shared" si="70"/>
        <v/>
      </c>
      <c r="FA42" s="16"/>
      <c r="FB42" s="16"/>
      <c r="FC42" s="16" t="str">
        <f t="shared" si="110"/>
        <v/>
      </c>
      <c r="FD42" s="16"/>
      <c r="FE42" s="16"/>
      <c r="FF42" s="149" t="str">
        <f t="shared" si="71"/>
        <v/>
      </c>
      <c r="FG42" s="16"/>
      <c r="FH42" s="16"/>
      <c r="FI42" s="16" t="str">
        <f t="shared" si="111"/>
        <v/>
      </c>
      <c r="FJ42" s="16"/>
      <c r="FK42" s="16"/>
      <c r="FL42" s="149" t="str">
        <f t="shared" si="72"/>
        <v/>
      </c>
      <c r="FM42" s="16"/>
      <c r="FN42" s="16"/>
      <c r="FO42" s="16" t="str">
        <f t="shared" si="112"/>
        <v/>
      </c>
      <c r="FP42" s="16"/>
      <c r="FQ42" s="7"/>
    </row>
    <row r="43" spans="3:173" x14ac:dyDescent="0.25">
      <c r="F43" s="107" t="str">
        <f t="shared" si="31"/>
        <v/>
      </c>
      <c r="G43" s="93"/>
      <c r="H43" s="93"/>
      <c r="I43" s="93"/>
      <c r="J43" s="93"/>
      <c r="K43" s="109"/>
      <c r="L43" s="93" t="str">
        <f t="shared" si="32"/>
        <v/>
      </c>
      <c r="M43" s="93"/>
      <c r="N43" s="93"/>
      <c r="O43" s="93"/>
      <c r="P43" s="93"/>
      <c r="Q43" s="109"/>
      <c r="R43" s="93"/>
      <c r="S43" s="93"/>
      <c r="T43" s="93"/>
      <c r="U43" s="93"/>
      <c r="V43" s="93"/>
      <c r="W43" s="93"/>
      <c r="X43" s="107"/>
      <c r="Y43" s="93"/>
      <c r="Z43" s="93"/>
      <c r="AA43" s="93"/>
      <c r="AB43" s="93"/>
      <c r="AC43" s="109"/>
      <c r="AD43" s="93"/>
      <c r="AE43" s="93"/>
      <c r="AF43" s="93"/>
      <c r="AG43" s="93"/>
      <c r="AH43" s="93"/>
      <c r="AI43" s="109"/>
      <c r="AJ43" s="93">
        <f t="shared" si="33"/>
        <v>1</v>
      </c>
      <c r="AK43" s="93">
        <f>J17</f>
        <v>0</v>
      </c>
      <c r="AL43" s="93" t="str">
        <f>$E$1</f>
        <v/>
      </c>
      <c r="AM43" s="93" t="e">
        <f t="shared" si="34"/>
        <v>#VALUE!</v>
      </c>
      <c r="AN43" s="93" t="e">
        <f t="shared" si="35"/>
        <v>#VALUE!</v>
      </c>
      <c r="AO43" s="109" t="e">
        <f t="shared" si="36"/>
        <v>#VALUE!</v>
      </c>
      <c r="AP43" s="93">
        <f t="shared" si="37"/>
        <v>1</v>
      </c>
      <c r="AQ43" s="93">
        <f>K17</f>
        <v>0</v>
      </c>
      <c r="AR43" s="93" t="e">
        <f>$F$1</f>
        <v>#VALUE!</v>
      </c>
      <c r="AS43" s="93" t="e">
        <f t="shared" si="38"/>
        <v>#VALUE!</v>
      </c>
      <c r="AT43" s="93" t="e">
        <f t="shared" si="73"/>
        <v>#VALUE!</v>
      </c>
      <c r="AU43" s="93" t="e">
        <f t="shared" si="39"/>
        <v>#VALUE!</v>
      </c>
      <c r="AV43" s="107">
        <f t="shared" si="40"/>
        <v>1</v>
      </c>
      <c r="AW43" s="93">
        <f>L17</f>
        <v>0</v>
      </c>
      <c r="AX43" s="93" t="e">
        <f>$G$1</f>
        <v>#VALUE!</v>
      </c>
      <c r="AY43" s="93" t="e">
        <f t="shared" si="74"/>
        <v>#VALUE!</v>
      </c>
      <c r="AZ43" s="93" t="e">
        <f t="shared" si="75"/>
        <v>#VALUE!</v>
      </c>
      <c r="BA43" s="109" t="e">
        <f t="shared" si="41"/>
        <v>#VALUE!</v>
      </c>
      <c r="BB43" s="93">
        <f t="shared" si="42"/>
        <v>1</v>
      </c>
      <c r="BC43" s="93">
        <f>M17</f>
        <v>0</v>
      </c>
      <c r="BD43" s="93" t="e">
        <f>$H$1</f>
        <v>#VALUE!</v>
      </c>
      <c r="BE43" s="93" t="e">
        <f t="shared" si="43"/>
        <v>#VALUE!</v>
      </c>
      <c r="BF43" s="93" t="e">
        <f t="shared" si="76"/>
        <v>#VALUE!</v>
      </c>
      <c r="BG43" s="93" t="e">
        <f t="shared" si="44"/>
        <v>#VALUE!</v>
      </c>
      <c r="BH43" s="107">
        <f t="shared" si="45"/>
        <v>1</v>
      </c>
      <c r="BI43" s="93">
        <f>N17</f>
        <v>0</v>
      </c>
      <c r="BJ43" s="93" t="e">
        <f>$I$1</f>
        <v>#VALUE!</v>
      </c>
      <c r="BK43" s="93" t="e">
        <f t="shared" si="77"/>
        <v>#VALUE!</v>
      </c>
      <c r="BL43" s="93" t="e">
        <f t="shared" si="78"/>
        <v>#VALUE!</v>
      </c>
      <c r="BM43" s="93" t="e">
        <f t="shared" si="46"/>
        <v>#VALUE!</v>
      </c>
      <c r="BN43" s="107">
        <f t="shared" si="47"/>
        <v>1</v>
      </c>
      <c r="BO43" s="93">
        <f>O17</f>
        <v>0</v>
      </c>
      <c r="BP43" s="93" t="e">
        <f>$J$1</f>
        <v>#VALUE!</v>
      </c>
      <c r="BQ43" s="93" t="e">
        <f t="shared" si="79"/>
        <v>#VALUE!</v>
      </c>
      <c r="BR43" s="93" t="e">
        <f t="shared" si="80"/>
        <v>#VALUE!</v>
      </c>
      <c r="BS43" s="109" t="e">
        <f t="shared" si="48"/>
        <v>#VALUE!</v>
      </c>
      <c r="BT43" s="107">
        <f t="shared" si="49"/>
        <v>1</v>
      </c>
      <c r="BU43" s="93">
        <f>P17</f>
        <v>0</v>
      </c>
      <c r="BV43" s="93" t="e">
        <f>$K$1</f>
        <v>#VALUE!</v>
      </c>
      <c r="BW43" s="93" t="e">
        <f t="shared" si="81"/>
        <v>#VALUE!</v>
      </c>
      <c r="BX43" s="93" t="e">
        <f t="shared" si="82"/>
        <v>#VALUE!</v>
      </c>
      <c r="BY43" s="93" t="e">
        <f t="shared" si="50"/>
        <v>#VALUE!</v>
      </c>
      <c r="BZ43" s="107">
        <f t="shared" si="51"/>
        <v>1</v>
      </c>
      <c r="CA43" s="93">
        <f>Q17</f>
        <v>0</v>
      </c>
      <c r="CB43" s="93" t="e">
        <f>$L$1</f>
        <v>#VALUE!</v>
      </c>
      <c r="CC43" s="93" t="e">
        <f t="shared" si="83"/>
        <v>#VALUE!</v>
      </c>
      <c r="CD43" s="93" t="e">
        <f t="shared" si="84"/>
        <v>#VALUE!</v>
      </c>
      <c r="CE43" s="93" t="e">
        <f t="shared" si="52"/>
        <v>#VALUE!</v>
      </c>
      <c r="CF43" s="107">
        <f t="shared" si="53"/>
        <v>1</v>
      </c>
      <c r="CG43" s="93">
        <f>R17</f>
        <v>0</v>
      </c>
      <c r="CH43" s="93" t="e">
        <f>$M$1</f>
        <v>#VALUE!</v>
      </c>
      <c r="CI43" s="93" t="e">
        <f t="shared" si="85"/>
        <v>#VALUE!</v>
      </c>
      <c r="CJ43" s="93" t="e">
        <f t="shared" si="86"/>
        <v>#VALUE!</v>
      </c>
      <c r="CK43" s="93" t="e">
        <f t="shared" si="54"/>
        <v>#VALUE!</v>
      </c>
      <c r="CL43" s="107">
        <f t="shared" si="55"/>
        <v>1</v>
      </c>
      <c r="CM43" s="93">
        <f>S17</f>
        <v>0</v>
      </c>
      <c r="CN43" s="93" t="e">
        <f>$N$1</f>
        <v>#VALUE!</v>
      </c>
      <c r="CO43" s="93" t="e">
        <f t="shared" si="87"/>
        <v>#VALUE!</v>
      </c>
      <c r="CP43" s="93" t="e">
        <f t="shared" si="88"/>
        <v>#VALUE!</v>
      </c>
      <c r="CQ43" s="93" t="e">
        <f t="shared" si="56"/>
        <v>#VALUE!</v>
      </c>
      <c r="CR43" s="107">
        <f t="shared" si="57"/>
        <v>1</v>
      </c>
      <c r="CS43" s="93">
        <f>T17</f>
        <v>0</v>
      </c>
      <c r="CT43" s="93" t="e">
        <f>$O$1</f>
        <v>#VALUE!</v>
      </c>
      <c r="CU43" s="93" t="e">
        <f t="shared" si="89"/>
        <v>#VALUE!</v>
      </c>
      <c r="CV43" s="93" t="e">
        <f t="shared" si="90"/>
        <v>#VALUE!</v>
      </c>
      <c r="CW43" s="93" t="e">
        <f t="shared" si="58"/>
        <v>#VALUE!</v>
      </c>
      <c r="CX43" s="107">
        <f t="shared" si="59"/>
        <v>1</v>
      </c>
      <c r="CY43" s="93">
        <f>U17</f>
        <v>0</v>
      </c>
      <c r="CZ43" s="93" t="e">
        <f>$P$1</f>
        <v>#VALUE!</v>
      </c>
      <c r="DA43" s="93" t="e">
        <f t="shared" si="91"/>
        <v>#VALUE!</v>
      </c>
      <c r="DB43" s="93" t="e">
        <f t="shared" si="92"/>
        <v>#VALUE!</v>
      </c>
      <c r="DC43" s="93" t="e">
        <f t="shared" si="60"/>
        <v>#VALUE!</v>
      </c>
      <c r="DD43" s="107">
        <f t="shared" si="61"/>
        <v>1</v>
      </c>
      <c r="DE43" s="93">
        <f>V17</f>
        <v>0</v>
      </c>
      <c r="DF43" s="93" t="e">
        <f>$Q$1</f>
        <v>#VALUE!</v>
      </c>
      <c r="DG43" s="93" t="e">
        <f t="shared" si="93"/>
        <v>#VALUE!</v>
      </c>
      <c r="DH43" s="93" t="e">
        <f t="shared" si="94"/>
        <v>#VALUE!</v>
      </c>
      <c r="DI43" s="93" t="e">
        <f t="shared" si="62"/>
        <v>#VALUE!</v>
      </c>
      <c r="DJ43" s="107">
        <f t="shared" si="63"/>
        <v>1</v>
      </c>
      <c r="DK43" s="93">
        <f>W17</f>
        <v>0</v>
      </c>
      <c r="DL43" s="93" t="e">
        <f>$R$1</f>
        <v>#VALUE!</v>
      </c>
      <c r="DM43" s="93" t="e">
        <f t="shared" si="95"/>
        <v>#VALUE!</v>
      </c>
      <c r="DN43" s="93" t="e">
        <f t="shared" si="96"/>
        <v>#VALUE!</v>
      </c>
      <c r="DO43" s="93" t="e">
        <f t="shared" si="64"/>
        <v>#VALUE!</v>
      </c>
      <c r="DP43" s="107">
        <f t="shared" si="97"/>
        <v>1</v>
      </c>
      <c r="DQ43" s="93">
        <f>X17</f>
        <v>0</v>
      </c>
      <c r="DR43" s="93" t="e">
        <f>$S$1</f>
        <v>#VALUE!</v>
      </c>
      <c r="DS43" s="93" t="e">
        <f t="shared" si="98"/>
        <v>#VALUE!</v>
      </c>
      <c r="DT43" s="93" t="e">
        <f t="shared" si="99"/>
        <v>#VALUE!</v>
      </c>
      <c r="DU43" s="93" t="e">
        <f t="shared" si="100"/>
        <v>#VALUE!</v>
      </c>
      <c r="DV43" s="242">
        <f t="shared" si="65"/>
        <v>1</v>
      </c>
      <c r="DW43" s="243">
        <f>Y17</f>
        <v>0</v>
      </c>
      <c r="DX43" s="243" t="e">
        <f>$T$1</f>
        <v>#VALUE!</v>
      </c>
      <c r="DY43" s="243" t="e">
        <f t="shared" si="101"/>
        <v>#VALUE!</v>
      </c>
      <c r="DZ43" s="243" t="e">
        <f t="shared" si="102"/>
        <v>#VALUE!</v>
      </c>
      <c r="EA43" s="243" t="e">
        <f t="shared" si="103"/>
        <v>#VALUE!</v>
      </c>
      <c r="EB43" s="242">
        <f t="shared" si="66"/>
        <v>1</v>
      </c>
      <c r="EC43" s="243">
        <f>Z17</f>
        <v>0</v>
      </c>
      <c r="ED43" s="243" t="e">
        <f>$U$1</f>
        <v>#VALUE!</v>
      </c>
      <c r="EE43" s="243" t="e">
        <f t="shared" si="104"/>
        <v>#VALUE!</v>
      </c>
      <c r="EF43" s="243" t="e">
        <f t="shared" si="105"/>
        <v>#VALUE!</v>
      </c>
      <c r="EG43" s="243" t="e">
        <f t="shared" si="106"/>
        <v>#VALUE!</v>
      </c>
      <c r="EH43" s="242">
        <f t="shared" si="67"/>
        <v>1</v>
      </c>
      <c r="EI43" s="243">
        <f>AA17</f>
        <v>0</v>
      </c>
      <c r="EJ43" s="243" t="e">
        <f>$V$1</f>
        <v>#VALUE!</v>
      </c>
      <c r="EK43" s="243" t="e">
        <f t="shared" si="107"/>
        <v>#VALUE!</v>
      </c>
      <c r="EL43" s="243" t="e">
        <f t="shared" si="113"/>
        <v>#VALUE!</v>
      </c>
      <c r="EM43" s="243" t="e">
        <f t="shared" si="114"/>
        <v>#VALUE!</v>
      </c>
      <c r="EN43" s="242">
        <f t="shared" si="68"/>
        <v>1</v>
      </c>
      <c r="EO43" s="243">
        <f>AB17</f>
        <v>0</v>
      </c>
      <c r="EP43" s="243" t="e">
        <f>$W$1</f>
        <v>#VALUE!</v>
      </c>
      <c r="EQ43" s="243" t="e">
        <f t="shared" si="108"/>
        <v>#VALUE!</v>
      </c>
      <c r="ER43" s="243" t="e">
        <f>IF(ISNUMBER(EQ43),EO43+EQ43,IF(EQ43="",EO43,""))</f>
        <v>#VALUE!</v>
      </c>
      <c r="ES43" s="243" t="e">
        <f>RANK(ER43,ER$38:ER$47)</f>
        <v>#VALUE!</v>
      </c>
      <c r="ET43" s="242" t="str">
        <f t="shared" si="69"/>
        <v/>
      </c>
      <c r="EU43" s="243"/>
      <c r="EV43" s="243"/>
      <c r="EW43" s="243" t="str">
        <f t="shared" si="109"/>
        <v/>
      </c>
      <c r="EX43" s="243"/>
      <c r="EY43" s="243"/>
      <c r="EZ43" s="242" t="str">
        <f t="shared" si="70"/>
        <v/>
      </c>
      <c r="FA43" s="243"/>
      <c r="FB43" s="243"/>
      <c r="FC43" s="243" t="str">
        <f t="shared" si="110"/>
        <v/>
      </c>
      <c r="FD43" s="243"/>
      <c r="FE43" s="243"/>
      <c r="FF43" s="242" t="str">
        <f t="shared" si="71"/>
        <v/>
      </c>
      <c r="FG43" s="243"/>
      <c r="FH43" s="243"/>
      <c r="FI43" s="243" t="str">
        <f t="shared" si="111"/>
        <v/>
      </c>
      <c r="FJ43" s="243"/>
      <c r="FK43" s="243"/>
      <c r="FL43" s="242" t="str">
        <f t="shared" si="72"/>
        <v/>
      </c>
      <c r="FM43" s="243"/>
      <c r="FN43" s="243"/>
      <c r="FO43" s="243" t="str">
        <f t="shared" si="112"/>
        <v/>
      </c>
      <c r="FP43" s="243"/>
      <c r="FQ43" s="219"/>
    </row>
    <row r="44" spans="3:173" x14ac:dyDescent="0.25">
      <c r="F44" s="104" t="str">
        <f t="shared" si="31"/>
        <v/>
      </c>
      <c r="G44" s="17"/>
      <c r="H44" s="17"/>
      <c r="I44" s="17"/>
      <c r="J44" s="17"/>
      <c r="K44" s="106"/>
      <c r="L44" s="17" t="str">
        <f t="shared" si="32"/>
        <v/>
      </c>
      <c r="M44" s="181"/>
      <c r="N44" s="181"/>
      <c r="O44" s="181"/>
      <c r="P44" s="181"/>
      <c r="Q44" s="184"/>
      <c r="R44" s="181"/>
      <c r="S44" s="181"/>
      <c r="T44" s="181"/>
      <c r="U44" s="181"/>
      <c r="V44" s="181"/>
      <c r="W44" s="181"/>
      <c r="X44" s="180"/>
      <c r="Y44" s="181"/>
      <c r="Z44" s="181"/>
      <c r="AA44" s="181"/>
      <c r="AB44" s="181"/>
      <c r="AC44" s="184"/>
      <c r="AD44" s="181"/>
      <c r="AE44" s="181"/>
      <c r="AF44" s="181"/>
      <c r="AG44" s="181"/>
      <c r="AH44" s="181"/>
      <c r="AI44" s="184"/>
      <c r="AJ44" s="181"/>
      <c r="AK44" s="181"/>
      <c r="AL44" s="181"/>
      <c r="AM44" s="181"/>
      <c r="AN44" s="181"/>
      <c r="AO44" s="184"/>
      <c r="AP44" s="17">
        <f t="shared" si="37"/>
        <v>1</v>
      </c>
      <c r="AQ44" s="17">
        <f>K20</f>
        <v>0</v>
      </c>
      <c r="AR44" s="17" t="str">
        <f>$E$1</f>
        <v/>
      </c>
      <c r="AS44" s="17" t="e">
        <f t="shared" si="38"/>
        <v>#VALUE!</v>
      </c>
      <c r="AT44" s="17" t="e">
        <f t="shared" si="73"/>
        <v>#VALUE!</v>
      </c>
      <c r="AU44" s="17" t="e">
        <f t="shared" si="39"/>
        <v>#VALUE!</v>
      </c>
      <c r="AV44" s="104">
        <f t="shared" si="40"/>
        <v>1</v>
      </c>
      <c r="AW44" s="17">
        <f>L20</f>
        <v>0</v>
      </c>
      <c r="AX44" s="17" t="e">
        <f>$F$1</f>
        <v>#VALUE!</v>
      </c>
      <c r="AY44" s="17" t="e">
        <f t="shared" si="74"/>
        <v>#VALUE!</v>
      </c>
      <c r="AZ44" s="17" t="e">
        <f t="shared" si="75"/>
        <v>#VALUE!</v>
      </c>
      <c r="BA44" s="106" t="e">
        <f t="shared" si="41"/>
        <v>#VALUE!</v>
      </c>
      <c r="BB44" s="17">
        <f t="shared" si="42"/>
        <v>1</v>
      </c>
      <c r="BC44" s="17">
        <f>M20</f>
        <v>0</v>
      </c>
      <c r="BD44" s="17" t="e">
        <f>$G$1</f>
        <v>#VALUE!</v>
      </c>
      <c r="BE44" s="17" t="e">
        <f t="shared" si="43"/>
        <v>#VALUE!</v>
      </c>
      <c r="BF44" s="17" t="e">
        <f t="shared" si="76"/>
        <v>#VALUE!</v>
      </c>
      <c r="BG44" s="17" t="e">
        <f t="shared" si="44"/>
        <v>#VALUE!</v>
      </c>
      <c r="BH44" s="104">
        <f t="shared" si="45"/>
        <v>1</v>
      </c>
      <c r="BI44" s="17">
        <f>N20</f>
        <v>0</v>
      </c>
      <c r="BJ44" s="17" t="e">
        <f>$H$1</f>
        <v>#VALUE!</v>
      </c>
      <c r="BK44" s="17" t="e">
        <f t="shared" si="77"/>
        <v>#VALUE!</v>
      </c>
      <c r="BL44" s="17" t="e">
        <f t="shared" si="78"/>
        <v>#VALUE!</v>
      </c>
      <c r="BM44" s="17" t="e">
        <f t="shared" si="46"/>
        <v>#VALUE!</v>
      </c>
      <c r="BN44" s="104">
        <f t="shared" si="47"/>
        <v>1</v>
      </c>
      <c r="BO44" s="17">
        <f>O20</f>
        <v>0</v>
      </c>
      <c r="BP44" s="17" t="e">
        <f>$I$1</f>
        <v>#VALUE!</v>
      </c>
      <c r="BQ44" s="17" t="e">
        <f t="shared" si="79"/>
        <v>#VALUE!</v>
      </c>
      <c r="BR44" s="17" t="e">
        <f t="shared" si="80"/>
        <v>#VALUE!</v>
      </c>
      <c r="BS44" s="106" t="e">
        <f t="shared" si="48"/>
        <v>#VALUE!</v>
      </c>
      <c r="BT44" s="104">
        <f t="shared" si="49"/>
        <v>1</v>
      </c>
      <c r="BU44" s="17">
        <f>P20</f>
        <v>0</v>
      </c>
      <c r="BV44" s="17" t="e">
        <f>$J$1</f>
        <v>#VALUE!</v>
      </c>
      <c r="BW44" s="17" t="e">
        <f t="shared" si="81"/>
        <v>#VALUE!</v>
      </c>
      <c r="BX44" s="17" t="e">
        <f t="shared" si="82"/>
        <v>#VALUE!</v>
      </c>
      <c r="BY44" s="17" t="e">
        <f t="shared" si="50"/>
        <v>#VALUE!</v>
      </c>
      <c r="BZ44" s="104">
        <f t="shared" si="51"/>
        <v>1</v>
      </c>
      <c r="CA44" s="17">
        <f>Q20</f>
        <v>0</v>
      </c>
      <c r="CB44" s="17" t="e">
        <f>$K$1</f>
        <v>#VALUE!</v>
      </c>
      <c r="CC44" s="17" t="e">
        <f t="shared" si="83"/>
        <v>#VALUE!</v>
      </c>
      <c r="CD44" s="17" t="e">
        <f t="shared" si="84"/>
        <v>#VALUE!</v>
      </c>
      <c r="CE44" s="17" t="e">
        <f t="shared" si="52"/>
        <v>#VALUE!</v>
      </c>
      <c r="CF44" s="104">
        <f t="shared" si="53"/>
        <v>1</v>
      </c>
      <c r="CG44" s="17">
        <f>R20</f>
        <v>0</v>
      </c>
      <c r="CH44" s="17" t="e">
        <f>$L$1</f>
        <v>#VALUE!</v>
      </c>
      <c r="CI44" s="17" t="e">
        <f t="shared" si="85"/>
        <v>#VALUE!</v>
      </c>
      <c r="CJ44" s="17" t="e">
        <f t="shared" si="86"/>
        <v>#VALUE!</v>
      </c>
      <c r="CK44" s="17" t="e">
        <f t="shared" si="54"/>
        <v>#VALUE!</v>
      </c>
      <c r="CL44" s="104">
        <f t="shared" si="55"/>
        <v>1</v>
      </c>
      <c r="CM44" s="17">
        <f>S20</f>
        <v>0</v>
      </c>
      <c r="CN44" s="17" t="e">
        <f>$M$1</f>
        <v>#VALUE!</v>
      </c>
      <c r="CO44" s="17" t="e">
        <f t="shared" si="87"/>
        <v>#VALUE!</v>
      </c>
      <c r="CP44" s="17" t="e">
        <f t="shared" si="88"/>
        <v>#VALUE!</v>
      </c>
      <c r="CQ44" s="17" t="e">
        <f t="shared" si="56"/>
        <v>#VALUE!</v>
      </c>
      <c r="CR44" s="104">
        <f t="shared" si="57"/>
        <v>1</v>
      </c>
      <c r="CS44" s="17">
        <f>T20</f>
        <v>0</v>
      </c>
      <c r="CT44" s="17" t="e">
        <f>$N$1</f>
        <v>#VALUE!</v>
      </c>
      <c r="CU44" s="17" t="e">
        <f t="shared" si="89"/>
        <v>#VALUE!</v>
      </c>
      <c r="CV44" s="17" t="e">
        <f t="shared" si="90"/>
        <v>#VALUE!</v>
      </c>
      <c r="CW44" s="17" t="e">
        <f t="shared" si="58"/>
        <v>#VALUE!</v>
      </c>
      <c r="CX44" s="104">
        <f t="shared" si="59"/>
        <v>1</v>
      </c>
      <c r="CY44" s="17">
        <f>U20</f>
        <v>0</v>
      </c>
      <c r="CZ44" s="17" t="e">
        <f>$O$1</f>
        <v>#VALUE!</v>
      </c>
      <c r="DA44" s="17" t="e">
        <f t="shared" si="91"/>
        <v>#VALUE!</v>
      </c>
      <c r="DB44" s="17" t="e">
        <f t="shared" si="92"/>
        <v>#VALUE!</v>
      </c>
      <c r="DC44" s="17" t="e">
        <f t="shared" si="60"/>
        <v>#VALUE!</v>
      </c>
      <c r="DD44" s="104">
        <f t="shared" si="61"/>
        <v>1</v>
      </c>
      <c r="DE44" s="17">
        <f>V20</f>
        <v>0</v>
      </c>
      <c r="DF44" s="17" t="e">
        <f>$P$1</f>
        <v>#VALUE!</v>
      </c>
      <c r="DG44" s="17" t="e">
        <f t="shared" si="93"/>
        <v>#VALUE!</v>
      </c>
      <c r="DH44" s="17" t="e">
        <f t="shared" si="94"/>
        <v>#VALUE!</v>
      </c>
      <c r="DI44" s="17" t="e">
        <f t="shared" si="62"/>
        <v>#VALUE!</v>
      </c>
      <c r="DJ44" s="104">
        <f t="shared" si="63"/>
        <v>1</v>
      </c>
      <c r="DK44" s="17">
        <f>W20</f>
        <v>0</v>
      </c>
      <c r="DL44" s="17" t="e">
        <f>$Q$1</f>
        <v>#VALUE!</v>
      </c>
      <c r="DM44" s="17" t="e">
        <f t="shared" si="95"/>
        <v>#VALUE!</v>
      </c>
      <c r="DN44" s="17" t="e">
        <f t="shared" si="96"/>
        <v>#VALUE!</v>
      </c>
      <c r="DO44" s="17" t="e">
        <f t="shared" si="64"/>
        <v>#VALUE!</v>
      </c>
      <c r="DP44" s="104">
        <f t="shared" si="97"/>
        <v>1</v>
      </c>
      <c r="DQ44" s="17">
        <f>X20</f>
        <v>0</v>
      </c>
      <c r="DR44" s="17" t="e">
        <f>$R$1</f>
        <v>#VALUE!</v>
      </c>
      <c r="DS44" s="17" t="e">
        <f t="shared" si="98"/>
        <v>#VALUE!</v>
      </c>
      <c r="DT44" s="17" t="e">
        <f t="shared" si="99"/>
        <v>#VALUE!</v>
      </c>
      <c r="DU44" s="17" t="e">
        <f t="shared" si="100"/>
        <v>#VALUE!</v>
      </c>
      <c r="DV44" s="104">
        <f t="shared" si="65"/>
        <v>1</v>
      </c>
      <c r="DW44" s="17">
        <f>Y20</f>
        <v>0</v>
      </c>
      <c r="DX44" s="17" t="e">
        <f>$S$1</f>
        <v>#VALUE!</v>
      </c>
      <c r="DY44" s="17" t="e">
        <f t="shared" si="101"/>
        <v>#VALUE!</v>
      </c>
      <c r="DZ44" s="17" t="e">
        <f t="shared" si="102"/>
        <v>#VALUE!</v>
      </c>
      <c r="EA44" s="17" t="e">
        <f t="shared" si="103"/>
        <v>#VALUE!</v>
      </c>
      <c r="EB44" s="104">
        <f t="shared" si="66"/>
        <v>1</v>
      </c>
      <c r="EC44" s="17">
        <f>Z20</f>
        <v>0</v>
      </c>
      <c r="ED44" s="17" t="e">
        <f>$T$1</f>
        <v>#VALUE!</v>
      </c>
      <c r="EE44" s="17" t="e">
        <f t="shared" si="104"/>
        <v>#VALUE!</v>
      </c>
      <c r="EF44" s="17" t="e">
        <f t="shared" si="105"/>
        <v>#VALUE!</v>
      </c>
      <c r="EG44" s="17" t="e">
        <f t="shared" si="106"/>
        <v>#VALUE!</v>
      </c>
      <c r="EH44" s="104">
        <f t="shared" si="67"/>
        <v>1</v>
      </c>
      <c r="EI44" s="17">
        <f>AA20</f>
        <v>0</v>
      </c>
      <c r="EJ44" s="17" t="e">
        <f>$U$1</f>
        <v>#VALUE!</v>
      </c>
      <c r="EK44" s="17" t="e">
        <f t="shared" si="107"/>
        <v>#VALUE!</v>
      </c>
      <c r="EL44" s="17" t="e">
        <f t="shared" si="113"/>
        <v>#VALUE!</v>
      </c>
      <c r="EM44" s="17" t="e">
        <f t="shared" si="114"/>
        <v>#VALUE!</v>
      </c>
      <c r="EN44" s="104">
        <f t="shared" si="68"/>
        <v>1</v>
      </c>
      <c r="EO44" s="17">
        <f>AB20</f>
        <v>0</v>
      </c>
      <c r="EP44" s="17" t="e">
        <f>$V$1</f>
        <v>#VALUE!</v>
      </c>
      <c r="EQ44" s="17" t="e">
        <f t="shared" si="108"/>
        <v>#VALUE!</v>
      </c>
      <c r="ER44" s="17" t="e">
        <f>IF(ISNUMBER(EQ44),EO44+EQ44,IF(EQ44="",EO44,""))</f>
        <v>#VALUE!</v>
      </c>
      <c r="ES44" s="17" t="e">
        <f>RANK(ER44,ER$38:ER$47)</f>
        <v>#VALUE!</v>
      </c>
      <c r="ET44" s="104">
        <f t="shared" si="69"/>
        <v>1</v>
      </c>
      <c r="EU44" s="17">
        <f>AC20</f>
        <v>0</v>
      </c>
      <c r="EV44" s="17" t="e">
        <f>$W$1</f>
        <v>#VALUE!</v>
      </c>
      <c r="EW44" s="17" t="e">
        <f t="shared" si="109"/>
        <v>#VALUE!</v>
      </c>
      <c r="EX44" s="17" t="e">
        <f>IF(ISNUMBER(EW44),EU44+EW44,IF(EW44="",EU44,""))</f>
        <v>#VALUE!</v>
      </c>
      <c r="EY44" s="17" t="e">
        <f>RANK(EX44,EX$38:EX$47)</f>
        <v>#VALUE!</v>
      </c>
      <c r="EZ44" s="149" t="str">
        <f t="shared" si="70"/>
        <v/>
      </c>
      <c r="FA44" s="16"/>
      <c r="FB44" s="16"/>
      <c r="FC44" s="16" t="str">
        <f t="shared" si="110"/>
        <v/>
      </c>
      <c r="FD44" s="16"/>
      <c r="FE44" s="16"/>
      <c r="FF44" s="149" t="str">
        <f t="shared" si="71"/>
        <v/>
      </c>
      <c r="FG44" s="16"/>
      <c r="FH44" s="16"/>
      <c r="FI44" s="16" t="str">
        <f t="shared" si="111"/>
        <v/>
      </c>
      <c r="FJ44" s="16"/>
      <c r="FK44" s="16"/>
      <c r="FL44" s="149" t="str">
        <f t="shared" si="72"/>
        <v/>
      </c>
      <c r="FM44" s="16"/>
      <c r="FN44" s="16"/>
      <c r="FO44" s="16" t="str">
        <f t="shared" si="112"/>
        <v/>
      </c>
      <c r="FP44" s="16"/>
      <c r="FQ44" s="7"/>
    </row>
    <row r="45" spans="3:173" x14ac:dyDescent="0.25">
      <c r="F45" s="107" t="str">
        <f t="shared" si="31"/>
        <v/>
      </c>
      <c r="G45" s="93"/>
      <c r="H45" s="93"/>
      <c r="I45" s="93"/>
      <c r="J45" s="93"/>
      <c r="K45" s="109"/>
      <c r="L45" s="93" t="str">
        <f t="shared" si="32"/>
        <v/>
      </c>
      <c r="M45" s="93"/>
      <c r="N45" s="93"/>
      <c r="O45" s="93"/>
      <c r="P45" s="93"/>
      <c r="Q45" s="109"/>
      <c r="R45" s="93"/>
      <c r="S45" s="93"/>
      <c r="T45" s="93"/>
      <c r="U45" s="93"/>
      <c r="V45" s="93"/>
      <c r="W45" s="93"/>
      <c r="X45" s="107"/>
      <c r="Y45" s="93"/>
      <c r="Z45" s="93"/>
      <c r="AA45" s="93"/>
      <c r="AB45" s="93"/>
      <c r="AC45" s="109"/>
      <c r="AD45" s="93"/>
      <c r="AE45" s="93"/>
      <c r="AF45" s="93"/>
      <c r="AG45" s="93"/>
      <c r="AH45" s="93"/>
      <c r="AI45" s="109"/>
      <c r="AJ45" s="93"/>
      <c r="AK45" s="93"/>
      <c r="AL45" s="93"/>
      <c r="AM45" s="93"/>
      <c r="AN45" s="93"/>
      <c r="AO45" s="109"/>
      <c r="AP45" s="93" t="str">
        <f t="shared" si="37"/>
        <v/>
      </c>
      <c r="AQ45" s="93"/>
      <c r="AR45" s="93"/>
      <c r="AS45" s="93"/>
      <c r="AT45" s="93"/>
      <c r="AU45" s="93"/>
      <c r="AV45" s="107">
        <f t="shared" si="40"/>
        <v>1</v>
      </c>
      <c r="AW45" s="93">
        <f>L23</f>
        <v>0</v>
      </c>
      <c r="AX45" s="93" t="str">
        <f>$E$1</f>
        <v/>
      </c>
      <c r="AY45" s="93" t="e">
        <f t="shared" si="74"/>
        <v>#VALUE!</v>
      </c>
      <c r="AZ45" s="93" t="e">
        <f t="shared" si="75"/>
        <v>#VALUE!</v>
      </c>
      <c r="BA45" s="109" t="e">
        <f>RANK(AZ45,AZ$38:AZ$47)</f>
        <v>#VALUE!</v>
      </c>
      <c r="BB45" s="93">
        <f t="shared" si="42"/>
        <v>1</v>
      </c>
      <c r="BC45" s="93">
        <f>M23</f>
        <v>0</v>
      </c>
      <c r="BD45" s="93" t="e">
        <f>$F$1</f>
        <v>#VALUE!</v>
      </c>
      <c r="BE45" s="93" t="e">
        <f t="shared" si="43"/>
        <v>#VALUE!</v>
      </c>
      <c r="BF45" s="93" t="e">
        <f t="shared" si="76"/>
        <v>#VALUE!</v>
      </c>
      <c r="BG45" s="93" t="e">
        <f>RANK(BF45,BF$38:BF$47)</f>
        <v>#VALUE!</v>
      </c>
      <c r="BH45" s="107">
        <f t="shared" si="45"/>
        <v>1</v>
      </c>
      <c r="BI45" s="93">
        <f>N23</f>
        <v>0</v>
      </c>
      <c r="BJ45" s="93" t="e">
        <f>$G$1</f>
        <v>#VALUE!</v>
      </c>
      <c r="BK45" s="93" t="e">
        <f t="shared" si="77"/>
        <v>#VALUE!</v>
      </c>
      <c r="BL45" s="93" t="e">
        <f t="shared" si="78"/>
        <v>#VALUE!</v>
      </c>
      <c r="BM45" s="93" t="e">
        <f>RANK(BL45,BL$38:BL$47)</f>
        <v>#VALUE!</v>
      </c>
      <c r="BN45" s="107">
        <f t="shared" si="47"/>
        <v>1</v>
      </c>
      <c r="BO45" s="93">
        <f>O23</f>
        <v>0</v>
      </c>
      <c r="BP45" s="93" t="e">
        <f>$H$1</f>
        <v>#VALUE!</v>
      </c>
      <c r="BQ45" s="93" t="e">
        <f t="shared" si="79"/>
        <v>#VALUE!</v>
      </c>
      <c r="BR45" s="93" t="e">
        <f t="shared" si="80"/>
        <v>#VALUE!</v>
      </c>
      <c r="BS45" s="109" t="e">
        <f>RANK(BR45,BR$38:BR$47)</f>
        <v>#VALUE!</v>
      </c>
      <c r="BT45" s="107">
        <f t="shared" si="49"/>
        <v>1</v>
      </c>
      <c r="BU45" s="93">
        <f>P23</f>
        <v>0</v>
      </c>
      <c r="BV45" s="93" t="e">
        <f>$I$1</f>
        <v>#VALUE!</v>
      </c>
      <c r="BW45" s="93" t="e">
        <f t="shared" si="81"/>
        <v>#VALUE!</v>
      </c>
      <c r="BX45" s="93" t="e">
        <f t="shared" si="82"/>
        <v>#VALUE!</v>
      </c>
      <c r="BY45" s="93" t="e">
        <f>RANK(BX45,BX$38:BX$47)</f>
        <v>#VALUE!</v>
      </c>
      <c r="BZ45" s="107">
        <f t="shared" si="51"/>
        <v>1</v>
      </c>
      <c r="CA45" s="93">
        <f>Q23</f>
        <v>0</v>
      </c>
      <c r="CB45" s="93" t="e">
        <f>$J$1</f>
        <v>#VALUE!</v>
      </c>
      <c r="CC45" s="93" t="e">
        <f t="shared" si="83"/>
        <v>#VALUE!</v>
      </c>
      <c r="CD45" s="93" t="e">
        <f t="shared" si="84"/>
        <v>#VALUE!</v>
      </c>
      <c r="CE45" s="93" t="e">
        <f>RANK(CD45,CD$38:CD$47)</f>
        <v>#VALUE!</v>
      </c>
      <c r="CF45" s="107">
        <f t="shared" si="53"/>
        <v>1</v>
      </c>
      <c r="CG45" s="93">
        <f>R23</f>
        <v>0</v>
      </c>
      <c r="CH45" s="93" t="e">
        <f>$K$1</f>
        <v>#VALUE!</v>
      </c>
      <c r="CI45" s="93" t="e">
        <f t="shared" si="85"/>
        <v>#VALUE!</v>
      </c>
      <c r="CJ45" s="93" t="e">
        <f t="shared" si="86"/>
        <v>#VALUE!</v>
      </c>
      <c r="CK45" s="93" t="e">
        <f>RANK(CJ45,CJ$38:CJ$47)</f>
        <v>#VALUE!</v>
      </c>
      <c r="CL45" s="107">
        <f t="shared" si="55"/>
        <v>1</v>
      </c>
      <c r="CM45" s="93">
        <f>S23</f>
        <v>0</v>
      </c>
      <c r="CN45" s="93" t="e">
        <f>$L$1</f>
        <v>#VALUE!</v>
      </c>
      <c r="CO45" s="93" t="e">
        <f t="shared" si="87"/>
        <v>#VALUE!</v>
      </c>
      <c r="CP45" s="93" t="e">
        <f t="shared" si="88"/>
        <v>#VALUE!</v>
      </c>
      <c r="CQ45" s="93" t="e">
        <f>RANK(CP45,CP$38:CP$47)</f>
        <v>#VALUE!</v>
      </c>
      <c r="CR45" s="107">
        <f t="shared" si="57"/>
        <v>1</v>
      </c>
      <c r="CS45" s="93">
        <f>T23</f>
        <v>0</v>
      </c>
      <c r="CT45" s="93" t="e">
        <f>$M$1</f>
        <v>#VALUE!</v>
      </c>
      <c r="CU45" s="93" t="e">
        <f t="shared" si="89"/>
        <v>#VALUE!</v>
      </c>
      <c r="CV45" s="93" t="e">
        <f t="shared" si="90"/>
        <v>#VALUE!</v>
      </c>
      <c r="CW45" s="93" t="e">
        <f>RANK(CV45,CV$38:CV$47)</f>
        <v>#VALUE!</v>
      </c>
      <c r="CX45" s="107">
        <f t="shared" si="59"/>
        <v>1</v>
      </c>
      <c r="CY45" s="93">
        <f>U23</f>
        <v>0</v>
      </c>
      <c r="CZ45" s="93" t="e">
        <f>$N$1</f>
        <v>#VALUE!</v>
      </c>
      <c r="DA45" s="93" t="e">
        <f t="shared" si="91"/>
        <v>#VALUE!</v>
      </c>
      <c r="DB45" s="93" t="e">
        <f t="shared" si="92"/>
        <v>#VALUE!</v>
      </c>
      <c r="DC45" s="93" t="e">
        <f>RANK(DB45,DB$38:DB$47)</f>
        <v>#VALUE!</v>
      </c>
      <c r="DD45" s="107">
        <f t="shared" si="61"/>
        <v>1</v>
      </c>
      <c r="DE45" s="93">
        <f>V23</f>
        <v>0</v>
      </c>
      <c r="DF45" s="93" t="e">
        <f>$O$1</f>
        <v>#VALUE!</v>
      </c>
      <c r="DG45" s="93" t="e">
        <f t="shared" si="93"/>
        <v>#VALUE!</v>
      </c>
      <c r="DH45" s="93" t="e">
        <f t="shared" si="94"/>
        <v>#VALUE!</v>
      </c>
      <c r="DI45" s="93" t="e">
        <f>RANK(DH45,DH$38:DH$47)</f>
        <v>#VALUE!</v>
      </c>
      <c r="DJ45" s="107">
        <f t="shared" si="63"/>
        <v>1</v>
      </c>
      <c r="DK45" s="93">
        <f>W23</f>
        <v>0</v>
      </c>
      <c r="DL45" s="93" t="e">
        <f>$P$1</f>
        <v>#VALUE!</v>
      </c>
      <c r="DM45" s="93" t="e">
        <f t="shared" si="95"/>
        <v>#VALUE!</v>
      </c>
      <c r="DN45" s="93" t="e">
        <f t="shared" si="96"/>
        <v>#VALUE!</v>
      </c>
      <c r="DO45" s="93" t="e">
        <f>RANK(DN45,DN$38:DN$47)</f>
        <v>#VALUE!</v>
      </c>
      <c r="DP45" s="107">
        <f t="shared" si="97"/>
        <v>1</v>
      </c>
      <c r="DQ45" s="93">
        <f>X23</f>
        <v>0</v>
      </c>
      <c r="DR45" s="93" t="e">
        <f>$Q$1</f>
        <v>#VALUE!</v>
      </c>
      <c r="DS45" s="93" t="e">
        <f t="shared" si="98"/>
        <v>#VALUE!</v>
      </c>
      <c r="DT45" s="93" t="e">
        <f t="shared" si="99"/>
        <v>#VALUE!</v>
      </c>
      <c r="DU45" s="93" t="e">
        <f>RANK(DT45,DT$38:DT$47)</f>
        <v>#VALUE!</v>
      </c>
      <c r="DV45" s="242">
        <f t="shared" si="65"/>
        <v>1</v>
      </c>
      <c r="DW45" s="243">
        <f>Y23</f>
        <v>0</v>
      </c>
      <c r="DX45" s="243" t="e">
        <f>$R$1</f>
        <v>#VALUE!</v>
      </c>
      <c r="DY45" s="243" t="e">
        <f t="shared" si="101"/>
        <v>#VALUE!</v>
      </c>
      <c r="DZ45" s="243" t="e">
        <f t="shared" si="102"/>
        <v>#VALUE!</v>
      </c>
      <c r="EA45" s="243" t="e">
        <f t="shared" si="103"/>
        <v>#VALUE!</v>
      </c>
      <c r="EB45" s="242">
        <f t="shared" si="66"/>
        <v>1</v>
      </c>
      <c r="EC45" s="243">
        <f>Z23</f>
        <v>0</v>
      </c>
      <c r="ED45" s="243" t="e">
        <f>$S$1</f>
        <v>#VALUE!</v>
      </c>
      <c r="EE45" s="243" t="e">
        <f t="shared" si="104"/>
        <v>#VALUE!</v>
      </c>
      <c r="EF45" s="243" t="e">
        <f t="shared" si="105"/>
        <v>#VALUE!</v>
      </c>
      <c r="EG45" s="243" t="e">
        <f t="shared" si="106"/>
        <v>#VALUE!</v>
      </c>
      <c r="EH45" s="242">
        <f t="shared" si="67"/>
        <v>1</v>
      </c>
      <c r="EI45" s="243">
        <f>AA23</f>
        <v>0</v>
      </c>
      <c r="EJ45" s="243" t="e">
        <f>$T$1</f>
        <v>#VALUE!</v>
      </c>
      <c r="EK45" s="243" t="e">
        <f t="shared" si="107"/>
        <v>#VALUE!</v>
      </c>
      <c r="EL45" s="243" t="e">
        <f t="shared" si="113"/>
        <v>#VALUE!</v>
      </c>
      <c r="EM45" s="243" t="e">
        <f t="shared" si="114"/>
        <v>#VALUE!</v>
      </c>
      <c r="EN45" s="242">
        <f t="shared" si="68"/>
        <v>1</v>
      </c>
      <c r="EO45" s="243">
        <f>AB23</f>
        <v>0</v>
      </c>
      <c r="EP45" s="243" t="e">
        <f>$U$1</f>
        <v>#VALUE!</v>
      </c>
      <c r="EQ45" s="243" t="e">
        <f t="shared" si="108"/>
        <v>#VALUE!</v>
      </c>
      <c r="ER45" s="243" t="e">
        <f>IF(ISNUMBER(EQ45),EO45+EQ45,IF(EQ45="",EO45,""))</f>
        <v>#VALUE!</v>
      </c>
      <c r="ES45" s="243" t="e">
        <f>RANK(ER45,ER$38:ER$47)</f>
        <v>#VALUE!</v>
      </c>
      <c r="ET45" s="242">
        <f t="shared" si="69"/>
        <v>1</v>
      </c>
      <c r="EU45" s="243">
        <f>AC23</f>
        <v>0</v>
      </c>
      <c r="EV45" s="243" t="e">
        <f>$V$1</f>
        <v>#VALUE!</v>
      </c>
      <c r="EW45" s="243" t="e">
        <f t="shared" si="109"/>
        <v>#VALUE!</v>
      </c>
      <c r="EX45" s="243" t="e">
        <f>IF(ISNUMBER(EW45),EU45+EW45,IF(EW45="",EU45,""))</f>
        <v>#VALUE!</v>
      </c>
      <c r="EY45" s="243" t="e">
        <f>RANK(EX45,EX$38:EX$47)</f>
        <v>#VALUE!</v>
      </c>
      <c r="EZ45" s="242">
        <f t="shared" si="70"/>
        <v>1</v>
      </c>
      <c r="FA45" s="243">
        <f>AD23</f>
        <v>0</v>
      </c>
      <c r="FB45" s="243" t="e">
        <f>$W$1</f>
        <v>#VALUE!</v>
      </c>
      <c r="FC45" s="243" t="e">
        <f t="shared" si="110"/>
        <v>#VALUE!</v>
      </c>
      <c r="FD45" s="243" t="e">
        <f>IF(ISNUMBER(FC45),FA45+FC45,IF(FC45="",FA45,""))</f>
        <v>#VALUE!</v>
      </c>
      <c r="FE45" s="243" t="e">
        <f>RANK(FD45,FD$38:FD$47)</f>
        <v>#VALUE!</v>
      </c>
      <c r="FF45" s="242" t="str">
        <f t="shared" si="71"/>
        <v/>
      </c>
      <c r="FG45" s="243"/>
      <c r="FH45" s="243"/>
      <c r="FI45" s="243" t="str">
        <f t="shared" si="111"/>
        <v/>
      </c>
      <c r="FJ45" s="243"/>
      <c r="FK45" s="243"/>
      <c r="FL45" s="242" t="str">
        <f t="shared" si="72"/>
        <v/>
      </c>
      <c r="FM45" s="243"/>
      <c r="FN45" s="243"/>
      <c r="FO45" s="243" t="str">
        <f t="shared" si="112"/>
        <v/>
      </c>
      <c r="FP45" s="243"/>
      <c r="FQ45" s="219"/>
    </row>
    <row r="46" spans="3:173" x14ac:dyDescent="0.25">
      <c r="F46" s="104" t="str">
        <f t="shared" si="31"/>
        <v/>
      </c>
      <c r="G46" s="17"/>
      <c r="H46" s="17"/>
      <c r="I46" s="17"/>
      <c r="J46" s="17"/>
      <c r="K46" s="106"/>
      <c r="L46" s="17" t="str">
        <f t="shared" si="32"/>
        <v/>
      </c>
      <c r="M46" s="17"/>
      <c r="N46" s="17"/>
      <c r="O46" s="17"/>
      <c r="P46" s="17"/>
      <c r="Q46" s="106"/>
      <c r="R46" s="17"/>
      <c r="S46" s="182"/>
      <c r="T46" s="182"/>
      <c r="U46" s="182"/>
      <c r="V46" s="182"/>
      <c r="W46" s="182"/>
      <c r="X46" s="185"/>
      <c r="Y46" s="182"/>
      <c r="Z46" s="182"/>
      <c r="AA46" s="182"/>
      <c r="AB46" s="182"/>
      <c r="AC46" s="186"/>
      <c r="AD46" s="182"/>
      <c r="AE46" s="182"/>
      <c r="AF46" s="182"/>
      <c r="AG46" s="182"/>
      <c r="AH46" s="182"/>
      <c r="AI46" s="186"/>
      <c r="AJ46" s="182"/>
      <c r="AK46" s="182"/>
      <c r="AL46" s="182"/>
      <c r="AM46" s="182"/>
      <c r="AN46" s="182"/>
      <c r="AO46" s="186"/>
      <c r="AP46" s="182" t="str">
        <f t="shared" si="37"/>
        <v/>
      </c>
      <c r="AQ46" s="182"/>
      <c r="AR46" s="182"/>
      <c r="AS46" s="182"/>
      <c r="AT46" s="182"/>
      <c r="AU46" s="182"/>
      <c r="AV46" s="185"/>
      <c r="AW46" s="182"/>
      <c r="AX46" s="182"/>
      <c r="AY46" s="182"/>
      <c r="AZ46" s="182"/>
      <c r="BA46" s="186"/>
      <c r="BB46" s="17">
        <f t="shared" si="42"/>
        <v>1</v>
      </c>
      <c r="BC46" s="17">
        <f>M26</f>
        <v>0</v>
      </c>
      <c r="BD46" s="17" t="str">
        <f>$E$1</f>
        <v/>
      </c>
      <c r="BE46" s="17" t="e">
        <f t="shared" si="43"/>
        <v>#VALUE!</v>
      </c>
      <c r="BF46" s="17" t="e">
        <f t="shared" si="76"/>
        <v>#VALUE!</v>
      </c>
      <c r="BG46" s="17" t="e">
        <f>RANK(BF46,BF$38:BF$47)</f>
        <v>#VALUE!</v>
      </c>
      <c r="BH46" s="104">
        <f t="shared" si="45"/>
        <v>1</v>
      </c>
      <c r="BI46" s="17">
        <f>N26</f>
        <v>0</v>
      </c>
      <c r="BJ46" s="17" t="e">
        <f>$F$1</f>
        <v>#VALUE!</v>
      </c>
      <c r="BK46" s="17" t="e">
        <f t="shared" si="77"/>
        <v>#VALUE!</v>
      </c>
      <c r="BL46" s="17" t="e">
        <f t="shared" si="78"/>
        <v>#VALUE!</v>
      </c>
      <c r="BM46" s="17" t="e">
        <f>RANK(BL46,BL$38:BL$47)</f>
        <v>#VALUE!</v>
      </c>
      <c r="BN46" s="104">
        <f t="shared" si="47"/>
        <v>1</v>
      </c>
      <c r="BO46" s="17">
        <f>O26</f>
        <v>0</v>
      </c>
      <c r="BP46" s="17" t="e">
        <f>$G$1</f>
        <v>#VALUE!</v>
      </c>
      <c r="BQ46" s="17" t="e">
        <f t="shared" si="79"/>
        <v>#VALUE!</v>
      </c>
      <c r="BR46" s="17" t="e">
        <f t="shared" si="80"/>
        <v>#VALUE!</v>
      </c>
      <c r="BS46" s="106" t="e">
        <f>RANK(BR46,BR$38:BR$47)</f>
        <v>#VALUE!</v>
      </c>
      <c r="BT46" s="104">
        <f t="shared" si="49"/>
        <v>1</v>
      </c>
      <c r="BU46" s="17">
        <f>P26</f>
        <v>0</v>
      </c>
      <c r="BV46" s="17" t="e">
        <f>$H$1</f>
        <v>#VALUE!</v>
      </c>
      <c r="BW46" s="17" t="e">
        <f t="shared" si="81"/>
        <v>#VALUE!</v>
      </c>
      <c r="BX46" s="17" t="e">
        <f t="shared" si="82"/>
        <v>#VALUE!</v>
      </c>
      <c r="BY46" s="17" t="e">
        <f>RANK(BX46,BX$38:BX$47)</f>
        <v>#VALUE!</v>
      </c>
      <c r="BZ46" s="104">
        <f t="shared" si="51"/>
        <v>1</v>
      </c>
      <c r="CA46" s="17">
        <f>Q26</f>
        <v>0</v>
      </c>
      <c r="CB46" s="17" t="e">
        <f>$I$1</f>
        <v>#VALUE!</v>
      </c>
      <c r="CC46" s="17" t="e">
        <f t="shared" si="83"/>
        <v>#VALUE!</v>
      </c>
      <c r="CD46" s="17" t="e">
        <f t="shared" si="84"/>
        <v>#VALUE!</v>
      </c>
      <c r="CE46" s="17" t="e">
        <f>RANK(CD46,CD$38:CD$47)</f>
        <v>#VALUE!</v>
      </c>
      <c r="CF46" s="104">
        <f t="shared" si="53"/>
        <v>1</v>
      </c>
      <c r="CG46" s="17">
        <f>R26</f>
        <v>0</v>
      </c>
      <c r="CH46" s="17" t="e">
        <f>$J$1</f>
        <v>#VALUE!</v>
      </c>
      <c r="CI46" s="17" t="e">
        <f t="shared" si="85"/>
        <v>#VALUE!</v>
      </c>
      <c r="CJ46" s="17" t="e">
        <f t="shared" si="86"/>
        <v>#VALUE!</v>
      </c>
      <c r="CK46" s="17" t="e">
        <f>RANK(CJ46,CJ$38:CJ$47)</f>
        <v>#VALUE!</v>
      </c>
      <c r="CL46" s="104">
        <f t="shared" si="55"/>
        <v>1</v>
      </c>
      <c r="CM46" s="17">
        <f>S26</f>
        <v>0</v>
      </c>
      <c r="CN46" s="17" t="e">
        <f>$K$1</f>
        <v>#VALUE!</v>
      </c>
      <c r="CO46" s="17" t="e">
        <f t="shared" si="87"/>
        <v>#VALUE!</v>
      </c>
      <c r="CP46" s="17" t="e">
        <f t="shared" si="88"/>
        <v>#VALUE!</v>
      </c>
      <c r="CQ46" s="17" t="e">
        <f>RANK(CP46,CP$38:CP$47)</f>
        <v>#VALUE!</v>
      </c>
      <c r="CR46" s="104">
        <f t="shared" si="57"/>
        <v>1</v>
      </c>
      <c r="CS46" s="17">
        <f>T26</f>
        <v>0</v>
      </c>
      <c r="CT46" s="17" t="e">
        <f>$L$1</f>
        <v>#VALUE!</v>
      </c>
      <c r="CU46" s="17" t="e">
        <f t="shared" si="89"/>
        <v>#VALUE!</v>
      </c>
      <c r="CV46" s="17" t="e">
        <f t="shared" si="90"/>
        <v>#VALUE!</v>
      </c>
      <c r="CW46" s="17" t="e">
        <f>RANK(CV46,CV$38:CV$47)</f>
        <v>#VALUE!</v>
      </c>
      <c r="CX46" s="104">
        <f t="shared" si="59"/>
        <v>1</v>
      </c>
      <c r="CY46" s="17">
        <f>U26</f>
        <v>0</v>
      </c>
      <c r="CZ46" s="17" t="e">
        <f>$M$1</f>
        <v>#VALUE!</v>
      </c>
      <c r="DA46" s="17" t="e">
        <f t="shared" si="91"/>
        <v>#VALUE!</v>
      </c>
      <c r="DB46" s="17" t="e">
        <f t="shared" si="92"/>
        <v>#VALUE!</v>
      </c>
      <c r="DC46" s="17" t="e">
        <f>RANK(DB46,DB$38:DB$47)</f>
        <v>#VALUE!</v>
      </c>
      <c r="DD46" s="104">
        <f t="shared" si="61"/>
        <v>1</v>
      </c>
      <c r="DE46" s="17">
        <f>V26</f>
        <v>0</v>
      </c>
      <c r="DF46" s="17" t="e">
        <f>$N$1</f>
        <v>#VALUE!</v>
      </c>
      <c r="DG46" s="17" t="e">
        <f t="shared" si="93"/>
        <v>#VALUE!</v>
      </c>
      <c r="DH46" s="17" t="e">
        <f t="shared" si="94"/>
        <v>#VALUE!</v>
      </c>
      <c r="DI46" s="17" t="e">
        <f>RANK(DH46,DH$38:DH$47)</f>
        <v>#VALUE!</v>
      </c>
      <c r="DJ46" s="104">
        <f t="shared" si="63"/>
        <v>1</v>
      </c>
      <c r="DK46" s="17">
        <f>W26</f>
        <v>0</v>
      </c>
      <c r="DL46" s="17" t="e">
        <f>$O$1</f>
        <v>#VALUE!</v>
      </c>
      <c r="DM46" s="17" t="e">
        <f t="shared" si="95"/>
        <v>#VALUE!</v>
      </c>
      <c r="DN46" s="17" t="e">
        <f t="shared" si="96"/>
        <v>#VALUE!</v>
      </c>
      <c r="DO46" s="17" t="e">
        <f>RANK(DN46,DN$38:DN$47)</f>
        <v>#VALUE!</v>
      </c>
      <c r="DP46" s="104">
        <f t="shared" si="97"/>
        <v>1</v>
      </c>
      <c r="DQ46" s="17">
        <f>X26</f>
        <v>0</v>
      </c>
      <c r="DR46" s="17" t="e">
        <f>$P$1</f>
        <v>#VALUE!</v>
      </c>
      <c r="DS46" s="17" t="e">
        <f t="shared" si="98"/>
        <v>#VALUE!</v>
      </c>
      <c r="DT46" s="17" t="e">
        <f t="shared" si="99"/>
        <v>#VALUE!</v>
      </c>
      <c r="DU46" s="17" t="e">
        <f>RANK(DT46,DT$38:DT$47)</f>
        <v>#VALUE!</v>
      </c>
      <c r="DV46" s="104">
        <f t="shared" si="65"/>
        <v>1</v>
      </c>
      <c r="DW46" s="17">
        <f>Y26</f>
        <v>0</v>
      </c>
      <c r="DX46" s="17" t="e">
        <f>$Q$1</f>
        <v>#VALUE!</v>
      </c>
      <c r="DY46" s="17" t="e">
        <f t="shared" si="101"/>
        <v>#VALUE!</v>
      </c>
      <c r="DZ46" s="17" t="e">
        <f t="shared" si="102"/>
        <v>#VALUE!</v>
      </c>
      <c r="EA46" s="17" t="e">
        <f t="shared" si="103"/>
        <v>#VALUE!</v>
      </c>
      <c r="EB46" s="104">
        <f t="shared" si="66"/>
        <v>1</v>
      </c>
      <c r="EC46" s="17">
        <f>Z26</f>
        <v>0</v>
      </c>
      <c r="ED46" s="17" t="e">
        <f>$R$1</f>
        <v>#VALUE!</v>
      </c>
      <c r="EE46" s="17" t="e">
        <f t="shared" si="104"/>
        <v>#VALUE!</v>
      </c>
      <c r="EF46" s="17" t="e">
        <f t="shared" si="105"/>
        <v>#VALUE!</v>
      </c>
      <c r="EG46" s="17" t="e">
        <f t="shared" si="106"/>
        <v>#VALUE!</v>
      </c>
      <c r="EH46" s="104">
        <f t="shared" si="67"/>
        <v>1</v>
      </c>
      <c r="EI46" s="17">
        <f>AA26</f>
        <v>0</v>
      </c>
      <c r="EJ46" s="17" t="e">
        <f>$S$1</f>
        <v>#VALUE!</v>
      </c>
      <c r="EK46" s="17" t="e">
        <f t="shared" si="107"/>
        <v>#VALUE!</v>
      </c>
      <c r="EL46" s="17" t="e">
        <f t="shared" si="113"/>
        <v>#VALUE!</v>
      </c>
      <c r="EM46" s="17" t="e">
        <f t="shared" si="114"/>
        <v>#VALUE!</v>
      </c>
      <c r="EN46" s="104">
        <f t="shared" si="68"/>
        <v>1</v>
      </c>
      <c r="EO46" s="17">
        <f>AB26</f>
        <v>0</v>
      </c>
      <c r="EP46" s="17" t="e">
        <f>$T$1</f>
        <v>#VALUE!</v>
      </c>
      <c r="EQ46" s="17" t="e">
        <f t="shared" si="108"/>
        <v>#VALUE!</v>
      </c>
      <c r="ER46" s="17" t="e">
        <f>IF(ISNUMBER(EQ46),EO46+EQ46,IF(EQ46="",EO46,""))</f>
        <v>#VALUE!</v>
      </c>
      <c r="ES46" s="17" t="e">
        <f>RANK(ER46,ER$38:ER$47)</f>
        <v>#VALUE!</v>
      </c>
      <c r="ET46" s="104">
        <f t="shared" si="69"/>
        <v>1</v>
      </c>
      <c r="EU46" s="17">
        <f>AC26</f>
        <v>0</v>
      </c>
      <c r="EV46" s="17" t="e">
        <f>$U$1</f>
        <v>#VALUE!</v>
      </c>
      <c r="EW46" s="17" t="e">
        <f t="shared" si="109"/>
        <v>#VALUE!</v>
      </c>
      <c r="EX46" s="17" t="e">
        <f>IF(ISNUMBER(EW46),EU46+EW46,IF(EW46="",EU46,""))</f>
        <v>#VALUE!</v>
      </c>
      <c r="EY46" s="17" t="e">
        <f>RANK(EX46,EX$38:EX$47)</f>
        <v>#VALUE!</v>
      </c>
      <c r="EZ46" s="104">
        <f t="shared" si="70"/>
        <v>1</v>
      </c>
      <c r="FA46" s="17">
        <f>AD26</f>
        <v>0</v>
      </c>
      <c r="FB46" s="17" t="e">
        <f>$V$1</f>
        <v>#VALUE!</v>
      </c>
      <c r="FC46" s="17" t="e">
        <f t="shared" si="110"/>
        <v>#VALUE!</v>
      </c>
      <c r="FD46" s="17" t="e">
        <f>IF(ISNUMBER(FC46),FA46+FC46,IF(FC46="",FA46,""))</f>
        <v>#VALUE!</v>
      </c>
      <c r="FE46" s="17" t="e">
        <f>RANK(FD46,FD$38:FD$47)</f>
        <v>#VALUE!</v>
      </c>
      <c r="FF46" s="104">
        <f t="shared" si="71"/>
        <v>1</v>
      </c>
      <c r="FG46" s="17">
        <f>AE26</f>
        <v>0</v>
      </c>
      <c r="FH46" s="17" t="e">
        <f>$W$1</f>
        <v>#VALUE!</v>
      </c>
      <c r="FI46" s="17" t="e">
        <f t="shared" si="111"/>
        <v>#VALUE!</v>
      </c>
      <c r="FJ46" s="17" t="e">
        <f>IF(ISNUMBER(FI46),FG46+FI46,IF(FI46="",FG46,""))</f>
        <v>#VALUE!</v>
      </c>
      <c r="FK46" s="17" t="e">
        <f>RANK(FJ46,FJ$38:FJ$47)</f>
        <v>#VALUE!</v>
      </c>
      <c r="FL46" s="149" t="str">
        <f t="shared" si="72"/>
        <v/>
      </c>
      <c r="FM46" s="16"/>
      <c r="FN46" s="16"/>
      <c r="FO46" s="16" t="str">
        <f t="shared" si="112"/>
        <v/>
      </c>
      <c r="FP46" s="16"/>
      <c r="FQ46" s="7"/>
    </row>
    <row r="47" spans="3:173" ht="15.75" thickBot="1" x14ac:dyDescent="0.3">
      <c r="F47" s="111" t="str">
        <f t="shared" si="31"/>
        <v/>
      </c>
      <c r="G47" s="95"/>
      <c r="H47" s="95"/>
      <c r="I47" s="95"/>
      <c r="J47" s="95"/>
      <c r="K47" s="113"/>
      <c r="L47" s="95" t="str">
        <f t="shared" si="32"/>
        <v/>
      </c>
      <c r="M47" s="95"/>
      <c r="N47" s="95"/>
      <c r="O47" s="95"/>
      <c r="P47" s="95"/>
      <c r="Q47" s="113"/>
      <c r="R47" s="95"/>
      <c r="S47" s="95"/>
      <c r="T47" s="95"/>
      <c r="U47" s="95"/>
      <c r="V47" s="95"/>
      <c r="W47" s="95"/>
      <c r="X47" s="111"/>
      <c r="Y47" s="95"/>
      <c r="Z47" s="95"/>
      <c r="AA47" s="95"/>
      <c r="AB47" s="95"/>
      <c r="AC47" s="113"/>
      <c r="AD47" s="95"/>
      <c r="AE47" s="95"/>
      <c r="AF47" s="95"/>
      <c r="AG47" s="95"/>
      <c r="AH47" s="95"/>
      <c r="AI47" s="113"/>
      <c r="AJ47" s="95"/>
      <c r="AK47" s="95"/>
      <c r="AL47" s="95"/>
      <c r="AM47" s="95"/>
      <c r="AN47" s="95"/>
      <c r="AO47" s="113"/>
      <c r="AP47" s="95" t="str">
        <f t="shared" si="37"/>
        <v/>
      </c>
      <c r="AQ47" s="95"/>
      <c r="AR47" s="95"/>
      <c r="AS47" s="95"/>
      <c r="AT47" s="95"/>
      <c r="AU47" s="95"/>
      <c r="AV47" s="111"/>
      <c r="AW47" s="95"/>
      <c r="AX47" s="95"/>
      <c r="AY47" s="95"/>
      <c r="AZ47" s="95"/>
      <c r="BA47" s="113"/>
      <c r="BB47" s="95"/>
      <c r="BC47" s="95"/>
      <c r="BD47" s="95"/>
      <c r="BE47" s="95"/>
      <c r="BF47" s="95"/>
      <c r="BG47" s="95"/>
      <c r="BH47" s="111">
        <f t="shared" si="45"/>
        <v>1</v>
      </c>
      <c r="BI47" s="95">
        <f>N29</f>
        <v>0</v>
      </c>
      <c r="BJ47" s="95" t="str">
        <f>$E$1</f>
        <v/>
      </c>
      <c r="BK47" s="95" t="e">
        <f t="shared" si="77"/>
        <v>#VALUE!</v>
      </c>
      <c r="BL47" s="95" t="e">
        <f t="shared" si="78"/>
        <v>#VALUE!</v>
      </c>
      <c r="BM47" s="95" t="e">
        <f>RANK(BL47,BL$38:BL$47)</f>
        <v>#VALUE!</v>
      </c>
      <c r="BN47" s="111">
        <f t="shared" si="47"/>
        <v>1</v>
      </c>
      <c r="BO47" s="95">
        <f>O29</f>
        <v>0</v>
      </c>
      <c r="BP47" s="95" t="e">
        <f>$F$1</f>
        <v>#VALUE!</v>
      </c>
      <c r="BQ47" s="95" t="e">
        <f t="shared" si="79"/>
        <v>#VALUE!</v>
      </c>
      <c r="BR47" s="95" t="e">
        <f t="shared" si="80"/>
        <v>#VALUE!</v>
      </c>
      <c r="BS47" s="113" t="e">
        <f>RANK(BR47,BR$38:BR$47)</f>
        <v>#VALUE!</v>
      </c>
      <c r="BT47" s="111">
        <f t="shared" si="49"/>
        <v>1</v>
      </c>
      <c r="BU47" s="95">
        <f>P29</f>
        <v>0</v>
      </c>
      <c r="BV47" s="95" t="e">
        <f>$G$1</f>
        <v>#VALUE!</v>
      </c>
      <c r="BW47" s="95" t="e">
        <f t="shared" si="81"/>
        <v>#VALUE!</v>
      </c>
      <c r="BX47" s="95" t="e">
        <f t="shared" si="82"/>
        <v>#VALUE!</v>
      </c>
      <c r="BY47" s="95" t="e">
        <f>RANK(BX47,BX$38:BX$47)</f>
        <v>#VALUE!</v>
      </c>
      <c r="BZ47" s="111">
        <f t="shared" si="51"/>
        <v>1</v>
      </c>
      <c r="CA47" s="95">
        <f>Q29</f>
        <v>0</v>
      </c>
      <c r="CB47" s="95" t="e">
        <f>$H$1</f>
        <v>#VALUE!</v>
      </c>
      <c r="CC47" s="95" t="e">
        <f t="shared" si="83"/>
        <v>#VALUE!</v>
      </c>
      <c r="CD47" s="95" t="e">
        <f t="shared" si="84"/>
        <v>#VALUE!</v>
      </c>
      <c r="CE47" s="95" t="e">
        <f>RANK(CD47,CD$38:CD$47)</f>
        <v>#VALUE!</v>
      </c>
      <c r="CF47" s="111">
        <f t="shared" si="53"/>
        <v>1</v>
      </c>
      <c r="CG47" s="95">
        <f>R29</f>
        <v>0</v>
      </c>
      <c r="CH47" s="95" t="e">
        <f>$I$1</f>
        <v>#VALUE!</v>
      </c>
      <c r="CI47" s="95" t="e">
        <f t="shared" si="85"/>
        <v>#VALUE!</v>
      </c>
      <c r="CJ47" s="95" t="e">
        <f t="shared" si="86"/>
        <v>#VALUE!</v>
      </c>
      <c r="CK47" s="95" t="e">
        <f>RANK(CJ47,CJ$38:CJ$47)</f>
        <v>#VALUE!</v>
      </c>
      <c r="CL47" s="111">
        <f t="shared" si="55"/>
        <v>1</v>
      </c>
      <c r="CM47" s="95">
        <f>S29</f>
        <v>0</v>
      </c>
      <c r="CN47" s="95" t="e">
        <f>$J$1</f>
        <v>#VALUE!</v>
      </c>
      <c r="CO47" s="95" t="e">
        <f t="shared" si="87"/>
        <v>#VALUE!</v>
      </c>
      <c r="CP47" s="95" t="e">
        <f t="shared" si="88"/>
        <v>#VALUE!</v>
      </c>
      <c r="CQ47" s="95" t="e">
        <f>RANK(CP47,CP$38:CP$47)</f>
        <v>#VALUE!</v>
      </c>
      <c r="CR47" s="111">
        <f t="shared" si="57"/>
        <v>1</v>
      </c>
      <c r="CS47" s="95">
        <f>T29</f>
        <v>0</v>
      </c>
      <c r="CT47" s="95" t="e">
        <f>$K$1</f>
        <v>#VALUE!</v>
      </c>
      <c r="CU47" s="95" t="e">
        <f t="shared" si="89"/>
        <v>#VALUE!</v>
      </c>
      <c r="CV47" s="95" t="e">
        <f t="shared" si="90"/>
        <v>#VALUE!</v>
      </c>
      <c r="CW47" s="95" t="e">
        <f>RANK(CV47,CV$38:CV$47)</f>
        <v>#VALUE!</v>
      </c>
      <c r="CX47" s="111">
        <f t="shared" si="59"/>
        <v>1</v>
      </c>
      <c r="CY47" s="95">
        <f>U29</f>
        <v>0</v>
      </c>
      <c r="CZ47" s="95" t="e">
        <f>$L$1</f>
        <v>#VALUE!</v>
      </c>
      <c r="DA47" s="95" t="e">
        <f t="shared" si="91"/>
        <v>#VALUE!</v>
      </c>
      <c r="DB47" s="95" t="e">
        <f t="shared" si="92"/>
        <v>#VALUE!</v>
      </c>
      <c r="DC47" s="95" t="e">
        <f>RANK(DB47,DB$38:DB$47)</f>
        <v>#VALUE!</v>
      </c>
      <c r="DD47" s="111">
        <f t="shared" si="61"/>
        <v>1</v>
      </c>
      <c r="DE47" s="95">
        <f>V29</f>
        <v>0</v>
      </c>
      <c r="DF47" s="95" t="e">
        <f>$M$1</f>
        <v>#VALUE!</v>
      </c>
      <c r="DG47" s="95" t="e">
        <f t="shared" si="93"/>
        <v>#VALUE!</v>
      </c>
      <c r="DH47" s="95" t="e">
        <f t="shared" si="94"/>
        <v>#VALUE!</v>
      </c>
      <c r="DI47" s="95" t="e">
        <f>RANK(DH47,DH$38:DH$47)</f>
        <v>#VALUE!</v>
      </c>
      <c r="DJ47" s="111">
        <f t="shared" si="63"/>
        <v>1</v>
      </c>
      <c r="DK47" s="95">
        <f>W29</f>
        <v>0</v>
      </c>
      <c r="DL47" s="95" t="e">
        <f>$N$1</f>
        <v>#VALUE!</v>
      </c>
      <c r="DM47" s="95" t="e">
        <f t="shared" si="95"/>
        <v>#VALUE!</v>
      </c>
      <c r="DN47" s="95" t="e">
        <f t="shared" si="96"/>
        <v>#VALUE!</v>
      </c>
      <c r="DO47" s="95" t="e">
        <f>RANK(DN47,DN$38:DN$47)</f>
        <v>#VALUE!</v>
      </c>
      <c r="DP47" s="111">
        <f t="shared" si="97"/>
        <v>1</v>
      </c>
      <c r="DQ47" s="95">
        <f>X29</f>
        <v>0</v>
      </c>
      <c r="DR47" s="95" t="e">
        <f>$O$1</f>
        <v>#VALUE!</v>
      </c>
      <c r="DS47" s="95" t="e">
        <f t="shared" si="98"/>
        <v>#VALUE!</v>
      </c>
      <c r="DT47" s="95" t="e">
        <f t="shared" si="99"/>
        <v>#VALUE!</v>
      </c>
      <c r="DU47" s="95" t="e">
        <f>RANK(DT47,DT$38:DT$47)</f>
        <v>#VALUE!</v>
      </c>
      <c r="DV47" s="244">
        <f t="shared" si="65"/>
        <v>1</v>
      </c>
      <c r="DW47" s="245">
        <f>Y29</f>
        <v>0</v>
      </c>
      <c r="DX47" s="245" t="e">
        <f>$P$1</f>
        <v>#VALUE!</v>
      </c>
      <c r="DY47" s="245" t="e">
        <f t="shared" si="101"/>
        <v>#VALUE!</v>
      </c>
      <c r="DZ47" s="245" t="e">
        <f t="shared" si="102"/>
        <v>#VALUE!</v>
      </c>
      <c r="EA47" s="245" t="e">
        <f t="shared" si="103"/>
        <v>#VALUE!</v>
      </c>
      <c r="EB47" s="244">
        <f t="shared" si="66"/>
        <v>1</v>
      </c>
      <c r="EC47" s="245">
        <f>Z29</f>
        <v>0</v>
      </c>
      <c r="ED47" s="245" t="e">
        <f>$Q$1</f>
        <v>#VALUE!</v>
      </c>
      <c r="EE47" s="245" t="e">
        <f t="shared" si="104"/>
        <v>#VALUE!</v>
      </c>
      <c r="EF47" s="245" t="e">
        <f t="shared" si="105"/>
        <v>#VALUE!</v>
      </c>
      <c r="EG47" s="245" t="e">
        <f t="shared" si="106"/>
        <v>#VALUE!</v>
      </c>
      <c r="EH47" s="244">
        <f t="shared" si="67"/>
        <v>1</v>
      </c>
      <c r="EI47" s="245">
        <f>AA29</f>
        <v>0</v>
      </c>
      <c r="EJ47" s="245" t="e">
        <f>$R$1</f>
        <v>#VALUE!</v>
      </c>
      <c r="EK47" s="245" t="e">
        <f t="shared" si="107"/>
        <v>#VALUE!</v>
      </c>
      <c r="EL47" s="245" t="e">
        <f t="shared" si="113"/>
        <v>#VALUE!</v>
      </c>
      <c r="EM47" s="245" t="e">
        <f t="shared" si="114"/>
        <v>#VALUE!</v>
      </c>
      <c r="EN47" s="244">
        <f t="shared" si="68"/>
        <v>1</v>
      </c>
      <c r="EO47" s="245">
        <f>AB29</f>
        <v>0</v>
      </c>
      <c r="EP47" s="245" t="e">
        <f>$S$1</f>
        <v>#VALUE!</v>
      </c>
      <c r="EQ47" s="245" t="e">
        <f t="shared" si="108"/>
        <v>#VALUE!</v>
      </c>
      <c r="ER47" s="245" t="e">
        <f>IF(ISNUMBER(EQ47),EO47+EQ47,IF(EQ47="",EO47,""))</f>
        <v>#VALUE!</v>
      </c>
      <c r="ES47" s="245" t="e">
        <f>RANK(ER47,ER$38:ER$47)</f>
        <v>#VALUE!</v>
      </c>
      <c r="ET47" s="244">
        <f t="shared" si="69"/>
        <v>1</v>
      </c>
      <c r="EU47" s="245">
        <f>AC29</f>
        <v>0</v>
      </c>
      <c r="EV47" s="245" t="e">
        <f>$T$1</f>
        <v>#VALUE!</v>
      </c>
      <c r="EW47" s="245" t="e">
        <f t="shared" si="109"/>
        <v>#VALUE!</v>
      </c>
      <c r="EX47" s="245" t="e">
        <f>IF(ISNUMBER(EW47),EU47+EW47,IF(EW47="",EU47,""))</f>
        <v>#VALUE!</v>
      </c>
      <c r="EY47" s="245" t="e">
        <f>RANK(EX47,EX$38:EX$47)</f>
        <v>#VALUE!</v>
      </c>
      <c r="EZ47" s="244">
        <f t="shared" si="70"/>
        <v>1</v>
      </c>
      <c r="FA47" s="245">
        <f>AD29</f>
        <v>0</v>
      </c>
      <c r="FB47" s="245" t="e">
        <f>$U$1</f>
        <v>#VALUE!</v>
      </c>
      <c r="FC47" s="245" t="e">
        <f t="shared" si="110"/>
        <v>#VALUE!</v>
      </c>
      <c r="FD47" s="245" t="e">
        <f>IF(ISNUMBER(FC47),FA47+FC47,IF(FC47="",FA47,""))</f>
        <v>#VALUE!</v>
      </c>
      <c r="FE47" s="245" t="e">
        <f>RANK(FD47,FD$38:FD$47)</f>
        <v>#VALUE!</v>
      </c>
      <c r="FF47" s="244">
        <f t="shared" si="71"/>
        <v>1</v>
      </c>
      <c r="FG47" s="245">
        <f>AE29</f>
        <v>0</v>
      </c>
      <c r="FH47" s="245" t="e">
        <f>$V$1</f>
        <v>#VALUE!</v>
      </c>
      <c r="FI47" s="245" t="e">
        <f t="shared" si="111"/>
        <v>#VALUE!</v>
      </c>
      <c r="FJ47" s="245" t="e">
        <f>IF(ISNUMBER(FI47),FG47+FI47,IF(FI47="",FG47,""))</f>
        <v>#VALUE!</v>
      </c>
      <c r="FK47" s="245" t="e">
        <f>RANK(FJ47,FJ$38:FJ$47)</f>
        <v>#VALUE!</v>
      </c>
      <c r="FL47" s="244">
        <f t="shared" si="72"/>
        <v>1</v>
      </c>
      <c r="FM47" s="245">
        <f>AF29</f>
        <v>0</v>
      </c>
      <c r="FN47" s="245" t="e">
        <f>$W$1</f>
        <v>#VALUE!</v>
      </c>
      <c r="FO47" s="245" t="str">
        <f t="shared" si="112"/>
        <v/>
      </c>
      <c r="FP47" s="245">
        <f>IF(ISNUMBER(FO47),FM47+FO47,IF(FO47="",FM47,""))</f>
        <v>0</v>
      </c>
      <c r="FQ47" s="246">
        <f>RANK(FP47,FP$38:FP$47)</f>
        <v>1</v>
      </c>
    </row>
    <row r="48" spans="3:173" ht="15.75" thickBot="1" x14ac:dyDescent="0.3">
      <c r="G48" s="17"/>
      <c r="H48" s="17"/>
      <c r="I48" s="17"/>
      <c r="J48" s="17"/>
      <c r="K48" s="17"/>
      <c r="L48" s="17"/>
      <c r="M48" s="17"/>
      <c r="N48" s="17"/>
      <c r="O48" s="17"/>
      <c r="P48" s="17"/>
      <c r="Q48" s="17"/>
      <c r="R48" s="17"/>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7"/>
      <c r="AQ48" s="17"/>
      <c r="AR48" s="17"/>
      <c r="AS48" s="17"/>
      <c r="AT48" s="17"/>
      <c r="AU48" s="17"/>
    </row>
    <row r="49" spans="3:196" ht="60.75" thickBot="1" x14ac:dyDescent="0.3">
      <c r="H49" s="238" t="s">
        <v>85</v>
      </c>
      <c r="I49" s="239" t="s">
        <v>17</v>
      </c>
      <c r="J49" s="241" t="s">
        <v>232</v>
      </c>
      <c r="N49" s="238" t="s">
        <v>85</v>
      </c>
      <c r="O49" s="239" t="s">
        <v>17</v>
      </c>
      <c r="P49" s="241" t="s">
        <v>232</v>
      </c>
      <c r="T49" s="238" t="s">
        <v>85</v>
      </c>
      <c r="U49" s="239" t="s">
        <v>17</v>
      </c>
      <c r="V49" s="241" t="s">
        <v>232</v>
      </c>
      <c r="Z49" s="238" t="s">
        <v>85</v>
      </c>
      <c r="AA49" s="239" t="s">
        <v>17</v>
      </c>
      <c r="AB49" s="241" t="s">
        <v>232</v>
      </c>
      <c r="AF49" s="238" t="s">
        <v>85</v>
      </c>
      <c r="AG49" s="239" t="s">
        <v>17</v>
      </c>
      <c r="AH49" s="241" t="s">
        <v>232</v>
      </c>
      <c r="AL49" s="238" t="s">
        <v>85</v>
      </c>
      <c r="AM49" s="239" t="s">
        <v>17</v>
      </c>
      <c r="AN49" s="241" t="s">
        <v>232</v>
      </c>
      <c r="AR49" s="238" t="s">
        <v>85</v>
      </c>
      <c r="AS49" s="239" t="s">
        <v>17</v>
      </c>
      <c r="AT49" s="241" t="s">
        <v>232</v>
      </c>
      <c r="AX49" s="238" t="s">
        <v>85</v>
      </c>
      <c r="AY49" s="239" t="s">
        <v>17</v>
      </c>
      <c r="AZ49" s="241" t="s">
        <v>232</v>
      </c>
      <c r="BD49" s="238" t="s">
        <v>85</v>
      </c>
      <c r="BE49" s="239" t="s">
        <v>17</v>
      </c>
      <c r="BF49" s="241" t="s">
        <v>232</v>
      </c>
      <c r="BJ49" s="238" t="s">
        <v>85</v>
      </c>
      <c r="BK49" s="239" t="s">
        <v>17</v>
      </c>
      <c r="BL49" s="241" t="s">
        <v>232</v>
      </c>
      <c r="BP49" s="238" t="s">
        <v>85</v>
      </c>
      <c r="BQ49" s="239" t="s">
        <v>17</v>
      </c>
      <c r="BR49" s="241" t="s">
        <v>232</v>
      </c>
      <c r="BV49" s="238" t="s">
        <v>85</v>
      </c>
      <c r="BW49" s="239" t="s">
        <v>17</v>
      </c>
      <c r="BX49" s="241" t="s">
        <v>232</v>
      </c>
      <c r="CB49" s="238" t="s">
        <v>85</v>
      </c>
      <c r="CC49" s="239" t="s">
        <v>17</v>
      </c>
      <c r="CD49" s="241" t="s">
        <v>232</v>
      </c>
      <c r="CH49" s="238" t="s">
        <v>85</v>
      </c>
      <c r="CI49" s="239" t="s">
        <v>17</v>
      </c>
      <c r="CJ49" s="241" t="s">
        <v>232</v>
      </c>
      <c r="CN49" s="238" t="s">
        <v>85</v>
      </c>
      <c r="CO49" s="239" t="s">
        <v>17</v>
      </c>
      <c r="CP49" s="241" t="s">
        <v>232</v>
      </c>
      <c r="CT49" s="238" t="s">
        <v>85</v>
      </c>
      <c r="CU49" s="239" t="s">
        <v>17</v>
      </c>
      <c r="CV49" s="241" t="s">
        <v>232</v>
      </c>
      <c r="CZ49" s="238" t="s">
        <v>85</v>
      </c>
      <c r="DA49" s="239" t="s">
        <v>17</v>
      </c>
      <c r="DB49" s="241" t="s">
        <v>232</v>
      </c>
      <c r="DF49" s="238" t="s">
        <v>85</v>
      </c>
      <c r="DG49" s="239" t="s">
        <v>17</v>
      </c>
      <c r="DH49" s="241" t="s">
        <v>232</v>
      </c>
      <c r="DL49" s="238" t="s">
        <v>85</v>
      </c>
      <c r="DM49" s="239" t="s">
        <v>17</v>
      </c>
      <c r="DN49" s="241" t="s">
        <v>232</v>
      </c>
      <c r="DR49" s="238" t="s">
        <v>85</v>
      </c>
      <c r="DS49" s="239" t="s">
        <v>17</v>
      </c>
      <c r="DT49" s="241" t="s">
        <v>232</v>
      </c>
      <c r="DX49" s="238" t="s">
        <v>85</v>
      </c>
      <c r="DY49" s="239" t="s">
        <v>17</v>
      </c>
      <c r="DZ49" s="241" t="s">
        <v>232</v>
      </c>
      <c r="ED49" s="238" t="s">
        <v>85</v>
      </c>
      <c r="EE49" s="239" t="s">
        <v>17</v>
      </c>
      <c r="EF49" s="241" t="s">
        <v>232</v>
      </c>
      <c r="EJ49" s="238" t="s">
        <v>85</v>
      </c>
      <c r="EK49" s="239" t="s">
        <v>17</v>
      </c>
      <c r="EL49" s="241" t="s">
        <v>232</v>
      </c>
      <c r="EP49" s="238" t="s">
        <v>85</v>
      </c>
      <c r="EQ49" s="239" t="s">
        <v>17</v>
      </c>
      <c r="ER49" s="241" t="s">
        <v>232</v>
      </c>
      <c r="EV49" s="238" t="s">
        <v>85</v>
      </c>
      <c r="EW49" s="239" t="s">
        <v>17</v>
      </c>
      <c r="EX49" s="241" t="s">
        <v>232</v>
      </c>
      <c r="FB49" s="238" t="s">
        <v>85</v>
      </c>
      <c r="FC49" s="239" t="s">
        <v>17</v>
      </c>
      <c r="FD49" s="241" t="s">
        <v>232</v>
      </c>
      <c r="FH49" s="238" t="s">
        <v>85</v>
      </c>
      <c r="FI49" s="239" t="s">
        <v>17</v>
      </c>
      <c r="FJ49" s="241" t="s">
        <v>232</v>
      </c>
      <c r="FN49" s="238" t="s">
        <v>85</v>
      </c>
      <c r="FO49" s="239" t="s">
        <v>17</v>
      </c>
      <c r="FP49" s="241" t="s">
        <v>232</v>
      </c>
    </row>
    <row r="50" spans="3:196" x14ac:dyDescent="0.25">
      <c r="C50" s="187"/>
      <c r="D50" s="187"/>
      <c r="E50" s="187"/>
      <c r="F50" s="187"/>
      <c r="G50" s="187"/>
      <c r="H50" s="188">
        <v>1</v>
      </c>
      <c r="I50" s="118">
        <f>INDEX(G$38:G$47,(MATCH(H50,K$38:K$47,0)))</f>
        <v>0</v>
      </c>
      <c r="J50" s="189" t="str">
        <f>INDEX(H$38:H$47,(MATCH(H50,K$38:K$47,0)))</f>
        <v/>
      </c>
      <c r="K50" s="117"/>
      <c r="L50" s="187"/>
      <c r="M50" s="187"/>
      <c r="N50" s="188">
        <v>1</v>
      </c>
      <c r="O50" s="118" t="e">
        <f>INDEX(M$38:M$47,(MATCH(N50,Q$38:Q$47,0)))</f>
        <v>#N/A</v>
      </c>
      <c r="P50" s="189" t="e">
        <f>INDEX(N$38:N$47,(MATCH(N50,Q$38:Q$47,0)))</f>
        <v>#N/A</v>
      </c>
      <c r="Q50" s="117"/>
      <c r="R50" s="187"/>
      <c r="S50" s="187"/>
      <c r="T50" s="188">
        <v>1</v>
      </c>
      <c r="U50" s="118" t="e">
        <f t="shared" ref="U50:U59" si="115">INDEX(S$38:S$47,(MATCH(T50,W$38:W$47,0)))</f>
        <v>#N/A</v>
      </c>
      <c r="V50" s="189" t="e">
        <f t="shared" ref="V50:V59" si="116">INDEX(T$38:T$47,(MATCH(T50,W$38:W$47,0)))</f>
        <v>#N/A</v>
      </c>
      <c r="W50" s="117"/>
      <c r="X50" s="187"/>
      <c r="Y50" s="187"/>
      <c r="Z50" s="188">
        <v>1</v>
      </c>
      <c r="AA50" s="118" t="e">
        <f t="shared" ref="AA50:AA59" si="117">INDEX(Y$38:Y$47,(MATCH(Z50,AC$38:AC$47,0)))</f>
        <v>#N/A</v>
      </c>
      <c r="AB50" s="189" t="e">
        <f t="shared" ref="AB50:AB59" si="118">INDEX(Z$38:Z$47,(MATCH(Z50,AC$38:AC$47,0)))</f>
        <v>#N/A</v>
      </c>
      <c r="AC50" s="117"/>
      <c r="AD50" s="187"/>
      <c r="AE50" s="187"/>
      <c r="AF50" s="188">
        <v>1</v>
      </c>
      <c r="AG50" s="118" t="e">
        <f>INDEX(AE$38:AE$47,(MATCH(AF50,AI$38:AI$47,0)))</f>
        <v>#N/A</v>
      </c>
      <c r="AH50" s="189" t="e">
        <f>INDEX(AF$38:AF$47,(MATCH(AF50,AI$38:AI$47,0)))</f>
        <v>#N/A</v>
      </c>
      <c r="AI50" s="117"/>
      <c r="AJ50" s="187"/>
      <c r="AK50" s="187"/>
      <c r="AL50" s="188">
        <v>1</v>
      </c>
      <c r="AM50" s="118" t="e">
        <f t="shared" ref="AM50:AM59" si="119">INDEX(AK$38:AK$47,(MATCH(AL50,AO$38:AO$47,0)))</f>
        <v>#N/A</v>
      </c>
      <c r="AN50" s="189" t="e">
        <f t="shared" ref="AN50:AN59" si="120">INDEX(AL$38:AL$47,(MATCH(AL50,AO$38:AO$47,0)))</f>
        <v>#N/A</v>
      </c>
      <c r="AO50" s="117"/>
      <c r="AP50" s="187"/>
      <c r="AQ50" s="187"/>
      <c r="AR50" s="188">
        <v>1</v>
      </c>
      <c r="AS50" s="118" t="e">
        <f>INDEX(AQ$38:AQ$47,(MATCH(AR50,AU$38:AU$47,0)))</f>
        <v>#N/A</v>
      </c>
      <c r="AT50" s="189" t="e">
        <f>INDEX(AR$38:AR$47,(MATCH(AR50,AU$38:AU$47,0)))</f>
        <v>#N/A</v>
      </c>
      <c r="AU50" s="117"/>
      <c r="AV50" s="187"/>
      <c r="AW50" s="187"/>
      <c r="AX50" s="188">
        <v>1</v>
      </c>
      <c r="AY50" s="118" t="e">
        <f>INDEX(AW$38:AW$47,(MATCH(AX50,BA$38:BA$47,0)))</f>
        <v>#N/A</v>
      </c>
      <c r="AZ50" s="189" t="e">
        <f>INDEX(AX$38:AX$47,(MATCH(AX50,BA$38:BA$47,0)))</f>
        <v>#N/A</v>
      </c>
      <c r="BA50" s="187"/>
      <c r="BB50" s="187"/>
      <c r="BC50" s="187"/>
      <c r="BD50" s="188">
        <v>1</v>
      </c>
      <c r="BE50" s="118" t="e">
        <f t="shared" ref="BE50:BE59" si="121">INDEX(BC$38:BC$47,(MATCH(BD50,BG$38:BG$47,0)))</f>
        <v>#N/A</v>
      </c>
      <c r="BF50" s="189" t="e">
        <f t="shared" ref="BF50:BF59" si="122">INDEX(BD$38:BD$47,(MATCH(BD50,BG$38:BG$47,0)))</f>
        <v>#N/A</v>
      </c>
      <c r="BG50" s="187"/>
      <c r="BH50" s="187"/>
      <c r="BI50" s="187"/>
      <c r="BJ50" s="188">
        <v>1</v>
      </c>
      <c r="BK50" s="118" t="e">
        <f t="shared" ref="BK50:BK59" si="123">INDEX(BI$38:BI$47,(MATCH(BJ$50:BJ$59,BM$38:BM$47,0)))</f>
        <v>#N/A</v>
      </c>
      <c r="BL50" s="189" t="e">
        <f t="shared" ref="BL50:BL59" si="124">INDEX(BJ$38:BJ$47,(MATCH(BJ$50:BJ$59,BM$38:BM$47,0)))</f>
        <v>#N/A</v>
      </c>
      <c r="BM50" s="187"/>
      <c r="BN50" s="187"/>
      <c r="BO50" s="187"/>
      <c r="BP50" s="188">
        <v>1</v>
      </c>
      <c r="BQ50" s="118" t="e">
        <f t="shared" ref="BQ50:BQ59" si="125">INDEX(BO$38:BO$47,(MATCH(BP$50:BP$59,BS$38:BS$47,0)))</f>
        <v>#N/A</v>
      </c>
      <c r="BR50" s="189" t="e">
        <f t="shared" ref="BR50:BR59" si="126">INDEX(BP$38:BP$47,(MATCH(BP$50:BP$59,BS$38:BS$47,0)))</f>
        <v>#N/A</v>
      </c>
      <c r="BS50" s="117"/>
      <c r="BT50" s="187"/>
      <c r="BU50" s="187"/>
      <c r="BV50" s="188">
        <v>1</v>
      </c>
      <c r="BW50" s="118" t="e">
        <f t="shared" ref="BW50:BW59" si="127">INDEX(BU$38:BU$47,(MATCH(BV$50:BV$59,BY$38:BY$47,0)))</f>
        <v>#N/A</v>
      </c>
      <c r="BX50" s="189" t="e">
        <f t="shared" ref="BX50:BX59" si="128">INDEX(BV$38:BV$47,(MATCH(BV$50:BV$59,BY$38:BY$47,0)))</f>
        <v>#N/A</v>
      </c>
      <c r="BY50" s="117"/>
      <c r="BZ50" s="187"/>
      <c r="CA50" s="187"/>
      <c r="CB50" s="188">
        <v>1</v>
      </c>
      <c r="CC50" s="118" t="e">
        <f t="shared" ref="CC50:CC59" si="129">INDEX(CA$38:CA$47,(MATCH(CB$50:CB$59,CE$38:CE$47,0)))</f>
        <v>#N/A</v>
      </c>
      <c r="CD50" s="189" t="e">
        <f t="shared" ref="CD50:CD59" si="130">INDEX(CB$38:CB$47,(MATCH(CB$50:CB$59,CE$38:CE$47,0)))</f>
        <v>#N/A</v>
      </c>
      <c r="CE50" s="117"/>
      <c r="CF50" s="187"/>
      <c r="CG50" s="187"/>
      <c r="CH50" s="188">
        <v>1</v>
      </c>
      <c r="CI50" s="118" t="e">
        <f t="shared" ref="CI50:CI59" si="131">INDEX(CG$38:CG$47,(MATCH(CH$50:CH$59,CK$38:CK$47,0)))</f>
        <v>#N/A</v>
      </c>
      <c r="CJ50" s="189" t="e">
        <f t="shared" ref="CJ50:CJ59" si="132">INDEX(CH$38:CH$47,(MATCH(CH$50:CH$59,CK$38:CK$47,0)))</f>
        <v>#N/A</v>
      </c>
      <c r="CK50" s="117"/>
      <c r="CL50" s="187"/>
      <c r="CM50" s="187"/>
      <c r="CN50" s="188">
        <v>1</v>
      </c>
      <c r="CO50" s="118" t="e">
        <f t="shared" ref="CO50:CO59" si="133">INDEX(CM$38:CM$47,(MATCH(CN$50:CN$59,CQ$38:CQ$47,0)))</f>
        <v>#N/A</v>
      </c>
      <c r="CP50" s="189" t="e">
        <f t="shared" ref="CP50:CP59" si="134">INDEX(CN$38:CN$47,(MATCH(CN$50:CN$59,CQ$38:CQ$47,0)))</f>
        <v>#N/A</v>
      </c>
      <c r="CQ50" s="117"/>
      <c r="CR50" s="187"/>
      <c r="CS50" s="187"/>
      <c r="CT50" s="188">
        <v>1</v>
      </c>
      <c r="CU50" s="118" t="e">
        <f t="shared" ref="CU50:CU59" si="135">INDEX(CS$38:CS$47,(MATCH(CT$50:CT$59,CW$38:CW$47,0)))</f>
        <v>#N/A</v>
      </c>
      <c r="CV50" s="189" t="e">
        <f t="shared" ref="CV50:CV59" si="136">INDEX(CT$38:CT$47,(MATCH(CT$50:CT$59,CW$38:CW$47,0)))</f>
        <v>#N/A</v>
      </c>
      <c r="CW50" s="117"/>
      <c r="CX50" s="187"/>
      <c r="CY50" s="187"/>
      <c r="CZ50" s="188">
        <v>1</v>
      </c>
      <c r="DA50" s="118" t="e">
        <f t="shared" ref="DA50:DA59" si="137">INDEX(CY$38:CY$47,(MATCH(CZ$50:CZ$59,DC$38:DC$47,0)))</f>
        <v>#N/A</v>
      </c>
      <c r="DB50" s="189" t="e">
        <f t="shared" ref="DB50:DB59" si="138">INDEX(CZ$38:CZ$47,(MATCH(CZ$50:CZ$59,DC$38:DC$47,0)))</f>
        <v>#N/A</v>
      </c>
      <c r="DC50" s="117"/>
      <c r="DD50" s="187"/>
      <c r="DE50" s="187"/>
      <c r="DF50" s="188">
        <v>1</v>
      </c>
      <c r="DG50" s="118" t="e">
        <f t="shared" ref="DG50:DG59" si="139">INDEX(DE$38:DE$47,(MATCH(DF$50:DF$59,DI$38:DI$47,0)))</f>
        <v>#N/A</v>
      </c>
      <c r="DH50" s="189" t="e">
        <f t="shared" ref="DH50:DH59" si="140">INDEX(DF$38:DF$47,(MATCH(DF$50:DF$59,DI$38:DI$47,0)))</f>
        <v>#N/A</v>
      </c>
      <c r="DI50" s="117"/>
      <c r="DJ50" s="187"/>
      <c r="DK50" s="187"/>
      <c r="DL50" s="188">
        <v>1</v>
      </c>
      <c r="DM50" s="118" t="e">
        <f t="shared" ref="DM50:DM59" si="141">INDEX(DK$38:DK$47,(MATCH(DL$50:DL$59,DO$38:DO$47,0)))</f>
        <v>#N/A</v>
      </c>
      <c r="DN50" s="189" t="e">
        <f t="shared" ref="DN50:DN59" si="142">INDEX(DL$38:DL$47,(MATCH(DL$50:DL$59,DO$38:DO$47,0)))</f>
        <v>#N/A</v>
      </c>
      <c r="DO50" s="117"/>
      <c r="DP50" s="187"/>
      <c r="DQ50" s="187"/>
      <c r="DR50" s="188">
        <v>1</v>
      </c>
      <c r="DS50" s="118" t="e">
        <f t="shared" ref="DS50:DS59" si="143">INDEX(DQ$38:DQ$47,(MATCH(DR$50:DR$59,DU$38:DU$47,0)))</f>
        <v>#N/A</v>
      </c>
      <c r="DT50" s="189" t="e">
        <f t="shared" ref="DT50:DT59" si="144">INDEX(DR$38:DR$47,(MATCH(DR$50:DR$59,DU$38:DU$47,0)))</f>
        <v>#N/A</v>
      </c>
      <c r="DU50" s="117"/>
      <c r="DV50" s="187"/>
      <c r="DW50" s="187"/>
      <c r="DX50" s="188">
        <v>1</v>
      </c>
      <c r="DY50" s="118" t="e">
        <f t="shared" ref="DY50:DY59" si="145">INDEX(DW$38:DW$47,(MATCH(DX$50:DX$59,EA$38:EA$47,0)))</f>
        <v>#N/A</v>
      </c>
      <c r="DZ50" s="189" t="e">
        <f t="shared" ref="DZ50:DZ59" si="146">INDEX(DX$38:DX$47,(MATCH(DX$50:DX$59,EA$38:EA$47,0)))</f>
        <v>#N/A</v>
      </c>
      <c r="EA50" s="117"/>
      <c r="EB50" s="187"/>
      <c r="EC50" s="187"/>
      <c r="ED50" s="188">
        <v>1</v>
      </c>
      <c r="EE50" s="118" t="e">
        <f t="shared" ref="EE50:EE59" si="147">INDEX(EC$38:EC$47,(MATCH(ED$50:ED$59,EG$38:EG$47,0)))</f>
        <v>#N/A</v>
      </c>
      <c r="EF50" s="189" t="e">
        <f t="shared" ref="EF50:EF59" si="148">INDEX(ED$38:ED$47,(MATCH(ED$50:ED$59,EG$38:EG$47,0)))</f>
        <v>#N/A</v>
      </c>
      <c r="EG50" s="117"/>
      <c r="EH50" s="187"/>
      <c r="EI50" s="187"/>
      <c r="EJ50" s="188">
        <v>1</v>
      </c>
      <c r="EK50" s="118" t="e">
        <f t="shared" ref="EK50:EK59" si="149">INDEX(EI$38:EI$47,(MATCH(EJ$50:EJ$59,EM$38:EM$47,0)))</f>
        <v>#N/A</v>
      </c>
      <c r="EL50" s="189" t="e">
        <f t="shared" ref="EL50:EL59" si="150">INDEX(EJ$38:EJ$47,(MATCH(EJ$50:EJ$59,EM$38:EM$47,0)))</f>
        <v>#N/A</v>
      </c>
      <c r="EM50" s="117"/>
      <c r="EN50" s="187"/>
      <c r="EO50" s="187"/>
      <c r="EP50" s="188">
        <v>1</v>
      </c>
      <c r="EQ50" s="118" t="e">
        <f t="shared" ref="EQ50:EQ59" si="151">INDEX(EO$38:EO$47,(MATCH(EP$50:EP$59,ES$38:ES$47,0)))</f>
        <v>#N/A</v>
      </c>
      <c r="ER50" s="189" t="e">
        <f t="shared" ref="ER50:ER59" si="152">INDEX(EP$38:EP$47,(MATCH(EP$50:EP$59,ES$38:ES$47,0)))</f>
        <v>#N/A</v>
      </c>
      <c r="ES50" s="117"/>
      <c r="ET50" s="187"/>
      <c r="EU50" s="187"/>
      <c r="EV50" s="188">
        <v>1</v>
      </c>
      <c r="EW50" s="118" t="e">
        <f t="shared" ref="EW50:EW59" si="153">INDEX(EU$38:EU$47,(MATCH(EV$50:EV$59,EY$38:EY$47,0)))</f>
        <v>#N/A</v>
      </c>
      <c r="EX50" s="189" t="e">
        <f t="shared" ref="EX50:EX59" si="154">INDEX(EV$38:EV$47,(MATCH(EV$50:EV$59,EY$38:EY$47,0)))</f>
        <v>#N/A</v>
      </c>
      <c r="EY50" s="117"/>
      <c r="EZ50" s="187"/>
      <c r="FA50" s="187"/>
      <c r="FB50" s="188">
        <v>1</v>
      </c>
      <c r="FC50" s="118" t="e">
        <f>INDEX(FA$38:FA$47,(MATCH(FB$50:FB$59,FE$38:FE$47,0)))</f>
        <v>#N/A</v>
      </c>
      <c r="FD50" s="189" t="e">
        <f>INDEX(FB$38:FB$47,(MATCH(FB$50:FB$59,FE$38:FE$47,0)))</f>
        <v>#N/A</v>
      </c>
      <c r="FE50" s="117"/>
      <c r="FF50" s="187"/>
      <c r="FG50" s="187"/>
      <c r="FH50" s="188">
        <v>1</v>
      </c>
      <c r="FI50" s="118" t="e">
        <f>INDEX(FG$38:FG$47,(MATCH(FH$50:FH$59,FK$38:FK$47,0)))</f>
        <v>#N/A</v>
      </c>
      <c r="FJ50" s="189" t="e">
        <f>INDEX(FH$38:FH$47,(MATCH(FH$50:FH$59,FK$38:FK$47,0)))</f>
        <v>#N/A</v>
      </c>
      <c r="FK50" s="117"/>
      <c r="FL50" s="187"/>
      <c r="FM50" s="187"/>
      <c r="FN50" s="188">
        <v>1</v>
      </c>
      <c r="FO50" s="118">
        <f>INDEX(FM$38:FM$47,(MATCH(FN$50:FN$59,FQ$38:FQ$47,0)))</f>
        <v>0</v>
      </c>
      <c r="FP50" s="189" t="e">
        <f>INDEX(FN$38:FN$47,(MATCH(FN$50:FN$59,FQ$38:FQ$47,0)))</f>
        <v>#VALUE!</v>
      </c>
      <c r="FQ50" s="187"/>
      <c r="FR50" s="187"/>
      <c r="FS50" s="187"/>
      <c r="FT50" s="187"/>
      <c r="FU50" s="187"/>
      <c r="FV50" s="187"/>
      <c r="FW50" s="187"/>
      <c r="FX50" s="187"/>
      <c r="FY50" s="187"/>
      <c r="FZ50" s="187"/>
      <c r="GA50" s="187"/>
      <c r="GB50" s="187"/>
      <c r="GC50" s="187"/>
      <c r="GD50" s="187"/>
      <c r="GE50" s="187"/>
      <c r="GF50" s="187"/>
      <c r="GG50" s="187"/>
      <c r="GH50" s="187"/>
      <c r="GI50" s="187"/>
      <c r="GJ50" s="187"/>
      <c r="GK50" s="187"/>
      <c r="GL50" s="187"/>
      <c r="GM50" s="187"/>
      <c r="GN50" s="187"/>
    </row>
    <row r="51" spans="3:196" x14ac:dyDescent="0.25">
      <c r="H51" s="242">
        <v>2</v>
      </c>
      <c r="I51" s="247" t="e">
        <f t="shared" ref="I51:I59" si="155">INDEX(G$38:G$47,(MATCH(H51,F$38:F$47,0)))</f>
        <v>#N/A</v>
      </c>
      <c r="J51" s="248" t="e">
        <f t="shared" ref="J51:J59" si="156">INDEX(H$38:H$47,(MATCH(H51,F$38:F$47,0)))</f>
        <v>#N/A</v>
      </c>
      <c r="K51" s="117"/>
      <c r="N51" s="242">
        <v>2</v>
      </c>
      <c r="O51" s="247" t="e">
        <f t="shared" ref="O51:O59" si="157">INDEX(M$38:M$47,(MATCH(N51,Q$38:Q$47,0)))</f>
        <v>#N/A</v>
      </c>
      <c r="P51" s="248" t="e">
        <f t="shared" ref="P51:P59" si="158">INDEX(N$38:N$47,(MATCH(N51,Q$38:Q$47,0)))</f>
        <v>#N/A</v>
      </c>
      <c r="Q51" s="117"/>
      <c r="T51" s="242">
        <v>2</v>
      </c>
      <c r="U51" s="247" t="e">
        <f t="shared" si="115"/>
        <v>#N/A</v>
      </c>
      <c r="V51" s="248" t="e">
        <f t="shared" si="116"/>
        <v>#N/A</v>
      </c>
      <c r="W51" s="117"/>
      <c r="Z51" s="242">
        <v>2</v>
      </c>
      <c r="AA51" s="247" t="e">
        <f t="shared" si="117"/>
        <v>#N/A</v>
      </c>
      <c r="AB51" s="248" t="e">
        <f t="shared" si="118"/>
        <v>#N/A</v>
      </c>
      <c r="AC51" s="117"/>
      <c r="AF51" s="242">
        <v>2</v>
      </c>
      <c r="AG51" s="247" t="e">
        <f t="shared" ref="AG51:AG59" si="159">INDEX(AE$38:AE$47,(MATCH(AF51,AI$38:AI$47,0)))</f>
        <v>#N/A</v>
      </c>
      <c r="AH51" s="248" t="e">
        <f t="shared" ref="AH51:AH59" si="160">INDEX(AF$38:AF$47,(MATCH(AF51,AI$38:AI$47,0)))</f>
        <v>#N/A</v>
      </c>
      <c r="AI51" s="117"/>
      <c r="AL51" s="242">
        <v>2</v>
      </c>
      <c r="AM51" s="247" t="e">
        <f t="shared" si="119"/>
        <v>#N/A</v>
      </c>
      <c r="AN51" s="248" t="e">
        <f t="shared" si="120"/>
        <v>#N/A</v>
      </c>
      <c r="AO51" s="117"/>
      <c r="AR51" s="242">
        <v>2</v>
      </c>
      <c r="AS51" s="247" t="e">
        <f t="shared" ref="AS51:AS59" si="161">INDEX(AQ$38:AQ$47,(MATCH(AR51,AU$38:AU$47,0)))</f>
        <v>#N/A</v>
      </c>
      <c r="AT51" s="248" t="e">
        <f t="shared" ref="AT51:AT59" si="162">INDEX(AR$38:AR$47,(MATCH(AR51,AU$38:AU$47,0)))</f>
        <v>#N/A</v>
      </c>
      <c r="AU51" s="117"/>
      <c r="AX51" s="242">
        <v>2</v>
      </c>
      <c r="AY51" s="247" t="e">
        <f t="shared" ref="AY51:AY59" si="163">INDEX(AW$38:AW$47,(MATCH(AX51,BA$38:BA$47,0)))</f>
        <v>#N/A</v>
      </c>
      <c r="AZ51" s="248" t="e">
        <f t="shared" ref="AZ51:AZ59" si="164">INDEX(AX$38:AX$47,(MATCH(AX51,BA$38:BA$47,0)))</f>
        <v>#N/A</v>
      </c>
      <c r="BD51" s="242">
        <v>2</v>
      </c>
      <c r="BE51" s="247" t="e">
        <f t="shared" si="121"/>
        <v>#N/A</v>
      </c>
      <c r="BF51" s="248" t="e">
        <f t="shared" si="122"/>
        <v>#N/A</v>
      </c>
      <c r="BJ51" s="242">
        <v>2</v>
      </c>
      <c r="BK51" s="247" t="e">
        <f t="shared" si="123"/>
        <v>#N/A</v>
      </c>
      <c r="BL51" s="248" t="e">
        <f t="shared" si="124"/>
        <v>#N/A</v>
      </c>
      <c r="BP51" s="242">
        <v>2</v>
      </c>
      <c r="BQ51" s="247" t="e">
        <f t="shared" si="125"/>
        <v>#N/A</v>
      </c>
      <c r="BR51" s="248" t="e">
        <f t="shared" si="126"/>
        <v>#N/A</v>
      </c>
      <c r="BS51" s="117"/>
      <c r="BV51" s="242">
        <v>2</v>
      </c>
      <c r="BW51" s="247" t="e">
        <f t="shared" si="127"/>
        <v>#N/A</v>
      </c>
      <c r="BX51" s="248" t="e">
        <f t="shared" si="128"/>
        <v>#N/A</v>
      </c>
      <c r="BY51" s="117"/>
      <c r="CB51" s="242">
        <v>2</v>
      </c>
      <c r="CC51" s="247" t="e">
        <f t="shared" si="129"/>
        <v>#N/A</v>
      </c>
      <c r="CD51" s="248" t="e">
        <f t="shared" si="130"/>
        <v>#N/A</v>
      </c>
      <c r="CE51" s="117"/>
      <c r="CH51" s="242">
        <v>2</v>
      </c>
      <c r="CI51" s="247" t="e">
        <f t="shared" si="131"/>
        <v>#N/A</v>
      </c>
      <c r="CJ51" s="248" t="e">
        <f t="shared" si="132"/>
        <v>#N/A</v>
      </c>
      <c r="CK51" s="117"/>
      <c r="CN51" s="242">
        <v>2</v>
      </c>
      <c r="CO51" s="247" t="e">
        <f t="shared" si="133"/>
        <v>#N/A</v>
      </c>
      <c r="CP51" s="248" t="e">
        <f t="shared" si="134"/>
        <v>#N/A</v>
      </c>
      <c r="CQ51" s="117"/>
      <c r="CT51" s="242">
        <v>2</v>
      </c>
      <c r="CU51" s="247" t="e">
        <f t="shared" si="135"/>
        <v>#N/A</v>
      </c>
      <c r="CV51" s="248" t="e">
        <f t="shared" si="136"/>
        <v>#N/A</v>
      </c>
      <c r="CW51" s="117"/>
      <c r="CZ51" s="242">
        <v>2</v>
      </c>
      <c r="DA51" s="247" t="e">
        <f t="shared" si="137"/>
        <v>#N/A</v>
      </c>
      <c r="DB51" s="248" t="e">
        <f t="shared" si="138"/>
        <v>#N/A</v>
      </c>
      <c r="DC51" s="117"/>
      <c r="DF51" s="242">
        <v>2</v>
      </c>
      <c r="DG51" s="247" t="e">
        <f t="shared" si="139"/>
        <v>#N/A</v>
      </c>
      <c r="DH51" s="248" t="e">
        <f t="shared" si="140"/>
        <v>#N/A</v>
      </c>
      <c r="DI51" s="117"/>
      <c r="DL51" s="242">
        <v>2</v>
      </c>
      <c r="DM51" s="247" t="e">
        <f t="shared" si="141"/>
        <v>#N/A</v>
      </c>
      <c r="DN51" s="248" t="e">
        <f t="shared" si="142"/>
        <v>#N/A</v>
      </c>
      <c r="DO51" s="117"/>
      <c r="DR51" s="242">
        <v>2</v>
      </c>
      <c r="DS51" s="247" t="e">
        <f t="shared" si="143"/>
        <v>#N/A</v>
      </c>
      <c r="DT51" s="248" t="e">
        <f t="shared" si="144"/>
        <v>#N/A</v>
      </c>
      <c r="DU51" s="117"/>
      <c r="DX51" s="242">
        <v>2</v>
      </c>
      <c r="DY51" s="247" t="e">
        <f t="shared" si="145"/>
        <v>#N/A</v>
      </c>
      <c r="DZ51" s="248" t="e">
        <f t="shared" si="146"/>
        <v>#N/A</v>
      </c>
      <c r="EA51" s="117"/>
      <c r="ED51" s="242">
        <v>2</v>
      </c>
      <c r="EE51" s="247" t="e">
        <f t="shared" si="147"/>
        <v>#N/A</v>
      </c>
      <c r="EF51" s="248" t="e">
        <f t="shared" si="148"/>
        <v>#N/A</v>
      </c>
      <c r="EG51" s="117"/>
      <c r="EJ51" s="242">
        <v>2</v>
      </c>
      <c r="EK51" s="247" t="e">
        <f t="shared" si="149"/>
        <v>#N/A</v>
      </c>
      <c r="EL51" s="248" t="e">
        <f t="shared" si="150"/>
        <v>#N/A</v>
      </c>
      <c r="EM51" s="117"/>
      <c r="EP51" s="242">
        <v>2</v>
      </c>
      <c r="EQ51" s="247" t="e">
        <f t="shared" si="151"/>
        <v>#N/A</v>
      </c>
      <c r="ER51" s="248" t="e">
        <f t="shared" si="152"/>
        <v>#N/A</v>
      </c>
      <c r="ES51" s="117"/>
      <c r="EV51" s="242">
        <v>2</v>
      </c>
      <c r="EW51" s="247" t="e">
        <f t="shared" si="153"/>
        <v>#N/A</v>
      </c>
      <c r="EX51" s="248" t="e">
        <f t="shared" si="154"/>
        <v>#N/A</v>
      </c>
      <c r="EY51" s="117"/>
      <c r="FB51" s="242">
        <v>2</v>
      </c>
      <c r="FC51" s="247" t="e">
        <f t="shared" ref="FC51:FC59" si="165">INDEX(FA$38:FA$47,(MATCH(FB$50:FB$59,EZ$38:EZ$47,0)))</f>
        <v>#N/A</v>
      </c>
      <c r="FD51" s="248" t="e">
        <f t="shared" ref="FD51:FD59" si="166">INDEX(FB$38:FB$47,(MATCH(FB$50:FB$59,EZ$38:EZ$47,0)))</f>
        <v>#N/A</v>
      </c>
      <c r="FE51" s="117"/>
      <c r="FH51" s="242">
        <v>2</v>
      </c>
      <c r="FI51" s="247" t="e">
        <f t="shared" ref="FI51:FI59" si="167">INDEX(FG$38:FG$47,(MATCH(FH$50:FH$59,FF$38:FF$47,0)))</f>
        <v>#N/A</v>
      </c>
      <c r="FJ51" s="248" t="e">
        <f t="shared" ref="FJ51:FJ59" si="168">INDEX(FH$38:FH$47,(MATCH(FH$50:FH$59,FF$38:FF$47,0)))</f>
        <v>#N/A</v>
      </c>
      <c r="FK51" s="117"/>
      <c r="FN51" s="242">
        <v>2</v>
      </c>
      <c r="FO51" s="247" t="e">
        <f t="shared" ref="FO51:FO59" si="169">INDEX(FM$38:FM$47,(MATCH(FN$50:FN$59,FL$38:FL$47,0)))</f>
        <v>#N/A</v>
      </c>
      <c r="FP51" s="248" t="e">
        <f t="shared" ref="FP51:FP59" si="170">INDEX(FN$38:FN$47,(MATCH(FN$50:FN$59,FL$38:FL$47,0)))</f>
        <v>#N/A</v>
      </c>
    </row>
    <row r="52" spans="3:196" x14ac:dyDescent="0.25">
      <c r="H52" s="191">
        <v>3</v>
      </c>
      <c r="I52" s="117" t="e">
        <f t="shared" si="155"/>
        <v>#N/A</v>
      </c>
      <c r="J52" s="190" t="e">
        <f t="shared" si="156"/>
        <v>#N/A</v>
      </c>
      <c r="K52" s="117"/>
      <c r="N52" s="191">
        <v>3</v>
      </c>
      <c r="O52" s="117" t="e">
        <f t="shared" si="157"/>
        <v>#N/A</v>
      </c>
      <c r="P52" s="190" t="e">
        <f t="shared" si="158"/>
        <v>#N/A</v>
      </c>
      <c r="Q52" s="117"/>
      <c r="T52" s="191">
        <v>3</v>
      </c>
      <c r="U52" s="117" t="e">
        <f t="shared" si="115"/>
        <v>#N/A</v>
      </c>
      <c r="V52" s="190" t="e">
        <f t="shared" si="116"/>
        <v>#N/A</v>
      </c>
      <c r="W52" s="117"/>
      <c r="Z52" s="191">
        <v>3</v>
      </c>
      <c r="AA52" s="117" t="e">
        <f t="shared" si="117"/>
        <v>#N/A</v>
      </c>
      <c r="AB52" s="190" t="e">
        <f t="shared" si="118"/>
        <v>#N/A</v>
      </c>
      <c r="AC52" s="117"/>
      <c r="AF52" s="191">
        <v>3</v>
      </c>
      <c r="AG52" s="117" t="e">
        <f t="shared" si="159"/>
        <v>#N/A</v>
      </c>
      <c r="AH52" s="190" t="e">
        <f t="shared" si="160"/>
        <v>#N/A</v>
      </c>
      <c r="AI52" s="117"/>
      <c r="AL52" s="191">
        <v>3</v>
      </c>
      <c r="AM52" s="117" t="e">
        <f t="shared" si="119"/>
        <v>#N/A</v>
      </c>
      <c r="AN52" s="190" t="e">
        <f t="shared" si="120"/>
        <v>#N/A</v>
      </c>
      <c r="AO52" s="117"/>
      <c r="AR52" s="191">
        <v>3</v>
      </c>
      <c r="AS52" s="117" t="e">
        <f t="shared" si="161"/>
        <v>#N/A</v>
      </c>
      <c r="AT52" s="190" t="e">
        <f t="shared" si="162"/>
        <v>#N/A</v>
      </c>
      <c r="AU52" s="117"/>
      <c r="AX52" s="191">
        <v>3</v>
      </c>
      <c r="AY52" s="117" t="e">
        <f t="shared" si="163"/>
        <v>#N/A</v>
      </c>
      <c r="AZ52" s="190" t="e">
        <f t="shared" si="164"/>
        <v>#N/A</v>
      </c>
      <c r="BD52" s="191">
        <v>3</v>
      </c>
      <c r="BE52" s="117" t="e">
        <f t="shared" si="121"/>
        <v>#N/A</v>
      </c>
      <c r="BF52" s="190" t="e">
        <f t="shared" si="122"/>
        <v>#N/A</v>
      </c>
      <c r="BJ52" s="191">
        <v>3</v>
      </c>
      <c r="BK52" s="117" t="e">
        <f t="shared" si="123"/>
        <v>#N/A</v>
      </c>
      <c r="BL52" s="190" t="e">
        <f t="shared" si="124"/>
        <v>#N/A</v>
      </c>
      <c r="BP52" s="191">
        <v>3</v>
      </c>
      <c r="BQ52" s="117" t="e">
        <f t="shared" si="125"/>
        <v>#N/A</v>
      </c>
      <c r="BR52" s="190" t="e">
        <f t="shared" si="126"/>
        <v>#N/A</v>
      </c>
      <c r="BS52" s="117"/>
      <c r="BV52" s="191">
        <v>3</v>
      </c>
      <c r="BW52" s="117" t="e">
        <f t="shared" si="127"/>
        <v>#N/A</v>
      </c>
      <c r="BX52" s="190" t="e">
        <f t="shared" si="128"/>
        <v>#N/A</v>
      </c>
      <c r="BY52" s="117"/>
      <c r="CB52" s="191">
        <v>3</v>
      </c>
      <c r="CC52" s="117" t="e">
        <f t="shared" si="129"/>
        <v>#N/A</v>
      </c>
      <c r="CD52" s="190" t="e">
        <f t="shared" si="130"/>
        <v>#N/A</v>
      </c>
      <c r="CE52" s="117"/>
      <c r="CH52" s="191">
        <v>3</v>
      </c>
      <c r="CI52" s="117" t="e">
        <f t="shared" si="131"/>
        <v>#N/A</v>
      </c>
      <c r="CJ52" s="190" t="e">
        <f t="shared" si="132"/>
        <v>#N/A</v>
      </c>
      <c r="CK52" s="117"/>
      <c r="CN52" s="191">
        <v>3</v>
      </c>
      <c r="CO52" s="117" t="e">
        <f t="shared" si="133"/>
        <v>#N/A</v>
      </c>
      <c r="CP52" s="190" t="e">
        <f t="shared" si="134"/>
        <v>#N/A</v>
      </c>
      <c r="CQ52" s="117"/>
      <c r="CT52" s="191">
        <v>3</v>
      </c>
      <c r="CU52" s="117" t="e">
        <f t="shared" si="135"/>
        <v>#N/A</v>
      </c>
      <c r="CV52" s="190" t="e">
        <f t="shared" si="136"/>
        <v>#N/A</v>
      </c>
      <c r="CW52" s="117"/>
      <c r="CZ52" s="191">
        <v>3</v>
      </c>
      <c r="DA52" s="117" t="e">
        <f t="shared" si="137"/>
        <v>#N/A</v>
      </c>
      <c r="DB52" s="190" t="e">
        <f t="shared" si="138"/>
        <v>#N/A</v>
      </c>
      <c r="DC52" s="117"/>
      <c r="DF52" s="191">
        <v>3</v>
      </c>
      <c r="DG52" s="117" t="e">
        <f t="shared" si="139"/>
        <v>#N/A</v>
      </c>
      <c r="DH52" s="190" t="e">
        <f t="shared" si="140"/>
        <v>#N/A</v>
      </c>
      <c r="DI52" s="117"/>
      <c r="DL52" s="191">
        <v>3</v>
      </c>
      <c r="DM52" s="117" t="e">
        <f t="shared" si="141"/>
        <v>#N/A</v>
      </c>
      <c r="DN52" s="190" t="e">
        <f t="shared" si="142"/>
        <v>#N/A</v>
      </c>
      <c r="DO52" s="117"/>
      <c r="DR52" s="191">
        <v>3</v>
      </c>
      <c r="DS52" s="117" t="e">
        <f t="shared" si="143"/>
        <v>#N/A</v>
      </c>
      <c r="DT52" s="190" t="e">
        <f t="shared" si="144"/>
        <v>#N/A</v>
      </c>
      <c r="DU52" s="117"/>
      <c r="DX52" s="191">
        <v>3</v>
      </c>
      <c r="DY52" s="117" t="e">
        <f t="shared" si="145"/>
        <v>#N/A</v>
      </c>
      <c r="DZ52" s="190" t="e">
        <f t="shared" si="146"/>
        <v>#N/A</v>
      </c>
      <c r="EA52" s="117"/>
      <c r="ED52" s="191">
        <v>3</v>
      </c>
      <c r="EE52" s="117" t="e">
        <f t="shared" si="147"/>
        <v>#N/A</v>
      </c>
      <c r="EF52" s="190" t="e">
        <f t="shared" si="148"/>
        <v>#N/A</v>
      </c>
      <c r="EG52" s="117"/>
      <c r="EJ52" s="191">
        <v>3</v>
      </c>
      <c r="EK52" s="117" t="e">
        <f t="shared" si="149"/>
        <v>#N/A</v>
      </c>
      <c r="EL52" s="190" t="e">
        <f t="shared" si="150"/>
        <v>#N/A</v>
      </c>
      <c r="EM52" s="117"/>
      <c r="EP52" s="191">
        <v>3</v>
      </c>
      <c r="EQ52" s="117" t="e">
        <f t="shared" si="151"/>
        <v>#N/A</v>
      </c>
      <c r="ER52" s="190" t="e">
        <f t="shared" si="152"/>
        <v>#N/A</v>
      </c>
      <c r="ES52" s="117"/>
      <c r="EV52" s="191">
        <v>3</v>
      </c>
      <c r="EW52" s="117" t="e">
        <f t="shared" si="153"/>
        <v>#N/A</v>
      </c>
      <c r="EX52" s="190" t="e">
        <f t="shared" si="154"/>
        <v>#N/A</v>
      </c>
      <c r="EY52" s="117"/>
      <c r="FB52" s="191">
        <v>3</v>
      </c>
      <c r="FC52" s="117" t="e">
        <f t="shared" si="165"/>
        <v>#N/A</v>
      </c>
      <c r="FD52" s="190" t="e">
        <f t="shared" si="166"/>
        <v>#N/A</v>
      </c>
      <c r="FE52" s="117"/>
      <c r="FH52" s="191">
        <v>3</v>
      </c>
      <c r="FI52" s="117" t="e">
        <f t="shared" si="167"/>
        <v>#N/A</v>
      </c>
      <c r="FJ52" s="190" t="e">
        <f t="shared" si="168"/>
        <v>#N/A</v>
      </c>
      <c r="FK52" s="117"/>
      <c r="FN52" s="191">
        <v>3</v>
      </c>
      <c r="FO52" s="117" t="e">
        <f t="shared" si="169"/>
        <v>#N/A</v>
      </c>
      <c r="FP52" s="190" t="e">
        <f t="shared" si="170"/>
        <v>#N/A</v>
      </c>
    </row>
    <row r="53" spans="3:196" x14ac:dyDescent="0.25">
      <c r="H53" s="242">
        <v>4</v>
      </c>
      <c r="I53" s="247" t="e">
        <f t="shared" si="155"/>
        <v>#N/A</v>
      </c>
      <c r="J53" s="248" t="e">
        <f t="shared" si="156"/>
        <v>#N/A</v>
      </c>
      <c r="K53" s="117"/>
      <c r="N53" s="242">
        <v>4</v>
      </c>
      <c r="O53" s="247" t="e">
        <f t="shared" si="157"/>
        <v>#N/A</v>
      </c>
      <c r="P53" s="248" t="e">
        <f t="shared" si="158"/>
        <v>#N/A</v>
      </c>
      <c r="Q53" s="117"/>
      <c r="T53" s="242">
        <v>4</v>
      </c>
      <c r="U53" s="247" t="e">
        <f t="shared" si="115"/>
        <v>#N/A</v>
      </c>
      <c r="V53" s="248" t="e">
        <f t="shared" si="116"/>
        <v>#N/A</v>
      </c>
      <c r="W53" s="117"/>
      <c r="Z53" s="242">
        <v>4</v>
      </c>
      <c r="AA53" s="247" t="e">
        <f t="shared" si="117"/>
        <v>#N/A</v>
      </c>
      <c r="AB53" s="248" t="e">
        <f t="shared" si="118"/>
        <v>#N/A</v>
      </c>
      <c r="AC53" s="117"/>
      <c r="AF53" s="242">
        <v>4</v>
      </c>
      <c r="AG53" s="247" t="e">
        <f t="shared" si="159"/>
        <v>#N/A</v>
      </c>
      <c r="AH53" s="248" t="e">
        <f t="shared" si="160"/>
        <v>#N/A</v>
      </c>
      <c r="AI53" s="117"/>
      <c r="AL53" s="242">
        <v>4</v>
      </c>
      <c r="AM53" s="247" t="e">
        <f t="shared" si="119"/>
        <v>#N/A</v>
      </c>
      <c r="AN53" s="248" t="e">
        <f t="shared" si="120"/>
        <v>#N/A</v>
      </c>
      <c r="AO53" s="117"/>
      <c r="AR53" s="242">
        <v>4</v>
      </c>
      <c r="AS53" s="247" t="e">
        <f t="shared" si="161"/>
        <v>#N/A</v>
      </c>
      <c r="AT53" s="248" t="e">
        <f t="shared" si="162"/>
        <v>#N/A</v>
      </c>
      <c r="AU53" s="117"/>
      <c r="AX53" s="242">
        <v>4</v>
      </c>
      <c r="AY53" s="247" t="e">
        <f t="shared" si="163"/>
        <v>#N/A</v>
      </c>
      <c r="AZ53" s="248" t="e">
        <f t="shared" si="164"/>
        <v>#N/A</v>
      </c>
      <c r="BD53" s="242">
        <v>4</v>
      </c>
      <c r="BE53" s="247" t="e">
        <f t="shared" si="121"/>
        <v>#N/A</v>
      </c>
      <c r="BF53" s="248" t="e">
        <f t="shared" si="122"/>
        <v>#N/A</v>
      </c>
      <c r="BJ53" s="242">
        <v>4</v>
      </c>
      <c r="BK53" s="247" t="e">
        <f t="shared" si="123"/>
        <v>#N/A</v>
      </c>
      <c r="BL53" s="248" t="e">
        <f t="shared" si="124"/>
        <v>#N/A</v>
      </c>
      <c r="BP53" s="242">
        <v>4</v>
      </c>
      <c r="BQ53" s="247" t="e">
        <f t="shared" si="125"/>
        <v>#N/A</v>
      </c>
      <c r="BR53" s="248" t="e">
        <f t="shared" si="126"/>
        <v>#N/A</v>
      </c>
      <c r="BS53" s="117"/>
      <c r="BV53" s="242">
        <v>4</v>
      </c>
      <c r="BW53" s="247" t="e">
        <f t="shared" si="127"/>
        <v>#N/A</v>
      </c>
      <c r="BX53" s="248" t="e">
        <f t="shared" si="128"/>
        <v>#N/A</v>
      </c>
      <c r="BY53" s="117"/>
      <c r="CB53" s="242">
        <v>4</v>
      </c>
      <c r="CC53" s="247" t="e">
        <f t="shared" si="129"/>
        <v>#N/A</v>
      </c>
      <c r="CD53" s="248" t="e">
        <f t="shared" si="130"/>
        <v>#N/A</v>
      </c>
      <c r="CE53" s="117"/>
      <c r="CH53" s="242">
        <v>4</v>
      </c>
      <c r="CI53" s="247" t="e">
        <f t="shared" si="131"/>
        <v>#N/A</v>
      </c>
      <c r="CJ53" s="248" t="e">
        <f t="shared" si="132"/>
        <v>#N/A</v>
      </c>
      <c r="CK53" s="117"/>
      <c r="CN53" s="242">
        <v>4</v>
      </c>
      <c r="CO53" s="247" t="e">
        <f t="shared" si="133"/>
        <v>#N/A</v>
      </c>
      <c r="CP53" s="248" t="e">
        <f t="shared" si="134"/>
        <v>#N/A</v>
      </c>
      <c r="CQ53" s="117"/>
      <c r="CT53" s="242">
        <v>4</v>
      </c>
      <c r="CU53" s="247" t="e">
        <f t="shared" si="135"/>
        <v>#N/A</v>
      </c>
      <c r="CV53" s="248" t="e">
        <f t="shared" si="136"/>
        <v>#N/A</v>
      </c>
      <c r="CW53" s="117"/>
      <c r="CZ53" s="242">
        <v>4</v>
      </c>
      <c r="DA53" s="247" t="e">
        <f t="shared" si="137"/>
        <v>#N/A</v>
      </c>
      <c r="DB53" s="248" t="e">
        <f t="shared" si="138"/>
        <v>#N/A</v>
      </c>
      <c r="DC53" s="117"/>
      <c r="DF53" s="242">
        <v>4</v>
      </c>
      <c r="DG53" s="247" t="e">
        <f t="shared" si="139"/>
        <v>#N/A</v>
      </c>
      <c r="DH53" s="248" t="e">
        <f t="shared" si="140"/>
        <v>#N/A</v>
      </c>
      <c r="DI53" s="117"/>
      <c r="DL53" s="242">
        <v>4</v>
      </c>
      <c r="DM53" s="247" t="e">
        <f t="shared" si="141"/>
        <v>#N/A</v>
      </c>
      <c r="DN53" s="248" t="e">
        <f t="shared" si="142"/>
        <v>#N/A</v>
      </c>
      <c r="DO53" s="117"/>
      <c r="DR53" s="242">
        <v>4</v>
      </c>
      <c r="DS53" s="247" t="e">
        <f t="shared" si="143"/>
        <v>#N/A</v>
      </c>
      <c r="DT53" s="248" t="e">
        <f t="shared" si="144"/>
        <v>#N/A</v>
      </c>
      <c r="DU53" s="117"/>
      <c r="DX53" s="242">
        <v>4</v>
      </c>
      <c r="DY53" s="247" t="e">
        <f t="shared" si="145"/>
        <v>#N/A</v>
      </c>
      <c r="DZ53" s="248" t="e">
        <f t="shared" si="146"/>
        <v>#N/A</v>
      </c>
      <c r="EA53" s="117"/>
      <c r="ED53" s="242">
        <v>4</v>
      </c>
      <c r="EE53" s="247" t="e">
        <f t="shared" si="147"/>
        <v>#N/A</v>
      </c>
      <c r="EF53" s="248" t="e">
        <f t="shared" si="148"/>
        <v>#N/A</v>
      </c>
      <c r="EG53" s="117"/>
      <c r="EJ53" s="242">
        <v>4</v>
      </c>
      <c r="EK53" s="247" t="e">
        <f t="shared" si="149"/>
        <v>#N/A</v>
      </c>
      <c r="EL53" s="248" t="e">
        <f t="shared" si="150"/>
        <v>#N/A</v>
      </c>
      <c r="EM53" s="117"/>
      <c r="EP53" s="242">
        <v>4</v>
      </c>
      <c r="EQ53" s="247" t="e">
        <f t="shared" si="151"/>
        <v>#N/A</v>
      </c>
      <c r="ER53" s="248" t="e">
        <f t="shared" si="152"/>
        <v>#N/A</v>
      </c>
      <c r="ES53" s="117"/>
      <c r="EV53" s="242">
        <v>4</v>
      </c>
      <c r="EW53" s="247" t="e">
        <f t="shared" si="153"/>
        <v>#N/A</v>
      </c>
      <c r="EX53" s="248" t="e">
        <f t="shared" si="154"/>
        <v>#N/A</v>
      </c>
      <c r="EY53" s="117"/>
      <c r="FB53" s="242">
        <v>4</v>
      </c>
      <c r="FC53" s="247" t="e">
        <f t="shared" si="165"/>
        <v>#N/A</v>
      </c>
      <c r="FD53" s="248" t="e">
        <f t="shared" si="166"/>
        <v>#N/A</v>
      </c>
      <c r="FE53" s="117"/>
      <c r="FH53" s="242">
        <v>4</v>
      </c>
      <c r="FI53" s="247" t="e">
        <f t="shared" si="167"/>
        <v>#N/A</v>
      </c>
      <c r="FJ53" s="248" t="e">
        <f t="shared" si="168"/>
        <v>#N/A</v>
      </c>
      <c r="FK53" s="117"/>
      <c r="FN53" s="242">
        <v>4</v>
      </c>
      <c r="FO53" s="247" t="e">
        <f t="shared" si="169"/>
        <v>#N/A</v>
      </c>
      <c r="FP53" s="248" t="e">
        <f t="shared" si="170"/>
        <v>#N/A</v>
      </c>
    </row>
    <row r="54" spans="3:196" x14ac:dyDescent="0.25">
      <c r="H54" s="191">
        <v>5</v>
      </c>
      <c r="I54" s="117" t="e">
        <f t="shared" si="155"/>
        <v>#N/A</v>
      </c>
      <c r="J54" s="190" t="e">
        <f t="shared" si="156"/>
        <v>#N/A</v>
      </c>
      <c r="K54" s="117"/>
      <c r="N54" s="191">
        <v>5</v>
      </c>
      <c r="O54" s="117" t="e">
        <f t="shared" si="157"/>
        <v>#N/A</v>
      </c>
      <c r="P54" s="190" t="e">
        <f t="shared" si="158"/>
        <v>#N/A</v>
      </c>
      <c r="Q54" s="117"/>
      <c r="T54" s="191">
        <v>5</v>
      </c>
      <c r="U54" s="117" t="e">
        <f t="shared" si="115"/>
        <v>#N/A</v>
      </c>
      <c r="V54" s="190" t="e">
        <f t="shared" si="116"/>
        <v>#N/A</v>
      </c>
      <c r="W54" s="117"/>
      <c r="Z54" s="191">
        <v>5</v>
      </c>
      <c r="AA54" s="117" t="e">
        <f t="shared" si="117"/>
        <v>#N/A</v>
      </c>
      <c r="AB54" s="190" t="e">
        <f t="shared" si="118"/>
        <v>#N/A</v>
      </c>
      <c r="AC54" s="117"/>
      <c r="AF54" s="191">
        <v>5</v>
      </c>
      <c r="AG54" s="117" t="e">
        <f t="shared" si="159"/>
        <v>#N/A</v>
      </c>
      <c r="AH54" s="190" t="e">
        <f t="shared" si="160"/>
        <v>#N/A</v>
      </c>
      <c r="AI54" s="117"/>
      <c r="AL54" s="191">
        <v>5</v>
      </c>
      <c r="AM54" s="117" t="e">
        <f t="shared" si="119"/>
        <v>#N/A</v>
      </c>
      <c r="AN54" s="190" t="e">
        <f t="shared" si="120"/>
        <v>#N/A</v>
      </c>
      <c r="AO54" s="117"/>
      <c r="AR54" s="191">
        <v>5</v>
      </c>
      <c r="AS54" s="117" t="e">
        <f t="shared" si="161"/>
        <v>#N/A</v>
      </c>
      <c r="AT54" s="190" t="e">
        <f t="shared" si="162"/>
        <v>#N/A</v>
      </c>
      <c r="AU54" s="117"/>
      <c r="AX54" s="191">
        <v>5</v>
      </c>
      <c r="AY54" s="117" t="e">
        <f t="shared" si="163"/>
        <v>#N/A</v>
      </c>
      <c r="AZ54" s="190" t="e">
        <f t="shared" si="164"/>
        <v>#N/A</v>
      </c>
      <c r="BD54" s="191">
        <v>5</v>
      </c>
      <c r="BE54" s="117" t="e">
        <f t="shared" si="121"/>
        <v>#N/A</v>
      </c>
      <c r="BF54" s="190" t="e">
        <f t="shared" si="122"/>
        <v>#N/A</v>
      </c>
      <c r="BJ54" s="191">
        <v>5</v>
      </c>
      <c r="BK54" s="117" t="e">
        <f t="shared" si="123"/>
        <v>#N/A</v>
      </c>
      <c r="BL54" s="190" t="e">
        <f t="shared" si="124"/>
        <v>#N/A</v>
      </c>
      <c r="BP54" s="191">
        <v>5</v>
      </c>
      <c r="BQ54" s="117" t="e">
        <f t="shared" si="125"/>
        <v>#N/A</v>
      </c>
      <c r="BR54" s="190" t="e">
        <f t="shared" si="126"/>
        <v>#N/A</v>
      </c>
      <c r="BS54" s="117"/>
      <c r="BV54" s="191">
        <v>5</v>
      </c>
      <c r="BW54" s="117" t="e">
        <f t="shared" si="127"/>
        <v>#N/A</v>
      </c>
      <c r="BX54" s="190" t="e">
        <f t="shared" si="128"/>
        <v>#N/A</v>
      </c>
      <c r="BY54" s="117"/>
      <c r="CB54" s="191">
        <v>5</v>
      </c>
      <c r="CC54" s="117" t="e">
        <f t="shared" si="129"/>
        <v>#N/A</v>
      </c>
      <c r="CD54" s="190" t="e">
        <f t="shared" si="130"/>
        <v>#N/A</v>
      </c>
      <c r="CE54" s="117"/>
      <c r="CH54" s="191">
        <v>5</v>
      </c>
      <c r="CI54" s="117" t="e">
        <f t="shared" si="131"/>
        <v>#N/A</v>
      </c>
      <c r="CJ54" s="190" t="e">
        <f t="shared" si="132"/>
        <v>#N/A</v>
      </c>
      <c r="CK54" s="117"/>
      <c r="CN54" s="191">
        <v>5</v>
      </c>
      <c r="CO54" s="117" t="e">
        <f t="shared" si="133"/>
        <v>#N/A</v>
      </c>
      <c r="CP54" s="190" t="e">
        <f t="shared" si="134"/>
        <v>#N/A</v>
      </c>
      <c r="CQ54" s="117"/>
      <c r="CT54" s="191">
        <v>5</v>
      </c>
      <c r="CU54" s="117" t="e">
        <f t="shared" si="135"/>
        <v>#N/A</v>
      </c>
      <c r="CV54" s="190" t="e">
        <f t="shared" si="136"/>
        <v>#N/A</v>
      </c>
      <c r="CW54" s="117"/>
      <c r="CZ54" s="191">
        <v>5</v>
      </c>
      <c r="DA54" s="117" t="e">
        <f t="shared" si="137"/>
        <v>#N/A</v>
      </c>
      <c r="DB54" s="190" t="e">
        <f t="shared" si="138"/>
        <v>#N/A</v>
      </c>
      <c r="DC54" s="117"/>
      <c r="DF54" s="191">
        <v>5</v>
      </c>
      <c r="DG54" s="117" t="e">
        <f>INDEX(DE$38:DE$47,(MATCH(DF$50:DF$59,DI$38:DI$47,0)))</f>
        <v>#N/A</v>
      </c>
      <c r="DH54" s="190" t="e">
        <f t="shared" si="140"/>
        <v>#N/A</v>
      </c>
      <c r="DI54" s="117"/>
      <c r="DL54" s="191">
        <v>5</v>
      </c>
      <c r="DM54" s="117" t="e">
        <f t="shared" si="141"/>
        <v>#N/A</v>
      </c>
      <c r="DN54" s="190" t="e">
        <f t="shared" si="142"/>
        <v>#N/A</v>
      </c>
      <c r="DO54" s="117"/>
      <c r="DR54" s="191">
        <v>5</v>
      </c>
      <c r="DS54" s="117" t="e">
        <f t="shared" si="143"/>
        <v>#N/A</v>
      </c>
      <c r="DT54" s="190" t="e">
        <f t="shared" si="144"/>
        <v>#N/A</v>
      </c>
      <c r="DU54" s="117"/>
      <c r="DX54" s="191">
        <v>5</v>
      </c>
      <c r="DY54" s="117" t="e">
        <f t="shared" si="145"/>
        <v>#N/A</v>
      </c>
      <c r="DZ54" s="190" t="e">
        <f t="shared" si="146"/>
        <v>#N/A</v>
      </c>
      <c r="EA54" s="117"/>
      <c r="ED54" s="191">
        <v>5</v>
      </c>
      <c r="EE54" s="117" t="e">
        <f t="shared" si="147"/>
        <v>#N/A</v>
      </c>
      <c r="EF54" s="190" t="e">
        <f t="shared" si="148"/>
        <v>#N/A</v>
      </c>
      <c r="EG54" s="117"/>
      <c r="EJ54" s="191">
        <v>5</v>
      </c>
      <c r="EK54" s="117" t="e">
        <f t="shared" si="149"/>
        <v>#N/A</v>
      </c>
      <c r="EL54" s="190" t="e">
        <f t="shared" si="150"/>
        <v>#N/A</v>
      </c>
      <c r="EM54" s="117"/>
      <c r="EP54" s="191">
        <v>5</v>
      </c>
      <c r="EQ54" s="117" t="e">
        <f t="shared" si="151"/>
        <v>#N/A</v>
      </c>
      <c r="ER54" s="190" t="e">
        <f t="shared" si="152"/>
        <v>#N/A</v>
      </c>
      <c r="ES54" s="117"/>
      <c r="EV54" s="191">
        <v>5</v>
      </c>
      <c r="EW54" s="117" t="e">
        <f t="shared" si="153"/>
        <v>#N/A</v>
      </c>
      <c r="EX54" s="190" t="e">
        <f t="shared" si="154"/>
        <v>#N/A</v>
      </c>
      <c r="EY54" s="117"/>
      <c r="FB54" s="191">
        <v>5</v>
      </c>
      <c r="FC54" s="117" t="e">
        <f t="shared" si="165"/>
        <v>#N/A</v>
      </c>
      <c r="FD54" s="190" t="e">
        <f t="shared" si="166"/>
        <v>#N/A</v>
      </c>
      <c r="FE54" s="117"/>
      <c r="FH54" s="191">
        <v>5</v>
      </c>
      <c r="FI54" s="117" t="e">
        <f t="shared" si="167"/>
        <v>#N/A</v>
      </c>
      <c r="FJ54" s="190" t="e">
        <f t="shared" si="168"/>
        <v>#N/A</v>
      </c>
      <c r="FK54" s="117"/>
      <c r="FN54" s="191">
        <v>5</v>
      </c>
      <c r="FO54" s="117" t="e">
        <f t="shared" si="169"/>
        <v>#N/A</v>
      </c>
      <c r="FP54" s="190" t="e">
        <f t="shared" si="170"/>
        <v>#N/A</v>
      </c>
    </row>
    <row r="55" spans="3:196" x14ac:dyDescent="0.25">
      <c r="H55" s="242">
        <v>6</v>
      </c>
      <c r="I55" s="247" t="e">
        <f t="shared" si="155"/>
        <v>#N/A</v>
      </c>
      <c r="J55" s="248" t="e">
        <f t="shared" si="156"/>
        <v>#N/A</v>
      </c>
      <c r="K55" s="117"/>
      <c r="N55" s="242">
        <v>6</v>
      </c>
      <c r="O55" s="247" t="e">
        <f t="shared" si="157"/>
        <v>#N/A</v>
      </c>
      <c r="P55" s="248" t="e">
        <f t="shared" si="158"/>
        <v>#N/A</v>
      </c>
      <c r="Q55" s="117"/>
      <c r="T55" s="242">
        <v>6</v>
      </c>
      <c r="U55" s="247" t="e">
        <f t="shared" si="115"/>
        <v>#N/A</v>
      </c>
      <c r="V55" s="248" t="e">
        <f t="shared" si="116"/>
        <v>#N/A</v>
      </c>
      <c r="W55" s="117"/>
      <c r="Z55" s="242">
        <v>6</v>
      </c>
      <c r="AA55" s="247" t="e">
        <f t="shared" si="117"/>
        <v>#N/A</v>
      </c>
      <c r="AB55" s="248" t="e">
        <f t="shared" si="118"/>
        <v>#N/A</v>
      </c>
      <c r="AC55" s="117"/>
      <c r="AF55" s="242">
        <v>6</v>
      </c>
      <c r="AG55" s="247" t="e">
        <f t="shared" si="159"/>
        <v>#N/A</v>
      </c>
      <c r="AH55" s="248" t="e">
        <f t="shared" si="160"/>
        <v>#N/A</v>
      </c>
      <c r="AI55" s="117"/>
      <c r="AL55" s="242">
        <v>6</v>
      </c>
      <c r="AM55" s="247" t="e">
        <f t="shared" si="119"/>
        <v>#N/A</v>
      </c>
      <c r="AN55" s="248" t="e">
        <f t="shared" si="120"/>
        <v>#N/A</v>
      </c>
      <c r="AO55" s="117"/>
      <c r="AR55" s="242">
        <v>6</v>
      </c>
      <c r="AS55" s="247" t="e">
        <f t="shared" si="161"/>
        <v>#N/A</v>
      </c>
      <c r="AT55" s="248" t="e">
        <f t="shared" si="162"/>
        <v>#N/A</v>
      </c>
      <c r="AU55" s="117"/>
      <c r="AX55" s="242">
        <v>6</v>
      </c>
      <c r="AY55" s="247" t="e">
        <f t="shared" si="163"/>
        <v>#N/A</v>
      </c>
      <c r="AZ55" s="248" t="e">
        <f t="shared" si="164"/>
        <v>#N/A</v>
      </c>
      <c r="BD55" s="242">
        <v>6</v>
      </c>
      <c r="BE55" s="247" t="e">
        <f t="shared" si="121"/>
        <v>#N/A</v>
      </c>
      <c r="BF55" s="248" t="e">
        <f t="shared" si="122"/>
        <v>#N/A</v>
      </c>
      <c r="BJ55" s="242">
        <v>6</v>
      </c>
      <c r="BK55" s="247" t="e">
        <f t="shared" si="123"/>
        <v>#N/A</v>
      </c>
      <c r="BL55" s="248" t="e">
        <f t="shared" si="124"/>
        <v>#N/A</v>
      </c>
      <c r="BP55" s="242">
        <v>6</v>
      </c>
      <c r="BQ55" s="247" t="e">
        <f t="shared" si="125"/>
        <v>#N/A</v>
      </c>
      <c r="BR55" s="248" t="e">
        <f t="shared" si="126"/>
        <v>#N/A</v>
      </c>
      <c r="BS55" s="117"/>
      <c r="BV55" s="242">
        <v>6</v>
      </c>
      <c r="BW55" s="247" t="e">
        <f t="shared" si="127"/>
        <v>#N/A</v>
      </c>
      <c r="BX55" s="248" t="e">
        <f t="shared" si="128"/>
        <v>#N/A</v>
      </c>
      <c r="BY55" s="117"/>
      <c r="CB55" s="242">
        <v>6</v>
      </c>
      <c r="CC55" s="247" t="e">
        <f t="shared" si="129"/>
        <v>#N/A</v>
      </c>
      <c r="CD55" s="248" t="e">
        <f t="shared" si="130"/>
        <v>#N/A</v>
      </c>
      <c r="CE55" s="117"/>
      <c r="CH55" s="242">
        <v>6</v>
      </c>
      <c r="CI55" s="247" t="e">
        <f t="shared" si="131"/>
        <v>#N/A</v>
      </c>
      <c r="CJ55" s="248" t="e">
        <f t="shared" si="132"/>
        <v>#N/A</v>
      </c>
      <c r="CK55" s="117"/>
      <c r="CN55" s="242">
        <v>6</v>
      </c>
      <c r="CO55" s="247" t="e">
        <f t="shared" si="133"/>
        <v>#N/A</v>
      </c>
      <c r="CP55" s="248" t="e">
        <f t="shared" si="134"/>
        <v>#N/A</v>
      </c>
      <c r="CQ55" s="117"/>
      <c r="CT55" s="242">
        <v>6</v>
      </c>
      <c r="CU55" s="247" t="e">
        <f t="shared" si="135"/>
        <v>#N/A</v>
      </c>
      <c r="CV55" s="248" t="e">
        <f t="shared" si="136"/>
        <v>#N/A</v>
      </c>
      <c r="CW55" s="117"/>
      <c r="CZ55" s="242">
        <v>6</v>
      </c>
      <c r="DA55" s="247" t="e">
        <f t="shared" si="137"/>
        <v>#N/A</v>
      </c>
      <c r="DB55" s="248" t="e">
        <f t="shared" si="138"/>
        <v>#N/A</v>
      </c>
      <c r="DC55" s="117"/>
      <c r="DF55" s="242">
        <v>6</v>
      </c>
      <c r="DG55" s="247" t="e">
        <f t="shared" si="139"/>
        <v>#N/A</v>
      </c>
      <c r="DH55" s="248" t="e">
        <f t="shared" si="140"/>
        <v>#N/A</v>
      </c>
      <c r="DI55" s="117"/>
      <c r="DL55" s="242">
        <v>6</v>
      </c>
      <c r="DM55" s="247" t="e">
        <f t="shared" si="141"/>
        <v>#N/A</v>
      </c>
      <c r="DN55" s="248" t="e">
        <f t="shared" si="142"/>
        <v>#N/A</v>
      </c>
      <c r="DO55" s="117"/>
      <c r="DR55" s="242">
        <v>6</v>
      </c>
      <c r="DS55" s="247" t="e">
        <f t="shared" si="143"/>
        <v>#N/A</v>
      </c>
      <c r="DT55" s="248" t="e">
        <f t="shared" si="144"/>
        <v>#N/A</v>
      </c>
      <c r="DU55" s="117"/>
      <c r="DX55" s="242">
        <v>6</v>
      </c>
      <c r="DY55" s="247" t="e">
        <f t="shared" si="145"/>
        <v>#N/A</v>
      </c>
      <c r="DZ55" s="248" t="e">
        <f t="shared" si="146"/>
        <v>#N/A</v>
      </c>
      <c r="EA55" s="117"/>
      <c r="ED55" s="242">
        <v>6</v>
      </c>
      <c r="EE55" s="247" t="e">
        <f t="shared" si="147"/>
        <v>#N/A</v>
      </c>
      <c r="EF55" s="248" t="e">
        <f t="shared" si="148"/>
        <v>#N/A</v>
      </c>
      <c r="EG55" s="117"/>
      <c r="EJ55" s="242">
        <v>6</v>
      </c>
      <c r="EK55" s="247" t="e">
        <f t="shared" si="149"/>
        <v>#N/A</v>
      </c>
      <c r="EL55" s="248" t="e">
        <f t="shared" si="150"/>
        <v>#N/A</v>
      </c>
      <c r="EM55" s="117"/>
      <c r="EP55" s="242">
        <v>6</v>
      </c>
      <c r="EQ55" s="247" t="e">
        <f t="shared" si="151"/>
        <v>#N/A</v>
      </c>
      <c r="ER55" s="248" t="e">
        <f t="shared" si="152"/>
        <v>#N/A</v>
      </c>
      <c r="ES55" s="117"/>
      <c r="EV55" s="242">
        <v>6</v>
      </c>
      <c r="EW55" s="247" t="e">
        <f t="shared" si="153"/>
        <v>#N/A</v>
      </c>
      <c r="EX55" s="248" t="e">
        <f t="shared" si="154"/>
        <v>#N/A</v>
      </c>
      <c r="EY55" s="117"/>
      <c r="FB55" s="242">
        <v>6</v>
      </c>
      <c r="FC55" s="247" t="e">
        <f t="shared" si="165"/>
        <v>#N/A</v>
      </c>
      <c r="FD55" s="248" t="e">
        <f t="shared" si="166"/>
        <v>#N/A</v>
      </c>
      <c r="FE55" s="117"/>
      <c r="FH55" s="242">
        <v>6</v>
      </c>
      <c r="FI55" s="247" t="e">
        <f t="shared" si="167"/>
        <v>#N/A</v>
      </c>
      <c r="FJ55" s="248" t="e">
        <f t="shared" si="168"/>
        <v>#N/A</v>
      </c>
      <c r="FK55" s="117"/>
      <c r="FN55" s="242">
        <v>6</v>
      </c>
      <c r="FO55" s="247" t="e">
        <f t="shared" si="169"/>
        <v>#N/A</v>
      </c>
      <c r="FP55" s="248" t="e">
        <f t="shared" si="170"/>
        <v>#N/A</v>
      </c>
    </row>
    <row r="56" spans="3:196" x14ac:dyDescent="0.25">
      <c r="H56" s="191">
        <v>7</v>
      </c>
      <c r="I56" s="117" t="e">
        <f t="shared" si="155"/>
        <v>#N/A</v>
      </c>
      <c r="J56" s="190" t="e">
        <f t="shared" si="156"/>
        <v>#N/A</v>
      </c>
      <c r="K56" s="117"/>
      <c r="N56" s="191">
        <v>7</v>
      </c>
      <c r="O56" s="117" t="e">
        <f t="shared" si="157"/>
        <v>#N/A</v>
      </c>
      <c r="P56" s="190" t="e">
        <f t="shared" si="158"/>
        <v>#N/A</v>
      </c>
      <c r="Q56" s="117"/>
      <c r="T56" s="191">
        <v>7</v>
      </c>
      <c r="U56" s="117" t="e">
        <f t="shared" si="115"/>
        <v>#N/A</v>
      </c>
      <c r="V56" s="190" t="e">
        <f t="shared" si="116"/>
        <v>#N/A</v>
      </c>
      <c r="W56" s="117"/>
      <c r="Z56" s="191">
        <v>7</v>
      </c>
      <c r="AA56" s="117" t="e">
        <f t="shared" si="117"/>
        <v>#N/A</v>
      </c>
      <c r="AB56" s="190" t="e">
        <f t="shared" si="118"/>
        <v>#N/A</v>
      </c>
      <c r="AC56" s="117"/>
      <c r="AF56" s="191">
        <v>7</v>
      </c>
      <c r="AG56" s="117" t="e">
        <f t="shared" si="159"/>
        <v>#N/A</v>
      </c>
      <c r="AH56" s="190" t="e">
        <f t="shared" si="160"/>
        <v>#N/A</v>
      </c>
      <c r="AI56" s="117"/>
      <c r="AL56" s="191">
        <v>7</v>
      </c>
      <c r="AM56" s="117" t="e">
        <f t="shared" si="119"/>
        <v>#N/A</v>
      </c>
      <c r="AN56" s="190" t="e">
        <f t="shared" si="120"/>
        <v>#N/A</v>
      </c>
      <c r="AO56" s="117"/>
      <c r="AR56" s="191">
        <v>7</v>
      </c>
      <c r="AS56" s="117" t="e">
        <f t="shared" si="161"/>
        <v>#N/A</v>
      </c>
      <c r="AT56" s="190" t="e">
        <f t="shared" si="162"/>
        <v>#N/A</v>
      </c>
      <c r="AU56" s="117"/>
      <c r="AX56" s="191">
        <v>7</v>
      </c>
      <c r="AY56" s="117" t="e">
        <f t="shared" si="163"/>
        <v>#N/A</v>
      </c>
      <c r="AZ56" s="190" t="e">
        <f t="shared" si="164"/>
        <v>#N/A</v>
      </c>
      <c r="BD56" s="191">
        <v>7</v>
      </c>
      <c r="BE56" s="117" t="e">
        <f t="shared" si="121"/>
        <v>#N/A</v>
      </c>
      <c r="BF56" s="190" t="e">
        <f t="shared" si="122"/>
        <v>#N/A</v>
      </c>
      <c r="BJ56" s="191">
        <v>7</v>
      </c>
      <c r="BK56" s="117" t="e">
        <f t="shared" si="123"/>
        <v>#N/A</v>
      </c>
      <c r="BL56" s="190" t="e">
        <f t="shared" si="124"/>
        <v>#N/A</v>
      </c>
      <c r="BP56" s="191">
        <v>7</v>
      </c>
      <c r="BQ56" s="117" t="e">
        <f t="shared" si="125"/>
        <v>#N/A</v>
      </c>
      <c r="BR56" s="190" t="e">
        <f t="shared" si="126"/>
        <v>#N/A</v>
      </c>
      <c r="BS56" s="117"/>
      <c r="BV56" s="191">
        <v>7</v>
      </c>
      <c r="BW56" s="117" t="e">
        <f t="shared" si="127"/>
        <v>#N/A</v>
      </c>
      <c r="BX56" s="190" t="e">
        <f t="shared" si="128"/>
        <v>#N/A</v>
      </c>
      <c r="BY56" s="117"/>
      <c r="CB56" s="191">
        <v>7</v>
      </c>
      <c r="CC56" s="117" t="e">
        <f t="shared" si="129"/>
        <v>#N/A</v>
      </c>
      <c r="CD56" s="190" t="e">
        <f t="shared" si="130"/>
        <v>#N/A</v>
      </c>
      <c r="CE56" s="117"/>
      <c r="CH56" s="191">
        <v>7</v>
      </c>
      <c r="CI56" s="117" t="e">
        <f t="shared" si="131"/>
        <v>#N/A</v>
      </c>
      <c r="CJ56" s="190" t="e">
        <f t="shared" si="132"/>
        <v>#N/A</v>
      </c>
      <c r="CK56" s="117"/>
      <c r="CN56" s="191">
        <v>7</v>
      </c>
      <c r="CO56" s="117" t="e">
        <f t="shared" si="133"/>
        <v>#N/A</v>
      </c>
      <c r="CP56" s="190" t="e">
        <f t="shared" si="134"/>
        <v>#N/A</v>
      </c>
      <c r="CQ56" s="117"/>
      <c r="CT56" s="191">
        <v>7</v>
      </c>
      <c r="CU56" s="117" t="e">
        <f t="shared" si="135"/>
        <v>#N/A</v>
      </c>
      <c r="CV56" s="190" t="e">
        <f t="shared" si="136"/>
        <v>#N/A</v>
      </c>
      <c r="CW56" s="117"/>
      <c r="CZ56" s="191">
        <v>7</v>
      </c>
      <c r="DA56" s="117" t="e">
        <f t="shared" si="137"/>
        <v>#N/A</v>
      </c>
      <c r="DB56" s="190" t="e">
        <f t="shared" si="138"/>
        <v>#N/A</v>
      </c>
      <c r="DC56" s="117"/>
      <c r="DF56" s="191">
        <v>7</v>
      </c>
      <c r="DG56" s="117" t="e">
        <f t="shared" si="139"/>
        <v>#N/A</v>
      </c>
      <c r="DH56" s="190" t="e">
        <f t="shared" si="140"/>
        <v>#N/A</v>
      </c>
      <c r="DI56" s="117"/>
      <c r="DL56" s="191">
        <v>7</v>
      </c>
      <c r="DM56" s="117" t="e">
        <f t="shared" si="141"/>
        <v>#N/A</v>
      </c>
      <c r="DN56" s="190" t="e">
        <f t="shared" si="142"/>
        <v>#N/A</v>
      </c>
      <c r="DO56" s="117"/>
      <c r="DR56" s="191">
        <v>7</v>
      </c>
      <c r="DS56" s="117" t="e">
        <f t="shared" si="143"/>
        <v>#N/A</v>
      </c>
      <c r="DT56" s="190" t="e">
        <f t="shared" si="144"/>
        <v>#N/A</v>
      </c>
      <c r="DU56" s="117"/>
      <c r="DX56" s="191">
        <v>7</v>
      </c>
      <c r="DY56" s="117" t="e">
        <f t="shared" si="145"/>
        <v>#N/A</v>
      </c>
      <c r="DZ56" s="190" t="e">
        <f t="shared" si="146"/>
        <v>#N/A</v>
      </c>
      <c r="EA56" s="117"/>
      <c r="ED56" s="191">
        <v>7</v>
      </c>
      <c r="EE56" s="117" t="e">
        <f t="shared" si="147"/>
        <v>#N/A</v>
      </c>
      <c r="EF56" s="190" t="e">
        <f t="shared" si="148"/>
        <v>#N/A</v>
      </c>
      <c r="EG56" s="117"/>
      <c r="EJ56" s="191">
        <v>7</v>
      </c>
      <c r="EK56" s="117" t="e">
        <f t="shared" si="149"/>
        <v>#N/A</v>
      </c>
      <c r="EL56" s="190" t="e">
        <f t="shared" si="150"/>
        <v>#N/A</v>
      </c>
      <c r="EM56" s="117"/>
      <c r="EP56" s="191">
        <v>7</v>
      </c>
      <c r="EQ56" s="117" t="e">
        <f t="shared" si="151"/>
        <v>#N/A</v>
      </c>
      <c r="ER56" s="190" t="e">
        <f t="shared" si="152"/>
        <v>#N/A</v>
      </c>
      <c r="ES56" s="117"/>
      <c r="EV56" s="191">
        <v>7</v>
      </c>
      <c r="EW56" s="117" t="e">
        <f t="shared" si="153"/>
        <v>#N/A</v>
      </c>
      <c r="EX56" s="190" t="e">
        <f t="shared" si="154"/>
        <v>#N/A</v>
      </c>
      <c r="EY56" s="117"/>
      <c r="FB56" s="191">
        <v>7</v>
      </c>
      <c r="FC56" s="117" t="e">
        <f t="shared" si="165"/>
        <v>#N/A</v>
      </c>
      <c r="FD56" s="190" t="e">
        <f t="shared" si="166"/>
        <v>#N/A</v>
      </c>
      <c r="FE56" s="117"/>
      <c r="FH56" s="191">
        <v>7</v>
      </c>
      <c r="FI56" s="117" t="e">
        <f t="shared" si="167"/>
        <v>#N/A</v>
      </c>
      <c r="FJ56" s="190" t="e">
        <f t="shared" si="168"/>
        <v>#N/A</v>
      </c>
      <c r="FK56" s="117"/>
      <c r="FN56" s="191">
        <v>7</v>
      </c>
      <c r="FO56" s="117" t="e">
        <f t="shared" si="169"/>
        <v>#N/A</v>
      </c>
      <c r="FP56" s="190" t="e">
        <f t="shared" si="170"/>
        <v>#N/A</v>
      </c>
    </row>
    <row r="57" spans="3:196" x14ac:dyDescent="0.25">
      <c r="H57" s="242">
        <v>8</v>
      </c>
      <c r="I57" s="247" t="e">
        <f t="shared" si="155"/>
        <v>#N/A</v>
      </c>
      <c r="J57" s="248" t="e">
        <f t="shared" si="156"/>
        <v>#N/A</v>
      </c>
      <c r="K57" s="117"/>
      <c r="N57" s="242">
        <v>8</v>
      </c>
      <c r="O57" s="247" t="e">
        <f t="shared" si="157"/>
        <v>#N/A</v>
      </c>
      <c r="P57" s="248" t="e">
        <f t="shared" si="158"/>
        <v>#N/A</v>
      </c>
      <c r="Q57" s="117"/>
      <c r="T57" s="242">
        <v>8</v>
      </c>
      <c r="U57" s="247" t="e">
        <f t="shared" si="115"/>
        <v>#N/A</v>
      </c>
      <c r="V57" s="248" t="e">
        <f t="shared" si="116"/>
        <v>#N/A</v>
      </c>
      <c r="W57" s="117"/>
      <c r="Z57" s="242">
        <v>8</v>
      </c>
      <c r="AA57" s="247" t="e">
        <f t="shared" si="117"/>
        <v>#N/A</v>
      </c>
      <c r="AB57" s="248" t="e">
        <f t="shared" si="118"/>
        <v>#N/A</v>
      </c>
      <c r="AC57" s="117"/>
      <c r="AF57" s="242">
        <v>8</v>
      </c>
      <c r="AG57" s="247" t="e">
        <f t="shared" si="159"/>
        <v>#N/A</v>
      </c>
      <c r="AH57" s="248" t="e">
        <f t="shared" si="160"/>
        <v>#N/A</v>
      </c>
      <c r="AI57" s="117"/>
      <c r="AL57" s="242">
        <v>8</v>
      </c>
      <c r="AM57" s="247" t="e">
        <f t="shared" si="119"/>
        <v>#N/A</v>
      </c>
      <c r="AN57" s="248" t="e">
        <f t="shared" si="120"/>
        <v>#N/A</v>
      </c>
      <c r="AO57" s="117"/>
      <c r="AR57" s="242">
        <v>8</v>
      </c>
      <c r="AS57" s="247" t="e">
        <f t="shared" si="161"/>
        <v>#N/A</v>
      </c>
      <c r="AT57" s="248" t="e">
        <f t="shared" si="162"/>
        <v>#N/A</v>
      </c>
      <c r="AU57" s="117"/>
      <c r="AX57" s="242">
        <v>8</v>
      </c>
      <c r="AY57" s="247" t="e">
        <f t="shared" si="163"/>
        <v>#N/A</v>
      </c>
      <c r="AZ57" s="248" t="e">
        <f t="shared" si="164"/>
        <v>#N/A</v>
      </c>
      <c r="BD57" s="242">
        <v>8</v>
      </c>
      <c r="BE57" s="247" t="e">
        <f t="shared" si="121"/>
        <v>#N/A</v>
      </c>
      <c r="BF57" s="248" t="e">
        <f t="shared" si="122"/>
        <v>#N/A</v>
      </c>
      <c r="BJ57" s="242">
        <v>8</v>
      </c>
      <c r="BK57" s="247" t="e">
        <f t="shared" si="123"/>
        <v>#N/A</v>
      </c>
      <c r="BL57" s="248" t="e">
        <f t="shared" si="124"/>
        <v>#N/A</v>
      </c>
      <c r="BP57" s="242">
        <v>8</v>
      </c>
      <c r="BQ57" s="247" t="e">
        <f t="shared" si="125"/>
        <v>#N/A</v>
      </c>
      <c r="BR57" s="248" t="e">
        <f t="shared" si="126"/>
        <v>#N/A</v>
      </c>
      <c r="BS57" s="117"/>
      <c r="BV57" s="242">
        <v>8</v>
      </c>
      <c r="BW57" s="247" t="e">
        <f t="shared" si="127"/>
        <v>#N/A</v>
      </c>
      <c r="BX57" s="248" t="e">
        <f t="shared" si="128"/>
        <v>#N/A</v>
      </c>
      <c r="BY57" s="117"/>
      <c r="CB57" s="242">
        <v>8</v>
      </c>
      <c r="CC57" s="247" t="e">
        <f t="shared" si="129"/>
        <v>#N/A</v>
      </c>
      <c r="CD57" s="248" t="e">
        <f t="shared" si="130"/>
        <v>#N/A</v>
      </c>
      <c r="CE57" s="117"/>
      <c r="CH57" s="242">
        <v>8</v>
      </c>
      <c r="CI57" s="247" t="e">
        <f t="shared" si="131"/>
        <v>#N/A</v>
      </c>
      <c r="CJ57" s="248" t="e">
        <f t="shared" si="132"/>
        <v>#N/A</v>
      </c>
      <c r="CK57" s="117"/>
      <c r="CN57" s="242">
        <v>8</v>
      </c>
      <c r="CO57" s="247" t="e">
        <f t="shared" si="133"/>
        <v>#N/A</v>
      </c>
      <c r="CP57" s="248" t="e">
        <f t="shared" si="134"/>
        <v>#N/A</v>
      </c>
      <c r="CQ57" s="117"/>
      <c r="CT57" s="242">
        <v>8</v>
      </c>
      <c r="CU57" s="247" t="e">
        <f t="shared" si="135"/>
        <v>#N/A</v>
      </c>
      <c r="CV57" s="248" t="e">
        <f t="shared" si="136"/>
        <v>#N/A</v>
      </c>
      <c r="CW57" s="117"/>
      <c r="CZ57" s="242">
        <v>8</v>
      </c>
      <c r="DA57" s="247" t="e">
        <f t="shared" si="137"/>
        <v>#N/A</v>
      </c>
      <c r="DB57" s="248" t="e">
        <f t="shared" si="138"/>
        <v>#N/A</v>
      </c>
      <c r="DC57" s="117"/>
      <c r="DF57" s="242">
        <v>8</v>
      </c>
      <c r="DG57" s="247" t="e">
        <f t="shared" si="139"/>
        <v>#N/A</v>
      </c>
      <c r="DH57" s="248" t="e">
        <f t="shared" si="140"/>
        <v>#N/A</v>
      </c>
      <c r="DI57" s="117"/>
      <c r="DL57" s="242">
        <v>8</v>
      </c>
      <c r="DM57" s="247" t="e">
        <f t="shared" si="141"/>
        <v>#N/A</v>
      </c>
      <c r="DN57" s="248" t="e">
        <f t="shared" si="142"/>
        <v>#N/A</v>
      </c>
      <c r="DO57" s="117"/>
      <c r="DR57" s="242">
        <v>8</v>
      </c>
      <c r="DS57" s="247" t="e">
        <f t="shared" si="143"/>
        <v>#N/A</v>
      </c>
      <c r="DT57" s="248" t="e">
        <f t="shared" si="144"/>
        <v>#N/A</v>
      </c>
      <c r="DU57" s="117"/>
      <c r="DX57" s="242">
        <v>8</v>
      </c>
      <c r="DY57" s="247" t="e">
        <f t="shared" si="145"/>
        <v>#N/A</v>
      </c>
      <c r="DZ57" s="248" t="e">
        <f t="shared" si="146"/>
        <v>#N/A</v>
      </c>
      <c r="EA57" s="117"/>
      <c r="ED57" s="242">
        <v>8</v>
      </c>
      <c r="EE57" s="247" t="e">
        <f t="shared" si="147"/>
        <v>#N/A</v>
      </c>
      <c r="EF57" s="248" t="e">
        <f t="shared" si="148"/>
        <v>#N/A</v>
      </c>
      <c r="EG57" s="117"/>
      <c r="EJ57" s="242">
        <v>8</v>
      </c>
      <c r="EK57" s="247" t="e">
        <f t="shared" si="149"/>
        <v>#N/A</v>
      </c>
      <c r="EL57" s="248" t="e">
        <f t="shared" si="150"/>
        <v>#N/A</v>
      </c>
      <c r="EM57" s="117"/>
      <c r="EP57" s="242">
        <v>8</v>
      </c>
      <c r="EQ57" s="247" t="e">
        <f t="shared" si="151"/>
        <v>#N/A</v>
      </c>
      <c r="ER57" s="248" t="e">
        <f t="shared" si="152"/>
        <v>#N/A</v>
      </c>
      <c r="ES57" s="117"/>
      <c r="EV57" s="242">
        <v>8</v>
      </c>
      <c r="EW57" s="247" t="e">
        <f t="shared" si="153"/>
        <v>#N/A</v>
      </c>
      <c r="EX57" s="248" t="e">
        <f t="shared" si="154"/>
        <v>#N/A</v>
      </c>
      <c r="EY57" s="117"/>
      <c r="FB57" s="242">
        <v>8</v>
      </c>
      <c r="FC57" s="247" t="e">
        <f t="shared" si="165"/>
        <v>#N/A</v>
      </c>
      <c r="FD57" s="248" t="e">
        <f t="shared" si="166"/>
        <v>#N/A</v>
      </c>
      <c r="FE57" s="117"/>
      <c r="FH57" s="242">
        <v>8</v>
      </c>
      <c r="FI57" s="247" t="e">
        <f t="shared" si="167"/>
        <v>#N/A</v>
      </c>
      <c r="FJ57" s="248" t="e">
        <f t="shared" si="168"/>
        <v>#N/A</v>
      </c>
      <c r="FK57" s="117"/>
      <c r="FN57" s="242">
        <v>8</v>
      </c>
      <c r="FO57" s="247" t="e">
        <f t="shared" si="169"/>
        <v>#N/A</v>
      </c>
      <c r="FP57" s="248" t="e">
        <f t="shared" si="170"/>
        <v>#N/A</v>
      </c>
    </row>
    <row r="58" spans="3:196" x14ac:dyDescent="0.25">
      <c r="H58" s="191">
        <v>9</v>
      </c>
      <c r="I58" s="117" t="e">
        <f t="shared" si="155"/>
        <v>#N/A</v>
      </c>
      <c r="J58" s="190" t="e">
        <f t="shared" si="156"/>
        <v>#N/A</v>
      </c>
      <c r="K58" s="117"/>
      <c r="N58" s="191">
        <v>9</v>
      </c>
      <c r="O58" s="117" t="e">
        <f t="shared" si="157"/>
        <v>#N/A</v>
      </c>
      <c r="P58" s="190" t="e">
        <f t="shared" si="158"/>
        <v>#N/A</v>
      </c>
      <c r="Q58" s="117"/>
      <c r="T58" s="191">
        <v>9</v>
      </c>
      <c r="U58" s="117" t="e">
        <f t="shared" si="115"/>
        <v>#N/A</v>
      </c>
      <c r="V58" s="190" t="e">
        <f t="shared" si="116"/>
        <v>#N/A</v>
      </c>
      <c r="W58" s="117"/>
      <c r="Z58" s="191">
        <v>9</v>
      </c>
      <c r="AA58" s="117" t="e">
        <f t="shared" si="117"/>
        <v>#N/A</v>
      </c>
      <c r="AB58" s="190" t="e">
        <f t="shared" si="118"/>
        <v>#N/A</v>
      </c>
      <c r="AC58" s="117"/>
      <c r="AF58" s="191">
        <v>9</v>
      </c>
      <c r="AG58" s="117" t="e">
        <f t="shared" si="159"/>
        <v>#N/A</v>
      </c>
      <c r="AH58" s="190" t="e">
        <f t="shared" si="160"/>
        <v>#N/A</v>
      </c>
      <c r="AI58" s="117"/>
      <c r="AL58" s="191">
        <v>9</v>
      </c>
      <c r="AM58" s="117" t="e">
        <f t="shared" si="119"/>
        <v>#N/A</v>
      </c>
      <c r="AN58" s="190" t="e">
        <f t="shared" si="120"/>
        <v>#N/A</v>
      </c>
      <c r="AO58" s="117"/>
      <c r="AR58" s="191">
        <v>9</v>
      </c>
      <c r="AS58" s="117" t="e">
        <f t="shared" si="161"/>
        <v>#N/A</v>
      </c>
      <c r="AT58" s="190" t="e">
        <f t="shared" si="162"/>
        <v>#N/A</v>
      </c>
      <c r="AU58" s="117"/>
      <c r="AX58" s="191">
        <v>9</v>
      </c>
      <c r="AY58" s="117" t="e">
        <f t="shared" si="163"/>
        <v>#N/A</v>
      </c>
      <c r="AZ58" s="190" t="e">
        <f t="shared" si="164"/>
        <v>#N/A</v>
      </c>
      <c r="BD58" s="191">
        <v>9</v>
      </c>
      <c r="BE58" s="117" t="e">
        <f t="shared" si="121"/>
        <v>#N/A</v>
      </c>
      <c r="BF58" s="190" t="e">
        <f t="shared" si="122"/>
        <v>#N/A</v>
      </c>
      <c r="BJ58" s="191">
        <v>9</v>
      </c>
      <c r="BK58" s="117" t="e">
        <f t="shared" si="123"/>
        <v>#N/A</v>
      </c>
      <c r="BL58" s="190" t="e">
        <f t="shared" si="124"/>
        <v>#N/A</v>
      </c>
      <c r="BP58" s="191">
        <v>9</v>
      </c>
      <c r="BQ58" s="117" t="e">
        <f t="shared" si="125"/>
        <v>#N/A</v>
      </c>
      <c r="BR58" s="190" t="e">
        <f t="shared" si="126"/>
        <v>#N/A</v>
      </c>
      <c r="BS58" s="117"/>
      <c r="BV58" s="191">
        <v>9</v>
      </c>
      <c r="BW58" s="117" t="e">
        <f t="shared" si="127"/>
        <v>#N/A</v>
      </c>
      <c r="BX58" s="190" t="e">
        <f t="shared" si="128"/>
        <v>#N/A</v>
      </c>
      <c r="BY58" s="117"/>
      <c r="CB58" s="191">
        <v>9</v>
      </c>
      <c r="CC58" s="117" t="e">
        <f t="shared" si="129"/>
        <v>#N/A</v>
      </c>
      <c r="CD58" s="190" t="e">
        <f t="shared" si="130"/>
        <v>#N/A</v>
      </c>
      <c r="CE58" s="117"/>
      <c r="CH58" s="191">
        <v>9</v>
      </c>
      <c r="CI58" s="117" t="e">
        <f t="shared" si="131"/>
        <v>#N/A</v>
      </c>
      <c r="CJ58" s="190" t="e">
        <f t="shared" si="132"/>
        <v>#N/A</v>
      </c>
      <c r="CK58" s="117"/>
      <c r="CN58" s="191">
        <v>9</v>
      </c>
      <c r="CO58" s="117" t="e">
        <f t="shared" si="133"/>
        <v>#N/A</v>
      </c>
      <c r="CP58" s="190" t="e">
        <f t="shared" si="134"/>
        <v>#N/A</v>
      </c>
      <c r="CQ58" s="117"/>
      <c r="CT58" s="191">
        <v>9</v>
      </c>
      <c r="CU58" s="117" t="e">
        <f t="shared" si="135"/>
        <v>#N/A</v>
      </c>
      <c r="CV58" s="190" t="e">
        <f t="shared" si="136"/>
        <v>#N/A</v>
      </c>
      <c r="CW58" s="117"/>
      <c r="CZ58" s="191">
        <v>9</v>
      </c>
      <c r="DA58" s="117" t="e">
        <f t="shared" si="137"/>
        <v>#N/A</v>
      </c>
      <c r="DB58" s="190" t="e">
        <f t="shared" si="138"/>
        <v>#N/A</v>
      </c>
      <c r="DC58" s="117"/>
      <c r="DF58" s="191">
        <v>9</v>
      </c>
      <c r="DG58" s="117" t="e">
        <f t="shared" si="139"/>
        <v>#N/A</v>
      </c>
      <c r="DH58" s="190" t="e">
        <f t="shared" si="140"/>
        <v>#N/A</v>
      </c>
      <c r="DI58" s="117"/>
      <c r="DL58" s="191">
        <v>9</v>
      </c>
      <c r="DM58" s="117" t="e">
        <f t="shared" si="141"/>
        <v>#N/A</v>
      </c>
      <c r="DN58" s="190" t="e">
        <f t="shared" si="142"/>
        <v>#N/A</v>
      </c>
      <c r="DO58" s="117"/>
      <c r="DR58" s="191">
        <v>9</v>
      </c>
      <c r="DS58" s="117" t="e">
        <f t="shared" si="143"/>
        <v>#N/A</v>
      </c>
      <c r="DT58" s="190" t="e">
        <f t="shared" si="144"/>
        <v>#N/A</v>
      </c>
      <c r="DU58" s="117"/>
      <c r="DX58" s="191">
        <v>9</v>
      </c>
      <c r="DY58" s="117" t="e">
        <f t="shared" si="145"/>
        <v>#N/A</v>
      </c>
      <c r="DZ58" s="190" t="e">
        <f t="shared" si="146"/>
        <v>#N/A</v>
      </c>
      <c r="EA58" s="117"/>
      <c r="ED58" s="191">
        <v>9</v>
      </c>
      <c r="EE58" s="117" t="e">
        <f t="shared" si="147"/>
        <v>#N/A</v>
      </c>
      <c r="EF58" s="190" t="e">
        <f t="shared" si="148"/>
        <v>#N/A</v>
      </c>
      <c r="EG58" s="117"/>
      <c r="EJ58" s="191">
        <v>9</v>
      </c>
      <c r="EK58" s="117" t="e">
        <f t="shared" si="149"/>
        <v>#N/A</v>
      </c>
      <c r="EL58" s="190" t="e">
        <f t="shared" si="150"/>
        <v>#N/A</v>
      </c>
      <c r="EM58" s="117"/>
      <c r="EP58" s="191">
        <v>9</v>
      </c>
      <c r="EQ58" s="117" t="e">
        <f t="shared" si="151"/>
        <v>#N/A</v>
      </c>
      <c r="ER58" s="190" t="e">
        <f t="shared" si="152"/>
        <v>#N/A</v>
      </c>
      <c r="ES58" s="117"/>
      <c r="EV58" s="191">
        <v>9</v>
      </c>
      <c r="EW58" s="117" t="e">
        <f t="shared" si="153"/>
        <v>#N/A</v>
      </c>
      <c r="EX58" s="190" t="e">
        <f t="shared" si="154"/>
        <v>#N/A</v>
      </c>
      <c r="EY58" s="117"/>
      <c r="FB58" s="191">
        <v>9</v>
      </c>
      <c r="FC58" s="117" t="e">
        <f t="shared" si="165"/>
        <v>#N/A</v>
      </c>
      <c r="FD58" s="190" t="e">
        <f t="shared" si="166"/>
        <v>#N/A</v>
      </c>
      <c r="FE58" s="117"/>
      <c r="FH58" s="191">
        <v>9</v>
      </c>
      <c r="FI58" s="117" t="e">
        <f t="shared" si="167"/>
        <v>#N/A</v>
      </c>
      <c r="FJ58" s="190" t="e">
        <f t="shared" si="168"/>
        <v>#N/A</v>
      </c>
      <c r="FK58" s="117"/>
      <c r="FN58" s="191">
        <v>9</v>
      </c>
      <c r="FO58" s="117" t="e">
        <f t="shared" si="169"/>
        <v>#N/A</v>
      </c>
      <c r="FP58" s="190" t="e">
        <f t="shared" si="170"/>
        <v>#N/A</v>
      </c>
    </row>
    <row r="59" spans="3:196" ht="15.75" thickBot="1" x14ac:dyDescent="0.3">
      <c r="H59" s="244">
        <v>10</v>
      </c>
      <c r="I59" s="249" t="e">
        <f t="shared" si="155"/>
        <v>#N/A</v>
      </c>
      <c r="J59" s="250" t="e">
        <f t="shared" si="156"/>
        <v>#N/A</v>
      </c>
      <c r="K59" s="117"/>
      <c r="N59" s="244">
        <v>10</v>
      </c>
      <c r="O59" s="249" t="e">
        <f t="shared" si="157"/>
        <v>#N/A</v>
      </c>
      <c r="P59" s="250" t="e">
        <f t="shared" si="158"/>
        <v>#N/A</v>
      </c>
      <c r="Q59" s="117"/>
      <c r="T59" s="244">
        <v>10</v>
      </c>
      <c r="U59" s="249" t="e">
        <f t="shared" si="115"/>
        <v>#N/A</v>
      </c>
      <c r="V59" s="250" t="e">
        <f t="shared" si="116"/>
        <v>#N/A</v>
      </c>
      <c r="W59" s="117"/>
      <c r="Z59" s="244">
        <v>10</v>
      </c>
      <c r="AA59" s="249" t="e">
        <f t="shared" si="117"/>
        <v>#N/A</v>
      </c>
      <c r="AB59" s="250" t="e">
        <f t="shared" si="118"/>
        <v>#N/A</v>
      </c>
      <c r="AC59" s="117"/>
      <c r="AF59" s="242">
        <v>10</v>
      </c>
      <c r="AG59" s="247" t="e">
        <f t="shared" si="159"/>
        <v>#N/A</v>
      </c>
      <c r="AH59" s="248" t="e">
        <f t="shared" si="160"/>
        <v>#N/A</v>
      </c>
      <c r="AI59" s="117"/>
      <c r="AL59" s="242">
        <v>10</v>
      </c>
      <c r="AM59" s="247" t="e">
        <f t="shared" si="119"/>
        <v>#N/A</v>
      </c>
      <c r="AN59" s="248" t="e">
        <f t="shared" si="120"/>
        <v>#N/A</v>
      </c>
      <c r="AO59" s="117"/>
      <c r="AR59" s="242">
        <v>10</v>
      </c>
      <c r="AS59" s="247" t="e">
        <f t="shared" si="161"/>
        <v>#N/A</v>
      </c>
      <c r="AT59" s="248" t="e">
        <f t="shared" si="162"/>
        <v>#N/A</v>
      </c>
      <c r="AU59" s="117"/>
      <c r="AX59" s="242">
        <v>10</v>
      </c>
      <c r="AY59" s="247" t="e">
        <f t="shared" si="163"/>
        <v>#N/A</v>
      </c>
      <c r="AZ59" s="248" t="e">
        <f t="shared" si="164"/>
        <v>#N/A</v>
      </c>
      <c r="BD59" s="242">
        <v>10</v>
      </c>
      <c r="BE59" s="247" t="e">
        <f t="shared" si="121"/>
        <v>#N/A</v>
      </c>
      <c r="BF59" s="248" t="e">
        <f t="shared" si="122"/>
        <v>#N/A</v>
      </c>
      <c r="BJ59" s="242">
        <v>10</v>
      </c>
      <c r="BK59" s="247" t="e">
        <f t="shared" si="123"/>
        <v>#N/A</v>
      </c>
      <c r="BL59" s="248" t="e">
        <f t="shared" si="124"/>
        <v>#N/A</v>
      </c>
      <c r="BP59" s="242">
        <v>10</v>
      </c>
      <c r="BQ59" s="247" t="e">
        <f t="shared" si="125"/>
        <v>#N/A</v>
      </c>
      <c r="BR59" s="248" t="e">
        <f t="shared" si="126"/>
        <v>#N/A</v>
      </c>
      <c r="BS59" s="117"/>
      <c r="BV59" s="242">
        <v>10</v>
      </c>
      <c r="BW59" s="247" t="e">
        <f t="shared" si="127"/>
        <v>#N/A</v>
      </c>
      <c r="BX59" s="248" t="e">
        <f t="shared" si="128"/>
        <v>#N/A</v>
      </c>
      <c r="BY59" s="117"/>
      <c r="CB59" s="242">
        <v>10</v>
      </c>
      <c r="CC59" s="247" t="e">
        <f t="shared" si="129"/>
        <v>#N/A</v>
      </c>
      <c r="CD59" s="248" t="e">
        <f t="shared" si="130"/>
        <v>#N/A</v>
      </c>
      <c r="CE59" s="117"/>
      <c r="CH59" s="242">
        <v>10</v>
      </c>
      <c r="CI59" s="247" t="e">
        <f t="shared" si="131"/>
        <v>#N/A</v>
      </c>
      <c r="CJ59" s="248" t="e">
        <f t="shared" si="132"/>
        <v>#N/A</v>
      </c>
      <c r="CK59" s="117"/>
      <c r="CN59" s="242">
        <v>10</v>
      </c>
      <c r="CO59" s="247" t="e">
        <f t="shared" si="133"/>
        <v>#N/A</v>
      </c>
      <c r="CP59" s="248" t="e">
        <f t="shared" si="134"/>
        <v>#N/A</v>
      </c>
      <c r="CQ59" s="117"/>
      <c r="CT59" s="242">
        <v>10</v>
      </c>
      <c r="CU59" s="247" t="e">
        <f t="shared" si="135"/>
        <v>#N/A</v>
      </c>
      <c r="CV59" s="248" t="e">
        <f t="shared" si="136"/>
        <v>#N/A</v>
      </c>
      <c r="CW59" s="117"/>
      <c r="CZ59" s="242">
        <v>10</v>
      </c>
      <c r="DA59" s="247" t="e">
        <f t="shared" si="137"/>
        <v>#N/A</v>
      </c>
      <c r="DB59" s="248" t="e">
        <f t="shared" si="138"/>
        <v>#N/A</v>
      </c>
      <c r="DC59" s="117"/>
      <c r="DF59" s="242">
        <v>10</v>
      </c>
      <c r="DG59" s="247" t="e">
        <f t="shared" si="139"/>
        <v>#N/A</v>
      </c>
      <c r="DH59" s="248" t="e">
        <f t="shared" si="140"/>
        <v>#N/A</v>
      </c>
      <c r="DI59" s="117"/>
      <c r="DL59" s="242">
        <v>10</v>
      </c>
      <c r="DM59" s="247" t="e">
        <f t="shared" si="141"/>
        <v>#N/A</v>
      </c>
      <c r="DN59" s="248" t="e">
        <f t="shared" si="142"/>
        <v>#N/A</v>
      </c>
      <c r="DO59" s="117"/>
      <c r="DR59" s="242">
        <v>10</v>
      </c>
      <c r="DS59" s="247" t="e">
        <f t="shared" si="143"/>
        <v>#N/A</v>
      </c>
      <c r="DT59" s="248" t="e">
        <f t="shared" si="144"/>
        <v>#N/A</v>
      </c>
      <c r="DU59" s="117"/>
      <c r="DX59" s="242">
        <v>10</v>
      </c>
      <c r="DY59" s="247" t="e">
        <f t="shared" si="145"/>
        <v>#N/A</v>
      </c>
      <c r="DZ59" s="248" t="e">
        <f t="shared" si="146"/>
        <v>#N/A</v>
      </c>
      <c r="EA59" s="117"/>
      <c r="ED59" s="242">
        <v>10</v>
      </c>
      <c r="EE59" s="247" t="e">
        <f t="shared" si="147"/>
        <v>#N/A</v>
      </c>
      <c r="EF59" s="248" t="e">
        <f t="shared" si="148"/>
        <v>#N/A</v>
      </c>
      <c r="EG59" s="117"/>
      <c r="EJ59" s="242">
        <v>10</v>
      </c>
      <c r="EK59" s="247" t="e">
        <f t="shared" si="149"/>
        <v>#N/A</v>
      </c>
      <c r="EL59" s="248" t="e">
        <f t="shared" si="150"/>
        <v>#N/A</v>
      </c>
      <c r="EM59" s="117"/>
      <c r="EP59" s="242">
        <v>10</v>
      </c>
      <c r="EQ59" s="247" t="e">
        <f t="shared" si="151"/>
        <v>#N/A</v>
      </c>
      <c r="ER59" s="248" t="e">
        <f t="shared" si="152"/>
        <v>#N/A</v>
      </c>
      <c r="ES59" s="117"/>
      <c r="EV59" s="242">
        <v>10</v>
      </c>
      <c r="EW59" s="247" t="e">
        <f t="shared" si="153"/>
        <v>#N/A</v>
      </c>
      <c r="EX59" s="248" t="e">
        <f t="shared" si="154"/>
        <v>#N/A</v>
      </c>
      <c r="EY59" s="117"/>
      <c r="FB59" s="242">
        <v>10</v>
      </c>
      <c r="FC59" s="247" t="e">
        <f t="shared" si="165"/>
        <v>#N/A</v>
      </c>
      <c r="FD59" s="248" t="e">
        <f t="shared" si="166"/>
        <v>#N/A</v>
      </c>
      <c r="FE59" s="117"/>
      <c r="FH59" s="242">
        <v>10</v>
      </c>
      <c r="FI59" s="247" t="e">
        <f t="shared" si="167"/>
        <v>#N/A</v>
      </c>
      <c r="FJ59" s="248" t="e">
        <f t="shared" si="168"/>
        <v>#N/A</v>
      </c>
      <c r="FK59" s="117"/>
      <c r="FN59" s="242">
        <v>10</v>
      </c>
      <c r="FO59" s="247" t="e">
        <f t="shared" si="169"/>
        <v>#N/A</v>
      </c>
      <c r="FP59" s="248" t="e">
        <f t="shared" si="170"/>
        <v>#N/A</v>
      </c>
    </row>
    <row r="60" spans="3:196" ht="15.75" thickBot="1" x14ac:dyDescent="0.3">
      <c r="H60" s="16"/>
      <c r="I60" s="117"/>
      <c r="J60" s="117"/>
      <c r="K60" s="117"/>
      <c r="N60" s="16"/>
      <c r="O60" s="117"/>
      <c r="P60" s="117"/>
      <c r="Q60" s="117"/>
      <c r="T60" s="16"/>
      <c r="U60" s="117"/>
      <c r="V60" s="117"/>
      <c r="W60" s="117"/>
      <c r="Z60" s="16"/>
      <c r="AA60" s="117"/>
      <c r="AB60" s="117"/>
      <c r="AC60" s="117"/>
      <c r="AF60" s="16"/>
      <c r="AG60" s="117"/>
      <c r="AH60" s="117"/>
      <c r="AI60" s="117"/>
      <c r="AL60" s="16"/>
      <c r="AM60" s="117"/>
      <c r="AN60" s="117"/>
      <c r="AO60" s="117"/>
      <c r="AR60" s="16"/>
      <c r="AS60" s="117"/>
      <c r="AT60" s="117"/>
      <c r="AU60" s="117"/>
      <c r="AX60" s="16"/>
      <c r="AY60" s="117"/>
      <c r="AZ60" s="117"/>
      <c r="BD60" s="16"/>
      <c r="BE60" s="117"/>
      <c r="BF60" s="117"/>
      <c r="BJ60" s="16"/>
      <c r="BK60" s="117"/>
      <c r="BL60" s="117"/>
      <c r="BP60" s="16"/>
      <c r="BQ60" s="117"/>
      <c r="BR60" s="117"/>
      <c r="BS60" s="117"/>
      <c r="BV60" s="16"/>
      <c r="BW60" s="117"/>
      <c r="BX60" s="117"/>
      <c r="BY60" s="117"/>
      <c r="CB60" s="16"/>
      <c r="CC60" s="117"/>
      <c r="CD60" s="117"/>
      <c r="CE60" s="117"/>
      <c r="CH60" s="16"/>
      <c r="CI60" s="117"/>
      <c r="CJ60" s="117"/>
      <c r="CK60" s="117"/>
      <c r="CN60" s="16"/>
      <c r="CO60" s="117"/>
      <c r="CP60" s="117"/>
      <c r="CQ60" s="117"/>
      <c r="CT60" s="16"/>
      <c r="CU60" s="117"/>
      <c r="CV60" s="117"/>
      <c r="CW60" s="117"/>
      <c r="CZ60" s="16"/>
      <c r="DA60" s="117"/>
      <c r="DB60" s="117"/>
      <c r="DC60" s="117"/>
      <c r="DF60" s="16"/>
      <c r="DG60" s="117"/>
      <c r="DH60" s="117"/>
      <c r="DI60" s="117"/>
      <c r="DL60" s="16"/>
      <c r="DM60" s="117"/>
      <c r="DN60" s="117"/>
      <c r="DO60" s="117"/>
      <c r="DR60" s="16"/>
      <c r="DS60" s="117"/>
      <c r="DT60" s="117"/>
      <c r="DU60" s="117"/>
      <c r="DX60" s="16"/>
      <c r="DY60" s="117"/>
      <c r="DZ60" s="117"/>
      <c r="EA60" s="117"/>
      <c r="ED60" s="16"/>
      <c r="EE60" s="117"/>
      <c r="EF60" s="117"/>
      <c r="EG60" s="117"/>
      <c r="EJ60" s="16"/>
      <c r="EK60" s="117"/>
      <c r="EL60" s="117"/>
      <c r="EM60" s="117"/>
      <c r="EP60" s="16"/>
      <c r="EQ60" s="117"/>
      <c r="ER60" s="117"/>
      <c r="ES60" s="117"/>
      <c r="EV60" s="16"/>
      <c r="EW60" s="117"/>
      <c r="EX60" s="117"/>
      <c r="EY60" s="117"/>
      <c r="FB60" s="16"/>
      <c r="FC60" s="117"/>
      <c r="FD60" s="117"/>
      <c r="FE60" s="117"/>
      <c r="FH60" s="16"/>
      <c r="FI60" s="117"/>
      <c r="FJ60" s="117"/>
      <c r="FK60" s="117"/>
      <c r="FN60" s="16"/>
      <c r="FO60" s="117"/>
      <c r="FP60" s="117"/>
    </row>
    <row r="61" spans="3:196" ht="60.75" thickBot="1" x14ac:dyDescent="0.3">
      <c r="H61" s="251" t="s">
        <v>238</v>
      </c>
      <c r="I61" s="239" t="s">
        <v>239</v>
      </c>
      <c r="J61" s="252" t="s">
        <v>9</v>
      </c>
      <c r="K61" s="251" t="s">
        <v>237</v>
      </c>
      <c r="L61" s="241" t="s">
        <v>240</v>
      </c>
      <c r="N61" s="251" t="s">
        <v>238</v>
      </c>
      <c r="O61" s="239" t="s">
        <v>239</v>
      </c>
      <c r="P61" s="252" t="s">
        <v>9</v>
      </c>
      <c r="Q61" s="251" t="s">
        <v>237</v>
      </c>
      <c r="R61" s="241" t="s">
        <v>240</v>
      </c>
      <c r="T61" s="251" t="s">
        <v>238</v>
      </c>
      <c r="U61" s="239" t="s">
        <v>239</v>
      </c>
      <c r="V61" s="252" t="s">
        <v>9</v>
      </c>
      <c r="W61" s="251" t="s">
        <v>237</v>
      </c>
      <c r="X61" s="241" t="s">
        <v>240</v>
      </c>
      <c r="Z61" s="251" t="s">
        <v>238</v>
      </c>
      <c r="AA61" s="239" t="s">
        <v>239</v>
      </c>
      <c r="AB61" s="252" t="s">
        <v>9</v>
      </c>
      <c r="AC61" s="251" t="s">
        <v>237</v>
      </c>
      <c r="AD61" s="241" t="s">
        <v>240</v>
      </c>
      <c r="AF61" s="251" t="s">
        <v>238</v>
      </c>
      <c r="AG61" s="239" t="s">
        <v>239</v>
      </c>
      <c r="AH61" s="252" t="s">
        <v>9</v>
      </c>
      <c r="AI61" s="251" t="s">
        <v>237</v>
      </c>
      <c r="AJ61" s="241" t="s">
        <v>240</v>
      </c>
      <c r="AL61" s="251" t="s">
        <v>238</v>
      </c>
      <c r="AM61" s="239" t="s">
        <v>239</v>
      </c>
      <c r="AN61" s="252" t="s">
        <v>9</v>
      </c>
      <c r="AO61" s="251" t="s">
        <v>237</v>
      </c>
      <c r="AP61" s="241" t="s">
        <v>240</v>
      </c>
      <c r="AR61" s="251" t="s">
        <v>238</v>
      </c>
      <c r="AS61" s="239" t="s">
        <v>239</v>
      </c>
      <c r="AT61" s="252" t="s">
        <v>9</v>
      </c>
      <c r="AU61" s="251" t="s">
        <v>237</v>
      </c>
      <c r="AV61" s="241" t="s">
        <v>240</v>
      </c>
      <c r="AX61" s="251" t="s">
        <v>238</v>
      </c>
      <c r="AY61" s="239" t="s">
        <v>239</v>
      </c>
      <c r="AZ61" s="252" t="s">
        <v>9</v>
      </c>
      <c r="BA61" s="251" t="s">
        <v>237</v>
      </c>
      <c r="BB61" s="241" t="s">
        <v>240</v>
      </c>
      <c r="BD61" s="251" t="s">
        <v>238</v>
      </c>
      <c r="BE61" s="239" t="s">
        <v>239</v>
      </c>
      <c r="BF61" s="252" t="s">
        <v>9</v>
      </c>
      <c r="BG61" s="251" t="s">
        <v>237</v>
      </c>
      <c r="BH61" s="241" t="s">
        <v>240</v>
      </c>
      <c r="BJ61" s="251" t="s">
        <v>238</v>
      </c>
      <c r="BK61" s="239" t="s">
        <v>239</v>
      </c>
      <c r="BL61" s="252" t="s">
        <v>9</v>
      </c>
      <c r="BM61" s="251" t="s">
        <v>237</v>
      </c>
      <c r="BN61" s="241" t="s">
        <v>240</v>
      </c>
      <c r="BP61" s="251" t="s">
        <v>238</v>
      </c>
      <c r="BQ61" s="239" t="s">
        <v>239</v>
      </c>
      <c r="BR61" s="252" t="s">
        <v>9</v>
      </c>
      <c r="BS61" s="251" t="s">
        <v>237</v>
      </c>
      <c r="BT61" s="241" t="s">
        <v>240</v>
      </c>
      <c r="BV61" s="251" t="s">
        <v>238</v>
      </c>
      <c r="BW61" s="239" t="s">
        <v>239</v>
      </c>
      <c r="BX61" s="252" t="s">
        <v>9</v>
      </c>
      <c r="BY61" s="251" t="s">
        <v>237</v>
      </c>
      <c r="BZ61" s="241" t="s">
        <v>240</v>
      </c>
      <c r="CB61" s="251" t="s">
        <v>238</v>
      </c>
      <c r="CC61" s="239" t="s">
        <v>239</v>
      </c>
      <c r="CD61" s="252" t="s">
        <v>9</v>
      </c>
      <c r="CE61" s="251" t="s">
        <v>237</v>
      </c>
      <c r="CF61" s="241" t="s">
        <v>240</v>
      </c>
      <c r="CH61" s="251" t="s">
        <v>238</v>
      </c>
      <c r="CI61" s="239" t="s">
        <v>239</v>
      </c>
      <c r="CJ61" s="252" t="s">
        <v>9</v>
      </c>
      <c r="CK61" s="251" t="s">
        <v>237</v>
      </c>
      <c r="CL61" s="241" t="s">
        <v>240</v>
      </c>
      <c r="CN61" s="251" t="s">
        <v>238</v>
      </c>
      <c r="CO61" s="239" t="s">
        <v>239</v>
      </c>
      <c r="CP61" s="252" t="s">
        <v>9</v>
      </c>
      <c r="CQ61" s="251" t="s">
        <v>237</v>
      </c>
      <c r="CR61" s="241" t="s">
        <v>240</v>
      </c>
      <c r="CT61" s="251" t="s">
        <v>238</v>
      </c>
      <c r="CU61" s="239" t="s">
        <v>239</v>
      </c>
      <c r="CV61" s="252" t="s">
        <v>9</v>
      </c>
      <c r="CW61" s="251" t="s">
        <v>237</v>
      </c>
      <c r="CX61" s="241" t="s">
        <v>240</v>
      </c>
      <c r="CZ61" s="251" t="s">
        <v>238</v>
      </c>
      <c r="DA61" s="239" t="s">
        <v>239</v>
      </c>
      <c r="DB61" s="252" t="s">
        <v>9</v>
      </c>
      <c r="DC61" s="251" t="s">
        <v>237</v>
      </c>
      <c r="DD61" s="241" t="s">
        <v>240</v>
      </c>
      <c r="DF61" s="251" t="s">
        <v>238</v>
      </c>
      <c r="DG61" s="239" t="s">
        <v>239</v>
      </c>
      <c r="DH61" s="252" t="s">
        <v>9</v>
      </c>
      <c r="DI61" s="251" t="s">
        <v>237</v>
      </c>
      <c r="DJ61" s="241" t="s">
        <v>240</v>
      </c>
      <c r="DL61" s="251" t="s">
        <v>238</v>
      </c>
      <c r="DM61" s="239" t="s">
        <v>239</v>
      </c>
      <c r="DN61" s="252" t="s">
        <v>9</v>
      </c>
      <c r="DO61" s="251" t="s">
        <v>237</v>
      </c>
      <c r="DP61" s="241" t="s">
        <v>240</v>
      </c>
      <c r="DR61" s="251" t="s">
        <v>238</v>
      </c>
      <c r="DS61" s="239" t="s">
        <v>239</v>
      </c>
      <c r="DT61" s="252" t="s">
        <v>9</v>
      </c>
      <c r="DU61" s="251" t="s">
        <v>237</v>
      </c>
      <c r="DV61" s="241" t="s">
        <v>240</v>
      </c>
      <c r="DX61" s="251" t="s">
        <v>238</v>
      </c>
      <c r="DY61" s="239" t="s">
        <v>239</v>
      </c>
      <c r="DZ61" s="252" t="s">
        <v>9</v>
      </c>
      <c r="EA61" s="251" t="s">
        <v>237</v>
      </c>
      <c r="EB61" s="241" t="s">
        <v>240</v>
      </c>
      <c r="ED61" s="251" t="s">
        <v>238</v>
      </c>
      <c r="EE61" s="239" t="s">
        <v>239</v>
      </c>
      <c r="EF61" s="252" t="s">
        <v>9</v>
      </c>
      <c r="EG61" s="251" t="s">
        <v>237</v>
      </c>
      <c r="EH61" s="241" t="s">
        <v>240</v>
      </c>
      <c r="EJ61" s="251" t="s">
        <v>238</v>
      </c>
      <c r="EK61" s="239" t="s">
        <v>239</v>
      </c>
      <c r="EL61" s="252" t="s">
        <v>9</v>
      </c>
      <c r="EM61" s="251" t="s">
        <v>237</v>
      </c>
      <c r="EN61" s="241" t="s">
        <v>240</v>
      </c>
      <c r="EP61" s="251" t="s">
        <v>238</v>
      </c>
      <c r="EQ61" s="239" t="s">
        <v>239</v>
      </c>
      <c r="ER61" s="252" t="s">
        <v>9</v>
      </c>
      <c r="ES61" s="251" t="s">
        <v>237</v>
      </c>
      <c r="ET61" s="241" t="s">
        <v>240</v>
      </c>
      <c r="EV61" s="251" t="s">
        <v>238</v>
      </c>
      <c r="EW61" s="239" t="s">
        <v>239</v>
      </c>
      <c r="EX61" s="252" t="s">
        <v>9</v>
      </c>
      <c r="EY61" s="251" t="s">
        <v>237</v>
      </c>
      <c r="EZ61" s="241" t="s">
        <v>240</v>
      </c>
      <c r="FB61" s="251" t="s">
        <v>238</v>
      </c>
      <c r="FC61" s="239" t="s">
        <v>239</v>
      </c>
      <c r="FD61" s="252" t="s">
        <v>9</v>
      </c>
      <c r="FE61" s="251" t="s">
        <v>237</v>
      </c>
      <c r="FF61" s="241" t="s">
        <v>240</v>
      </c>
      <c r="FH61" s="251" t="s">
        <v>238</v>
      </c>
      <c r="FI61" s="239" t="s">
        <v>239</v>
      </c>
      <c r="FJ61" s="252" t="s">
        <v>9</v>
      </c>
      <c r="FK61" s="251" t="s">
        <v>237</v>
      </c>
      <c r="FL61" s="241" t="s">
        <v>240</v>
      </c>
      <c r="FN61" s="251" t="s">
        <v>238</v>
      </c>
      <c r="FO61" s="239" t="s">
        <v>239</v>
      </c>
      <c r="FP61" s="252" t="s">
        <v>9</v>
      </c>
      <c r="FQ61" s="251" t="s">
        <v>237</v>
      </c>
      <c r="FR61" s="241" t="s">
        <v>240</v>
      </c>
    </row>
    <row r="62" spans="3:196" x14ac:dyDescent="0.25">
      <c r="H62" s="188">
        <v>0</v>
      </c>
      <c r="I62" s="118">
        <f t="shared" ref="I62:I71" si="171">IF(ISNUMBER(I50), I50, "")</f>
        <v>0</v>
      </c>
      <c r="J62" s="189"/>
      <c r="K62" s="17" t="e">
        <f ca="1">IF(ISNUMBER(H$72), RANDBETWEEN(0,H$72-1), IF(ISNUMBER(H$71), RANDBETWEEN(0,H$71-1),IF(ISNUMBER(H$70), RANDBETWEEN(0,H$70-1),IF(ISNUMBER(H$69), RANDBETWEEN(0,H$69-1),IF(ISNUMBER(H$68), RANDBETWEEN(0,H$68-1),IF(ISNUMBER(H$67), RANDBETWEEN(0,H$67-1),IF(ISNUMBER(H$66), RANDBETWEEN(0,H$66-1),IF(ISNUMBER(H$65), RANDBETWEEN(0,H$65-1),IF(ISNUMBER(H$64), RANDBETWEEN(0,H$64-1),IF(ISNUMBER(H$63), RANDBETWEEN(0,H$63-1),IF(ISNUMBER(H$62), RANDBETWEEN(0,H$62-1),"")))))))))))</f>
        <v>#NUM!</v>
      </c>
      <c r="L62" s="117" t="str">
        <f>IF(ISNUMBER(H$65), INDEX(J$63:J$72, MATCH(K$62, H$62:H$72,1)), IF(ISNUMBER(H$64), INDEX(J$63:J$72, MATCH(K$62, H$62:H$72, 1)), IF(ISNUMBER(H$63), INDEX(J$63:J$72, MATCH(K$62, H$62:H$72, 1)),"")))</f>
        <v/>
      </c>
      <c r="N62" s="188">
        <v>0</v>
      </c>
      <c r="O62" s="118" t="str">
        <f t="shared" ref="O62:O71" si="172">IF(ISNUMBER(O50), O50, "")</f>
        <v/>
      </c>
      <c r="P62" s="189"/>
      <c r="Q62" s="17" t="e">
        <f ca="1">IF(ISNUMBER(N$72), RANDBETWEEN(0,N$72-1), IF(ISNUMBER(N$71), RANDBETWEEN(0,N$71-1),IF(ISNUMBER(N$70), RANDBETWEEN(0,N$70-1),IF(ISNUMBER(N$69), RANDBETWEEN(0,N$69-1),IF(ISNUMBER(N$68), RANDBETWEEN(0,N$68-1),IF(ISNUMBER(N$67), RANDBETWEEN(0,N$67-1),IF(ISNUMBER(N$66), RANDBETWEEN(0,N$66-1),IF(ISNUMBER(N$65), RANDBETWEEN(0,N$65-1),IF(ISNUMBER(N$64), RANDBETWEEN(0,N$64-1),IF(ISNUMBER(N$63), RANDBETWEEN(0,N$63-1),IF(ISNUMBER(N$62), RANDBETWEEN(0,N$62-1),"")))))))))))</f>
        <v>#NUM!</v>
      </c>
      <c r="R62" s="117" t="str">
        <f>IF(ISNUMBER(N$65), INDEX(P$63:P$72, MATCH(Q$62, N$62:N$72,1)), IF(ISNUMBER(N$64), INDEX(P$63:P$72, MATCH(Q$62, N$62:N$72, 1)), IF(ISNUMBER(N$63), INDEX(P$63:P$72, MATCH(Q$62, N$62:N$72, 1)),"")))</f>
        <v/>
      </c>
      <c r="T62" s="188">
        <v>0</v>
      </c>
      <c r="U62" s="118" t="str">
        <f t="shared" ref="U62:U71" si="173">IF(ISNUMBER(U50), U50, "")</f>
        <v/>
      </c>
      <c r="V62" s="189"/>
      <c r="W62" s="17" t="e">
        <f ca="1">IF(ISNUMBER(T$72), RANDBETWEEN(0,T$72-1), IF(ISNUMBER(T$71), RANDBETWEEN(0,T$71-1),IF(ISNUMBER(T$70), RANDBETWEEN(0,T$70-1),IF(ISNUMBER(T$69), RANDBETWEEN(0,T$69-1),IF(ISNUMBER(T$68), RANDBETWEEN(0,T$68-1),IF(ISNUMBER(T$67), RANDBETWEEN(0,T$67-1),IF(ISNUMBER(T$66), RANDBETWEEN(0,T$66-1),IF(ISNUMBER(T$65), RANDBETWEEN(0,T$65-1),IF(ISNUMBER(T$64), RANDBETWEEN(0,T$64-1),IF(ISNUMBER(T$63), RANDBETWEEN(0,T$63-1),IF(ISNUMBER(T$62), RANDBETWEEN(0,T$62-1),"")))))))))))</f>
        <v>#NUM!</v>
      </c>
      <c r="X62" s="117" t="str">
        <f>IF(ISNUMBER(T$65), INDEX(V$63:V$72, MATCH(W$62, T$62:T$72,1)), IF(ISNUMBER(T$64), INDEX(V$63:V$72, MATCH(W$62, T$62:T$72, 1)), IF(ISNUMBER(T$63), INDEX(V$63:V$72, MATCH(W$62, T$62:T$72, 1)),"")))</f>
        <v/>
      </c>
      <c r="Z62" s="188">
        <v>0</v>
      </c>
      <c r="AA62" s="118" t="str">
        <f t="shared" ref="AA62:AA71" si="174">IF(ISNUMBER(AA50), AA50, "")</f>
        <v/>
      </c>
      <c r="AB62" s="189"/>
      <c r="AC62" s="17" t="e">
        <f ca="1">IF(ISNUMBER(Z$72), RANDBETWEEN(0,Z$72-1), IF(ISNUMBER(Z$71), RANDBETWEEN(0,Z$71-1),IF(ISNUMBER(Z$70), RANDBETWEEN(0,Z$70-1),IF(ISNUMBER(Z$69), RANDBETWEEN(0,Z$69-1),IF(ISNUMBER(Z$68), RANDBETWEEN(0,Z$68-1),IF(ISNUMBER(Z$67), RANDBETWEEN(0,Z$67-1),IF(ISNUMBER(Z$66), RANDBETWEEN(0,Z$66-1),IF(ISNUMBER(Z$65), RANDBETWEEN(0,Z$65-1),IF(ISNUMBER(Z$64), RANDBETWEEN(0,Z$64-1),IF(ISNUMBER(Z$63), RANDBETWEEN(0,Z$63-1),IF(ISNUMBER(Z$62), RANDBETWEEN(0,Z$62-1),"")))))))))))</f>
        <v>#NUM!</v>
      </c>
      <c r="AD62" s="117" t="str">
        <f>IF(ISNUMBER(Z$65), INDEX(AB$63:AB$72, MATCH(AC$62, Z$62:Z$72,1)), IF(ISNUMBER(Z$64), INDEX(AB$63:AB$72, MATCH(AC$62, Z$62:Z$72, 1)), IF(ISNUMBER(Z$63), INDEX(AB$63:AB$72, MATCH(AC$62, Z$62:Z$72, 1)),"")))</f>
        <v/>
      </c>
      <c r="AF62" s="188">
        <v>0</v>
      </c>
      <c r="AG62" s="118" t="str">
        <f t="shared" ref="AG62:AG71" si="175">IF(ISNUMBER(AG50), AG50, "")</f>
        <v/>
      </c>
      <c r="AH62" s="189"/>
      <c r="AI62" s="17" t="e">
        <f ca="1">IF(ISNUMBER(AF$72), RANDBETWEEN(0,AF$72-1), IF(ISNUMBER(AF$71), RANDBETWEEN(0,AF$71-1),IF(ISNUMBER(AF$70), RANDBETWEEN(0,AF$70-1),IF(ISNUMBER(AF$69), RANDBETWEEN(0,AF$69-1),IF(ISNUMBER(AF$68), RANDBETWEEN(0,AF$68-1),IF(ISNUMBER(AF$67), RANDBETWEEN(0,AF$67-1),IF(ISNUMBER(AF$66), RANDBETWEEN(0,AF$66-1),IF(ISNUMBER(AF$65), RANDBETWEEN(0,AF$65-1),IF(ISNUMBER(AF$64), RANDBETWEEN(0,AF$64-1),IF(ISNUMBER(AF$63), RANDBETWEEN(0,AF$63-1),IF(ISNUMBER(AF$62), RANDBETWEEN(0,AF$62-1),"")))))))))))</f>
        <v>#NUM!</v>
      </c>
      <c r="AJ62" s="117" t="str">
        <f>IF(ISNUMBER(AF$65), INDEX(AH$63:AH$72, MATCH(AI$62, AF$62:AF$72,1)), IF(ISNUMBER(AF$64), INDEX(AH$63:AH$72, MATCH(AI$62, AF$62:AF$72, 1)), IF(ISNUMBER(AF$63), INDEX(AH$63:AH$72, MATCH(AI$62, AF$62:AF$72, 1)),"")))</f>
        <v/>
      </c>
      <c r="AL62" s="188">
        <v>0</v>
      </c>
      <c r="AM62" s="118" t="str">
        <f t="shared" ref="AM62:AM71" si="176">IF(ISNUMBER(AM50), AM50, "")</f>
        <v/>
      </c>
      <c r="AN62" s="189"/>
      <c r="AO62" s="17" t="e">
        <f ca="1">IF(ISNUMBER(AL$72), RANDBETWEEN(0,AL$72-1), IF(ISNUMBER(AL$71), RANDBETWEEN(0,AL$71-1),IF(ISNUMBER(AL$70), RANDBETWEEN(0,AL$70-1),IF(ISNUMBER(AL$69), RANDBETWEEN(0,AL$69-1),IF(ISNUMBER(AL$68), RANDBETWEEN(0,AL$68-1),IF(ISNUMBER(AL$67), RANDBETWEEN(0,AL$67-1),IF(ISNUMBER(AL$66), RANDBETWEEN(0,AL$66-1),IF(ISNUMBER(AL$65), RANDBETWEEN(0,AL$65-1),IF(ISNUMBER(AL$64), RANDBETWEEN(0,AL$64-1),IF(ISNUMBER(AL$63), RANDBETWEEN(0,AL$63-1),IF(ISNUMBER(AL$62), RANDBETWEEN(0,AL$62-1),"")))))))))))</f>
        <v>#NUM!</v>
      </c>
      <c r="AP62" s="117" t="str">
        <f>IF(ISNUMBER(AL$65), INDEX(AN$63:AN$72, MATCH(AO$62, AL$62:AL$72,1)), IF(ISNUMBER(AL$64), INDEX(AN$63:AN$72, MATCH(AO$62, AL$62:AL$72, 1)), IF(ISNUMBER(AL$63), INDEX(AN$63:AN$72, MATCH(AO$62, AL$62:AL$72, 1)),"")))</f>
        <v/>
      </c>
      <c r="AR62" s="188">
        <v>0</v>
      </c>
      <c r="AS62" s="118" t="str">
        <f t="shared" ref="AS62:AS71" si="177">IF(ISNUMBER(AS50), AS50, "")</f>
        <v/>
      </c>
      <c r="AT62" s="189"/>
      <c r="AU62" s="17" t="e">
        <f ca="1">IF(ISNUMBER(AR$72), RANDBETWEEN(0,AR$72-1), IF(ISNUMBER(AR$71), RANDBETWEEN(0,AR$71-1),IF(ISNUMBER(AR$70), RANDBETWEEN(0,AR$70-1),IF(ISNUMBER(AR$69), RANDBETWEEN(0,AR$69-1),IF(ISNUMBER(AR$68), RANDBETWEEN(0,AR$68-1),IF(ISNUMBER(AR$67), RANDBETWEEN(0,AR$67-1),IF(ISNUMBER(AR$66), RANDBETWEEN(0,AR$66-1),IF(ISNUMBER(AR$65), RANDBETWEEN(0,AR$65-1),IF(ISNUMBER(AR$64), RANDBETWEEN(0,AR$64-1),IF(ISNUMBER(AR$63), RANDBETWEEN(0,AR$63-1),IF(ISNUMBER(AR$62), RANDBETWEEN(0,AR$62-1),"")))))))))))</f>
        <v>#NUM!</v>
      </c>
      <c r="AV62" s="117" t="str">
        <f>IF(ISNUMBER(AR$65), INDEX(AT$63:AT$72, MATCH(AU$62, AR$62:AR$72,1)), IF(ISNUMBER(AR$64), INDEX(AT$63:AT$72, MATCH(AU$62, AR$62:AR$72, 1)), IF(ISNUMBER(AR$63), INDEX(AT$63:AT$72, MATCH(AU$62, AR$62:AR$72, 1)),"")))</f>
        <v/>
      </c>
      <c r="AX62" s="188">
        <v>0</v>
      </c>
      <c r="AY62" s="118" t="str">
        <f t="shared" ref="AY62:AY71" si="178">IF(ISNUMBER(AY50), AY50, "")</f>
        <v/>
      </c>
      <c r="AZ62" s="189"/>
      <c r="BA62" s="17" t="e">
        <f ca="1">IF(ISNUMBER(AX$72), RANDBETWEEN(0,AX$72-1), IF(ISNUMBER(AX$71), RANDBETWEEN(0,AX$71-1),IF(ISNUMBER(AX$70), RANDBETWEEN(0,AX$70-1),IF(ISNUMBER(AX$69), RANDBETWEEN(0,AX$69-1),IF(ISNUMBER(AX$68), RANDBETWEEN(0,AX$68-1),IF(ISNUMBER(AX$67), RANDBETWEEN(0,AX$67-1),IF(ISNUMBER(AX$66), RANDBETWEEN(0,AX$66-1),IF(ISNUMBER(AX$65), RANDBETWEEN(0,AX$65-1),IF(ISNUMBER(AX$64), RANDBETWEEN(0,AX$64-1),IF(ISNUMBER(AX$63), RANDBETWEEN(0,AX$63-1),IF(ISNUMBER(AX$62), RANDBETWEEN(0,AX$62-1),"")))))))))))</f>
        <v>#NUM!</v>
      </c>
      <c r="BB62" s="117" t="str">
        <f>IF(ISNUMBER(AX$65), INDEX(AZ$63:AZ$72, MATCH(BA$62, AX$62:AX$72,1)), IF(ISNUMBER(AX$64), INDEX(AZ$63:AZ$72, MATCH(BA$62, AX$62:AX$72, 1)), IF(ISNUMBER(AX$63), INDEX(AZ$63:AZ$72, MATCH(BA$62, AX$62:AX$72, 1)),"")))</f>
        <v/>
      </c>
      <c r="BD62" s="188">
        <v>0</v>
      </c>
      <c r="BE62" s="118" t="str">
        <f t="shared" ref="BE62:BE71" si="179">IF(ISNUMBER(BE50), BE50, "")</f>
        <v/>
      </c>
      <c r="BF62" s="189"/>
      <c r="BG62" s="17" t="e">
        <f ca="1">IF(ISNUMBER(BD$72), RANDBETWEEN(0,BD$72-1), IF(ISNUMBER(BD$71), RANDBETWEEN(0,BD$71-1),IF(ISNUMBER(BD$70), RANDBETWEEN(0,BD$70-1),IF(ISNUMBER(BD$69), RANDBETWEEN(0,BD$69-1),IF(ISNUMBER(BD$68), RANDBETWEEN(0,BD$68-1),IF(ISNUMBER(BD$67), RANDBETWEEN(0,BD$67-1),IF(ISNUMBER(BD$66), RANDBETWEEN(0,BD$66-1),IF(ISNUMBER(BD$65), RANDBETWEEN(0,BD$65-1),IF(ISNUMBER(BD$64), RANDBETWEEN(0,BD$64-1),IF(ISNUMBER(BD$63), RANDBETWEEN(0,BD$63-1),IF(ISNUMBER(BD$62), RANDBETWEEN(0,BD$62-1),"")))))))))))</f>
        <v>#NUM!</v>
      </c>
      <c r="BH62" s="117" t="str">
        <f>IF(ISNUMBER(BD$65), INDEX(BF$63:BF$72, MATCH(BG$62, BD$62:BD$72,1)), IF(ISNUMBER(BD$64), INDEX(BF$63:BF$72, MATCH(BG$62, BD$62:BD$72, 1)), IF(ISNUMBER(BD$63), INDEX(BF$63:BF$72, MATCH(BG$62, BD$62:BD$72, 1)),"")))</f>
        <v/>
      </c>
      <c r="BJ62" s="188">
        <v>0</v>
      </c>
      <c r="BK62" s="118" t="str">
        <f t="shared" ref="BK62:BK71" si="180">IF(ISNUMBER(BK50), BK50, "")</f>
        <v/>
      </c>
      <c r="BL62" s="189"/>
      <c r="BM62" s="17" t="e">
        <f ca="1">IF(ISNUMBER(BJ$72), RANDBETWEEN(0,BJ$72-1), IF(ISNUMBER(BJ$71), RANDBETWEEN(0,BJ$71-1),IF(ISNUMBER(BJ$70), RANDBETWEEN(0,BJ$70-1),IF(ISNUMBER(BJ$69), RANDBETWEEN(0,BJ$69-1),IF(ISNUMBER(BJ$68), RANDBETWEEN(0,BJ$68-1),IF(ISNUMBER(BJ$67), RANDBETWEEN(0,BJ$67-1),IF(ISNUMBER(BJ$66), RANDBETWEEN(0,BJ$66-1),IF(ISNUMBER(BJ$65), RANDBETWEEN(0,BJ$65-1),IF(ISNUMBER(BJ$64), RANDBETWEEN(0,BJ$64-1),IF(ISNUMBER(BJ$63), RANDBETWEEN(0,BJ$63-1),IF(ISNUMBER(BJ$62), RANDBETWEEN(0,BJ$62-1),"")))))))))))</f>
        <v>#NUM!</v>
      </c>
      <c r="BN62" s="117" t="str">
        <f>IF(ISNUMBER(BJ$65), INDEX(BL$63:BL$72, MATCH(BM$62, BJ$62:BJ$72,1)), IF(ISNUMBER(BJ$64), INDEX(BL$63:BL$72, MATCH(BM$62, BJ$62:BJ$72, 1)), IF(ISNUMBER(BJ$63), INDEX(BL$63:BL$72, MATCH(BM$62, BJ$62:BJ$72, 1)),"")))</f>
        <v/>
      </c>
      <c r="BP62" s="188">
        <v>0</v>
      </c>
      <c r="BQ62" s="118" t="str">
        <f t="shared" ref="BQ62:BQ71" si="181">IF(ISNUMBER(BQ50), BQ50, "")</f>
        <v/>
      </c>
      <c r="BR62" s="189"/>
      <c r="BS62" s="17" t="e">
        <f ca="1">IF(ISNUMBER(BP$72), RANDBETWEEN(0,BP$72-1), IF(ISNUMBER(BP$71), RANDBETWEEN(0,BP$71-1),IF(ISNUMBER(BP$70), RANDBETWEEN(0,BP$70-1),IF(ISNUMBER(BP$69), RANDBETWEEN(0,BP$69-1),IF(ISNUMBER(BP$68), RANDBETWEEN(0,BP$68-1),IF(ISNUMBER(BP$67), RANDBETWEEN(0,BP$67-1),IF(ISNUMBER(BP$66), RANDBETWEEN(0,BP$66-1),IF(ISNUMBER(BP$65), RANDBETWEEN(0,BP$65-1),IF(ISNUMBER(BP$64), RANDBETWEEN(0,BP$64-1),IF(ISNUMBER(BP$63), RANDBETWEEN(0,BP$63-1),IF(ISNUMBER(BP$62), RANDBETWEEN(0,BP$62-1),"")))))))))))</f>
        <v>#NUM!</v>
      </c>
      <c r="BT62" s="117" t="str">
        <f>IF(ISNUMBER(BP$65), INDEX(BR$63:BR$72, MATCH(BS$62, BP$62:BP$72,1)), IF(ISNUMBER(BP$64), INDEX(BR$63:BR$72, MATCH(BS$62, BP$62:BP$72, 1)), IF(ISNUMBER(BP$63), INDEX(BR$63:BR$72, MATCH(BS$62, BP$62:BP$72, 1)),"")))</f>
        <v/>
      </c>
      <c r="BV62" s="188">
        <v>0</v>
      </c>
      <c r="BW62" s="118" t="str">
        <f t="shared" ref="BW62:BW71" si="182">IF(ISNUMBER(BW50), BW50, "")</f>
        <v/>
      </c>
      <c r="BX62" s="189"/>
      <c r="BY62" s="17" t="e">
        <f ca="1">IF(ISNUMBER(BV$72), RANDBETWEEN(0,BV$72-1), IF(ISNUMBER(BV$71), RANDBETWEEN(0,BV$71-1),IF(ISNUMBER(BV$70), RANDBETWEEN(0,BV$70-1),IF(ISNUMBER(BV$69), RANDBETWEEN(0,BV$69-1),IF(ISNUMBER(BV$68), RANDBETWEEN(0,BV$68-1),IF(ISNUMBER(BV$67), RANDBETWEEN(0,BV$67-1),IF(ISNUMBER(BV$66), RANDBETWEEN(0,BV$66-1),IF(ISNUMBER(BV$65), RANDBETWEEN(0,BV$65-1),IF(ISNUMBER(BV$64), RANDBETWEEN(0,BV$64-1),IF(ISNUMBER(BV$63), RANDBETWEEN(0,BV$63-1),IF(ISNUMBER(BV$62), RANDBETWEEN(0,BV$62-1),"")))))))))))</f>
        <v>#NUM!</v>
      </c>
      <c r="BZ62" s="117" t="str">
        <f>IF(ISNUMBER(BV$65), INDEX(BX$63:BX$72, MATCH(BY$62, BV$62:BV$72,1)), IF(ISNUMBER(BV$64), INDEX(BX$63:BX$72, MATCH(BY$62, BV$62:BV$72, 1)), IF(ISNUMBER(BV$63), INDEX(BX$63:BX$72, MATCH(BY$62, BV$62:BV$72, 1)),"")))</f>
        <v/>
      </c>
      <c r="CB62" s="188">
        <v>0</v>
      </c>
      <c r="CC62" s="118" t="str">
        <f t="shared" ref="CC62:CC71" si="183">IF(ISNUMBER(CC50), CC50, "")</f>
        <v/>
      </c>
      <c r="CD62" s="189"/>
      <c r="CE62" s="17" t="e">
        <f ca="1">IF(ISNUMBER(CB$72), RANDBETWEEN(0,CB$72-1), IF(ISNUMBER(CB$71), RANDBETWEEN(0,CB$71-1),IF(ISNUMBER(CB$70), RANDBETWEEN(0,CB$70-1),IF(ISNUMBER(CB$69), RANDBETWEEN(0,CB$69-1),IF(ISNUMBER(CB$68), RANDBETWEEN(0,CB$68-1),IF(ISNUMBER(CB$67), RANDBETWEEN(0,CB$67-1),IF(ISNUMBER(CB$66), RANDBETWEEN(0,CB$66-1),IF(ISNUMBER(CB$65), RANDBETWEEN(0,CB$65-1),IF(ISNUMBER(CB$64), RANDBETWEEN(0,CB$64-1),IF(ISNUMBER(CB$63), RANDBETWEEN(0,CB$63-1),IF(ISNUMBER(CB$62), RANDBETWEEN(0,CB$62-1),"")))))))))))</f>
        <v>#NUM!</v>
      </c>
      <c r="CF62" s="117" t="str">
        <f>IF(ISNUMBER(CB$65), INDEX(CD$63:CD$72, MATCH(CE$62, CB$62:CB$72,1)), IF(ISNUMBER(CB$64), INDEX(CD$63:CD$72, MATCH(CE$62, CB$62:CB$72, 1)), IF(ISNUMBER(CB$63), INDEX(CD$63:CD$72, MATCH(CE$62, CB$62:CB$72, 1)),"")))</f>
        <v/>
      </c>
      <c r="CH62" s="188">
        <v>0</v>
      </c>
      <c r="CI62" s="118" t="str">
        <f t="shared" ref="CI62:CI71" si="184">IF(ISNUMBER(CI50), CI50, "")</f>
        <v/>
      </c>
      <c r="CJ62" s="189"/>
      <c r="CK62" s="17" t="e">
        <f ca="1">IF(ISNUMBER(CH$72), RANDBETWEEN(0,CH$72-1), IF(ISNUMBER(CH$71), RANDBETWEEN(0,CH$71-1),IF(ISNUMBER(CH$70), RANDBETWEEN(0,CH$70-1),IF(ISNUMBER(CH$69), RANDBETWEEN(0,CH$69-1),IF(ISNUMBER(CH$68), RANDBETWEEN(0,CH$68-1),IF(ISNUMBER(CH$67), RANDBETWEEN(0,CH$67-1),IF(ISNUMBER(CH$66), RANDBETWEEN(0,CH$66-1),IF(ISNUMBER(CH$65), RANDBETWEEN(0,CH$65-1),IF(ISNUMBER(CH$64), RANDBETWEEN(0,CH$64-1),IF(ISNUMBER(CH$63), RANDBETWEEN(0,CH$63-1),IF(ISNUMBER(CH$62), RANDBETWEEN(0,CH$62-1),"")))))))))))</f>
        <v>#NUM!</v>
      </c>
      <c r="CL62" s="117" t="str">
        <f>IF(ISNUMBER(CH$65), INDEX(CJ$63:CJ$72, MATCH(CK$62, CH$62:CH$72,1)), IF(ISNUMBER(CH$64), INDEX(CJ$63:CJ$72, MATCH(CK$62, CH$62:CH$72, 1)), IF(ISNUMBER(CH$63), INDEX(CJ$63:CJ$72, MATCH(CK$62, CH$62:CH$72, 1)),"")))</f>
        <v/>
      </c>
      <c r="CN62" s="188">
        <v>0</v>
      </c>
      <c r="CO62" s="118" t="str">
        <f t="shared" ref="CO62:CO71" si="185">IF(ISNUMBER(CO50), CO50, "")</f>
        <v/>
      </c>
      <c r="CP62" s="189"/>
      <c r="CQ62" s="17" t="e">
        <f ca="1">IF(ISNUMBER(CN$72), RANDBETWEEN(0,CN$72-1), IF(ISNUMBER(CN$71), RANDBETWEEN(0,CN$71-1),IF(ISNUMBER(CN$70), RANDBETWEEN(0,CN$70-1),IF(ISNUMBER(CN$69), RANDBETWEEN(0,CN$69-1),IF(ISNUMBER(CN$68), RANDBETWEEN(0,CN$68-1),IF(ISNUMBER(CN$67), RANDBETWEEN(0,CN$67-1),IF(ISNUMBER(CN$66), RANDBETWEEN(0,CN$66-1),IF(ISNUMBER(CN$65), RANDBETWEEN(0,CN$65-1),IF(ISNUMBER(CN$64), RANDBETWEEN(0,CN$64-1),IF(ISNUMBER(CN$63), RANDBETWEEN(0,CN$63-1),IF(ISNUMBER(CN$62), RANDBETWEEN(0,CN$62-1),"")))))))))))</f>
        <v>#NUM!</v>
      </c>
      <c r="CR62" s="117" t="str">
        <f>IF(ISNUMBER(CN$65), INDEX(CP$63:CP$72, MATCH(CQ$62, CN$62:CN$72,1)), IF(ISNUMBER(CN$64), INDEX(CP$63:CP$72, MATCH(CQ$62, CN$62:CN$72, 1)), IF(ISNUMBER(CN$63), INDEX(CP$63:CP$72, MATCH(CQ$62, CN$62:CN$72, 1)),"")))</f>
        <v/>
      </c>
      <c r="CT62" s="188">
        <v>0</v>
      </c>
      <c r="CU62" s="118" t="str">
        <f t="shared" ref="CU62:CU71" si="186">IF(ISNUMBER(CU50), CU50, "")</f>
        <v/>
      </c>
      <c r="CV62" s="189"/>
      <c r="CW62" s="4" t="e">
        <f ca="1">IF(ISNUMBER(CT$72), RANDBETWEEN(0,CT$72-1), IF(ISNUMBER(CT$71), RANDBETWEEN(0,CT$71-1),IF(ISNUMBER(CT$70), RANDBETWEEN(0,CT$70-1),IF(ISNUMBER(CT$69), RANDBETWEEN(0,CT$69-1),IF(ISNUMBER(CT$68), RANDBETWEEN(0,CT$68-1),IF(ISNUMBER(CT$67), RANDBETWEEN(0,CT$67-1),IF(ISNUMBER(CT$66), RANDBETWEEN(0,CT$66-1),IF(ISNUMBER(CT$65), RANDBETWEEN(0,CT$65-1),IF(ISNUMBER(CT$64), RANDBETWEEN(0,CT$64-1),IF(ISNUMBER(CT$63), RANDBETWEEN(0,CT$63-1),IF(ISNUMBER(CT$62), RANDBETWEEN(0,CT$62-1),"")))))))))))</f>
        <v>#NUM!</v>
      </c>
      <c r="CX62" s="117" t="str">
        <f>IF(ISNUMBER(CT$65), INDEX(CV$63:CV$72, MATCH(CW$62, CT$62:CT$72,1)), IF(ISNUMBER(CT$64), INDEX(CV$63:CV$72, MATCH(CW$62, CT$62:CT$72, 1)), IF(ISNUMBER(CT$63), INDEX(CV$63:CV$72, MATCH(CW$62, CT$62:CT$72, 1)),"")))</f>
        <v/>
      </c>
      <c r="CZ62" s="188">
        <v>0</v>
      </c>
      <c r="DA62" s="118" t="str">
        <f t="shared" ref="DA62:DA71" si="187">IF(ISNUMBER(DA50), DA50, "")</f>
        <v/>
      </c>
      <c r="DB62" s="189"/>
      <c r="DC62" s="17" t="e">
        <f ca="1">IF(ISNUMBER(CZ$72), RANDBETWEEN(0,CZ$72-1), IF(ISNUMBER(CZ$71), RANDBETWEEN(0,CZ$71-1),IF(ISNUMBER(CZ$70), RANDBETWEEN(0,CZ$70-1),IF(ISNUMBER(CZ$69), RANDBETWEEN(0,CZ$69-1),IF(ISNUMBER(CZ$68), RANDBETWEEN(0,CZ$68-1),IF(ISNUMBER(CZ$67), RANDBETWEEN(0,CZ$67-1),IF(ISNUMBER(CZ$66), RANDBETWEEN(0,CZ$66-1),IF(ISNUMBER(CZ$65), RANDBETWEEN(0,CZ$65-1),IF(ISNUMBER(CZ$64), RANDBETWEEN(0,CZ$64-1),IF(ISNUMBER(CZ$63), RANDBETWEEN(0,CZ$63-1),IF(ISNUMBER(CZ$62), RANDBETWEEN(0,CZ$62-1),"")))))))))))</f>
        <v>#NUM!</v>
      </c>
      <c r="DD62" s="117" t="str">
        <f>IF(ISNUMBER(CZ$65), INDEX(DB$63:DB$72, MATCH(DC$62, CZ$62:CZ$72,1)), IF(ISNUMBER(CZ$64), INDEX(DB$63:DB$72, MATCH(DC$62, CZ$62:CZ$72, 1)), IF(ISNUMBER(CZ$63), INDEX(DB$63:DB$72, MATCH(DC$62, CZ$62:CZ$72, 1)),"")))</f>
        <v/>
      </c>
      <c r="DF62" s="188">
        <v>0</v>
      </c>
      <c r="DG62" s="118" t="str">
        <f t="shared" ref="DG62:DG71" si="188">IF(ISNUMBER(DG50), DG50, "")</f>
        <v/>
      </c>
      <c r="DH62" s="189"/>
      <c r="DI62" s="17" t="e">
        <f ca="1">IF(ISNUMBER(DF$72), RANDBETWEEN(0,DF$72-1), IF(ISNUMBER(DF$71), RANDBETWEEN(0,DF$71-1),IF(ISNUMBER(DF$70), RANDBETWEEN(0,DF$70-1),IF(ISNUMBER(DF$69), RANDBETWEEN(0,DF$69-1),IF(ISNUMBER(DF$68), RANDBETWEEN(0,DF$68-1),IF(ISNUMBER(DF$67), RANDBETWEEN(0,DF$67-1),IF(ISNUMBER(DF$66), RANDBETWEEN(0,DF$66-1),IF(ISNUMBER(DF$65), RANDBETWEEN(0,DF$65-1),IF(ISNUMBER(DF$64), RANDBETWEEN(0,DF$64-1),IF(ISNUMBER(DF$63), RANDBETWEEN(0,DF$63-1),IF(ISNUMBER(DF$62), RANDBETWEEN(0,DF$62-1),"")))))))))))</f>
        <v>#NUM!</v>
      </c>
      <c r="DJ62" s="117" t="str">
        <f>IF(ISNUMBER(DF$65), INDEX(DH$63:DH$72, MATCH(DI$62, DF$62:DF$72,1)), IF(ISNUMBER(DF$64), INDEX(DH$63:DH$72, MATCH(DI$62, DF$62:DF$72, 1)), IF(ISNUMBER(DF$63), INDEX(DH$63:DH$72, MATCH(DI$62, DF$62:DF$72, 1)),"")))</f>
        <v/>
      </c>
      <c r="DL62" s="188">
        <v>0</v>
      </c>
      <c r="DM62" s="118" t="str">
        <f t="shared" ref="DM62:DM71" si="189">IF(ISNUMBER(DM50), DM50, "")</f>
        <v/>
      </c>
      <c r="DN62" s="189"/>
      <c r="DO62" s="17" t="e">
        <f ca="1">IF(ISNUMBER(DL$72), RANDBETWEEN(0,DL$72-1), IF(ISNUMBER(DL$71), RANDBETWEEN(0,DL$71-1),IF(ISNUMBER(DL$70), RANDBETWEEN(0,DL$70-1),IF(ISNUMBER(DL$69), RANDBETWEEN(0,DL$69-1),IF(ISNUMBER(DL$68), RANDBETWEEN(0,DL$68-1),IF(ISNUMBER(DL$67), RANDBETWEEN(0,DL$67-1),IF(ISNUMBER(DL$66), RANDBETWEEN(0,DL$66-1),IF(ISNUMBER(DL$65), RANDBETWEEN(0,DL$65-1),IF(ISNUMBER(DL$64), RANDBETWEEN(0,DL$64-1),IF(ISNUMBER(DL$63), RANDBETWEEN(0,DL$63-1),IF(ISNUMBER(DL$62), RANDBETWEEN(0,DL$62-1),"")))))))))))</f>
        <v>#NUM!</v>
      </c>
      <c r="DP62" s="117" t="str">
        <f>IF(ISNUMBER(DL$65), INDEX(DN$63:DN$72, MATCH(DO$62, DL$62:DL$72,1)), IF(ISNUMBER(DL$64), INDEX(DN$63:DN$72, MATCH(DO$62, DL$62:DL$72, 1)), IF(ISNUMBER(DL$63), INDEX(DN$63:DN$72, MATCH(DO$62, DL$62:DL$72, 1)),"")))</f>
        <v/>
      </c>
      <c r="DR62" s="188">
        <v>0</v>
      </c>
      <c r="DS62" s="118" t="str">
        <f t="shared" ref="DS62:DS71" si="190">IF(ISNUMBER(DS50), DS50, "")</f>
        <v/>
      </c>
      <c r="DT62" s="189"/>
      <c r="DU62" s="17" t="e">
        <f ca="1">IF(ISNUMBER(DR$72), RANDBETWEEN(0,DR$72-1), IF(ISNUMBER(DR$71), RANDBETWEEN(0,DR$71-1),IF(ISNUMBER(DR$70), RANDBETWEEN(0,DR$70-1),IF(ISNUMBER(DR$69), RANDBETWEEN(0,DR$69-1),IF(ISNUMBER(DR$68), RANDBETWEEN(0,DR$68-1),IF(ISNUMBER(DR$67), RANDBETWEEN(0,DR$67-1),IF(ISNUMBER(DR$66), RANDBETWEEN(0,DR$66-1),IF(ISNUMBER(DR$65), RANDBETWEEN(0,DR$65-1),IF(ISNUMBER(DR$64), RANDBETWEEN(0,DR$64-1),IF(ISNUMBER(DR$63), RANDBETWEEN(0,DR$63-1),IF(ISNUMBER(DR$62), RANDBETWEEN(0,DR$62-1),"")))))))))))</f>
        <v>#NUM!</v>
      </c>
      <c r="DV62" s="117" t="str">
        <f>IF(ISNUMBER(DR$65), INDEX(DT$63:DT$72, MATCH(DU$62, DR$62:DR$72,1)), IF(ISNUMBER(DR$64), INDEX(DT$63:DT$72, MATCH(DU$62, DR$62:DR$72, 1)), IF(ISNUMBER(DR$63), INDEX(DT$63:DT$72, MATCH(DU$62, DR$62:DR$72, 1)),"")))</f>
        <v/>
      </c>
      <c r="DX62" s="188">
        <v>0</v>
      </c>
      <c r="DY62" s="118" t="str">
        <f t="shared" ref="DY62:DY71" si="191">IF(ISNUMBER(DY50), DY50, "")</f>
        <v/>
      </c>
      <c r="DZ62" s="189"/>
      <c r="EA62" s="17" t="e">
        <f ca="1">IF(ISNUMBER(DX$72), RANDBETWEEN(0,DX$72-1), IF(ISNUMBER(DX$71), RANDBETWEEN(0,DX$71-1),IF(ISNUMBER(DX$70), RANDBETWEEN(0,DX$70-1),IF(ISNUMBER(DX$69), RANDBETWEEN(0,DX$69-1),IF(ISNUMBER(DX$68), RANDBETWEEN(0,DX$68-1),IF(ISNUMBER(DX$67), RANDBETWEEN(0,DX$67-1),IF(ISNUMBER(DX$66), RANDBETWEEN(0,DX$66-1),IF(ISNUMBER(DX$65), RANDBETWEEN(0,DX$65-1),IF(ISNUMBER(DX$64), RANDBETWEEN(0,DX$64-1),IF(ISNUMBER(DX$63), RANDBETWEEN(0,DX$63-1),IF(ISNUMBER(DX$62), RANDBETWEEN(0,DX$62-1),"")))))))))))</f>
        <v>#NUM!</v>
      </c>
      <c r="EB62" s="117" t="str">
        <f>IF(ISNUMBER(DX$65), INDEX(DZ$63:DZ$72, MATCH(EA$62, DX$62:DX$72,1)), IF(ISNUMBER(DX$64), INDEX(DZ$63:DZ$72, MATCH(EA$62, DX$62:DX$72, 1)), IF(ISNUMBER(DX$63), INDEX(DZ$63:DZ$72, MATCH(EA$62, DX$62:DX$72, 1)),"")))</f>
        <v/>
      </c>
      <c r="ED62" s="188">
        <v>0</v>
      </c>
      <c r="EE62" s="118" t="str">
        <f t="shared" ref="EE62:EE71" si="192">IF(ISNUMBER(EE50), EE50, "")</f>
        <v/>
      </c>
      <c r="EF62" s="189"/>
      <c r="EG62" s="17" t="e">
        <f ca="1">IF(ISNUMBER(ED$72), RANDBETWEEN(0,ED$72-1), IF(ISNUMBER(ED$71), RANDBETWEEN(0,ED$71-1),IF(ISNUMBER(ED$70), RANDBETWEEN(0,ED$70-1),IF(ISNUMBER(ED$69), RANDBETWEEN(0,ED$69-1),IF(ISNUMBER(ED$68), RANDBETWEEN(0,ED$68-1),IF(ISNUMBER(ED$67), RANDBETWEEN(0,ED$67-1),IF(ISNUMBER(ED$66), RANDBETWEEN(0,ED$66-1),IF(ISNUMBER(ED$65), RANDBETWEEN(0,ED$65-1),IF(ISNUMBER(ED$64), RANDBETWEEN(0,ED$64-1),IF(ISNUMBER(ED$63), RANDBETWEEN(0,ED$63-1),IF(ISNUMBER(ED$62), RANDBETWEEN(0,ED$62-1),"")))))))))))</f>
        <v>#NUM!</v>
      </c>
      <c r="EH62" s="117" t="str">
        <f>IF(ISNUMBER(ED$65), INDEX(EF$63:EF$72, MATCH(EG$62, ED$62:ED$72,1)), IF(ISNUMBER(ED$64), INDEX(EF$63:EF$72, MATCH(EG$62, ED$62:ED$72, 1)), IF(ISNUMBER(ED$63), INDEX(EF$63:EF$72, MATCH(EG$62, ED$62:ED$72, 1)),"")))</f>
        <v/>
      </c>
      <c r="EJ62" s="188">
        <v>0</v>
      </c>
      <c r="EK62" s="118" t="str">
        <f t="shared" ref="EK62:EK71" si="193">IF(ISNUMBER(EK50), EK50, "")</f>
        <v/>
      </c>
      <c r="EL62" s="189"/>
      <c r="EM62" s="17" t="e">
        <f ca="1">IF(ISNUMBER(EJ$72), RANDBETWEEN(0,EJ$72-1), IF(ISNUMBER(EJ$71), RANDBETWEEN(0,EJ$71-1),IF(ISNUMBER(EJ$70), RANDBETWEEN(0,EJ$70-1),IF(ISNUMBER(EJ$69), RANDBETWEEN(0,EJ$69-1),IF(ISNUMBER(EJ$68), RANDBETWEEN(0,EJ$68-1),IF(ISNUMBER(EJ$67), RANDBETWEEN(0,EJ$67-1),IF(ISNUMBER(EJ$66), RANDBETWEEN(0,EJ$66-1),IF(ISNUMBER(EJ$65), RANDBETWEEN(0,EJ$65-1),IF(ISNUMBER(EJ$64), RANDBETWEEN(0,EJ$64-1),IF(ISNUMBER(EJ$63), RANDBETWEEN(0,EJ$63-1),IF(ISNUMBER(EJ$62), RANDBETWEEN(0,EJ$62-1),"")))))))))))</f>
        <v>#NUM!</v>
      </c>
      <c r="EN62" s="117" t="str">
        <f>IF(ISNUMBER(EJ$65), INDEX(EL$63:EL$72, MATCH(EM$62, EJ$62:EJ$72,1)), IF(ISNUMBER(EJ$64), INDEX(EL$63:EL$72, MATCH(EM$62, EJ$62:EJ$72, 1)), IF(ISNUMBER(EJ$63), INDEX(EL$63:EL$72, MATCH(EM$62, EJ$62:EJ$72, 1)),"")))</f>
        <v/>
      </c>
      <c r="EP62" s="188">
        <v>0</v>
      </c>
      <c r="EQ62" s="118" t="str">
        <f t="shared" ref="EQ62:EQ71" si="194">IF(ISNUMBER(EQ50), EQ50, "")</f>
        <v/>
      </c>
      <c r="ER62" s="189"/>
      <c r="ES62" s="17" t="e">
        <f ca="1">IF(ISNUMBER(EP$72), RANDBETWEEN(0,EP$72-1), IF(ISNUMBER(EP$71), RANDBETWEEN(0,EP$71-1),IF(ISNUMBER(EP$70), RANDBETWEEN(0,EP$70-1),IF(ISNUMBER(EP$69), RANDBETWEEN(0,EP$69-1),IF(ISNUMBER(EP$68), RANDBETWEEN(0,EP$68-1),IF(ISNUMBER(EP$67), RANDBETWEEN(0,EP$67-1),IF(ISNUMBER(EP$66), RANDBETWEEN(0,EP$66-1),IF(ISNUMBER(EP$65), RANDBETWEEN(0,EP$65-1),IF(ISNUMBER(EP$64), RANDBETWEEN(0,EP$64-1),IF(ISNUMBER(EP$63), RANDBETWEEN(0,EP$63-1),IF(ISNUMBER(EP$62), RANDBETWEEN(0,EP$62-1),"")))))))))))</f>
        <v>#NUM!</v>
      </c>
      <c r="ET62" s="117" t="str">
        <f>IF(ISNUMBER(EP$65), INDEX(ER$63:ER$72, MATCH(ES$62, EP$62:EP$72,1)), IF(ISNUMBER(EP$64), INDEX(ER$63:ER$72, MATCH(ES$62, EP$62:EP$72, 1)), IF(ISNUMBER(EP$63), INDEX(ER$63:ER$72, MATCH(ES$62, EP$62:EP$72, 1)),"")))</f>
        <v/>
      </c>
      <c r="EV62" s="188">
        <v>0</v>
      </c>
      <c r="EW62" s="118" t="str">
        <f t="shared" ref="EW62:EW71" si="195">IF(ISNUMBER(EW50), EW50, "")</f>
        <v/>
      </c>
      <c r="EX62" s="189"/>
      <c r="EY62" s="17" t="e">
        <f ca="1">IF(ISNUMBER(EV$72), RANDBETWEEN(0,EV$72-1), IF(ISNUMBER(EV$71), RANDBETWEEN(0,EV$71-1),IF(ISNUMBER(EV$70), RANDBETWEEN(0,EV$70-1),IF(ISNUMBER(EV$69), RANDBETWEEN(0,EV$69-1),IF(ISNUMBER(EV$68), RANDBETWEEN(0,EV$68-1),IF(ISNUMBER(EV$67), RANDBETWEEN(0,EV$67-1),IF(ISNUMBER(EV$66), RANDBETWEEN(0,EV$66-1),IF(ISNUMBER(EV$65), RANDBETWEEN(0,EV$65-1),IF(ISNUMBER(EV$64), RANDBETWEEN(0,EV$64-1),IF(ISNUMBER(EV$63), RANDBETWEEN(0,EV$63-1),IF(ISNUMBER(EV$62), RANDBETWEEN(0,EV$62-1),"")))))))))))</f>
        <v>#NUM!</v>
      </c>
      <c r="EZ62" s="117" t="str">
        <f>IF(ISNUMBER(EV$65), INDEX(EX$63:EX$72, MATCH(EY$62, EV$62:EV$72,1)), IF(ISNUMBER(EV$64), INDEX(EX$63:EX$72, MATCH(EY$62, EV$62:EV$72, 1)), IF(ISNUMBER(EV$63), INDEX(EX$63:EX$72, MATCH(EY$62, EV$62:EV$72, 1)),"")))</f>
        <v/>
      </c>
      <c r="FB62" s="188">
        <v>0</v>
      </c>
      <c r="FC62" s="118" t="str">
        <f t="shared" ref="FC62:FC71" si="196">IF(ISNUMBER(FC50), FC50, "")</f>
        <v/>
      </c>
      <c r="FD62" s="189"/>
      <c r="FE62" s="17" t="e">
        <f ca="1">IF(ISNUMBER(FB$72), RANDBETWEEN(0,FB$72-1), IF(ISNUMBER(FB$71), RANDBETWEEN(0,FB$71-1),IF(ISNUMBER(FB$70), RANDBETWEEN(0,FB$70-1),IF(ISNUMBER(FB$69), RANDBETWEEN(0,FB$69-1),IF(ISNUMBER(FB$68), RANDBETWEEN(0,FB$68-1),IF(ISNUMBER(FB$67), RANDBETWEEN(0,FB$67-1),IF(ISNUMBER(FB$66), RANDBETWEEN(0,FB$66-1),IF(ISNUMBER(FB$65), RANDBETWEEN(0,FB$65-1),IF(ISNUMBER(FB$64), RANDBETWEEN(0,FB$64-1),IF(ISNUMBER(FB$63), RANDBETWEEN(0,FB$63-1),IF(ISNUMBER(FB$62), RANDBETWEEN(0,FB$62-1),"")))))))))))</f>
        <v>#NUM!</v>
      </c>
      <c r="FF62" s="117" t="str">
        <f>IF(ISNUMBER(FB$65), INDEX(FD$63:FD$72, MATCH(FE$62, FB$62:FB$72,1)), IF(ISNUMBER(FB$64), INDEX(FD$63:FD$72, MATCH(FE$62, FB$62:FB$72, 1)), IF(ISNUMBER(FB$63), INDEX(FD$63:FD$72, MATCH(FE$62, FB$62:FB$72, 1)),"")))</f>
        <v/>
      </c>
      <c r="FH62" s="188">
        <v>0</v>
      </c>
      <c r="FI62" s="118" t="str">
        <f t="shared" ref="FI62:FI71" si="197">IF(ISNUMBER(FI50), FI50, "")</f>
        <v/>
      </c>
      <c r="FJ62" s="189"/>
      <c r="FK62" s="17" t="e">
        <f ca="1">IF(ISNUMBER(FH$72), RANDBETWEEN(0,FH$72-1), IF(ISNUMBER(FH$71), RANDBETWEEN(0,FH$71-1),IF(ISNUMBER(FH$70), RANDBETWEEN(0,FH$70-1),IF(ISNUMBER(FH$69), RANDBETWEEN(0,FH$69-1),IF(ISNUMBER(FH$68), RANDBETWEEN(0,FH$68-1),IF(ISNUMBER(FH$67), RANDBETWEEN(0,FH$67-1),IF(ISNUMBER(FH$66), RANDBETWEEN(0,FH$66-1),IF(ISNUMBER(FH$65), RANDBETWEEN(0,FH$65-1),IF(ISNUMBER(FH$64), RANDBETWEEN(0,FH$64-1),IF(ISNUMBER(FH$63), RANDBETWEEN(0,FH$63-1),IF(ISNUMBER(FH$62), RANDBETWEEN(0,FH$62-1),"")))))))))))</f>
        <v>#NUM!</v>
      </c>
      <c r="FL62" s="117" t="str">
        <f>IF(ISNUMBER(FH$65), INDEX(FJ$63:FJ$72, MATCH(FK$62, FH$62:FH$72,1)), IF(ISNUMBER(FH$64), INDEX(FJ$63:FJ$72, MATCH(FK$62, FH$62:FH$72, 1)), IF(ISNUMBER(FH$63), INDEX(FJ$63:FJ$72, MATCH(FK$62, FH$62:FH$72, 1)),"")))</f>
        <v/>
      </c>
      <c r="FN62" s="188">
        <v>0</v>
      </c>
      <c r="FO62" s="118">
        <f t="shared" ref="FO62:FO71" si="198">IF(ISNUMBER(FO50), FO50, "")</f>
        <v>0</v>
      </c>
      <c r="FP62" s="189"/>
      <c r="FQ62" s="17" t="e">
        <f ca="1">IF(ISNUMBER(FN$72), RANDBETWEEN(0,FN$72-1), IF(ISNUMBER(FN$71), RANDBETWEEN(0,FN$71-1),IF(ISNUMBER(FN$70), RANDBETWEEN(0,FN$70-1),IF(ISNUMBER(FN$69), RANDBETWEEN(0,FN$69-1),IF(ISNUMBER(FN$68), RANDBETWEEN(0,FN$68-1),IF(ISNUMBER(FN$67), RANDBETWEEN(0,FN$67-1),IF(ISNUMBER(FN$66), RANDBETWEEN(0,FN$66-1),IF(ISNUMBER(FN$65), RANDBETWEEN(0,FN$65-1),IF(ISNUMBER(FN$64), RANDBETWEEN(0,FN$64-1),IF(ISNUMBER(FN$63), RANDBETWEEN(0,FN$63-1),IF(ISNUMBER(FN$62), RANDBETWEEN(0,FN$62-1),"")))))))))))</f>
        <v>#NUM!</v>
      </c>
      <c r="FR62" s="117" t="str">
        <f>IF(ISNUMBER(FN$65), INDEX(FP$63:FP$72, MATCH(FQ$62, FN$62:FN$72,1)), IF(ISNUMBER(FN$64), INDEX(FP$63:FP$72, MATCH(FQ$62, FN$62:FN$72, 1)), IF(ISNUMBER(FN$63), INDEX(FP$63:FP$72, MATCH(FQ$62, FN$62:FN$72, 1)),"")))</f>
        <v/>
      </c>
    </row>
    <row r="63" spans="3:196" x14ac:dyDescent="0.25">
      <c r="H63" s="242" t="str">
        <f>IF(ISNUMBER(I50), IF(I50&gt;0,I50, ""), "")</f>
        <v/>
      </c>
      <c r="I63" s="247" t="str">
        <f t="shared" si="171"/>
        <v/>
      </c>
      <c r="J63" s="248" t="str">
        <f t="shared" ref="J63:J72" si="199">IF(ISNUMBER(J50), J50, "")</f>
        <v/>
      </c>
      <c r="K63" s="17" t="e">
        <f ca="1">IF(ISNUMBER(H$72), RANDBETWEEN(0,H$72-1), IF(ISNUMBER(H$71), RANDBETWEEN(0,H$71-1),IF(ISNUMBER(H$70), RANDBETWEEN(0,H$70-1),IF(ISNUMBER(H$69), RANDBETWEEN(0,H$69-1),IF(ISNUMBER(H$68), RANDBETWEEN(0,H$68-1),IF(ISNUMBER(H$67), RANDBETWEEN(0,H$67-1),IF(ISNUMBER(H$66), RANDBETWEEN(0,H$66-1),IF(ISNUMBER(H$65), RANDBETWEEN(0,H$65-1),IF(ISNUMBER(H$64), RANDBETWEEN(0,H$64-1),IF(ISNUMBER(H$63), RANDBETWEEN(0,H$63-1),IF(ISNUMBER(H$62), RANDBETWEEN(0,H$62-1),"")))))))))))</f>
        <v>#NUM!</v>
      </c>
      <c r="L63" s="117" t="str">
        <f>IF(ISNUMBER(H$65), INDEX(J$63:J$72, MATCH(K$63, H$62:H$72,1)), IF(ISNUMBER(H$64), INDEX(J$63:J$72, MATCH(K$63, H$62:H$72, 1)), IF(ISNUMBER(H$63), INDEX(J$63:J$72, MATCH(K$63, H$62:H$72, 1)),"")))</f>
        <v/>
      </c>
      <c r="N63" s="242" t="str">
        <f>IF(ISNUMBER(O50), IF(O50&gt;0,O50, ""), "")</f>
        <v/>
      </c>
      <c r="O63" s="247" t="str">
        <f t="shared" si="172"/>
        <v/>
      </c>
      <c r="P63" s="248" t="str">
        <f t="shared" ref="P63:P72" si="200">IF(ISNUMBER(P50), P50, "")</f>
        <v/>
      </c>
      <c r="Q63" s="17" t="e">
        <f ca="1">IF(ISNUMBER(N$72), RANDBETWEEN(0,N$72-1), IF(ISNUMBER(N$71), RANDBETWEEN(0,N$71-1),IF(ISNUMBER(N$70), RANDBETWEEN(0,N$70-1),IF(ISNUMBER(N$69), RANDBETWEEN(0,N$69-1),IF(ISNUMBER(N$68), RANDBETWEEN(0,N$68-1),IF(ISNUMBER(N$67), RANDBETWEEN(0,N$67-1),IF(ISNUMBER(N$66), RANDBETWEEN(0,N$66-1),IF(ISNUMBER(N$65), RANDBETWEEN(0,N$65-1),IF(ISNUMBER(N$64), RANDBETWEEN(0,N$64-1),IF(ISNUMBER(N$63), RANDBETWEEN(0,N$63-1),IF(ISNUMBER(N$62), RANDBETWEEN(0,N$62-1),"")))))))))))</f>
        <v>#NUM!</v>
      </c>
      <c r="R63" s="117" t="str">
        <f>IF(ISNUMBER(N$65), INDEX(P$63:P$72, MATCH(Q$63, N$62:N$72,1)), IF(ISNUMBER(N$64), INDEX(P$63:P$72, MATCH(Q$63, N$62:N$72, 1)), IF(ISNUMBER(N$63), INDEX(P$63:P$72, MATCH(Q$63, N$62:N$72, 1)),"")))</f>
        <v/>
      </c>
      <c r="T63" s="242" t="str">
        <f>IF(ISNUMBER(U50), IF(U50&gt;0,U50, ""), "")</f>
        <v/>
      </c>
      <c r="U63" s="247" t="str">
        <f t="shared" si="173"/>
        <v/>
      </c>
      <c r="V63" s="248" t="str">
        <f t="shared" ref="V63:V72" si="201">IF(ISNUMBER(V50), V50, "")</f>
        <v/>
      </c>
      <c r="W63" s="17" t="e">
        <f ca="1">IF(ISNUMBER(T$72), RANDBETWEEN(0,T$72-1), IF(ISNUMBER(T$71), RANDBETWEEN(0,T$71-1),IF(ISNUMBER(T$70), RANDBETWEEN(0,T$70-1),IF(ISNUMBER(T$69), RANDBETWEEN(0,T$69-1),IF(ISNUMBER(T$68), RANDBETWEEN(0,T$68-1),IF(ISNUMBER(T$67), RANDBETWEEN(0,T$67-1),IF(ISNUMBER(T$66), RANDBETWEEN(0,T$66-1),IF(ISNUMBER(T$65), RANDBETWEEN(0,T$65-1),IF(ISNUMBER(T$64), RANDBETWEEN(0,T$64-1),IF(ISNUMBER(T$63), RANDBETWEEN(0,T$63-1),IF(ISNUMBER(T$62), RANDBETWEEN(0,T$62-1),"")))))))))))</f>
        <v>#NUM!</v>
      </c>
      <c r="X63" s="117" t="str">
        <f>IF(ISNUMBER(T$65), INDEX(V$63:V$72, MATCH(W$63, T$62:T$72,1)), IF(ISNUMBER(T$64), INDEX(V$63:V$72, MATCH(W$63, T$62:T$72, 1)), IF(ISNUMBER(T$63), INDEX(V$63:V$72, MATCH(W$63, T$62:T$72, 1)),"")))</f>
        <v/>
      </c>
      <c r="Z63" s="242" t="str">
        <f>IF(ISNUMBER(AA50), IF(AA50&gt;0,AA50, ""), "")</f>
        <v/>
      </c>
      <c r="AA63" s="247" t="str">
        <f t="shared" si="174"/>
        <v/>
      </c>
      <c r="AB63" s="248" t="str">
        <f t="shared" ref="AB63:AB72" si="202">IF(ISNUMBER(AB50), AB50, "")</f>
        <v/>
      </c>
      <c r="AC63" s="17" t="e">
        <f ca="1">IF(ISNUMBER(Z$72), RANDBETWEEN(0,Z$72-1), IF(ISNUMBER(Z$71), RANDBETWEEN(0,Z$71-1),IF(ISNUMBER(Z$70), RANDBETWEEN(0,Z$70-1),IF(ISNUMBER(Z$69), RANDBETWEEN(0,Z$69-1),IF(ISNUMBER(Z$68), RANDBETWEEN(0,Z$68-1),IF(ISNUMBER(Z$67), RANDBETWEEN(0,Z$67-1),IF(ISNUMBER(Z$66), RANDBETWEEN(0,Z$66-1),IF(ISNUMBER(Z$65), RANDBETWEEN(0,Z$65-1),IF(ISNUMBER(Z$64), RANDBETWEEN(0,Z$64-1),IF(ISNUMBER(Z$63), RANDBETWEEN(0,Z$63-1),IF(ISNUMBER(Z$62), RANDBETWEEN(0,Z$62-1),"")))))))))))</f>
        <v>#NUM!</v>
      </c>
      <c r="AD63" s="117" t="str">
        <f>IF(ISNUMBER(Z$65), INDEX(AB$63:AB$72, MATCH(AC$63, Z$62:Z$72,1)), IF(ISNUMBER(Z$64), INDEX(AB$63:AB$72, MATCH(AC$63, Z$62:Z$72, 1)), IF(ISNUMBER(Z$63), INDEX(AB$63:AB$72, MATCH(AC$63, Z$62:Z$72, 1)),"")))</f>
        <v/>
      </c>
      <c r="AF63" s="242" t="str">
        <f>IF(ISNUMBER(AG50), IF(AG50&gt;0,AG50, ""), "")</f>
        <v/>
      </c>
      <c r="AG63" s="247" t="str">
        <f t="shared" si="175"/>
        <v/>
      </c>
      <c r="AH63" s="248" t="str">
        <f t="shared" ref="AH63:AH72" si="203">IF(ISNUMBER(AH50), AH50, "")</f>
        <v/>
      </c>
      <c r="AI63" s="17" t="e">
        <f ca="1">IF(ISNUMBER(AF$72), RANDBETWEEN(0,AF$72-1), IF(ISNUMBER(AF$71), RANDBETWEEN(0,AF$71-1),IF(ISNUMBER(AF$70), RANDBETWEEN(0,AF$70-1),IF(ISNUMBER(AF$69), RANDBETWEEN(0,AF$69-1),IF(ISNUMBER(AF$68), RANDBETWEEN(0,AF$68-1),IF(ISNUMBER(AF$67), RANDBETWEEN(0,AF$67-1),IF(ISNUMBER(AF$66), RANDBETWEEN(0,AF$66-1),IF(ISNUMBER(AF$65), RANDBETWEEN(0,AF$65-1),IF(ISNUMBER(AF$64), RANDBETWEEN(0,AF$64-1),IF(ISNUMBER(AF$63), RANDBETWEEN(0,AF$63-1),IF(ISNUMBER(AF$62), RANDBETWEEN(0,AF$62-1),"")))))))))))</f>
        <v>#NUM!</v>
      </c>
      <c r="AJ63" s="117" t="str">
        <f>IF(ISNUMBER(AF$65), INDEX(AH$63:AH$72, MATCH(AI$63, AF$62:AF$72,1)), IF(ISNUMBER(AF$64), INDEX(AH$63:AH$72, MATCH(AI$63, AF$62:AF$72, 1)), IF(ISNUMBER(AF$63), INDEX(AH$63:AH$72, MATCH(AI$63, AF$62:AF$72, 1)),"")))</f>
        <v/>
      </c>
      <c r="AL63" s="242" t="str">
        <f>IF(ISNUMBER(AM50), IF(AM50&gt;0,AM50, ""), "")</f>
        <v/>
      </c>
      <c r="AM63" s="247" t="str">
        <f t="shared" si="176"/>
        <v/>
      </c>
      <c r="AN63" s="248" t="str">
        <f t="shared" ref="AN63:AN72" si="204">IF(ISNUMBER(AN50), AN50, "")</f>
        <v/>
      </c>
      <c r="AO63" s="17" t="e">
        <f ca="1">IF(ISNUMBER(AL$72), RANDBETWEEN(0,AL$72-1), IF(ISNUMBER(AL$71), RANDBETWEEN(0,AL$71-1),IF(ISNUMBER(AL$70), RANDBETWEEN(0,AL$70-1),IF(ISNUMBER(AL$69), RANDBETWEEN(0,AL$69-1),IF(ISNUMBER(AL$68), RANDBETWEEN(0,AL$68-1),IF(ISNUMBER(AL$67), RANDBETWEEN(0,AL$67-1),IF(ISNUMBER(AL$66), RANDBETWEEN(0,AL$66-1),IF(ISNUMBER(AL$65), RANDBETWEEN(0,AL$65-1),IF(ISNUMBER(AL$64), RANDBETWEEN(0,AL$64-1),IF(ISNUMBER(AL$63), RANDBETWEEN(0,AL$63-1),IF(ISNUMBER(AL$62), RANDBETWEEN(0,AL$62-1),"")))))))))))</f>
        <v>#NUM!</v>
      </c>
      <c r="AP63" s="117" t="str">
        <f>IF(ISNUMBER(AL$65), INDEX(AN$63:AN$72, MATCH(AO$63, AL$62:AL$72,1)), IF(ISNUMBER(AL$64), INDEX(AN$63:AN$72, MATCH(AO$63, AL$62:AL$72, 1)), IF(ISNUMBER(AL$63), INDEX(AN$63:AN$72, MATCH(AO$63, AL$62:AL$72, 1)),"")))</f>
        <v/>
      </c>
      <c r="AR63" s="242" t="str">
        <f>IF(ISNUMBER(AS50), IF(AS50&gt;0,AS50, ""), "")</f>
        <v/>
      </c>
      <c r="AS63" s="247" t="str">
        <f t="shared" si="177"/>
        <v/>
      </c>
      <c r="AT63" s="248" t="str">
        <f t="shared" ref="AT63:AT72" si="205">IF(ISNUMBER(AT50), AT50, "")</f>
        <v/>
      </c>
      <c r="AU63" s="17" t="e">
        <f ca="1">IF(ISNUMBER(AR$72), RANDBETWEEN(0,AR$72-1), IF(ISNUMBER(AR$71), RANDBETWEEN(0,AR$71-1),IF(ISNUMBER(AR$70), RANDBETWEEN(0,AR$70-1),IF(ISNUMBER(AR$69), RANDBETWEEN(0,AR$69-1),IF(ISNUMBER(AR$68), RANDBETWEEN(0,AR$68-1),IF(ISNUMBER(AR$67), RANDBETWEEN(0,AR$67-1),IF(ISNUMBER(AR$66), RANDBETWEEN(0,AR$66-1),IF(ISNUMBER(AR$65), RANDBETWEEN(0,AR$65-1),IF(ISNUMBER(AR$64), RANDBETWEEN(0,AR$64-1),IF(ISNUMBER(AR$63), RANDBETWEEN(0,AR$63-1),IF(ISNUMBER(AR$62), RANDBETWEEN(0,AR$62-1),"")))))))))))</f>
        <v>#NUM!</v>
      </c>
      <c r="AV63" s="117" t="str">
        <f>IF(ISNUMBER(AR$65), INDEX(AT$63:AT$72, MATCH(AU$63, AR$62:AR$72,1)), IF(ISNUMBER(AR$64), INDEX(AT$63:AT$72, MATCH(AU$63, AR$62:AR$72, 1)), IF(ISNUMBER(AR$63), INDEX(AT$63:AT$72, MATCH(AU$63, AR$62:AR$72, 1)),"")))</f>
        <v/>
      </c>
      <c r="AX63" s="242" t="str">
        <f>IF(ISNUMBER(AY50), IF(AY50&gt;0,AY50, ""), "")</f>
        <v/>
      </c>
      <c r="AY63" s="247" t="str">
        <f t="shared" si="178"/>
        <v/>
      </c>
      <c r="AZ63" s="248" t="str">
        <f t="shared" ref="AZ63:AZ72" si="206">IF(ISNUMBER(AZ50), AZ50, "")</f>
        <v/>
      </c>
      <c r="BA63" s="17" t="e">
        <f ca="1">IF(ISNUMBER(AX$72), RANDBETWEEN(0,AX$72-1), IF(ISNUMBER(AX$71), RANDBETWEEN(0,AX$71-1),IF(ISNUMBER(AX$70), RANDBETWEEN(0,AX$70-1),IF(ISNUMBER(AX$69), RANDBETWEEN(0,AX$69-1),IF(ISNUMBER(AX$68), RANDBETWEEN(0,AX$68-1),IF(ISNUMBER(AX$67), RANDBETWEEN(0,AX$67-1),IF(ISNUMBER(AX$66), RANDBETWEEN(0,AX$66-1),IF(ISNUMBER(AX$65), RANDBETWEEN(0,AX$65-1),IF(ISNUMBER(AX$64), RANDBETWEEN(0,AX$64-1),IF(ISNUMBER(AX$63), RANDBETWEEN(0,AX$63-1),IF(ISNUMBER(AX$62), RANDBETWEEN(0,AX$62-1),"")))))))))))</f>
        <v>#NUM!</v>
      </c>
      <c r="BB63" s="117" t="str">
        <f>IF(ISNUMBER(AX$65), INDEX(AZ$63:AZ$72, MATCH(BA$63, AX$62:AX$72,1)), IF(ISNUMBER(AX$64), INDEX(AZ$63:AZ$72, MATCH(BA$63, AX$62:AX$72, 1)), IF(ISNUMBER(AX$63), INDEX(AZ$63:AZ$72, MATCH(BA$63, AX$62:AX$72, 1)),"")))</f>
        <v/>
      </c>
      <c r="BD63" s="242" t="str">
        <f>IF(ISNUMBER(BE50), IF(BE50&gt;0,BE50, ""), "")</f>
        <v/>
      </c>
      <c r="BE63" s="247" t="str">
        <f t="shared" si="179"/>
        <v/>
      </c>
      <c r="BF63" s="248" t="str">
        <f t="shared" ref="BF63:BF72" si="207">IF(ISNUMBER(BF50), BF50, "")</f>
        <v/>
      </c>
      <c r="BG63" s="17" t="e">
        <f ca="1">IF(ISNUMBER(BD$72), RANDBETWEEN(0,BD$72-1), IF(ISNUMBER(BD$71), RANDBETWEEN(0,BD$71-1),IF(ISNUMBER(BD$70), RANDBETWEEN(0,BD$70-1),IF(ISNUMBER(BD$69), RANDBETWEEN(0,BD$69-1),IF(ISNUMBER(BD$68), RANDBETWEEN(0,BD$68-1),IF(ISNUMBER(BD$67), RANDBETWEEN(0,BD$67-1),IF(ISNUMBER(BD$66), RANDBETWEEN(0,BD$66-1),IF(ISNUMBER(BD$65), RANDBETWEEN(0,BD$65-1),IF(ISNUMBER(BD$64), RANDBETWEEN(0,BD$64-1),IF(ISNUMBER(BD$63), RANDBETWEEN(0,BD$63-1),IF(ISNUMBER(BD$62), RANDBETWEEN(0,BD$62-1),"")))))))))))</f>
        <v>#NUM!</v>
      </c>
      <c r="BH63" s="117" t="str">
        <f>IF(ISNUMBER(BD$65), INDEX(BF$63:BF$72, MATCH(BG$63, BD$62:BD$72,1)), IF(ISNUMBER(BD$64), INDEX(BF$63:BF$72, MATCH(BG$63, BD$62:BD$72, 1)), IF(ISNUMBER(BD$63), INDEX(BF$63:BF$72, MATCH(BG$63, BD$62:BD$72, 1)),"")))</f>
        <v/>
      </c>
      <c r="BJ63" s="242" t="str">
        <f>IF(ISNUMBER(BK50), IF(BK50&gt;0,BK50, ""), "")</f>
        <v/>
      </c>
      <c r="BK63" s="247" t="str">
        <f t="shared" si="180"/>
        <v/>
      </c>
      <c r="BL63" s="248" t="str">
        <f t="shared" ref="BL63:BL72" si="208">IF(ISNUMBER(BL50), BL50, "")</f>
        <v/>
      </c>
      <c r="BM63" s="17" t="e">
        <f ca="1">IF(ISNUMBER(BJ$72), RANDBETWEEN(0,BJ$72-1), IF(ISNUMBER(BJ$71), RANDBETWEEN(0,BJ$71-1),IF(ISNUMBER(BJ$70), RANDBETWEEN(0,BJ$70-1),IF(ISNUMBER(BJ$69), RANDBETWEEN(0,BJ$69-1),IF(ISNUMBER(BJ$68), RANDBETWEEN(0,BJ$68-1),IF(ISNUMBER(BJ$67), RANDBETWEEN(0,BJ$67-1),IF(ISNUMBER(BJ$66), RANDBETWEEN(0,BJ$66-1),IF(ISNUMBER(BJ$65), RANDBETWEEN(0,BJ$65-1),IF(ISNUMBER(BJ$64), RANDBETWEEN(0,BJ$64-1),IF(ISNUMBER(BJ$63), RANDBETWEEN(0,BJ$63-1),IF(ISNUMBER(BJ$62), RANDBETWEEN(0,BJ$62-1),"")))))))))))</f>
        <v>#NUM!</v>
      </c>
      <c r="BN63" s="117" t="str">
        <f>IF(ISNUMBER(BJ$65), INDEX(BL$63:BL$72, MATCH(BM$63, BJ$62:BJ$72,1)), IF(ISNUMBER(BJ$64), INDEX(BL$63:BL$72, MATCH(BM$63, BJ$62:BJ$72, 1)), IF(ISNUMBER(BJ$63), INDEX(BL$63:BL$72, MATCH(BM$63, BJ$62:BJ$72, 1)),"")))</f>
        <v/>
      </c>
      <c r="BP63" s="242" t="str">
        <f>IF(ISNUMBER(BQ50), IF(BQ50&gt;0,BQ50, ""), "")</f>
        <v/>
      </c>
      <c r="BQ63" s="247" t="str">
        <f t="shared" si="181"/>
        <v/>
      </c>
      <c r="BR63" s="248" t="str">
        <f t="shared" ref="BR63:BR72" si="209">IF(ISNUMBER(BR50), BR50, "")</f>
        <v/>
      </c>
      <c r="BS63" s="17" t="e">
        <f ca="1">IF(ISNUMBER(BP$72), RANDBETWEEN(0,BP$72-1), IF(ISNUMBER(BP$71), RANDBETWEEN(0,BP$71-1),IF(ISNUMBER(BP$70), RANDBETWEEN(0,BP$70-1),IF(ISNUMBER(BP$69), RANDBETWEEN(0,BP$69-1),IF(ISNUMBER(BP$68), RANDBETWEEN(0,BP$68-1),IF(ISNUMBER(BP$67), RANDBETWEEN(0,BP$67-1),IF(ISNUMBER(BP$66), RANDBETWEEN(0,BP$66-1),IF(ISNUMBER(BP$65), RANDBETWEEN(0,BP$65-1),IF(ISNUMBER(BP$64), RANDBETWEEN(0,BP$64-1),IF(ISNUMBER(BP$63), RANDBETWEEN(0,BP$63-1),IF(ISNUMBER(BP$62), RANDBETWEEN(0,BP$62-1),"")))))))))))</f>
        <v>#NUM!</v>
      </c>
      <c r="BT63" s="117" t="str">
        <f>IF(ISNUMBER(BP$65), INDEX(BR$63:BR$72, MATCH(BS$63, BP$62:BP$72,1)), IF(ISNUMBER(BP$64), INDEX(BR$63:BR$72, MATCH(BS$63, BP$62:BP$72, 1)), IF(ISNUMBER(BP$63), INDEX(BR$63:BR$72, MATCH(BS$63, BP$62:BP$72, 1)),"")))</f>
        <v/>
      </c>
      <c r="BV63" s="242" t="str">
        <f>IF(ISNUMBER(BW50), IF(BW50&gt;0,BW50, ""), "")</f>
        <v/>
      </c>
      <c r="BW63" s="247" t="str">
        <f t="shared" si="182"/>
        <v/>
      </c>
      <c r="BX63" s="248" t="str">
        <f t="shared" ref="BX63:BX72" si="210">IF(ISNUMBER(BX50), BX50, "")</f>
        <v/>
      </c>
      <c r="BY63" s="17" t="e">
        <f ca="1">IF(ISNUMBER(BV$72), RANDBETWEEN(0,BV$72-1), IF(ISNUMBER(BV$71), RANDBETWEEN(0,BV$71-1),IF(ISNUMBER(BV$70), RANDBETWEEN(0,BV$70-1),IF(ISNUMBER(BV$69), RANDBETWEEN(0,BV$69-1),IF(ISNUMBER(BV$68), RANDBETWEEN(0,BV$68-1),IF(ISNUMBER(BV$67), RANDBETWEEN(0,BV$67-1),IF(ISNUMBER(BV$66), RANDBETWEEN(0,BV$66-1),IF(ISNUMBER(BV$65), RANDBETWEEN(0,BV$65-1),IF(ISNUMBER(BV$64), RANDBETWEEN(0,BV$64-1),IF(ISNUMBER(BV$63), RANDBETWEEN(0,BV$63-1),IF(ISNUMBER(BV$62), RANDBETWEEN(0,BV$62-1),"")))))))))))</f>
        <v>#NUM!</v>
      </c>
      <c r="BZ63" s="117" t="str">
        <f>IF(ISNUMBER(BV$65), INDEX(BX$63:BX$72, MATCH(BY$63, BV$62:BV$72,1)), IF(ISNUMBER(BV$64), INDEX(BX$63:BX$72, MATCH(BY$63, BV$62:BV$72, 1)), IF(ISNUMBER(BV$63), INDEX(BX$63:BX$72, MATCH(BY$63, BV$62:BV$72, 1)),"")))</f>
        <v/>
      </c>
      <c r="CB63" s="242" t="str">
        <f>IF(ISNUMBER(CC50), IF(CC50&gt;0,CC50, ""), "")</f>
        <v/>
      </c>
      <c r="CC63" s="247" t="str">
        <f t="shared" si="183"/>
        <v/>
      </c>
      <c r="CD63" s="248" t="str">
        <f t="shared" ref="CD63:CD72" si="211">IF(ISNUMBER(CD50), CD50, "")</f>
        <v/>
      </c>
      <c r="CE63" s="17" t="e">
        <f ca="1">IF(ISNUMBER(CB$72), RANDBETWEEN(0,CB$72-1), IF(ISNUMBER(CB$71), RANDBETWEEN(0,CB$71-1),IF(ISNUMBER(CB$70), RANDBETWEEN(0,CB$70-1),IF(ISNUMBER(CB$69), RANDBETWEEN(0,CB$69-1),IF(ISNUMBER(CB$68), RANDBETWEEN(0,CB$68-1),IF(ISNUMBER(CB$67), RANDBETWEEN(0,CB$67-1),IF(ISNUMBER(CB$66), RANDBETWEEN(0,CB$66-1),IF(ISNUMBER(CB$65), RANDBETWEEN(0,CB$65-1),IF(ISNUMBER(CB$64), RANDBETWEEN(0,CB$64-1),IF(ISNUMBER(CB$63), RANDBETWEEN(0,CB$63-1),IF(ISNUMBER(CB$62), RANDBETWEEN(0,CB$62-1),"")))))))))))</f>
        <v>#NUM!</v>
      </c>
      <c r="CF63" s="117" t="str">
        <f>IF(ISNUMBER(CB$65), INDEX(CD$63:CD$72, MATCH(CE$63, CB$62:CB$72,1)), IF(ISNUMBER(CB$64), INDEX(CD$63:CD$72, MATCH(CE$63, CB$62:CB$72, 1)), IF(ISNUMBER(CB$63), INDEX(CD$63:CD$72, MATCH(CE$63, CB$62:CB$72, 1)),"")))</f>
        <v/>
      </c>
      <c r="CH63" s="242" t="str">
        <f>IF(ISNUMBER(CI50), IF(CI50&gt;0,CI50, ""), "")</f>
        <v/>
      </c>
      <c r="CI63" s="247" t="str">
        <f t="shared" si="184"/>
        <v/>
      </c>
      <c r="CJ63" s="248" t="str">
        <f t="shared" ref="CJ63:CJ72" si="212">IF(ISNUMBER(CJ50), CJ50, "")</f>
        <v/>
      </c>
      <c r="CK63" s="17" t="e">
        <f ca="1">IF(ISNUMBER(CH$72), RANDBETWEEN(0,CH$72-1), IF(ISNUMBER(CH$71), RANDBETWEEN(0,CH$71-1),IF(ISNUMBER(CH$70), RANDBETWEEN(0,CH$70-1),IF(ISNUMBER(CH$69), RANDBETWEEN(0,CH$69-1),IF(ISNUMBER(CH$68), RANDBETWEEN(0,CH$68-1),IF(ISNUMBER(CH$67), RANDBETWEEN(0,CH$67-1),IF(ISNUMBER(CH$66), RANDBETWEEN(0,CH$66-1),IF(ISNUMBER(CH$65), RANDBETWEEN(0,CH$65-1),IF(ISNUMBER(CH$64), RANDBETWEEN(0,CH$64-1),IF(ISNUMBER(CH$63), RANDBETWEEN(0,CH$63-1),IF(ISNUMBER(CH$62), RANDBETWEEN(0,CH$62-1),"")))))))))))</f>
        <v>#NUM!</v>
      </c>
      <c r="CL63" s="117" t="str">
        <f>IF(ISNUMBER(CH$65), INDEX(CJ$63:CJ$72, MATCH(CK$63, CH$62:CH$72,1)), IF(ISNUMBER(CH$64), INDEX(CJ$63:CJ$72, MATCH(CK$63, CH$62:CH$72, 1)), IF(ISNUMBER(CH$63), INDEX(CJ$63:CJ$72, MATCH(CK$63, CH$62:CH$72, 1)),"")))</f>
        <v/>
      </c>
      <c r="CN63" s="242" t="str">
        <f>IF(ISNUMBER(CO50), IF(CO50&gt;0,CO50, ""), "")</f>
        <v/>
      </c>
      <c r="CO63" s="247" t="str">
        <f t="shared" si="185"/>
        <v/>
      </c>
      <c r="CP63" s="248" t="str">
        <f t="shared" ref="CP63:CP72" si="213">IF(ISNUMBER(CP50), CP50, "")</f>
        <v/>
      </c>
      <c r="CQ63" s="17" t="e">
        <f ca="1">IF(ISNUMBER(CN$72), RANDBETWEEN(0,CN$72-1), IF(ISNUMBER(CN$71), RANDBETWEEN(0,CN$71-1),IF(ISNUMBER(CN$70), RANDBETWEEN(0,CN$70-1),IF(ISNUMBER(CN$69), RANDBETWEEN(0,CN$69-1),IF(ISNUMBER(CN$68), RANDBETWEEN(0,CN$68-1),IF(ISNUMBER(CN$67), RANDBETWEEN(0,CN$67-1),IF(ISNUMBER(CN$66), RANDBETWEEN(0,CN$66-1),IF(ISNUMBER(CN$65), RANDBETWEEN(0,CN$65-1),IF(ISNUMBER(CN$64), RANDBETWEEN(0,CN$64-1),IF(ISNUMBER(CN$63), RANDBETWEEN(0,CN$63-1),IF(ISNUMBER(CN$62), RANDBETWEEN(0,CN$62-1),"")))))))))))</f>
        <v>#NUM!</v>
      </c>
      <c r="CR63" s="117" t="str">
        <f>IF(ISNUMBER(CN$65), INDEX(CP$63:CP$72, MATCH(CQ$63, CN$62:CN$72,1)), IF(ISNUMBER(CN$64), INDEX(CP$63:CP$72, MATCH(CQ$63, CN$62:CN$72, 1)), IF(ISNUMBER(CN$63), INDEX(CP$63:CP$72, MATCH(CQ$63, CN$62:CN$72, 1)),"")))</f>
        <v/>
      </c>
      <c r="CT63" s="242" t="str">
        <f>IF(ISNUMBER(CU50), IF(CU50&gt;0,CU50, ""), "")</f>
        <v/>
      </c>
      <c r="CU63" s="247" t="str">
        <f t="shared" si="186"/>
        <v/>
      </c>
      <c r="CV63" s="248" t="str">
        <f t="shared" ref="CV63:CV72" si="214">IF(ISNUMBER(CV50), CV50, "")</f>
        <v/>
      </c>
      <c r="CW63" s="4" t="e">
        <f ca="1">IF(ISNUMBER(CT$72), RANDBETWEEN(0,CT$72-1), IF(ISNUMBER(CT$71), RANDBETWEEN(0,CT$71-1),IF(ISNUMBER(CT$70), RANDBETWEEN(0,CT$70-1),IF(ISNUMBER(CT$69), RANDBETWEEN(0,CT$69-1),IF(ISNUMBER(CT$68), RANDBETWEEN(0,CT$68-1),IF(ISNUMBER(CT$67), RANDBETWEEN(0,CT$67-1),IF(ISNUMBER(CT$66), RANDBETWEEN(0,CT$66-1),IF(ISNUMBER(CT$65), RANDBETWEEN(0,CT$65-1),IF(ISNUMBER(CT$64), RANDBETWEEN(0,CT$64-1),IF(ISNUMBER(CT$63), RANDBETWEEN(0,CT$63-1),IF(ISNUMBER(CT$62), RANDBETWEEN(0,CT$62-1),"")))))))))))</f>
        <v>#NUM!</v>
      </c>
      <c r="CX63" s="117" t="str">
        <f>IF(ISNUMBER(CT$65), INDEX(CV$63:CV$72, MATCH(CW$63, CT$62:CT$72,1)), IF(ISNUMBER(CT$64), INDEX(CV$63:CV$72, MATCH(CW$63, CT$62:CT$72, 1)), IF(ISNUMBER(CT$63), INDEX(CV$63:CV$72, MATCH(CW$63, CT$62:CT$72, 1)),"")))</f>
        <v/>
      </c>
      <c r="CZ63" s="242" t="str">
        <f>IF(ISNUMBER(DA50), IF(DA50&gt;0,DA50, ""), "")</f>
        <v/>
      </c>
      <c r="DA63" s="247" t="str">
        <f t="shared" si="187"/>
        <v/>
      </c>
      <c r="DB63" s="248" t="str">
        <f t="shared" ref="DB63:DB72" si="215">IF(ISNUMBER(DB50), DB50, "")</f>
        <v/>
      </c>
      <c r="DC63" s="17" t="e">
        <f ca="1">IF(ISNUMBER(CZ$72), RANDBETWEEN(0,CZ$72-1), IF(ISNUMBER(CZ$71), RANDBETWEEN(0,CZ$71-1),IF(ISNUMBER(CZ$70), RANDBETWEEN(0,CZ$70-1),IF(ISNUMBER(CZ$69), RANDBETWEEN(0,CZ$69-1),IF(ISNUMBER(CZ$68), RANDBETWEEN(0,CZ$68-1),IF(ISNUMBER(CZ$67), RANDBETWEEN(0,CZ$67-1),IF(ISNUMBER(CZ$66), RANDBETWEEN(0,CZ$66-1),IF(ISNUMBER(CZ$65), RANDBETWEEN(0,CZ$65-1),IF(ISNUMBER(CZ$64), RANDBETWEEN(0,CZ$64-1),IF(ISNUMBER(CZ$63), RANDBETWEEN(0,CZ$63-1),IF(ISNUMBER(CZ$62), RANDBETWEEN(0,CZ$62-1),"")))))))))))</f>
        <v>#NUM!</v>
      </c>
      <c r="DD63" s="117" t="str">
        <f>IF(ISNUMBER(CZ$65), INDEX(DB$63:DB$72, MATCH(DC$63, CZ$62:CZ$72,1)), IF(ISNUMBER(CZ$64), INDEX(DB$63:DB$72, MATCH(DC$63, CZ$62:CZ$72, 1)), IF(ISNUMBER(CZ$63), INDEX(DB$63:DB$72, MATCH(DC$63, CZ$62:CZ$72, 1)),"")))</f>
        <v/>
      </c>
      <c r="DF63" s="242" t="str">
        <f>IF(ISNUMBER(DG50), IF(DG50&gt;0,DG50, ""), "")</f>
        <v/>
      </c>
      <c r="DG63" s="247" t="str">
        <f t="shared" si="188"/>
        <v/>
      </c>
      <c r="DH63" s="248" t="str">
        <f t="shared" ref="DH63:DH72" si="216">IF(ISNUMBER(DH50), DH50, "")</f>
        <v/>
      </c>
      <c r="DI63" s="17" t="e">
        <f ca="1">IF(ISNUMBER(DF$72), RANDBETWEEN(0,DF$72-1), IF(ISNUMBER(DF$71), RANDBETWEEN(0,DF$71-1),IF(ISNUMBER(DF$70), RANDBETWEEN(0,DF$70-1),IF(ISNUMBER(DF$69), RANDBETWEEN(0,DF$69-1),IF(ISNUMBER(DF$68), RANDBETWEEN(0,DF$68-1),IF(ISNUMBER(DF$67), RANDBETWEEN(0,DF$67-1),IF(ISNUMBER(DF$66), RANDBETWEEN(0,DF$66-1),IF(ISNUMBER(DF$65), RANDBETWEEN(0,DF$65-1),IF(ISNUMBER(DF$64), RANDBETWEEN(0,DF$64-1),IF(ISNUMBER(DF$63), RANDBETWEEN(0,DF$63-1),IF(ISNUMBER(DF$62), RANDBETWEEN(0,DF$62-1),"")))))))))))</f>
        <v>#NUM!</v>
      </c>
      <c r="DJ63" s="117" t="str">
        <f>IF(ISNUMBER(DF$65), INDEX(DH$63:DH$72, MATCH(DI$63, DF$62:DF$72,1)), IF(ISNUMBER(DF$64), INDEX(DH$63:DH$72, MATCH(DI$63, DF$62:DF$72, 1)), IF(ISNUMBER(DF$63), INDEX(DH$63:DH$72, MATCH(DI$63, DF$62:DF$72, 1)),"")))</f>
        <v/>
      </c>
      <c r="DL63" s="242" t="str">
        <f>IF(ISNUMBER(DM50), IF(DM50&gt;0,DM50, ""), "")</f>
        <v/>
      </c>
      <c r="DM63" s="247" t="str">
        <f t="shared" si="189"/>
        <v/>
      </c>
      <c r="DN63" s="248" t="str">
        <f t="shared" ref="DN63:DN72" si="217">IF(ISNUMBER(DN50), DN50, "")</f>
        <v/>
      </c>
      <c r="DO63" s="17" t="e">
        <f ca="1">IF(ISNUMBER(DL$72), RANDBETWEEN(0,DL$72-1), IF(ISNUMBER(DL$71), RANDBETWEEN(0,DL$71-1),IF(ISNUMBER(DL$70), RANDBETWEEN(0,DL$70-1),IF(ISNUMBER(DL$69), RANDBETWEEN(0,DL$69-1),IF(ISNUMBER(DL$68), RANDBETWEEN(0,DL$68-1),IF(ISNUMBER(DL$67), RANDBETWEEN(0,DL$67-1),IF(ISNUMBER(DL$66), RANDBETWEEN(0,DL$66-1),IF(ISNUMBER(DL$65), RANDBETWEEN(0,DL$65-1),IF(ISNUMBER(DL$64), RANDBETWEEN(0,DL$64-1),IF(ISNUMBER(DL$63), RANDBETWEEN(0,DL$63-1),IF(ISNUMBER(DL$62), RANDBETWEEN(0,DL$62-1),"")))))))))))</f>
        <v>#NUM!</v>
      </c>
      <c r="DP63" s="117" t="str">
        <f>IF(ISNUMBER(DL$65), INDEX(DN$63:DN$72, MATCH(DO$63, DL$62:DL$72,1)), IF(ISNUMBER(DL$64), INDEX(DN$63:DN$72, MATCH(DO$63, DL$62:DL$72, 1)), IF(ISNUMBER(DL$63), INDEX(DN$63:DN$72, MATCH(DO$63, DL$62:DL$72, 1)),"")))</f>
        <v/>
      </c>
      <c r="DR63" s="242" t="str">
        <f>IF(ISNUMBER(DS50), IF(DS50&gt;0,DS50, ""), "")</f>
        <v/>
      </c>
      <c r="DS63" s="247" t="str">
        <f t="shared" si="190"/>
        <v/>
      </c>
      <c r="DT63" s="248" t="str">
        <f t="shared" ref="DT63:DT72" si="218">IF(ISNUMBER(DT50), DT50, "")</f>
        <v/>
      </c>
      <c r="DU63" s="17" t="e">
        <f ca="1">IF(ISNUMBER(DR$72), RANDBETWEEN(0,DR$72-1), IF(ISNUMBER(DR$71), RANDBETWEEN(0,DR$71-1),IF(ISNUMBER(DR$70), RANDBETWEEN(0,DR$70-1),IF(ISNUMBER(DR$69), RANDBETWEEN(0,DR$69-1),IF(ISNUMBER(DR$68), RANDBETWEEN(0,DR$68-1),IF(ISNUMBER(DR$67), RANDBETWEEN(0,DR$67-1),IF(ISNUMBER(DR$66), RANDBETWEEN(0,DR$66-1),IF(ISNUMBER(DR$65), RANDBETWEEN(0,DR$65-1),IF(ISNUMBER(DR$64), RANDBETWEEN(0,DR$64-1),IF(ISNUMBER(DR$63), RANDBETWEEN(0,DR$63-1),IF(ISNUMBER(DR$62), RANDBETWEEN(0,DR$62-1),"")))))))))))</f>
        <v>#NUM!</v>
      </c>
      <c r="DV63" s="117" t="str">
        <f>IF(ISNUMBER(DR$65), INDEX(DT$63:DT$72, MATCH(DU$63, DR$62:DR$72,1)), IF(ISNUMBER(DR$64), INDEX(DT$63:DT$72, MATCH(DU$63, DR$62:DR$72, 1)), IF(ISNUMBER(DR$63), INDEX(DT$63:DT$72, MATCH(DU$63, DR$62:DR$72, 1)),"")))</f>
        <v/>
      </c>
      <c r="DX63" s="242" t="str">
        <f>IF(ISNUMBER(DY50), IF(DY50&gt;0,DY50, ""), "")</f>
        <v/>
      </c>
      <c r="DY63" s="247" t="str">
        <f t="shared" si="191"/>
        <v/>
      </c>
      <c r="DZ63" s="248" t="str">
        <f t="shared" ref="DZ63:DZ72" si="219">IF(ISNUMBER(DZ50), DZ50, "")</f>
        <v/>
      </c>
      <c r="EA63" s="17" t="e">
        <f ca="1">IF(ISNUMBER(DX$72), RANDBETWEEN(0,DX$72-1), IF(ISNUMBER(DX$71), RANDBETWEEN(0,DX$71-1),IF(ISNUMBER(DX$70), RANDBETWEEN(0,DX$70-1),IF(ISNUMBER(DX$69), RANDBETWEEN(0,DX$69-1),IF(ISNUMBER(DX$68), RANDBETWEEN(0,DX$68-1),IF(ISNUMBER(DX$67), RANDBETWEEN(0,DX$67-1),IF(ISNUMBER(DX$66), RANDBETWEEN(0,DX$66-1),IF(ISNUMBER(DX$65), RANDBETWEEN(0,DX$65-1),IF(ISNUMBER(DX$64), RANDBETWEEN(0,DX$64-1),IF(ISNUMBER(DX$63), RANDBETWEEN(0,DX$63-1),IF(ISNUMBER(DX$62), RANDBETWEEN(0,DX$62-1),"")))))))))))</f>
        <v>#NUM!</v>
      </c>
      <c r="EB63" s="117" t="str">
        <f>IF(ISNUMBER(DX$65), INDEX(DZ$63:DZ$72, MATCH(EA$63, DX$62:DX$72,1)), IF(ISNUMBER(DX$64), INDEX(DZ$63:DZ$72, MATCH(EA$63, DX$62:DX$72, 1)), IF(ISNUMBER(DX$63), INDEX(DZ$63:DZ$72, MATCH(EA$63, DX$62:DX$72, 1)),"")))</f>
        <v/>
      </c>
      <c r="ED63" s="242" t="str">
        <f>IF(ISNUMBER(EE50), IF(EE50&gt;0,EE50, ""), "")</f>
        <v/>
      </c>
      <c r="EE63" s="247" t="str">
        <f t="shared" si="192"/>
        <v/>
      </c>
      <c r="EF63" s="248" t="str">
        <f t="shared" ref="EF63:EF72" si="220">IF(ISNUMBER(EF50), EF50, "")</f>
        <v/>
      </c>
      <c r="EG63" s="17" t="e">
        <f ca="1">IF(ISNUMBER(ED$72), RANDBETWEEN(0,ED$72-1), IF(ISNUMBER(ED$71), RANDBETWEEN(0,ED$71-1),IF(ISNUMBER(ED$70), RANDBETWEEN(0,ED$70-1),IF(ISNUMBER(ED$69), RANDBETWEEN(0,ED$69-1),IF(ISNUMBER(ED$68), RANDBETWEEN(0,ED$68-1),IF(ISNUMBER(ED$67), RANDBETWEEN(0,ED$67-1),IF(ISNUMBER(ED$66), RANDBETWEEN(0,ED$66-1),IF(ISNUMBER(ED$65), RANDBETWEEN(0,ED$65-1),IF(ISNUMBER(ED$64), RANDBETWEEN(0,ED$64-1),IF(ISNUMBER(ED$63), RANDBETWEEN(0,ED$63-1),IF(ISNUMBER(ED$62), RANDBETWEEN(0,ED$62-1),"")))))))))))</f>
        <v>#NUM!</v>
      </c>
      <c r="EH63" s="117" t="str">
        <f>IF(ISNUMBER(ED$65), INDEX(EF$63:EF$72, MATCH(EG$63, ED$62:ED$72,1)), IF(ISNUMBER(ED$64), INDEX(EF$63:EF$72, MATCH(EG$63, ED$62:ED$72, 1)), IF(ISNUMBER(ED$63), INDEX(EF$63:EF$72, MATCH(EG$63, ED$62:ED$72, 1)),"")))</f>
        <v/>
      </c>
      <c r="EJ63" s="242" t="str">
        <f>IF(ISNUMBER(EK50), IF(EK50&gt;0,EK50, ""), "")</f>
        <v/>
      </c>
      <c r="EK63" s="247" t="str">
        <f t="shared" si="193"/>
        <v/>
      </c>
      <c r="EL63" s="248" t="str">
        <f t="shared" ref="EL63:EL72" si="221">IF(ISNUMBER(EL50), EL50, "")</f>
        <v/>
      </c>
      <c r="EM63" s="17" t="e">
        <f ca="1">IF(ISNUMBER(EJ$72), RANDBETWEEN(0,EJ$72-1), IF(ISNUMBER(EJ$71), RANDBETWEEN(0,EJ$71-1),IF(ISNUMBER(EJ$70), RANDBETWEEN(0,EJ$70-1),IF(ISNUMBER(EJ$69), RANDBETWEEN(0,EJ$69-1),IF(ISNUMBER(EJ$68), RANDBETWEEN(0,EJ$68-1),IF(ISNUMBER(EJ$67), RANDBETWEEN(0,EJ$67-1),IF(ISNUMBER(EJ$66), RANDBETWEEN(0,EJ$66-1),IF(ISNUMBER(EJ$65), RANDBETWEEN(0,EJ$65-1),IF(ISNUMBER(EJ$64), RANDBETWEEN(0,EJ$64-1),IF(ISNUMBER(EJ$63), RANDBETWEEN(0,EJ$63-1),IF(ISNUMBER(EJ$62), RANDBETWEEN(0,EJ$62-1),"")))))))))))</f>
        <v>#NUM!</v>
      </c>
      <c r="EN63" s="117" t="str">
        <f>IF(ISNUMBER(EJ$65), INDEX(EL$63:EL$72, MATCH(EM$63, EJ$62:EJ$72,1)), IF(ISNUMBER(EJ$64), INDEX(EL$63:EL$72, MATCH(EM$63, EJ$62:EJ$72, 1)), IF(ISNUMBER(EJ$63), INDEX(EL$63:EL$72, MATCH(EM$63, EJ$62:EJ$72, 1)),"")))</f>
        <v/>
      </c>
      <c r="EP63" s="242" t="str">
        <f>IF(ISNUMBER(EQ50), IF(EQ50&gt;0,EQ50, ""), "")</f>
        <v/>
      </c>
      <c r="EQ63" s="247" t="str">
        <f t="shared" si="194"/>
        <v/>
      </c>
      <c r="ER63" s="248" t="str">
        <f t="shared" ref="ER63:ER72" si="222">IF(ISNUMBER(ER50), ER50, "")</f>
        <v/>
      </c>
      <c r="ES63" s="17" t="e">
        <f ca="1">IF(ISNUMBER(EP$72), RANDBETWEEN(0,EP$72-1), IF(ISNUMBER(EP$71), RANDBETWEEN(0,EP$71-1),IF(ISNUMBER(EP$70), RANDBETWEEN(0,EP$70-1),IF(ISNUMBER(EP$69), RANDBETWEEN(0,EP$69-1),IF(ISNUMBER(EP$68), RANDBETWEEN(0,EP$68-1),IF(ISNUMBER(EP$67), RANDBETWEEN(0,EP$67-1),IF(ISNUMBER(EP$66), RANDBETWEEN(0,EP$66-1),IF(ISNUMBER(EP$65), RANDBETWEEN(0,EP$65-1),IF(ISNUMBER(EP$64), RANDBETWEEN(0,EP$64-1),IF(ISNUMBER(EP$63), RANDBETWEEN(0,EP$63-1),IF(ISNUMBER(EP$62), RANDBETWEEN(0,EP$62-1),"")))))))))))</f>
        <v>#NUM!</v>
      </c>
      <c r="ET63" s="117" t="str">
        <f>IF(ISNUMBER(EP$65), INDEX(ER$63:ER$72, MATCH(ES$63, EP$62:EP$72,1)), IF(ISNUMBER(EP$64), INDEX(ER$63:ER$72, MATCH(ES$63, EP$62:EP$72, 1)), IF(ISNUMBER(EP$63), INDEX(ER$63:ER$72, MATCH(ES$63, EP$62:EP$72, 1)),"")))</f>
        <v/>
      </c>
      <c r="EV63" s="242" t="str">
        <f>IF(ISNUMBER(EW50), IF(EW50&gt;0,EW50, ""), "")</f>
        <v/>
      </c>
      <c r="EW63" s="247" t="str">
        <f t="shared" si="195"/>
        <v/>
      </c>
      <c r="EX63" s="248" t="str">
        <f t="shared" ref="EX63:EX72" si="223">IF(ISNUMBER(EX50), EX50, "")</f>
        <v/>
      </c>
      <c r="EY63" s="17" t="e">
        <f ca="1">IF(ISNUMBER(EV$72), RANDBETWEEN(0,EV$72-1), IF(ISNUMBER(EV$71), RANDBETWEEN(0,EV$71-1),IF(ISNUMBER(EV$70), RANDBETWEEN(0,EV$70-1),IF(ISNUMBER(EV$69), RANDBETWEEN(0,EV$69-1),IF(ISNUMBER(EV$68), RANDBETWEEN(0,EV$68-1),IF(ISNUMBER(EV$67), RANDBETWEEN(0,EV$67-1),IF(ISNUMBER(EV$66), RANDBETWEEN(0,EV$66-1),IF(ISNUMBER(EV$65), RANDBETWEEN(0,EV$65-1),IF(ISNUMBER(EV$64), RANDBETWEEN(0,EV$64-1),IF(ISNUMBER(EV$63), RANDBETWEEN(0,EV$63-1),IF(ISNUMBER(EV$62), RANDBETWEEN(0,EV$62-1),"")))))))))))</f>
        <v>#NUM!</v>
      </c>
      <c r="EZ63" s="117" t="str">
        <f>IF(ISNUMBER(EV$65), INDEX(EX$63:EX$72, MATCH(EY$63, EV$62:EV$72,1)), IF(ISNUMBER(EV$64), INDEX(EX$63:EX$72, MATCH(EY$63, EV$62:EV$72, 1)), IF(ISNUMBER(EV$63), INDEX(EX$63:EX$72, MATCH(EY$63, EV$62:EV$72, 1)),"")))</f>
        <v/>
      </c>
      <c r="FB63" s="242" t="str">
        <f>IF(ISNUMBER(FC50), IF(FC50&gt;0,FC50, ""), "")</f>
        <v/>
      </c>
      <c r="FC63" s="247" t="str">
        <f t="shared" si="196"/>
        <v/>
      </c>
      <c r="FD63" s="248" t="str">
        <f t="shared" ref="FD63:FD72" si="224">IF(ISNUMBER(FD50), FD50, "")</f>
        <v/>
      </c>
      <c r="FE63" s="17" t="e">
        <f ca="1">IF(ISNUMBER(FB$72), RANDBETWEEN(0,FB$72-1), IF(ISNUMBER(FB$71), RANDBETWEEN(0,FB$71-1),IF(ISNUMBER(FB$70), RANDBETWEEN(0,FB$70-1),IF(ISNUMBER(FB$69), RANDBETWEEN(0,FB$69-1),IF(ISNUMBER(FB$68), RANDBETWEEN(0,FB$68-1),IF(ISNUMBER(FB$67), RANDBETWEEN(0,FB$67-1),IF(ISNUMBER(FB$66), RANDBETWEEN(0,FB$66-1),IF(ISNUMBER(FB$65), RANDBETWEEN(0,FB$65-1),IF(ISNUMBER(FB$64), RANDBETWEEN(0,FB$64-1),IF(ISNUMBER(FB$63), RANDBETWEEN(0,FB$63-1),IF(ISNUMBER(FB$62), RANDBETWEEN(0,FB$62-1),"")))))))))))</f>
        <v>#NUM!</v>
      </c>
      <c r="FF63" s="117" t="str">
        <f>IF(ISNUMBER(FB$65), INDEX(FD$63:FD$72, MATCH(FE$63, FB$62:FB$72,1)), IF(ISNUMBER(FB$64), INDEX(FD$63:FD$72, MATCH(FE$63, FB$62:FB$72, 1)), IF(ISNUMBER(FB$63), INDEX(FD$63:FD$72, MATCH(FE$63, FB$62:FB$72, 1)),"")))</f>
        <v/>
      </c>
      <c r="FH63" s="242" t="str">
        <f>IF(ISNUMBER(FI50), IF(FI50&gt;0,FI50, ""), "")</f>
        <v/>
      </c>
      <c r="FI63" s="247" t="str">
        <f t="shared" si="197"/>
        <v/>
      </c>
      <c r="FJ63" s="248" t="str">
        <f t="shared" ref="FJ63:FJ72" si="225">IF(ISNUMBER(FJ50), FJ50, "")</f>
        <v/>
      </c>
      <c r="FK63" s="17" t="e">
        <f ca="1">IF(ISNUMBER(FH$72), RANDBETWEEN(0,FH$72-1), IF(ISNUMBER(FH$71), RANDBETWEEN(0,FH$71-1),IF(ISNUMBER(FH$70), RANDBETWEEN(0,FH$70-1),IF(ISNUMBER(FH$69), RANDBETWEEN(0,FH$69-1),IF(ISNUMBER(FH$68), RANDBETWEEN(0,FH$68-1),IF(ISNUMBER(FH$67), RANDBETWEEN(0,FH$67-1),IF(ISNUMBER(FH$66), RANDBETWEEN(0,FH$66-1),IF(ISNUMBER(FH$65), RANDBETWEEN(0,FH$65-1),IF(ISNUMBER(FH$64), RANDBETWEEN(0,FH$64-1),IF(ISNUMBER(FH$63), RANDBETWEEN(0,FH$63-1),IF(ISNUMBER(FH$62), RANDBETWEEN(0,FH$62-1),"")))))))))))</f>
        <v>#NUM!</v>
      </c>
      <c r="FL63" s="117" t="str">
        <f>IF(ISNUMBER(FH$65), INDEX(FJ$63:FJ$72, MATCH(FK$63, FH$62:FH$72,1)), IF(ISNUMBER(FH$64), INDEX(FJ$63:FJ$72, MATCH(FK$63, FH$62:FH$72, 1)), IF(ISNUMBER(FH$63), INDEX(FJ$63:FJ$72, MATCH(FK$63, FH$62:FH$72, 1)),"")))</f>
        <v/>
      </c>
      <c r="FN63" s="242" t="str">
        <f>IF(ISNUMBER(FO50), IF(FO50&gt;0,FO50, ""), "")</f>
        <v/>
      </c>
      <c r="FO63" s="247" t="str">
        <f t="shared" si="198"/>
        <v/>
      </c>
      <c r="FP63" s="248" t="str">
        <f t="shared" ref="FP63:FP72" si="226">IF(ISNUMBER(FP50), FP50, "")</f>
        <v/>
      </c>
      <c r="FQ63" s="17" t="e">
        <f ca="1">IF(ISNUMBER(FN$72), RANDBETWEEN(0,FN$72-1), IF(ISNUMBER(FN$71), RANDBETWEEN(0,FN$71-1),IF(ISNUMBER(FN$70), RANDBETWEEN(0,FN$70-1),IF(ISNUMBER(FN$69), RANDBETWEEN(0,FN$69-1),IF(ISNUMBER(FN$68), RANDBETWEEN(0,FN$68-1),IF(ISNUMBER(FN$67), RANDBETWEEN(0,FN$67-1),IF(ISNUMBER(FN$66), RANDBETWEEN(0,FN$66-1),IF(ISNUMBER(FN$65), RANDBETWEEN(0,FN$65-1),IF(ISNUMBER(FN$64), RANDBETWEEN(0,FN$64-1),IF(ISNUMBER(FN$63), RANDBETWEEN(0,FN$63-1),IF(ISNUMBER(FN$62), RANDBETWEEN(0,FN$62-1),"")))))))))))</f>
        <v>#NUM!</v>
      </c>
      <c r="FR63" s="117" t="str">
        <f>IF(ISNUMBER(FN$65), INDEX(FP$63:FP$72, MATCH(FQ$63, FN$62:FN$72,1)), IF(ISNUMBER(FN$64), INDEX(FP$63:FP$72, MATCH(FQ$63, FN$62:FN$72, 1)), IF(ISNUMBER(FN$63), INDEX(FP$63:FP$72, MATCH(FQ$63, FN$62:FN$72, 1)),"")))</f>
        <v/>
      </c>
    </row>
    <row r="64" spans="3:196" x14ac:dyDescent="0.25">
      <c r="H64" s="191" t="str">
        <f t="shared" ref="H64:H72" si="227">IF(ISNUMBER(I51), IF(I51&gt;0, H63+I51,""), "")</f>
        <v/>
      </c>
      <c r="I64" s="117" t="str">
        <f t="shared" si="171"/>
        <v/>
      </c>
      <c r="J64" s="190" t="str">
        <f t="shared" si="199"/>
        <v/>
      </c>
      <c r="K64" s="17" t="e">
        <f ca="1">IF(ISNUMBER(H$72), RANDBETWEEN(0,H$72-1), IF(ISNUMBER(H$71), RANDBETWEEN(0,H$71-1),IF(ISNUMBER(H$70), RANDBETWEEN(0,H$70-1),IF(ISNUMBER(H$69), RANDBETWEEN(0,H$69-1),IF(ISNUMBER(H$68), RANDBETWEEN(0,H$68-1),IF(ISNUMBER(H$67), RANDBETWEEN(0,H$67-1),IF(ISNUMBER(H$66), RANDBETWEEN(0,H$66-1),IF(ISNUMBER(H$65), RANDBETWEEN(0,H$65-1),IF(ISNUMBER(H$64), RANDBETWEEN(0,H$64-1),IF(ISNUMBER(H$63), RANDBETWEEN(0,H$63-1),IF(ISNUMBER(H$62), RANDBETWEEN(0,H$62-1),"")))))))))))</f>
        <v>#NUM!</v>
      </c>
      <c r="L64" s="117" t="str">
        <f>IF(ISNUMBER(H$65), INDEX(J$63:J$72, MATCH(K$64, H$62:H$72,1)), IF(ISNUMBER(H$64), INDEX(J$63:J$72, MATCH(K$64, H$62:H$72, 1)), IF(ISNUMBER(H$63), INDEX(J$63:J$72, MATCH(K$64, H$62:H$72, 1)),"")))</f>
        <v/>
      </c>
      <c r="N64" s="191" t="str">
        <f t="shared" ref="N64:N72" si="228">IF(ISNUMBER(O51), IF(O51&gt;0, N63+O51,""), "")</f>
        <v/>
      </c>
      <c r="O64" s="117" t="str">
        <f t="shared" si="172"/>
        <v/>
      </c>
      <c r="P64" s="190" t="str">
        <f t="shared" si="200"/>
        <v/>
      </c>
      <c r="Q64" s="17" t="e">
        <f ca="1">IF(ISNUMBER(N$72), RANDBETWEEN(0,N$72-1), IF(ISNUMBER(N$71), RANDBETWEEN(0,N$71-1),IF(ISNUMBER(N$70), RANDBETWEEN(0,N$70-1),IF(ISNUMBER(N$69), RANDBETWEEN(0,N$69-1),IF(ISNUMBER(N$68), RANDBETWEEN(0,N$68-1),IF(ISNUMBER(N$67), RANDBETWEEN(0,N$67-1),IF(ISNUMBER(N$66), RANDBETWEEN(0,N$66-1),IF(ISNUMBER(N$65), RANDBETWEEN(0,N$65-1),IF(ISNUMBER(N$64), RANDBETWEEN(0,N$64-1),IF(ISNUMBER(N$63), RANDBETWEEN(0,N$63-1),IF(ISNUMBER(N$62), RANDBETWEEN(0,N$62-1),"")))))))))))</f>
        <v>#NUM!</v>
      </c>
      <c r="R64" s="117" t="str">
        <f>IF(ISNUMBER(N$65), INDEX(P$63:P$72, MATCH(Q$64, N$62:N$72,1)), IF(ISNUMBER(N$64), INDEX(P$63:P$72, MATCH(Q$64, N$62:N$72, 1)), IF(ISNUMBER(N$63), INDEX(P$63:P$72, MATCH(Q$64, N$62:N$72, 1)),"")))</f>
        <v/>
      </c>
      <c r="T64" s="191" t="str">
        <f t="shared" ref="T64:T72" si="229">IF(ISNUMBER(U51), IF(U51&gt;0, T63+U51,""), "")</f>
        <v/>
      </c>
      <c r="U64" s="117" t="str">
        <f t="shared" si="173"/>
        <v/>
      </c>
      <c r="V64" s="190" t="str">
        <f t="shared" si="201"/>
        <v/>
      </c>
      <c r="W64" s="17" t="e">
        <f ca="1">IF(ISNUMBER(T$72), RANDBETWEEN(0,T$72-1), IF(ISNUMBER(T$71), RANDBETWEEN(0,T$71-1),IF(ISNUMBER(T$70), RANDBETWEEN(0,T$70-1),IF(ISNUMBER(T$69), RANDBETWEEN(0,T$69-1),IF(ISNUMBER(T$68), RANDBETWEEN(0,T$68-1),IF(ISNUMBER(T$67), RANDBETWEEN(0,T$67-1),IF(ISNUMBER(T$66), RANDBETWEEN(0,T$66-1),IF(ISNUMBER(T$65), RANDBETWEEN(0,T$65-1),IF(ISNUMBER(T$64), RANDBETWEEN(0,T$64-1),IF(ISNUMBER(T$63), RANDBETWEEN(0,T$63-1),IF(ISNUMBER(T$62), RANDBETWEEN(0,T$62-1),"")))))))))))</f>
        <v>#NUM!</v>
      </c>
      <c r="X64" s="117" t="str">
        <f>IF(ISNUMBER(T$65), INDEX(V$63:V$72, MATCH(W$64, T$62:T$72,1)), IF(ISNUMBER(T$64), INDEX(V$63:V$72, MATCH(W$64, T$62:T$72, 1)), IF(ISNUMBER(T$63), INDEX(V$63:V$72, MATCH(W$64, T$62:T$72, 1)),"")))</f>
        <v/>
      </c>
      <c r="Z64" s="191" t="str">
        <f t="shared" ref="Z64:Z72" si="230">IF(ISNUMBER(AA51), IF(AA51&gt;0, Z63+AA51,""), "")</f>
        <v/>
      </c>
      <c r="AA64" s="117" t="str">
        <f t="shared" si="174"/>
        <v/>
      </c>
      <c r="AB64" s="190" t="str">
        <f t="shared" si="202"/>
        <v/>
      </c>
      <c r="AC64" s="17" t="e">
        <f ca="1">IF(ISNUMBER(Z$72), RANDBETWEEN(0,Z$72-1), IF(ISNUMBER(Z$71), RANDBETWEEN(0,Z$71-1),IF(ISNUMBER(Z$70), RANDBETWEEN(0,Z$70-1),IF(ISNUMBER(Z$69), RANDBETWEEN(0,Z$69-1),IF(ISNUMBER(Z$68), RANDBETWEEN(0,Z$68-1),IF(ISNUMBER(Z$67), RANDBETWEEN(0,Z$67-1),IF(ISNUMBER(Z$66), RANDBETWEEN(0,Z$66-1),IF(ISNUMBER(Z$65), RANDBETWEEN(0,Z$65-1),IF(ISNUMBER(Z$64), RANDBETWEEN(0,Z$64-1),IF(ISNUMBER(Z$63), RANDBETWEEN(0,Z$63-1),IF(ISNUMBER(Z$62), RANDBETWEEN(0,Z$62-1),"")))))))))))</f>
        <v>#NUM!</v>
      </c>
      <c r="AD64" s="117" t="str">
        <f>IF(ISNUMBER(Z$65), INDEX(AB$63:AB$72, MATCH(AC$64, Z$62:Z$72,1)), IF(ISNUMBER(Z$64), INDEX(AB$63:AB$72, MATCH(AC$64, Z$62:Z$72, 1)), IF(ISNUMBER(Z$63), INDEX(AB$63:AB$72, MATCH(AC$64, Z$62:Z$72, 1)),"")))</f>
        <v/>
      </c>
      <c r="AF64" s="191" t="str">
        <f t="shared" ref="AF64:AF72" si="231">IF(ISNUMBER(AG51), IF(AG51&gt;0, AF63+AG51,""), "")</f>
        <v/>
      </c>
      <c r="AG64" s="117" t="str">
        <f t="shared" si="175"/>
        <v/>
      </c>
      <c r="AH64" s="190" t="str">
        <f t="shared" si="203"/>
        <v/>
      </c>
      <c r="AI64" s="17" t="e">
        <f ca="1">IF(ISNUMBER(AF$72), RANDBETWEEN(0,AF$72-1), IF(ISNUMBER(AF$71), RANDBETWEEN(0,AF$71-1),IF(ISNUMBER(AF$70), RANDBETWEEN(0,AF$70-1),IF(ISNUMBER(AF$69), RANDBETWEEN(0,AF$69-1),IF(ISNUMBER(AF$68), RANDBETWEEN(0,AF$68-1),IF(ISNUMBER(AF$67), RANDBETWEEN(0,AF$67-1),IF(ISNUMBER(AF$66), RANDBETWEEN(0,AF$66-1),IF(ISNUMBER(AF$65), RANDBETWEEN(0,AF$65-1),IF(ISNUMBER(AF$64), RANDBETWEEN(0,AF$64-1),IF(ISNUMBER(AF$63), RANDBETWEEN(0,AF$63-1),IF(ISNUMBER(AF$62), RANDBETWEEN(0,AF$62-1),"")))))))))))</f>
        <v>#NUM!</v>
      </c>
      <c r="AJ64" s="117" t="str">
        <f>IF(ISNUMBER(AF$65), INDEX(AH$63:AH$72, MATCH(AI$64, AF$62:AF$72,1)), IF(ISNUMBER(AF$64), INDEX(AH$63:AH$72, MATCH(AI$64, AF$62:AF$72, 1)), IF(ISNUMBER(AF$63), INDEX(AH$63:AH$72, MATCH(AI$64, AF$62:AF$72, 1)),"")))</f>
        <v/>
      </c>
      <c r="AL64" s="191" t="str">
        <f t="shared" ref="AL64:AL72" si="232">IF(ISNUMBER(AM51), IF(AM51&gt;0, AL63+AM51,""), "")</f>
        <v/>
      </c>
      <c r="AM64" s="117" t="str">
        <f t="shared" si="176"/>
        <v/>
      </c>
      <c r="AN64" s="190" t="str">
        <f t="shared" si="204"/>
        <v/>
      </c>
      <c r="AO64" s="17" t="e">
        <f ca="1">IF(ISNUMBER(AL$72), RANDBETWEEN(0,AL$72-1), IF(ISNUMBER(AL$71), RANDBETWEEN(0,AL$71-1),IF(ISNUMBER(AL$70), RANDBETWEEN(0,AL$70-1),IF(ISNUMBER(AL$69), RANDBETWEEN(0,AL$69-1),IF(ISNUMBER(AL$68), RANDBETWEEN(0,AL$68-1),IF(ISNUMBER(AL$67), RANDBETWEEN(0,AL$67-1),IF(ISNUMBER(AL$66), RANDBETWEEN(0,AL$66-1),IF(ISNUMBER(AL$65), RANDBETWEEN(0,AL$65-1),IF(ISNUMBER(AL$64), RANDBETWEEN(0,AL$64-1),IF(ISNUMBER(AL$63), RANDBETWEEN(0,AL$63-1),IF(ISNUMBER(AL$62), RANDBETWEEN(0,AL$62-1),"")))))))))))</f>
        <v>#NUM!</v>
      </c>
      <c r="AP64" s="117" t="str">
        <f>IF(ISNUMBER(AL$65), INDEX(AN$63:AN$72, MATCH(AO$64, AL$62:AL$72,1)), IF(ISNUMBER(AL$64), INDEX(AN$63:AN$72, MATCH(AO$64, AL$62:AL$72, 1)), IF(ISNUMBER(AL$63), INDEX(AN$63:AN$72, MATCH(AO$64, AL$62:AL$72, 1)),"")))</f>
        <v/>
      </c>
      <c r="AR64" s="191" t="str">
        <f t="shared" ref="AR64:AR72" si="233">IF(ISNUMBER(AS51), IF(AS51&gt;0, AR63+AS51,""), "")</f>
        <v/>
      </c>
      <c r="AS64" s="117" t="str">
        <f t="shared" si="177"/>
        <v/>
      </c>
      <c r="AT64" s="190" t="str">
        <f t="shared" si="205"/>
        <v/>
      </c>
      <c r="AU64" s="17" t="e">
        <f ca="1">IF(ISNUMBER(AR$72), RANDBETWEEN(0,AR$72-1), IF(ISNUMBER(AR$71), RANDBETWEEN(0,AR$71-1),IF(ISNUMBER(AR$70), RANDBETWEEN(0,AR$70-1),IF(ISNUMBER(AR$69), RANDBETWEEN(0,AR$69-1),IF(ISNUMBER(AR$68), RANDBETWEEN(0,AR$68-1),IF(ISNUMBER(AR$67), RANDBETWEEN(0,AR$67-1),IF(ISNUMBER(AR$66), RANDBETWEEN(0,AR$66-1),IF(ISNUMBER(AR$65), RANDBETWEEN(0,AR$65-1),IF(ISNUMBER(AR$64), RANDBETWEEN(0,AR$64-1),IF(ISNUMBER(AR$63), RANDBETWEEN(0,AR$63-1),IF(ISNUMBER(AR$62), RANDBETWEEN(0,AR$62-1),"")))))))))))</f>
        <v>#NUM!</v>
      </c>
      <c r="AV64" s="117" t="str">
        <f>IF(ISNUMBER(AR$65), INDEX(AT$63:AT$72, MATCH(AU$64, AR$62:AR$72,1)), IF(ISNUMBER(AR$64), INDEX(AT$63:AT$72, MATCH(AU$64, AR$62:AR$72, 1)), IF(ISNUMBER(AR$63), INDEX(AT$63:AT$72, MATCH(AU$64, AR$62:AR$72, 1)),"")))</f>
        <v/>
      </c>
      <c r="AX64" s="191" t="str">
        <f t="shared" ref="AX64:AX72" si="234">IF(ISNUMBER(AY51), IF(AY51&gt;0, AX63+AY51,""), "")</f>
        <v/>
      </c>
      <c r="AY64" s="117" t="str">
        <f t="shared" si="178"/>
        <v/>
      </c>
      <c r="AZ64" s="190" t="str">
        <f t="shared" si="206"/>
        <v/>
      </c>
      <c r="BA64" s="17" t="e">
        <f ca="1">IF(ISNUMBER(AX$72), RANDBETWEEN(0,AX$72-1), IF(ISNUMBER(AX$71), RANDBETWEEN(0,AX$71-1),IF(ISNUMBER(AX$70), RANDBETWEEN(0,AX$70-1),IF(ISNUMBER(AX$69), RANDBETWEEN(0,AX$69-1),IF(ISNUMBER(AX$68), RANDBETWEEN(0,AX$68-1),IF(ISNUMBER(AX$67), RANDBETWEEN(0,AX$67-1),IF(ISNUMBER(AX$66), RANDBETWEEN(0,AX$66-1),IF(ISNUMBER(AX$65), RANDBETWEEN(0,AX$65-1),IF(ISNUMBER(AX$64), RANDBETWEEN(0,AX$64-1),IF(ISNUMBER(AX$63), RANDBETWEEN(0,AX$63-1),IF(ISNUMBER(AX$62), RANDBETWEEN(0,AX$62-1),"")))))))))))</f>
        <v>#NUM!</v>
      </c>
      <c r="BB64" s="117" t="str">
        <f>IF(ISNUMBER(AX$65), INDEX(AZ$63:AZ$72, MATCH(BA$64, AX$62:AX$72,1)), IF(ISNUMBER(AX$64), INDEX(AZ$63:AZ$72, MATCH(BA$64, AX$62:AX$72, 1)), IF(ISNUMBER(AX$63), INDEX(AZ$63:AZ$72, MATCH(BA$64, AX$62:AX$72, 1)),"")))</f>
        <v/>
      </c>
      <c r="BD64" s="191" t="str">
        <f t="shared" ref="BD64:BD72" si="235">IF(ISNUMBER(BE51), IF(BE51&gt;0, BD63+BE51,""), "")</f>
        <v/>
      </c>
      <c r="BE64" s="117" t="str">
        <f t="shared" si="179"/>
        <v/>
      </c>
      <c r="BF64" s="190" t="str">
        <f t="shared" si="207"/>
        <v/>
      </c>
      <c r="BG64" s="17" t="e">
        <f ca="1">IF(ISNUMBER(BD$72), RANDBETWEEN(0,BD$72-1), IF(ISNUMBER(BD$71), RANDBETWEEN(0,BD$71-1),IF(ISNUMBER(BD$70), RANDBETWEEN(0,BD$70-1),IF(ISNUMBER(BD$69), RANDBETWEEN(0,BD$69-1),IF(ISNUMBER(BD$68), RANDBETWEEN(0,BD$68-1),IF(ISNUMBER(BD$67), RANDBETWEEN(0,BD$67-1),IF(ISNUMBER(BD$66), RANDBETWEEN(0,BD$66-1),IF(ISNUMBER(BD$65), RANDBETWEEN(0,BD$65-1),IF(ISNUMBER(BD$64), RANDBETWEEN(0,BD$64-1),IF(ISNUMBER(BD$63), RANDBETWEEN(0,BD$63-1),IF(ISNUMBER(BD$62), RANDBETWEEN(0,BD$62-1),"")))))))))))</f>
        <v>#NUM!</v>
      </c>
      <c r="BH64" s="117" t="str">
        <f>IF(ISNUMBER(BD$65), INDEX(BF$63:BF$72, MATCH(BG$64, BD$62:BD$72,1)), IF(ISNUMBER(BD$64), INDEX(BF$63:BF$72, MATCH(BG$64, BD$62:BD$72, 1)), IF(ISNUMBER(BD$63), INDEX(BF$63:BF$72, MATCH(BG$64, BD$62:BD$72, 1)),"")))</f>
        <v/>
      </c>
      <c r="BJ64" s="191" t="str">
        <f t="shared" ref="BJ64:BJ72" si="236">IF(ISNUMBER(BK51), IF(BK51&gt;0, BJ63+BK51,""), "")</f>
        <v/>
      </c>
      <c r="BK64" s="117" t="str">
        <f t="shared" si="180"/>
        <v/>
      </c>
      <c r="BL64" s="190" t="str">
        <f t="shared" si="208"/>
        <v/>
      </c>
      <c r="BM64" s="17" t="e">
        <f ca="1">IF(ISNUMBER(BJ$72), RANDBETWEEN(0,BJ$72-1), IF(ISNUMBER(BJ$71), RANDBETWEEN(0,BJ$71-1),IF(ISNUMBER(BJ$70), RANDBETWEEN(0,BJ$70-1),IF(ISNUMBER(BJ$69), RANDBETWEEN(0,BJ$69-1),IF(ISNUMBER(BJ$68), RANDBETWEEN(0,BJ$68-1),IF(ISNUMBER(BJ$67), RANDBETWEEN(0,BJ$67-1),IF(ISNUMBER(BJ$66), RANDBETWEEN(0,BJ$66-1),IF(ISNUMBER(BJ$65), RANDBETWEEN(0,BJ$65-1),IF(ISNUMBER(BJ$64), RANDBETWEEN(0,BJ$64-1),IF(ISNUMBER(BJ$63), RANDBETWEEN(0,BJ$63-1),IF(ISNUMBER(BJ$62), RANDBETWEEN(0,BJ$62-1),"")))))))))))</f>
        <v>#NUM!</v>
      </c>
      <c r="BN64" s="117" t="str">
        <f>IF(ISNUMBER(BJ$65), INDEX(BL$63:BL$72, MATCH(BM$64, BJ$62:BJ$72,1)), IF(ISNUMBER(BJ$64), INDEX(BL$63:BL$72, MATCH(BM$64, BJ$62:BJ$72, 1)), IF(ISNUMBER(BJ$63), INDEX(BL$63:BL$72, MATCH(BM$64, BJ$62:BJ$72, 1)),"")))</f>
        <v/>
      </c>
      <c r="BP64" s="191" t="str">
        <f t="shared" ref="BP64:BP72" si="237">IF(ISNUMBER(BQ51), IF(BQ51&gt;0, BP63+BQ51,""), "")</f>
        <v/>
      </c>
      <c r="BQ64" s="117" t="str">
        <f t="shared" si="181"/>
        <v/>
      </c>
      <c r="BR64" s="190" t="str">
        <f t="shared" si="209"/>
        <v/>
      </c>
      <c r="BS64" s="17" t="e">
        <f ca="1">IF(ISNUMBER(BP$72), RANDBETWEEN(0,BP$72-1), IF(ISNUMBER(BP$71), RANDBETWEEN(0,BP$71-1),IF(ISNUMBER(BP$70), RANDBETWEEN(0,BP$70-1),IF(ISNUMBER(BP$69), RANDBETWEEN(0,BP$69-1),IF(ISNUMBER(BP$68), RANDBETWEEN(0,BP$68-1),IF(ISNUMBER(BP$67), RANDBETWEEN(0,BP$67-1),IF(ISNUMBER(BP$66), RANDBETWEEN(0,BP$66-1),IF(ISNUMBER(BP$65), RANDBETWEEN(0,BP$65-1),IF(ISNUMBER(BP$64), RANDBETWEEN(0,BP$64-1),IF(ISNUMBER(BP$63), RANDBETWEEN(0,BP$63-1),IF(ISNUMBER(BP$62), RANDBETWEEN(0,BP$62-1),"")))))))))))</f>
        <v>#NUM!</v>
      </c>
      <c r="BT64" s="117" t="str">
        <f>IF(ISNUMBER(BP$65), INDEX(BR$63:BR$72, MATCH(BS$64, BP$62:BP$72,1)), IF(ISNUMBER(BP$64), INDEX(BR$63:BR$72, MATCH(BS$64, BP$62:BP$72, 1)), IF(ISNUMBER(BP$63), INDEX(BR$63:BR$72, MATCH(BS$64, BP$62:BP$72, 1)),"")))</f>
        <v/>
      </c>
      <c r="BV64" s="191" t="str">
        <f t="shared" ref="BV64:BV72" si="238">IF(ISNUMBER(BW51), IF(BW51&gt;0, BV63+BW51,""), "")</f>
        <v/>
      </c>
      <c r="BW64" s="117" t="str">
        <f t="shared" si="182"/>
        <v/>
      </c>
      <c r="BX64" s="190" t="str">
        <f t="shared" si="210"/>
        <v/>
      </c>
      <c r="BY64" s="17" t="e">
        <f ca="1">IF(ISNUMBER(BV$72), RANDBETWEEN(0,BV$72-1), IF(ISNUMBER(BV$71), RANDBETWEEN(0,BV$71-1),IF(ISNUMBER(BV$70), RANDBETWEEN(0,BV$70-1),IF(ISNUMBER(BV$69), RANDBETWEEN(0,BV$69-1),IF(ISNUMBER(BV$68), RANDBETWEEN(0,BV$68-1),IF(ISNUMBER(BV$67), RANDBETWEEN(0,BV$67-1),IF(ISNUMBER(BV$66), RANDBETWEEN(0,BV$66-1),IF(ISNUMBER(BV$65), RANDBETWEEN(0,BV$65-1),IF(ISNUMBER(BV$64), RANDBETWEEN(0,BV$64-1),IF(ISNUMBER(BV$63), RANDBETWEEN(0,BV$63-1),IF(ISNUMBER(BV$62), RANDBETWEEN(0,BV$62-1),"")))))))))))</f>
        <v>#NUM!</v>
      </c>
      <c r="BZ64" s="117" t="str">
        <f>IF(ISNUMBER(BV$65), INDEX(BX$63:BX$72, MATCH(BY$64, BV$62:BV$72,1)), IF(ISNUMBER(BV$64), INDEX(BX$63:BX$72, MATCH(BY$64, BV$62:BV$72, 1)), IF(ISNUMBER(BV$63), INDEX(BX$63:BX$72, MATCH(BY$64, BV$62:BV$72, 1)),"")))</f>
        <v/>
      </c>
      <c r="CB64" s="191" t="str">
        <f t="shared" ref="CB64:CB72" si="239">IF(ISNUMBER(CC51), IF(CC51&gt;0, CB63+CC51,""), "")</f>
        <v/>
      </c>
      <c r="CC64" s="117" t="str">
        <f t="shared" si="183"/>
        <v/>
      </c>
      <c r="CD64" s="190" t="str">
        <f t="shared" si="211"/>
        <v/>
      </c>
      <c r="CE64" s="17" t="e">
        <f ca="1">IF(ISNUMBER(CB$72), RANDBETWEEN(0,CB$72-1), IF(ISNUMBER(CB$71), RANDBETWEEN(0,CB$71-1),IF(ISNUMBER(CB$70), RANDBETWEEN(0,CB$70-1),IF(ISNUMBER(CB$69), RANDBETWEEN(0,CB$69-1),IF(ISNUMBER(CB$68), RANDBETWEEN(0,CB$68-1),IF(ISNUMBER(CB$67), RANDBETWEEN(0,CB$67-1),IF(ISNUMBER(CB$66), RANDBETWEEN(0,CB$66-1),IF(ISNUMBER(CB$65), RANDBETWEEN(0,CB$65-1),IF(ISNUMBER(CB$64), RANDBETWEEN(0,CB$64-1),IF(ISNUMBER(CB$63), RANDBETWEEN(0,CB$63-1),IF(ISNUMBER(CB$62), RANDBETWEEN(0,CB$62-1),"")))))))))))</f>
        <v>#NUM!</v>
      </c>
      <c r="CF64" s="117" t="str">
        <f>IF(ISNUMBER(CB$65), INDEX(CD$63:CD$72, MATCH(CE$64, CB$62:CB$72,1)), IF(ISNUMBER(CB$64), INDEX(CD$63:CD$72, MATCH(CE$64, CB$62:CB$72, 1)), IF(ISNUMBER(CB$63), INDEX(CD$63:CD$72, MATCH(CE$64, CB$62:CB$72, 1)),"")))</f>
        <v/>
      </c>
      <c r="CH64" s="191" t="str">
        <f t="shared" ref="CH64:CH72" si="240">IF(ISNUMBER(CI51), IF(CI51&gt;0, CH63+CI51,""), "")</f>
        <v/>
      </c>
      <c r="CI64" s="117" t="str">
        <f t="shared" si="184"/>
        <v/>
      </c>
      <c r="CJ64" s="190" t="str">
        <f t="shared" si="212"/>
        <v/>
      </c>
      <c r="CK64" s="17" t="e">
        <f ca="1">IF(ISNUMBER(CH$72), RANDBETWEEN(0,CH$72-1), IF(ISNUMBER(CH$71), RANDBETWEEN(0,CH$71-1),IF(ISNUMBER(CH$70), RANDBETWEEN(0,CH$70-1),IF(ISNUMBER(CH$69), RANDBETWEEN(0,CH$69-1),IF(ISNUMBER(CH$68), RANDBETWEEN(0,CH$68-1),IF(ISNUMBER(CH$67), RANDBETWEEN(0,CH$67-1),IF(ISNUMBER(CH$66), RANDBETWEEN(0,CH$66-1),IF(ISNUMBER(CH$65), RANDBETWEEN(0,CH$65-1),IF(ISNUMBER(CH$64), RANDBETWEEN(0,CH$64-1),IF(ISNUMBER(CH$63), RANDBETWEEN(0,CH$63-1),IF(ISNUMBER(CH$62), RANDBETWEEN(0,CH$62-1),"")))))))))))</f>
        <v>#NUM!</v>
      </c>
      <c r="CL64" s="117" t="str">
        <f>IF(ISNUMBER(CH$65), INDEX(CJ$63:CJ$72, MATCH(CK$64, CH$62:CH$72,1)), IF(ISNUMBER(CH$64), INDEX(CJ$63:CJ$72, MATCH(CK$64, CH$62:CH$72, 1)), IF(ISNUMBER(CH$63), INDEX(CJ$63:CJ$72, MATCH(CK$64, CH$62:CH$72, 1)),"")))</f>
        <v/>
      </c>
      <c r="CN64" s="191" t="str">
        <f t="shared" ref="CN64:CN72" si="241">IF(ISNUMBER(CO51), IF(CO51&gt;0, CN63+CO51,""), "")</f>
        <v/>
      </c>
      <c r="CO64" s="117" t="str">
        <f t="shared" si="185"/>
        <v/>
      </c>
      <c r="CP64" s="190" t="str">
        <f t="shared" si="213"/>
        <v/>
      </c>
      <c r="CQ64" s="17" t="e">
        <f ca="1">IF(ISNUMBER(CN$72), RANDBETWEEN(0,CN$72-1), IF(ISNUMBER(CN$71), RANDBETWEEN(0,CN$71-1),IF(ISNUMBER(CN$70), RANDBETWEEN(0,CN$70-1),IF(ISNUMBER(CN$69), RANDBETWEEN(0,CN$69-1),IF(ISNUMBER(CN$68), RANDBETWEEN(0,CN$68-1),IF(ISNUMBER(CN$67), RANDBETWEEN(0,CN$67-1),IF(ISNUMBER(CN$66), RANDBETWEEN(0,CN$66-1),IF(ISNUMBER(CN$65), RANDBETWEEN(0,CN$65-1),IF(ISNUMBER(CN$64), RANDBETWEEN(0,CN$64-1),IF(ISNUMBER(CN$63), RANDBETWEEN(0,CN$63-1),IF(ISNUMBER(CN$62), RANDBETWEEN(0,CN$62-1),"")))))))))))</f>
        <v>#NUM!</v>
      </c>
      <c r="CR64" s="117" t="str">
        <f>IF(ISNUMBER(CN$65), INDEX(CP$63:CP$72, MATCH(CQ$64, CN$62:CN$72,1)), IF(ISNUMBER(CN$64), INDEX(CP$63:CP$72, MATCH(CQ$64, CN$62:CN$72, 1)), IF(ISNUMBER(CN$63), INDEX(CP$63:CP$72, MATCH(CQ$64, CN$62:CN$72, 1)),"")))</f>
        <v/>
      </c>
      <c r="CT64" s="191" t="str">
        <f t="shared" ref="CT64:CT72" si="242">IF(ISNUMBER(CU51), IF(CU51&gt;0, CT63+CU51,""), "")</f>
        <v/>
      </c>
      <c r="CU64" s="117" t="str">
        <f t="shared" si="186"/>
        <v/>
      </c>
      <c r="CV64" s="190" t="str">
        <f t="shared" si="214"/>
        <v/>
      </c>
      <c r="CW64" s="4" t="e">
        <f ca="1">IF(ISNUMBER(CT$72), RANDBETWEEN(0,CT$72-1), IF(ISNUMBER(CT$71), RANDBETWEEN(0,CT$71-1),IF(ISNUMBER(CT$70), RANDBETWEEN(0,CT$70-1),IF(ISNUMBER(CT$69), RANDBETWEEN(0,CT$69-1),IF(ISNUMBER(CT$68), RANDBETWEEN(0,CT$68-1),IF(ISNUMBER(CT$67), RANDBETWEEN(0,CT$67-1),IF(ISNUMBER(CT$66), RANDBETWEEN(0,CT$66-1),IF(ISNUMBER(CT$65), RANDBETWEEN(0,CT$65-1),IF(ISNUMBER(CT$64), RANDBETWEEN(0,CT$64-1),IF(ISNUMBER(CT$63), RANDBETWEEN(0,CT$63-1),IF(ISNUMBER(CT$62), RANDBETWEEN(0,CT$62-1),"")))))))))))</f>
        <v>#NUM!</v>
      </c>
      <c r="CX64" s="117" t="str">
        <f>IF(ISNUMBER(CT$65), INDEX(CV$63:CV$72, MATCH(CW$64, CT$62:CT$72,1)), IF(ISNUMBER(CT$64), INDEX(CV$63:CV$72, MATCH(CW$64, CT$62:CT$72, 1)), IF(ISNUMBER(CT$63), INDEX(CV$63:CV$72, MATCH(CW$64, CT$62:CT$72, 1)),"")))</f>
        <v/>
      </c>
      <c r="CZ64" s="191" t="str">
        <f t="shared" ref="CZ64:CZ72" si="243">IF(ISNUMBER(DA51), IF(DA51&gt;0, CZ63+DA51,""), "")</f>
        <v/>
      </c>
      <c r="DA64" s="117" t="str">
        <f t="shared" si="187"/>
        <v/>
      </c>
      <c r="DB64" s="190" t="str">
        <f t="shared" si="215"/>
        <v/>
      </c>
      <c r="DC64" s="17" t="e">
        <f ca="1">IF(ISNUMBER(CZ$72), RANDBETWEEN(0,CZ$72-1), IF(ISNUMBER(CZ$71), RANDBETWEEN(0,CZ$71-1),IF(ISNUMBER(CZ$70), RANDBETWEEN(0,CZ$70-1),IF(ISNUMBER(CZ$69), RANDBETWEEN(0,CZ$69-1),IF(ISNUMBER(CZ$68), RANDBETWEEN(0,CZ$68-1),IF(ISNUMBER(CZ$67), RANDBETWEEN(0,CZ$67-1),IF(ISNUMBER(CZ$66), RANDBETWEEN(0,CZ$66-1),IF(ISNUMBER(CZ$65), RANDBETWEEN(0,CZ$65-1),IF(ISNUMBER(CZ$64), RANDBETWEEN(0,CZ$64-1),IF(ISNUMBER(CZ$63), RANDBETWEEN(0,CZ$63-1),IF(ISNUMBER(CZ$62), RANDBETWEEN(0,CZ$62-1),"")))))))))))</f>
        <v>#NUM!</v>
      </c>
      <c r="DD64" s="117" t="str">
        <f>IF(ISNUMBER(CZ$65), INDEX(DB$63:DB$72, MATCH(DC$64, CZ$62:CZ$72,1)), IF(ISNUMBER(CZ$64), INDEX(DB$63:DB$72, MATCH(DC$64, CZ$62:CZ$72, 1)), IF(ISNUMBER(CZ$63), INDEX(DB$63:DB$72, MATCH(DC$64, CZ$62:CZ$72, 1)),"")))</f>
        <v/>
      </c>
      <c r="DF64" s="191" t="str">
        <f t="shared" ref="DF64:DF72" si="244">IF(ISNUMBER(DG51), IF(DG51&gt;0, DF63+DG51,""), "")</f>
        <v/>
      </c>
      <c r="DG64" s="117" t="str">
        <f t="shared" si="188"/>
        <v/>
      </c>
      <c r="DH64" s="190" t="str">
        <f t="shared" si="216"/>
        <v/>
      </c>
      <c r="DI64" s="17" t="e">
        <f ca="1">IF(ISNUMBER(DF$72), RANDBETWEEN(0,DF$72-1), IF(ISNUMBER(DF$71), RANDBETWEEN(0,DF$71-1),IF(ISNUMBER(DF$70), RANDBETWEEN(0,DF$70-1),IF(ISNUMBER(DF$69), RANDBETWEEN(0,DF$69-1),IF(ISNUMBER(DF$68), RANDBETWEEN(0,DF$68-1),IF(ISNUMBER(DF$67), RANDBETWEEN(0,DF$67-1),IF(ISNUMBER(DF$66), RANDBETWEEN(0,DF$66-1),IF(ISNUMBER(DF$65), RANDBETWEEN(0,DF$65-1),IF(ISNUMBER(DF$64), RANDBETWEEN(0,DF$64-1),IF(ISNUMBER(DF$63), RANDBETWEEN(0,DF$63-1),IF(ISNUMBER(DF$62), RANDBETWEEN(0,DF$62-1),"")))))))))))</f>
        <v>#NUM!</v>
      </c>
      <c r="DJ64" s="117" t="str">
        <f>IF(ISNUMBER(DF$65), INDEX(DH$63:DH$72, MATCH(DI$64, DF$62:DF$72,1)), IF(ISNUMBER(DF$64), INDEX(DH$63:DH$72, MATCH(DI$64, DF$62:DF$72, 1)), IF(ISNUMBER(DF$63), INDEX(DH$63:DH$72, MATCH(DI$64, DF$62:DF$72, 1)),"")))</f>
        <v/>
      </c>
      <c r="DL64" s="191" t="str">
        <f t="shared" ref="DL64:DL72" si="245">IF(ISNUMBER(DM51), IF(DM51&gt;0, DL63+DM51,""), "")</f>
        <v/>
      </c>
      <c r="DM64" s="117" t="str">
        <f t="shared" si="189"/>
        <v/>
      </c>
      <c r="DN64" s="190" t="str">
        <f t="shared" si="217"/>
        <v/>
      </c>
      <c r="DO64" s="17" t="e">
        <f ca="1">IF(ISNUMBER(DL$72), RANDBETWEEN(0,DL$72-1), IF(ISNUMBER(DL$71), RANDBETWEEN(0,DL$71-1),IF(ISNUMBER(DL$70), RANDBETWEEN(0,DL$70-1),IF(ISNUMBER(DL$69), RANDBETWEEN(0,DL$69-1),IF(ISNUMBER(DL$68), RANDBETWEEN(0,DL$68-1),IF(ISNUMBER(DL$67), RANDBETWEEN(0,DL$67-1),IF(ISNUMBER(DL$66), RANDBETWEEN(0,DL$66-1),IF(ISNUMBER(DL$65), RANDBETWEEN(0,DL$65-1),IF(ISNUMBER(DL$64), RANDBETWEEN(0,DL$64-1),IF(ISNUMBER(DL$63), RANDBETWEEN(0,DL$63-1),IF(ISNUMBER(DL$62), RANDBETWEEN(0,DL$62-1),"")))))))))))</f>
        <v>#NUM!</v>
      </c>
      <c r="DP64" s="117" t="str">
        <f>IF(ISNUMBER(DL$65), INDEX(DN$63:DN$72, MATCH(DO$64, DL$62:DL$72,1)), IF(ISNUMBER(DL$64), INDEX(DN$63:DN$72, MATCH(DO$64, DL$62:DL$72, 1)), IF(ISNUMBER(DL$63), INDEX(DN$63:DN$72, MATCH(DO$64, DL$62:DL$72, 1)),"")))</f>
        <v/>
      </c>
      <c r="DR64" s="191" t="str">
        <f t="shared" ref="DR64:DR72" si="246">IF(ISNUMBER(DS51), IF(DS51&gt;0, DR63+DS51,""), "")</f>
        <v/>
      </c>
      <c r="DS64" s="117" t="str">
        <f t="shared" si="190"/>
        <v/>
      </c>
      <c r="DT64" s="190" t="str">
        <f t="shared" si="218"/>
        <v/>
      </c>
      <c r="DU64" s="17" t="e">
        <f ca="1">IF(ISNUMBER(DR$72), RANDBETWEEN(0,DR$72-1), IF(ISNUMBER(DR$71), RANDBETWEEN(0,DR$71-1),IF(ISNUMBER(DR$70), RANDBETWEEN(0,DR$70-1),IF(ISNUMBER(DR$69), RANDBETWEEN(0,DR$69-1),IF(ISNUMBER(DR$68), RANDBETWEEN(0,DR$68-1),IF(ISNUMBER(DR$67), RANDBETWEEN(0,DR$67-1),IF(ISNUMBER(DR$66), RANDBETWEEN(0,DR$66-1),IF(ISNUMBER(DR$65), RANDBETWEEN(0,DR$65-1),IF(ISNUMBER(DR$64), RANDBETWEEN(0,DR$64-1),IF(ISNUMBER(DR$63), RANDBETWEEN(0,DR$63-1),IF(ISNUMBER(DR$62), RANDBETWEEN(0,DR$62-1),"")))))))))))</f>
        <v>#NUM!</v>
      </c>
      <c r="DV64" s="117" t="str">
        <f>IF(ISNUMBER(DR$65), INDEX(DT$63:DT$72, MATCH(DU$64, DR$62:DR$72,1)), IF(ISNUMBER(DR$64), INDEX(DT$63:DT$72, MATCH(DU$64, DR$62:DR$72, 1)), IF(ISNUMBER(DR$63), INDEX(DT$63:DT$72, MATCH(DU$64, DR$62:DR$72, 1)),"")))</f>
        <v/>
      </c>
      <c r="DX64" s="191" t="str">
        <f t="shared" ref="DX64:DX72" si="247">IF(ISNUMBER(DY51), IF(DY51&gt;0, DX63+DY51,""), "")</f>
        <v/>
      </c>
      <c r="DY64" s="117" t="str">
        <f t="shared" si="191"/>
        <v/>
      </c>
      <c r="DZ64" s="190" t="str">
        <f t="shared" si="219"/>
        <v/>
      </c>
      <c r="EA64" s="17" t="e">
        <f ca="1">IF(ISNUMBER(DX$72), RANDBETWEEN(0,DX$72-1), IF(ISNUMBER(DX$71), RANDBETWEEN(0,DX$71-1),IF(ISNUMBER(DX$70), RANDBETWEEN(0,DX$70-1),IF(ISNUMBER(DX$69), RANDBETWEEN(0,DX$69-1),IF(ISNUMBER(DX$68), RANDBETWEEN(0,DX$68-1),IF(ISNUMBER(DX$67), RANDBETWEEN(0,DX$67-1),IF(ISNUMBER(DX$66), RANDBETWEEN(0,DX$66-1),IF(ISNUMBER(DX$65), RANDBETWEEN(0,DX$65-1),IF(ISNUMBER(DX$64), RANDBETWEEN(0,DX$64-1),IF(ISNUMBER(DX$63), RANDBETWEEN(0,DX$63-1),IF(ISNUMBER(DX$62), RANDBETWEEN(0,DX$62-1),"")))))))))))</f>
        <v>#NUM!</v>
      </c>
      <c r="EB64" s="117" t="str">
        <f>IF(ISNUMBER(DX$65), INDEX(DZ$63:DZ$72, MATCH(EA$64, DX$62:DX$72,1)), IF(ISNUMBER(DX$64), INDEX(DZ$63:DZ$72, MATCH(EA$64, DX$62:DX$72, 1)), IF(ISNUMBER(DX$63), INDEX(DZ$63:DZ$72, MATCH(EA$64, DX$62:DX$72, 1)),"")))</f>
        <v/>
      </c>
      <c r="ED64" s="191" t="str">
        <f t="shared" ref="ED64:ED72" si="248">IF(ISNUMBER(EE51), IF(EE51&gt;0, ED63+EE51,""), "")</f>
        <v/>
      </c>
      <c r="EE64" s="117" t="str">
        <f t="shared" si="192"/>
        <v/>
      </c>
      <c r="EF64" s="190" t="str">
        <f t="shared" si="220"/>
        <v/>
      </c>
      <c r="EG64" s="17" t="e">
        <f ca="1">IF(ISNUMBER(ED$72), RANDBETWEEN(0,ED$72-1), IF(ISNUMBER(ED$71), RANDBETWEEN(0,ED$71-1),IF(ISNUMBER(ED$70), RANDBETWEEN(0,ED$70-1),IF(ISNUMBER(ED$69), RANDBETWEEN(0,ED$69-1),IF(ISNUMBER(ED$68), RANDBETWEEN(0,ED$68-1),IF(ISNUMBER(ED$67), RANDBETWEEN(0,ED$67-1),IF(ISNUMBER(ED$66), RANDBETWEEN(0,ED$66-1),IF(ISNUMBER(ED$65), RANDBETWEEN(0,ED$65-1),IF(ISNUMBER(ED$64), RANDBETWEEN(0,ED$64-1),IF(ISNUMBER(ED$63), RANDBETWEEN(0,ED$63-1),IF(ISNUMBER(ED$62), RANDBETWEEN(0,ED$62-1),"")))))))))))</f>
        <v>#NUM!</v>
      </c>
      <c r="EH64" s="117" t="str">
        <f>IF(ISNUMBER(ED$65), INDEX(EF$63:EF$72, MATCH(EG$64, ED$62:ED$72,1)), IF(ISNUMBER(ED$64), INDEX(EF$63:EF$72, MATCH(EG$64, ED$62:ED$72, 1)), IF(ISNUMBER(ED$63), INDEX(EF$63:EF$72, MATCH(EG$64, ED$62:ED$72, 1)),"")))</f>
        <v/>
      </c>
      <c r="EJ64" s="191" t="str">
        <f t="shared" ref="EJ64:EJ72" si="249">IF(ISNUMBER(EK51), IF(EK51&gt;0, EJ63+EK51,""), "")</f>
        <v/>
      </c>
      <c r="EK64" s="117" t="str">
        <f t="shared" si="193"/>
        <v/>
      </c>
      <c r="EL64" s="190" t="str">
        <f t="shared" si="221"/>
        <v/>
      </c>
      <c r="EM64" s="17" t="e">
        <f ca="1">IF(ISNUMBER(EJ$72), RANDBETWEEN(0,EJ$72-1), IF(ISNUMBER(EJ$71), RANDBETWEEN(0,EJ$71-1),IF(ISNUMBER(EJ$70), RANDBETWEEN(0,EJ$70-1),IF(ISNUMBER(EJ$69), RANDBETWEEN(0,EJ$69-1),IF(ISNUMBER(EJ$68), RANDBETWEEN(0,EJ$68-1),IF(ISNUMBER(EJ$67), RANDBETWEEN(0,EJ$67-1),IF(ISNUMBER(EJ$66), RANDBETWEEN(0,EJ$66-1),IF(ISNUMBER(EJ$65), RANDBETWEEN(0,EJ$65-1),IF(ISNUMBER(EJ$64), RANDBETWEEN(0,EJ$64-1),IF(ISNUMBER(EJ$63), RANDBETWEEN(0,EJ$63-1),IF(ISNUMBER(EJ$62), RANDBETWEEN(0,EJ$62-1),"")))))))))))</f>
        <v>#NUM!</v>
      </c>
      <c r="EN64" s="117" t="str">
        <f>IF(ISNUMBER(EJ$65), INDEX(EL$63:EL$72, MATCH(EM$64, EJ$62:EJ$72,1)), IF(ISNUMBER(EJ$64), INDEX(EL$63:EL$72, MATCH(EM$64, EJ$62:EJ$72, 1)), IF(ISNUMBER(EJ$63), INDEX(EL$63:EL$72, MATCH(EM$64, EJ$62:EJ$72, 1)),"")))</f>
        <v/>
      </c>
      <c r="EP64" s="191" t="str">
        <f t="shared" ref="EP64:EP72" si="250">IF(ISNUMBER(EQ51), IF(EQ51&gt;0, EP63+EQ51,""), "")</f>
        <v/>
      </c>
      <c r="EQ64" s="117" t="str">
        <f t="shared" si="194"/>
        <v/>
      </c>
      <c r="ER64" s="190" t="str">
        <f t="shared" si="222"/>
        <v/>
      </c>
      <c r="ES64" s="17" t="e">
        <f ca="1">IF(ISNUMBER(EP$72), RANDBETWEEN(0,EP$72-1), IF(ISNUMBER(EP$71), RANDBETWEEN(0,EP$71-1),IF(ISNUMBER(EP$70), RANDBETWEEN(0,EP$70-1),IF(ISNUMBER(EP$69), RANDBETWEEN(0,EP$69-1),IF(ISNUMBER(EP$68), RANDBETWEEN(0,EP$68-1),IF(ISNUMBER(EP$67), RANDBETWEEN(0,EP$67-1),IF(ISNUMBER(EP$66), RANDBETWEEN(0,EP$66-1),IF(ISNUMBER(EP$65), RANDBETWEEN(0,EP$65-1),IF(ISNUMBER(EP$64), RANDBETWEEN(0,EP$64-1),IF(ISNUMBER(EP$63), RANDBETWEEN(0,EP$63-1),IF(ISNUMBER(EP$62), RANDBETWEEN(0,EP$62-1),"")))))))))))</f>
        <v>#NUM!</v>
      </c>
      <c r="ET64" s="117" t="str">
        <f>IF(ISNUMBER(EP$65), INDEX(ER$63:ER$72, MATCH(ES$64, EP$62:EP$72,1)), IF(ISNUMBER(EP$64), INDEX(ER$63:ER$72, MATCH(ES$64, EP$62:EP$72, 1)), IF(ISNUMBER(EP$63), INDEX(ER$63:ER$72, MATCH(ES$64, EP$62:EP$72, 1)),"")))</f>
        <v/>
      </c>
      <c r="EV64" s="191" t="str">
        <f t="shared" ref="EV64:EV72" si="251">IF(ISNUMBER(EW51), IF(EW51&gt;0, EV63+EW51,""), "")</f>
        <v/>
      </c>
      <c r="EW64" s="117" t="str">
        <f t="shared" si="195"/>
        <v/>
      </c>
      <c r="EX64" s="190" t="str">
        <f t="shared" si="223"/>
        <v/>
      </c>
      <c r="EY64" s="17" t="e">
        <f ca="1">IF(ISNUMBER(EV$72), RANDBETWEEN(0,EV$72-1), IF(ISNUMBER(EV$71), RANDBETWEEN(0,EV$71-1),IF(ISNUMBER(EV$70), RANDBETWEEN(0,EV$70-1),IF(ISNUMBER(EV$69), RANDBETWEEN(0,EV$69-1),IF(ISNUMBER(EV$68), RANDBETWEEN(0,EV$68-1),IF(ISNUMBER(EV$67), RANDBETWEEN(0,EV$67-1),IF(ISNUMBER(EV$66), RANDBETWEEN(0,EV$66-1),IF(ISNUMBER(EV$65), RANDBETWEEN(0,EV$65-1),IF(ISNUMBER(EV$64), RANDBETWEEN(0,EV$64-1),IF(ISNUMBER(EV$63), RANDBETWEEN(0,EV$63-1),IF(ISNUMBER(EV$62), RANDBETWEEN(0,EV$62-1),"")))))))))))</f>
        <v>#NUM!</v>
      </c>
      <c r="EZ64" s="117" t="str">
        <f>IF(ISNUMBER(EV$65), INDEX(EX$63:EX$72, MATCH(EY$64, EV$62:EV$72,1)), IF(ISNUMBER(EV$64), INDEX(EX$63:EX$72, MATCH(EY$64, EV$62:EV$72, 1)), IF(ISNUMBER(EV$63), INDEX(EX$63:EX$72, MATCH(EY$64, EV$62:EV$72, 1)),"")))</f>
        <v/>
      </c>
      <c r="FB64" s="191" t="str">
        <f t="shared" ref="FB64:FB72" si="252">IF(ISNUMBER(FC51), IF(FC51&gt;0, FB63+FC51,""), "")</f>
        <v/>
      </c>
      <c r="FC64" s="117" t="str">
        <f t="shared" si="196"/>
        <v/>
      </c>
      <c r="FD64" s="190" t="str">
        <f t="shared" si="224"/>
        <v/>
      </c>
      <c r="FE64" s="17" t="e">
        <f ca="1">IF(ISNUMBER(FB$72), RANDBETWEEN(0,FB$72-1), IF(ISNUMBER(FB$71), RANDBETWEEN(0,FB$71-1),IF(ISNUMBER(FB$70), RANDBETWEEN(0,FB$70-1),IF(ISNUMBER(FB$69), RANDBETWEEN(0,FB$69-1),IF(ISNUMBER(FB$68), RANDBETWEEN(0,FB$68-1),IF(ISNUMBER(FB$67), RANDBETWEEN(0,FB$67-1),IF(ISNUMBER(FB$66), RANDBETWEEN(0,FB$66-1),IF(ISNUMBER(FB$65), RANDBETWEEN(0,FB$65-1),IF(ISNUMBER(FB$64), RANDBETWEEN(0,FB$64-1),IF(ISNUMBER(FB$63), RANDBETWEEN(0,FB$63-1),IF(ISNUMBER(FB$62), RANDBETWEEN(0,FB$62-1),"")))))))))))</f>
        <v>#NUM!</v>
      </c>
      <c r="FF64" s="117" t="str">
        <f>IF(ISNUMBER(FB$65), INDEX(FD$63:FD$72, MATCH(FE$64, FB$62:FB$72,1)), IF(ISNUMBER(FB$64), INDEX(FD$63:FD$72, MATCH(FE$64, FB$62:FB$72, 1)), IF(ISNUMBER(FB$63), INDEX(FD$63:FD$72, MATCH(FE$64, FB$62:FB$72, 1)),"")))</f>
        <v/>
      </c>
      <c r="FH64" s="191" t="str">
        <f t="shared" ref="FH64:FH72" si="253">IF(ISNUMBER(FI51), IF(FI51&gt;0, FH63+FI51,""), "")</f>
        <v/>
      </c>
      <c r="FI64" s="117" t="str">
        <f t="shared" si="197"/>
        <v/>
      </c>
      <c r="FJ64" s="190" t="str">
        <f t="shared" si="225"/>
        <v/>
      </c>
      <c r="FK64" s="17" t="e">
        <f ca="1">IF(ISNUMBER(FH$72), RANDBETWEEN(0,FH$72-1), IF(ISNUMBER(FH$71), RANDBETWEEN(0,FH$71-1),IF(ISNUMBER(FH$70), RANDBETWEEN(0,FH$70-1),IF(ISNUMBER(FH$69), RANDBETWEEN(0,FH$69-1),IF(ISNUMBER(FH$68), RANDBETWEEN(0,FH$68-1),IF(ISNUMBER(FH$67), RANDBETWEEN(0,FH$67-1),IF(ISNUMBER(FH$66), RANDBETWEEN(0,FH$66-1),IF(ISNUMBER(FH$65), RANDBETWEEN(0,FH$65-1),IF(ISNUMBER(FH$64), RANDBETWEEN(0,FH$64-1),IF(ISNUMBER(FH$63), RANDBETWEEN(0,FH$63-1),IF(ISNUMBER(FH$62), RANDBETWEEN(0,FH$62-1),"")))))))))))</f>
        <v>#NUM!</v>
      </c>
      <c r="FL64" s="117" t="str">
        <f>IF(ISNUMBER(FH$65), INDEX(FJ$63:FJ$72, MATCH(FK$64, FH$62:FH$72,1)), IF(ISNUMBER(FH$64), INDEX(FJ$63:FJ$72, MATCH(FK$64, FH$62:FH$72, 1)), IF(ISNUMBER(FH$63), INDEX(FJ$63:FJ$72, MATCH(FK$64, FH$62:FH$72, 1)),"")))</f>
        <v/>
      </c>
      <c r="FN64" s="191" t="str">
        <f t="shared" ref="FN64:FN72" si="254">IF(ISNUMBER(FO51), IF(FO51&gt;0, FN63+FO51,""), "")</f>
        <v/>
      </c>
      <c r="FO64" s="117" t="str">
        <f t="shared" si="198"/>
        <v/>
      </c>
      <c r="FP64" s="190" t="str">
        <f t="shared" si="226"/>
        <v/>
      </c>
      <c r="FQ64" s="17" t="e">
        <f ca="1">IF(ISNUMBER(FN$72), RANDBETWEEN(0,FN$72-1), IF(ISNUMBER(FN$71), RANDBETWEEN(0,FN$71-1),IF(ISNUMBER(FN$70), RANDBETWEEN(0,FN$70-1),IF(ISNUMBER(FN$69), RANDBETWEEN(0,FN$69-1),IF(ISNUMBER(FN$68), RANDBETWEEN(0,FN$68-1),IF(ISNUMBER(FN$67), RANDBETWEEN(0,FN$67-1),IF(ISNUMBER(FN$66), RANDBETWEEN(0,FN$66-1),IF(ISNUMBER(FN$65), RANDBETWEEN(0,FN$65-1),IF(ISNUMBER(FN$64), RANDBETWEEN(0,FN$64-1),IF(ISNUMBER(FN$63), RANDBETWEEN(0,FN$63-1),IF(ISNUMBER(FN$62), RANDBETWEEN(0,FN$62-1),"")))))))))))</f>
        <v>#NUM!</v>
      </c>
      <c r="FR64" s="117" t="str">
        <f>IF(ISNUMBER(FN$65), INDEX(FP$63:FP$72, MATCH(FQ$64, FN$62:FN$72,1)), IF(ISNUMBER(FN$64), INDEX(FP$63:FP$72, MATCH(FQ$64, FN$62:FN$72, 1)), IF(ISNUMBER(FN$63), INDEX(FP$63:FP$72, MATCH(FQ$64, FN$62:FN$72, 1)),"")))</f>
        <v/>
      </c>
    </row>
    <row r="65" spans="6:173" x14ac:dyDescent="0.25">
      <c r="H65" s="242" t="str">
        <f t="shared" si="227"/>
        <v/>
      </c>
      <c r="I65" s="247" t="str">
        <f t="shared" si="171"/>
        <v/>
      </c>
      <c r="J65" s="248" t="str">
        <f t="shared" si="199"/>
        <v/>
      </c>
      <c r="K65" s="117"/>
      <c r="N65" s="242" t="str">
        <f t="shared" si="228"/>
        <v/>
      </c>
      <c r="O65" s="247" t="str">
        <f t="shared" si="172"/>
        <v/>
      </c>
      <c r="P65" s="248" t="str">
        <f t="shared" si="200"/>
        <v/>
      </c>
      <c r="Q65" s="117"/>
      <c r="T65" s="242" t="str">
        <f t="shared" si="229"/>
        <v/>
      </c>
      <c r="U65" s="247" t="str">
        <f t="shared" si="173"/>
        <v/>
      </c>
      <c r="V65" s="248" t="str">
        <f t="shared" si="201"/>
        <v/>
      </c>
      <c r="W65" s="117"/>
      <c r="Z65" s="242" t="str">
        <f t="shared" si="230"/>
        <v/>
      </c>
      <c r="AA65" s="247" t="str">
        <f t="shared" si="174"/>
        <v/>
      </c>
      <c r="AB65" s="248" t="str">
        <f t="shared" si="202"/>
        <v/>
      </c>
      <c r="AC65" s="117"/>
      <c r="AF65" s="242" t="str">
        <f t="shared" si="231"/>
        <v/>
      </c>
      <c r="AG65" s="247" t="str">
        <f t="shared" si="175"/>
        <v/>
      </c>
      <c r="AH65" s="248" t="str">
        <f t="shared" si="203"/>
        <v/>
      </c>
      <c r="AI65" s="117"/>
      <c r="AJ65" s="17"/>
      <c r="AL65" s="242" t="str">
        <f t="shared" si="232"/>
        <v/>
      </c>
      <c r="AM65" s="247" t="str">
        <f t="shared" si="176"/>
        <v/>
      </c>
      <c r="AN65" s="248" t="str">
        <f t="shared" si="204"/>
        <v/>
      </c>
      <c r="AO65" s="117"/>
      <c r="AR65" s="242" t="str">
        <f t="shared" si="233"/>
        <v/>
      </c>
      <c r="AS65" s="247" t="str">
        <f t="shared" si="177"/>
        <v/>
      </c>
      <c r="AT65" s="248" t="str">
        <f t="shared" si="205"/>
        <v/>
      </c>
      <c r="AU65" s="117"/>
      <c r="AX65" s="242" t="str">
        <f t="shared" si="234"/>
        <v/>
      </c>
      <c r="AY65" s="247" t="str">
        <f t="shared" si="178"/>
        <v/>
      </c>
      <c r="AZ65" s="248" t="str">
        <f t="shared" si="206"/>
        <v/>
      </c>
      <c r="BA65" s="117"/>
      <c r="BD65" s="242" t="str">
        <f t="shared" si="235"/>
        <v/>
      </c>
      <c r="BE65" s="247" t="str">
        <f t="shared" si="179"/>
        <v/>
      </c>
      <c r="BF65" s="248" t="str">
        <f t="shared" si="207"/>
        <v/>
      </c>
      <c r="BG65" s="117"/>
      <c r="BJ65" s="242" t="str">
        <f t="shared" si="236"/>
        <v/>
      </c>
      <c r="BK65" s="247" t="str">
        <f t="shared" si="180"/>
        <v/>
      </c>
      <c r="BL65" s="248" t="str">
        <f t="shared" si="208"/>
        <v/>
      </c>
      <c r="BM65" s="117"/>
      <c r="BP65" s="242" t="str">
        <f t="shared" si="237"/>
        <v/>
      </c>
      <c r="BQ65" s="247" t="str">
        <f t="shared" si="181"/>
        <v/>
      </c>
      <c r="BR65" s="248" t="str">
        <f t="shared" si="209"/>
        <v/>
      </c>
      <c r="BS65" s="117"/>
      <c r="BV65" s="242" t="str">
        <f t="shared" si="238"/>
        <v/>
      </c>
      <c r="BW65" s="247" t="str">
        <f t="shared" si="182"/>
        <v/>
      </c>
      <c r="BX65" s="248" t="str">
        <f t="shared" si="210"/>
        <v/>
      </c>
      <c r="BY65" s="117"/>
      <c r="CB65" s="242" t="str">
        <f t="shared" si="239"/>
        <v/>
      </c>
      <c r="CC65" s="247" t="str">
        <f t="shared" si="183"/>
        <v/>
      </c>
      <c r="CD65" s="248" t="str">
        <f t="shared" si="211"/>
        <v/>
      </c>
      <c r="CE65" s="117"/>
      <c r="CH65" s="242" t="str">
        <f t="shared" si="240"/>
        <v/>
      </c>
      <c r="CI65" s="247" t="str">
        <f t="shared" si="184"/>
        <v/>
      </c>
      <c r="CJ65" s="248" t="str">
        <f t="shared" si="212"/>
        <v/>
      </c>
      <c r="CK65" s="117"/>
      <c r="CN65" s="242" t="str">
        <f t="shared" si="241"/>
        <v/>
      </c>
      <c r="CO65" s="247" t="str">
        <f t="shared" si="185"/>
        <v/>
      </c>
      <c r="CP65" s="248" t="str">
        <f t="shared" si="213"/>
        <v/>
      </c>
      <c r="CQ65" s="117"/>
      <c r="CT65" s="242" t="str">
        <f t="shared" si="242"/>
        <v/>
      </c>
      <c r="CU65" s="247" t="str">
        <f t="shared" si="186"/>
        <v/>
      </c>
      <c r="CV65" s="248" t="str">
        <f t="shared" si="214"/>
        <v/>
      </c>
      <c r="CW65" s="117"/>
      <c r="CZ65" s="242" t="str">
        <f t="shared" si="243"/>
        <v/>
      </c>
      <c r="DA65" s="247" t="str">
        <f t="shared" si="187"/>
        <v/>
      </c>
      <c r="DB65" s="248" t="str">
        <f t="shared" si="215"/>
        <v/>
      </c>
      <c r="DC65" s="117"/>
      <c r="DF65" s="242" t="str">
        <f t="shared" si="244"/>
        <v/>
      </c>
      <c r="DG65" s="247" t="str">
        <f t="shared" si="188"/>
        <v/>
      </c>
      <c r="DH65" s="248" t="str">
        <f t="shared" si="216"/>
        <v/>
      </c>
      <c r="DI65" s="117"/>
      <c r="DL65" s="242" t="str">
        <f t="shared" si="245"/>
        <v/>
      </c>
      <c r="DM65" s="247" t="str">
        <f t="shared" si="189"/>
        <v/>
      </c>
      <c r="DN65" s="248" t="str">
        <f t="shared" si="217"/>
        <v/>
      </c>
      <c r="DR65" s="242" t="str">
        <f t="shared" si="246"/>
        <v/>
      </c>
      <c r="DS65" s="247" t="str">
        <f t="shared" si="190"/>
        <v/>
      </c>
      <c r="DT65" s="248" t="str">
        <f t="shared" si="218"/>
        <v/>
      </c>
      <c r="DU65" s="117"/>
      <c r="DX65" s="242" t="str">
        <f t="shared" si="247"/>
        <v/>
      </c>
      <c r="DY65" s="247" t="str">
        <f t="shared" si="191"/>
        <v/>
      </c>
      <c r="DZ65" s="248" t="str">
        <f t="shared" si="219"/>
        <v/>
      </c>
      <c r="EA65" s="117"/>
      <c r="ED65" s="242" t="str">
        <f t="shared" si="248"/>
        <v/>
      </c>
      <c r="EE65" s="247" t="str">
        <f t="shared" si="192"/>
        <v/>
      </c>
      <c r="EF65" s="248" t="str">
        <f t="shared" si="220"/>
        <v/>
      </c>
      <c r="EG65" s="117"/>
      <c r="EJ65" s="242" t="str">
        <f t="shared" si="249"/>
        <v/>
      </c>
      <c r="EK65" s="247" t="str">
        <f t="shared" si="193"/>
        <v/>
      </c>
      <c r="EL65" s="248" t="str">
        <f t="shared" si="221"/>
        <v/>
      </c>
      <c r="EM65" s="117"/>
      <c r="EP65" s="242" t="str">
        <f t="shared" si="250"/>
        <v/>
      </c>
      <c r="EQ65" s="247" t="str">
        <f t="shared" si="194"/>
        <v/>
      </c>
      <c r="ER65" s="248" t="str">
        <f t="shared" si="222"/>
        <v/>
      </c>
      <c r="ES65" s="117"/>
      <c r="EV65" s="242" t="str">
        <f t="shared" si="251"/>
        <v/>
      </c>
      <c r="EW65" s="247" t="str">
        <f t="shared" si="195"/>
        <v/>
      </c>
      <c r="EX65" s="248" t="str">
        <f t="shared" si="223"/>
        <v/>
      </c>
      <c r="EY65" s="117"/>
      <c r="FB65" s="242" t="str">
        <f t="shared" si="252"/>
        <v/>
      </c>
      <c r="FC65" s="247" t="str">
        <f t="shared" si="196"/>
        <v/>
      </c>
      <c r="FD65" s="248" t="str">
        <f t="shared" si="224"/>
        <v/>
      </c>
      <c r="FE65" s="117"/>
      <c r="FH65" s="242" t="str">
        <f t="shared" si="253"/>
        <v/>
      </c>
      <c r="FI65" s="247" t="str">
        <f t="shared" si="197"/>
        <v/>
      </c>
      <c r="FJ65" s="248" t="str">
        <f t="shared" si="225"/>
        <v/>
      </c>
      <c r="FK65" s="117"/>
      <c r="FN65" s="242" t="str">
        <f t="shared" si="254"/>
        <v/>
      </c>
      <c r="FO65" s="247" t="str">
        <f t="shared" si="198"/>
        <v/>
      </c>
      <c r="FP65" s="248" t="str">
        <f t="shared" si="226"/>
        <v/>
      </c>
      <c r="FQ65" s="117"/>
    </row>
    <row r="66" spans="6:173" x14ac:dyDescent="0.25">
      <c r="H66" s="191" t="str">
        <f t="shared" si="227"/>
        <v/>
      </c>
      <c r="I66" s="117" t="str">
        <f t="shared" si="171"/>
        <v/>
      </c>
      <c r="J66" s="190" t="str">
        <f t="shared" si="199"/>
        <v/>
      </c>
      <c r="K66" s="193"/>
      <c r="N66" s="191" t="str">
        <f t="shared" si="228"/>
        <v/>
      </c>
      <c r="O66" s="117" t="str">
        <f t="shared" si="172"/>
        <v/>
      </c>
      <c r="P66" s="190" t="str">
        <f t="shared" si="200"/>
        <v/>
      </c>
      <c r="Q66" s="193"/>
      <c r="T66" s="191" t="str">
        <f t="shared" si="229"/>
        <v/>
      </c>
      <c r="U66" s="117" t="str">
        <f t="shared" si="173"/>
        <v/>
      </c>
      <c r="V66" s="190" t="str">
        <f t="shared" si="201"/>
        <v/>
      </c>
      <c r="W66" s="193"/>
      <c r="Z66" s="191" t="str">
        <f t="shared" si="230"/>
        <v/>
      </c>
      <c r="AA66" s="117" t="str">
        <f t="shared" si="174"/>
        <v/>
      </c>
      <c r="AB66" s="190" t="str">
        <f t="shared" si="202"/>
        <v/>
      </c>
      <c r="AC66" s="193"/>
      <c r="AF66" s="191" t="str">
        <f t="shared" si="231"/>
        <v/>
      </c>
      <c r="AG66" s="117" t="str">
        <f t="shared" si="175"/>
        <v/>
      </c>
      <c r="AH66" s="190" t="str">
        <f t="shared" si="203"/>
        <v/>
      </c>
      <c r="AI66" s="193"/>
      <c r="AL66" s="191" t="str">
        <f t="shared" si="232"/>
        <v/>
      </c>
      <c r="AM66" s="117" t="str">
        <f t="shared" si="176"/>
        <v/>
      </c>
      <c r="AN66" s="190" t="str">
        <f t="shared" si="204"/>
        <v/>
      </c>
      <c r="AO66" s="193"/>
      <c r="AR66" s="191" t="str">
        <f t="shared" si="233"/>
        <v/>
      </c>
      <c r="AS66" s="117" t="str">
        <f t="shared" si="177"/>
        <v/>
      </c>
      <c r="AT66" s="190" t="str">
        <f t="shared" si="205"/>
        <v/>
      </c>
      <c r="AU66" s="193"/>
      <c r="AX66" s="191" t="str">
        <f t="shared" si="234"/>
        <v/>
      </c>
      <c r="AY66" s="117" t="str">
        <f t="shared" si="178"/>
        <v/>
      </c>
      <c r="AZ66" s="190" t="str">
        <f t="shared" si="206"/>
        <v/>
      </c>
      <c r="BA66" s="193"/>
      <c r="BD66" s="191" t="str">
        <f t="shared" si="235"/>
        <v/>
      </c>
      <c r="BE66" s="117" t="str">
        <f t="shared" si="179"/>
        <v/>
      </c>
      <c r="BF66" s="190" t="str">
        <f t="shared" si="207"/>
        <v/>
      </c>
      <c r="BG66" s="193"/>
      <c r="BJ66" s="191" t="str">
        <f t="shared" si="236"/>
        <v/>
      </c>
      <c r="BK66" s="117" t="str">
        <f t="shared" si="180"/>
        <v/>
      </c>
      <c r="BL66" s="190" t="str">
        <f t="shared" si="208"/>
        <v/>
      </c>
      <c r="BM66" s="193"/>
      <c r="BP66" s="191" t="str">
        <f t="shared" si="237"/>
        <v/>
      </c>
      <c r="BQ66" s="117" t="str">
        <f t="shared" si="181"/>
        <v/>
      </c>
      <c r="BR66" s="190" t="str">
        <f t="shared" si="209"/>
        <v/>
      </c>
      <c r="BS66" s="193"/>
      <c r="BV66" s="191" t="str">
        <f t="shared" si="238"/>
        <v/>
      </c>
      <c r="BW66" s="117" t="str">
        <f t="shared" si="182"/>
        <v/>
      </c>
      <c r="BX66" s="190" t="str">
        <f t="shared" si="210"/>
        <v/>
      </c>
      <c r="BY66" s="193"/>
      <c r="CB66" s="191" t="str">
        <f t="shared" si="239"/>
        <v/>
      </c>
      <c r="CC66" s="117" t="str">
        <f t="shared" si="183"/>
        <v/>
      </c>
      <c r="CD66" s="190" t="str">
        <f t="shared" si="211"/>
        <v/>
      </c>
      <c r="CE66" s="193"/>
      <c r="CH66" s="191" t="str">
        <f t="shared" si="240"/>
        <v/>
      </c>
      <c r="CI66" s="117" t="str">
        <f t="shared" si="184"/>
        <v/>
      </c>
      <c r="CJ66" s="190" t="str">
        <f t="shared" si="212"/>
        <v/>
      </c>
      <c r="CK66" s="193"/>
      <c r="CN66" s="191" t="str">
        <f t="shared" si="241"/>
        <v/>
      </c>
      <c r="CO66" s="117" t="str">
        <f t="shared" si="185"/>
        <v/>
      </c>
      <c r="CP66" s="190" t="str">
        <f t="shared" si="213"/>
        <v/>
      </c>
      <c r="CQ66" s="193"/>
      <c r="CT66" s="191" t="str">
        <f t="shared" si="242"/>
        <v/>
      </c>
      <c r="CU66" s="117" t="str">
        <f t="shared" si="186"/>
        <v/>
      </c>
      <c r="CV66" s="190" t="str">
        <f t="shared" si="214"/>
        <v/>
      </c>
      <c r="CW66" s="193"/>
      <c r="CZ66" s="191" t="str">
        <f t="shared" si="243"/>
        <v/>
      </c>
      <c r="DA66" s="117" t="str">
        <f t="shared" si="187"/>
        <v/>
      </c>
      <c r="DB66" s="190" t="str">
        <f t="shared" si="215"/>
        <v/>
      </c>
      <c r="DC66" s="193"/>
      <c r="DF66" s="191" t="str">
        <f t="shared" si="244"/>
        <v/>
      </c>
      <c r="DG66" s="117" t="str">
        <f t="shared" si="188"/>
        <v/>
      </c>
      <c r="DH66" s="190" t="str">
        <f t="shared" si="216"/>
        <v/>
      </c>
      <c r="DI66" s="193"/>
      <c r="DL66" s="191" t="str">
        <f t="shared" si="245"/>
        <v/>
      </c>
      <c r="DM66" s="117" t="str">
        <f t="shared" si="189"/>
        <v/>
      </c>
      <c r="DN66" s="190" t="str">
        <f t="shared" si="217"/>
        <v/>
      </c>
      <c r="DO66" s="193"/>
      <c r="DR66" s="191" t="str">
        <f t="shared" si="246"/>
        <v/>
      </c>
      <c r="DS66" s="117" t="str">
        <f t="shared" si="190"/>
        <v/>
      </c>
      <c r="DT66" s="190" t="str">
        <f t="shared" si="218"/>
        <v/>
      </c>
      <c r="DU66" s="193"/>
      <c r="DX66" s="191" t="str">
        <f t="shared" si="247"/>
        <v/>
      </c>
      <c r="DY66" s="117" t="str">
        <f t="shared" si="191"/>
        <v/>
      </c>
      <c r="DZ66" s="190" t="str">
        <f t="shared" si="219"/>
        <v/>
      </c>
      <c r="EA66" s="193"/>
      <c r="ED66" s="191" t="str">
        <f t="shared" si="248"/>
        <v/>
      </c>
      <c r="EE66" s="117" t="str">
        <f t="shared" si="192"/>
        <v/>
      </c>
      <c r="EF66" s="190" t="str">
        <f t="shared" si="220"/>
        <v/>
      </c>
      <c r="EG66" s="193"/>
      <c r="EJ66" s="191" t="str">
        <f t="shared" si="249"/>
        <v/>
      </c>
      <c r="EK66" s="117" t="str">
        <f t="shared" si="193"/>
        <v/>
      </c>
      <c r="EL66" s="190" t="str">
        <f t="shared" si="221"/>
        <v/>
      </c>
      <c r="EM66" s="193"/>
      <c r="EP66" s="191" t="str">
        <f t="shared" si="250"/>
        <v/>
      </c>
      <c r="EQ66" s="117" t="str">
        <f t="shared" si="194"/>
        <v/>
      </c>
      <c r="ER66" s="190" t="str">
        <f t="shared" si="222"/>
        <v/>
      </c>
      <c r="ES66" s="193"/>
      <c r="EV66" s="191" t="str">
        <f t="shared" si="251"/>
        <v/>
      </c>
      <c r="EW66" s="117" t="str">
        <f t="shared" si="195"/>
        <v/>
      </c>
      <c r="EX66" s="190" t="str">
        <f t="shared" si="223"/>
        <v/>
      </c>
      <c r="EY66" s="193"/>
      <c r="FB66" s="191" t="str">
        <f t="shared" si="252"/>
        <v/>
      </c>
      <c r="FC66" s="117" t="str">
        <f t="shared" si="196"/>
        <v/>
      </c>
      <c r="FD66" s="190" t="str">
        <f t="shared" si="224"/>
        <v/>
      </c>
      <c r="FE66" s="193"/>
      <c r="FH66" s="191" t="str">
        <f t="shared" si="253"/>
        <v/>
      </c>
      <c r="FI66" s="117" t="str">
        <f t="shared" si="197"/>
        <v/>
      </c>
      <c r="FJ66" s="190" t="str">
        <f t="shared" si="225"/>
        <v/>
      </c>
      <c r="FK66" s="193"/>
      <c r="FN66" s="191" t="str">
        <f t="shared" si="254"/>
        <v/>
      </c>
      <c r="FO66" s="117" t="str">
        <f t="shared" si="198"/>
        <v/>
      </c>
      <c r="FP66" s="190" t="str">
        <f t="shared" si="226"/>
        <v/>
      </c>
      <c r="FQ66" s="193"/>
    </row>
    <row r="67" spans="6:173" x14ac:dyDescent="0.25">
      <c r="H67" s="242" t="str">
        <f t="shared" si="227"/>
        <v/>
      </c>
      <c r="I67" s="247" t="str">
        <f t="shared" si="171"/>
        <v/>
      </c>
      <c r="J67" s="248" t="str">
        <f t="shared" si="199"/>
        <v/>
      </c>
      <c r="K67" s="193"/>
      <c r="N67" s="242" t="str">
        <f t="shared" si="228"/>
        <v/>
      </c>
      <c r="O67" s="247" t="str">
        <f t="shared" si="172"/>
        <v/>
      </c>
      <c r="P67" s="248" t="str">
        <f t="shared" si="200"/>
        <v/>
      </c>
      <c r="Q67" s="193"/>
      <c r="T67" s="242" t="str">
        <f t="shared" si="229"/>
        <v/>
      </c>
      <c r="U67" s="247" t="str">
        <f t="shared" si="173"/>
        <v/>
      </c>
      <c r="V67" s="248" t="str">
        <f t="shared" si="201"/>
        <v/>
      </c>
      <c r="W67" s="193"/>
      <c r="Z67" s="242" t="str">
        <f t="shared" si="230"/>
        <v/>
      </c>
      <c r="AA67" s="247" t="str">
        <f t="shared" si="174"/>
        <v/>
      </c>
      <c r="AB67" s="248" t="str">
        <f t="shared" si="202"/>
        <v/>
      </c>
      <c r="AC67" s="193"/>
      <c r="AF67" s="242" t="str">
        <f t="shared" si="231"/>
        <v/>
      </c>
      <c r="AG67" s="247" t="str">
        <f t="shared" si="175"/>
        <v/>
      </c>
      <c r="AH67" s="248" t="str">
        <f t="shared" si="203"/>
        <v/>
      </c>
      <c r="AI67" s="193"/>
      <c r="AL67" s="242" t="str">
        <f t="shared" si="232"/>
        <v/>
      </c>
      <c r="AM67" s="247" t="str">
        <f t="shared" si="176"/>
        <v/>
      </c>
      <c r="AN67" s="248" t="str">
        <f t="shared" si="204"/>
        <v/>
      </c>
      <c r="AO67" s="193"/>
      <c r="AR67" s="242" t="str">
        <f t="shared" si="233"/>
        <v/>
      </c>
      <c r="AS67" s="247" t="str">
        <f t="shared" si="177"/>
        <v/>
      </c>
      <c r="AT67" s="248" t="str">
        <f t="shared" si="205"/>
        <v/>
      </c>
      <c r="AU67" s="193"/>
      <c r="AX67" s="242" t="str">
        <f t="shared" si="234"/>
        <v/>
      </c>
      <c r="AY67" s="247" t="str">
        <f t="shared" si="178"/>
        <v/>
      </c>
      <c r="AZ67" s="248" t="str">
        <f t="shared" si="206"/>
        <v/>
      </c>
      <c r="BA67" s="193"/>
      <c r="BD67" s="242" t="str">
        <f t="shared" si="235"/>
        <v/>
      </c>
      <c r="BE67" s="247" t="str">
        <f t="shared" si="179"/>
        <v/>
      </c>
      <c r="BF67" s="248" t="str">
        <f t="shared" si="207"/>
        <v/>
      </c>
      <c r="BG67" s="193"/>
      <c r="BJ67" s="242" t="str">
        <f t="shared" si="236"/>
        <v/>
      </c>
      <c r="BK67" s="247" t="str">
        <f t="shared" si="180"/>
        <v/>
      </c>
      <c r="BL67" s="248" t="str">
        <f t="shared" si="208"/>
        <v/>
      </c>
      <c r="BM67" s="193"/>
      <c r="BP67" s="242" t="str">
        <f t="shared" si="237"/>
        <v/>
      </c>
      <c r="BQ67" s="247" t="str">
        <f t="shared" si="181"/>
        <v/>
      </c>
      <c r="BR67" s="248" t="str">
        <f t="shared" si="209"/>
        <v/>
      </c>
      <c r="BS67" s="193"/>
      <c r="BV67" s="242" t="str">
        <f t="shared" si="238"/>
        <v/>
      </c>
      <c r="BW67" s="247" t="str">
        <f t="shared" si="182"/>
        <v/>
      </c>
      <c r="BX67" s="248" t="str">
        <f t="shared" si="210"/>
        <v/>
      </c>
      <c r="BY67" s="193"/>
      <c r="CB67" s="242" t="str">
        <f t="shared" si="239"/>
        <v/>
      </c>
      <c r="CC67" s="247" t="str">
        <f t="shared" si="183"/>
        <v/>
      </c>
      <c r="CD67" s="248" t="str">
        <f t="shared" si="211"/>
        <v/>
      </c>
      <c r="CE67" s="193"/>
      <c r="CH67" s="242" t="str">
        <f t="shared" si="240"/>
        <v/>
      </c>
      <c r="CI67" s="247" t="str">
        <f t="shared" si="184"/>
        <v/>
      </c>
      <c r="CJ67" s="248" t="str">
        <f t="shared" si="212"/>
        <v/>
      </c>
      <c r="CK67" s="193"/>
      <c r="CN67" s="242" t="str">
        <f t="shared" si="241"/>
        <v/>
      </c>
      <c r="CO67" s="247" t="str">
        <f t="shared" si="185"/>
        <v/>
      </c>
      <c r="CP67" s="248" t="str">
        <f t="shared" si="213"/>
        <v/>
      </c>
      <c r="CQ67" s="193"/>
      <c r="CT67" s="242" t="str">
        <f t="shared" si="242"/>
        <v/>
      </c>
      <c r="CU67" s="247" t="str">
        <f t="shared" si="186"/>
        <v/>
      </c>
      <c r="CV67" s="248" t="str">
        <f t="shared" si="214"/>
        <v/>
      </c>
      <c r="CW67" s="193"/>
      <c r="CZ67" s="242" t="str">
        <f t="shared" si="243"/>
        <v/>
      </c>
      <c r="DA67" s="247" t="str">
        <f t="shared" si="187"/>
        <v/>
      </c>
      <c r="DB67" s="248" t="str">
        <f t="shared" si="215"/>
        <v/>
      </c>
      <c r="DC67" s="193"/>
      <c r="DF67" s="242" t="str">
        <f t="shared" si="244"/>
        <v/>
      </c>
      <c r="DG67" s="247" t="str">
        <f t="shared" si="188"/>
        <v/>
      </c>
      <c r="DH67" s="248" t="str">
        <f t="shared" si="216"/>
        <v/>
      </c>
      <c r="DI67" s="193"/>
      <c r="DL67" s="242" t="str">
        <f t="shared" si="245"/>
        <v/>
      </c>
      <c r="DM67" s="247" t="str">
        <f t="shared" si="189"/>
        <v/>
      </c>
      <c r="DN67" s="248" t="str">
        <f t="shared" si="217"/>
        <v/>
      </c>
      <c r="DO67" s="193"/>
      <c r="DR67" s="242" t="str">
        <f t="shared" si="246"/>
        <v/>
      </c>
      <c r="DS67" s="247" t="str">
        <f t="shared" si="190"/>
        <v/>
      </c>
      <c r="DT67" s="248" t="str">
        <f t="shared" si="218"/>
        <v/>
      </c>
      <c r="DU67" s="193"/>
      <c r="DX67" s="242" t="str">
        <f t="shared" si="247"/>
        <v/>
      </c>
      <c r="DY67" s="247" t="str">
        <f t="shared" si="191"/>
        <v/>
      </c>
      <c r="DZ67" s="248" t="str">
        <f t="shared" si="219"/>
        <v/>
      </c>
      <c r="EA67" s="193"/>
      <c r="ED67" s="242" t="str">
        <f t="shared" si="248"/>
        <v/>
      </c>
      <c r="EE67" s="247" t="str">
        <f t="shared" si="192"/>
        <v/>
      </c>
      <c r="EF67" s="248" t="str">
        <f t="shared" si="220"/>
        <v/>
      </c>
      <c r="EG67" s="193"/>
      <c r="EJ67" s="242" t="str">
        <f t="shared" si="249"/>
        <v/>
      </c>
      <c r="EK67" s="247" t="str">
        <f t="shared" si="193"/>
        <v/>
      </c>
      <c r="EL67" s="248" t="str">
        <f t="shared" si="221"/>
        <v/>
      </c>
      <c r="EM67" s="193"/>
      <c r="EP67" s="242" t="str">
        <f t="shared" si="250"/>
        <v/>
      </c>
      <c r="EQ67" s="247" t="str">
        <f t="shared" si="194"/>
        <v/>
      </c>
      <c r="ER67" s="248" t="str">
        <f t="shared" si="222"/>
        <v/>
      </c>
      <c r="ES67" s="193"/>
      <c r="EV67" s="242" t="str">
        <f t="shared" si="251"/>
        <v/>
      </c>
      <c r="EW67" s="247" t="str">
        <f t="shared" si="195"/>
        <v/>
      </c>
      <c r="EX67" s="248" t="str">
        <f t="shared" si="223"/>
        <v/>
      </c>
      <c r="EY67" s="193"/>
      <c r="FB67" s="242" t="str">
        <f t="shared" si="252"/>
        <v/>
      </c>
      <c r="FC67" s="247" t="str">
        <f t="shared" si="196"/>
        <v/>
      </c>
      <c r="FD67" s="248" t="str">
        <f t="shared" si="224"/>
        <v/>
      </c>
      <c r="FE67" s="193"/>
      <c r="FH67" s="242" t="str">
        <f t="shared" si="253"/>
        <v/>
      </c>
      <c r="FI67" s="247" t="str">
        <f t="shared" si="197"/>
        <v/>
      </c>
      <c r="FJ67" s="248" t="str">
        <f t="shared" si="225"/>
        <v/>
      </c>
      <c r="FK67" s="193"/>
      <c r="FN67" s="242" t="str">
        <f t="shared" si="254"/>
        <v/>
      </c>
      <c r="FO67" s="247" t="str">
        <f t="shared" si="198"/>
        <v/>
      </c>
      <c r="FP67" s="248" t="str">
        <f t="shared" si="226"/>
        <v/>
      </c>
      <c r="FQ67" s="193"/>
    </row>
    <row r="68" spans="6:173" x14ac:dyDescent="0.25">
      <c r="H68" s="191" t="str">
        <f t="shared" si="227"/>
        <v/>
      </c>
      <c r="I68" s="117" t="str">
        <f t="shared" si="171"/>
        <v/>
      </c>
      <c r="J68" s="190" t="str">
        <f t="shared" si="199"/>
        <v/>
      </c>
      <c r="K68" s="193"/>
      <c r="N68" s="191" t="str">
        <f t="shared" si="228"/>
        <v/>
      </c>
      <c r="O68" s="117" t="str">
        <f t="shared" si="172"/>
        <v/>
      </c>
      <c r="P68" s="190" t="str">
        <f t="shared" si="200"/>
        <v/>
      </c>
      <c r="Q68" s="193"/>
      <c r="T68" s="191" t="str">
        <f t="shared" si="229"/>
        <v/>
      </c>
      <c r="U68" s="117" t="str">
        <f t="shared" si="173"/>
        <v/>
      </c>
      <c r="V68" s="190" t="str">
        <f t="shared" si="201"/>
        <v/>
      </c>
      <c r="W68" s="193"/>
      <c r="Z68" s="191" t="str">
        <f t="shared" si="230"/>
        <v/>
      </c>
      <c r="AA68" s="117" t="str">
        <f t="shared" si="174"/>
        <v/>
      </c>
      <c r="AB68" s="190" t="str">
        <f t="shared" si="202"/>
        <v/>
      </c>
      <c r="AC68" s="193"/>
      <c r="AF68" s="191" t="str">
        <f t="shared" si="231"/>
        <v/>
      </c>
      <c r="AG68" s="117" t="str">
        <f t="shared" si="175"/>
        <v/>
      </c>
      <c r="AH68" s="190" t="str">
        <f t="shared" si="203"/>
        <v/>
      </c>
      <c r="AI68" s="193"/>
      <c r="AL68" s="191" t="str">
        <f t="shared" si="232"/>
        <v/>
      </c>
      <c r="AM68" s="117" t="str">
        <f t="shared" si="176"/>
        <v/>
      </c>
      <c r="AN68" s="190" t="str">
        <f t="shared" si="204"/>
        <v/>
      </c>
      <c r="AO68" s="193"/>
      <c r="AR68" s="191" t="str">
        <f t="shared" si="233"/>
        <v/>
      </c>
      <c r="AS68" s="117" t="str">
        <f t="shared" si="177"/>
        <v/>
      </c>
      <c r="AT68" s="190" t="str">
        <f t="shared" si="205"/>
        <v/>
      </c>
      <c r="AU68" s="193"/>
      <c r="AX68" s="191" t="str">
        <f t="shared" si="234"/>
        <v/>
      </c>
      <c r="AY68" s="117" t="str">
        <f t="shared" si="178"/>
        <v/>
      </c>
      <c r="AZ68" s="190" t="str">
        <f t="shared" si="206"/>
        <v/>
      </c>
      <c r="BA68" s="193"/>
      <c r="BD68" s="191" t="str">
        <f t="shared" si="235"/>
        <v/>
      </c>
      <c r="BE68" s="117" t="str">
        <f t="shared" si="179"/>
        <v/>
      </c>
      <c r="BF68" s="190" t="str">
        <f t="shared" si="207"/>
        <v/>
      </c>
      <c r="BG68" s="193"/>
      <c r="BJ68" s="191" t="str">
        <f t="shared" si="236"/>
        <v/>
      </c>
      <c r="BK68" s="117" t="str">
        <f t="shared" si="180"/>
        <v/>
      </c>
      <c r="BL68" s="190" t="str">
        <f t="shared" si="208"/>
        <v/>
      </c>
      <c r="BM68" s="193"/>
      <c r="BP68" s="191" t="str">
        <f t="shared" si="237"/>
        <v/>
      </c>
      <c r="BQ68" s="117" t="str">
        <f t="shared" si="181"/>
        <v/>
      </c>
      <c r="BR68" s="190" t="str">
        <f t="shared" si="209"/>
        <v/>
      </c>
      <c r="BS68" s="193"/>
      <c r="BV68" s="191" t="str">
        <f t="shared" si="238"/>
        <v/>
      </c>
      <c r="BW68" s="117" t="str">
        <f t="shared" si="182"/>
        <v/>
      </c>
      <c r="BX68" s="190" t="str">
        <f t="shared" si="210"/>
        <v/>
      </c>
      <c r="BY68" s="193"/>
      <c r="CB68" s="191" t="str">
        <f t="shared" si="239"/>
        <v/>
      </c>
      <c r="CC68" s="117" t="str">
        <f t="shared" si="183"/>
        <v/>
      </c>
      <c r="CD68" s="190" t="str">
        <f t="shared" si="211"/>
        <v/>
      </c>
      <c r="CE68" s="193"/>
      <c r="CH68" s="191" t="str">
        <f t="shared" si="240"/>
        <v/>
      </c>
      <c r="CI68" s="117" t="str">
        <f t="shared" si="184"/>
        <v/>
      </c>
      <c r="CJ68" s="190" t="str">
        <f t="shared" si="212"/>
        <v/>
      </c>
      <c r="CK68" s="193"/>
      <c r="CN68" s="191" t="str">
        <f t="shared" si="241"/>
        <v/>
      </c>
      <c r="CO68" s="117" t="str">
        <f t="shared" si="185"/>
        <v/>
      </c>
      <c r="CP68" s="190" t="str">
        <f t="shared" si="213"/>
        <v/>
      </c>
      <c r="CQ68" s="193"/>
      <c r="CT68" s="191" t="str">
        <f t="shared" si="242"/>
        <v/>
      </c>
      <c r="CU68" s="117" t="str">
        <f t="shared" si="186"/>
        <v/>
      </c>
      <c r="CV68" s="190" t="str">
        <f t="shared" si="214"/>
        <v/>
      </c>
      <c r="CW68" s="193"/>
      <c r="CZ68" s="191" t="str">
        <f t="shared" si="243"/>
        <v/>
      </c>
      <c r="DA68" s="117" t="str">
        <f t="shared" si="187"/>
        <v/>
      </c>
      <c r="DB68" s="190" t="str">
        <f t="shared" si="215"/>
        <v/>
      </c>
      <c r="DC68" s="193"/>
      <c r="DF68" s="191" t="str">
        <f t="shared" si="244"/>
        <v/>
      </c>
      <c r="DG68" s="117" t="str">
        <f t="shared" si="188"/>
        <v/>
      </c>
      <c r="DH68" s="190" t="str">
        <f t="shared" si="216"/>
        <v/>
      </c>
      <c r="DI68" s="193"/>
      <c r="DL68" s="191" t="str">
        <f t="shared" si="245"/>
        <v/>
      </c>
      <c r="DM68" s="117" t="str">
        <f t="shared" si="189"/>
        <v/>
      </c>
      <c r="DN68" s="190" t="str">
        <f t="shared" si="217"/>
        <v/>
      </c>
      <c r="DO68" s="193"/>
      <c r="DR68" s="191" t="str">
        <f t="shared" si="246"/>
        <v/>
      </c>
      <c r="DS68" s="117" t="str">
        <f t="shared" si="190"/>
        <v/>
      </c>
      <c r="DT68" s="190" t="str">
        <f t="shared" si="218"/>
        <v/>
      </c>
      <c r="DU68" s="193"/>
      <c r="DX68" s="191" t="str">
        <f t="shared" si="247"/>
        <v/>
      </c>
      <c r="DY68" s="117" t="str">
        <f t="shared" si="191"/>
        <v/>
      </c>
      <c r="DZ68" s="190" t="str">
        <f t="shared" si="219"/>
        <v/>
      </c>
      <c r="EA68" s="193"/>
      <c r="ED68" s="191" t="str">
        <f t="shared" si="248"/>
        <v/>
      </c>
      <c r="EE68" s="117" t="str">
        <f t="shared" si="192"/>
        <v/>
      </c>
      <c r="EF68" s="190" t="str">
        <f t="shared" si="220"/>
        <v/>
      </c>
      <c r="EG68" s="193"/>
      <c r="EJ68" s="191" t="str">
        <f t="shared" si="249"/>
        <v/>
      </c>
      <c r="EK68" s="117" t="str">
        <f t="shared" si="193"/>
        <v/>
      </c>
      <c r="EL68" s="190" t="str">
        <f t="shared" si="221"/>
        <v/>
      </c>
      <c r="EM68" s="193"/>
      <c r="EP68" s="191" t="str">
        <f t="shared" si="250"/>
        <v/>
      </c>
      <c r="EQ68" s="117" t="str">
        <f t="shared" si="194"/>
        <v/>
      </c>
      <c r="ER68" s="190" t="str">
        <f t="shared" si="222"/>
        <v/>
      </c>
      <c r="ES68" s="193"/>
      <c r="EV68" s="191" t="str">
        <f t="shared" si="251"/>
        <v/>
      </c>
      <c r="EW68" s="117" t="str">
        <f t="shared" si="195"/>
        <v/>
      </c>
      <c r="EX68" s="190" t="str">
        <f t="shared" si="223"/>
        <v/>
      </c>
      <c r="EY68" s="193"/>
      <c r="FB68" s="191" t="str">
        <f t="shared" si="252"/>
        <v/>
      </c>
      <c r="FC68" s="117" t="str">
        <f t="shared" si="196"/>
        <v/>
      </c>
      <c r="FD68" s="190" t="str">
        <f t="shared" si="224"/>
        <v/>
      </c>
      <c r="FE68" s="193"/>
      <c r="FH68" s="191" t="str">
        <f t="shared" si="253"/>
        <v/>
      </c>
      <c r="FI68" s="117" t="str">
        <f t="shared" si="197"/>
        <v/>
      </c>
      <c r="FJ68" s="190" t="str">
        <f t="shared" si="225"/>
        <v/>
      </c>
      <c r="FK68" s="193"/>
      <c r="FN68" s="191" t="str">
        <f t="shared" si="254"/>
        <v/>
      </c>
      <c r="FO68" s="117" t="str">
        <f t="shared" si="198"/>
        <v/>
      </c>
      <c r="FP68" s="190" t="str">
        <f t="shared" si="226"/>
        <v/>
      </c>
      <c r="FQ68" s="193"/>
    </row>
    <row r="69" spans="6:173" x14ac:dyDescent="0.25">
      <c r="H69" s="242" t="str">
        <f t="shared" si="227"/>
        <v/>
      </c>
      <c r="I69" s="247" t="str">
        <f t="shared" si="171"/>
        <v/>
      </c>
      <c r="J69" s="248" t="str">
        <f t="shared" si="199"/>
        <v/>
      </c>
      <c r="K69" s="193"/>
      <c r="N69" s="242" t="str">
        <f t="shared" si="228"/>
        <v/>
      </c>
      <c r="O69" s="247" t="str">
        <f t="shared" si="172"/>
        <v/>
      </c>
      <c r="P69" s="248" t="str">
        <f t="shared" si="200"/>
        <v/>
      </c>
      <c r="Q69" s="193"/>
      <c r="T69" s="242" t="str">
        <f t="shared" si="229"/>
        <v/>
      </c>
      <c r="U69" s="247" t="str">
        <f t="shared" si="173"/>
        <v/>
      </c>
      <c r="V69" s="248" t="str">
        <f t="shared" si="201"/>
        <v/>
      </c>
      <c r="W69" s="193"/>
      <c r="Z69" s="242" t="str">
        <f t="shared" si="230"/>
        <v/>
      </c>
      <c r="AA69" s="247" t="str">
        <f t="shared" si="174"/>
        <v/>
      </c>
      <c r="AB69" s="248" t="str">
        <f t="shared" si="202"/>
        <v/>
      </c>
      <c r="AC69" s="193"/>
      <c r="AF69" s="242" t="str">
        <f t="shared" si="231"/>
        <v/>
      </c>
      <c r="AG69" s="247" t="str">
        <f t="shared" si="175"/>
        <v/>
      </c>
      <c r="AH69" s="248" t="str">
        <f t="shared" si="203"/>
        <v/>
      </c>
      <c r="AI69" s="193"/>
      <c r="AL69" s="242" t="str">
        <f t="shared" si="232"/>
        <v/>
      </c>
      <c r="AM69" s="247" t="str">
        <f t="shared" si="176"/>
        <v/>
      </c>
      <c r="AN69" s="248" t="str">
        <f t="shared" si="204"/>
        <v/>
      </c>
      <c r="AO69" s="193"/>
      <c r="AR69" s="242" t="str">
        <f t="shared" si="233"/>
        <v/>
      </c>
      <c r="AS69" s="247" t="str">
        <f t="shared" si="177"/>
        <v/>
      </c>
      <c r="AT69" s="248" t="str">
        <f t="shared" si="205"/>
        <v/>
      </c>
      <c r="AU69" s="193"/>
      <c r="AX69" s="242" t="str">
        <f t="shared" si="234"/>
        <v/>
      </c>
      <c r="AY69" s="247" t="str">
        <f t="shared" si="178"/>
        <v/>
      </c>
      <c r="AZ69" s="248" t="str">
        <f t="shared" si="206"/>
        <v/>
      </c>
      <c r="BA69" s="193"/>
      <c r="BD69" s="242" t="str">
        <f t="shared" si="235"/>
        <v/>
      </c>
      <c r="BE69" s="247" t="str">
        <f t="shared" si="179"/>
        <v/>
      </c>
      <c r="BF69" s="248" t="str">
        <f t="shared" si="207"/>
        <v/>
      </c>
      <c r="BG69" s="193"/>
      <c r="BJ69" s="242" t="str">
        <f t="shared" si="236"/>
        <v/>
      </c>
      <c r="BK69" s="247" t="str">
        <f t="shared" si="180"/>
        <v/>
      </c>
      <c r="BL69" s="248" t="str">
        <f t="shared" si="208"/>
        <v/>
      </c>
      <c r="BM69" s="193"/>
      <c r="BP69" s="242" t="str">
        <f t="shared" si="237"/>
        <v/>
      </c>
      <c r="BQ69" s="247" t="str">
        <f t="shared" si="181"/>
        <v/>
      </c>
      <c r="BR69" s="248" t="str">
        <f t="shared" si="209"/>
        <v/>
      </c>
      <c r="BS69" s="193"/>
      <c r="BV69" s="242" t="str">
        <f t="shared" si="238"/>
        <v/>
      </c>
      <c r="BW69" s="247" t="str">
        <f t="shared" si="182"/>
        <v/>
      </c>
      <c r="BX69" s="248" t="str">
        <f t="shared" si="210"/>
        <v/>
      </c>
      <c r="BY69" s="193"/>
      <c r="CB69" s="242" t="str">
        <f t="shared" si="239"/>
        <v/>
      </c>
      <c r="CC69" s="247" t="str">
        <f t="shared" si="183"/>
        <v/>
      </c>
      <c r="CD69" s="248" t="str">
        <f t="shared" si="211"/>
        <v/>
      </c>
      <c r="CE69" s="193"/>
      <c r="CH69" s="242" t="str">
        <f t="shared" si="240"/>
        <v/>
      </c>
      <c r="CI69" s="247" t="str">
        <f t="shared" si="184"/>
        <v/>
      </c>
      <c r="CJ69" s="248" t="str">
        <f t="shared" si="212"/>
        <v/>
      </c>
      <c r="CK69" s="193"/>
      <c r="CN69" s="242" t="str">
        <f t="shared" si="241"/>
        <v/>
      </c>
      <c r="CO69" s="247" t="str">
        <f t="shared" si="185"/>
        <v/>
      </c>
      <c r="CP69" s="248" t="str">
        <f t="shared" si="213"/>
        <v/>
      </c>
      <c r="CQ69" s="193"/>
      <c r="CT69" s="242" t="str">
        <f t="shared" si="242"/>
        <v/>
      </c>
      <c r="CU69" s="247" t="str">
        <f t="shared" si="186"/>
        <v/>
      </c>
      <c r="CV69" s="248" t="str">
        <f t="shared" si="214"/>
        <v/>
      </c>
      <c r="CW69" s="193"/>
      <c r="CZ69" s="242" t="str">
        <f t="shared" si="243"/>
        <v/>
      </c>
      <c r="DA69" s="247" t="str">
        <f t="shared" si="187"/>
        <v/>
      </c>
      <c r="DB69" s="248" t="str">
        <f t="shared" si="215"/>
        <v/>
      </c>
      <c r="DC69" s="193"/>
      <c r="DF69" s="242" t="str">
        <f t="shared" si="244"/>
        <v/>
      </c>
      <c r="DG69" s="247" t="str">
        <f t="shared" si="188"/>
        <v/>
      </c>
      <c r="DH69" s="248" t="str">
        <f t="shared" si="216"/>
        <v/>
      </c>
      <c r="DI69" s="193"/>
      <c r="DL69" s="242" t="str">
        <f t="shared" si="245"/>
        <v/>
      </c>
      <c r="DM69" s="247" t="str">
        <f t="shared" si="189"/>
        <v/>
      </c>
      <c r="DN69" s="248" t="str">
        <f t="shared" si="217"/>
        <v/>
      </c>
      <c r="DO69" s="193"/>
      <c r="DR69" s="242" t="str">
        <f t="shared" si="246"/>
        <v/>
      </c>
      <c r="DS69" s="247" t="str">
        <f t="shared" si="190"/>
        <v/>
      </c>
      <c r="DT69" s="248" t="str">
        <f t="shared" si="218"/>
        <v/>
      </c>
      <c r="DU69" s="193"/>
      <c r="DX69" s="242" t="str">
        <f t="shared" si="247"/>
        <v/>
      </c>
      <c r="DY69" s="247" t="str">
        <f t="shared" si="191"/>
        <v/>
      </c>
      <c r="DZ69" s="248" t="str">
        <f t="shared" si="219"/>
        <v/>
      </c>
      <c r="EA69" s="193"/>
      <c r="ED69" s="242" t="str">
        <f t="shared" si="248"/>
        <v/>
      </c>
      <c r="EE69" s="247" t="str">
        <f t="shared" si="192"/>
        <v/>
      </c>
      <c r="EF69" s="248" t="str">
        <f t="shared" si="220"/>
        <v/>
      </c>
      <c r="EG69" s="193"/>
      <c r="EJ69" s="242" t="str">
        <f t="shared" si="249"/>
        <v/>
      </c>
      <c r="EK69" s="247" t="str">
        <f t="shared" si="193"/>
        <v/>
      </c>
      <c r="EL69" s="248" t="str">
        <f t="shared" si="221"/>
        <v/>
      </c>
      <c r="EM69" s="193"/>
      <c r="EP69" s="242" t="str">
        <f t="shared" si="250"/>
        <v/>
      </c>
      <c r="EQ69" s="247" t="str">
        <f t="shared" si="194"/>
        <v/>
      </c>
      <c r="ER69" s="248" t="str">
        <f t="shared" si="222"/>
        <v/>
      </c>
      <c r="ES69" s="193"/>
      <c r="EV69" s="242" t="str">
        <f t="shared" si="251"/>
        <v/>
      </c>
      <c r="EW69" s="247" t="str">
        <f t="shared" si="195"/>
        <v/>
      </c>
      <c r="EX69" s="248" t="str">
        <f t="shared" si="223"/>
        <v/>
      </c>
      <c r="EY69" s="193"/>
      <c r="FB69" s="242" t="str">
        <f t="shared" si="252"/>
        <v/>
      </c>
      <c r="FC69" s="247" t="str">
        <f t="shared" si="196"/>
        <v/>
      </c>
      <c r="FD69" s="248" t="str">
        <f t="shared" si="224"/>
        <v/>
      </c>
      <c r="FE69" s="193"/>
      <c r="FH69" s="242" t="str">
        <f t="shared" si="253"/>
        <v/>
      </c>
      <c r="FI69" s="247" t="str">
        <f t="shared" si="197"/>
        <v/>
      </c>
      <c r="FJ69" s="248" t="str">
        <f t="shared" si="225"/>
        <v/>
      </c>
      <c r="FK69" s="193"/>
      <c r="FN69" s="242" t="str">
        <f t="shared" si="254"/>
        <v/>
      </c>
      <c r="FO69" s="247" t="str">
        <f t="shared" si="198"/>
        <v/>
      </c>
      <c r="FP69" s="248" t="str">
        <f t="shared" si="226"/>
        <v/>
      </c>
      <c r="FQ69" s="193"/>
    </row>
    <row r="70" spans="6:173" x14ac:dyDescent="0.25">
      <c r="H70" s="191" t="str">
        <f t="shared" si="227"/>
        <v/>
      </c>
      <c r="I70" s="117" t="str">
        <f t="shared" si="171"/>
        <v/>
      </c>
      <c r="J70" s="190" t="str">
        <f t="shared" si="199"/>
        <v/>
      </c>
      <c r="K70" s="193"/>
      <c r="N70" s="191" t="str">
        <f t="shared" si="228"/>
        <v/>
      </c>
      <c r="O70" s="117" t="str">
        <f t="shared" si="172"/>
        <v/>
      </c>
      <c r="P70" s="190" t="str">
        <f t="shared" si="200"/>
        <v/>
      </c>
      <c r="Q70" s="193"/>
      <c r="T70" s="191" t="str">
        <f t="shared" si="229"/>
        <v/>
      </c>
      <c r="U70" s="117" t="str">
        <f t="shared" si="173"/>
        <v/>
      </c>
      <c r="V70" s="190" t="str">
        <f t="shared" si="201"/>
        <v/>
      </c>
      <c r="W70" s="193"/>
      <c r="Z70" s="191" t="str">
        <f t="shared" si="230"/>
        <v/>
      </c>
      <c r="AA70" s="117" t="str">
        <f t="shared" si="174"/>
        <v/>
      </c>
      <c r="AB70" s="190" t="str">
        <f t="shared" si="202"/>
        <v/>
      </c>
      <c r="AC70" s="193"/>
      <c r="AF70" s="191" t="str">
        <f t="shared" si="231"/>
        <v/>
      </c>
      <c r="AG70" s="117" t="str">
        <f t="shared" si="175"/>
        <v/>
      </c>
      <c r="AH70" s="190" t="str">
        <f t="shared" si="203"/>
        <v/>
      </c>
      <c r="AI70" s="193"/>
      <c r="AL70" s="191" t="str">
        <f t="shared" si="232"/>
        <v/>
      </c>
      <c r="AM70" s="117" t="str">
        <f t="shared" si="176"/>
        <v/>
      </c>
      <c r="AN70" s="190" t="str">
        <f t="shared" si="204"/>
        <v/>
      </c>
      <c r="AO70" s="193"/>
      <c r="AR70" s="191" t="str">
        <f t="shared" si="233"/>
        <v/>
      </c>
      <c r="AS70" s="117" t="str">
        <f t="shared" si="177"/>
        <v/>
      </c>
      <c r="AT70" s="190" t="str">
        <f t="shared" si="205"/>
        <v/>
      </c>
      <c r="AU70" s="193"/>
      <c r="AX70" s="191" t="str">
        <f t="shared" si="234"/>
        <v/>
      </c>
      <c r="AY70" s="117" t="str">
        <f t="shared" si="178"/>
        <v/>
      </c>
      <c r="AZ70" s="190" t="str">
        <f t="shared" si="206"/>
        <v/>
      </c>
      <c r="BA70" s="193"/>
      <c r="BD70" s="191" t="str">
        <f t="shared" si="235"/>
        <v/>
      </c>
      <c r="BE70" s="117" t="str">
        <f t="shared" si="179"/>
        <v/>
      </c>
      <c r="BF70" s="190" t="str">
        <f t="shared" si="207"/>
        <v/>
      </c>
      <c r="BG70" s="193"/>
      <c r="BJ70" s="191" t="str">
        <f t="shared" si="236"/>
        <v/>
      </c>
      <c r="BK70" s="117" t="str">
        <f t="shared" si="180"/>
        <v/>
      </c>
      <c r="BL70" s="190" t="str">
        <f t="shared" si="208"/>
        <v/>
      </c>
      <c r="BM70" s="193"/>
      <c r="BP70" s="191" t="str">
        <f t="shared" si="237"/>
        <v/>
      </c>
      <c r="BQ70" s="117" t="str">
        <f t="shared" si="181"/>
        <v/>
      </c>
      <c r="BR70" s="190" t="str">
        <f t="shared" si="209"/>
        <v/>
      </c>
      <c r="BS70" s="193"/>
      <c r="BV70" s="191" t="str">
        <f t="shared" si="238"/>
        <v/>
      </c>
      <c r="BW70" s="117" t="str">
        <f t="shared" si="182"/>
        <v/>
      </c>
      <c r="BX70" s="190" t="str">
        <f t="shared" si="210"/>
        <v/>
      </c>
      <c r="BY70" s="193"/>
      <c r="CB70" s="191" t="str">
        <f t="shared" si="239"/>
        <v/>
      </c>
      <c r="CC70" s="117" t="str">
        <f t="shared" si="183"/>
        <v/>
      </c>
      <c r="CD70" s="190" t="str">
        <f t="shared" si="211"/>
        <v/>
      </c>
      <c r="CE70" s="193"/>
      <c r="CH70" s="191" t="str">
        <f t="shared" si="240"/>
        <v/>
      </c>
      <c r="CI70" s="117" t="str">
        <f t="shared" si="184"/>
        <v/>
      </c>
      <c r="CJ70" s="190" t="str">
        <f t="shared" si="212"/>
        <v/>
      </c>
      <c r="CK70" s="193"/>
      <c r="CN70" s="191" t="str">
        <f t="shared" si="241"/>
        <v/>
      </c>
      <c r="CO70" s="117" t="str">
        <f t="shared" si="185"/>
        <v/>
      </c>
      <c r="CP70" s="190" t="str">
        <f t="shared" si="213"/>
        <v/>
      </c>
      <c r="CQ70" s="193"/>
      <c r="CT70" s="191" t="str">
        <f t="shared" si="242"/>
        <v/>
      </c>
      <c r="CU70" s="117" t="str">
        <f t="shared" si="186"/>
        <v/>
      </c>
      <c r="CV70" s="190" t="str">
        <f t="shared" si="214"/>
        <v/>
      </c>
      <c r="CW70" s="193"/>
      <c r="CZ70" s="191" t="str">
        <f t="shared" si="243"/>
        <v/>
      </c>
      <c r="DA70" s="117" t="str">
        <f t="shared" si="187"/>
        <v/>
      </c>
      <c r="DB70" s="190" t="str">
        <f t="shared" si="215"/>
        <v/>
      </c>
      <c r="DC70" s="193"/>
      <c r="DF70" s="191" t="str">
        <f t="shared" si="244"/>
        <v/>
      </c>
      <c r="DG70" s="117" t="str">
        <f t="shared" si="188"/>
        <v/>
      </c>
      <c r="DH70" s="190" t="str">
        <f t="shared" si="216"/>
        <v/>
      </c>
      <c r="DI70" s="193"/>
      <c r="DL70" s="191" t="str">
        <f t="shared" si="245"/>
        <v/>
      </c>
      <c r="DM70" s="117" t="str">
        <f t="shared" si="189"/>
        <v/>
      </c>
      <c r="DN70" s="190" t="str">
        <f t="shared" si="217"/>
        <v/>
      </c>
      <c r="DO70" s="193"/>
      <c r="DR70" s="191" t="str">
        <f t="shared" si="246"/>
        <v/>
      </c>
      <c r="DS70" s="117" t="str">
        <f t="shared" si="190"/>
        <v/>
      </c>
      <c r="DT70" s="190" t="str">
        <f t="shared" si="218"/>
        <v/>
      </c>
      <c r="DU70" s="193"/>
      <c r="DX70" s="191" t="str">
        <f t="shared" si="247"/>
        <v/>
      </c>
      <c r="DY70" s="117" t="str">
        <f t="shared" si="191"/>
        <v/>
      </c>
      <c r="DZ70" s="190" t="str">
        <f t="shared" si="219"/>
        <v/>
      </c>
      <c r="EA70" s="193"/>
      <c r="ED70" s="191" t="str">
        <f t="shared" si="248"/>
        <v/>
      </c>
      <c r="EE70" s="117" t="str">
        <f t="shared" si="192"/>
        <v/>
      </c>
      <c r="EF70" s="190" t="str">
        <f t="shared" si="220"/>
        <v/>
      </c>
      <c r="EG70" s="193"/>
      <c r="EJ70" s="191" t="str">
        <f t="shared" si="249"/>
        <v/>
      </c>
      <c r="EK70" s="117" t="str">
        <f t="shared" si="193"/>
        <v/>
      </c>
      <c r="EL70" s="190" t="str">
        <f t="shared" si="221"/>
        <v/>
      </c>
      <c r="EM70" s="193"/>
      <c r="EP70" s="191" t="str">
        <f t="shared" si="250"/>
        <v/>
      </c>
      <c r="EQ70" s="117" t="str">
        <f t="shared" si="194"/>
        <v/>
      </c>
      <c r="ER70" s="190" t="str">
        <f t="shared" si="222"/>
        <v/>
      </c>
      <c r="ES70" s="193"/>
      <c r="EV70" s="191" t="str">
        <f t="shared" si="251"/>
        <v/>
      </c>
      <c r="EW70" s="117" t="str">
        <f t="shared" si="195"/>
        <v/>
      </c>
      <c r="EX70" s="190" t="str">
        <f t="shared" si="223"/>
        <v/>
      </c>
      <c r="EY70" s="193"/>
      <c r="FB70" s="191" t="str">
        <f t="shared" si="252"/>
        <v/>
      </c>
      <c r="FC70" s="117" t="str">
        <f t="shared" si="196"/>
        <v/>
      </c>
      <c r="FD70" s="190" t="str">
        <f t="shared" si="224"/>
        <v/>
      </c>
      <c r="FE70" s="193"/>
      <c r="FH70" s="191" t="str">
        <f t="shared" si="253"/>
        <v/>
      </c>
      <c r="FI70" s="117" t="str">
        <f t="shared" si="197"/>
        <v/>
      </c>
      <c r="FJ70" s="190" t="str">
        <f t="shared" si="225"/>
        <v/>
      </c>
      <c r="FK70" s="193"/>
      <c r="FN70" s="191" t="str">
        <f t="shared" si="254"/>
        <v/>
      </c>
      <c r="FO70" s="117" t="str">
        <f t="shared" si="198"/>
        <v/>
      </c>
      <c r="FP70" s="190" t="str">
        <f t="shared" si="226"/>
        <v/>
      </c>
      <c r="FQ70" s="193"/>
    </row>
    <row r="71" spans="6:173" x14ac:dyDescent="0.25">
      <c r="H71" s="242" t="str">
        <f t="shared" si="227"/>
        <v/>
      </c>
      <c r="I71" s="247" t="str">
        <f t="shared" si="171"/>
        <v/>
      </c>
      <c r="J71" s="248" t="str">
        <f t="shared" si="199"/>
        <v/>
      </c>
      <c r="K71" s="193"/>
      <c r="N71" s="242" t="str">
        <f t="shared" si="228"/>
        <v/>
      </c>
      <c r="O71" s="247" t="str">
        <f t="shared" si="172"/>
        <v/>
      </c>
      <c r="P71" s="248" t="str">
        <f t="shared" si="200"/>
        <v/>
      </c>
      <c r="Q71" s="193"/>
      <c r="T71" s="242" t="str">
        <f t="shared" si="229"/>
        <v/>
      </c>
      <c r="U71" s="247" t="str">
        <f t="shared" si="173"/>
        <v/>
      </c>
      <c r="V71" s="248" t="str">
        <f t="shared" si="201"/>
        <v/>
      </c>
      <c r="W71" s="193"/>
      <c r="Z71" s="242" t="str">
        <f t="shared" si="230"/>
        <v/>
      </c>
      <c r="AA71" s="247" t="str">
        <f t="shared" si="174"/>
        <v/>
      </c>
      <c r="AB71" s="248" t="str">
        <f t="shared" si="202"/>
        <v/>
      </c>
      <c r="AC71" s="193"/>
      <c r="AF71" s="242" t="str">
        <f t="shared" si="231"/>
        <v/>
      </c>
      <c r="AG71" s="247" t="str">
        <f t="shared" si="175"/>
        <v/>
      </c>
      <c r="AH71" s="248" t="str">
        <f t="shared" si="203"/>
        <v/>
      </c>
      <c r="AI71" s="193"/>
      <c r="AL71" s="242" t="str">
        <f t="shared" si="232"/>
        <v/>
      </c>
      <c r="AM71" s="247" t="str">
        <f t="shared" si="176"/>
        <v/>
      </c>
      <c r="AN71" s="248" t="str">
        <f t="shared" si="204"/>
        <v/>
      </c>
      <c r="AO71" s="193"/>
      <c r="AR71" s="242" t="str">
        <f t="shared" si="233"/>
        <v/>
      </c>
      <c r="AS71" s="247" t="str">
        <f t="shared" si="177"/>
        <v/>
      </c>
      <c r="AT71" s="248" t="str">
        <f t="shared" si="205"/>
        <v/>
      </c>
      <c r="AU71" s="193"/>
      <c r="AX71" s="242" t="str">
        <f t="shared" si="234"/>
        <v/>
      </c>
      <c r="AY71" s="247" t="str">
        <f t="shared" si="178"/>
        <v/>
      </c>
      <c r="AZ71" s="248" t="str">
        <f t="shared" si="206"/>
        <v/>
      </c>
      <c r="BA71" s="193"/>
      <c r="BD71" s="242" t="str">
        <f t="shared" si="235"/>
        <v/>
      </c>
      <c r="BE71" s="247" t="str">
        <f t="shared" si="179"/>
        <v/>
      </c>
      <c r="BF71" s="248" t="str">
        <f t="shared" si="207"/>
        <v/>
      </c>
      <c r="BG71" s="193"/>
      <c r="BJ71" s="242" t="str">
        <f t="shared" si="236"/>
        <v/>
      </c>
      <c r="BK71" s="247" t="str">
        <f t="shared" si="180"/>
        <v/>
      </c>
      <c r="BL71" s="248" t="str">
        <f t="shared" si="208"/>
        <v/>
      </c>
      <c r="BM71" s="193"/>
      <c r="BP71" s="242" t="str">
        <f t="shared" si="237"/>
        <v/>
      </c>
      <c r="BQ71" s="247" t="str">
        <f t="shared" si="181"/>
        <v/>
      </c>
      <c r="BR71" s="248" t="str">
        <f t="shared" si="209"/>
        <v/>
      </c>
      <c r="BS71" s="193"/>
      <c r="BV71" s="242" t="str">
        <f t="shared" si="238"/>
        <v/>
      </c>
      <c r="BW71" s="247" t="str">
        <f t="shared" si="182"/>
        <v/>
      </c>
      <c r="BX71" s="248" t="str">
        <f t="shared" si="210"/>
        <v/>
      </c>
      <c r="BY71" s="193"/>
      <c r="CB71" s="242" t="str">
        <f t="shared" si="239"/>
        <v/>
      </c>
      <c r="CC71" s="247" t="str">
        <f t="shared" si="183"/>
        <v/>
      </c>
      <c r="CD71" s="248" t="str">
        <f t="shared" si="211"/>
        <v/>
      </c>
      <c r="CE71" s="193"/>
      <c r="CH71" s="242" t="str">
        <f t="shared" si="240"/>
        <v/>
      </c>
      <c r="CI71" s="247" t="str">
        <f t="shared" si="184"/>
        <v/>
      </c>
      <c r="CJ71" s="248" t="str">
        <f t="shared" si="212"/>
        <v/>
      </c>
      <c r="CK71" s="193"/>
      <c r="CN71" s="242" t="str">
        <f t="shared" si="241"/>
        <v/>
      </c>
      <c r="CO71" s="247" t="str">
        <f t="shared" si="185"/>
        <v/>
      </c>
      <c r="CP71" s="248" t="str">
        <f t="shared" si="213"/>
        <v/>
      </c>
      <c r="CQ71" s="193"/>
      <c r="CT71" s="242" t="str">
        <f t="shared" si="242"/>
        <v/>
      </c>
      <c r="CU71" s="247" t="str">
        <f t="shared" si="186"/>
        <v/>
      </c>
      <c r="CV71" s="248" t="str">
        <f t="shared" si="214"/>
        <v/>
      </c>
      <c r="CW71" s="193"/>
      <c r="CZ71" s="242" t="str">
        <f t="shared" si="243"/>
        <v/>
      </c>
      <c r="DA71" s="247" t="str">
        <f t="shared" si="187"/>
        <v/>
      </c>
      <c r="DB71" s="248" t="str">
        <f t="shared" si="215"/>
        <v/>
      </c>
      <c r="DC71" s="193"/>
      <c r="DF71" s="242" t="str">
        <f t="shared" si="244"/>
        <v/>
      </c>
      <c r="DG71" s="247" t="str">
        <f t="shared" si="188"/>
        <v/>
      </c>
      <c r="DH71" s="248" t="str">
        <f t="shared" si="216"/>
        <v/>
      </c>
      <c r="DI71" s="193"/>
      <c r="DL71" s="242" t="str">
        <f t="shared" si="245"/>
        <v/>
      </c>
      <c r="DM71" s="247" t="str">
        <f t="shared" si="189"/>
        <v/>
      </c>
      <c r="DN71" s="248" t="str">
        <f t="shared" si="217"/>
        <v/>
      </c>
      <c r="DO71" s="193"/>
      <c r="DR71" s="242" t="str">
        <f t="shared" si="246"/>
        <v/>
      </c>
      <c r="DS71" s="247" t="str">
        <f t="shared" si="190"/>
        <v/>
      </c>
      <c r="DT71" s="248" t="str">
        <f t="shared" si="218"/>
        <v/>
      </c>
      <c r="DU71" s="193"/>
      <c r="DX71" s="242" t="str">
        <f t="shared" si="247"/>
        <v/>
      </c>
      <c r="DY71" s="247" t="str">
        <f t="shared" si="191"/>
        <v/>
      </c>
      <c r="DZ71" s="248" t="str">
        <f t="shared" si="219"/>
        <v/>
      </c>
      <c r="EA71" s="193"/>
      <c r="ED71" s="242" t="str">
        <f t="shared" si="248"/>
        <v/>
      </c>
      <c r="EE71" s="247" t="str">
        <f t="shared" si="192"/>
        <v/>
      </c>
      <c r="EF71" s="248" t="str">
        <f t="shared" si="220"/>
        <v/>
      </c>
      <c r="EG71" s="193"/>
      <c r="EJ71" s="242" t="str">
        <f t="shared" si="249"/>
        <v/>
      </c>
      <c r="EK71" s="247" t="str">
        <f t="shared" si="193"/>
        <v/>
      </c>
      <c r="EL71" s="248" t="str">
        <f t="shared" si="221"/>
        <v/>
      </c>
      <c r="EM71" s="193"/>
      <c r="EP71" s="242" t="str">
        <f t="shared" si="250"/>
        <v/>
      </c>
      <c r="EQ71" s="247" t="str">
        <f t="shared" si="194"/>
        <v/>
      </c>
      <c r="ER71" s="248" t="str">
        <f t="shared" si="222"/>
        <v/>
      </c>
      <c r="ES71" s="193"/>
      <c r="EV71" s="242" t="str">
        <f t="shared" si="251"/>
        <v/>
      </c>
      <c r="EW71" s="247" t="str">
        <f t="shared" si="195"/>
        <v/>
      </c>
      <c r="EX71" s="248" t="str">
        <f t="shared" si="223"/>
        <v/>
      </c>
      <c r="EY71" s="193"/>
      <c r="FB71" s="242" t="str">
        <f t="shared" si="252"/>
        <v/>
      </c>
      <c r="FC71" s="247" t="str">
        <f t="shared" si="196"/>
        <v/>
      </c>
      <c r="FD71" s="248" t="str">
        <f t="shared" si="224"/>
        <v/>
      </c>
      <c r="FE71" s="193"/>
      <c r="FH71" s="242" t="str">
        <f t="shared" si="253"/>
        <v/>
      </c>
      <c r="FI71" s="247" t="str">
        <f t="shared" si="197"/>
        <v/>
      </c>
      <c r="FJ71" s="248" t="str">
        <f t="shared" si="225"/>
        <v/>
      </c>
      <c r="FK71" s="193"/>
      <c r="FN71" s="242" t="str">
        <f t="shared" si="254"/>
        <v/>
      </c>
      <c r="FO71" s="247" t="str">
        <f t="shared" si="198"/>
        <v/>
      </c>
      <c r="FP71" s="248" t="str">
        <f t="shared" si="226"/>
        <v/>
      </c>
      <c r="FQ71" s="193"/>
    </row>
    <row r="72" spans="6:173" ht="15.75" thickBot="1" x14ac:dyDescent="0.3">
      <c r="H72" s="194" t="str">
        <f t="shared" si="227"/>
        <v/>
      </c>
      <c r="I72" s="5"/>
      <c r="J72" s="195" t="str">
        <f t="shared" si="199"/>
        <v/>
      </c>
      <c r="N72" s="194" t="str">
        <f t="shared" si="228"/>
        <v/>
      </c>
      <c r="O72" s="5"/>
      <c r="P72" s="195" t="str">
        <f t="shared" si="200"/>
        <v/>
      </c>
      <c r="T72" s="194" t="str">
        <f t="shared" si="229"/>
        <v/>
      </c>
      <c r="U72" s="5"/>
      <c r="V72" s="195" t="str">
        <f t="shared" si="201"/>
        <v/>
      </c>
      <c r="Z72" s="194" t="str">
        <f t="shared" si="230"/>
        <v/>
      </c>
      <c r="AA72" s="5"/>
      <c r="AB72" s="195" t="str">
        <f t="shared" si="202"/>
        <v/>
      </c>
      <c r="AF72" s="194" t="str">
        <f t="shared" si="231"/>
        <v/>
      </c>
      <c r="AG72" s="5"/>
      <c r="AH72" s="195" t="str">
        <f t="shared" si="203"/>
        <v/>
      </c>
      <c r="AL72" s="194" t="str">
        <f t="shared" si="232"/>
        <v/>
      </c>
      <c r="AM72" s="5"/>
      <c r="AN72" s="195" t="str">
        <f t="shared" si="204"/>
        <v/>
      </c>
      <c r="AR72" s="194" t="str">
        <f t="shared" si="233"/>
        <v/>
      </c>
      <c r="AS72" s="5"/>
      <c r="AT72" s="195" t="str">
        <f t="shared" si="205"/>
        <v/>
      </c>
      <c r="AX72" s="194" t="str">
        <f t="shared" si="234"/>
        <v/>
      </c>
      <c r="AY72" s="5"/>
      <c r="AZ72" s="195" t="str">
        <f t="shared" si="206"/>
        <v/>
      </c>
      <c r="BD72" s="194" t="str">
        <f t="shared" si="235"/>
        <v/>
      </c>
      <c r="BE72" s="5"/>
      <c r="BF72" s="195" t="str">
        <f t="shared" si="207"/>
        <v/>
      </c>
      <c r="BJ72" s="194" t="str">
        <f t="shared" si="236"/>
        <v/>
      </c>
      <c r="BK72" s="5"/>
      <c r="BL72" s="195" t="str">
        <f t="shared" si="208"/>
        <v/>
      </c>
      <c r="BP72" s="194" t="str">
        <f t="shared" si="237"/>
        <v/>
      </c>
      <c r="BQ72" s="5"/>
      <c r="BR72" s="195" t="str">
        <f t="shared" si="209"/>
        <v/>
      </c>
      <c r="BV72" s="194" t="str">
        <f t="shared" si="238"/>
        <v/>
      </c>
      <c r="BW72" s="5"/>
      <c r="BX72" s="195" t="str">
        <f t="shared" si="210"/>
        <v/>
      </c>
      <c r="CB72" s="194" t="str">
        <f t="shared" si="239"/>
        <v/>
      </c>
      <c r="CC72" s="5"/>
      <c r="CD72" s="195" t="str">
        <f t="shared" si="211"/>
        <v/>
      </c>
      <c r="CH72" s="194" t="str">
        <f t="shared" si="240"/>
        <v/>
      </c>
      <c r="CI72" s="5"/>
      <c r="CJ72" s="195" t="str">
        <f t="shared" si="212"/>
        <v/>
      </c>
      <c r="CN72" s="194" t="str">
        <f t="shared" si="241"/>
        <v/>
      </c>
      <c r="CO72" s="5"/>
      <c r="CP72" s="195" t="str">
        <f t="shared" si="213"/>
        <v/>
      </c>
      <c r="CT72" s="194" t="str">
        <f t="shared" si="242"/>
        <v/>
      </c>
      <c r="CU72" s="5"/>
      <c r="CV72" s="195" t="str">
        <f t="shared" si="214"/>
        <v/>
      </c>
      <c r="CZ72" s="194" t="str">
        <f t="shared" si="243"/>
        <v/>
      </c>
      <c r="DA72" s="5"/>
      <c r="DB72" s="195" t="str">
        <f t="shared" si="215"/>
        <v/>
      </c>
      <c r="DF72" s="194" t="str">
        <f t="shared" si="244"/>
        <v/>
      </c>
      <c r="DG72" s="5"/>
      <c r="DH72" s="195" t="str">
        <f t="shared" si="216"/>
        <v/>
      </c>
      <c r="DL72" s="194" t="str">
        <f t="shared" si="245"/>
        <v/>
      </c>
      <c r="DM72" s="5"/>
      <c r="DN72" s="195" t="str">
        <f t="shared" si="217"/>
        <v/>
      </c>
      <c r="DR72" s="194" t="str">
        <f t="shared" si="246"/>
        <v/>
      </c>
      <c r="DS72" s="5"/>
      <c r="DT72" s="195" t="str">
        <f t="shared" si="218"/>
        <v/>
      </c>
      <c r="DX72" s="194" t="str">
        <f t="shared" si="247"/>
        <v/>
      </c>
      <c r="DY72" s="5"/>
      <c r="DZ72" s="195" t="str">
        <f t="shared" si="219"/>
        <v/>
      </c>
      <c r="ED72" s="194" t="str">
        <f t="shared" si="248"/>
        <v/>
      </c>
      <c r="EE72" s="5"/>
      <c r="EF72" s="195" t="str">
        <f t="shared" si="220"/>
        <v/>
      </c>
      <c r="EJ72" s="194" t="str">
        <f t="shared" si="249"/>
        <v/>
      </c>
      <c r="EK72" s="5"/>
      <c r="EL72" s="195" t="str">
        <f t="shared" si="221"/>
        <v/>
      </c>
      <c r="EP72" s="194" t="str">
        <f t="shared" si="250"/>
        <v/>
      </c>
      <c r="EQ72" s="5"/>
      <c r="ER72" s="195" t="str">
        <f t="shared" si="222"/>
        <v/>
      </c>
      <c r="EV72" s="194" t="str">
        <f t="shared" si="251"/>
        <v/>
      </c>
      <c r="EW72" s="5"/>
      <c r="EX72" s="195" t="str">
        <f t="shared" si="223"/>
        <v/>
      </c>
      <c r="FB72" s="194" t="str">
        <f t="shared" si="252"/>
        <v/>
      </c>
      <c r="FC72" s="5"/>
      <c r="FD72" s="195" t="str">
        <f t="shared" si="224"/>
        <v/>
      </c>
      <c r="FH72" s="194" t="str">
        <f t="shared" si="253"/>
        <v/>
      </c>
      <c r="FI72" s="5"/>
      <c r="FJ72" s="195" t="str">
        <f t="shared" si="225"/>
        <v/>
      </c>
      <c r="FN72" s="194" t="str">
        <f t="shared" si="254"/>
        <v/>
      </c>
      <c r="FO72" s="5"/>
      <c r="FP72" s="195" t="str">
        <f t="shared" si="226"/>
        <v/>
      </c>
    </row>
    <row r="73" spans="6:173" x14ac:dyDescent="0.25">
      <c r="M73" s="16"/>
      <c r="S73" s="16"/>
      <c r="AK73" s="16"/>
      <c r="AQ73" s="16"/>
    </row>
    <row r="74" spans="6:173" ht="15.75" thickBot="1" x14ac:dyDescent="0.3">
      <c r="L74" s="16"/>
      <c r="M74" s="16"/>
      <c r="R74" s="16"/>
      <c r="S74" s="16"/>
      <c r="U74" s="16"/>
      <c r="V74" s="16"/>
      <c r="AD74" s="16"/>
      <c r="AE74" s="16"/>
      <c r="AH74" s="16"/>
      <c r="AI74" s="16"/>
      <c r="AN74" s="16"/>
      <c r="AO74" s="16"/>
      <c r="AQ74" s="16"/>
      <c r="AR74" s="16"/>
    </row>
    <row r="75" spans="6:173" ht="105.75" thickBot="1" x14ac:dyDescent="0.3">
      <c r="F75" s="196"/>
      <c r="G75" s="15"/>
      <c r="H75" s="251" t="s">
        <v>236</v>
      </c>
      <c r="I75" s="239" t="s">
        <v>88</v>
      </c>
      <c r="J75" s="239" t="s">
        <v>234</v>
      </c>
      <c r="K75" s="239" t="s">
        <v>86</v>
      </c>
      <c r="L75" s="239" t="s">
        <v>235</v>
      </c>
      <c r="M75" s="241" t="s">
        <v>89</v>
      </c>
      <c r="N75" s="16"/>
      <c r="O75" s="251" t="s">
        <v>233</v>
      </c>
      <c r="P75" s="240" t="s">
        <v>87</v>
      </c>
      <c r="Q75" s="240" t="s">
        <v>11</v>
      </c>
      <c r="R75" s="241" t="s">
        <v>234</v>
      </c>
      <c r="S75" s="239" t="s">
        <v>237</v>
      </c>
      <c r="T75" s="239" t="s">
        <v>241</v>
      </c>
      <c r="V75" s="251" t="s">
        <v>242</v>
      </c>
      <c r="W75" s="239" t="s">
        <v>6</v>
      </c>
      <c r="X75" s="239" t="s">
        <v>15</v>
      </c>
      <c r="Y75" s="239" t="s">
        <v>16</v>
      </c>
      <c r="Z75" s="239" t="s">
        <v>243</v>
      </c>
      <c r="AF75" s="16"/>
      <c r="AK75" s="16"/>
      <c r="AL75" s="16"/>
      <c r="AN75" s="16"/>
      <c r="AO75" s="16"/>
    </row>
    <row r="76" spans="6:173" x14ac:dyDescent="0.25">
      <c r="F76" s="196"/>
      <c r="G76" s="16"/>
      <c r="H76" s="104">
        <f>RANK(I76,I$76:I$103)</f>
        <v>1</v>
      </c>
      <c r="I76" s="17">
        <f>$E$32</f>
        <v>0</v>
      </c>
      <c r="J76" s="17" t="str">
        <f>E1</f>
        <v/>
      </c>
      <c r="K76" s="17" t="e">
        <f>IF(COUNTIF(I$76:I$103,I76)&gt;1, RANK(J76,J$76:J$103,1)/100, "")</f>
        <v>#VALUE!</v>
      </c>
      <c r="L76" s="17" t="e">
        <f>IF(ISNUMBER(K76), K76+I76, IF(K76="", I76, ""))</f>
        <v>#VALUE!</v>
      </c>
      <c r="M76" s="106" t="e">
        <f t="shared" ref="M76:M103" si="255">RANK(L76,L$76:L$103)</f>
        <v>#VALUE!</v>
      </c>
      <c r="N76" s="16"/>
      <c r="O76" s="178">
        <v>0</v>
      </c>
      <c r="P76" s="179">
        <v>1</v>
      </c>
      <c r="Q76" s="179" t="e">
        <f t="shared" ref="Q76:Q103" si="256">INDEX(I$76:I$103,MATCH(P76,M$76:M$103,0))</f>
        <v>#N/A</v>
      </c>
      <c r="R76" s="133"/>
      <c r="S76" s="255" t="e">
        <f ca="1">RANDBETWEEN(0,$O$105-1)</f>
        <v>#VALUE!</v>
      </c>
      <c r="T76" s="189" t="e">
        <f ca="1">INDEX($R$77:$R$104, MATCH($S76,$O$76:$O$103,1))</f>
        <v>#VALUE!</v>
      </c>
      <c r="V76" s="178" t="str">
        <f>E1</f>
        <v/>
      </c>
      <c r="W76" s="179" t="str">
        <f>$L$62</f>
        <v/>
      </c>
      <c r="X76" s="179" t="str">
        <f>$L$63</f>
        <v/>
      </c>
      <c r="Y76" s="133" t="str">
        <f>$L$64</f>
        <v/>
      </c>
      <c r="Z76" s="189" t="e">
        <f ca="1">VLOOKUP(T76,V76:Y103,2,FALSE)</f>
        <v>#VALUE!</v>
      </c>
      <c r="AL76" s="16"/>
      <c r="AM76" s="16"/>
      <c r="AN76" s="16"/>
    </row>
    <row r="77" spans="6:173" x14ac:dyDescent="0.25">
      <c r="G77" s="16"/>
      <c r="H77" s="107">
        <f t="shared" ref="H77:H103" si="257">RANK(I77,I$76:I$103)</f>
        <v>1</v>
      </c>
      <c r="I77" s="93">
        <f>$F$32</f>
        <v>0</v>
      </c>
      <c r="J77" s="93" t="e">
        <f>J76+1</f>
        <v>#VALUE!</v>
      </c>
      <c r="K77" s="93" t="e">
        <f t="shared" ref="K77:K103" si="258">IF(COUNTIF(I$76:I$103,I77)&gt;1, RANK(J77,J$76:J$103,1)/100, "")</f>
        <v>#VALUE!</v>
      </c>
      <c r="L77" s="93" t="e">
        <f t="shared" ref="L77:L103" si="259">IF(ISNUMBER(K77), K77+I77, IF(K77="", I77, ""))</f>
        <v>#VALUE!</v>
      </c>
      <c r="M77" s="109" t="e">
        <f t="shared" si="255"/>
        <v>#VALUE!</v>
      </c>
      <c r="O77" s="107" t="str">
        <f>IF(ISNUMBER(Q76), Q76, "")</f>
        <v/>
      </c>
      <c r="P77" s="93">
        <v>2</v>
      </c>
      <c r="Q77" s="93" t="e">
        <f t="shared" si="256"/>
        <v>#N/A</v>
      </c>
      <c r="R77" s="109" t="e">
        <f t="shared" ref="R77:R103" si="260">INDEX(J$76:J$103,MATCH(P76,M$76:M$103,0))</f>
        <v>#N/A</v>
      </c>
      <c r="S77" s="256"/>
      <c r="T77" s="248"/>
      <c r="V77" s="107" t="e">
        <f>V76+1</f>
        <v>#VALUE!</v>
      </c>
      <c r="W77" s="93" t="str">
        <f>$R$62</f>
        <v/>
      </c>
      <c r="X77" s="93" t="str">
        <f>$R$63</f>
        <v/>
      </c>
      <c r="Y77" s="109" t="str">
        <f>$R$64</f>
        <v/>
      </c>
      <c r="Z77" s="248"/>
      <c r="AF77" s="18"/>
    </row>
    <row r="78" spans="6:173" x14ac:dyDescent="0.25">
      <c r="G78" s="183"/>
      <c r="H78" s="104">
        <f t="shared" si="257"/>
        <v>1</v>
      </c>
      <c r="I78" s="17">
        <f>$G$32</f>
        <v>0</v>
      </c>
      <c r="J78" s="17" t="e">
        <f t="shared" ref="J78:J103" si="261">J77+1</f>
        <v>#VALUE!</v>
      </c>
      <c r="K78" s="17" t="e">
        <f t="shared" si="258"/>
        <v>#VALUE!</v>
      </c>
      <c r="L78" s="17" t="e">
        <f t="shared" si="259"/>
        <v>#VALUE!</v>
      </c>
      <c r="M78" s="106" t="e">
        <f t="shared" si="255"/>
        <v>#VALUE!</v>
      </c>
      <c r="O78" s="104" t="str">
        <f t="shared" ref="O78:O103" si="262">IF(ISNUMBER(O77), O77+Q77,"")</f>
        <v/>
      </c>
      <c r="P78" s="17">
        <v>3</v>
      </c>
      <c r="Q78" s="17" t="e">
        <f t="shared" si="256"/>
        <v>#N/A</v>
      </c>
      <c r="R78" s="106" t="e">
        <f t="shared" si="260"/>
        <v>#N/A</v>
      </c>
      <c r="S78" s="257" t="e">
        <f ca="1">RANDBETWEEN(0,$O$105-1)</f>
        <v>#VALUE!</v>
      </c>
      <c r="T78" s="190" t="e">
        <f ca="1">INDEX($R$77:$R$104, MATCH($S78,$O$76:$O$103,1))</f>
        <v>#VALUE!</v>
      </c>
      <c r="V78" s="104" t="e">
        <f t="shared" ref="V78:V103" si="263">V77+1</f>
        <v>#VALUE!</v>
      </c>
      <c r="W78" s="17" t="str">
        <f>$X$62</f>
        <v/>
      </c>
      <c r="X78" s="17" t="str">
        <f>$X$63</f>
        <v/>
      </c>
      <c r="Y78" s="106" t="str">
        <f>$X$64</f>
        <v/>
      </c>
      <c r="Z78" s="190" t="e">
        <f ca="1">VLOOKUP(T78,V76:Y103,3,FALSE)</f>
        <v>#VALUE!</v>
      </c>
      <c r="AF78" s="18"/>
    </row>
    <row r="79" spans="6:173" x14ac:dyDescent="0.25">
      <c r="G79" s="183"/>
      <c r="H79" s="107">
        <f t="shared" si="257"/>
        <v>1</v>
      </c>
      <c r="I79" s="93">
        <f>$H$32</f>
        <v>0</v>
      </c>
      <c r="J79" s="93" t="e">
        <f t="shared" si="261"/>
        <v>#VALUE!</v>
      </c>
      <c r="K79" s="93" t="e">
        <f t="shared" si="258"/>
        <v>#VALUE!</v>
      </c>
      <c r="L79" s="93" t="e">
        <f t="shared" si="259"/>
        <v>#VALUE!</v>
      </c>
      <c r="M79" s="109" t="e">
        <f t="shared" si="255"/>
        <v>#VALUE!</v>
      </c>
      <c r="O79" s="107" t="str">
        <f t="shared" si="262"/>
        <v/>
      </c>
      <c r="P79" s="93">
        <v>4</v>
      </c>
      <c r="Q79" s="93" t="e">
        <f t="shared" si="256"/>
        <v>#N/A</v>
      </c>
      <c r="R79" s="109" t="e">
        <f t="shared" si="260"/>
        <v>#N/A</v>
      </c>
      <c r="S79" s="256"/>
      <c r="T79" s="248"/>
      <c r="V79" s="107" t="e">
        <f t="shared" si="263"/>
        <v>#VALUE!</v>
      </c>
      <c r="W79" s="93" t="str">
        <f>$AD$62</f>
        <v/>
      </c>
      <c r="X79" s="93" t="str">
        <f>$AD$63</f>
        <v/>
      </c>
      <c r="Y79" s="109" t="str">
        <f>$AD$64</f>
        <v/>
      </c>
      <c r="Z79" s="248"/>
    </row>
    <row r="80" spans="6:173" ht="15.75" thickBot="1" x14ac:dyDescent="0.3">
      <c r="G80" s="183"/>
      <c r="H80" s="104">
        <f t="shared" si="257"/>
        <v>1</v>
      </c>
      <c r="I80" s="17">
        <f>$I$32</f>
        <v>0</v>
      </c>
      <c r="J80" s="17" t="e">
        <f t="shared" si="261"/>
        <v>#VALUE!</v>
      </c>
      <c r="K80" s="17" t="e">
        <f t="shared" si="258"/>
        <v>#VALUE!</v>
      </c>
      <c r="L80" s="17" t="e">
        <f t="shared" si="259"/>
        <v>#VALUE!</v>
      </c>
      <c r="M80" s="106" t="e">
        <f t="shared" si="255"/>
        <v>#VALUE!</v>
      </c>
      <c r="O80" s="104" t="str">
        <f t="shared" si="262"/>
        <v/>
      </c>
      <c r="P80" s="17">
        <v>5</v>
      </c>
      <c r="Q80" s="17" t="e">
        <f t="shared" si="256"/>
        <v>#N/A</v>
      </c>
      <c r="R80" s="106" t="e">
        <f t="shared" si="260"/>
        <v>#N/A</v>
      </c>
      <c r="S80" s="258" t="e">
        <f ca="1">RANDBETWEEN(0,$O$105-1)</f>
        <v>#VALUE!</v>
      </c>
      <c r="T80" s="192" t="e">
        <f ca="1">INDEX($R$77:$R$104, MATCH($S80,$O$76:$O$103,1))</f>
        <v>#VALUE!</v>
      </c>
      <c r="V80" s="104" t="e">
        <f t="shared" si="263"/>
        <v>#VALUE!</v>
      </c>
      <c r="W80" s="17" t="str">
        <f>$AJ$62</f>
        <v/>
      </c>
      <c r="X80" s="17" t="str">
        <f>$AJ$63</f>
        <v/>
      </c>
      <c r="Y80" s="106" t="str">
        <f>$AJ$64</f>
        <v/>
      </c>
      <c r="Z80" s="192" t="e">
        <f ca="1">VLOOKUP(T80,V76:Y103,4,FALSE)</f>
        <v>#VALUE!</v>
      </c>
    </row>
    <row r="81" spans="7:25" x14ac:dyDescent="0.25">
      <c r="G81" s="183"/>
      <c r="H81" s="107">
        <f t="shared" si="257"/>
        <v>1</v>
      </c>
      <c r="I81" s="93">
        <f>$J$32</f>
        <v>0</v>
      </c>
      <c r="J81" s="93" t="e">
        <f t="shared" si="261"/>
        <v>#VALUE!</v>
      </c>
      <c r="K81" s="93" t="e">
        <f t="shared" si="258"/>
        <v>#VALUE!</v>
      </c>
      <c r="L81" s="93" t="e">
        <f t="shared" si="259"/>
        <v>#VALUE!</v>
      </c>
      <c r="M81" s="109" t="e">
        <f t="shared" si="255"/>
        <v>#VALUE!</v>
      </c>
      <c r="O81" s="107" t="str">
        <f t="shared" si="262"/>
        <v/>
      </c>
      <c r="P81" s="93">
        <v>6</v>
      </c>
      <c r="Q81" s="93" t="e">
        <f t="shared" si="256"/>
        <v>#N/A</v>
      </c>
      <c r="R81" s="109" t="e">
        <f t="shared" si="260"/>
        <v>#N/A</v>
      </c>
      <c r="S81" s="104"/>
      <c r="T81" s="17"/>
      <c r="V81" s="107" t="e">
        <f t="shared" si="263"/>
        <v>#VALUE!</v>
      </c>
      <c r="W81" s="93" t="str">
        <f>$AP$62</f>
        <v/>
      </c>
      <c r="X81" s="93" t="str">
        <f>$AP$63</f>
        <v/>
      </c>
      <c r="Y81" s="109" t="str">
        <f>$AP$64</f>
        <v/>
      </c>
    </row>
    <row r="82" spans="7:25" x14ac:dyDescent="0.25">
      <c r="G82" s="183"/>
      <c r="H82" s="104">
        <f t="shared" si="257"/>
        <v>1</v>
      </c>
      <c r="I82" s="17">
        <f>$K$32</f>
        <v>0</v>
      </c>
      <c r="J82" s="17" t="e">
        <f t="shared" si="261"/>
        <v>#VALUE!</v>
      </c>
      <c r="K82" s="17" t="e">
        <f t="shared" si="258"/>
        <v>#VALUE!</v>
      </c>
      <c r="L82" s="17" t="e">
        <f t="shared" si="259"/>
        <v>#VALUE!</v>
      </c>
      <c r="M82" s="106" t="e">
        <f t="shared" si="255"/>
        <v>#VALUE!</v>
      </c>
      <c r="O82" s="104" t="str">
        <f t="shared" si="262"/>
        <v/>
      </c>
      <c r="P82" s="17">
        <v>7</v>
      </c>
      <c r="Q82" s="17" t="e">
        <f t="shared" si="256"/>
        <v>#N/A</v>
      </c>
      <c r="R82" s="106" t="e">
        <f t="shared" si="260"/>
        <v>#N/A</v>
      </c>
      <c r="S82" s="104"/>
      <c r="T82" s="17"/>
      <c r="V82" s="104" t="e">
        <f t="shared" si="263"/>
        <v>#VALUE!</v>
      </c>
      <c r="W82" s="17" t="str">
        <f>$AV$62</f>
        <v/>
      </c>
      <c r="X82" s="17" t="str">
        <f>$AV$63</f>
        <v/>
      </c>
      <c r="Y82" s="106" t="str">
        <f>$AV$64</f>
        <v/>
      </c>
    </row>
    <row r="83" spans="7:25" x14ac:dyDescent="0.25">
      <c r="G83" s="183"/>
      <c r="H83" s="107">
        <f t="shared" si="257"/>
        <v>1</v>
      </c>
      <c r="I83" s="93">
        <f>$L$32</f>
        <v>0</v>
      </c>
      <c r="J83" s="93" t="e">
        <f t="shared" si="261"/>
        <v>#VALUE!</v>
      </c>
      <c r="K83" s="93" t="e">
        <f t="shared" si="258"/>
        <v>#VALUE!</v>
      </c>
      <c r="L83" s="93" t="e">
        <f t="shared" si="259"/>
        <v>#VALUE!</v>
      </c>
      <c r="M83" s="109" t="e">
        <f t="shared" si="255"/>
        <v>#VALUE!</v>
      </c>
      <c r="O83" s="107" t="str">
        <f t="shared" si="262"/>
        <v/>
      </c>
      <c r="P83" s="93">
        <v>8</v>
      </c>
      <c r="Q83" s="93" t="e">
        <f t="shared" si="256"/>
        <v>#N/A</v>
      </c>
      <c r="R83" s="109" t="e">
        <f t="shared" si="260"/>
        <v>#N/A</v>
      </c>
      <c r="S83" s="104"/>
      <c r="T83" s="17"/>
      <c r="V83" s="107" t="e">
        <f t="shared" si="263"/>
        <v>#VALUE!</v>
      </c>
      <c r="W83" s="93" t="str">
        <f>$BB$62</f>
        <v/>
      </c>
      <c r="X83" s="93" t="str">
        <f>$BB$63</f>
        <v/>
      </c>
      <c r="Y83" s="109" t="str">
        <f>$BB$64</f>
        <v/>
      </c>
    </row>
    <row r="84" spans="7:25" x14ac:dyDescent="0.25">
      <c r="G84" s="183"/>
      <c r="H84" s="104">
        <f t="shared" si="257"/>
        <v>1</v>
      </c>
      <c r="I84" s="17">
        <f>$M$32</f>
        <v>0</v>
      </c>
      <c r="J84" s="17" t="e">
        <f t="shared" si="261"/>
        <v>#VALUE!</v>
      </c>
      <c r="K84" s="17" t="e">
        <f t="shared" si="258"/>
        <v>#VALUE!</v>
      </c>
      <c r="L84" s="17" t="e">
        <f t="shared" si="259"/>
        <v>#VALUE!</v>
      </c>
      <c r="M84" s="106" t="e">
        <f t="shared" si="255"/>
        <v>#VALUE!</v>
      </c>
      <c r="O84" s="104" t="str">
        <f t="shared" si="262"/>
        <v/>
      </c>
      <c r="P84" s="17">
        <v>9</v>
      </c>
      <c r="Q84" s="17" t="e">
        <f t="shared" si="256"/>
        <v>#N/A</v>
      </c>
      <c r="R84" s="106" t="e">
        <f t="shared" si="260"/>
        <v>#N/A</v>
      </c>
      <c r="S84" s="104"/>
      <c r="T84" s="17"/>
      <c r="V84" s="104" t="e">
        <f t="shared" si="263"/>
        <v>#VALUE!</v>
      </c>
      <c r="W84" s="17" t="str">
        <f>$BH$62</f>
        <v/>
      </c>
      <c r="X84" s="17" t="str">
        <f>$BH$63</f>
        <v/>
      </c>
      <c r="Y84" s="106" t="str">
        <f>$BH$64</f>
        <v/>
      </c>
    </row>
    <row r="85" spans="7:25" x14ac:dyDescent="0.25">
      <c r="G85" s="183"/>
      <c r="H85" s="107">
        <f t="shared" si="257"/>
        <v>1</v>
      </c>
      <c r="I85" s="93">
        <f>$N$32</f>
        <v>0</v>
      </c>
      <c r="J85" s="93" t="e">
        <f t="shared" si="261"/>
        <v>#VALUE!</v>
      </c>
      <c r="K85" s="93" t="e">
        <f t="shared" si="258"/>
        <v>#VALUE!</v>
      </c>
      <c r="L85" s="93" t="e">
        <f t="shared" si="259"/>
        <v>#VALUE!</v>
      </c>
      <c r="M85" s="109" t="e">
        <f t="shared" si="255"/>
        <v>#VALUE!</v>
      </c>
      <c r="O85" s="107" t="str">
        <f t="shared" si="262"/>
        <v/>
      </c>
      <c r="P85" s="93">
        <v>10</v>
      </c>
      <c r="Q85" s="93" t="e">
        <f t="shared" si="256"/>
        <v>#N/A</v>
      </c>
      <c r="R85" s="109" t="e">
        <f t="shared" si="260"/>
        <v>#N/A</v>
      </c>
      <c r="S85" s="104"/>
      <c r="T85" s="17"/>
      <c r="V85" s="107" t="e">
        <f t="shared" si="263"/>
        <v>#VALUE!</v>
      </c>
      <c r="W85" s="93" t="str">
        <f>$BB$62</f>
        <v/>
      </c>
      <c r="X85" s="93" t="str">
        <f>$BB$63</f>
        <v/>
      </c>
      <c r="Y85" s="109" t="str">
        <f>$BB$64</f>
        <v/>
      </c>
    </row>
    <row r="86" spans="7:25" x14ac:dyDescent="0.25">
      <c r="G86" s="183"/>
      <c r="H86" s="104">
        <f t="shared" si="257"/>
        <v>1</v>
      </c>
      <c r="I86" s="17">
        <f>$O$32</f>
        <v>0</v>
      </c>
      <c r="J86" s="17" t="e">
        <f t="shared" si="261"/>
        <v>#VALUE!</v>
      </c>
      <c r="K86" s="17" t="e">
        <f t="shared" si="258"/>
        <v>#VALUE!</v>
      </c>
      <c r="L86" s="17" t="e">
        <f t="shared" si="259"/>
        <v>#VALUE!</v>
      </c>
      <c r="M86" s="106" t="e">
        <f t="shared" si="255"/>
        <v>#VALUE!</v>
      </c>
      <c r="O86" s="104" t="str">
        <f t="shared" si="262"/>
        <v/>
      </c>
      <c r="P86" s="17">
        <v>11</v>
      </c>
      <c r="Q86" s="17" t="e">
        <f t="shared" si="256"/>
        <v>#N/A</v>
      </c>
      <c r="R86" s="106" t="e">
        <f t="shared" si="260"/>
        <v>#N/A</v>
      </c>
      <c r="S86" s="104"/>
      <c r="T86" s="17"/>
      <c r="V86" s="104" t="e">
        <f t="shared" si="263"/>
        <v>#VALUE!</v>
      </c>
      <c r="W86" s="17" t="str">
        <f>$BT$62</f>
        <v/>
      </c>
      <c r="X86" s="17" t="str">
        <f>$BT$63</f>
        <v/>
      </c>
      <c r="Y86" s="106" t="str">
        <f>$BT$64</f>
        <v/>
      </c>
    </row>
    <row r="87" spans="7:25" x14ac:dyDescent="0.25">
      <c r="G87" s="183"/>
      <c r="H87" s="107">
        <f t="shared" si="257"/>
        <v>1</v>
      </c>
      <c r="I87" s="93">
        <f>$P$32</f>
        <v>0</v>
      </c>
      <c r="J87" s="93" t="e">
        <f t="shared" si="261"/>
        <v>#VALUE!</v>
      </c>
      <c r="K87" s="93" t="e">
        <f t="shared" si="258"/>
        <v>#VALUE!</v>
      </c>
      <c r="L87" s="93" t="e">
        <f t="shared" si="259"/>
        <v>#VALUE!</v>
      </c>
      <c r="M87" s="109" t="e">
        <f t="shared" si="255"/>
        <v>#VALUE!</v>
      </c>
      <c r="O87" s="107" t="str">
        <f t="shared" si="262"/>
        <v/>
      </c>
      <c r="P87" s="93">
        <v>12</v>
      </c>
      <c r="Q87" s="93" t="e">
        <f t="shared" si="256"/>
        <v>#N/A</v>
      </c>
      <c r="R87" s="109" t="e">
        <f t="shared" si="260"/>
        <v>#N/A</v>
      </c>
      <c r="S87" s="104"/>
      <c r="T87" s="17"/>
      <c r="V87" s="107" t="e">
        <f t="shared" si="263"/>
        <v>#VALUE!</v>
      </c>
      <c r="W87" s="93" t="str">
        <f>$BZ$62</f>
        <v/>
      </c>
      <c r="X87" s="93" t="str">
        <f>$BZ$63</f>
        <v/>
      </c>
      <c r="Y87" s="109" t="str">
        <f>$BZ$64</f>
        <v/>
      </c>
    </row>
    <row r="88" spans="7:25" x14ac:dyDescent="0.25">
      <c r="G88" s="183"/>
      <c r="H88" s="104">
        <f t="shared" si="257"/>
        <v>1</v>
      </c>
      <c r="I88" s="17">
        <f>$Q$32</f>
        <v>0</v>
      </c>
      <c r="J88" s="17" t="e">
        <f t="shared" si="261"/>
        <v>#VALUE!</v>
      </c>
      <c r="K88" s="17" t="e">
        <f t="shared" si="258"/>
        <v>#VALUE!</v>
      </c>
      <c r="L88" s="17" t="e">
        <f t="shared" si="259"/>
        <v>#VALUE!</v>
      </c>
      <c r="M88" s="106" t="e">
        <f t="shared" si="255"/>
        <v>#VALUE!</v>
      </c>
      <c r="O88" s="104" t="str">
        <f t="shared" si="262"/>
        <v/>
      </c>
      <c r="P88" s="17">
        <v>13</v>
      </c>
      <c r="Q88" s="17" t="e">
        <f t="shared" si="256"/>
        <v>#N/A</v>
      </c>
      <c r="R88" s="106" t="e">
        <f t="shared" si="260"/>
        <v>#N/A</v>
      </c>
      <c r="S88" s="104"/>
      <c r="T88" s="17"/>
      <c r="V88" s="104" t="e">
        <f t="shared" si="263"/>
        <v>#VALUE!</v>
      </c>
      <c r="W88" s="17" t="str">
        <f>$CF$62</f>
        <v/>
      </c>
      <c r="X88" s="17" t="str">
        <f>$CF$63</f>
        <v/>
      </c>
      <c r="Y88" s="106" t="str">
        <f>$CF$64</f>
        <v/>
      </c>
    </row>
    <row r="89" spans="7:25" x14ac:dyDescent="0.25">
      <c r="G89" s="183"/>
      <c r="H89" s="107">
        <f t="shared" si="257"/>
        <v>1</v>
      </c>
      <c r="I89" s="93">
        <f>$R$32</f>
        <v>0</v>
      </c>
      <c r="J89" s="93" t="e">
        <f t="shared" si="261"/>
        <v>#VALUE!</v>
      </c>
      <c r="K89" s="93" t="e">
        <f t="shared" si="258"/>
        <v>#VALUE!</v>
      </c>
      <c r="L89" s="93" t="e">
        <f t="shared" si="259"/>
        <v>#VALUE!</v>
      </c>
      <c r="M89" s="109" t="e">
        <f t="shared" si="255"/>
        <v>#VALUE!</v>
      </c>
      <c r="O89" s="107" t="str">
        <f t="shared" si="262"/>
        <v/>
      </c>
      <c r="P89" s="93">
        <v>14</v>
      </c>
      <c r="Q89" s="93" t="e">
        <f t="shared" si="256"/>
        <v>#N/A</v>
      </c>
      <c r="R89" s="109" t="e">
        <f t="shared" si="260"/>
        <v>#N/A</v>
      </c>
      <c r="S89" s="104"/>
      <c r="T89" s="17"/>
      <c r="V89" s="107" t="e">
        <f t="shared" si="263"/>
        <v>#VALUE!</v>
      </c>
      <c r="W89" s="93" t="str">
        <f>$CL$62</f>
        <v/>
      </c>
      <c r="X89" s="93" t="str">
        <f>$CL$63</f>
        <v/>
      </c>
      <c r="Y89" s="109" t="str">
        <f>$CL$64</f>
        <v/>
      </c>
    </row>
    <row r="90" spans="7:25" x14ac:dyDescent="0.25">
      <c r="G90" s="183"/>
      <c r="H90" s="104">
        <f t="shared" si="257"/>
        <v>1</v>
      </c>
      <c r="I90" s="17">
        <f>$S$32</f>
        <v>0</v>
      </c>
      <c r="J90" s="17" t="e">
        <f t="shared" si="261"/>
        <v>#VALUE!</v>
      </c>
      <c r="K90" s="17" t="e">
        <f t="shared" si="258"/>
        <v>#VALUE!</v>
      </c>
      <c r="L90" s="17" t="e">
        <f t="shared" si="259"/>
        <v>#VALUE!</v>
      </c>
      <c r="M90" s="106" t="e">
        <f t="shared" si="255"/>
        <v>#VALUE!</v>
      </c>
      <c r="O90" s="104" t="str">
        <f t="shared" si="262"/>
        <v/>
      </c>
      <c r="P90" s="17">
        <v>15</v>
      </c>
      <c r="Q90" s="17" t="e">
        <f t="shared" si="256"/>
        <v>#N/A</v>
      </c>
      <c r="R90" s="106" t="e">
        <f t="shared" si="260"/>
        <v>#N/A</v>
      </c>
      <c r="S90" s="104"/>
      <c r="T90" s="17"/>
      <c r="V90" s="104" t="e">
        <f t="shared" si="263"/>
        <v>#VALUE!</v>
      </c>
      <c r="W90" s="17" t="str">
        <f>$CR$62</f>
        <v/>
      </c>
      <c r="X90" s="17" t="str">
        <f>$CR$63</f>
        <v/>
      </c>
      <c r="Y90" s="106" t="str">
        <f>$CR$64</f>
        <v/>
      </c>
    </row>
    <row r="91" spans="7:25" x14ac:dyDescent="0.25">
      <c r="G91" s="183"/>
      <c r="H91" s="107">
        <f t="shared" si="257"/>
        <v>1</v>
      </c>
      <c r="I91" s="93">
        <f>$T$32</f>
        <v>0</v>
      </c>
      <c r="J91" s="93" t="e">
        <f t="shared" si="261"/>
        <v>#VALUE!</v>
      </c>
      <c r="K91" s="93" t="e">
        <f t="shared" si="258"/>
        <v>#VALUE!</v>
      </c>
      <c r="L91" s="93" t="e">
        <f t="shared" si="259"/>
        <v>#VALUE!</v>
      </c>
      <c r="M91" s="109" t="e">
        <f t="shared" si="255"/>
        <v>#VALUE!</v>
      </c>
      <c r="O91" s="107" t="str">
        <f t="shared" si="262"/>
        <v/>
      </c>
      <c r="P91" s="93">
        <v>16</v>
      </c>
      <c r="Q91" s="93" t="e">
        <f t="shared" si="256"/>
        <v>#N/A</v>
      </c>
      <c r="R91" s="109" t="e">
        <f t="shared" si="260"/>
        <v>#N/A</v>
      </c>
      <c r="S91" s="104"/>
      <c r="T91" s="17"/>
      <c r="V91" s="107" t="e">
        <f t="shared" si="263"/>
        <v>#VALUE!</v>
      </c>
      <c r="W91" s="93" t="str">
        <f>$CX$62</f>
        <v/>
      </c>
      <c r="X91" s="93" t="str">
        <f>$CX$63</f>
        <v/>
      </c>
      <c r="Y91" s="109" t="str">
        <f>$CX$64</f>
        <v/>
      </c>
    </row>
    <row r="92" spans="7:25" x14ac:dyDescent="0.25">
      <c r="G92" s="183"/>
      <c r="H92" s="104">
        <f t="shared" si="257"/>
        <v>1</v>
      </c>
      <c r="I92" s="17">
        <f>$U$32</f>
        <v>0</v>
      </c>
      <c r="J92" s="17" t="e">
        <f t="shared" si="261"/>
        <v>#VALUE!</v>
      </c>
      <c r="K92" s="17" t="e">
        <f t="shared" si="258"/>
        <v>#VALUE!</v>
      </c>
      <c r="L92" s="17" t="e">
        <f t="shared" si="259"/>
        <v>#VALUE!</v>
      </c>
      <c r="M92" s="106" t="e">
        <f t="shared" si="255"/>
        <v>#VALUE!</v>
      </c>
      <c r="O92" s="104" t="str">
        <f t="shared" si="262"/>
        <v/>
      </c>
      <c r="P92" s="17">
        <v>17</v>
      </c>
      <c r="Q92" s="17" t="e">
        <f t="shared" si="256"/>
        <v>#N/A</v>
      </c>
      <c r="R92" s="106" t="e">
        <f t="shared" si="260"/>
        <v>#N/A</v>
      </c>
      <c r="S92" s="104"/>
      <c r="T92" s="17"/>
      <c r="V92" s="104" t="e">
        <f t="shared" si="263"/>
        <v>#VALUE!</v>
      </c>
      <c r="W92" s="17" t="str">
        <f>$DD$62</f>
        <v/>
      </c>
      <c r="X92" s="17" t="str">
        <f>$DD$63</f>
        <v/>
      </c>
      <c r="Y92" s="106" t="str">
        <f>$DD$64</f>
        <v/>
      </c>
    </row>
    <row r="93" spans="7:25" x14ac:dyDescent="0.25">
      <c r="G93" s="183"/>
      <c r="H93" s="107">
        <f t="shared" si="257"/>
        <v>1</v>
      </c>
      <c r="I93" s="93">
        <f>$V$32</f>
        <v>0</v>
      </c>
      <c r="J93" s="93" t="e">
        <f t="shared" si="261"/>
        <v>#VALUE!</v>
      </c>
      <c r="K93" s="93" t="e">
        <f t="shared" si="258"/>
        <v>#VALUE!</v>
      </c>
      <c r="L93" s="93" t="e">
        <f t="shared" si="259"/>
        <v>#VALUE!</v>
      </c>
      <c r="M93" s="109" t="e">
        <f t="shared" si="255"/>
        <v>#VALUE!</v>
      </c>
      <c r="O93" s="107" t="str">
        <f t="shared" si="262"/>
        <v/>
      </c>
      <c r="P93" s="93">
        <v>18</v>
      </c>
      <c r="Q93" s="93" t="e">
        <f t="shared" si="256"/>
        <v>#N/A</v>
      </c>
      <c r="R93" s="109" t="e">
        <f t="shared" si="260"/>
        <v>#N/A</v>
      </c>
      <c r="S93" s="104"/>
      <c r="T93" s="17"/>
      <c r="V93" s="107" t="e">
        <f t="shared" si="263"/>
        <v>#VALUE!</v>
      </c>
      <c r="W93" s="93" t="str">
        <f>$DJ$62</f>
        <v/>
      </c>
      <c r="X93" s="93" t="str">
        <f>$DJ$63</f>
        <v/>
      </c>
      <c r="Y93" s="109" t="str">
        <f>$DJ$64</f>
        <v/>
      </c>
    </row>
    <row r="94" spans="7:25" x14ac:dyDescent="0.25">
      <c r="G94" s="183"/>
      <c r="H94" s="104">
        <f t="shared" si="257"/>
        <v>1</v>
      </c>
      <c r="I94" s="17">
        <f>$W$32</f>
        <v>0</v>
      </c>
      <c r="J94" s="17" t="e">
        <f t="shared" si="261"/>
        <v>#VALUE!</v>
      </c>
      <c r="K94" s="17" t="e">
        <f t="shared" si="258"/>
        <v>#VALUE!</v>
      </c>
      <c r="L94" s="17" t="e">
        <f t="shared" si="259"/>
        <v>#VALUE!</v>
      </c>
      <c r="M94" s="106" t="e">
        <f t="shared" si="255"/>
        <v>#VALUE!</v>
      </c>
      <c r="O94" s="104" t="str">
        <f t="shared" si="262"/>
        <v/>
      </c>
      <c r="P94" s="17">
        <v>19</v>
      </c>
      <c r="Q94" s="17" t="e">
        <f t="shared" si="256"/>
        <v>#N/A</v>
      </c>
      <c r="R94" s="106" t="e">
        <f t="shared" si="260"/>
        <v>#N/A</v>
      </c>
      <c r="S94" s="104"/>
      <c r="T94" s="17"/>
      <c r="V94" s="104" t="e">
        <f t="shared" si="263"/>
        <v>#VALUE!</v>
      </c>
      <c r="W94" s="17" t="str">
        <f>$DP$62</f>
        <v/>
      </c>
      <c r="X94" s="17" t="str">
        <f>$DP$63</f>
        <v/>
      </c>
      <c r="Y94" s="106" t="str">
        <f>$DP$64</f>
        <v/>
      </c>
    </row>
    <row r="95" spans="7:25" x14ac:dyDescent="0.25">
      <c r="G95" s="183"/>
      <c r="H95" s="107">
        <f t="shared" si="257"/>
        <v>1</v>
      </c>
      <c r="I95" s="93">
        <f>$X$32</f>
        <v>0</v>
      </c>
      <c r="J95" s="93" t="e">
        <f t="shared" si="261"/>
        <v>#VALUE!</v>
      </c>
      <c r="K95" s="93" t="e">
        <f t="shared" si="258"/>
        <v>#VALUE!</v>
      </c>
      <c r="L95" s="93" t="e">
        <f t="shared" si="259"/>
        <v>#VALUE!</v>
      </c>
      <c r="M95" s="109" t="e">
        <f t="shared" si="255"/>
        <v>#VALUE!</v>
      </c>
      <c r="O95" s="107" t="str">
        <f t="shared" si="262"/>
        <v/>
      </c>
      <c r="P95" s="93">
        <v>20</v>
      </c>
      <c r="Q95" s="93" t="e">
        <f t="shared" si="256"/>
        <v>#N/A</v>
      </c>
      <c r="R95" s="109" t="e">
        <f t="shared" si="260"/>
        <v>#N/A</v>
      </c>
      <c r="S95" s="104"/>
      <c r="T95" s="17"/>
      <c r="V95" s="107" t="e">
        <f t="shared" si="263"/>
        <v>#VALUE!</v>
      </c>
      <c r="W95" s="93" t="str">
        <f>$DV$62</f>
        <v/>
      </c>
      <c r="X95" s="93" t="str">
        <f>$DV$63</f>
        <v/>
      </c>
      <c r="Y95" s="109" t="str">
        <f>$DV$64</f>
        <v/>
      </c>
    </row>
    <row r="96" spans="7:25" x14ac:dyDescent="0.25">
      <c r="G96" s="183"/>
      <c r="H96" s="104">
        <f t="shared" si="257"/>
        <v>1</v>
      </c>
      <c r="I96" s="17">
        <f>$Y$32</f>
        <v>0</v>
      </c>
      <c r="J96" s="17" t="e">
        <f t="shared" si="261"/>
        <v>#VALUE!</v>
      </c>
      <c r="K96" s="17" t="e">
        <f t="shared" si="258"/>
        <v>#VALUE!</v>
      </c>
      <c r="L96" s="17" t="e">
        <f t="shared" si="259"/>
        <v>#VALUE!</v>
      </c>
      <c r="M96" s="106" t="e">
        <f t="shared" si="255"/>
        <v>#VALUE!</v>
      </c>
      <c r="O96" s="104" t="str">
        <f t="shared" si="262"/>
        <v/>
      </c>
      <c r="P96" s="17">
        <v>21</v>
      </c>
      <c r="Q96" s="17" t="e">
        <f t="shared" si="256"/>
        <v>#N/A</v>
      </c>
      <c r="R96" s="106" t="e">
        <f t="shared" si="260"/>
        <v>#N/A</v>
      </c>
      <c r="S96" s="104"/>
      <c r="T96" s="17"/>
      <c r="V96" s="104" t="e">
        <f t="shared" si="263"/>
        <v>#VALUE!</v>
      </c>
      <c r="W96" s="17" t="str">
        <f>$EB$62</f>
        <v/>
      </c>
      <c r="X96" s="17" t="str">
        <f>$EB$63</f>
        <v/>
      </c>
      <c r="Y96" s="106" t="str">
        <f>$EB$64</f>
        <v/>
      </c>
    </row>
    <row r="97" spans="7:25" x14ac:dyDescent="0.25">
      <c r="G97" s="183"/>
      <c r="H97" s="107">
        <f t="shared" si="257"/>
        <v>1</v>
      </c>
      <c r="I97" s="93">
        <f>$Z$32</f>
        <v>0</v>
      </c>
      <c r="J97" s="93" t="e">
        <f t="shared" si="261"/>
        <v>#VALUE!</v>
      </c>
      <c r="K97" s="93" t="e">
        <f t="shared" si="258"/>
        <v>#VALUE!</v>
      </c>
      <c r="L97" s="93" t="e">
        <f t="shared" si="259"/>
        <v>#VALUE!</v>
      </c>
      <c r="M97" s="109" t="e">
        <f t="shared" si="255"/>
        <v>#VALUE!</v>
      </c>
      <c r="O97" s="107" t="str">
        <f t="shared" si="262"/>
        <v/>
      </c>
      <c r="P97" s="93">
        <v>22</v>
      </c>
      <c r="Q97" s="93" t="e">
        <f t="shared" si="256"/>
        <v>#N/A</v>
      </c>
      <c r="R97" s="109" t="e">
        <f t="shared" si="260"/>
        <v>#N/A</v>
      </c>
      <c r="S97" s="104"/>
      <c r="T97" s="17"/>
      <c r="V97" s="107" t="e">
        <f t="shared" si="263"/>
        <v>#VALUE!</v>
      </c>
      <c r="W97" s="93" t="str">
        <f>$EH$62</f>
        <v/>
      </c>
      <c r="X97" s="93" t="str">
        <f>$EH$63</f>
        <v/>
      </c>
      <c r="Y97" s="109" t="str">
        <f>$EH$64</f>
        <v/>
      </c>
    </row>
    <row r="98" spans="7:25" x14ac:dyDescent="0.25">
      <c r="G98" s="183"/>
      <c r="H98" s="104">
        <f t="shared" si="257"/>
        <v>1</v>
      </c>
      <c r="I98" s="17">
        <f>$AA$32</f>
        <v>0</v>
      </c>
      <c r="J98" s="17" t="e">
        <f t="shared" si="261"/>
        <v>#VALUE!</v>
      </c>
      <c r="K98" s="17" t="e">
        <f t="shared" si="258"/>
        <v>#VALUE!</v>
      </c>
      <c r="L98" s="17" t="e">
        <f t="shared" si="259"/>
        <v>#VALUE!</v>
      </c>
      <c r="M98" s="106" t="e">
        <f t="shared" si="255"/>
        <v>#VALUE!</v>
      </c>
      <c r="O98" s="104" t="str">
        <f t="shared" si="262"/>
        <v/>
      </c>
      <c r="P98" s="17">
        <v>23</v>
      </c>
      <c r="Q98" s="17" t="e">
        <f t="shared" si="256"/>
        <v>#N/A</v>
      </c>
      <c r="R98" s="106" t="e">
        <f t="shared" si="260"/>
        <v>#N/A</v>
      </c>
      <c r="S98" s="104"/>
      <c r="T98" s="17"/>
      <c r="V98" s="104" t="e">
        <f t="shared" si="263"/>
        <v>#VALUE!</v>
      </c>
      <c r="W98" s="17" t="str">
        <f>$EN$62</f>
        <v/>
      </c>
      <c r="X98" s="17" t="str">
        <f>$EN$63</f>
        <v/>
      </c>
      <c r="Y98" s="106" t="str">
        <f>$EN$64</f>
        <v/>
      </c>
    </row>
    <row r="99" spans="7:25" x14ac:dyDescent="0.25">
      <c r="G99" s="183"/>
      <c r="H99" s="107">
        <f t="shared" si="257"/>
        <v>1</v>
      </c>
      <c r="I99" s="93">
        <f>$AB$32</f>
        <v>0</v>
      </c>
      <c r="J99" s="93" t="e">
        <f t="shared" si="261"/>
        <v>#VALUE!</v>
      </c>
      <c r="K99" s="93" t="e">
        <f t="shared" si="258"/>
        <v>#VALUE!</v>
      </c>
      <c r="L99" s="93" t="e">
        <f t="shared" si="259"/>
        <v>#VALUE!</v>
      </c>
      <c r="M99" s="109" t="e">
        <f t="shared" si="255"/>
        <v>#VALUE!</v>
      </c>
      <c r="O99" s="107" t="str">
        <f t="shared" si="262"/>
        <v/>
      </c>
      <c r="P99" s="93">
        <v>24</v>
      </c>
      <c r="Q99" s="93" t="e">
        <f t="shared" si="256"/>
        <v>#N/A</v>
      </c>
      <c r="R99" s="109" t="e">
        <f t="shared" si="260"/>
        <v>#N/A</v>
      </c>
      <c r="S99" s="104"/>
      <c r="T99" s="17"/>
      <c r="V99" s="107" t="e">
        <f t="shared" si="263"/>
        <v>#VALUE!</v>
      </c>
      <c r="W99" s="93" t="str">
        <f>$ET$62</f>
        <v/>
      </c>
      <c r="X99" s="93" t="str">
        <f>$ET$63</f>
        <v/>
      </c>
      <c r="Y99" s="109" t="str">
        <f>$ET$64</f>
        <v/>
      </c>
    </row>
    <row r="100" spans="7:25" x14ac:dyDescent="0.25">
      <c r="G100" s="183"/>
      <c r="H100" s="104">
        <f t="shared" si="257"/>
        <v>1</v>
      </c>
      <c r="I100" s="17">
        <f>$AC$32</f>
        <v>0</v>
      </c>
      <c r="J100" s="17" t="e">
        <f t="shared" si="261"/>
        <v>#VALUE!</v>
      </c>
      <c r="K100" s="17" t="e">
        <f t="shared" si="258"/>
        <v>#VALUE!</v>
      </c>
      <c r="L100" s="17" t="e">
        <f t="shared" si="259"/>
        <v>#VALUE!</v>
      </c>
      <c r="M100" s="106" t="e">
        <f t="shared" si="255"/>
        <v>#VALUE!</v>
      </c>
      <c r="O100" s="104" t="str">
        <f t="shared" si="262"/>
        <v/>
      </c>
      <c r="P100" s="17">
        <v>25</v>
      </c>
      <c r="Q100" s="17" t="e">
        <f t="shared" si="256"/>
        <v>#N/A</v>
      </c>
      <c r="R100" s="106" t="e">
        <f t="shared" si="260"/>
        <v>#N/A</v>
      </c>
      <c r="S100" s="104"/>
      <c r="T100" s="17"/>
      <c r="V100" s="104" t="e">
        <f t="shared" si="263"/>
        <v>#VALUE!</v>
      </c>
      <c r="W100" s="17" t="str">
        <f>$EZ$62</f>
        <v/>
      </c>
      <c r="X100" s="17" t="str">
        <f>$EZ$63</f>
        <v/>
      </c>
      <c r="Y100" s="106" t="str">
        <f>$EZ$64</f>
        <v/>
      </c>
    </row>
    <row r="101" spans="7:25" x14ac:dyDescent="0.25">
      <c r="G101" s="183"/>
      <c r="H101" s="107">
        <f t="shared" si="257"/>
        <v>1</v>
      </c>
      <c r="I101" s="93">
        <f>$AD$32</f>
        <v>0</v>
      </c>
      <c r="J101" s="93" t="e">
        <f t="shared" si="261"/>
        <v>#VALUE!</v>
      </c>
      <c r="K101" s="93" t="e">
        <f t="shared" si="258"/>
        <v>#VALUE!</v>
      </c>
      <c r="L101" s="93" t="e">
        <f t="shared" si="259"/>
        <v>#VALUE!</v>
      </c>
      <c r="M101" s="109" t="e">
        <f t="shared" si="255"/>
        <v>#VALUE!</v>
      </c>
      <c r="O101" s="107" t="str">
        <f t="shared" si="262"/>
        <v/>
      </c>
      <c r="P101" s="93">
        <v>26</v>
      </c>
      <c r="Q101" s="93" t="e">
        <f t="shared" si="256"/>
        <v>#N/A</v>
      </c>
      <c r="R101" s="109" t="e">
        <f t="shared" si="260"/>
        <v>#N/A</v>
      </c>
      <c r="S101" s="104"/>
      <c r="T101" s="17"/>
      <c r="V101" s="107" t="e">
        <f t="shared" si="263"/>
        <v>#VALUE!</v>
      </c>
      <c r="W101" s="93" t="str">
        <f>$FF$62</f>
        <v/>
      </c>
      <c r="X101" s="93" t="str">
        <f>$FF$63</f>
        <v/>
      </c>
      <c r="Y101" s="109" t="str">
        <f>$FF$64</f>
        <v/>
      </c>
    </row>
    <row r="102" spans="7:25" x14ac:dyDescent="0.25">
      <c r="G102" s="183"/>
      <c r="H102" s="104">
        <f t="shared" si="257"/>
        <v>1</v>
      </c>
      <c r="I102" s="17">
        <f>$AE$32</f>
        <v>0</v>
      </c>
      <c r="J102" s="17" t="e">
        <f t="shared" si="261"/>
        <v>#VALUE!</v>
      </c>
      <c r="K102" s="17" t="e">
        <f t="shared" si="258"/>
        <v>#VALUE!</v>
      </c>
      <c r="L102" s="17" t="e">
        <f t="shared" si="259"/>
        <v>#VALUE!</v>
      </c>
      <c r="M102" s="106" t="e">
        <f t="shared" si="255"/>
        <v>#VALUE!</v>
      </c>
      <c r="O102" s="104" t="str">
        <f t="shared" si="262"/>
        <v/>
      </c>
      <c r="P102" s="17">
        <v>27</v>
      </c>
      <c r="Q102" s="17" t="e">
        <f t="shared" si="256"/>
        <v>#N/A</v>
      </c>
      <c r="R102" s="106" t="e">
        <f t="shared" si="260"/>
        <v>#N/A</v>
      </c>
      <c r="S102" s="104"/>
      <c r="T102" s="17"/>
      <c r="V102" s="104" t="e">
        <f t="shared" si="263"/>
        <v>#VALUE!</v>
      </c>
      <c r="W102" s="17" t="str">
        <f>$FL$62</f>
        <v/>
      </c>
      <c r="X102" s="17" t="str">
        <f>$FL$63</f>
        <v/>
      </c>
      <c r="Y102" s="106" t="str">
        <f>$FL$64</f>
        <v/>
      </c>
    </row>
    <row r="103" spans="7:25" ht="15.75" thickBot="1" x14ac:dyDescent="0.3">
      <c r="G103" s="16"/>
      <c r="H103" s="111">
        <f t="shared" si="257"/>
        <v>1</v>
      </c>
      <c r="I103" s="95">
        <f>$AF$32</f>
        <v>0</v>
      </c>
      <c r="J103" s="95" t="e">
        <f t="shared" si="261"/>
        <v>#VALUE!</v>
      </c>
      <c r="K103" s="95" t="e">
        <f t="shared" si="258"/>
        <v>#VALUE!</v>
      </c>
      <c r="L103" s="95" t="e">
        <f t="shared" si="259"/>
        <v>#VALUE!</v>
      </c>
      <c r="M103" s="113" t="e">
        <f t="shared" si="255"/>
        <v>#VALUE!</v>
      </c>
      <c r="O103" s="111" t="str">
        <f t="shared" si="262"/>
        <v/>
      </c>
      <c r="P103" s="95">
        <v>28</v>
      </c>
      <c r="Q103" s="95" t="e">
        <f t="shared" si="256"/>
        <v>#N/A</v>
      </c>
      <c r="R103" s="113" t="e">
        <f t="shared" si="260"/>
        <v>#N/A</v>
      </c>
      <c r="S103" s="104"/>
      <c r="T103" s="17"/>
      <c r="V103" s="111" t="e">
        <f t="shared" si="263"/>
        <v>#VALUE!</v>
      </c>
      <c r="W103" s="95" t="str">
        <f>$FR$62</f>
        <v/>
      </c>
      <c r="X103" s="95" t="str">
        <f>$FR$63</f>
        <v/>
      </c>
      <c r="Y103" s="113" t="str">
        <f>$FR$64</f>
        <v/>
      </c>
    </row>
    <row r="104" spans="7:25" x14ac:dyDescent="0.25">
      <c r="O104" s="253"/>
      <c r="P104" s="254"/>
      <c r="Q104" s="254"/>
      <c r="R104" s="253" t="e">
        <f>INDEX(J$76:J$103,MATCH(P103,M$76:M$103,0))</f>
        <v>#N/A</v>
      </c>
    </row>
    <row r="105" spans="7:25" x14ac:dyDescent="0.25">
      <c r="O105" s="253" t="str">
        <f>O103</f>
        <v/>
      </c>
      <c r="P105" s="254"/>
      <c r="Q105" s="254"/>
      <c r="R105" s="254"/>
    </row>
    <row r="106" spans="7:25" x14ac:dyDescent="0.25">
      <c r="O106" s="254"/>
      <c r="P106" s="254"/>
      <c r="Q106" s="254"/>
      <c r="R106" s="254"/>
    </row>
    <row r="130" spans="7:9" x14ac:dyDescent="0.25">
      <c r="G130" s="197"/>
      <c r="H130" s="197"/>
      <c r="I130" s="197"/>
    </row>
  </sheetData>
  <mergeCells count="21">
    <mergeCell ref="C2:C4"/>
    <mergeCell ref="D2:D4"/>
    <mergeCell ref="C5:C7"/>
    <mergeCell ref="D5:D7"/>
    <mergeCell ref="C8:C10"/>
    <mergeCell ref="D8:D10"/>
    <mergeCell ref="C11:C13"/>
    <mergeCell ref="D11:D13"/>
    <mergeCell ref="C14:C16"/>
    <mergeCell ref="D14:D16"/>
    <mergeCell ref="C17:C19"/>
    <mergeCell ref="D17:D19"/>
    <mergeCell ref="C29:C31"/>
    <mergeCell ref="D29:D31"/>
    <mergeCell ref="C32:D33"/>
    <mergeCell ref="C20:C22"/>
    <mergeCell ref="D20:D22"/>
    <mergeCell ref="C23:C25"/>
    <mergeCell ref="D23:D25"/>
    <mergeCell ref="C26:C28"/>
    <mergeCell ref="D26:D28"/>
  </mergeCells>
  <pageMargins left="0.7" right="0.7" top="0.75" bottom="0.75" header="0.3" footer="0.3"/>
  <pageSetup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207</vt:i4>
      </vt:variant>
    </vt:vector>
  </HeadingPairs>
  <TitlesOfParts>
    <vt:vector size="215" baseType="lpstr">
      <vt:lpstr>Breeding Inputs</vt:lpstr>
      <vt:lpstr>Cost Inputs</vt:lpstr>
      <vt:lpstr>Model_ of_individuals</vt:lpstr>
      <vt:lpstr>Model_ of_individuals_costs</vt:lpstr>
      <vt:lpstr>Automated Results</vt:lpstr>
      <vt:lpstr>Sheet2</vt:lpstr>
      <vt:lpstr>Stage 1 Selection Matrix 3.0</vt:lpstr>
      <vt:lpstr>Stage 2 Randomized Selection</vt:lpstr>
      <vt:lpstr>_3_1_0</vt:lpstr>
      <vt:lpstr>_3_1_1</vt:lpstr>
      <vt:lpstr>_3_1_2</vt:lpstr>
      <vt:lpstr>_3_1_3</vt:lpstr>
      <vt:lpstr>_3_1_4</vt:lpstr>
      <vt:lpstr>_3_1_5</vt:lpstr>
      <vt:lpstr>_3_1_6</vt:lpstr>
      <vt:lpstr>_3_1_7</vt:lpstr>
      <vt:lpstr>_3_2_0</vt:lpstr>
      <vt:lpstr>_3_2_1</vt:lpstr>
      <vt:lpstr>_3_2_2</vt:lpstr>
      <vt:lpstr>_3_2_3</vt:lpstr>
      <vt:lpstr>_3_2_4</vt:lpstr>
      <vt:lpstr>_3_3_0</vt:lpstr>
      <vt:lpstr>_3_3_1</vt:lpstr>
      <vt:lpstr>_3_3_2</vt:lpstr>
      <vt:lpstr>_3_3_3</vt:lpstr>
      <vt:lpstr>_3_3_4</vt:lpstr>
      <vt:lpstr>_3_4_0</vt:lpstr>
      <vt:lpstr>_3_4_1</vt:lpstr>
      <vt:lpstr>_3_4_2</vt:lpstr>
      <vt:lpstr>_3_4_3</vt:lpstr>
      <vt:lpstr>_3_4_4</vt:lpstr>
      <vt:lpstr>_3_4_5</vt:lpstr>
      <vt:lpstr>_3_4_6</vt:lpstr>
      <vt:lpstr>_3_5_0</vt:lpstr>
      <vt:lpstr>_3_5_1</vt:lpstr>
      <vt:lpstr>_3_5_2</vt:lpstr>
      <vt:lpstr>_4_1_0</vt:lpstr>
      <vt:lpstr>_4_1_1</vt:lpstr>
      <vt:lpstr>_4_1_2</vt:lpstr>
      <vt:lpstr>_4_1_3</vt:lpstr>
      <vt:lpstr>_4_1_4</vt:lpstr>
      <vt:lpstr>_4_2_0</vt:lpstr>
      <vt:lpstr>_4_2_1</vt:lpstr>
      <vt:lpstr>_4_2_2</vt:lpstr>
      <vt:lpstr>_4_2_3</vt:lpstr>
      <vt:lpstr>_4_2_4</vt:lpstr>
      <vt:lpstr>_4_3_0</vt:lpstr>
      <vt:lpstr>_4_3_1</vt:lpstr>
      <vt:lpstr>_4_3_2</vt:lpstr>
      <vt:lpstr>_4_4_0</vt:lpstr>
      <vt:lpstr>_4_4_1</vt:lpstr>
      <vt:lpstr>_4_4_2</vt:lpstr>
      <vt:lpstr>_4_4_3</vt:lpstr>
      <vt:lpstr>_4_4_4</vt:lpstr>
      <vt:lpstr>_4_4_5</vt:lpstr>
      <vt:lpstr>_4_4_6</vt:lpstr>
      <vt:lpstr>_4_5_0</vt:lpstr>
      <vt:lpstr>_4_5_1</vt:lpstr>
      <vt:lpstr>_4_5_2</vt:lpstr>
      <vt:lpstr>_4_5_3</vt:lpstr>
      <vt:lpstr>_4_5_4</vt:lpstr>
      <vt:lpstr>_4_5_5</vt:lpstr>
      <vt:lpstr>_4_6_0</vt:lpstr>
      <vt:lpstr>_4_6_1</vt:lpstr>
      <vt:lpstr>_4_6_2</vt:lpstr>
      <vt:lpstr>_5_1_0</vt:lpstr>
      <vt:lpstr>_5_1_1</vt:lpstr>
      <vt:lpstr>_5_1_2</vt:lpstr>
      <vt:lpstr>_5_1_3</vt:lpstr>
      <vt:lpstr>_5_1_4</vt:lpstr>
      <vt:lpstr>_5_1_5</vt:lpstr>
      <vt:lpstr>_5_2_0</vt:lpstr>
      <vt:lpstr>_5_2_1</vt:lpstr>
      <vt:lpstr>_5_2_2</vt:lpstr>
      <vt:lpstr>_5_2_3</vt:lpstr>
      <vt:lpstr>_5_2_4</vt:lpstr>
      <vt:lpstr>_5_3_0</vt:lpstr>
      <vt:lpstr>_5_3_1</vt:lpstr>
      <vt:lpstr>_5_3_2</vt:lpstr>
      <vt:lpstr>_5_4_0</vt:lpstr>
      <vt:lpstr>_5_4_1</vt:lpstr>
      <vt:lpstr>_5_4_2</vt:lpstr>
      <vt:lpstr>_5_4_3</vt:lpstr>
      <vt:lpstr>_5_4_4</vt:lpstr>
      <vt:lpstr>_5_4_5</vt:lpstr>
      <vt:lpstr>_5_4_6</vt:lpstr>
      <vt:lpstr>_5_5_0</vt:lpstr>
      <vt:lpstr>_5_5_1</vt:lpstr>
      <vt:lpstr>_5_5_2</vt:lpstr>
      <vt:lpstr>_5_5_3</vt:lpstr>
      <vt:lpstr>_5_5_4</vt:lpstr>
      <vt:lpstr>_5_5_5</vt:lpstr>
      <vt:lpstr>_5_6_0</vt:lpstr>
      <vt:lpstr>_5_6_1</vt:lpstr>
      <vt:lpstr>_5_6_2</vt:lpstr>
      <vt:lpstr>_6_1_0</vt:lpstr>
      <vt:lpstr>_6_1_1</vt:lpstr>
      <vt:lpstr>_6_1_2</vt:lpstr>
      <vt:lpstr>_6_1_3</vt:lpstr>
      <vt:lpstr>_6_1_4</vt:lpstr>
      <vt:lpstr>_6_1_5</vt:lpstr>
      <vt:lpstr>_6_2_0</vt:lpstr>
      <vt:lpstr>_6_2_1</vt:lpstr>
      <vt:lpstr>_6_2_2</vt:lpstr>
      <vt:lpstr>_6_2_3</vt:lpstr>
      <vt:lpstr>_6_2_4</vt:lpstr>
      <vt:lpstr>_6_3_0</vt:lpstr>
      <vt:lpstr>_6_3_1</vt:lpstr>
      <vt:lpstr>_6_3_2</vt:lpstr>
      <vt:lpstr>_6_4_0</vt:lpstr>
      <vt:lpstr>_6_4_1</vt:lpstr>
      <vt:lpstr>_6_4_2</vt:lpstr>
      <vt:lpstr>_6_4_3</vt:lpstr>
      <vt:lpstr>_6_4_4</vt:lpstr>
      <vt:lpstr>_6_4_5</vt:lpstr>
      <vt:lpstr>_6_4_6</vt:lpstr>
      <vt:lpstr>_6_5_0</vt:lpstr>
      <vt:lpstr>_6_5_1</vt:lpstr>
      <vt:lpstr>_6_5_2</vt:lpstr>
      <vt:lpstr>_6_5_3</vt:lpstr>
      <vt:lpstr>_6_5_4</vt:lpstr>
      <vt:lpstr>_6_5_5</vt:lpstr>
      <vt:lpstr>_6_6_0</vt:lpstr>
      <vt:lpstr>_6_6_1</vt:lpstr>
      <vt:lpstr>_6_6_2</vt:lpstr>
      <vt:lpstr>Crossing_begins</vt:lpstr>
      <vt:lpstr>Crossing_delay</vt:lpstr>
      <vt:lpstr>Crossing_years</vt:lpstr>
      <vt:lpstr>Cultivar_1_Cohort_Year_Selection</vt:lpstr>
      <vt:lpstr>Cultivar_1_Program_Year_Selection</vt:lpstr>
      <vt:lpstr>Cultivar_2_Cohort_Year_Selection</vt:lpstr>
      <vt:lpstr>Cultivar_2_Program_Year_Selection</vt:lpstr>
      <vt:lpstr>Cultivar_3_Cohort_Year_Selection</vt:lpstr>
      <vt:lpstr>Cultivar_3_Program_Year_Selection</vt:lpstr>
      <vt:lpstr>DNA_Test_1</vt:lpstr>
      <vt:lpstr>DNA_Test_2</vt:lpstr>
      <vt:lpstr>DNA_Test_3</vt:lpstr>
      <vt:lpstr>DNA_Test_4</vt:lpstr>
      <vt:lpstr>DNA_test_C</vt:lpstr>
      <vt:lpstr>DNA_test_G</vt:lpstr>
      <vt:lpstr>Fifth_Stage</vt:lpstr>
      <vt:lpstr>First_Stage</vt:lpstr>
      <vt:lpstr>Fourth_Stage</vt:lpstr>
      <vt:lpstr>Frequency_of_breeding_cycle</vt:lpstr>
      <vt:lpstr>Germ_per</vt:lpstr>
      <vt:lpstr>GG_begins</vt:lpstr>
      <vt:lpstr>Inherit_1</vt:lpstr>
      <vt:lpstr>Inherit_2</vt:lpstr>
      <vt:lpstr>Inherit_3</vt:lpstr>
      <vt:lpstr>Input_Dec_1</vt:lpstr>
      <vt:lpstr>Input_Dec_2</vt:lpstr>
      <vt:lpstr>Input_Dec_3</vt:lpstr>
      <vt:lpstr>Input_Dec_G</vt:lpstr>
      <vt:lpstr>MAS_Cull_G</vt:lpstr>
      <vt:lpstr>MAS_Cull4</vt:lpstr>
      <vt:lpstr>Number_of_breeding_cycles</vt:lpstr>
      <vt:lpstr>Parent_Use_1</vt:lpstr>
      <vt:lpstr>Parent_Use_2</vt:lpstr>
      <vt:lpstr>Parent_Use_3</vt:lpstr>
      <vt:lpstr>Parent_Use_G</vt:lpstr>
      <vt:lpstr>ProgramYearStage1</vt:lpstr>
      <vt:lpstr>ProgramYearStage2</vt:lpstr>
      <vt:lpstr>ProgramYearStage3</vt:lpstr>
      <vt:lpstr>ProgramYearStage4</vt:lpstr>
      <vt:lpstr>S1_begins</vt:lpstr>
      <vt:lpstr>S1_delay</vt:lpstr>
      <vt:lpstr>S1_Est</vt:lpstr>
      <vt:lpstr>S1_IS</vt:lpstr>
      <vt:lpstr>S1_NFEY</vt:lpstr>
      <vt:lpstr>S1_SelNum</vt:lpstr>
      <vt:lpstr>S1_SelPer</vt:lpstr>
      <vt:lpstr>S1_years</vt:lpstr>
      <vt:lpstr>S2_delay</vt:lpstr>
      <vt:lpstr>S2_Est</vt:lpstr>
      <vt:lpstr>S2_IS</vt:lpstr>
      <vt:lpstr>S2_NFEY</vt:lpstr>
      <vt:lpstr>S2_SelPer</vt:lpstr>
      <vt:lpstr>S3_begins</vt:lpstr>
      <vt:lpstr>S3_delay</vt:lpstr>
      <vt:lpstr>S3_Est</vt:lpstr>
      <vt:lpstr>S3_IS</vt:lpstr>
      <vt:lpstr>S3_NFEY</vt:lpstr>
      <vt:lpstr>S3_SelPer</vt:lpstr>
      <vt:lpstr>S3_years</vt:lpstr>
      <vt:lpstr>S4_begins</vt:lpstr>
      <vt:lpstr>S4_delay</vt:lpstr>
      <vt:lpstr>S4_Est</vt:lpstr>
      <vt:lpstr>S4_SelPer</vt:lpstr>
      <vt:lpstr>S4_years</vt:lpstr>
      <vt:lpstr>Second_Stage</vt:lpstr>
      <vt:lpstr>Seventh_Stage</vt:lpstr>
      <vt:lpstr>Sixth_Stage</vt:lpstr>
      <vt:lpstr>Stage1EnvirontmentalLoss</vt:lpstr>
      <vt:lpstr>Stage1Evaluation</vt:lpstr>
      <vt:lpstr>Stage1EvaluationBegins</vt:lpstr>
      <vt:lpstr>Stage1Removal</vt:lpstr>
      <vt:lpstr>Stage2EnvironmentalLoss</vt:lpstr>
      <vt:lpstr>Stage2Evaluation</vt:lpstr>
      <vt:lpstr>Stage2EvaluationBegins</vt:lpstr>
      <vt:lpstr>Stage2Removal</vt:lpstr>
      <vt:lpstr>Stage3EnvironmentalLoss</vt:lpstr>
      <vt:lpstr>Stage3Evaluation</vt:lpstr>
      <vt:lpstr>Stage3EvaluationBegins</vt:lpstr>
      <vt:lpstr>Stage3Removal</vt:lpstr>
      <vt:lpstr>Stage4EnvironmentalLoss</vt:lpstr>
      <vt:lpstr>Stage4Evaluation</vt:lpstr>
      <vt:lpstr>Stage4EvaluationBegins</vt:lpstr>
      <vt:lpstr>Stage4Removal</vt:lpstr>
      <vt:lpstr>Third_Stage</vt:lpstr>
      <vt:lpstr>VI_begins</vt:lpstr>
      <vt:lpstr>VI_delay</vt:lpstr>
      <vt:lpstr>Years_in_Stage1</vt:lpstr>
      <vt:lpstr>Years_in_Stage2</vt:lpstr>
      <vt:lpstr>Years_in_Stage3</vt:lpstr>
      <vt:lpstr>Years_in_Stage4</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Seth Wanne</dc:creator>
  <cp:lastModifiedBy>Chengyan Yue</cp:lastModifiedBy>
  <dcterms:created xsi:type="dcterms:W3CDTF">2016-08-16T20:13:56Z</dcterms:created>
  <dcterms:modified xsi:type="dcterms:W3CDTF">2019-11-22T19:39:00Z</dcterms:modified>
</cp:coreProperties>
</file>